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slicers/slicer1.xml" ContentType="application/vnd.ms-excel.slicer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7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8.xml" ContentType="application/vnd.openxmlformats-officedocument.drawing+xml"/>
  <Override PartName="/xl/slicers/slicer3.xml" ContentType="application/vnd.ms-excel.slicer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9.xml" ContentType="application/vnd.openxmlformats-officedocument.drawing+xml"/>
  <Override PartName="/xl/slicers/slicer4.xml" ContentType="application/vnd.ms-excel.slicer+xml"/>
  <Override PartName="/xl/drawings/drawing10.xml" ContentType="application/vnd.openxmlformats-officedocument.drawing+xml"/>
  <Override PartName="/xl/slicers/slicer5.xml" ContentType="application/vnd.ms-excel.slicer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slicers/slicer6.xml" ContentType="application/vnd.ms-excel.slicer+xml"/>
  <Override PartName="/xl/drawings/drawing12.xml" ContentType="application/vnd.openxmlformats-officedocument.drawing+xml"/>
  <Override PartName="/xl/slicers/slicer7.xml" ContentType="application/vnd.ms-excel.slicer+xml"/>
  <Override PartName="/xl/drawings/drawing13.xml" ContentType="application/vnd.openxmlformats-officedocument.drawing+xml"/>
  <Override PartName="/xl/slicers/slicer8.xml" ContentType="application/vnd.ms-excel.slicer+xml"/>
  <Override PartName="/xl/drawings/drawing14.xml" ContentType="application/vnd.openxmlformats-officedocument.drawing+xml"/>
  <Override PartName="/xl/slicers/slicer9.xml" ContentType="application/vnd.ms-excel.slicer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5.xml" ContentType="application/vnd.openxmlformats-officedocument.drawing+xml"/>
  <Override PartName="/xl/slicers/slicer10.xml" ContentType="application/vnd.ms-excel.slicer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.xml" ContentType="application/vnd.openxmlformats-officedocument.themeOverride+xml"/>
  <Override PartName="/xl/drawings/drawing16.xml" ContentType="application/vnd.openxmlformats-officedocument.drawing+xml"/>
  <Override PartName="/xl/slicers/slicer11.xml" ContentType="application/vnd.ms-excel.slicer+xml"/>
  <Override PartName="/xl/drawings/drawing17.xml" ContentType="application/vnd.openxmlformats-officedocument.drawing+xml"/>
  <Override PartName="/xl/slicers/slicer12.xml" ContentType="application/vnd.ms-excel.slicer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2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5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6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27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28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29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30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31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32.xml" ContentType="application/vnd.openxmlformats-officedocument.drawingml.chartshapes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1.xml" ContentType="application/vnd.ms-office.chartex+xml"/>
  <Override PartName="/xl/persons/person.xml" ContentType="application/vnd.ms-excel.person+xml"/>
  <Override PartName="/xl/threadedComments/threadedComment1.xml" ContentType="application/vnd.ms-excel.threadedcomments+xml"/>
  <Override PartName="/xl/charts/colors310.xml" ContentType="application/vnd.ms-office.chartcolorstyle+xml"/>
  <Override PartName="/xl/charts/style31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hidePivotFieldList="1"/>
  <mc:AlternateContent xmlns:mc="http://schemas.openxmlformats.org/markup-compatibility/2006">
    <mc:Choice Requires="x15">
      <x15ac:absPath xmlns:x15ac="http://schemas.microsoft.com/office/spreadsheetml/2010/11/ac" url="S:\ASSESSORIA DE PLANEJAMENTO E GESTAO DA ESTRATEGIA\2022\Arrecadação\09 - Setembro\"/>
    </mc:Choice>
  </mc:AlternateContent>
  <bookViews>
    <workbookView xWindow="0" yWindow="0" windowWidth="28800" windowHeight="12300" tabRatio="933" firstSheet="32" activeTab="32"/>
  </bookViews>
  <sheets>
    <sheet name="Relatórios - SICCAU e IGEO" sheetId="141" state="hidden" r:id="rId1"/>
    <sheet name="JAN" sheetId="106" state="hidden" r:id="rId2"/>
    <sheet name="FEV" sheetId="107" state="hidden" r:id="rId3"/>
    <sheet name="MAR" sheetId="108" state="hidden" r:id="rId4"/>
    <sheet name="ABR" sheetId="109" state="hidden" r:id="rId5"/>
    <sheet name="MAI" sheetId="110" state="hidden" r:id="rId6"/>
    <sheet name="JUN" sheetId="111" state="hidden" r:id="rId7"/>
    <sheet name="JUL" sheetId="112" state="hidden" r:id="rId8"/>
    <sheet name="AGO" sheetId="113" state="hidden" r:id="rId9"/>
    <sheet name="SET" sheetId="114" state="hidden" r:id="rId10"/>
    <sheet name="OUT" sheetId="115" state="hidden" r:id="rId11"/>
    <sheet name="NOV" sheetId="116" state="hidden" r:id="rId12"/>
    <sheet name="DEZ" sheetId="117" state="hidden" r:id="rId13"/>
    <sheet name="TOTAL POR UF" sheetId="119" state="hidden" r:id="rId14"/>
    <sheet name="EXERCÍCIOS ANTERIORES" sheetId="65" state="hidden" r:id="rId15"/>
    <sheet name="ARRECADAÇÃO MENSAL POR RECEITA" sheetId="118" state="hidden" r:id="rId16"/>
    <sheet name="PF - Gênero" sheetId="140" state="hidden" r:id="rId17"/>
    <sheet name="Anuid PF" sheetId="121" state="hidden" r:id="rId18"/>
    <sheet name="Anuid PJ" sheetId="122" state="hidden" r:id="rId19"/>
    <sheet name="RRT" sheetId="123" state="hidden" r:id="rId20"/>
    <sheet name="Taxas e Multas." sheetId="124" state="hidden" r:id="rId21"/>
    <sheet name="Arrecadação Total" sheetId="125" state="hidden" r:id="rId22"/>
    <sheet name="Comparativo YoY" sheetId="126" state="hidden" r:id="rId23"/>
    <sheet name="ADIMPLÊNCIA PF" sheetId="127" state="hidden" r:id="rId24"/>
    <sheet name="ADIMPLÊNCIA PJ" sheetId="128" state="hidden" r:id="rId25"/>
    <sheet name="RRT POR PROFISSIONAL" sheetId="129" state="hidden" r:id="rId26"/>
    <sheet name="Médias por UF" sheetId="63" state="hidden" r:id="rId27"/>
    <sheet name="Evolução das Receitas" sheetId="73" state="hidden" r:id="rId28"/>
    <sheet name="Lançamentos" sheetId="62" state="hidden" r:id="rId29"/>
    <sheet name="Gráficos - Arrecadação" sheetId="64" state="hidden" r:id="rId30"/>
    <sheet name="RRTs pagos por Grupo" sheetId="149" state="hidden" r:id="rId31"/>
    <sheet name="Dados - Receita e Qntd" sheetId="66" state="hidden" r:id="rId32"/>
    <sheet name="Índice" sheetId="146" r:id="rId33"/>
    <sheet name="PF - Qntd" sheetId="67" r:id="rId34"/>
    <sheet name="PF - Receita" sheetId="76" r:id="rId35"/>
    <sheet name="PF - Ativos x Receita" sheetId="143" r:id="rId36"/>
    <sheet name="PJ - Qntd" sheetId="75" r:id="rId37"/>
    <sheet name="PJ - Receita" sheetId="77" r:id="rId38"/>
    <sheet name="RRT - Qntd e Receita" sheetId="78" r:id="rId39"/>
    <sheet name="RRT - Ativos x RRT" sheetId="144" r:id="rId40"/>
    <sheet name="RRT - Grupos" sheetId="148" r:id="rId41"/>
    <sheet name="Taxas e Multas" sheetId="79" r:id="rId42"/>
    <sheet name="CAU UF - Receita Total 80%" sheetId="103" r:id="rId43"/>
    <sheet name="CAU BR - PF e PJ" sheetId="80" r:id="rId44"/>
    <sheet name="CAU BR - RRT e Taxas" sheetId="82" r:id="rId45"/>
    <sheet name="CAU BR - Receita Total 20%" sheetId="105" r:id="rId46"/>
    <sheet name="Gráficos - 100%" sheetId="101" r:id="rId47"/>
    <sheet name="Gráficos - Arrec. Total" sheetId="85" r:id="rId48"/>
    <sheet name="Gráficos - PF" sheetId="95" r:id="rId49"/>
    <sheet name="Gráficos - PF - Ex. Ant." sheetId="96" r:id="rId50"/>
    <sheet name="Gráficos - PJ" sheetId="97" r:id="rId51"/>
    <sheet name="Gráficos - PJ - Ex. Ant." sheetId="98" r:id="rId52"/>
    <sheet name="Gráficos - RRT" sheetId="99" r:id="rId53"/>
    <sheet name="Gráficos - Taxas" sheetId="100" r:id="rId54"/>
    <sheet name="CPFi" sheetId="151" state="hidden" r:id="rId55"/>
    <sheet name="BD_UF" sheetId="152" state="hidden" r:id="rId56"/>
    <sheet name="BD_Tipo de Receita" sheetId="153" state="hidden" r:id="rId57"/>
    <sheet name="BD_PF" sheetId="154" state="hidden" r:id="rId58"/>
    <sheet name="BD_PJ" sheetId="155" state="hidden" r:id="rId59"/>
    <sheet name="BD_Inad" sheetId="158" state="hidden" r:id="rId60"/>
    <sheet name="BD_Receita" sheetId="156" state="hidden" r:id="rId61"/>
    <sheet name="BD_RRT" sheetId="157" state="hidden" r:id="rId62"/>
  </sheets>
  <definedNames>
    <definedName name="_xlnm._FilterDatabase" localSheetId="23" hidden="1">'ADIMPLÊNCIA PF'!$L$4:$L$30</definedName>
    <definedName name="_xlnm._FilterDatabase" localSheetId="24" hidden="1">'ADIMPLÊNCIA PJ'!$A$4:$L$30</definedName>
    <definedName name="_xlnm._FilterDatabase" localSheetId="17" hidden="1">'Anuid PF'!$A$2:$AO$36</definedName>
    <definedName name="_xlnm._FilterDatabase" localSheetId="57" hidden="1">BD_PF!$A$1:$I$973</definedName>
    <definedName name="_xlnm._FilterDatabase" localSheetId="58" hidden="1">BD_PJ!$A$1:$E$649</definedName>
    <definedName name="_xlnm._FilterDatabase" localSheetId="60" hidden="1">BD_Receita!$A$1:$L$187</definedName>
    <definedName name="_xlnm._FilterDatabase" localSheetId="61" hidden="1">BD_RRT!$A$1:$C$973</definedName>
    <definedName name="_xlnm._FilterDatabase" localSheetId="31" hidden="1">'Dados - Receita e Qntd'!$A$1:$BQ$32</definedName>
    <definedName name="_xlnm._FilterDatabase" localSheetId="27" hidden="1">'Evolução das Receitas'!$A$243:$O$765</definedName>
    <definedName name="_xlnm._FilterDatabase" localSheetId="29" hidden="1">'Gráficos - Arrecadação'!$B$44:$M$44</definedName>
    <definedName name="_xlnm._FilterDatabase" localSheetId="26" hidden="1">'Médias por UF'!$CX$2:$DI$180</definedName>
    <definedName name="_xlnm._FilterDatabase" localSheetId="19" hidden="1">RRT!$A$3:$U$33</definedName>
    <definedName name="_xlnm._FilterDatabase" localSheetId="30" hidden="1">'RRTs pagos por Grupo'!$A$1:$AO$163</definedName>
    <definedName name="_xlchart.v5.0" hidden="1">'ADIMPLÊNCIA PF'!$U$3</definedName>
    <definedName name="_xlchart.v5.1" hidden="1">'ADIMPLÊNCIA PF'!$U$4:$U$30</definedName>
    <definedName name="_xlchart.v5.2" hidden="1">'ADIMPLÊNCIA PF'!$V$3</definedName>
    <definedName name="_xlchart.v5.3" hidden="1">'ADIMPLÊNCIA PF'!$V$4:$V$30</definedName>
    <definedName name="_xlnm.Print_Area" localSheetId="17">'Anuid PF'!$A$1:$AP$40</definedName>
    <definedName name="_xlnm.Print_Area" localSheetId="18">'Anuid PJ'!$A$1:$AN$39</definedName>
    <definedName name="_xlnm.Print_Area" localSheetId="15">'ARRECADAÇÃO MENSAL POR RECEITA'!$A$1:$R$19</definedName>
    <definedName name="_xlnm.Print_Area" localSheetId="21">'Arrecadação Total'!$A$1:$Q$40</definedName>
    <definedName name="_xlnm.Print_Area" localSheetId="22">'Comparativo YoY'!$A$34:$GH$66</definedName>
    <definedName name="_xlnm.Print_Area" localSheetId="53">'Gráficos - Taxas'!$A$1:$AC$37</definedName>
    <definedName name="_xlnm.Print_Area" localSheetId="19">RRT!$A$1:$U$41</definedName>
    <definedName name="_xlnm.Print_Area" localSheetId="25">'RRT POR PROFISSIONAL'!$A$1:$J$36</definedName>
    <definedName name="_xlnm.Print_Area" localSheetId="20">'Taxas e Multas.'!$A$1:$S$38</definedName>
    <definedName name="DEZEMBRO">#REF!</definedName>
    <definedName name="PJ" localSheetId="43">#REF!</definedName>
    <definedName name="PJ" localSheetId="45">#REF!</definedName>
    <definedName name="PJ" localSheetId="44">#REF!</definedName>
    <definedName name="PJ" localSheetId="42">#REF!</definedName>
    <definedName name="PJ" localSheetId="46">#REF!</definedName>
    <definedName name="PJ" localSheetId="47">#REF!</definedName>
    <definedName name="PJ" localSheetId="48">#REF!</definedName>
    <definedName name="PJ" localSheetId="49">#REF!</definedName>
    <definedName name="PJ" localSheetId="50">#REF!</definedName>
    <definedName name="PJ" localSheetId="51">#REF!</definedName>
    <definedName name="PJ" localSheetId="52">#REF!</definedName>
    <definedName name="PJ" localSheetId="53">#REF!</definedName>
    <definedName name="PJ" localSheetId="32">#REF!</definedName>
    <definedName name="PJ" localSheetId="39">#REF!</definedName>
    <definedName name="PJ" localSheetId="40">#REF!</definedName>
    <definedName name="PJ" localSheetId="38">#REF!</definedName>
    <definedName name="PJ" localSheetId="41">#REF!</definedName>
    <definedName name="PJ">#REF!</definedName>
    <definedName name="SegmentaçãodeDados_Região">#N/A</definedName>
    <definedName name="SegmentaçãodeDados_Região2">#N/A</definedName>
    <definedName name="SegmentaçãodeDados_UF">#N/A</definedName>
    <definedName name="SegmentaçãodeDados_uf1">#N/A</definedName>
    <definedName name="_xlnm.Print_Titles" localSheetId="22">'Comparativo YoY'!$A:$A</definedName>
    <definedName name="VArRecTota_UFxBR">'Dados - Receita e Qntd'!$BV$81:$BW$83</definedName>
    <definedName name="X">#REF!</definedName>
    <definedName name="XFE1048575" localSheetId="4">#REF!</definedName>
    <definedName name="XFE1048575" localSheetId="8">#REF!</definedName>
    <definedName name="XFE1048575" localSheetId="43">#REF!</definedName>
    <definedName name="XFE1048575" localSheetId="45">#REF!</definedName>
    <definedName name="XFE1048575" localSheetId="44">#REF!</definedName>
    <definedName name="XFE1048575" localSheetId="42">#REF!</definedName>
    <definedName name="XFE1048575" localSheetId="12">#REF!</definedName>
    <definedName name="XFE1048575" localSheetId="2">#REF!</definedName>
    <definedName name="XFE1048575" localSheetId="46">#REF!</definedName>
    <definedName name="XFE1048575" localSheetId="47">#REF!</definedName>
    <definedName name="XFE1048575" localSheetId="48">#REF!</definedName>
    <definedName name="XFE1048575" localSheetId="49">#REF!</definedName>
    <definedName name="XFE1048575" localSheetId="50">#REF!</definedName>
    <definedName name="XFE1048575" localSheetId="51">#REF!</definedName>
    <definedName name="XFE1048575" localSheetId="52">#REF!</definedName>
    <definedName name="XFE1048575" localSheetId="53">#REF!</definedName>
    <definedName name="XFE1048575" localSheetId="32">#REF!</definedName>
    <definedName name="XFE1048575" localSheetId="7">#REF!</definedName>
    <definedName name="XFE1048575" localSheetId="6">#REF!</definedName>
    <definedName name="XFE1048575" localSheetId="5">#REF!</definedName>
    <definedName name="XFE1048575" localSheetId="3">#REF!</definedName>
    <definedName name="XFE1048575" localSheetId="11">#REF!</definedName>
    <definedName name="XFE1048575" localSheetId="10">#REF!</definedName>
    <definedName name="XFE1048575" localSheetId="35">#REF!</definedName>
    <definedName name="XFE1048575" localSheetId="34">#REF!</definedName>
    <definedName name="XFE1048575" localSheetId="36">#REF!</definedName>
    <definedName name="XFE1048575" localSheetId="37">#REF!</definedName>
    <definedName name="XFE1048575" localSheetId="39">#REF!</definedName>
    <definedName name="XFE1048575" localSheetId="40">#REF!</definedName>
    <definedName name="XFE1048575" localSheetId="38">#REF!</definedName>
    <definedName name="XFE1048575" localSheetId="9">#REF!</definedName>
    <definedName name="XFE1048575" localSheetId="41">#REF!</definedName>
    <definedName name="XFE1048575">#REF!</definedName>
    <definedName name="XFe1048576" localSheetId="4">#REF!</definedName>
    <definedName name="XFe1048576" localSheetId="8">#REF!</definedName>
    <definedName name="XFe1048576" localSheetId="43">#REF!</definedName>
    <definedName name="XFe1048576" localSheetId="45">#REF!</definedName>
    <definedName name="XFe1048576" localSheetId="44">#REF!</definedName>
    <definedName name="XFe1048576" localSheetId="42">#REF!</definedName>
    <definedName name="XFe1048576" localSheetId="12">#REF!</definedName>
    <definedName name="XFe1048576" localSheetId="2">#REF!</definedName>
    <definedName name="XFe1048576" localSheetId="46">#REF!</definedName>
    <definedName name="XFe1048576" localSheetId="47">#REF!</definedName>
    <definedName name="XFe1048576" localSheetId="48">#REF!</definedName>
    <definedName name="XFe1048576" localSheetId="49">#REF!</definedName>
    <definedName name="XFe1048576" localSheetId="50">#REF!</definedName>
    <definedName name="XFe1048576" localSheetId="51">#REF!</definedName>
    <definedName name="XFe1048576" localSheetId="52">#REF!</definedName>
    <definedName name="XFe1048576" localSheetId="53">#REF!</definedName>
    <definedName name="XFe1048576" localSheetId="32">#REF!</definedName>
    <definedName name="XFe1048576" localSheetId="7">#REF!</definedName>
    <definedName name="XFe1048576" localSheetId="6">#REF!</definedName>
    <definedName name="XFe1048576" localSheetId="5">#REF!</definedName>
    <definedName name="XFe1048576" localSheetId="3">#REF!</definedName>
    <definedName name="XFe1048576" localSheetId="11">#REF!</definedName>
    <definedName name="XFe1048576" localSheetId="10">#REF!</definedName>
    <definedName name="XFe1048576" localSheetId="35">#REF!</definedName>
    <definedName name="XFe1048576" localSheetId="34">#REF!</definedName>
    <definedName name="XFe1048576" localSheetId="36">#REF!</definedName>
    <definedName name="XFe1048576" localSheetId="37">#REF!</definedName>
    <definedName name="XFe1048576" localSheetId="39">#REF!</definedName>
    <definedName name="XFe1048576" localSheetId="40">#REF!</definedName>
    <definedName name="XFe1048576" localSheetId="38">#REF!</definedName>
    <definedName name="XFe1048576" localSheetId="9">#REF!</definedName>
    <definedName name="XFe1048576" localSheetId="41">#REF!</definedName>
    <definedName name="XFe1048576">#REF!</definedName>
  </definedNames>
  <calcPr calcId="162913"/>
  <pivotCaches>
    <pivotCache cacheId="3" r:id="rId63"/>
    <pivotCache cacheId="9" r:id="rId64"/>
    <pivotCache cacheId="18" r:id="rId65"/>
    <pivotCache cacheId="23" r:id="rId66"/>
    <pivotCache cacheId="26" r:id="rId67"/>
    <pivotCache cacheId="29" r:id="rId68"/>
  </pivotCaches>
  <extLst>
    <ext xmlns:x14="http://schemas.microsoft.com/office/spreadsheetml/2009/9/main" uri="{BBE1A952-AA13-448e-AADC-164F8A28A991}">
      <x14:slicerCaches>
        <x14:slicerCache r:id="rId69"/>
        <x14:slicerCache r:id="rId70"/>
        <x14:slicerCache r:id="rId71"/>
        <x14:slicerCache r:id="rId72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866" i="155" l="1"/>
  <c r="F867" i="155"/>
  <c r="F868" i="155"/>
  <c r="F869" i="155"/>
  <c r="F870" i="155"/>
  <c r="F871" i="155"/>
  <c r="F872" i="155"/>
  <c r="F873" i="155"/>
  <c r="F874" i="155"/>
  <c r="F875" i="155"/>
  <c r="F876" i="155"/>
  <c r="F877" i="155"/>
  <c r="F878" i="155"/>
  <c r="F879" i="155"/>
  <c r="F880" i="155"/>
  <c r="F881" i="155"/>
  <c r="F882" i="155"/>
  <c r="F883" i="155"/>
  <c r="F884" i="155"/>
  <c r="F885" i="155"/>
  <c r="F886" i="155"/>
  <c r="F887" i="155"/>
  <c r="F888" i="155"/>
  <c r="F889" i="155"/>
  <c r="F890" i="155"/>
  <c r="F891" i="155"/>
  <c r="F892" i="155"/>
  <c r="J866" i="154"/>
  <c r="J867" i="154"/>
  <c r="J868" i="154"/>
  <c r="J869" i="154"/>
  <c r="J870" i="154"/>
  <c r="J871" i="154"/>
  <c r="J872" i="154"/>
  <c r="J873" i="154"/>
  <c r="J874" i="154"/>
  <c r="J875" i="154"/>
  <c r="J876" i="154"/>
  <c r="J877" i="154"/>
  <c r="J878" i="154"/>
  <c r="J879" i="154"/>
  <c r="J880" i="154"/>
  <c r="J881" i="154"/>
  <c r="J882" i="154"/>
  <c r="J883" i="154"/>
  <c r="J884" i="154"/>
  <c r="J885" i="154"/>
  <c r="J886" i="154"/>
  <c r="J887" i="154"/>
  <c r="J888" i="154"/>
  <c r="J889" i="154"/>
  <c r="J890" i="154"/>
  <c r="J891" i="154"/>
  <c r="J892" i="154"/>
  <c r="Q31" i="114" l="1"/>
  <c r="P31" i="114"/>
  <c r="Q30" i="114"/>
  <c r="P30" i="114"/>
  <c r="Q29" i="114"/>
  <c r="P29" i="114"/>
  <c r="Q28" i="114"/>
  <c r="P28" i="114"/>
  <c r="Q27" i="114"/>
  <c r="P27" i="114"/>
  <c r="Q26" i="114"/>
  <c r="P26" i="114"/>
  <c r="Q25" i="114"/>
  <c r="P25" i="114"/>
  <c r="Q24" i="114"/>
  <c r="P24" i="114"/>
  <c r="Q23" i="114"/>
  <c r="P23" i="114"/>
  <c r="Q22" i="114"/>
  <c r="P22" i="114"/>
  <c r="Q21" i="114"/>
  <c r="P21" i="114"/>
  <c r="Q20" i="114"/>
  <c r="P20" i="114"/>
  <c r="Q19" i="114"/>
  <c r="P19" i="114"/>
  <c r="Q18" i="114"/>
  <c r="P18" i="114"/>
  <c r="Q17" i="114"/>
  <c r="P17" i="114"/>
  <c r="Q16" i="114"/>
  <c r="P16" i="114"/>
  <c r="Q15" i="114"/>
  <c r="P15" i="114"/>
  <c r="Q14" i="114"/>
  <c r="P14" i="114"/>
  <c r="Q13" i="114"/>
  <c r="P13" i="114"/>
  <c r="Q12" i="114"/>
  <c r="P12" i="114"/>
  <c r="Q11" i="114"/>
  <c r="P11" i="114"/>
  <c r="Q10" i="114"/>
  <c r="P10" i="114"/>
  <c r="Q9" i="114"/>
  <c r="P9" i="114"/>
  <c r="Q8" i="114"/>
  <c r="P8" i="114"/>
  <c r="Q7" i="114"/>
  <c r="P7" i="114"/>
  <c r="Q6" i="114"/>
  <c r="P6" i="114"/>
  <c r="Q5" i="114"/>
  <c r="P5" i="114"/>
  <c r="Q66" i="114"/>
  <c r="P66" i="114"/>
  <c r="Q65" i="114"/>
  <c r="P65" i="114"/>
  <c r="Q63" i="114"/>
  <c r="P63" i="114"/>
  <c r="Q62" i="114"/>
  <c r="P62" i="114"/>
  <c r="Q60" i="114"/>
  <c r="P60" i="114"/>
  <c r="Q59" i="114"/>
  <c r="P59" i="114"/>
  <c r="Q58" i="114"/>
  <c r="P58" i="114"/>
  <c r="Q56" i="114"/>
  <c r="P56" i="114"/>
  <c r="Q55" i="114"/>
  <c r="P55" i="114"/>
  <c r="Q54" i="114"/>
  <c r="P54" i="114"/>
  <c r="Q53" i="114"/>
  <c r="P53" i="114"/>
  <c r="Q52" i="114"/>
  <c r="P52" i="114"/>
  <c r="Q51" i="114"/>
  <c r="P51" i="114"/>
  <c r="Q50" i="114"/>
  <c r="P50" i="114"/>
  <c r="Q49" i="114"/>
  <c r="P49" i="114"/>
  <c r="Q48" i="114"/>
  <c r="P48" i="114"/>
  <c r="Q47" i="114"/>
  <c r="P47" i="114"/>
  <c r="Q46" i="114"/>
  <c r="P46" i="114"/>
  <c r="Q45" i="114"/>
  <c r="P45" i="114"/>
  <c r="Q44" i="114"/>
  <c r="P44" i="114"/>
  <c r="Q42" i="114"/>
  <c r="P42" i="114"/>
  <c r="Q41" i="114"/>
  <c r="P41" i="114"/>
  <c r="Q40" i="114"/>
  <c r="P40" i="114"/>
  <c r="DR31" i="126" l="1"/>
  <c r="DS31" i="126"/>
  <c r="DT31" i="126"/>
  <c r="DU31" i="126"/>
  <c r="DV31" i="126"/>
  <c r="DQ31" i="126"/>
  <c r="DQ4" i="126"/>
  <c r="DR4" i="126"/>
  <c r="DS4" i="126"/>
  <c r="DT4" i="126"/>
  <c r="DU4" i="126"/>
  <c r="DV4" i="126"/>
  <c r="DQ5" i="126"/>
  <c r="DR5" i="126"/>
  <c r="DS5" i="126"/>
  <c r="DT5" i="126"/>
  <c r="DU5" i="126"/>
  <c r="DV5" i="126"/>
  <c r="DQ6" i="126"/>
  <c r="DR6" i="126"/>
  <c r="DS6" i="126"/>
  <c r="DT6" i="126"/>
  <c r="DU6" i="126"/>
  <c r="DV6" i="126"/>
  <c r="DQ7" i="126"/>
  <c r="DR7" i="126"/>
  <c r="DS7" i="126"/>
  <c r="DT7" i="126"/>
  <c r="DU7" i="126"/>
  <c r="DV7" i="126"/>
  <c r="DQ8" i="126"/>
  <c r="DR8" i="126"/>
  <c r="DS8" i="126"/>
  <c r="DT8" i="126"/>
  <c r="DU8" i="126"/>
  <c r="DV8" i="126"/>
  <c r="DQ9" i="126"/>
  <c r="DR9" i="126"/>
  <c r="DS9" i="126"/>
  <c r="DT9" i="126"/>
  <c r="DU9" i="126"/>
  <c r="DV9" i="126"/>
  <c r="DQ10" i="126"/>
  <c r="DR10" i="126"/>
  <c r="DS10" i="126"/>
  <c r="DT10" i="126"/>
  <c r="DU10" i="126"/>
  <c r="DV10" i="126"/>
  <c r="DQ11" i="126"/>
  <c r="DR11" i="126"/>
  <c r="DS11" i="126"/>
  <c r="DT11" i="126"/>
  <c r="DU11" i="126"/>
  <c r="DV11" i="126"/>
  <c r="DQ12" i="126"/>
  <c r="DR12" i="126"/>
  <c r="DS12" i="126"/>
  <c r="DT12" i="126"/>
  <c r="DU12" i="126"/>
  <c r="DV12" i="126"/>
  <c r="DQ13" i="126"/>
  <c r="DR13" i="126"/>
  <c r="DS13" i="126"/>
  <c r="DT13" i="126"/>
  <c r="DU13" i="126"/>
  <c r="DV13" i="126"/>
  <c r="DQ14" i="126"/>
  <c r="DR14" i="126"/>
  <c r="DS14" i="126"/>
  <c r="DT14" i="126"/>
  <c r="DU14" i="126"/>
  <c r="DV14" i="126"/>
  <c r="DQ15" i="126"/>
  <c r="DR15" i="126"/>
  <c r="DS15" i="126"/>
  <c r="DT15" i="126"/>
  <c r="DU15" i="126"/>
  <c r="DV15" i="126"/>
  <c r="DQ16" i="126"/>
  <c r="DR16" i="126"/>
  <c r="DS16" i="126"/>
  <c r="DT16" i="126"/>
  <c r="DU16" i="126"/>
  <c r="DV16" i="126"/>
  <c r="DQ17" i="126"/>
  <c r="DR17" i="126"/>
  <c r="DS17" i="126"/>
  <c r="DT17" i="126"/>
  <c r="DU17" i="126"/>
  <c r="DV17" i="126"/>
  <c r="DQ18" i="126"/>
  <c r="DR18" i="126"/>
  <c r="DS18" i="126"/>
  <c r="DT18" i="126"/>
  <c r="DU18" i="126"/>
  <c r="DV18" i="126"/>
  <c r="DQ19" i="126"/>
  <c r="DR19" i="126"/>
  <c r="DS19" i="126"/>
  <c r="DT19" i="126"/>
  <c r="DU19" i="126"/>
  <c r="DV19" i="126"/>
  <c r="DQ20" i="126"/>
  <c r="DR20" i="126"/>
  <c r="DS20" i="126"/>
  <c r="DT20" i="126"/>
  <c r="DU20" i="126"/>
  <c r="DV20" i="126"/>
  <c r="DQ21" i="126"/>
  <c r="DR21" i="126"/>
  <c r="DS21" i="126"/>
  <c r="DT21" i="126"/>
  <c r="DU21" i="126"/>
  <c r="DV21" i="126"/>
  <c r="DQ22" i="126"/>
  <c r="DR22" i="126"/>
  <c r="DS22" i="126"/>
  <c r="DT22" i="126"/>
  <c r="DU22" i="126"/>
  <c r="DV22" i="126"/>
  <c r="DQ23" i="126"/>
  <c r="DR23" i="126"/>
  <c r="DS23" i="126"/>
  <c r="DT23" i="126"/>
  <c r="DU23" i="126"/>
  <c r="DV23" i="126"/>
  <c r="DQ24" i="126"/>
  <c r="DR24" i="126"/>
  <c r="DS24" i="126"/>
  <c r="DT24" i="126"/>
  <c r="DU24" i="126"/>
  <c r="DV24" i="126"/>
  <c r="DQ25" i="126"/>
  <c r="DR25" i="126"/>
  <c r="DS25" i="126"/>
  <c r="DT25" i="126"/>
  <c r="DU25" i="126"/>
  <c r="DV25" i="126"/>
  <c r="DQ26" i="126"/>
  <c r="DR26" i="126"/>
  <c r="DS26" i="126"/>
  <c r="DT26" i="126"/>
  <c r="DU26" i="126"/>
  <c r="DV26" i="126"/>
  <c r="DQ27" i="126"/>
  <c r="DR27" i="126"/>
  <c r="DS27" i="126"/>
  <c r="DT27" i="126"/>
  <c r="DU27" i="126"/>
  <c r="DV27" i="126"/>
  <c r="DQ28" i="126"/>
  <c r="DR28" i="126"/>
  <c r="DS28" i="126"/>
  <c r="DT28" i="126"/>
  <c r="DU28" i="126"/>
  <c r="DV28" i="126"/>
  <c r="DQ29" i="126"/>
  <c r="DR29" i="126"/>
  <c r="DS29" i="126"/>
  <c r="DT29" i="126"/>
  <c r="DU29" i="126"/>
  <c r="DV29" i="126"/>
  <c r="DR3" i="126"/>
  <c r="DS3" i="126"/>
  <c r="DT3" i="126"/>
  <c r="DU3" i="126"/>
  <c r="DV3" i="126"/>
  <c r="DQ3" i="126"/>
  <c r="T9" i="62"/>
  <c r="T8" i="62"/>
  <c r="T7" i="62"/>
  <c r="T6" i="62"/>
  <c r="T5" i="62"/>
  <c r="T4" i="62"/>
  <c r="T3" i="62"/>
  <c r="T2" i="62"/>
  <c r="C33" i="158" l="1"/>
  <c r="F839" i="155"/>
  <c r="F840" i="155"/>
  <c r="F841" i="155"/>
  <c r="F842" i="155"/>
  <c r="F843" i="155"/>
  <c r="F844" i="155"/>
  <c r="F845" i="155"/>
  <c r="F846" i="155"/>
  <c r="F847" i="155"/>
  <c r="F848" i="155"/>
  <c r="F849" i="155"/>
  <c r="F850" i="155"/>
  <c r="F851" i="155"/>
  <c r="F852" i="155"/>
  <c r="F853" i="155"/>
  <c r="F854" i="155"/>
  <c r="F855" i="155"/>
  <c r="F856" i="155"/>
  <c r="F857" i="155"/>
  <c r="F858" i="155"/>
  <c r="F859" i="155"/>
  <c r="F860" i="155"/>
  <c r="F861" i="155"/>
  <c r="F862" i="155"/>
  <c r="F863" i="155"/>
  <c r="F864" i="155"/>
  <c r="F865" i="155"/>
  <c r="B160" i="62" l="1"/>
  <c r="B163" i="62"/>
  <c r="I44" i="64"/>
  <c r="I37" i="64"/>
  <c r="I31" i="64"/>
  <c r="I25" i="64"/>
  <c r="I18" i="64"/>
  <c r="I12" i="64"/>
  <c r="DD31" i="126"/>
  <c r="DE31" i="126"/>
  <c r="DF31" i="126"/>
  <c r="DG31" i="126"/>
  <c r="DH31" i="126"/>
  <c r="DC31" i="126"/>
  <c r="DC4" i="126"/>
  <c r="DD4" i="126"/>
  <c r="DE4" i="126"/>
  <c r="DF4" i="126"/>
  <c r="DG4" i="126"/>
  <c r="DH4" i="126"/>
  <c r="DC5" i="126"/>
  <c r="DD5" i="126"/>
  <c r="DE5" i="126"/>
  <c r="DF5" i="126"/>
  <c r="DG5" i="126"/>
  <c r="DH5" i="126"/>
  <c r="DC6" i="126"/>
  <c r="DD6" i="126"/>
  <c r="DE6" i="126"/>
  <c r="DF6" i="126"/>
  <c r="DG6" i="126"/>
  <c r="DH6" i="126"/>
  <c r="DC7" i="126"/>
  <c r="DD7" i="126"/>
  <c r="DE7" i="126"/>
  <c r="DF7" i="126"/>
  <c r="DG7" i="126"/>
  <c r="DH7" i="126"/>
  <c r="DC8" i="126"/>
  <c r="DD8" i="126"/>
  <c r="DE8" i="126"/>
  <c r="DF8" i="126"/>
  <c r="DG8" i="126"/>
  <c r="DH8" i="126"/>
  <c r="DC9" i="126"/>
  <c r="DD9" i="126"/>
  <c r="DE9" i="126"/>
  <c r="DF9" i="126"/>
  <c r="DG9" i="126"/>
  <c r="DH9" i="126"/>
  <c r="DC10" i="126"/>
  <c r="DD10" i="126"/>
  <c r="DE10" i="126"/>
  <c r="DF10" i="126"/>
  <c r="DG10" i="126"/>
  <c r="DH10" i="126"/>
  <c r="DC11" i="126"/>
  <c r="DD11" i="126"/>
  <c r="DE11" i="126"/>
  <c r="DF11" i="126"/>
  <c r="DG11" i="126"/>
  <c r="DH11" i="126"/>
  <c r="DC12" i="126"/>
  <c r="DD12" i="126"/>
  <c r="DE12" i="126"/>
  <c r="DF12" i="126"/>
  <c r="DG12" i="126"/>
  <c r="DH12" i="126"/>
  <c r="DC13" i="126"/>
  <c r="DD13" i="126"/>
  <c r="DE13" i="126"/>
  <c r="DF13" i="126"/>
  <c r="DG13" i="126"/>
  <c r="DH13" i="126"/>
  <c r="DC14" i="126"/>
  <c r="DD14" i="126"/>
  <c r="DE14" i="126"/>
  <c r="DF14" i="126"/>
  <c r="DG14" i="126"/>
  <c r="DH14" i="126"/>
  <c r="DC15" i="126"/>
  <c r="DD15" i="126"/>
  <c r="DE15" i="126"/>
  <c r="DF15" i="126"/>
  <c r="DG15" i="126"/>
  <c r="DH15" i="126"/>
  <c r="DC16" i="126"/>
  <c r="DD16" i="126"/>
  <c r="DE16" i="126"/>
  <c r="DF16" i="126"/>
  <c r="DG16" i="126"/>
  <c r="DH16" i="126"/>
  <c r="DC17" i="126"/>
  <c r="DD17" i="126"/>
  <c r="DE17" i="126"/>
  <c r="DF17" i="126"/>
  <c r="DG17" i="126"/>
  <c r="DH17" i="126"/>
  <c r="DC18" i="126"/>
  <c r="DD18" i="126"/>
  <c r="DE18" i="126"/>
  <c r="DF18" i="126"/>
  <c r="DG18" i="126"/>
  <c r="DH18" i="126"/>
  <c r="DC19" i="126"/>
  <c r="DD19" i="126"/>
  <c r="DE19" i="126"/>
  <c r="DF19" i="126"/>
  <c r="DG19" i="126"/>
  <c r="DH19" i="126"/>
  <c r="DC20" i="126"/>
  <c r="DD20" i="126"/>
  <c r="DE20" i="126"/>
  <c r="DF20" i="126"/>
  <c r="DG20" i="126"/>
  <c r="DH20" i="126"/>
  <c r="DC21" i="126"/>
  <c r="DD21" i="126"/>
  <c r="DE21" i="126"/>
  <c r="DF21" i="126"/>
  <c r="DG21" i="126"/>
  <c r="DH21" i="126"/>
  <c r="DC22" i="126"/>
  <c r="DD22" i="126"/>
  <c r="DE22" i="126"/>
  <c r="DF22" i="126"/>
  <c r="DG22" i="126"/>
  <c r="DH22" i="126"/>
  <c r="DC23" i="126"/>
  <c r="DD23" i="126"/>
  <c r="DE23" i="126"/>
  <c r="DF23" i="126"/>
  <c r="DG23" i="126"/>
  <c r="DH23" i="126"/>
  <c r="DC24" i="126"/>
  <c r="DD24" i="126"/>
  <c r="DE24" i="126"/>
  <c r="DF24" i="126"/>
  <c r="DG24" i="126"/>
  <c r="DH24" i="126"/>
  <c r="DC25" i="126"/>
  <c r="DD25" i="126"/>
  <c r="DE25" i="126"/>
  <c r="DF25" i="126"/>
  <c r="DG25" i="126"/>
  <c r="DH25" i="126"/>
  <c r="DC26" i="126"/>
  <c r="DD26" i="126"/>
  <c r="DE26" i="126"/>
  <c r="DF26" i="126"/>
  <c r="DG26" i="126"/>
  <c r="DH26" i="126"/>
  <c r="DC27" i="126"/>
  <c r="DD27" i="126"/>
  <c r="DE27" i="126"/>
  <c r="DF27" i="126"/>
  <c r="DG27" i="126"/>
  <c r="DH27" i="126"/>
  <c r="DC28" i="126"/>
  <c r="DD28" i="126"/>
  <c r="DE28" i="126"/>
  <c r="DF28" i="126"/>
  <c r="DG28" i="126"/>
  <c r="DH28" i="126"/>
  <c r="DC29" i="126"/>
  <c r="DD29" i="126"/>
  <c r="DE29" i="126"/>
  <c r="DF29" i="126"/>
  <c r="DG29" i="126"/>
  <c r="DH29" i="126"/>
  <c r="DD3" i="126"/>
  <c r="DE3" i="126"/>
  <c r="DF3" i="126"/>
  <c r="DG3" i="126"/>
  <c r="DH3" i="126"/>
  <c r="DC3" i="126"/>
  <c r="AM206" i="73"/>
  <c r="AM178" i="73"/>
  <c r="AM179" i="73"/>
  <c r="AM180" i="73"/>
  <c r="AM181" i="73"/>
  <c r="AM182" i="73"/>
  <c r="AM183" i="73"/>
  <c r="AM184" i="73"/>
  <c r="AM185" i="73"/>
  <c r="AM186" i="73"/>
  <c r="AM187" i="73"/>
  <c r="AM188" i="73"/>
  <c r="AM189" i="73"/>
  <c r="AM190" i="73"/>
  <c r="AM191" i="73"/>
  <c r="AM192" i="73"/>
  <c r="AM193" i="73"/>
  <c r="AM194" i="73"/>
  <c r="AM195" i="73"/>
  <c r="AM196" i="73"/>
  <c r="AM197" i="73"/>
  <c r="AM198" i="73"/>
  <c r="AM199" i="73"/>
  <c r="AM200" i="73"/>
  <c r="AM201" i="73"/>
  <c r="AM202" i="73"/>
  <c r="AM203" i="73"/>
  <c r="AM177" i="73"/>
  <c r="AM172" i="73"/>
  <c r="AM144" i="73"/>
  <c r="AM145" i="73"/>
  <c r="AM146" i="73"/>
  <c r="AM147" i="73"/>
  <c r="AM148" i="73"/>
  <c r="AM149" i="73"/>
  <c r="AM150" i="73"/>
  <c r="AM151" i="73"/>
  <c r="AM152" i="73"/>
  <c r="AM153" i="73"/>
  <c r="AM154" i="73"/>
  <c r="AM155" i="73"/>
  <c r="AM156" i="73"/>
  <c r="AM157" i="73"/>
  <c r="AM158" i="73"/>
  <c r="AM159" i="73"/>
  <c r="AM160" i="73"/>
  <c r="AM161" i="73"/>
  <c r="AM162" i="73"/>
  <c r="AM163" i="73"/>
  <c r="AM164" i="73"/>
  <c r="AM165" i="73"/>
  <c r="AM166" i="73"/>
  <c r="AM167" i="73"/>
  <c r="AM168" i="73"/>
  <c r="AM169" i="73"/>
  <c r="AM143" i="73"/>
  <c r="AM136" i="73"/>
  <c r="AM108" i="73"/>
  <c r="AM109" i="73"/>
  <c r="AM110" i="73"/>
  <c r="AM111" i="73"/>
  <c r="AM112" i="73"/>
  <c r="AM113" i="73"/>
  <c r="AM114" i="73"/>
  <c r="AM115" i="73"/>
  <c r="AM116" i="73"/>
  <c r="AM117" i="73"/>
  <c r="AM118" i="73"/>
  <c r="AM119" i="73"/>
  <c r="AM120" i="73"/>
  <c r="AM121" i="73"/>
  <c r="AM122" i="73"/>
  <c r="AM123" i="73"/>
  <c r="AM124" i="73"/>
  <c r="AM125" i="73"/>
  <c r="AM126" i="73"/>
  <c r="AM127" i="73"/>
  <c r="AM128" i="73"/>
  <c r="AM129" i="73"/>
  <c r="AM130" i="73"/>
  <c r="AM131" i="73"/>
  <c r="AM132" i="73"/>
  <c r="AM133" i="73"/>
  <c r="AM107" i="73"/>
  <c r="AM102" i="73"/>
  <c r="AM74" i="73"/>
  <c r="AM75" i="73"/>
  <c r="AM76" i="73"/>
  <c r="AM77" i="73"/>
  <c r="AM78" i="73"/>
  <c r="AM79" i="73"/>
  <c r="AM80" i="73"/>
  <c r="AM81" i="73"/>
  <c r="AM82" i="73"/>
  <c r="AM83" i="73"/>
  <c r="AM84" i="73"/>
  <c r="AM85" i="73"/>
  <c r="AM86" i="73"/>
  <c r="AM87" i="73"/>
  <c r="AM88" i="73"/>
  <c r="AM89" i="73"/>
  <c r="AM90" i="73"/>
  <c r="AM91" i="73"/>
  <c r="AM92" i="73"/>
  <c r="AM93" i="73"/>
  <c r="AM94" i="73"/>
  <c r="AM95" i="73"/>
  <c r="AM96" i="73"/>
  <c r="AM97" i="73"/>
  <c r="AM98" i="73"/>
  <c r="AM99" i="73"/>
  <c r="AM73" i="73"/>
  <c r="AM68" i="73"/>
  <c r="AM40" i="73"/>
  <c r="AM41" i="73"/>
  <c r="AM42" i="73"/>
  <c r="AM43" i="73"/>
  <c r="AM44" i="73"/>
  <c r="AM45" i="73"/>
  <c r="AM46" i="73"/>
  <c r="AM47" i="73"/>
  <c r="AM48" i="73"/>
  <c r="AM49" i="73"/>
  <c r="AM50" i="73"/>
  <c r="AM51" i="73"/>
  <c r="AM52" i="73"/>
  <c r="AM53" i="73"/>
  <c r="AM54" i="73"/>
  <c r="AM55" i="73"/>
  <c r="AM56" i="73"/>
  <c r="AM57" i="73"/>
  <c r="AM58" i="73"/>
  <c r="AM59" i="73"/>
  <c r="AM60" i="73"/>
  <c r="AM61" i="73"/>
  <c r="AM62" i="73"/>
  <c r="AM63" i="73"/>
  <c r="AM64" i="73"/>
  <c r="AM65" i="73"/>
  <c r="AM39" i="73"/>
  <c r="AM34" i="73"/>
  <c r="AM6" i="73"/>
  <c r="AM7" i="73"/>
  <c r="AM8" i="73"/>
  <c r="AM9" i="73"/>
  <c r="AM10" i="73"/>
  <c r="AM11" i="73"/>
  <c r="AM12" i="73"/>
  <c r="AM13" i="73"/>
  <c r="AM14" i="73"/>
  <c r="AM15" i="73"/>
  <c r="AM16" i="73"/>
  <c r="AM17" i="73"/>
  <c r="AM18" i="73"/>
  <c r="AM19" i="73"/>
  <c r="AM20" i="73"/>
  <c r="AM21" i="73"/>
  <c r="AM22" i="73"/>
  <c r="AM23" i="73"/>
  <c r="AM24" i="73"/>
  <c r="AM25" i="73"/>
  <c r="AM26" i="73"/>
  <c r="AM27" i="73"/>
  <c r="AM28" i="73"/>
  <c r="AM29" i="73"/>
  <c r="AM30" i="73"/>
  <c r="AM31" i="73"/>
  <c r="AM5" i="73"/>
  <c r="G32" i="122"/>
  <c r="C31" i="158" l="1"/>
  <c r="B31" i="158"/>
  <c r="D813" i="155"/>
  <c r="E813" i="155"/>
  <c r="D814" i="155"/>
  <c r="F814" i="155" s="1"/>
  <c r="E814" i="155"/>
  <c r="D815" i="155"/>
  <c r="F815" i="155" s="1"/>
  <c r="E815" i="155"/>
  <c r="D816" i="155"/>
  <c r="E816" i="155"/>
  <c r="D817" i="155"/>
  <c r="F817" i="155" s="1"/>
  <c r="E817" i="155"/>
  <c r="D818" i="155"/>
  <c r="F818" i="155" s="1"/>
  <c r="E818" i="155"/>
  <c r="D819" i="155"/>
  <c r="F819" i="155" s="1"/>
  <c r="E819" i="155"/>
  <c r="D820" i="155"/>
  <c r="E820" i="155"/>
  <c r="D821" i="155"/>
  <c r="E821" i="155"/>
  <c r="D822" i="155"/>
  <c r="F822" i="155" s="1"/>
  <c r="E822" i="155"/>
  <c r="D823" i="155"/>
  <c r="F823" i="155" s="1"/>
  <c r="E823" i="155"/>
  <c r="D824" i="155"/>
  <c r="E824" i="155"/>
  <c r="D825" i="155"/>
  <c r="F825" i="155" s="1"/>
  <c r="E825" i="155"/>
  <c r="D826" i="155"/>
  <c r="F826" i="155" s="1"/>
  <c r="E826" i="155"/>
  <c r="D827" i="155"/>
  <c r="E827" i="155"/>
  <c r="D828" i="155"/>
  <c r="E828" i="155"/>
  <c r="D829" i="155"/>
  <c r="F829" i="155" s="1"/>
  <c r="E829" i="155"/>
  <c r="D830" i="155"/>
  <c r="F830" i="155" s="1"/>
  <c r="E830" i="155"/>
  <c r="D831" i="155"/>
  <c r="F831" i="155" s="1"/>
  <c r="E831" i="155"/>
  <c r="D832" i="155"/>
  <c r="E832" i="155"/>
  <c r="D833" i="155"/>
  <c r="F833" i="155" s="1"/>
  <c r="E833" i="155"/>
  <c r="D834" i="155"/>
  <c r="F834" i="155" s="1"/>
  <c r="E834" i="155"/>
  <c r="D835" i="155"/>
  <c r="F835" i="155" s="1"/>
  <c r="E835" i="155"/>
  <c r="D836" i="155"/>
  <c r="E836" i="155"/>
  <c r="D837" i="155"/>
  <c r="F837" i="155" s="1"/>
  <c r="E837" i="155"/>
  <c r="D838" i="155"/>
  <c r="F838" i="155" s="1"/>
  <c r="E838" i="155"/>
  <c r="E812" i="155"/>
  <c r="D812" i="155"/>
  <c r="F812" i="155" s="1"/>
  <c r="C813" i="155"/>
  <c r="C814" i="155"/>
  <c r="C815" i="155"/>
  <c r="C816" i="155"/>
  <c r="C817" i="155"/>
  <c r="C818" i="155"/>
  <c r="C819" i="155"/>
  <c r="C820" i="155"/>
  <c r="C821" i="155"/>
  <c r="C822" i="155"/>
  <c r="C823" i="155"/>
  <c r="C824" i="155"/>
  <c r="C825" i="155"/>
  <c r="C826" i="155"/>
  <c r="C827" i="155"/>
  <c r="C828" i="155"/>
  <c r="C829" i="155"/>
  <c r="C830" i="155"/>
  <c r="C831" i="155"/>
  <c r="C832" i="155"/>
  <c r="C833" i="155"/>
  <c r="C834" i="155"/>
  <c r="C835" i="155"/>
  <c r="C836" i="155"/>
  <c r="C837" i="155"/>
  <c r="C838" i="155"/>
  <c r="C812" i="155"/>
  <c r="F785" i="155"/>
  <c r="F786" i="155"/>
  <c r="F787" i="155"/>
  <c r="F788" i="155"/>
  <c r="F789" i="155"/>
  <c r="F790" i="155"/>
  <c r="F791" i="155"/>
  <c r="F792" i="155"/>
  <c r="F793" i="155"/>
  <c r="F794" i="155"/>
  <c r="F795" i="155"/>
  <c r="F796" i="155"/>
  <c r="F797" i="155"/>
  <c r="F798" i="155"/>
  <c r="F799" i="155"/>
  <c r="F800" i="155"/>
  <c r="F801" i="155"/>
  <c r="F802" i="155"/>
  <c r="F803" i="155"/>
  <c r="F804" i="155"/>
  <c r="F805" i="155"/>
  <c r="F806" i="155"/>
  <c r="F807" i="155"/>
  <c r="F808" i="155"/>
  <c r="F809" i="155"/>
  <c r="F810" i="155"/>
  <c r="F811" i="155"/>
  <c r="F813" i="155"/>
  <c r="F816" i="155"/>
  <c r="F820" i="155"/>
  <c r="F821" i="155"/>
  <c r="F824" i="155"/>
  <c r="F827" i="155"/>
  <c r="F828" i="155"/>
  <c r="F832" i="155"/>
  <c r="F836" i="155"/>
  <c r="H44" i="64"/>
  <c r="H37" i="64"/>
  <c r="H31" i="64"/>
  <c r="H25" i="64"/>
  <c r="H18" i="64"/>
  <c r="H12" i="64"/>
  <c r="AL206" i="73"/>
  <c r="AL208" i="73" s="1"/>
  <c r="AL178" i="73"/>
  <c r="AL179" i="73"/>
  <c r="AL180" i="73"/>
  <c r="AL181" i="73"/>
  <c r="AL182" i="73"/>
  <c r="AL183" i="73"/>
  <c r="AL184" i="73"/>
  <c r="AL185" i="73"/>
  <c r="H657" i="73" s="1"/>
  <c r="AL186" i="73"/>
  <c r="AL187" i="73"/>
  <c r="AL188" i="73"/>
  <c r="AL189" i="73"/>
  <c r="AL190" i="73"/>
  <c r="AL191" i="73"/>
  <c r="AL192" i="73"/>
  <c r="AL193" i="73"/>
  <c r="H665" i="73" s="1"/>
  <c r="AL194" i="73"/>
  <c r="AL195" i="73"/>
  <c r="AL196" i="73"/>
  <c r="AL197" i="73"/>
  <c r="AL198" i="73"/>
  <c r="AL199" i="73"/>
  <c r="AL200" i="73"/>
  <c r="AL201" i="73"/>
  <c r="H673" i="73" s="1"/>
  <c r="AL202" i="73"/>
  <c r="AL203" i="73"/>
  <c r="AL177" i="73"/>
  <c r="AL172" i="73"/>
  <c r="AL144" i="73"/>
  <c r="AL145" i="73"/>
  <c r="AL146" i="73"/>
  <c r="AL147" i="73"/>
  <c r="H572" i="73" s="1"/>
  <c r="AL148" i="73"/>
  <c r="H573" i="73" s="1"/>
  <c r="AL149" i="73"/>
  <c r="AL150" i="73"/>
  <c r="AL151" i="73"/>
  <c r="AL152" i="73"/>
  <c r="AL153" i="73"/>
  <c r="AL154" i="73"/>
  <c r="AL155" i="73"/>
  <c r="H580" i="73" s="1"/>
  <c r="AL156" i="73"/>
  <c r="AL157" i="73"/>
  <c r="AL158" i="73"/>
  <c r="AL159" i="73"/>
  <c r="AL160" i="73"/>
  <c r="AL161" i="73"/>
  <c r="AL162" i="73"/>
  <c r="AL163" i="73"/>
  <c r="H588" i="73" s="1"/>
  <c r="AL164" i="73"/>
  <c r="AL165" i="73"/>
  <c r="AL166" i="73"/>
  <c r="AL167" i="73"/>
  <c r="AL168" i="73"/>
  <c r="AL169" i="73"/>
  <c r="AL143" i="73"/>
  <c r="AL136" i="73"/>
  <c r="H739" i="73" s="1"/>
  <c r="AL108" i="73"/>
  <c r="AL109" i="73"/>
  <c r="AL110" i="73"/>
  <c r="AL111" i="73"/>
  <c r="AL112" i="73"/>
  <c r="AL113" i="73"/>
  <c r="AL114" i="73"/>
  <c r="AL115" i="73"/>
  <c r="AL116" i="73"/>
  <c r="H496" i="73" s="1"/>
  <c r="AL117" i="73"/>
  <c r="AL118" i="73"/>
  <c r="AL119" i="73"/>
  <c r="AL120" i="73"/>
  <c r="AL121" i="73"/>
  <c r="AL122" i="73"/>
  <c r="AL123" i="73"/>
  <c r="H503" i="73" s="1"/>
  <c r="AL124" i="73"/>
  <c r="AL125" i="73"/>
  <c r="AL126" i="73"/>
  <c r="AL127" i="73"/>
  <c r="AL128" i="73"/>
  <c r="AL129" i="73"/>
  <c r="AL130" i="73"/>
  <c r="AL131" i="73"/>
  <c r="H511" i="73" s="1"/>
  <c r="AL132" i="73"/>
  <c r="H512" i="73" s="1"/>
  <c r="AL133" i="73"/>
  <c r="AL107" i="73"/>
  <c r="AL102" i="73"/>
  <c r="AL74" i="73"/>
  <c r="AL75" i="73"/>
  <c r="AL76" i="73"/>
  <c r="AL77" i="73"/>
  <c r="AL78" i="73"/>
  <c r="AL79" i="73"/>
  <c r="AL80" i="73"/>
  <c r="AL81" i="73"/>
  <c r="AL82" i="73"/>
  <c r="AL83" i="73"/>
  <c r="AL84" i="73"/>
  <c r="AL85" i="73"/>
  <c r="H418" i="73" s="1"/>
  <c r="AL86" i="73"/>
  <c r="H419" i="73" s="1"/>
  <c r="AL87" i="73"/>
  <c r="AL88" i="73"/>
  <c r="AL89" i="73"/>
  <c r="AL90" i="73"/>
  <c r="AL91" i="73"/>
  <c r="AL92" i="73"/>
  <c r="AL93" i="73"/>
  <c r="H426" i="73" s="1"/>
  <c r="AL94" i="73"/>
  <c r="H427" i="73" s="1"/>
  <c r="AL95" i="73"/>
  <c r="AL96" i="73"/>
  <c r="AL97" i="73"/>
  <c r="AL98" i="73"/>
  <c r="AL99" i="73"/>
  <c r="AL73" i="73"/>
  <c r="AL68" i="73"/>
  <c r="H733" i="73" s="1"/>
  <c r="AL40" i="73"/>
  <c r="AL41" i="73"/>
  <c r="AL42" i="73"/>
  <c r="AL43" i="73"/>
  <c r="AL44" i="73"/>
  <c r="AL45" i="73"/>
  <c r="AL46" i="73"/>
  <c r="AL47" i="73"/>
  <c r="H333" i="73" s="1"/>
  <c r="AL48" i="73"/>
  <c r="H334" i="73" s="1"/>
  <c r="AL49" i="73"/>
  <c r="AL50" i="73"/>
  <c r="AL51" i="73"/>
  <c r="AL52" i="73"/>
  <c r="AL53" i="73"/>
  <c r="AL54" i="73"/>
  <c r="AL55" i="73"/>
  <c r="H341" i="73" s="1"/>
  <c r="AL56" i="73"/>
  <c r="H342" i="73" s="1"/>
  <c r="AL57" i="73"/>
  <c r="AL58" i="73"/>
  <c r="AL59" i="73"/>
  <c r="AL60" i="73"/>
  <c r="AL61" i="73"/>
  <c r="AL62" i="73"/>
  <c r="AL63" i="73"/>
  <c r="H349" i="73" s="1"/>
  <c r="AL64" i="73"/>
  <c r="H350" i="73" s="1"/>
  <c r="AL65" i="73"/>
  <c r="AL39" i="73"/>
  <c r="AL34" i="73"/>
  <c r="AL6" i="73"/>
  <c r="AL7" i="73"/>
  <c r="AL8" i="73"/>
  <c r="AL9" i="73"/>
  <c r="H248" i="73" s="1"/>
  <c r="AL10" i="73"/>
  <c r="H249" i="73" s="1"/>
  <c r="AL11" i="73"/>
  <c r="AL12" i="73"/>
  <c r="AL13" i="73"/>
  <c r="AL14" i="73"/>
  <c r="AL15" i="73"/>
  <c r="AL16" i="73"/>
  <c r="AL17" i="73"/>
  <c r="H256" i="73" s="1"/>
  <c r="AL18" i="73"/>
  <c r="H257" i="73" s="1"/>
  <c r="AL19" i="73"/>
  <c r="AL20" i="73"/>
  <c r="AL21" i="73"/>
  <c r="AL22" i="73"/>
  <c r="AL23" i="73"/>
  <c r="AL24" i="73"/>
  <c r="AL25" i="73"/>
  <c r="H264" i="73" s="1"/>
  <c r="AL26" i="73"/>
  <c r="AL27" i="73"/>
  <c r="AL28" i="73"/>
  <c r="AL29" i="73"/>
  <c r="AL30" i="73"/>
  <c r="AL31" i="73"/>
  <c r="AL5" i="73"/>
  <c r="CP31" i="126"/>
  <c r="CQ31" i="126"/>
  <c r="CR31" i="126"/>
  <c r="CS31" i="126"/>
  <c r="CT31" i="126"/>
  <c r="CO31" i="126"/>
  <c r="CO4" i="126"/>
  <c r="CP4" i="126"/>
  <c r="CQ4" i="126"/>
  <c r="CR4" i="126"/>
  <c r="CS4" i="126"/>
  <c r="CT4" i="126"/>
  <c r="CO5" i="126"/>
  <c r="CP5" i="126"/>
  <c r="CQ5" i="126"/>
  <c r="CR5" i="126"/>
  <c r="CS5" i="126"/>
  <c r="CT5" i="126"/>
  <c r="CO6" i="126"/>
  <c r="CP6" i="126"/>
  <c r="CQ6" i="126"/>
  <c r="CR6" i="126"/>
  <c r="CS6" i="126"/>
  <c r="CT6" i="126"/>
  <c r="CO7" i="126"/>
  <c r="CP7" i="126"/>
  <c r="CQ7" i="126"/>
  <c r="CR7" i="126"/>
  <c r="CS7" i="126"/>
  <c r="CT7" i="126"/>
  <c r="CO8" i="126"/>
  <c r="CP8" i="126"/>
  <c r="CQ8" i="126"/>
  <c r="CR8" i="126"/>
  <c r="CS8" i="126"/>
  <c r="CT8" i="126"/>
  <c r="CO9" i="126"/>
  <c r="CP9" i="126"/>
  <c r="CQ9" i="126"/>
  <c r="CR9" i="126"/>
  <c r="CS9" i="126"/>
  <c r="CT9" i="126"/>
  <c r="CO10" i="126"/>
  <c r="CP10" i="126"/>
  <c r="CQ10" i="126"/>
  <c r="CR10" i="126"/>
  <c r="CS10" i="126"/>
  <c r="CT10" i="126"/>
  <c r="CO11" i="126"/>
  <c r="CP11" i="126"/>
  <c r="CQ11" i="126"/>
  <c r="CR11" i="126"/>
  <c r="CS11" i="126"/>
  <c r="CT11" i="126"/>
  <c r="CO12" i="126"/>
  <c r="CP12" i="126"/>
  <c r="CQ12" i="126"/>
  <c r="CR12" i="126"/>
  <c r="CS12" i="126"/>
  <c r="CT12" i="126"/>
  <c r="CO13" i="126"/>
  <c r="CP13" i="126"/>
  <c r="CQ13" i="126"/>
  <c r="CR13" i="126"/>
  <c r="CS13" i="126"/>
  <c r="CT13" i="126"/>
  <c r="CO14" i="126"/>
  <c r="CP14" i="126"/>
  <c r="CQ14" i="126"/>
  <c r="CR14" i="126"/>
  <c r="CS14" i="126"/>
  <c r="CT14" i="126"/>
  <c r="CO15" i="126"/>
  <c r="CP15" i="126"/>
  <c r="CQ15" i="126"/>
  <c r="CR15" i="126"/>
  <c r="CS15" i="126"/>
  <c r="CT15" i="126"/>
  <c r="CO16" i="126"/>
  <c r="CP16" i="126"/>
  <c r="CQ16" i="126"/>
  <c r="CR16" i="126"/>
  <c r="CS16" i="126"/>
  <c r="CT16" i="126"/>
  <c r="CO17" i="126"/>
  <c r="CP17" i="126"/>
  <c r="CQ17" i="126"/>
  <c r="CR17" i="126"/>
  <c r="CS17" i="126"/>
  <c r="CT17" i="126"/>
  <c r="CO18" i="126"/>
  <c r="CP18" i="126"/>
  <c r="CQ18" i="126"/>
  <c r="CR18" i="126"/>
  <c r="CS18" i="126"/>
  <c r="CT18" i="126"/>
  <c r="CO19" i="126"/>
  <c r="CP19" i="126"/>
  <c r="CQ19" i="126"/>
  <c r="CR19" i="126"/>
  <c r="CS19" i="126"/>
  <c r="CT19" i="126"/>
  <c r="CO20" i="126"/>
  <c r="CP20" i="126"/>
  <c r="CQ20" i="126"/>
  <c r="CR20" i="126"/>
  <c r="CS20" i="126"/>
  <c r="CT20" i="126"/>
  <c r="CO21" i="126"/>
  <c r="CP21" i="126"/>
  <c r="CQ21" i="126"/>
  <c r="CR21" i="126"/>
  <c r="CS21" i="126"/>
  <c r="CT21" i="126"/>
  <c r="CO22" i="126"/>
  <c r="CP22" i="126"/>
  <c r="CQ22" i="126"/>
  <c r="CR22" i="126"/>
  <c r="CS22" i="126"/>
  <c r="CT22" i="126"/>
  <c r="CO23" i="126"/>
  <c r="CP23" i="126"/>
  <c r="CQ23" i="126"/>
  <c r="CR23" i="126"/>
  <c r="CS23" i="126"/>
  <c r="CT23" i="126"/>
  <c r="CO24" i="126"/>
  <c r="CP24" i="126"/>
  <c r="CQ24" i="126"/>
  <c r="CR24" i="126"/>
  <c r="CS24" i="126"/>
  <c r="CT24" i="126"/>
  <c r="CO25" i="126"/>
  <c r="CP25" i="126"/>
  <c r="CQ25" i="126"/>
  <c r="CR25" i="126"/>
  <c r="CS25" i="126"/>
  <c r="CT25" i="126"/>
  <c r="CO26" i="126"/>
  <c r="CP26" i="126"/>
  <c r="CQ26" i="126"/>
  <c r="CR26" i="126"/>
  <c r="CS26" i="126"/>
  <c r="CT26" i="126"/>
  <c r="CO27" i="126"/>
  <c r="CP27" i="126"/>
  <c r="CQ27" i="126"/>
  <c r="CR27" i="126"/>
  <c r="CS27" i="126"/>
  <c r="CT27" i="126"/>
  <c r="CO28" i="126"/>
  <c r="CP28" i="126"/>
  <c r="CQ28" i="126"/>
  <c r="CR28" i="126"/>
  <c r="CS28" i="126"/>
  <c r="CT28" i="126"/>
  <c r="CO29" i="126"/>
  <c r="CP29" i="126"/>
  <c r="CQ29" i="126"/>
  <c r="CR29" i="126"/>
  <c r="CS29" i="126"/>
  <c r="CT29" i="126"/>
  <c r="CP3" i="126"/>
  <c r="CQ3" i="126"/>
  <c r="CR3" i="126"/>
  <c r="CS3" i="126"/>
  <c r="CT3" i="126"/>
  <c r="CO3" i="126"/>
  <c r="Q22" i="112"/>
  <c r="P22" i="112"/>
  <c r="G44" i="64"/>
  <c r="G37" i="64"/>
  <c r="G31" i="64"/>
  <c r="G25" i="64"/>
  <c r="G18" i="64"/>
  <c r="G12" i="64"/>
  <c r="H102" i="112"/>
  <c r="H11" i="118"/>
  <c r="I102" i="112"/>
  <c r="I11" i="118"/>
  <c r="J102" i="112"/>
  <c r="J11" i="118"/>
  <c r="K102" i="112"/>
  <c r="K11" i="118"/>
  <c r="L102" i="112"/>
  <c r="L11" i="118"/>
  <c r="M102" i="112"/>
  <c r="M11" i="118"/>
  <c r="N102" i="112"/>
  <c r="N11" i="118"/>
  <c r="O102" i="112"/>
  <c r="O11" i="118"/>
  <c r="P102" i="112"/>
  <c r="P11" i="118"/>
  <c r="Q102" i="112"/>
  <c r="Q11" i="118"/>
  <c r="G26" i="118"/>
  <c r="H143" i="62"/>
  <c r="F102" i="112"/>
  <c r="G102" i="112"/>
  <c r="F11" i="118"/>
  <c r="H108" i="62"/>
  <c r="E102" i="112"/>
  <c r="E11" i="118"/>
  <c r="Z73" i="62"/>
  <c r="D102" i="112"/>
  <c r="D11" i="118"/>
  <c r="H73" i="62"/>
  <c r="C102" i="112"/>
  <c r="C11" i="118"/>
  <c r="Z38" i="62"/>
  <c r="B102" i="112"/>
  <c r="B11" i="118"/>
  <c r="H38" i="62"/>
  <c r="H3" i="62"/>
  <c r="AK206" i="73"/>
  <c r="AK178" i="73"/>
  <c r="G650" i="73" s="1"/>
  <c r="AK179" i="73"/>
  <c r="AK180" i="73"/>
  <c r="AK181" i="73"/>
  <c r="AK182" i="73"/>
  <c r="AK183" i="73"/>
  <c r="AK184" i="73"/>
  <c r="AK185" i="73"/>
  <c r="AK186" i="73"/>
  <c r="G658" i="73" s="1"/>
  <c r="AK187" i="73"/>
  <c r="G659" i="73" s="1"/>
  <c r="AK188" i="73"/>
  <c r="AK189" i="73"/>
  <c r="AK190" i="73"/>
  <c r="AK191" i="73"/>
  <c r="AK192" i="73"/>
  <c r="AK193" i="73"/>
  <c r="AK194" i="73"/>
  <c r="G666" i="73" s="1"/>
  <c r="AK195" i="73"/>
  <c r="G667" i="73" s="1"/>
  <c r="AK196" i="73"/>
  <c r="AK197" i="73"/>
  <c r="AK198" i="73"/>
  <c r="AK199" i="73"/>
  <c r="AK200" i="73"/>
  <c r="AK201" i="73"/>
  <c r="AK202" i="73"/>
  <c r="G674" i="73" s="1"/>
  <c r="AK203" i="73"/>
  <c r="G675" i="73" s="1"/>
  <c r="AK177" i="73"/>
  <c r="AK172" i="73"/>
  <c r="AK144" i="73"/>
  <c r="AK145" i="73"/>
  <c r="AK146" i="73"/>
  <c r="AK147" i="73"/>
  <c r="AK148" i="73"/>
  <c r="G573" i="73" s="1"/>
  <c r="AK149" i="73"/>
  <c r="AK150" i="73"/>
  <c r="AK151" i="73"/>
  <c r="AK152" i="73"/>
  <c r="AK153" i="73"/>
  <c r="AK154" i="73"/>
  <c r="AK155" i="73"/>
  <c r="AK156" i="73"/>
  <c r="G581" i="73" s="1"/>
  <c r="AK157" i="73"/>
  <c r="G582" i="73" s="1"/>
  <c r="AK158" i="73"/>
  <c r="AK159" i="73"/>
  <c r="AK160" i="73"/>
  <c r="AK161" i="73"/>
  <c r="AK162" i="73"/>
  <c r="AK163" i="73"/>
  <c r="AK164" i="73"/>
  <c r="G589" i="73" s="1"/>
  <c r="AK165" i="73"/>
  <c r="G590" i="73" s="1"/>
  <c r="AK166" i="73"/>
  <c r="AK167" i="73"/>
  <c r="AK168" i="73"/>
  <c r="AK169" i="73"/>
  <c r="AK143" i="73"/>
  <c r="AK136" i="73"/>
  <c r="AK108" i="73"/>
  <c r="G488" i="73" s="1"/>
  <c r="AK109" i="73"/>
  <c r="AK110" i="73"/>
  <c r="AK111" i="73"/>
  <c r="AK112" i="73"/>
  <c r="AK113" i="73"/>
  <c r="AK114" i="73"/>
  <c r="AK115" i="73"/>
  <c r="AK116" i="73"/>
  <c r="G496" i="73" s="1"/>
  <c r="AK117" i="73"/>
  <c r="G497" i="73" s="1"/>
  <c r="AK118" i="73"/>
  <c r="AK119" i="73"/>
  <c r="AK120" i="73"/>
  <c r="AK121" i="73"/>
  <c r="AK122" i="73"/>
  <c r="AK123" i="73"/>
  <c r="AK124" i="73"/>
  <c r="G504" i="73" s="1"/>
  <c r="AK125" i="73"/>
  <c r="G505" i="73" s="1"/>
  <c r="AK126" i="73"/>
  <c r="AK127" i="73"/>
  <c r="AK128" i="73"/>
  <c r="AK129" i="73"/>
  <c r="AK130" i="73"/>
  <c r="AK131" i="73"/>
  <c r="AK132" i="73"/>
  <c r="G512" i="73" s="1"/>
  <c r="AK133" i="73"/>
  <c r="G513" i="73" s="1"/>
  <c r="AK107" i="73"/>
  <c r="AK102" i="73"/>
  <c r="AK74" i="73"/>
  <c r="AK75" i="73"/>
  <c r="AK76" i="73"/>
  <c r="AK77" i="73"/>
  <c r="AK78" i="73"/>
  <c r="G411" i="73" s="1"/>
  <c r="AK79" i="73"/>
  <c r="AK80" i="73"/>
  <c r="AK81" i="73"/>
  <c r="AK82" i="73"/>
  <c r="AK83" i="73"/>
  <c r="AK84" i="73"/>
  <c r="AK85" i="73"/>
  <c r="AK86" i="73"/>
  <c r="G419" i="73" s="1"/>
  <c r="AK87" i="73"/>
  <c r="G420" i="73" s="1"/>
  <c r="AK88" i="73"/>
  <c r="AK89" i="73"/>
  <c r="AK90" i="73"/>
  <c r="AK91" i="73"/>
  <c r="AK92" i="73"/>
  <c r="AK93" i="73"/>
  <c r="AK94" i="73"/>
  <c r="G427" i="73" s="1"/>
  <c r="AK95" i="73"/>
  <c r="G428" i="73" s="1"/>
  <c r="AK96" i="73"/>
  <c r="AK97" i="73"/>
  <c r="AK98" i="73"/>
  <c r="AK99" i="73"/>
  <c r="AK73" i="73"/>
  <c r="AK68" i="73"/>
  <c r="AK40" i="73"/>
  <c r="G326" i="73" s="1"/>
  <c r="AK41" i="73"/>
  <c r="AK42" i="73"/>
  <c r="AK43" i="73"/>
  <c r="AK44" i="73"/>
  <c r="AK45" i="73"/>
  <c r="AK46" i="73"/>
  <c r="AK47" i="73"/>
  <c r="AK48" i="73"/>
  <c r="G334" i="73" s="1"/>
  <c r="AK49" i="73"/>
  <c r="G335" i="73" s="1"/>
  <c r="AK50" i="73"/>
  <c r="AK51" i="73"/>
  <c r="AK52" i="73"/>
  <c r="AK53" i="73"/>
  <c r="AK54" i="73"/>
  <c r="AK55" i="73"/>
  <c r="AK56" i="73"/>
  <c r="G342" i="73" s="1"/>
  <c r="AK57" i="73"/>
  <c r="G343" i="73" s="1"/>
  <c r="AK58" i="73"/>
  <c r="AK59" i="73"/>
  <c r="AK60" i="73"/>
  <c r="AK61" i="73"/>
  <c r="AK62" i="73"/>
  <c r="AK63" i="73"/>
  <c r="AK64" i="73"/>
  <c r="G350" i="73" s="1"/>
  <c r="AK65" i="73"/>
  <c r="G351" i="73" s="1"/>
  <c r="AK39" i="73"/>
  <c r="AK34" i="73"/>
  <c r="AK6" i="73"/>
  <c r="AK7" i="73"/>
  <c r="AK8" i="73"/>
  <c r="AK9" i="73"/>
  <c r="AK10" i="73"/>
  <c r="AK11" i="73"/>
  <c r="G250" i="73" s="1"/>
  <c r="AK12" i="73"/>
  <c r="AK13" i="73"/>
  <c r="AK14" i="73"/>
  <c r="AK15" i="73"/>
  <c r="AK16" i="73"/>
  <c r="AK17" i="73"/>
  <c r="AK18" i="73"/>
  <c r="G257" i="73" s="1"/>
  <c r="AK19" i="73"/>
  <c r="G258" i="73" s="1"/>
  <c r="AK20" i="73"/>
  <c r="AK21" i="73"/>
  <c r="AK22" i="73"/>
  <c r="AK23" i="73"/>
  <c r="AK24" i="73"/>
  <c r="AK25" i="73"/>
  <c r="AK26" i="73"/>
  <c r="G265" i="73" s="1"/>
  <c r="AK27" i="73"/>
  <c r="G266" i="73" s="1"/>
  <c r="AK28" i="73"/>
  <c r="AK29" i="73"/>
  <c r="AK30" i="73"/>
  <c r="AK31" i="73"/>
  <c r="AK5" i="73"/>
  <c r="CB31" i="126"/>
  <c r="CC31" i="126"/>
  <c r="CD31" i="126"/>
  <c r="CE31" i="126"/>
  <c r="CF31" i="126"/>
  <c r="CA31" i="126"/>
  <c r="CA4" i="126"/>
  <c r="CB4" i="126"/>
  <c r="CC4" i="126"/>
  <c r="CD4" i="126"/>
  <c r="CE4" i="126"/>
  <c r="CF4" i="126"/>
  <c r="CA5" i="126"/>
  <c r="CB5" i="126"/>
  <c r="CC5" i="126"/>
  <c r="CD5" i="126"/>
  <c r="CE5" i="126"/>
  <c r="CF5" i="126"/>
  <c r="CA6" i="126"/>
  <c r="CB6" i="126"/>
  <c r="CC6" i="126"/>
  <c r="CD6" i="126"/>
  <c r="CE6" i="126"/>
  <c r="CF6" i="126"/>
  <c r="CA7" i="126"/>
  <c r="CB7" i="126"/>
  <c r="CC7" i="126"/>
  <c r="CD7" i="126"/>
  <c r="CE7" i="126"/>
  <c r="CF7" i="126"/>
  <c r="CA8" i="126"/>
  <c r="CB8" i="126"/>
  <c r="CC8" i="126"/>
  <c r="CD8" i="126"/>
  <c r="CE8" i="126"/>
  <c r="CF8" i="126"/>
  <c r="CA9" i="126"/>
  <c r="CB9" i="126"/>
  <c r="CC9" i="126"/>
  <c r="CD9" i="126"/>
  <c r="CE9" i="126"/>
  <c r="CF9" i="126"/>
  <c r="CA10" i="126"/>
  <c r="CB10" i="126"/>
  <c r="CC10" i="126"/>
  <c r="CD10" i="126"/>
  <c r="CE10" i="126"/>
  <c r="CF10" i="126"/>
  <c r="CA11" i="126"/>
  <c r="CB11" i="126"/>
  <c r="CC11" i="126"/>
  <c r="CD11" i="126"/>
  <c r="CE11" i="126"/>
  <c r="CF11" i="126"/>
  <c r="CA12" i="126"/>
  <c r="CB12" i="126"/>
  <c r="CC12" i="126"/>
  <c r="CD12" i="126"/>
  <c r="CE12" i="126"/>
  <c r="CF12" i="126"/>
  <c r="CA13" i="126"/>
  <c r="CB13" i="126"/>
  <c r="CC13" i="126"/>
  <c r="CD13" i="126"/>
  <c r="CE13" i="126"/>
  <c r="CF13" i="126"/>
  <c r="CA14" i="126"/>
  <c r="CB14" i="126"/>
  <c r="CC14" i="126"/>
  <c r="CD14" i="126"/>
  <c r="CE14" i="126"/>
  <c r="CF14" i="126"/>
  <c r="CA15" i="126"/>
  <c r="CB15" i="126"/>
  <c r="CC15" i="126"/>
  <c r="CD15" i="126"/>
  <c r="CE15" i="126"/>
  <c r="CF15" i="126"/>
  <c r="CA16" i="126"/>
  <c r="CB16" i="126"/>
  <c r="CC16" i="126"/>
  <c r="CD16" i="126"/>
  <c r="CE16" i="126"/>
  <c r="CF16" i="126"/>
  <c r="CA17" i="126"/>
  <c r="CB17" i="126"/>
  <c r="CC17" i="126"/>
  <c r="CD17" i="126"/>
  <c r="CE17" i="126"/>
  <c r="CF17" i="126"/>
  <c r="CA18" i="126"/>
  <c r="CB18" i="126"/>
  <c r="CC18" i="126"/>
  <c r="CD18" i="126"/>
  <c r="CE18" i="126"/>
  <c r="CF18" i="126"/>
  <c r="CA19" i="126"/>
  <c r="CB19" i="126"/>
  <c r="CC19" i="126"/>
  <c r="CD19" i="126"/>
  <c r="CE19" i="126"/>
  <c r="CF19" i="126"/>
  <c r="CA20" i="126"/>
  <c r="CB20" i="126"/>
  <c r="CC20" i="126"/>
  <c r="CD20" i="126"/>
  <c r="CE20" i="126"/>
  <c r="CF20" i="126"/>
  <c r="CA21" i="126"/>
  <c r="CB21" i="126"/>
  <c r="CC21" i="126"/>
  <c r="CD21" i="126"/>
  <c r="CE21" i="126"/>
  <c r="CF21" i="126"/>
  <c r="CA22" i="126"/>
  <c r="CB22" i="126"/>
  <c r="CC22" i="126"/>
  <c r="CD22" i="126"/>
  <c r="CE22" i="126"/>
  <c r="CF22" i="126"/>
  <c r="CA23" i="126"/>
  <c r="CB23" i="126"/>
  <c r="CC23" i="126"/>
  <c r="CD23" i="126"/>
  <c r="CE23" i="126"/>
  <c r="CF23" i="126"/>
  <c r="CA24" i="126"/>
  <c r="CB24" i="126"/>
  <c r="CC24" i="126"/>
  <c r="CD24" i="126"/>
  <c r="CE24" i="126"/>
  <c r="CF24" i="126"/>
  <c r="CA25" i="126"/>
  <c r="CB25" i="126"/>
  <c r="CC25" i="126"/>
  <c r="CD25" i="126"/>
  <c r="CE25" i="126"/>
  <c r="CF25" i="126"/>
  <c r="CA26" i="126"/>
  <c r="CB26" i="126"/>
  <c r="CC26" i="126"/>
  <c r="CD26" i="126"/>
  <c r="CE26" i="126"/>
  <c r="CF26" i="126"/>
  <c r="CA27" i="126"/>
  <c r="CB27" i="126"/>
  <c r="CC27" i="126"/>
  <c r="CD27" i="126"/>
  <c r="CE27" i="126"/>
  <c r="CF27" i="126"/>
  <c r="CA28" i="126"/>
  <c r="CB28" i="126"/>
  <c r="CC28" i="126"/>
  <c r="CD28" i="126"/>
  <c r="CE28" i="126"/>
  <c r="CF28" i="126"/>
  <c r="CA29" i="126"/>
  <c r="CB29" i="126"/>
  <c r="CC29" i="126"/>
  <c r="CD29" i="126"/>
  <c r="CE29" i="126"/>
  <c r="CF29" i="126"/>
  <c r="CB3" i="126"/>
  <c r="CC3" i="126"/>
  <c r="CD3" i="126"/>
  <c r="CE3" i="126"/>
  <c r="CF3" i="126"/>
  <c r="CA3" i="126"/>
  <c r="C30" i="158"/>
  <c r="C29" i="158"/>
  <c r="C28" i="158"/>
  <c r="C27" i="158"/>
  <c r="C26" i="158"/>
  <c r="C25" i="158"/>
  <c r="C24" i="158"/>
  <c r="C23" i="158"/>
  <c r="C22" i="158"/>
  <c r="C21" i="158"/>
  <c r="C20" i="158"/>
  <c r="C19" i="158"/>
  <c r="C18" i="158"/>
  <c r="C17" i="158"/>
  <c r="C16" i="158"/>
  <c r="C15" i="158"/>
  <c r="C14" i="158"/>
  <c r="C13" i="158"/>
  <c r="C12" i="158"/>
  <c r="C11" i="158"/>
  <c r="C10" i="158"/>
  <c r="C9" i="158"/>
  <c r="C8" i="158"/>
  <c r="C7" i="158"/>
  <c r="C6" i="158"/>
  <c r="C5" i="158"/>
  <c r="C4" i="158"/>
  <c r="C3" i="158"/>
  <c r="C2" i="158"/>
  <c r="F650" i="155"/>
  <c r="F651" i="155"/>
  <c r="F652" i="155"/>
  <c r="F653" i="155"/>
  <c r="F654" i="155"/>
  <c r="F655" i="155"/>
  <c r="F656" i="155"/>
  <c r="F657" i="155"/>
  <c r="F658" i="155"/>
  <c r="F659" i="155"/>
  <c r="F660" i="155"/>
  <c r="F661" i="155"/>
  <c r="F662" i="155"/>
  <c r="F663" i="155"/>
  <c r="F664" i="155"/>
  <c r="F665" i="155"/>
  <c r="F666" i="155"/>
  <c r="F667" i="155"/>
  <c r="F668" i="155"/>
  <c r="F669" i="155"/>
  <c r="F670" i="155"/>
  <c r="F671" i="155"/>
  <c r="F672" i="155"/>
  <c r="F673" i="155"/>
  <c r="F674" i="155"/>
  <c r="F675" i="155"/>
  <c r="F676" i="155"/>
  <c r="F677" i="155"/>
  <c r="F678" i="155"/>
  <c r="F679" i="155"/>
  <c r="F680" i="155"/>
  <c r="F681" i="155"/>
  <c r="F682" i="155"/>
  <c r="F683" i="155"/>
  <c r="F684" i="155"/>
  <c r="F685" i="155"/>
  <c r="F686" i="155"/>
  <c r="F687" i="155"/>
  <c r="F688" i="155"/>
  <c r="F689" i="155"/>
  <c r="F690" i="155"/>
  <c r="F691" i="155"/>
  <c r="F692" i="155"/>
  <c r="F693" i="155"/>
  <c r="F694" i="155"/>
  <c r="F695" i="155"/>
  <c r="F696" i="155"/>
  <c r="F697" i="155"/>
  <c r="F698" i="155"/>
  <c r="F699" i="155"/>
  <c r="F700" i="155"/>
  <c r="F701" i="155"/>
  <c r="F702" i="155"/>
  <c r="F703" i="155"/>
  <c r="F704" i="155"/>
  <c r="F705" i="155"/>
  <c r="F706" i="155"/>
  <c r="F707" i="155"/>
  <c r="F708" i="155"/>
  <c r="F709" i="155"/>
  <c r="F710" i="155"/>
  <c r="F711" i="155"/>
  <c r="F712" i="155"/>
  <c r="F713" i="155"/>
  <c r="F714" i="155"/>
  <c r="F715" i="155"/>
  <c r="F716" i="155"/>
  <c r="F717" i="155"/>
  <c r="F718" i="155"/>
  <c r="F719" i="155"/>
  <c r="F720" i="155"/>
  <c r="F721" i="155"/>
  <c r="F722" i="155"/>
  <c r="F723" i="155"/>
  <c r="F724" i="155"/>
  <c r="F725" i="155"/>
  <c r="F726" i="155"/>
  <c r="F727" i="155"/>
  <c r="F728" i="155"/>
  <c r="F729" i="155"/>
  <c r="F730" i="155"/>
  <c r="F731" i="155"/>
  <c r="F732" i="155"/>
  <c r="F733" i="155"/>
  <c r="F734" i="155"/>
  <c r="F735" i="155"/>
  <c r="F736" i="155"/>
  <c r="F737" i="155"/>
  <c r="F738" i="155"/>
  <c r="F739" i="155"/>
  <c r="F740" i="155"/>
  <c r="F741" i="155"/>
  <c r="F742" i="155"/>
  <c r="F743" i="155"/>
  <c r="F744" i="155"/>
  <c r="F745" i="155"/>
  <c r="F746" i="155"/>
  <c r="F747" i="155"/>
  <c r="F748" i="155"/>
  <c r="F749" i="155"/>
  <c r="F750" i="155"/>
  <c r="F751" i="155"/>
  <c r="F752" i="155"/>
  <c r="F753" i="155"/>
  <c r="F754" i="155"/>
  <c r="F755" i="155"/>
  <c r="F756" i="155"/>
  <c r="F757" i="155"/>
  <c r="F758" i="155"/>
  <c r="F759" i="155"/>
  <c r="F760" i="155"/>
  <c r="F761" i="155"/>
  <c r="F762" i="155"/>
  <c r="F763" i="155"/>
  <c r="F764" i="155"/>
  <c r="F765" i="155"/>
  <c r="F766" i="155"/>
  <c r="F767" i="155"/>
  <c r="F768" i="155"/>
  <c r="F769" i="155"/>
  <c r="F770" i="155"/>
  <c r="F771" i="155"/>
  <c r="F772" i="155"/>
  <c r="F773" i="155"/>
  <c r="F774" i="155"/>
  <c r="F775" i="155"/>
  <c r="F776" i="155"/>
  <c r="F777" i="155"/>
  <c r="F778" i="155"/>
  <c r="F779" i="155"/>
  <c r="F780" i="155"/>
  <c r="F781" i="155"/>
  <c r="F782" i="155"/>
  <c r="F783" i="155"/>
  <c r="F784" i="155"/>
  <c r="F326" i="155"/>
  <c r="F327" i="155"/>
  <c r="F328" i="155"/>
  <c r="F329" i="155"/>
  <c r="F330" i="155"/>
  <c r="F331" i="155"/>
  <c r="F332" i="155"/>
  <c r="F333" i="155"/>
  <c r="F334" i="155"/>
  <c r="F335" i="155"/>
  <c r="F336" i="155"/>
  <c r="F337" i="155"/>
  <c r="F338" i="155"/>
  <c r="F339" i="155"/>
  <c r="F340" i="155"/>
  <c r="F341" i="155"/>
  <c r="F342" i="155"/>
  <c r="F343" i="155"/>
  <c r="F344" i="155"/>
  <c r="F345" i="155"/>
  <c r="F346" i="155"/>
  <c r="F347" i="155"/>
  <c r="F348" i="155"/>
  <c r="F349" i="155"/>
  <c r="F350" i="155"/>
  <c r="F351" i="155"/>
  <c r="F352" i="155"/>
  <c r="F353" i="155"/>
  <c r="F354" i="155"/>
  <c r="F355" i="155"/>
  <c r="F356" i="155"/>
  <c r="F357" i="155"/>
  <c r="F358" i="155"/>
  <c r="F359" i="155"/>
  <c r="F360" i="155"/>
  <c r="F361" i="155"/>
  <c r="F362" i="155"/>
  <c r="F363" i="155"/>
  <c r="F364" i="155"/>
  <c r="F365" i="155"/>
  <c r="F366" i="155"/>
  <c r="F367" i="155"/>
  <c r="F368" i="155"/>
  <c r="F369" i="155"/>
  <c r="F370" i="155"/>
  <c r="F371" i="155"/>
  <c r="F372" i="155"/>
  <c r="F373" i="155"/>
  <c r="F374" i="155"/>
  <c r="F375" i="155"/>
  <c r="F376" i="155"/>
  <c r="F377" i="155"/>
  <c r="F378" i="155"/>
  <c r="F379" i="155"/>
  <c r="F380" i="155"/>
  <c r="F381" i="155"/>
  <c r="F382" i="155"/>
  <c r="F383" i="155"/>
  <c r="F384" i="155"/>
  <c r="F385" i="155"/>
  <c r="F386" i="155"/>
  <c r="F387" i="155"/>
  <c r="F388" i="155"/>
  <c r="F389" i="155"/>
  <c r="F390" i="155"/>
  <c r="F391" i="155"/>
  <c r="F392" i="155"/>
  <c r="F393" i="155"/>
  <c r="F394" i="155"/>
  <c r="F395" i="155"/>
  <c r="F396" i="155"/>
  <c r="F397" i="155"/>
  <c r="F398" i="155"/>
  <c r="F399" i="155"/>
  <c r="F400" i="155"/>
  <c r="F401" i="155"/>
  <c r="F402" i="155"/>
  <c r="F403" i="155"/>
  <c r="F404" i="155"/>
  <c r="F405" i="155"/>
  <c r="F406" i="155"/>
  <c r="F407" i="155"/>
  <c r="F408" i="155"/>
  <c r="F409" i="155"/>
  <c r="F410" i="155"/>
  <c r="F411" i="155"/>
  <c r="F412" i="155"/>
  <c r="F413" i="155"/>
  <c r="F414" i="155"/>
  <c r="F415" i="155"/>
  <c r="F416" i="155"/>
  <c r="F417" i="155"/>
  <c r="F418" i="155"/>
  <c r="F419" i="155"/>
  <c r="F420" i="155"/>
  <c r="F421" i="155"/>
  <c r="F422" i="155"/>
  <c r="F423" i="155"/>
  <c r="F424" i="155"/>
  <c r="F425" i="155"/>
  <c r="F426" i="155"/>
  <c r="F427" i="155"/>
  <c r="F428" i="155"/>
  <c r="F429" i="155"/>
  <c r="F430" i="155"/>
  <c r="F431" i="155"/>
  <c r="F432" i="155"/>
  <c r="F433" i="155"/>
  <c r="F434" i="155"/>
  <c r="F435" i="155"/>
  <c r="F436" i="155"/>
  <c r="F437" i="155"/>
  <c r="F438" i="155"/>
  <c r="F439" i="155"/>
  <c r="F440" i="155"/>
  <c r="F441" i="155"/>
  <c r="F442" i="155"/>
  <c r="F443" i="155"/>
  <c r="F444" i="155"/>
  <c r="F445" i="155"/>
  <c r="F446" i="155"/>
  <c r="F447" i="155"/>
  <c r="F448" i="155"/>
  <c r="F449" i="155"/>
  <c r="F450" i="155"/>
  <c r="F451" i="155"/>
  <c r="F452" i="155"/>
  <c r="F453" i="155"/>
  <c r="F454" i="155"/>
  <c r="F455" i="155"/>
  <c r="F456" i="155"/>
  <c r="F457" i="155"/>
  <c r="F458" i="155"/>
  <c r="F459" i="155"/>
  <c r="F460" i="155"/>
  <c r="F461" i="155"/>
  <c r="F462" i="155"/>
  <c r="F463" i="155"/>
  <c r="F464" i="155"/>
  <c r="F465" i="155"/>
  <c r="F466" i="155"/>
  <c r="F467" i="155"/>
  <c r="F468" i="155"/>
  <c r="F469" i="155"/>
  <c r="F470" i="155"/>
  <c r="F471" i="155"/>
  <c r="F472" i="155"/>
  <c r="F473" i="155"/>
  <c r="F474" i="155"/>
  <c r="F475" i="155"/>
  <c r="F476" i="155"/>
  <c r="F477" i="155"/>
  <c r="F478" i="155"/>
  <c r="F479" i="155"/>
  <c r="F480" i="155"/>
  <c r="F481" i="155"/>
  <c r="F482" i="155"/>
  <c r="F483" i="155"/>
  <c r="F484" i="155"/>
  <c r="F485" i="155"/>
  <c r="F486" i="155"/>
  <c r="F487" i="155"/>
  <c r="F488" i="155"/>
  <c r="F489" i="155"/>
  <c r="F490" i="155"/>
  <c r="F491" i="155"/>
  <c r="F492" i="155"/>
  <c r="F493" i="155"/>
  <c r="F494" i="155"/>
  <c r="F495" i="155"/>
  <c r="F496" i="155"/>
  <c r="F497" i="155"/>
  <c r="F498" i="155"/>
  <c r="F499" i="155"/>
  <c r="F500" i="155"/>
  <c r="F501" i="155"/>
  <c r="F502" i="155"/>
  <c r="F503" i="155"/>
  <c r="F504" i="155"/>
  <c r="F505" i="155"/>
  <c r="F506" i="155"/>
  <c r="F507" i="155"/>
  <c r="F508" i="155"/>
  <c r="F509" i="155"/>
  <c r="F510" i="155"/>
  <c r="F511" i="155"/>
  <c r="F512" i="155"/>
  <c r="F513" i="155"/>
  <c r="F514" i="155"/>
  <c r="F515" i="155"/>
  <c r="F516" i="155"/>
  <c r="F517" i="155"/>
  <c r="F518" i="155"/>
  <c r="F519" i="155"/>
  <c r="F520" i="155"/>
  <c r="F521" i="155"/>
  <c r="F522" i="155"/>
  <c r="F523" i="155"/>
  <c r="F524" i="155"/>
  <c r="F525" i="155"/>
  <c r="F526" i="155"/>
  <c r="F527" i="155"/>
  <c r="F528" i="155"/>
  <c r="F529" i="155"/>
  <c r="F530" i="155"/>
  <c r="F531" i="155"/>
  <c r="F532" i="155"/>
  <c r="F533" i="155"/>
  <c r="F534" i="155"/>
  <c r="F535" i="155"/>
  <c r="F536" i="155"/>
  <c r="F537" i="155"/>
  <c r="F538" i="155"/>
  <c r="F539" i="155"/>
  <c r="F540" i="155"/>
  <c r="F541" i="155"/>
  <c r="F542" i="155"/>
  <c r="F543" i="155"/>
  <c r="F544" i="155"/>
  <c r="F545" i="155"/>
  <c r="F546" i="155"/>
  <c r="F547" i="155"/>
  <c r="F548" i="155"/>
  <c r="F549" i="155"/>
  <c r="F550" i="155"/>
  <c r="F551" i="155"/>
  <c r="F552" i="155"/>
  <c r="F553" i="155"/>
  <c r="F554" i="155"/>
  <c r="F555" i="155"/>
  <c r="F556" i="155"/>
  <c r="F557" i="155"/>
  <c r="F558" i="155"/>
  <c r="F559" i="155"/>
  <c r="F560" i="155"/>
  <c r="F561" i="155"/>
  <c r="F562" i="155"/>
  <c r="F563" i="155"/>
  <c r="F564" i="155"/>
  <c r="F565" i="155"/>
  <c r="F566" i="155"/>
  <c r="F567" i="155"/>
  <c r="F568" i="155"/>
  <c r="F569" i="155"/>
  <c r="F570" i="155"/>
  <c r="F571" i="155"/>
  <c r="F572" i="155"/>
  <c r="F573" i="155"/>
  <c r="F574" i="155"/>
  <c r="F575" i="155"/>
  <c r="F576" i="155"/>
  <c r="F577" i="155"/>
  <c r="F578" i="155"/>
  <c r="F579" i="155"/>
  <c r="F580" i="155"/>
  <c r="F581" i="155"/>
  <c r="F582" i="155"/>
  <c r="F583" i="155"/>
  <c r="F584" i="155"/>
  <c r="F585" i="155"/>
  <c r="F586" i="155"/>
  <c r="F587" i="155"/>
  <c r="F588" i="155"/>
  <c r="F589" i="155"/>
  <c r="F590" i="155"/>
  <c r="F591" i="155"/>
  <c r="F592" i="155"/>
  <c r="F593" i="155"/>
  <c r="F594" i="155"/>
  <c r="F595" i="155"/>
  <c r="F596" i="155"/>
  <c r="F597" i="155"/>
  <c r="F598" i="155"/>
  <c r="F599" i="155"/>
  <c r="F600" i="155"/>
  <c r="F601" i="155"/>
  <c r="F602" i="155"/>
  <c r="F603" i="155"/>
  <c r="F604" i="155"/>
  <c r="F605" i="155"/>
  <c r="F606" i="155"/>
  <c r="F607" i="155"/>
  <c r="F608" i="155"/>
  <c r="F609" i="155"/>
  <c r="F610" i="155"/>
  <c r="F611" i="155"/>
  <c r="F612" i="155"/>
  <c r="F613" i="155"/>
  <c r="F614" i="155"/>
  <c r="F615" i="155"/>
  <c r="F616" i="155"/>
  <c r="F617" i="155"/>
  <c r="F618" i="155"/>
  <c r="F619" i="155"/>
  <c r="F620" i="155"/>
  <c r="F621" i="155"/>
  <c r="F622" i="155"/>
  <c r="F623" i="155"/>
  <c r="F624" i="155"/>
  <c r="F625" i="155"/>
  <c r="F626" i="155"/>
  <c r="F627" i="155"/>
  <c r="F628" i="155"/>
  <c r="F629" i="155"/>
  <c r="F630" i="155"/>
  <c r="F631" i="155"/>
  <c r="F632" i="155"/>
  <c r="F633" i="155"/>
  <c r="F634" i="155"/>
  <c r="F635" i="155"/>
  <c r="F636" i="155"/>
  <c r="F637" i="155"/>
  <c r="F638" i="155"/>
  <c r="F639" i="155"/>
  <c r="F640" i="155"/>
  <c r="F641" i="155"/>
  <c r="F642" i="155"/>
  <c r="F643" i="155"/>
  <c r="F644" i="155"/>
  <c r="F645" i="155"/>
  <c r="F646" i="155"/>
  <c r="F647" i="155"/>
  <c r="F648" i="155"/>
  <c r="F649" i="155"/>
  <c r="F2" i="155"/>
  <c r="F3" i="155"/>
  <c r="F4" i="155"/>
  <c r="F5" i="155"/>
  <c r="F6" i="155"/>
  <c r="F7" i="155"/>
  <c r="F8" i="155"/>
  <c r="F9" i="155"/>
  <c r="F10" i="155"/>
  <c r="F11" i="155"/>
  <c r="F12" i="155"/>
  <c r="F13" i="155"/>
  <c r="F14" i="155"/>
  <c r="F15" i="155"/>
  <c r="F16" i="155"/>
  <c r="F17" i="155"/>
  <c r="F18" i="155"/>
  <c r="F19" i="155"/>
  <c r="F20" i="155"/>
  <c r="F21" i="155"/>
  <c r="F22" i="155"/>
  <c r="F23" i="155"/>
  <c r="F24" i="155"/>
  <c r="F25" i="155"/>
  <c r="F26" i="155"/>
  <c r="F27" i="155"/>
  <c r="F28" i="155"/>
  <c r="F29" i="155"/>
  <c r="F30" i="155"/>
  <c r="F31" i="155"/>
  <c r="F32" i="155"/>
  <c r="F33" i="155"/>
  <c r="F34" i="155"/>
  <c r="F35" i="155"/>
  <c r="F36" i="155"/>
  <c r="F37" i="155"/>
  <c r="F38" i="155"/>
  <c r="F39" i="155"/>
  <c r="F40" i="155"/>
  <c r="F41" i="155"/>
  <c r="F42" i="155"/>
  <c r="F43" i="155"/>
  <c r="F44" i="155"/>
  <c r="F45" i="155"/>
  <c r="F46" i="155"/>
  <c r="F47" i="155"/>
  <c r="F48" i="155"/>
  <c r="F49" i="155"/>
  <c r="F50" i="155"/>
  <c r="F51" i="155"/>
  <c r="F52" i="155"/>
  <c r="F53" i="155"/>
  <c r="F54" i="155"/>
  <c r="F55" i="155"/>
  <c r="F56" i="155"/>
  <c r="F57" i="155"/>
  <c r="F58" i="155"/>
  <c r="F59" i="155"/>
  <c r="F60" i="155"/>
  <c r="F61" i="155"/>
  <c r="F62" i="155"/>
  <c r="F63" i="155"/>
  <c r="F64" i="155"/>
  <c r="F65" i="155"/>
  <c r="F66" i="155"/>
  <c r="F67" i="155"/>
  <c r="F68" i="155"/>
  <c r="F69" i="155"/>
  <c r="F70" i="155"/>
  <c r="F71" i="155"/>
  <c r="F72" i="155"/>
  <c r="F73" i="155"/>
  <c r="F74" i="155"/>
  <c r="F75" i="155"/>
  <c r="F76" i="155"/>
  <c r="F77" i="155"/>
  <c r="F78" i="155"/>
  <c r="F79" i="155"/>
  <c r="F80" i="155"/>
  <c r="F81" i="155"/>
  <c r="F82" i="155"/>
  <c r="F83" i="155"/>
  <c r="F84" i="155"/>
  <c r="F85" i="155"/>
  <c r="F86" i="155"/>
  <c r="F87" i="155"/>
  <c r="F88" i="155"/>
  <c r="F89" i="155"/>
  <c r="F90" i="155"/>
  <c r="F91" i="155"/>
  <c r="F92" i="155"/>
  <c r="F93" i="155"/>
  <c r="F94" i="155"/>
  <c r="F95" i="155"/>
  <c r="F96" i="155"/>
  <c r="F97" i="155"/>
  <c r="F98" i="155"/>
  <c r="F99" i="155"/>
  <c r="F100" i="155"/>
  <c r="F101" i="155"/>
  <c r="F102" i="155"/>
  <c r="F103" i="155"/>
  <c r="F104" i="155"/>
  <c r="F105" i="155"/>
  <c r="F106" i="155"/>
  <c r="F107" i="155"/>
  <c r="F108" i="155"/>
  <c r="F109" i="155"/>
  <c r="F110" i="155"/>
  <c r="F111" i="155"/>
  <c r="F112" i="155"/>
  <c r="F113" i="155"/>
  <c r="F114" i="155"/>
  <c r="F115" i="155"/>
  <c r="F116" i="155"/>
  <c r="F117" i="155"/>
  <c r="F118" i="155"/>
  <c r="F119" i="155"/>
  <c r="F120" i="155"/>
  <c r="F121" i="155"/>
  <c r="F122" i="155"/>
  <c r="F123" i="155"/>
  <c r="F124" i="155"/>
  <c r="F125" i="155"/>
  <c r="F126" i="155"/>
  <c r="F127" i="155"/>
  <c r="F128" i="155"/>
  <c r="F129" i="155"/>
  <c r="F130" i="155"/>
  <c r="F131" i="155"/>
  <c r="F132" i="155"/>
  <c r="F133" i="155"/>
  <c r="F134" i="155"/>
  <c r="F135" i="155"/>
  <c r="F136" i="155"/>
  <c r="F137" i="155"/>
  <c r="F138" i="155"/>
  <c r="F139" i="155"/>
  <c r="F140" i="155"/>
  <c r="F141" i="155"/>
  <c r="F142" i="155"/>
  <c r="F143" i="155"/>
  <c r="F144" i="155"/>
  <c r="F145" i="155"/>
  <c r="F146" i="155"/>
  <c r="F147" i="155"/>
  <c r="F148" i="155"/>
  <c r="F149" i="155"/>
  <c r="F150" i="155"/>
  <c r="F151" i="155"/>
  <c r="F152" i="155"/>
  <c r="F153" i="155"/>
  <c r="F154" i="155"/>
  <c r="F155" i="155"/>
  <c r="F156" i="155"/>
  <c r="F157" i="155"/>
  <c r="F158" i="155"/>
  <c r="F159" i="155"/>
  <c r="F160" i="155"/>
  <c r="F161" i="155"/>
  <c r="F162" i="155"/>
  <c r="F163" i="155"/>
  <c r="F164" i="155"/>
  <c r="F165" i="155"/>
  <c r="F166" i="155"/>
  <c r="F167" i="155"/>
  <c r="F168" i="155"/>
  <c r="F169" i="155"/>
  <c r="F170" i="155"/>
  <c r="F171" i="155"/>
  <c r="F172" i="155"/>
  <c r="F173" i="155"/>
  <c r="F174" i="155"/>
  <c r="F175" i="155"/>
  <c r="F176" i="155"/>
  <c r="F177" i="155"/>
  <c r="F178" i="155"/>
  <c r="F179" i="155"/>
  <c r="F180" i="155"/>
  <c r="F181" i="155"/>
  <c r="F182" i="155"/>
  <c r="F183" i="155"/>
  <c r="F184" i="155"/>
  <c r="F185" i="155"/>
  <c r="F186" i="155"/>
  <c r="F187" i="155"/>
  <c r="F188" i="155"/>
  <c r="F189" i="155"/>
  <c r="F190" i="155"/>
  <c r="F191" i="155"/>
  <c r="F192" i="155"/>
  <c r="F193" i="155"/>
  <c r="F194" i="155"/>
  <c r="F195" i="155"/>
  <c r="F196" i="155"/>
  <c r="F197" i="155"/>
  <c r="F198" i="155"/>
  <c r="F199" i="155"/>
  <c r="F200" i="155"/>
  <c r="F201" i="155"/>
  <c r="F202" i="155"/>
  <c r="F203" i="155"/>
  <c r="F204" i="155"/>
  <c r="F205" i="155"/>
  <c r="F206" i="155"/>
  <c r="F207" i="155"/>
  <c r="F208" i="155"/>
  <c r="F209" i="155"/>
  <c r="F210" i="155"/>
  <c r="F211" i="155"/>
  <c r="F212" i="155"/>
  <c r="F213" i="155"/>
  <c r="F214" i="155"/>
  <c r="F215" i="155"/>
  <c r="F216" i="155"/>
  <c r="F217" i="155"/>
  <c r="F218" i="155"/>
  <c r="F219" i="155"/>
  <c r="F220" i="155"/>
  <c r="F221" i="155"/>
  <c r="F222" i="155"/>
  <c r="F223" i="155"/>
  <c r="F224" i="155"/>
  <c r="F225" i="155"/>
  <c r="F226" i="155"/>
  <c r="F227" i="155"/>
  <c r="F228" i="155"/>
  <c r="F229" i="155"/>
  <c r="F230" i="155"/>
  <c r="F231" i="155"/>
  <c r="F232" i="155"/>
  <c r="F233" i="155"/>
  <c r="F234" i="155"/>
  <c r="F235" i="155"/>
  <c r="F236" i="155"/>
  <c r="F237" i="155"/>
  <c r="F238" i="155"/>
  <c r="F239" i="155"/>
  <c r="F240" i="155"/>
  <c r="F241" i="155"/>
  <c r="F242" i="155"/>
  <c r="F243" i="155"/>
  <c r="F244" i="155"/>
  <c r="F245" i="155"/>
  <c r="F246" i="155"/>
  <c r="F247" i="155"/>
  <c r="F248" i="155"/>
  <c r="F249" i="155"/>
  <c r="F250" i="155"/>
  <c r="F251" i="155"/>
  <c r="F252" i="155"/>
  <c r="F253" i="155"/>
  <c r="F254" i="155"/>
  <c r="F255" i="155"/>
  <c r="F256" i="155"/>
  <c r="F257" i="155"/>
  <c r="F258" i="155"/>
  <c r="F259" i="155"/>
  <c r="F260" i="155"/>
  <c r="F261" i="155"/>
  <c r="F262" i="155"/>
  <c r="F263" i="155"/>
  <c r="F264" i="155"/>
  <c r="F265" i="155"/>
  <c r="F266" i="155"/>
  <c r="F267" i="155"/>
  <c r="F268" i="155"/>
  <c r="F269" i="155"/>
  <c r="F270" i="155"/>
  <c r="F271" i="155"/>
  <c r="F272" i="155"/>
  <c r="F273" i="155"/>
  <c r="F274" i="155"/>
  <c r="F275" i="155"/>
  <c r="F276" i="155"/>
  <c r="F277" i="155"/>
  <c r="F278" i="155"/>
  <c r="F279" i="155"/>
  <c r="F280" i="155"/>
  <c r="F281" i="155"/>
  <c r="F282" i="155"/>
  <c r="F283" i="155"/>
  <c r="F284" i="155"/>
  <c r="F285" i="155"/>
  <c r="F286" i="155"/>
  <c r="F287" i="155"/>
  <c r="F288" i="155"/>
  <c r="F289" i="155"/>
  <c r="F290" i="155"/>
  <c r="F291" i="155"/>
  <c r="F292" i="155"/>
  <c r="F293" i="155"/>
  <c r="F294" i="155"/>
  <c r="F295" i="155"/>
  <c r="F296" i="155"/>
  <c r="F297" i="155"/>
  <c r="F298" i="155"/>
  <c r="F299" i="155"/>
  <c r="F300" i="155"/>
  <c r="F301" i="155"/>
  <c r="F302" i="155"/>
  <c r="F303" i="155"/>
  <c r="F304" i="155"/>
  <c r="F305" i="155"/>
  <c r="F306" i="155"/>
  <c r="F307" i="155"/>
  <c r="F308" i="155"/>
  <c r="F309" i="155"/>
  <c r="F310" i="155"/>
  <c r="F311" i="155"/>
  <c r="F312" i="155"/>
  <c r="F313" i="155"/>
  <c r="F314" i="155"/>
  <c r="F315" i="155"/>
  <c r="F316" i="155"/>
  <c r="F317" i="155"/>
  <c r="F318" i="155"/>
  <c r="F319" i="155"/>
  <c r="F320" i="155"/>
  <c r="F321" i="155"/>
  <c r="F322" i="155"/>
  <c r="F323" i="155"/>
  <c r="F324" i="155"/>
  <c r="F325" i="155"/>
  <c r="C758" i="154"/>
  <c r="J758" i="154"/>
  <c r="C759" i="154"/>
  <c r="J759" i="154"/>
  <c r="C760" i="154"/>
  <c r="J760" i="154"/>
  <c r="C761" i="154"/>
  <c r="J761" i="154"/>
  <c r="C762" i="154"/>
  <c r="J762" i="154"/>
  <c r="C763" i="154"/>
  <c r="J763" i="154"/>
  <c r="C764" i="154"/>
  <c r="J764" i="154"/>
  <c r="C765" i="154"/>
  <c r="J765" i="154"/>
  <c r="C766" i="154"/>
  <c r="J766" i="154"/>
  <c r="C767" i="154"/>
  <c r="J767" i="154"/>
  <c r="C768" i="154"/>
  <c r="J768" i="154"/>
  <c r="C769" i="154"/>
  <c r="J769" i="154"/>
  <c r="C770" i="154"/>
  <c r="J770" i="154"/>
  <c r="C771" i="154"/>
  <c r="J771" i="154"/>
  <c r="C772" i="154"/>
  <c r="J772" i="154"/>
  <c r="C773" i="154"/>
  <c r="J773" i="154"/>
  <c r="C774" i="154"/>
  <c r="J774" i="154"/>
  <c r="C775" i="154"/>
  <c r="J775" i="154"/>
  <c r="C776" i="154"/>
  <c r="J776" i="154"/>
  <c r="C777" i="154"/>
  <c r="J777" i="154"/>
  <c r="C778" i="154"/>
  <c r="J778" i="154"/>
  <c r="C779" i="154"/>
  <c r="J779" i="154"/>
  <c r="C780" i="154"/>
  <c r="J780" i="154"/>
  <c r="C781" i="154"/>
  <c r="J781" i="154"/>
  <c r="C782" i="154"/>
  <c r="J782" i="154"/>
  <c r="C783" i="154"/>
  <c r="J783" i="154"/>
  <c r="C784" i="154"/>
  <c r="J784" i="154"/>
  <c r="B30" i="158"/>
  <c r="C731" i="154"/>
  <c r="J731" i="154"/>
  <c r="C732" i="154"/>
  <c r="J732" i="154"/>
  <c r="C733" i="154"/>
  <c r="J733" i="154"/>
  <c r="C734" i="154"/>
  <c r="J734" i="154"/>
  <c r="C735" i="154"/>
  <c r="J735" i="154"/>
  <c r="C736" i="154"/>
  <c r="J736" i="154"/>
  <c r="C737" i="154"/>
  <c r="J737" i="154"/>
  <c r="C738" i="154"/>
  <c r="J738" i="154"/>
  <c r="C739" i="154"/>
  <c r="J739" i="154"/>
  <c r="C740" i="154"/>
  <c r="J740" i="154"/>
  <c r="C741" i="154"/>
  <c r="J741" i="154"/>
  <c r="C742" i="154"/>
  <c r="J742" i="154"/>
  <c r="C743" i="154"/>
  <c r="J743" i="154"/>
  <c r="C744" i="154"/>
  <c r="J744" i="154"/>
  <c r="C745" i="154"/>
  <c r="J745" i="154"/>
  <c r="C746" i="154"/>
  <c r="J746" i="154"/>
  <c r="C747" i="154"/>
  <c r="J747" i="154"/>
  <c r="C748" i="154"/>
  <c r="J748" i="154"/>
  <c r="C749" i="154"/>
  <c r="J749" i="154"/>
  <c r="C750" i="154"/>
  <c r="J750" i="154"/>
  <c r="C751" i="154"/>
  <c r="J751" i="154"/>
  <c r="C752" i="154"/>
  <c r="J752" i="154"/>
  <c r="C753" i="154"/>
  <c r="J753" i="154"/>
  <c r="C754" i="154"/>
  <c r="J754" i="154"/>
  <c r="C755" i="154"/>
  <c r="J755" i="154"/>
  <c r="C756" i="154"/>
  <c r="J756" i="154"/>
  <c r="C757" i="154"/>
  <c r="J757" i="154"/>
  <c r="B29" i="158"/>
  <c r="C704" i="154"/>
  <c r="J704" i="154"/>
  <c r="C705" i="154"/>
  <c r="J705" i="154"/>
  <c r="C706" i="154"/>
  <c r="J706" i="154"/>
  <c r="C707" i="154"/>
  <c r="J707" i="154"/>
  <c r="C708" i="154"/>
  <c r="J708" i="154"/>
  <c r="C709" i="154"/>
  <c r="J709" i="154"/>
  <c r="C710" i="154"/>
  <c r="J710" i="154"/>
  <c r="C711" i="154"/>
  <c r="J711" i="154"/>
  <c r="C712" i="154"/>
  <c r="J712" i="154"/>
  <c r="C713" i="154"/>
  <c r="J713" i="154"/>
  <c r="C714" i="154"/>
  <c r="J714" i="154"/>
  <c r="C715" i="154"/>
  <c r="J715" i="154"/>
  <c r="C716" i="154"/>
  <c r="J716" i="154"/>
  <c r="C717" i="154"/>
  <c r="J717" i="154"/>
  <c r="C718" i="154"/>
  <c r="J718" i="154"/>
  <c r="C719" i="154"/>
  <c r="J719" i="154"/>
  <c r="C720" i="154"/>
  <c r="J720" i="154"/>
  <c r="C721" i="154"/>
  <c r="J721" i="154"/>
  <c r="C722" i="154"/>
  <c r="J722" i="154"/>
  <c r="C723" i="154"/>
  <c r="J723" i="154"/>
  <c r="C724" i="154"/>
  <c r="J724" i="154"/>
  <c r="C725" i="154"/>
  <c r="J725" i="154"/>
  <c r="C726" i="154"/>
  <c r="J726" i="154"/>
  <c r="C727" i="154"/>
  <c r="J727" i="154"/>
  <c r="C728" i="154"/>
  <c r="J728" i="154"/>
  <c r="C729" i="154"/>
  <c r="J729" i="154"/>
  <c r="C730" i="154"/>
  <c r="J730" i="154"/>
  <c r="B28" i="158"/>
  <c r="C677" i="154"/>
  <c r="J677" i="154"/>
  <c r="C678" i="154"/>
  <c r="J678" i="154"/>
  <c r="C679" i="154"/>
  <c r="J679" i="154"/>
  <c r="C680" i="154"/>
  <c r="J680" i="154"/>
  <c r="C681" i="154"/>
  <c r="J681" i="154"/>
  <c r="C682" i="154"/>
  <c r="J682" i="154"/>
  <c r="C683" i="154"/>
  <c r="J683" i="154"/>
  <c r="C684" i="154"/>
  <c r="J684" i="154"/>
  <c r="C685" i="154"/>
  <c r="J685" i="154"/>
  <c r="C686" i="154"/>
  <c r="J686" i="154"/>
  <c r="C687" i="154"/>
  <c r="J687" i="154"/>
  <c r="C688" i="154"/>
  <c r="J688" i="154"/>
  <c r="C689" i="154"/>
  <c r="J689" i="154"/>
  <c r="C690" i="154"/>
  <c r="J690" i="154"/>
  <c r="C691" i="154"/>
  <c r="J691" i="154"/>
  <c r="C692" i="154"/>
  <c r="J692" i="154"/>
  <c r="C693" i="154"/>
  <c r="J693" i="154"/>
  <c r="C694" i="154"/>
  <c r="J694" i="154"/>
  <c r="C695" i="154"/>
  <c r="J695" i="154"/>
  <c r="C696" i="154"/>
  <c r="J696" i="154"/>
  <c r="C697" i="154"/>
  <c r="J697" i="154"/>
  <c r="C698" i="154"/>
  <c r="J698" i="154"/>
  <c r="C699" i="154"/>
  <c r="J699" i="154"/>
  <c r="C700" i="154"/>
  <c r="J700" i="154"/>
  <c r="C701" i="154"/>
  <c r="J701" i="154"/>
  <c r="C702" i="154"/>
  <c r="J702" i="154"/>
  <c r="C703" i="154"/>
  <c r="J703" i="154"/>
  <c r="B27" i="158"/>
  <c r="C650" i="154"/>
  <c r="J650" i="154"/>
  <c r="C651" i="154"/>
  <c r="J651" i="154"/>
  <c r="C652" i="154"/>
  <c r="J652" i="154"/>
  <c r="C653" i="154"/>
  <c r="J653" i="154"/>
  <c r="C654" i="154"/>
  <c r="J654" i="154"/>
  <c r="C655" i="154"/>
  <c r="J655" i="154"/>
  <c r="C656" i="154"/>
  <c r="J656" i="154"/>
  <c r="C657" i="154"/>
  <c r="J657" i="154"/>
  <c r="C658" i="154"/>
  <c r="J658" i="154"/>
  <c r="C659" i="154"/>
  <c r="J659" i="154"/>
  <c r="C660" i="154"/>
  <c r="J660" i="154"/>
  <c r="C661" i="154"/>
  <c r="J661" i="154"/>
  <c r="C662" i="154"/>
  <c r="J662" i="154"/>
  <c r="C663" i="154"/>
  <c r="J663" i="154"/>
  <c r="C664" i="154"/>
  <c r="J664" i="154"/>
  <c r="C665" i="154"/>
  <c r="J665" i="154"/>
  <c r="C666" i="154"/>
  <c r="J666" i="154"/>
  <c r="C667" i="154"/>
  <c r="J667" i="154"/>
  <c r="C668" i="154"/>
  <c r="J668" i="154"/>
  <c r="C669" i="154"/>
  <c r="J669" i="154"/>
  <c r="C670" i="154"/>
  <c r="J670" i="154"/>
  <c r="C671" i="154"/>
  <c r="J671" i="154"/>
  <c r="C672" i="154"/>
  <c r="J672" i="154"/>
  <c r="C673" i="154"/>
  <c r="J673" i="154"/>
  <c r="C674" i="154"/>
  <c r="J674" i="154"/>
  <c r="C675" i="154"/>
  <c r="J675" i="154"/>
  <c r="C676" i="154"/>
  <c r="J676" i="154"/>
  <c r="B26" i="158"/>
  <c r="C623" i="154"/>
  <c r="J623" i="154"/>
  <c r="C624" i="154"/>
  <c r="J624" i="154"/>
  <c r="C625" i="154"/>
  <c r="J625" i="154"/>
  <c r="C626" i="154"/>
  <c r="J626" i="154"/>
  <c r="C627" i="154"/>
  <c r="J627" i="154"/>
  <c r="C628" i="154"/>
  <c r="J628" i="154"/>
  <c r="C629" i="154"/>
  <c r="J629" i="154"/>
  <c r="C630" i="154"/>
  <c r="J630" i="154"/>
  <c r="C631" i="154"/>
  <c r="J631" i="154"/>
  <c r="C632" i="154"/>
  <c r="J632" i="154"/>
  <c r="C633" i="154"/>
  <c r="J633" i="154"/>
  <c r="C634" i="154"/>
  <c r="J634" i="154"/>
  <c r="C635" i="154"/>
  <c r="J635" i="154"/>
  <c r="C636" i="154"/>
  <c r="J636" i="154"/>
  <c r="C637" i="154"/>
  <c r="J637" i="154"/>
  <c r="C638" i="154"/>
  <c r="J638" i="154"/>
  <c r="C639" i="154"/>
  <c r="J639" i="154"/>
  <c r="C640" i="154"/>
  <c r="J640" i="154"/>
  <c r="C641" i="154"/>
  <c r="J641" i="154"/>
  <c r="C642" i="154"/>
  <c r="J642" i="154"/>
  <c r="C643" i="154"/>
  <c r="J643" i="154"/>
  <c r="C644" i="154"/>
  <c r="J644" i="154"/>
  <c r="C645" i="154"/>
  <c r="J645" i="154"/>
  <c r="C646" i="154"/>
  <c r="J646" i="154"/>
  <c r="C647" i="154"/>
  <c r="J647" i="154"/>
  <c r="C648" i="154"/>
  <c r="J648" i="154"/>
  <c r="C649" i="154"/>
  <c r="J649" i="154"/>
  <c r="B25" i="158"/>
  <c r="C596" i="154"/>
  <c r="J596" i="154"/>
  <c r="C597" i="154"/>
  <c r="J597" i="154"/>
  <c r="C598" i="154"/>
  <c r="J598" i="154"/>
  <c r="C599" i="154"/>
  <c r="J599" i="154"/>
  <c r="C600" i="154"/>
  <c r="J600" i="154"/>
  <c r="C601" i="154"/>
  <c r="J601" i="154"/>
  <c r="C602" i="154"/>
  <c r="J602" i="154"/>
  <c r="C603" i="154"/>
  <c r="J603" i="154"/>
  <c r="C604" i="154"/>
  <c r="J604" i="154"/>
  <c r="C605" i="154"/>
  <c r="J605" i="154"/>
  <c r="C606" i="154"/>
  <c r="J606" i="154"/>
  <c r="C607" i="154"/>
  <c r="J607" i="154"/>
  <c r="C608" i="154"/>
  <c r="J608" i="154"/>
  <c r="C609" i="154"/>
  <c r="J609" i="154"/>
  <c r="C610" i="154"/>
  <c r="J610" i="154"/>
  <c r="C611" i="154"/>
  <c r="J611" i="154"/>
  <c r="C612" i="154"/>
  <c r="J612" i="154"/>
  <c r="C613" i="154"/>
  <c r="J613" i="154"/>
  <c r="C614" i="154"/>
  <c r="J614" i="154"/>
  <c r="C615" i="154"/>
  <c r="J615" i="154"/>
  <c r="C616" i="154"/>
  <c r="J616" i="154"/>
  <c r="C617" i="154"/>
  <c r="J617" i="154"/>
  <c r="C618" i="154"/>
  <c r="J618" i="154"/>
  <c r="C619" i="154"/>
  <c r="J619" i="154"/>
  <c r="C620" i="154"/>
  <c r="J620" i="154"/>
  <c r="C621" i="154"/>
  <c r="J621" i="154"/>
  <c r="C622" i="154"/>
  <c r="J622" i="154"/>
  <c r="B24" i="158"/>
  <c r="C569" i="154"/>
  <c r="J569" i="154"/>
  <c r="C570" i="154"/>
  <c r="J570" i="154"/>
  <c r="C571" i="154"/>
  <c r="J571" i="154"/>
  <c r="C572" i="154"/>
  <c r="J572" i="154"/>
  <c r="C573" i="154"/>
  <c r="J573" i="154"/>
  <c r="C574" i="154"/>
  <c r="J574" i="154"/>
  <c r="C575" i="154"/>
  <c r="J575" i="154"/>
  <c r="C576" i="154"/>
  <c r="J576" i="154"/>
  <c r="C577" i="154"/>
  <c r="J577" i="154"/>
  <c r="C578" i="154"/>
  <c r="J578" i="154"/>
  <c r="C579" i="154"/>
  <c r="J579" i="154"/>
  <c r="C580" i="154"/>
  <c r="J580" i="154"/>
  <c r="C581" i="154"/>
  <c r="J581" i="154"/>
  <c r="C582" i="154"/>
  <c r="J582" i="154"/>
  <c r="C583" i="154"/>
  <c r="J583" i="154"/>
  <c r="C584" i="154"/>
  <c r="J584" i="154"/>
  <c r="C585" i="154"/>
  <c r="J585" i="154"/>
  <c r="C586" i="154"/>
  <c r="J586" i="154"/>
  <c r="C587" i="154"/>
  <c r="J587" i="154"/>
  <c r="C588" i="154"/>
  <c r="J588" i="154"/>
  <c r="C589" i="154"/>
  <c r="J589" i="154"/>
  <c r="C590" i="154"/>
  <c r="J590" i="154"/>
  <c r="C591" i="154"/>
  <c r="J591" i="154"/>
  <c r="C592" i="154"/>
  <c r="J592" i="154"/>
  <c r="C593" i="154"/>
  <c r="J593" i="154"/>
  <c r="C594" i="154"/>
  <c r="J594" i="154"/>
  <c r="C595" i="154"/>
  <c r="J595" i="154"/>
  <c r="B23" i="158"/>
  <c r="C542" i="154"/>
  <c r="J542" i="154"/>
  <c r="C543" i="154"/>
  <c r="J543" i="154"/>
  <c r="C544" i="154"/>
  <c r="J544" i="154"/>
  <c r="C545" i="154"/>
  <c r="J545" i="154"/>
  <c r="C546" i="154"/>
  <c r="J546" i="154"/>
  <c r="C547" i="154"/>
  <c r="J547" i="154"/>
  <c r="C548" i="154"/>
  <c r="J548" i="154"/>
  <c r="C549" i="154"/>
  <c r="J549" i="154"/>
  <c r="C550" i="154"/>
  <c r="J550" i="154"/>
  <c r="C551" i="154"/>
  <c r="J551" i="154"/>
  <c r="C552" i="154"/>
  <c r="J552" i="154"/>
  <c r="C553" i="154"/>
  <c r="J553" i="154"/>
  <c r="C554" i="154"/>
  <c r="J554" i="154"/>
  <c r="C555" i="154"/>
  <c r="J555" i="154"/>
  <c r="C556" i="154"/>
  <c r="J556" i="154"/>
  <c r="C557" i="154"/>
  <c r="J557" i="154"/>
  <c r="C558" i="154"/>
  <c r="J558" i="154"/>
  <c r="C559" i="154"/>
  <c r="J559" i="154"/>
  <c r="C560" i="154"/>
  <c r="J560" i="154"/>
  <c r="C561" i="154"/>
  <c r="J561" i="154"/>
  <c r="C562" i="154"/>
  <c r="J562" i="154"/>
  <c r="C563" i="154"/>
  <c r="J563" i="154"/>
  <c r="C564" i="154"/>
  <c r="J564" i="154"/>
  <c r="C565" i="154"/>
  <c r="J565" i="154"/>
  <c r="C566" i="154"/>
  <c r="J566" i="154"/>
  <c r="C567" i="154"/>
  <c r="J567" i="154"/>
  <c r="C568" i="154"/>
  <c r="J568" i="154"/>
  <c r="B22" i="158"/>
  <c r="C515" i="154"/>
  <c r="J515" i="154"/>
  <c r="C516" i="154"/>
  <c r="J516" i="154"/>
  <c r="C517" i="154"/>
  <c r="J517" i="154"/>
  <c r="C518" i="154"/>
  <c r="J518" i="154"/>
  <c r="C519" i="154"/>
  <c r="J519" i="154"/>
  <c r="C520" i="154"/>
  <c r="J520" i="154"/>
  <c r="C521" i="154"/>
  <c r="J521" i="154"/>
  <c r="C522" i="154"/>
  <c r="J522" i="154"/>
  <c r="C523" i="154"/>
  <c r="J523" i="154"/>
  <c r="C524" i="154"/>
  <c r="J524" i="154"/>
  <c r="C525" i="154"/>
  <c r="J525" i="154"/>
  <c r="C526" i="154"/>
  <c r="J526" i="154"/>
  <c r="C527" i="154"/>
  <c r="J527" i="154"/>
  <c r="C528" i="154"/>
  <c r="J528" i="154"/>
  <c r="C529" i="154"/>
  <c r="J529" i="154"/>
  <c r="C530" i="154"/>
  <c r="J530" i="154"/>
  <c r="C531" i="154"/>
  <c r="J531" i="154"/>
  <c r="C532" i="154"/>
  <c r="J532" i="154"/>
  <c r="C533" i="154"/>
  <c r="J533" i="154"/>
  <c r="C534" i="154"/>
  <c r="J534" i="154"/>
  <c r="C535" i="154"/>
  <c r="J535" i="154"/>
  <c r="C536" i="154"/>
  <c r="J536" i="154"/>
  <c r="C537" i="154"/>
  <c r="J537" i="154"/>
  <c r="C538" i="154"/>
  <c r="J538" i="154"/>
  <c r="C539" i="154"/>
  <c r="J539" i="154"/>
  <c r="C540" i="154"/>
  <c r="J540" i="154"/>
  <c r="C541" i="154"/>
  <c r="J541" i="154"/>
  <c r="B21" i="158"/>
  <c r="C488" i="154"/>
  <c r="J488" i="154"/>
  <c r="C489" i="154"/>
  <c r="J489" i="154"/>
  <c r="C490" i="154"/>
  <c r="J490" i="154"/>
  <c r="C491" i="154"/>
  <c r="J491" i="154"/>
  <c r="C492" i="154"/>
  <c r="J492" i="154"/>
  <c r="C493" i="154"/>
  <c r="J493" i="154"/>
  <c r="C494" i="154"/>
  <c r="J494" i="154"/>
  <c r="C495" i="154"/>
  <c r="J495" i="154"/>
  <c r="C496" i="154"/>
  <c r="J496" i="154"/>
  <c r="C497" i="154"/>
  <c r="J497" i="154"/>
  <c r="C498" i="154"/>
  <c r="J498" i="154"/>
  <c r="C499" i="154"/>
  <c r="J499" i="154"/>
  <c r="C500" i="154"/>
  <c r="J500" i="154"/>
  <c r="C501" i="154"/>
  <c r="J501" i="154"/>
  <c r="C502" i="154"/>
  <c r="J502" i="154"/>
  <c r="C503" i="154"/>
  <c r="J503" i="154"/>
  <c r="C504" i="154"/>
  <c r="J504" i="154"/>
  <c r="C505" i="154"/>
  <c r="J505" i="154"/>
  <c r="C506" i="154"/>
  <c r="J506" i="154"/>
  <c r="C507" i="154"/>
  <c r="J507" i="154"/>
  <c r="C508" i="154"/>
  <c r="J508" i="154"/>
  <c r="C509" i="154"/>
  <c r="J509" i="154"/>
  <c r="C510" i="154"/>
  <c r="J510" i="154"/>
  <c r="C511" i="154"/>
  <c r="J511" i="154"/>
  <c r="C512" i="154"/>
  <c r="J512" i="154"/>
  <c r="C513" i="154"/>
  <c r="J513" i="154"/>
  <c r="C514" i="154"/>
  <c r="J514" i="154"/>
  <c r="B20" i="158"/>
  <c r="C461" i="154"/>
  <c r="J461" i="154"/>
  <c r="C462" i="154"/>
  <c r="J462" i="154"/>
  <c r="C463" i="154"/>
  <c r="J463" i="154"/>
  <c r="C464" i="154"/>
  <c r="J464" i="154"/>
  <c r="C465" i="154"/>
  <c r="J465" i="154"/>
  <c r="C466" i="154"/>
  <c r="J466" i="154"/>
  <c r="C467" i="154"/>
  <c r="J467" i="154"/>
  <c r="C468" i="154"/>
  <c r="J468" i="154"/>
  <c r="C469" i="154"/>
  <c r="J469" i="154"/>
  <c r="C470" i="154"/>
  <c r="J470" i="154"/>
  <c r="C471" i="154"/>
  <c r="J471" i="154"/>
  <c r="C472" i="154"/>
  <c r="J472" i="154"/>
  <c r="C473" i="154"/>
  <c r="J473" i="154"/>
  <c r="C474" i="154"/>
  <c r="J474" i="154"/>
  <c r="C475" i="154"/>
  <c r="J475" i="154"/>
  <c r="C476" i="154"/>
  <c r="J476" i="154"/>
  <c r="C477" i="154"/>
  <c r="J477" i="154"/>
  <c r="C478" i="154"/>
  <c r="J478" i="154"/>
  <c r="C479" i="154"/>
  <c r="J479" i="154"/>
  <c r="C480" i="154"/>
  <c r="J480" i="154"/>
  <c r="C481" i="154"/>
  <c r="J481" i="154"/>
  <c r="C482" i="154"/>
  <c r="J482" i="154"/>
  <c r="C483" i="154"/>
  <c r="J483" i="154"/>
  <c r="C484" i="154"/>
  <c r="J484" i="154"/>
  <c r="C485" i="154"/>
  <c r="J485" i="154"/>
  <c r="C486" i="154"/>
  <c r="J486" i="154"/>
  <c r="C487" i="154"/>
  <c r="J487" i="154"/>
  <c r="B19" i="158"/>
  <c r="C434" i="154"/>
  <c r="J434" i="154"/>
  <c r="C435" i="154"/>
  <c r="J435" i="154"/>
  <c r="C436" i="154"/>
  <c r="J436" i="154"/>
  <c r="C437" i="154"/>
  <c r="J437" i="154"/>
  <c r="C438" i="154"/>
  <c r="J438" i="154"/>
  <c r="C439" i="154"/>
  <c r="J439" i="154"/>
  <c r="C440" i="154"/>
  <c r="J440" i="154"/>
  <c r="C441" i="154"/>
  <c r="J441" i="154"/>
  <c r="C442" i="154"/>
  <c r="J442" i="154"/>
  <c r="C443" i="154"/>
  <c r="J443" i="154"/>
  <c r="C444" i="154"/>
  <c r="J444" i="154"/>
  <c r="C445" i="154"/>
  <c r="J445" i="154"/>
  <c r="C446" i="154"/>
  <c r="J446" i="154"/>
  <c r="C447" i="154"/>
  <c r="J447" i="154"/>
  <c r="C448" i="154"/>
  <c r="J448" i="154"/>
  <c r="C449" i="154"/>
  <c r="J449" i="154"/>
  <c r="C450" i="154"/>
  <c r="J450" i="154"/>
  <c r="C451" i="154"/>
  <c r="J451" i="154"/>
  <c r="C452" i="154"/>
  <c r="J452" i="154"/>
  <c r="C453" i="154"/>
  <c r="J453" i="154"/>
  <c r="C454" i="154"/>
  <c r="J454" i="154"/>
  <c r="C455" i="154"/>
  <c r="J455" i="154"/>
  <c r="C456" i="154"/>
  <c r="J456" i="154"/>
  <c r="C457" i="154"/>
  <c r="J457" i="154"/>
  <c r="C458" i="154"/>
  <c r="J458" i="154"/>
  <c r="C459" i="154"/>
  <c r="J459" i="154"/>
  <c r="C460" i="154"/>
  <c r="J460" i="154"/>
  <c r="B18" i="158"/>
  <c r="C407" i="154"/>
  <c r="J407" i="154"/>
  <c r="C408" i="154"/>
  <c r="J408" i="154"/>
  <c r="C409" i="154"/>
  <c r="J409" i="154"/>
  <c r="C410" i="154"/>
  <c r="J410" i="154"/>
  <c r="C411" i="154"/>
  <c r="J411" i="154"/>
  <c r="C412" i="154"/>
  <c r="J412" i="154"/>
  <c r="C413" i="154"/>
  <c r="J413" i="154"/>
  <c r="C414" i="154"/>
  <c r="J414" i="154"/>
  <c r="C415" i="154"/>
  <c r="J415" i="154"/>
  <c r="C416" i="154"/>
  <c r="J416" i="154"/>
  <c r="C417" i="154"/>
  <c r="J417" i="154"/>
  <c r="C418" i="154"/>
  <c r="J418" i="154"/>
  <c r="C419" i="154"/>
  <c r="J419" i="154"/>
  <c r="C420" i="154"/>
  <c r="J420" i="154"/>
  <c r="C421" i="154"/>
  <c r="J421" i="154"/>
  <c r="C422" i="154"/>
  <c r="J422" i="154"/>
  <c r="C423" i="154"/>
  <c r="J423" i="154"/>
  <c r="C424" i="154"/>
  <c r="J424" i="154"/>
  <c r="C425" i="154"/>
  <c r="J425" i="154"/>
  <c r="C426" i="154"/>
  <c r="J426" i="154"/>
  <c r="C427" i="154"/>
  <c r="J427" i="154"/>
  <c r="C428" i="154"/>
  <c r="J428" i="154"/>
  <c r="C429" i="154"/>
  <c r="J429" i="154"/>
  <c r="C430" i="154"/>
  <c r="J430" i="154"/>
  <c r="C431" i="154"/>
  <c r="J431" i="154"/>
  <c r="C432" i="154"/>
  <c r="J432" i="154"/>
  <c r="C433" i="154"/>
  <c r="J433" i="154"/>
  <c r="B17" i="158"/>
  <c r="C380" i="154"/>
  <c r="J380" i="154"/>
  <c r="C381" i="154"/>
  <c r="J381" i="154"/>
  <c r="C382" i="154"/>
  <c r="J382" i="154"/>
  <c r="C383" i="154"/>
  <c r="J383" i="154"/>
  <c r="C384" i="154"/>
  <c r="J384" i="154"/>
  <c r="C385" i="154"/>
  <c r="J385" i="154"/>
  <c r="C386" i="154"/>
  <c r="J386" i="154"/>
  <c r="C387" i="154"/>
  <c r="J387" i="154"/>
  <c r="C388" i="154"/>
  <c r="J388" i="154"/>
  <c r="C389" i="154"/>
  <c r="J389" i="154"/>
  <c r="C390" i="154"/>
  <c r="J390" i="154"/>
  <c r="C391" i="154"/>
  <c r="J391" i="154"/>
  <c r="C392" i="154"/>
  <c r="J392" i="154"/>
  <c r="C393" i="154"/>
  <c r="J393" i="154"/>
  <c r="C394" i="154"/>
  <c r="J394" i="154"/>
  <c r="C395" i="154"/>
  <c r="J395" i="154"/>
  <c r="C396" i="154"/>
  <c r="J396" i="154"/>
  <c r="C397" i="154"/>
  <c r="J397" i="154"/>
  <c r="C398" i="154"/>
  <c r="J398" i="154"/>
  <c r="C399" i="154"/>
  <c r="J399" i="154"/>
  <c r="C400" i="154"/>
  <c r="J400" i="154"/>
  <c r="C401" i="154"/>
  <c r="J401" i="154"/>
  <c r="C402" i="154"/>
  <c r="J402" i="154"/>
  <c r="C403" i="154"/>
  <c r="J403" i="154"/>
  <c r="C404" i="154"/>
  <c r="J404" i="154"/>
  <c r="C405" i="154"/>
  <c r="J405" i="154"/>
  <c r="C406" i="154"/>
  <c r="J406" i="154"/>
  <c r="B16" i="158"/>
  <c r="C353" i="154"/>
  <c r="J353" i="154"/>
  <c r="C354" i="154"/>
  <c r="J354" i="154"/>
  <c r="C355" i="154"/>
  <c r="J355" i="154"/>
  <c r="C356" i="154"/>
  <c r="J356" i="154"/>
  <c r="C357" i="154"/>
  <c r="J357" i="154"/>
  <c r="C358" i="154"/>
  <c r="J358" i="154"/>
  <c r="C359" i="154"/>
  <c r="J359" i="154"/>
  <c r="C360" i="154"/>
  <c r="J360" i="154"/>
  <c r="C361" i="154"/>
  <c r="J361" i="154"/>
  <c r="C362" i="154"/>
  <c r="J362" i="154"/>
  <c r="C363" i="154"/>
  <c r="J363" i="154"/>
  <c r="C364" i="154"/>
  <c r="J364" i="154"/>
  <c r="C365" i="154"/>
  <c r="J365" i="154"/>
  <c r="C366" i="154"/>
  <c r="J366" i="154"/>
  <c r="C367" i="154"/>
  <c r="J367" i="154"/>
  <c r="C368" i="154"/>
  <c r="J368" i="154"/>
  <c r="C369" i="154"/>
  <c r="J369" i="154"/>
  <c r="C370" i="154"/>
  <c r="J370" i="154"/>
  <c r="C371" i="154"/>
  <c r="J371" i="154"/>
  <c r="C372" i="154"/>
  <c r="J372" i="154"/>
  <c r="C373" i="154"/>
  <c r="J373" i="154"/>
  <c r="C374" i="154"/>
  <c r="J374" i="154"/>
  <c r="C375" i="154"/>
  <c r="J375" i="154"/>
  <c r="C376" i="154"/>
  <c r="J376" i="154"/>
  <c r="C377" i="154"/>
  <c r="J377" i="154"/>
  <c r="C378" i="154"/>
  <c r="J378" i="154"/>
  <c r="C379" i="154"/>
  <c r="J379" i="154"/>
  <c r="B15" i="158"/>
  <c r="C326" i="154"/>
  <c r="J326" i="154"/>
  <c r="C327" i="154"/>
  <c r="J327" i="154"/>
  <c r="C328" i="154"/>
  <c r="J328" i="154"/>
  <c r="C329" i="154"/>
  <c r="J329" i="154"/>
  <c r="C330" i="154"/>
  <c r="J330" i="154"/>
  <c r="C331" i="154"/>
  <c r="J331" i="154"/>
  <c r="C332" i="154"/>
  <c r="J332" i="154"/>
  <c r="C333" i="154"/>
  <c r="J333" i="154"/>
  <c r="C334" i="154"/>
  <c r="J334" i="154"/>
  <c r="C335" i="154"/>
  <c r="J335" i="154"/>
  <c r="C336" i="154"/>
  <c r="J336" i="154"/>
  <c r="C337" i="154"/>
  <c r="J337" i="154"/>
  <c r="C338" i="154"/>
  <c r="J338" i="154"/>
  <c r="C339" i="154"/>
  <c r="J339" i="154"/>
  <c r="C340" i="154"/>
  <c r="J340" i="154"/>
  <c r="C341" i="154"/>
  <c r="J341" i="154"/>
  <c r="C342" i="154"/>
  <c r="J342" i="154"/>
  <c r="C343" i="154"/>
  <c r="J343" i="154"/>
  <c r="C344" i="154"/>
  <c r="J344" i="154"/>
  <c r="C345" i="154"/>
  <c r="J345" i="154"/>
  <c r="C346" i="154"/>
  <c r="J346" i="154"/>
  <c r="C347" i="154"/>
  <c r="J347" i="154"/>
  <c r="C348" i="154"/>
  <c r="J348" i="154"/>
  <c r="C349" i="154"/>
  <c r="J349" i="154"/>
  <c r="C350" i="154"/>
  <c r="J350" i="154"/>
  <c r="C351" i="154"/>
  <c r="J351" i="154"/>
  <c r="C352" i="154"/>
  <c r="J352" i="154"/>
  <c r="B14" i="158"/>
  <c r="C299" i="154"/>
  <c r="J299" i="154"/>
  <c r="C300" i="154"/>
  <c r="J300" i="154"/>
  <c r="C301" i="154"/>
  <c r="J301" i="154"/>
  <c r="C302" i="154"/>
  <c r="J302" i="154"/>
  <c r="C303" i="154"/>
  <c r="J303" i="154"/>
  <c r="C304" i="154"/>
  <c r="J304" i="154"/>
  <c r="C305" i="154"/>
  <c r="J305" i="154"/>
  <c r="C306" i="154"/>
  <c r="J306" i="154"/>
  <c r="C307" i="154"/>
  <c r="J307" i="154"/>
  <c r="C308" i="154"/>
  <c r="J308" i="154"/>
  <c r="C309" i="154"/>
  <c r="J309" i="154"/>
  <c r="C310" i="154"/>
  <c r="J310" i="154"/>
  <c r="C311" i="154"/>
  <c r="J311" i="154"/>
  <c r="C312" i="154"/>
  <c r="J312" i="154"/>
  <c r="C313" i="154"/>
  <c r="J313" i="154"/>
  <c r="C314" i="154"/>
  <c r="J314" i="154"/>
  <c r="C315" i="154"/>
  <c r="J315" i="154"/>
  <c r="C316" i="154"/>
  <c r="J316" i="154"/>
  <c r="C317" i="154"/>
  <c r="J317" i="154"/>
  <c r="C318" i="154"/>
  <c r="J318" i="154"/>
  <c r="C319" i="154"/>
  <c r="J319" i="154"/>
  <c r="C320" i="154"/>
  <c r="J320" i="154"/>
  <c r="C321" i="154"/>
  <c r="J321" i="154"/>
  <c r="C322" i="154"/>
  <c r="J322" i="154"/>
  <c r="C323" i="154"/>
  <c r="J323" i="154"/>
  <c r="C324" i="154"/>
  <c r="J324" i="154"/>
  <c r="C325" i="154"/>
  <c r="J325" i="154"/>
  <c r="B13" i="158"/>
  <c r="C272" i="154"/>
  <c r="J272" i="154"/>
  <c r="C273" i="154"/>
  <c r="J273" i="154"/>
  <c r="C274" i="154"/>
  <c r="J274" i="154"/>
  <c r="C275" i="154"/>
  <c r="J275" i="154"/>
  <c r="C276" i="154"/>
  <c r="J276" i="154"/>
  <c r="C277" i="154"/>
  <c r="J277" i="154"/>
  <c r="C278" i="154"/>
  <c r="J278" i="154"/>
  <c r="C279" i="154"/>
  <c r="J279" i="154"/>
  <c r="C280" i="154"/>
  <c r="J280" i="154"/>
  <c r="C281" i="154"/>
  <c r="J281" i="154"/>
  <c r="C282" i="154"/>
  <c r="J282" i="154"/>
  <c r="C283" i="154"/>
  <c r="J283" i="154"/>
  <c r="C284" i="154"/>
  <c r="J284" i="154"/>
  <c r="C285" i="154"/>
  <c r="J285" i="154"/>
  <c r="C286" i="154"/>
  <c r="J286" i="154"/>
  <c r="C287" i="154"/>
  <c r="J287" i="154"/>
  <c r="C288" i="154"/>
  <c r="J288" i="154"/>
  <c r="C289" i="154"/>
  <c r="J289" i="154"/>
  <c r="C290" i="154"/>
  <c r="J290" i="154"/>
  <c r="C291" i="154"/>
  <c r="J291" i="154"/>
  <c r="C292" i="154"/>
  <c r="J292" i="154"/>
  <c r="C293" i="154"/>
  <c r="J293" i="154"/>
  <c r="C294" i="154"/>
  <c r="J294" i="154"/>
  <c r="C295" i="154"/>
  <c r="J295" i="154"/>
  <c r="C296" i="154"/>
  <c r="J296" i="154"/>
  <c r="C297" i="154"/>
  <c r="J297" i="154"/>
  <c r="C298" i="154"/>
  <c r="J298" i="154"/>
  <c r="B12" i="158"/>
  <c r="C245" i="154"/>
  <c r="J245" i="154"/>
  <c r="C246" i="154"/>
  <c r="J246" i="154"/>
  <c r="C247" i="154"/>
  <c r="J247" i="154"/>
  <c r="C248" i="154"/>
  <c r="J248" i="154"/>
  <c r="C249" i="154"/>
  <c r="J249" i="154"/>
  <c r="C250" i="154"/>
  <c r="J250" i="154"/>
  <c r="C251" i="154"/>
  <c r="J251" i="154"/>
  <c r="C252" i="154"/>
  <c r="J252" i="154"/>
  <c r="C253" i="154"/>
  <c r="J253" i="154"/>
  <c r="C254" i="154"/>
  <c r="J254" i="154"/>
  <c r="C255" i="154"/>
  <c r="J255" i="154"/>
  <c r="C256" i="154"/>
  <c r="J256" i="154"/>
  <c r="C257" i="154"/>
  <c r="J257" i="154"/>
  <c r="C258" i="154"/>
  <c r="J258" i="154"/>
  <c r="C259" i="154"/>
  <c r="J259" i="154"/>
  <c r="C260" i="154"/>
  <c r="J260" i="154"/>
  <c r="C261" i="154"/>
  <c r="J261" i="154"/>
  <c r="C262" i="154"/>
  <c r="J262" i="154"/>
  <c r="C263" i="154"/>
  <c r="J263" i="154"/>
  <c r="C264" i="154"/>
  <c r="J264" i="154"/>
  <c r="C265" i="154"/>
  <c r="J265" i="154"/>
  <c r="C266" i="154"/>
  <c r="J266" i="154"/>
  <c r="C267" i="154"/>
  <c r="J267" i="154"/>
  <c r="C268" i="154"/>
  <c r="J268" i="154"/>
  <c r="C269" i="154"/>
  <c r="J269" i="154"/>
  <c r="C270" i="154"/>
  <c r="J270" i="154"/>
  <c r="C271" i="154"/>
  <c r="J271" i="154"/>
  <c r="B11" i="158"/>
  <c r="C218" i="154"/>
  <c r="J218" i="154"/>
  <c r="C219" i="154"/>
  <c r="J219" i="154"/>
  <c r="C220" i="154"/>
  <c r="J220" i="154"/>
  <c r="C221" i="154"/>
  <c r="J221" i="154"/>
  <c r="C222" i="154"/>
  <c r="J222" i="154"/>
  <c r="C223" i="154"/>
  <c r="J223" i="154"/>
  <c r="C224" i="154"/>
  <c r="J224" i="154"/>
  <c r="C225" i="154"/>
  <c r="J225" i="154"/>
  <c r="C226" i="154"/>
  <c r="J226" i="154"/>
  <c r="C227" i="154"/>
  <c r="J227" i="154"/>
  <c r="C228" i="154"/>
  <c r="J228" i="154"/>
  <c r="C229" i="154"/>
  <c r="J229" i="154"/>
  <c r="C230" i="154"/>
  <c r="J230" i="154"/>
  <c r="C231" i="154"/>
  <c r="J231" i="154"/>
  <c r="C232" i="154"/>
  <c r="J232" i="154"/>
  <c r="C233" i="154"/>
  <c r="J233" i="154"/>
  <c r="C234" i="154"/>
  <c r="J234" i="154"/>
  <c r="C235" i="154"/>
  <c r="J235" i="154"/>
  <c r="C236" i="154"/>
  <c r="J236" i="154"/>
  <c r="C237" i="154"/>
  <c r="J237" i="154"/>
  <c r="C238" i="154"/>
  <c r="J238" i="154"/>
  <c r="C239" i="154"/>
  <c r="J239" i="154"/>
  <c r="C240" i="154"/>
  <c r="J240" i="154"/>
  <c r="C241" i="154"/>
  <c r="J241" i="154"/>
  <c r="C242" i="154"/>
  <c r="J242" i="154"/>
  <c r="C243" i="154"/>
  <c r="J243" i="154"/>
  <c r="C244" i="154"/>
  <c r="J244" i="154"/>
  <c r="B10" i="158"/>
  <c r="C191" i="154"/>
  <c r="J191" i="154"/>
  <c r="C192" i="154"/>
  <c r="J192" i="154"/>
  <c r="C193" i="154"/>
  <c r="J193" i="154"/>
  <c r="C194" i="154"/>
  <c r="J194" i="154"/>
  <c r="C195" i="154"/>
  <c r="J195" i="154"/>
  <c r="C196" i="154"/>
  <c r="J196" i="154"/>
  <c r="C197" i="154"/>
  <c r="J197" i="154"/>
  <c r="C198" i="154"/>
  <c r="J198" i="154"/>
  <c r="C199" i="154"/>
  <c r="J199" i="154"/>
  <c r="C200" i="154"/>
  <c r="J200" i="154"/>
  <c r="C201" i="154"/>
  <c r="J201" i="154"/>
  <c r="C202" i="154"/>
  <c r="J202" i="154"/>
  <c r="C203" i="154"/>
  <c r="J203" i="154"/>
  <c r="C204" i="154"/>
  <c r="J204" i="154"/>
  <c r="C205" i="154"/>
  <c r="J205" i="154"/>
  <c r="C206" i="154"/>
  <c r="J206" i="154"/>
  <c r="C207" i="154"/>
  <c r="J207" i="154"/>
  <c r="C208" i="154"/>
  <c r="J208" i="154"/>
  <c r="C209" i="154"/>
  <c r="J209" i="154"/>
  <c r="C210" i="154"/>
  <c r="J210" i="154"/>
  <c r="C211" i="154"/>
  <c r="J211" i="154"/>
  <c r="C212" i="154"/>
  <c r="J212" i="154"/>
  <c r="C213" i="154"/>
  <c r="J213" i="154"/>
  <c r="C214" i="154"/>
  <c r="J214" i="154"/>
  <c r="C215" i="154"/>
  <c r="J215" i="154"/>
  <c r="C216" i="154"/>
  <c r="J216" i="154"/>
  <c r="C217" i="154"/>
  <c r="J217" i="154"/>
  <c r="B9" i="158"/>
  <c r="C164" i="154"/>
  <c r="J164" i="154"/>
  <c r="C165" i="154"/>
  <c r="J165" i="154"/>
  <c r="C166" i="154"/>
  <c r="J166" i="154"/>
  <c r="C167" i="154"/>
  <c r="J167" i="154"/>
  <c r="C168" i="154"/>
  <c r="J168" i="154"/>
  <c r="C169" i="154"/>
  <c r="J169" i="154"/>
  <c r="C170" i="154"/>
  <c r="J170" i="154"/>
  <c r="C171" i="154"/>
  <c r="J171" i="154"/>
  <c r="C172" i="154"/>
  <c r="J172" i="154"/>
  <c r="C173" i="154"/>
  <c r="J173" i="154"/>
  <c r="C174" i="154"/>
  <c r="J174" i="154"/>
  <c r="C175" i="154"/>
  <c r="J175" i="154"/>
  <c r="C176" i="154"/>
  <c r="J176" i="154"/>
  <c r="C177" i="154"/>
  <c r="J177" i="154"/>
  <c r="C178" i="154"/>
  <c r="J178" i="154"/>
  <c r="C179" i="154"/>
  <c r="J179" i="154"/>
  <c r="C180" i="154"/>
  <c r="J180" i="154"/>
  <c r="C181" i="154"/>
  <c r="J181" i="154"/>
  <c r="C182" i="154"/>
  <c r="J182" i="154"/>
  <c r="C183" i="154"/>
  <c r="J183" i="154"/>
  <c r="C184" i="154"/>
  <c r="J184" i="154"/>
  <c r="C185" i="154"/>
  <c r="J185" i="154"/>
  <c r="C186" i="154"/>
  <c r="J186" i="154"/>
  <c r="C187" i="154"/>
  <c r="J187" i="154"/>
  <c r="C188" i="154"/>
  <c r="J188" i="154"/>
  <c r="C189" i="154"/>
  <c r="J189" i="154"/>
  <c r="C190" i="154"/>
  <c r="J190" i="154"/>
  <c r="B8" i="158"/>
  <c r="C137" i="154"/>
  <c r="J137" i="154"/>
  <c r="C138" i="154"/>
  <c r="J138" i="154"/>
  <c r="C139" i="154"/>
  <c r="J139" i="154"/>
  <c r="C140" i="154"/>
  <c r="J140" i="154"/>
  <c r="C141" i="154"/>
  <c r="J141" i="154"/>
  <c r="C142" i="154"/>
  <c r="J142" i="154"/>
  <c r="C143" i="154"/>
  <c r="J143" i="154"/>
  <c r="C144" i="154"/>
  <c r="J144" i="154"/>
  <c r="C145" i="154"/>
  <c r="J145" i="154"/>
  <c r="C146" i="154"/>
  <c r="J146" i="154"/>
  <c r="C147" i="154"/>
  <c r="J147" i="154"/>
  <c r="C148" i="154"/>
  <c r="J148" i="154"/>
  <c r="C149" i="154"/>
  <c r="J149" i="154"/>
  <c r="C150" i="154"/>
  <c r="J150" i="154"/>
  <c r="C151" i="154"/>
  <c r="J151" i="154"/>
  <c r="C152" i="154"/>
  <c r="J152" i="154"/>
  <c r="C153" i="154"/>
  <c r="J153" i="154"/>
  <c r="C154" i="154"/>
  <c r="J154" i="154"/>
  <c r="C155" i="154"/>
  <c r="J155" i="154"/>
  <c r="C156" i="154"/>
  <c r="J156" i="154"/>
  <c r="C157" i="154"/>
  <c r="J157" i="154"/>
  <c r="C158" i="154"/>
  <c r="J158" i="154"/>
  <c r="C159" i="154"/>
  <c r="J159" i="154"/>
  <c r="C160" i="154"/>
  <c r="J160" i="154"/>
  <c r="C161" i="154"/>
  <c r="J161" i="154"/>
  <c r="C162" i="154"/>
  <c r="J162" i="154"/>
  <c r="C163" i="154"/>
  <c r="J163" i="154"/>
  <c r="B7" i="158"/>
  <c r="C110" i="154"/>
  <c r="J110" i="154"/>
  <c r="C111" i="154"/>
  <c r="J111" i="154"/>
  <c r="C112" i="154"/>
  <c r="J112" i="154"/>
  <c r="C113" i="154"/>
  <c r="J113" i="154"/>
  <c r="C114" i="154"/>
  <c r="J114" i="154"/>
  <c r="C115" i="154"/>
  <c r="J115" i="154"/>
  <c r="C116" i="154"/>
  <c r="J116" i="154"/>
  <c r="C117" i="154"/>
  <c r="J117" i="154"/>
  <c r="C118" i="154"/>
  <c r="J118" i="154"/>
  <c r="C119" i="154"/>
  <c r="J119" i="154"/>
  <c r="C120" i="154"/>
  <c r="J120" i="154"/>
  <c r="C121" i="154"/>
  <c r="J121" i="154"/>
  <c r="C122" i="154"/>
  <c r="J122" i="154"/>
  <c r="C123" i="154"/>
  <c r="J123" i="154"/>
  <c r="C124" i="154"/>
  <c r="J124" i="154"/>
  <c r="C125" i="154"/>
  <c r="J125" i="154"/>
  <c r="C126" i="154"/>
  <c r="J126" i="154"/>
  <c r="C127" i="154"/>
  <c r="J127" i="154"/>
  <c r="C128" i="154"/>
  <c r="J128" i="154"/>
  <c r="C129" i="154"/>
  <c r="J129" i="154"/>
  <c r="C130" i="154"/>
  <c r="J130" i="154"/>
  <c r="C131" i="154"/>
  <c r="J131" i="154"/>
  <c r="C132" i="154"/>
  <c r="J132" i="154"/>
  <c r="C133" i="154"/>
  <c r="J133" i="154"/>
  <c r="C134" i="154"/>
  <c r="J134" i="154"/>
  <c r="C135" i="154"/>
  <c r="J135" i="154"/>
  <c r="C136" i="154"/>
  <c r="J136" i="154"/>
  <c r="B6" i="158"/>
  <c r="C83" i="154"/>
  <c r="J83" i="154"/>
  <c r="C84" i="154"/>
  <c r="J84" i="154"/>
  <c r="C85" i="154"/>
  <c r="J85" i="154"/>
  <c r="C86" i="154"/>
  <c r="J86" i="154"/>
  <c r="C87" i="154"/>
  <c r="J87" i="154"/>
  <c r="C88" i="154"/>
  <c r="J88" i="154"/>
  <c r="C89" i="154"/>
  <c r="J89" i="154"/>
  <c r="C90" i="154"/>
  <c r="J90" i="154"/>
  <c r="C91" i="154"/>
  <c r="J91" i="154"/>
  <c r="C92" i="154"/>
  <c r="J92" i="154"/>
  <c r="C93" i="154"/>
  <c r="J93" i="154"/>
  <c r="C94" i="154"/>
  <c r="J94" i="154"/>
  <c r="C95" i="154"/>
  <c r="J95" i="154"/>
  <c r="C96" i="154"/>
  <c r="J96" i="154"/>
  <c r="C97" i="154"/>
  <c r="J97" i="154"/>
  <c r="C98" i="154"/>
  <c r="J98" i="154"/>
  <c r="C99" i="154"/>
  <c r="J99" i="154"/>
  <c r="C100" i="154"/>
  <c r="J100" i="154"/>
  <c r="C101" i="154"/>
  <c r="J101" i="154"/>
  <c r="C102" i="154"/>
  <c r="J102" i="154"/>
  <c r="C103" i="154"/>
  <c r="J103" i="154"/>
  <c r="C104" i="154"/>
  <c r="J104" i="154"/>
  <c r="C105" i="154"/>
  <c r="J105" i="154"/>
  <c r="C106" i="154"/>
  <c r="J106" i="154"/>
  <c r="C107" i="154"/>
  <c r="J107" i="154"/>
  <c r="C108" i="154"/>
  <c r="J108" i="154"/>
  <c r="C109" i="154"/>
  <c r="J109" i="154"/>
  <c r="B5" i="158"/>
  <c r="C56" i="154"/>
  <c r="J56" i="154"/>
  <c r="C57" i="154"/>
  <c r="J57" i="154"/>
  <c r="C58" i="154"/>
  <c r="J58" i="154"/>
  <c r="C59" i="154"/>
  <c r="J59" i="154"/>
  <c r="C60" i="154"/>
  <c r="J60" i="154"/>
  <c r="C61" i="154"/>
  <c r="J61" i="154"/>
  <c r="C62" i="154"/>
  <c r="J62" i="154"/>
  <c r="C63" i="154"/>
  <c r="J63" i="154"/>
  <c r="C64" i="154"/>
  <c r="J64" i="154"/>
  <c r="C65" i="154"/>
  <c r="J65" i="154"/>
  <c r="C66" i="154"/>
  <c r="J66" i="154"/>
  <c r="C67" i="154"/>
  <c r="J67" i="154"/>
  <c r="C68" i="154"/>
  <c r="J68" i="154"/>
  <c r="C69" i="154"/>
  <c r="J69" i="154"/>
  <c r="C70" i="154"/>
  <c r="J70" i="154"/>
  <c r="C71" i="154"/>
  <c r="J71" i="154"/>
  <c r="C72" i="154"/>
  <c r="J72" i="154"/>
  <c r="C73" i="154"/>
  <c r="J73" i="154"/>
  <c r="C74" i="154"/>
  <c r="J74" i="154"/>
  <c r="C75" i="154"/>
  <c r="J75" i="154"/>
  <c r="C76" i="154"/>
  <c r="J76" i="154"/>
  <c r="C77" i="154"/>
  <c r="J77" i="154"/>
  <c r="C78" i="154"/>
  <c r="J78" i="154"/>
  <c r="C79" i="154"/>
  <c r="J79" i="154"/>
  <c r="C80" i="154"/>
  <c r="J80" i="154"/>
  <c r="C81" i="154"/>
  <c r="J81" i="154"/>
  <c r="C82" i="154"/>
  <c r="J82" i="154"/>
  <c r="B4" i="158"/>
  <c r="C29" i="154"/>
  <c r="J29" i="154"/>
  <c r="C30" i="154"/>
  <c r="J30" i="154"/>
  <c r="C31" i="154"/>
  <c r="J31" i="154"/>
  <c r="C32" i="154"/>
  <c r="J32" i="154"/>
  <c r="C33" i="154"/>
  <c r="J33" i="154"/>
  <c r="C34" i="154"/>
  <c r="J34" i="154"/>
  <c r="C35" i="154"/>
  <c r="J35" i="154"/>
  <c r="C36" i="154"/>
  <c r="J36" i="154"/>
  <c r="C37" i="154"/>
  <c r="J37" i="154"/>
  <c r="C38" i="154"/>
  <c r="J38" i="154"/>
  <c r="C39" i="154"/>
  <c r="J39" i="154"/>
  <c r="C40" i="154"/>
  <c r="J40" i="154"/>
  <c r="C41" i="154"/>
  <c r="J41" i="154"/>
  <c r="C42" i="154"/>
  <c r="J42" i="154"/>
  <c r="C43" i="154"/>
  <c r="J43" i="154"/>
  <c r="C44" i="154"/>
  <c r="J44" i="154"/>
  <c r="C45" i="154"/>
  <c r="J45" i="154"/>
  <c r="C46" i="154"/>
  <c r="J46" i="154"/>
  <c r="C47" i="154"/>
  <c r="J47" i="154"/>
  <c r="C48" i="154"/>
  <c r="J48" i="154"/>
  <c r="C49" i="154"/>
  <c r="J49" i="154"/>
  <c r="C50" i="154"/>
  <c r="J50" i="154"/>
  <c r="C51" i="154"/>
  <c r="J51" i="154"/>
  <c r="C52" i="154"/>
  <c r="J52" i="154"/>
  <c r="C53" i="154"/>
  <c r="J53" i="154"/>
  <c r="C54" i="154"/>
  <c r="J54" i="154"/>
  <c r="C55" i="154"/>
  <c r="J55" i="154"/>
  <c r="B3" i="158"/>
  <c r="C7" i="154"/>
  <c r="J7" i="154"/>
  <c r="J785" i="154"/>
  <c r="J786" i="154"/>
  <c r="J787" i="154"/>
  <c r="J788" i="154"/>
  <c r="J789" i="154"/>
  <c r="J790" i="154"/>
  <c r="J791" i="154"/>
  <c r="J792" i="154"/>
  <c r="J793" i="154"/>
  <c r="J794" i="154"/>
  <c r="J795" i="154"/>
  <c r="J796" i="154"/>
  <c r="J797" i="154"/>
  <c r="J798" i="154"/>
  <c r="J799" i="154"/>
  <c r="J800" i="154"/>
  <c r="J801" i="154"/>
  <c r="J802" i="154"/>
  <c r="J803" i="154"/>
  <c r="J804" i="154"/>
  <c r="J805" i="154"/>
  <c r="J806" i="154"/>
  <c r="J807" i="154"/>
  <c r="J808" i="154"/>
  <c r="J809" i="154"/>
  <c r="J810" i="154"/>
  <c r="J811" i="154"/>
  <c r="J812" i="154"/>
  <c r="J813" i="154"/>
  <c r="J814" i="154"/>
  <c r="J815" i="154"/>
  <c r="J816" i="154"/>
  <c r="J817" i="154"/>
  <c r="J818" i="154"/>
  <c r="J819" i="154"/>
  <c r="J820" i="154"/>
  <c r="J821" i="154"/>
  <c r="J822" i="154"/>
  <c r="J823" i="154"/>
  <c r="J824" i="154"/>
  <c r="J825" i="154"/>
  <c r="J826" i="154"/>
  <c r="J827" i="154"/>
  <c r="J828" i="154"/>
  <c r="J829" i="154"/>
  <c r="J830" i="154"/>
  <c r="J831" i="154"/>
  <c r="J832" i="154"/>
  <c r="J833" i="154"/>
  <c r="J834" i="154"/>
  <c r="J835" i="154"/>
  <c r="J836" i="154"/>
  <c r="J837" i="154"/>
  <c r="J838" i="154"/>
  <c r="J839" i="154"/>
  <c r="J840" i="154"/>
  <c r="J841" i="154"/>
  <c r="J842" i="154"/>
  <c r="J843" i="154"/>
  <c r="J844" i="154"/>
  <c r="J845" i="154"/>
  <c r="J846" i="154"/>
  <c r="J847" i="154"/>
  <c r="J848" i="154"/>
  <c r="J849" i="154"/>
  <c r="J850" i="154"/>
  <c r="J851" i="154"/>
  <c r="J852" i="154"/>
  <c r="J853" i="154"/>
  <c r="J854" i="154"/>
  <c r="J855" i="154"/>
  <c r="J856" i="154"/>
  <c r="J857" i="154"/>
  <c r="J858" i="154"/>
  <c r="J859" i="154"/>
  <c r="J860" i="154"/>
  <c r="J861" i="154"/>
  <c r="J862" i="154"/>
  <c r="J863" i="154"/>
  <c r="J864" i="154"/>
  <c r="J865" i="154"/>
  <c r="J893" i="154"/>
  <c r="J894" i="154"/>
  <c r="J895" i="154"/>
  <c r="J896" i="154"/>
  <c r="J897" i="154"/>
  <c r="J898" i="154"/>
  <c r="J899" i="154"/>
  <c r="J900" i="154"/>
  <c r="J901" i="154"/>
  <c r="J902" i="154"/>
  <c r="J903" i="154"/>
  <c r="J904" i="154"/>
  <c r="J905" i="154"/>
  <c r="J906" i="154"/>
  <c r="J907" i="154"/>
  <c r="J908" i="154"/>
  <c r="J909" i="154"/>
  <c r="J910" i="154"/>
  <c r="J911" i="154"/>
  <c r="J912" i="154"/>
  <c r="J913" i="154"/>
  <c r="J914" i="154"/>
  <c r="J915" i="154"/>
  <c r="J916" i="154"/>
  <c r="J917" i="154"/>
  <c r="J918" i="154"/>
  <c r="J919" i="154"/>
  <c r="J920" i="154"/>
  <c r="J921" i="154"/>
  <c r="J922" i="154"/>
  <c r="J923" i="154"/>
  <c r="J924" i="154"/>
  <c r="J925" i="154"/>
  <c r="J926" i="154"/>
  <c r="J927" i="154"/>
  <c r="J928" i="154"/>
  <c r="J929" i="154"/>
  <c r="J930" i="154"/>
  <c r="J931" i="154"/>
  <c r="J932" i="154"/>
  <c r="J933" i="154"/>
  <c r="J934" i="154"/>
  <c r="J935" i="154"/>
  <c r="J936" i="154"/>
  <c r="J937" i="154"/>
  <c r="J938" i="154"/>
  <c r="J939" i="154"/>
  <c r="J940" i="154"/>
  <c r="J941" i="154"/>
  <c r="J942" i="154"/>
  <c r="J943" i="154"/>
  <c r="J944" i="154"/>
  <c r="J945" i="154"/>
  <c r="J946" i="154"/>
  <c r="J947" i="154"/>
  <c r="J948" i="154"/>
  <c r="J949" i="154"/>
  <c r="J950" i="154"/>
  <c r="J951" i="154"/>
  <c r="J952" i="154"/>
  <c r="J953" i="154"/>
  <c r="J954" i="154"/>
  <c r="J955" i="154"/>
  <c r="J956" i="154"/>
  <c r="J957" i="154"/>
  <c r="J958" i="154"/>
  <c r="J959" i="154"/>
  <c r="J960" i="154"/>
  <c r="J961" i="154"/>
  <c r="J962" i="154"/>
  <c r="J963" i="154"/>
  <c r="J964" i="154"/>
  <c r="J965" i="154"/>
  <c r="J966" i="154"/>
  <c r="J967" i="154"/>
  <c r="J968" i="154"/>
  <c r="J969" i="154"/>
  <c r="J970" i="154"/>
  <c r="J971" i="154"/>
  <c r="J972" i="154"/>
  <c r="J973" i="154"/>
  <c r="C28" i="154"/>
  <c r="J28" i="154"/>
  <c r="C27" i="154"/>
  <c r="J27" i="154"/>
  <c r="C26" i="154"/>
  <c r="J26" i="154"/>
  <c r="C25" i="154"/>
  <c r="J25" i="154"/>
  <c r="C24" i="154"/>
  <c r="J24" i="154"/>
  <c r="C23" i="154"/>
  <c r="J23" i="154"/>
  <c r="C22" i="154"/>
  <c r="J22" i="154"/>
  <c r="C21" i="154"/>
  <c r="J21" i="154"/>
  <c r="C20" i="154"/>
  <c r="J20" i="154"/>
  <c r="C19" i="154"/>
  <c r="J19" i="154"/>
  <c r="C18" i="154"/>
  <c r="J18" i="154"/>
  <c r="C17" i="154"/>
  <c r="J17" i="154"/>
  <c r="C16" i="154"/>
  <c r="J16" i="154"/>
  <c r="C15" i="154"/>
  <c r="J15" i="154"/>
  <c r="C14" i="154"/>
  <c r="J14" i="154"/>
  <c r="C13" i="154"/>
  <c r="J13" i="154"/>
  <c r="C12" i="154"/>
  <c r="J12" i="154"/>
  <c r="C11" i="154"/>
  <c r="J11" i="154"/>
  <c r="C10" i="154"/>
  <c r="J10" i="154"/>
  <c r="C9" i="154"/>
  <c r="J9" i="154"/>
  <c r="C8" i="154"/>
  <c r="J8" i="154"/>
  <c r="C6" i="154"/>
  <c r="J6" i="154"/>
  <c r="C5" i="154"/>
  <c r="J5" i="154"/>
  <c r="C4" i="154"/>
  <c r="J4" i="154"/>
  <c r="C3" i="154"/>
  <c r="J3" i="154"/>
  <c r="C2" i="154"/>
  <c r="J2" i="154"/>
  <c r="B2" i="158"/>
  <c r="BN31" i="126"/>
  <c r="BO31" i="126"/>
  <c r="BP31" i="126"/>
  <c r="BQ31" i="126"/>
  <c r="BR31" i="126"/>
  <c r="BM31" i="126"/>
  <c r="BM4" i="126"/>
  <c r="BN4" i="126"/>
  <c r="BO4" i="126"/>
  <c r="BP4" i="126"/>
  <c r="BQ4" i="126"/>
  <c r="BR4" i="126"/>
  <c r="BM5" i="126"/>
  <c r="BN5" i="126"/>
  <c r="BO5" i="126"/>
  <c r="BP5" i="126"/>
  <c r="BQ5" i="126"/>
  <c r="BR5" i="126"/>
  <c r="BM6" i="126"/>
  <c r="BN6" i="126"/>
  <c r="BO6" i="126"/>
  <c r="BP6" i="126"/>
  <c r="BQ6" i="126"/>
  <c r="BR6" i="126"/>
  <c r="BM7" i="126"/>
  <c r="BN7" i="126"/>
  <c r="BO7" i="126"/>
  <c r="BP7" i="126"/>
  <c r="BQ7" i="126"/>
  <c r="BR7" i="126"/>
  <c r="BM8" i="126"/>
  <c r="BN8" i="126"/>
  <c r="BO8" i="126"/>
  <c r="BP8" i="126"/>
  <c r="BQ8" i="126"/>
  <c r="BR8" i="126"/>
  <c r="BM9" i="126"/>
  <c r="BN9" i="126"/>
  <c r="BO9" i="126"/>
  <c r="BP9" i="126"/>
  <c r="BQ9" i="126"/>
  <c r="BR9" i="126"/>
  <c r="BM10" i="126"/>
  <c r="BN10" i="126"/>
  <c r="BO10" i="126"/>
  <c r="BP10" i="126"/>
  <c r="BQ10" i="126"/>
  <c r="BR10" i="126"/>
  <c r="BM11" i="126"/>
  <c r="BN11" i="126"/>
  <c r="BO11" i="126"/>
  <c r="BP11" i="126"/>
  <c r="BQ11" i="126"/>
  <c r="BR11" i="126"/>
  <c r="BM12" i="126"/>
  <c r="BN12" i="126"/>
  <c r="BO12" i="126"/>
  <c r="BP12" i="126"/>
  <c r="BQ12" i="126"/>
  <c r="BR12" i="126"/>
  <c r="BM13" i="126"/>
  <c r="BN13" i="126"/>
  <c r="BO13" i="126"/>
  <c r="BP13" i="126"/>
  <c r="BQ13" i="126"/>
  <c r="BR13" i="126"/>
  <c r="BM14" i="126"/>
  <c r="BN14" i="126"/>
  <c r="BO14" i="126"/>
  <c r="BP14" i="126"/>
  <c r="BQ14" i="126"/>
  <c r="BR14" i="126"/>
  <c r="BM15" i="126"/>
  <c r="BN15" i="126"/>
  <c r="BO15" i="126"/>
  <c r="BP15" i="126"/>
  <c r="BQ15" i="126"/>
  <c r="BR15" i="126"/>
  <c r="BM16" i="126"/>
  <c r="BN16" i="126"/>
  <c r="BO16" i="126"/>
  <c r="BP16" i="126"/>
  <c r="BQ16" i="126"/>
  <c r="BR16" i="126"/>
  <c r="BM17" i="126"/>
  <c r="BN17" i="126"/>
  <c r="BO17" i="126"/>
  <c r="BP17" i="126"/>
  <c r="BQ17" i="126"/>
  <c r="BR17" i="126"/>
  <c r="BM18" i="126"/>
  <c r="BN18" i="126"/>
  <c r="BO18" i="126"/>
  <c r="BP18" i="126"/>
  <c r="BQ18" i="126"/>
  <c r="BR18" i="126"/>
  <c r="BM19" i="126"/>
  <c r="BN19" i="126"/>
  <c r="BO19" i="126"/>
  <c r="BP19" i="126"/>
  <c r="BQ19" i="126"/>
  <c r="BR19" i="126"/>
  <c r="BM20" i="126"/>
  <c r="BN20" i="126"/>
  <c r="BO20" i="126"/>
  <c r="BP20" i="126"/>
  <c r="BQ20" i="126"/>
  <c r="BR20" i="126"/>
  <c r="BM21" i="126"/>
  <c r="BN21" i="126"/>
  <c r="BO21" i="126"/>
  <c r="BP21" i="126"/>
  <c r="BQ21" i="126"/>
  <c r="BR21" i="126"/>
  <c r="BM22" i="126"/>
  <c r="BN22" i="126"/>
  <c r="BO22" i="126"/>
  <c r="BP22" i="126"/>
  <c r="BQ22" i="126"/>
  <c r="BR22" i="126"/>
  <c r="BM23" i="126"/>
  <c r="BN23" i="126"/>
  <c r="BO23" i="126"/>
  <c r="BP23" i="126"/>
  <c r="BQ23" i="126"/>
  <c r="BR23" i="126"/>
  <c r="BM24" i="126"/>
  <c r="BN24" i="126"/>
  <c r="BO24" i="126"/>
  <c r="BP24" i="126"/>
  <c r="BQ24" i="126"/>
  <c r="BR24" i="126"/>
  <c r="BM25" i="126"/>
  <c r="BN25" i="126"/>
  <c r="BO25" i="126"/>
  <c r="BP25" i="126"/>
  <c r="BQ25" i="126"/>
  <c r="BR25" i="126"/>
  <c r="BM26" i="126"/>
  <c r="BN26" i="126"/>
  <c r="BO26" i="126"/>
  <c r="BP26" i="126"/>
  <c r="BQ26" i="126"/>
  <c r="BR26" i="126"/>
  <c r="BM27" i="126"/>
  <c r="BN27" i="126"/>
  <c r="BO27" i="126"/>
  <c r="BP27" i="126"/>
  <c r="BQ27" i="126"/>
  <c r="BR27" i="126"/>
  <c r="BM28" i="126"/>
  <c r="BN28" i="126"/>
  <c r="BO28" i="126"/>
  <c r="BP28" i="126"/>
  <c r="BQ28" i="126"/>
  <c r="BR28" i="126"/>
  <c r="BM29" i="126"/>
  <c r="BN29" i="126"/>
  <c r="BO29" i="126"/>
  <c r="BP29" i="126"/>
  <c r="BQ29" i="126"/>
  <c r="BR29" i="126"/>
  <c r="BN3" i="126"/>
  <c r="BO3" i="126"/>
  <c r="BP3" i="126"/>
  <c r="BQ3" i="126"/>
  <c r="BR3" i="126"/>
  <c r="BM3" i="126"/>
  <c r="L19" i="110"/>
  <c r="R75" i="110"/>
  <c r="R76" i="110"/>
  <c r="R77" i="110"/>
  <c r="R78" i="110"/>
  <c r="R79" i="110"/>
  <c r="R80" i="110"/>
  <c r="R81" i="110"/>
  <c r="R82" i="110"/>
  <c r="R83" i="110"/>
  <c r="R84" i="110"/>
  <c r="R85" i="110"/>
  <c r="R86" i="110"/>
  <c r="R87" i="110"/>
  <c r="R88" i="110"/>
  <c r="R89" i="110"/>
  <c r="R90" i="110"/>
  <c r="R91" i="110"/>
  <c r="R92" i="110"/>
  <c r="R93" i="110"/>
  <c r="R94" i="110"/>
  <c r="R95" i="110"/>
  <c r="R96" i="110"/>
  <c r="R97" i="110"/>
  <c r="R98" i="110"/>
  <c r="R99" i="110"/>
  <c r="R100" i="110"/>
  <c r="R101" i="110"/>
  <c r="AH2" i="149"/>
  <c r="AH3" i="149"/>
  <c r="G4" i="141" s="1"/>
  <c r="AH4" i="149"/>
  <c r="G5" i="141" s="1"/>
  <c r="AH5" i="149"/>
  <c r="G6" i="141" s="1"/>
  <c r="AH6" i="149"/>
  <c r="G7" i="141" s="1"/>
  <c r="AH7" i="149"/>
  <c r="G8" i="141" s="1"/>
  <c r="AH8" i="149"/>
  <c r="G9" i="141" s="1"/>
  <c r="AH9" i="149"/>
  <c r="G10" i="141" s="1"/>
  <c r="G3" i="141"/>
  <c r="AZ31" i="126"/>
  <c r="BA31" i="126"/>
  <c r="BB31" i="126"/>
  <c r="BC31" i="126"/>
  <c r="BD31" i="126"/>
  <c r="AY31" i="126"/>
  <c r="AZ3" i="126"/>
  <c r="BA3" i="126"/>
  <c r="BB3" i="126"/>
  <c r="BC3" i="126"/>
  <c r="BD3" i="126"/>
  <c r="AZ4" i="126"/>
  <c r="BA4" i="126"/>
  <c r="BB4" i="126"/>
  <c r="BC4" i="126"/>
  <c r="BD4" i="126"/>
  <c r="AZ5" i="126"/>
  <c r="BA5" i="126"/>
  <c r="BB5" i="126"/>
  <c r="BC5" i="126"/>
  <c r="BD5" i="126"/>
  <c r="AZ6" i="126"/>
  <c r="BA6" i="126"/>
  <c r="BB6" i="126"/>
  <c r="BC6" i="126"/>
  <c r="BD6" i="126"/>
  <c r="AZ7" i="126"/>
  <c r="BA7" i="126"/>
  <c r="BB7" i="126"/>
  <c r="BC7" i="126"/>
  <c r="BD7" i="126"/>
  <c r="AZ8" i="126"/>
  <c r="BA8" i="126"/>
  <c r="BB8" i="126"/>
  <c r="BC8" i="126"/>
  <c r="BD8" i="126"/>
  <c r="AZ9" i="126"/>
  <c r="BA9" i="126"/>
  <c r="BB9" i="126"/>
  <c r="BC9" i="126"/>
  <c r="BD9" i="126"/>
  <c r="AZ10" i="126"/>
  <c r="BA10" i="126"/>
  <c r="BB10" i="126"/>
  <c r="BC10" i="126"/>
  <c r="BD10" i="126"/>
  <c r="AZ11" i="126"/>
  <c r="BA11" i="126"/>
  <c r="BB11" i="126"/>
  <c r="BC11" i="126"/>
  <c r="BD11" i="126"/>
  <c r="AZ12" i="126"/>
  <c r="BA12" i="126"/>
  <c r="BB12" i="126"/>
  <c r="BC12" i="126"/>
  <c r="BD12" i="126"/>
  <c r="AZ13" i="126"/>
  <c r="BA13" i="126"/>
  <c r="BB13" i="126"/>
  <c r="BC13" i="126"/>
  <c r="BD13" i="126"/>
  <c r="AZ14" i="126"/>
  <c r="BA14" i="126"/>
  <c r="BB14" i="126"/>
  <c r="BC14" i="126"/>
  <c r="BD14" i="126"/>
  <c r="AZ15" i="126"/>
  <c r="BA15" i="126"/>
  <c r="BB15" i="126"/>
  <c r="BC15" i="126"/>
  <c r="BD15" i="126"/>
  <c r="AZ16" i="126"/>
  <c r="BA16" i="126"/>
  <c r="BB16" i="126"/>
  <c r="BC16" i="126"/>
  <c r="BD16" i="126"/>
  <c r="AZ17" i="126"/>
  <c r="BA17" i="126"/>
  <c r="BB17" i="126"/>
  <c r="BC17" i="126"/>
  <c r="BD17" i="126"/>
  <c r="AZ18" i="126"/>
  <c r="BA18" i="126"/>
  <c r="BB18" i="126"/>
  <c r="BC18" i="126"/>
  <c r="BD18" i="126"/>
  <c r="AZ19" i="126"/>
  <c r="BA19" i="126"/>
  <c r="BB19" i="126"/>
  <c r="BC19" i="126"/>
  <c r="BD19" i="126"/>
  <c r="AZ20" i="126"/>
  <c r="BA20" i="126"/>
  <c r="BB20" i="126"/>
  <c r="BC20" i="126"/>
  <c r="BD20" i="126"/>
  <c r="AZ21" i="126"/>
  <c r="BA21" i="126"/>
  <c r="BB21" i="126"/>
  <c r="BC21" i="126"/>
  <c r="BD21" i="126"/>
  <c r="AZ22" i="126"/>
  <c r="BA22" i="126"/>
  <c r="BB22" i="126"/>
  <c r="BC22" i="126"/>
  <c r="BD22" i="126"/>
  <c r="AZ23" i="126"/>
  <c r="BA23" i="126"/>
  <c r="BB23" i="126"/>
  <c r="BC23" i="126"/>
  <c r="BD23" i="126"/>
  <c r="AZ24" i="126"/>
  <c r="BA24" i="126"/>
  <c r="BB24" i="126"/>
  <c r="BC24" i="126"/>
  <c r="BD24" i="126"/>
  <c r="AZ25" i="126"/>
  <c r="BA25" i="126"/>
  <c r="BB25" i="126"/>
  <c r="BC25" i="126"/>
  <c r="BD25" i="126"/>
  <c r="AZ26" i="126"/>
  <c r="BA26" i="126"/>
  <c r="BB26" i="126"/>
  <c r="BC26" i="126"/>
  <c r="BD26" i="126"/>
  <c r="AZ27" i="126"/>
  <c r="BA27" i="126"/>
  <c r="BB27" i="126"/>
  <c r="BC27" i="126"/>
  <c r="BD27" i="126"/>
  <c r="AZ28" i="126"/>
  <c r="BA28" i="126"/>
  <c r="BB28" i="126"/>
  <c r="BC28" i="126"/>
  <c r="BD28" i="126"/>
  <c r="AZ29" i="126"/>
  <c r="BA29" i="126"/>
  <c r="BB29" i="126"/>
  <c r="BC29" i="126"/>
  <c r="BD29" i="126"/>
  <c r="AY4" i="126"/>
  <c r="AY5" i="126"/>
  <c r="AY6" i="126"/>
  <c r="AY7" i="126"/>
  <c r="AY8" i="126"/>
  <c r="AY9" i="126"/>
  <c r="AY10" i="126"/>
  <c r="AY11" i="126"/>
  <c r="AY12" i="126"/>
  <c r="AY13" i="126"/>
  <c r="AY14" i="126"/>
  <c r="AY15" i="126"/>
  <c r="AY16" i="126"/>
  <c r="AY17" i="126"/>
  <c r="AY18" i="126"/>
  <c r="AY19" i="126"/>
  <c r="AY20" i="126"/>
  <c r="AY21" i="126"/>
  <c r="AY22" i="126"/>
  <c r="AY23" i="126"/>
  <c r="AY24" i="126"/>
  <c r="AY25" i="126"/>
  <c r="AY26" i="126"/>
  <c r="AY27" i="126"/>
  <c r="AY28" i="126"/>
  <c r="AY29" i="126"/>
  <c r="AY3" i="126"/>
  <c r="H30" i="141"/>
  <c r="AL31" i="126"/>
  <c r="AM31" i="126"/>
  <c r="AN31" i="126"/>
  <c r="AO31" i="126"/>
  <c r="AP31" i="126"/>
  <c r="AK31" i="126"/>
  <c r="AK4" i="126"/>
  <c r="AL4" i="126"/>
  <c r="AM4" i="126"/>
  <c r="AN4" i="126"/>
  <c r="AO4" i="126"/>
  <c r="AP4" i="126"/>
  <c r="AK5" i="126"/>
  <c r="AL5" i="126"/>
  <c r="AM5" i="126"/>
  <c r="AN5" i="126"/>
  <c r="AO5" i="126"/>
  <c r="AP5" i="126"/>
  <c r="AK6" i="126"/>
  <c r="AL6" i="126"/>
  <c r="AM6" i="126"/>
  <c r="AN6" i="126"/>
  <c r="AO6" i="126"/>
  <c r="AP6" i="126"/>
  <c r="AK7" i="126"/>
  <c r="AL7" i="126"/>
  <c r="AM7" i="126"/>
  <c r="AN7" i="126"/>
  <c r="AO7" i="126"/>
  <c r="AP7" i="126"/>
  <c r="AK8" i="126"/>
  <c r="AL8" i="126"/>
  <c r="AM8" i="126"/>
  <c r="AN8" i="126"/>
  <c r="AO8" i="126"/>
  <c r="AP8" i="126"/>
  <c r="AK9" i="126"/>
  <c r="AL9" i="126"/>
  <c r="AM9" i="126"/>
  <c r="AN9" i="126"/>
  <c r="AO9" i="126"/>
  <c r="AP9" i="126"/>
  <c r="AK10" i="126"/>
  <c r="AL10" i="126"/>
  <c r="AM10" i="126"/>
  <c r="AN10" i="126"/>
  <c r="AO10" i="126"/>
  <c r="AP10" i="126"/>
  <c r="AK11" i="126"/>
  <c r="AL11" i="126"/>
  <c r="AM11" i="126"/>
  <c r="AN11" i="126"/>
  <c r="AO11" i="126"/>
  <c r="AP11" i="126"/>
  <c r="AK12" i="126"/>
  <c r="AL12" i="126"/>
  <c r="AM12" i="126"/>
  <c r="AN12" i="126"/>
  <c r="AO12" i="126"/>
  <c r="AP12" i="126"/>
  <c r="AK13" i="126"/>
  <c r="AL13" i="126"/>
  <c r="AM13" i="126"/>
  <c r="AN13" i="126"/>
  <c r="AO13" i="126"/>
  <c r="AP13" i="126"/>
  <c r="AK14" i="126"/>
  <c r="AL14" i="126"/>
  <c r="AM14" i="126"/>
  <c r="AN14" i="126"/>
  <c r="AO14" i="126"/>
  <c r="AP14" i="126"/>
  <c r="AK15" i="126"/>
  <c r="AL15" i="126"/>
  <c r="AM15" i="126"/>
  <c r="AN15" i="126"/>
  <c r="AO15" i="126"/>
  <c r="AP15" i="126"/>
  <c r="AK16" i="126"/>
  <c r="AL16" i="126"/>
  <c r="AM16" i="126"/>
  <c r="AN16" i="126"/>
  <c r="AO16" i="126"/>
  <c r="AP16" i="126"/>
  <c r="AK17" i="126"/>
  <c r="AL17" i="126"/>
  <c r="AM17" i="126"/>
  <c r="AN17" i="126"/>
  <c r="AO17" i="126"/>
  <c r="AP17" i="126"/>
  <c r="AK18" i="126"/>
  <c r="AL18" i="126"/>
  <c r="AM18" i="126"/>
  <c r="AN18" i="126"/>
  <c r="AO18" i="126"/>
  <c r="AP18" i="126"/>
  <c r="AK19" i="126"/>
  <c r="AL19" i="126"/>
  <c r="AM19" i="126"/>
  <c r="AN19" i="126"/>
  <c r="AO19" i="126"/>
  <c r="AP19" i="126"/>
  <c r="AK20" i="126"/>
  <c r="AL20" i="126"/>
  <c r="AM20" i="126"/>
  <c r="AN20" i="126"/>
  <c r="AO20" i="126"/>
  <c r="AP20" i="126"/>
  <c r="AK21" i="126"/>
  <c r="AL21" i="126"/>
  <c r="AM21" i="126"/>
  <c r="AN21" i="126"/>
  <c r="AO21" i="126"/>
  <c r="AP21" i="126"/>
  <c r="AK22" i="126"/>
  <c r="AL22" i="126"/>
  <c r="AM22" i="126"/>
  <c r="AN22" i="126"/>
  <c r="AO22" i="126"/>
  <c r="AP22" i="126"/>
  <c r="AK23" i="126"/>
  <c r="AL23" i="126"/>
  <c r="AM23" i="126"/>
  <c r="AN23" i="126"/>
  <c r="AO23" i="126"/>
  <c r="AP23" i="126"/>
  <c r="AK24" i="126"/>
  <c r="AL24" i="126"/>
  <c r="AM24" i="126"/>
  <c r="AN24" i="126"/>
  <c r="AO24" i="126"/>
  <c r="AP24" i="126"/>
  <c r="AK25" i="126"/>
  <c r="AL25" i="126"/>
  <c r="AM25" i="126"/>
  <c r="AN25" i="126"/>
  <c r="AO25" i="126"/>
  <c r="AP25" i="126"/>
  <c r="AK26" i="126"/>
  <c r="AL26" i="126"/>
  <c r="AM26" i="126"/>
  <c r="AN26" i="126"/>
  <c r="AO26" i="126"/>
  <c r="AP26" i="126"/>
  <c r="AK27" i="126"/>
  <c r="AL27" i="126"/>
  <c r="AM27" i="126"/>
  <c r="AN27" i="126"/>
  <c r="AO27" i="126"/>
  <c r="AP27" i="126"/>
  <c r="AK28" i="126"/>
  <c r="AL28" i="126"/>
  <c r="AM28" i="126"/>
  <c r="AN28" i="126"/>
  <c r="AO28" i="126"/>
  <c r="AP28" i="126"/>
  <c r="AK29" i="126"/>
  <c r="AL29" i="126"/>
  <c r="AM29" i="126"/>
  <c r="AN29" i="126"/>
  <c r="AO29" i="126"/>
  <c r="AP29" i="126"/>
  <c r="AL3" i="126"/>
  <c r="AM3" i="126"/>
  <c r="AN3" i="126"/>
  <c r="AO3" i="126"/>
  <c r="AP3" i="126"/>
  <c r="AK3" i="126"/>
  <c r="Q26" i="108"/>
  <c r="P26" i="108"/>
  <c r="AB28" i="126"/>
  <c r="AB29" i="126"/>
  <c r="AT5" i="66"/>
  <c r="AT6" i="66"/>
  <c r="AV6" i="66" s="1"/>
  <c r="AT7" i="66"/>
  <c r="AT8" i="66"/>
  <c r="AT9" i="66"/>
  <c r="AT10" i="66"/>
  <c r="AT11" i="66"/>
  <c r="AT12" i="66"/>
  <c r="AT13" i="66"/>
  <c r="AT14" i="66"/>
  <c r="AV14" i="66" s="1"/>
  <c r="AT15" i="66"/>
  <c r="AT16" i="66"/>
  <c r="AT17" i="66"/>
  <c r="AT18" i="66"/>
  <c r="AT19" i="66"/>
  <c r="AT20" i="66"/>
  <c r="AT21" i="66"/>
  <c r="AT22" i="66"/>
  <c r="AV22" i="66" s="1"/>
  <c r="AT23" i="66"/>
  <c r="AT24" i="66"/>
  <c r="AT25" i="66"/>
  <c r="AT26" i="66"/>
  <c r="AT27" i="66"/>
  <c r="AT28" i="66"/>
  <c r="AT29" i="66"/>
  <c r="AT30" i="66"/>
  <c r="AV30" i="66" s="1"/>
  <c r="AT4" i="66"/>
  <c r="X31" i="126"/>
  <c r="Y31" i="126"/>
  <c r="Z31" i="126"/>
  <c r="AA31" i="126"/>
  <c r="AB31" i="126"/>
  <c r="X3" i="126"/>
  <c r="Y3" i="126"/>
  <c r="Z3" i="126"/>
  <c r="AA3" i="126"/>
  <c r="AB3" i="126"/>
  <c r="X4" i="126"/>
  <c r="Y4" i="126"/>
  <c r="Z4" i="126"/>
  <c r="AA4" i="126"/>
  <c r="AB4" i="126"/>
  <c r="X5" i="126"/>
  <c r="Y5" i="126"/>
  <c r="Z5" i="126"/>
  <c r="AA5" i="126"/>
  <c r="AB5" i="126"/>
  <c r="X6" i="126"/>
  <c r="Y6" i="126"/>
  <c r="Z6" i="126"/>
  <c r="AA6" i="126"/>
  <c r="AB6" i="126"/>
  <c r="X7" i="126"/>
  <c r="Y7" i="126"/>
  <c r="Z7" i="126"/>
  <c r="AA7" i="126"/>
  <c r="AB7" i="126"/>
  <c r="X8" i="126"/>
  <c r="Y8" i="126"/>
  <c r="Z8" i="126"/>
  <c r="AA8" i="126"/>
  <c r="AB8" i="126"/>
  <c r="X9" i="126"/>
  <c r="Y9" i="126"/>
  <c r="Z9" i="126"/>
  <c r="AA9" i="126"/>
  <c r="AB9" i="126"/>
  <c r="X10" i="126"/>
  <c r="Y10" i="126"/>
  <c r="Z10" i="126"/>
  <c r="AA10" i="126"/>
  <c r="AB10" i="126"/>
  <c r="X11" i="126"/>
  <c r="Y11" i="126"/>
  <c r="Z11" i="126"/>
  <c r="AA11" i="126"/>
  <c r="AB11" i="126"/>
  <c r="X12" i="126"/>
  <c r="Y12" i="126"/>
  <c r="Z12" i="126"/>
  <c r="AA12" i="126"/>
  <c r="AB12" i="126"/>
  <c r="X13" i="126"/>
  <c r="Y13" i="126"/>
  <c r="Z13" i="126"/>
  <c r="AA13" i="126"/>
  <c r="AB13" i="126"/>
  <c r="X14" i="126"/>
  <c r="Y14" i="126"/>
  <c r="Z14" i="126"/>
  <c r="AA14" i="126"/>
  <c r="AB14" i="126"/>
  <c r="X15" i="126"/>
  <c r="Y15" i="126"/>
  <c r="Z15" i="126"/>
  <c r="AA15" i="126"/>
  <c r="AB15" i="126"/>
  <c r="X16" i="126"/>
  <c r="Y16" i="126"/>
  <c r="Z16" i="126"/>
  <c r="AA16" i="126"/>
  <c r="AB16" i="126"/>
  <c r="X17" i="126"/>
  <c r="Y17" i="126"/>
  <c r="Z17" i="126"/>
  <c r="AA17" i="126"/>
  <c r="AB17" i="126"/>
  <c r="X18" i="126"/>
  <c r="Y18" i="126"/>
  <c r="Z18" i="126"/>
  <c r="AA18" i="126"/>
  <c r="AB18" i="126"/>
  <c r="X19" i="126"/>
  <c r="Y19" i="126"/>
  <c r="Z19" i="126"/>
  <c r="AA19" i="126"/>
  <c r="AB19" i="126"/>
  <c r="X20" i="126"/>
  <c r="Y20" i="126"/>
  <c r="Z20" i="126"/>
  <c r="AA20" i="126"/>
  <c r="AB20" i="126"/>
  <c r="X21" i="126"/>
  <c r="Y21" i="126"/>
  <c r="Z21" i="126"/>
  <c r="AA21" i="126"/>
  <c r="AB21" i="126"/>
  <c r="X22" i="126"/>
  <c r="Y22" i="126"/>
  <c r="Z22" i="126"/>
  <c r="AA22" i="126"/>
  <c r="AB22" i="126"/>
  <c r="X23" i="126"/>
  <c r="Y23" i="126"/>
  <c r="Z23" i="126"/>
  <c r="AA23" i="126"/>
  <c r="AB23" i="126"/>
  <c r="X24" i="126"/>
  <c r="Y24" i="126"/>
  <c r="Z24" i="126"/>
  <c r="AA24" i="126"/>
  <c r="AB24" i="126"/>
  <c r="X25" i="126"/>
  <c r="Y25" i="126"/>
  <c r="Z25" i="126"/>
  <c r="AA25" i="126"/>
  <c r="AB25" i="126"/>
  <c r="X26" i="126"/>
  <c r="Y26" i="126"/>
  <c r="Z26" i="126"/>
  <c r="AA26" i="126"/>
  <c r="AB26" i="126"/>
  <c r="X27" i="126"/>
  <c r="Y27" i="126"/>
  <c r="Z27" i="126"/>
  <c r="AA27" i="126"/>
  <c r="AB27" i="126"/>
  <c r="X28" i="126"/>
  <c r="Y28" i="126"/>
  <c r="Z28" i="126"/>
  <c r="AA28" i="126"/>
  <c r="X29" i="126"/>
  <c r="Y29" i="126"/>
  <c r="Z29" i="126"/>
  <c r="AA29" i="126"/>
  <c r="W31" i="126"/>
  <c r="W4" i="126"/>
  <c r="W5" i="126"/>
  <c r="W6" i="126"/>
  <c r="W7" i="126"/>
  <c r="W8" i="126"/>
  <c r="W9" i="126"/>
  <c r="W10" i="126"/>
  <c r="W11" i="126"/>
  <c r="W12" i="126"/>
  <c r="W13" i="126"/>
  <c r="W14" i="126"/>
  <c r="W15" i="126"/>
  <c r="W16" i="126"/>
  <c r="W17" i="126"/>
  <c r="W18" i="126"/>
  <c r="W19" i="126"/>
  <c r="W20" i="126"/>
  <c r="W21" i="126"/>
  <c r="W22" i="126"/>
  <c r="W23" i="126"/>
  <c r="W24" i="126"/>
  <c r="W25" i="126"/>
  <c r="W26" i="126"/>
  <c r="W27" i="126"/>
  <c r="W28" i="126"/>
  <c r="W29" i="126"/>
  <c r="W3" i="126"/>
  <c r="E28" i="141"/>
  <c r="E3" i="141"/>
  <c r="I5" i="122"/>
  <c r="J3" i="141"/>
  <c r="S40" i="123"/>
  <c r="S41" i="123"/>
  <c r="S42" i="123"/>
  <c r="S43" i="123"/>
  <c r="S66" i="123" s="1"/>
  <c r="S67" i="123" s="1"/>
  <c r="S44" i="123"/>
  <c r="S45" i="123"/>
  <c r="S46" i="123"/>
  <c r="S47" i="123"/>
  <c r="S48" i="123"/>
  <c r="S49" i="123"/>
  <c r="S50" i="123"/>
  <c r="S51" i="123"/>
  <c r="S52" i="123"/>
  <c r="S53" i="123"/>
  <c r="S54" i="123"/>
  <c r="S55" i="123"/>
  <c r="S56" i="123"/>
  <c r="S57" i="123"/>
  <c r="S58" i="123"/>
  <c r="S59" i="123"/>
  <c r="S60" i="123"/>
  <c r="S61" i="123"/>
  <c r="S62" i="123"/>
  <c r="S63" i="123"/>
  <c r="S64" i="123"/>
  <c r="S65" i="123"/>
  <c r="S39" i="123"/>
  <c r="F40" i="123"/>
  <c r="F41" i="123"/>
  <c r="F42" i="123"/>
  <c r="F43" i="123"/>
  <c r="F44" i="123"/>
  <c r="F45" i="123"/>
  <c r="F46" i="123"/>
  <c r="F47" i="123"/>
  <c r="F48" i="123"/>
  <c r="F49" i="123"/>
  <c r="F50" i="123"/>
  <c r="F51" i="123"/>
  <c r="F52" i="123"/>
  <c r="F53" i="123"/>
  <c r="F54" i="123"/>
  <c r="F55" i="123"/>
  <c r="F56" i="123"/>
  <c r="F57" i="123"/>
  <c r="F58" i="123"/>
  <c r="F59" i="123"/>
  <c r="F60" i="123"/>
  <c r="F61" i="123"/>
  <c r="F62" i="123"/>
  <c r="F63" i="123"/>
  <c r="F64" i="123"/>
  <c r="F65" i="123"/>
  <c r="F39" i="123"/>
  <c r="R66" i="123"/>
  <c r="Q66" i="123"/>
  <c r="P66" i="123"/>
  <c r="O66" i="123"/>
  <c r="N66" i="123"/>
  <c r="M66" i="123"/>
  <c r="L66" i="123"/>
  <c r="K66" i="123"/>
  <c r="J66" i="123"/>
  <c r="I66" i="123"/>
  <c r="H66" i="123"/>
  <c r="G66" i="123"/>
  <c r="AH10" i="149"/>
  <c r="G11" i="141" s="1"/>
  <c r="AH11" i="149"/>
  <c r="G12" i="141" s="1"/>
  <c r="AH12" i="149"/>
  <c r="G13" i="141" s="1"/>
  <c r="AH13" i="149"/>
  <c r="G14" i="141" s="1"/>
  <c r="AH14" i="149"/>
  <c r="G15" i="141" s="1"/>
  <c r="AH15" i="149"/>
  <c r="G16" i="141" s="1"/>
  <c r="AH16" i="149"/>
  <c r="G17" i="141" s="1"/>
  <c r="AH17" i="149"/>
  <c r="G18" i="141" s="1"/>
  <c r="AH18" i="149"/>
  <c r="G19" i="141" s="1"/>
  <c r="AH19" i="149"/>
  <c r="G20" i="141" s="1"/>
  <c r="AH20" i="149"/>
  <c r="G21" i="141" s="1"/>
  <c r="AH21" i="149"/>
  <c r="G22" i="141" s="1"/>
  <c r="AH22" i="149"/>
  <c r="G23" i="141" s="1"/>
  <c r="AH23" i="149"/>
  <c r="G24" i="141" s="1"/>
  <c r="AH24" i="149"/>
  <c r="G25" i="141" s="1"/>
  <c r="AH25" i="149"/>
  <c r="G26" i="141" s="1"/>
  <c r="AH26" i="149"/>
  <c r="G27" i="141" s="1"/>
  <c r="AH27" i="149"/>
  <c r="G28" i="141" s="1"/>
  <c r="AH28" i="149"/>
  <c r="G29" i="141" s="1"/>
  <c r="BV2" i="66"/>
  <c r="BW2" i="66"/>
  <c r="BX2" i="66"/>
  <c r="BY2" i="66"/>
  <c r="BZ2" i="66"/>
  <c r="CA2" i="66"/>
  <c r="CB2" i="66"/>
  <c r="CC2" i="66"/>
  <c r="CD2" i="66"/>
  <c r="CE2" i="66"/>
  <c r="CF2" i="66"/>
  <c r="CG2" i="66"/>
  <c r="CH2" i="66"/>
  <c r="CI2" i="66"/>
  <c r="CJ2" i="66"/>
  <c r="CK2" i="66"/>
  <c r="CL2" i="66"/>
  <c r="CM2" i="66"/>
  <c r="CN2" i="66"/>
  <c r="CO2" i="66"/>
  <c r="CP2" i="66"/>
  <c r="CQ2" i="66"/>
  <c r="CR2" i="66"/>
  <c r="CS2" i="66"/>
  <c r="CT2" i="66"/>
  <c r="CU2" i="66"/>
  <c r="CV2" i="66"/>
  <c r="CW2" i="66"/>
  <c r="CX2" i="66"/>
  <c r="CY2" i="66"/>
  <c r="CZ2" i="66"/>
  <c r="DA2" i="66"/>
  <c r="DB2" i="66"/>
  <c r="DC2" i="66"/>
  <c r="DD2" i="66"/>
  <c r="DE2" i="66"/>
  <c r="DF2" i="66"/>
  <c r="DG2" i="66"/>
  <c r="DH2" i="66"/>
  <c r="DI2" i="66"/>
  <c r="DJ2" i="66"/>
  <c r="DK2" i="66"/>
  <c r="DL2" i="66"/>
  <c r="DM2" i="66"/>
  <c r="DN2" i="66"/>
  <c r="DO2" i="66"/>
  <c r="DP2" i="66"/>
  <c r="DQ2" i="66"/>
  <c r="DR2" i="66"/>
  <c r="DS2" i="66"/>
  <c r="DT2" i="66"/>
  <c r="DU2" i="66"/>
  <c r="DV2" i="66"/>
  <c r="DW2" i="66"/>
  <c r="DX2" i="66"/>
  <c r="DY2" i="66"/>
  <c r="DZ2" i="66"/>
  <c r="EA2" i="66"/>
  <c r="EB2" i="66"/>
  <c r="EC2" i="66"/>
  <c r="ED2" i="66"/>
  <c r="EE2" i="66"/>
  <c r="EF2" i="66"/>
  <c r="EG2" i="66"/>
  <c r="EH2" i="66"/>
  <c r="EI2" i="66"/>
  <c r="EJ2" i="66"/>
  <c r="B6" i="62"/>
  <c r="C6" i="62"/>
  <c r="D6" i="62"/>
  <c r="E6" i="62"/>
  <c r="F6" i="62"/>
  <c r="G6" i="62"/>
  <c r="H6" i="62"/>
  <c r="I6" i="62"/>
  <c r="J6" i="62"/>
  <c r="K6" i="62"/>
  <c r="L6" i="62"/>
  <c r="M6" i="62"/>
  <c r="Q29" i="106"/>
  <c r="P29" i="106"/>
  <c r="J31" i="126"/>
  <c r="K31" i="126"/>
  <c r="L31" i="126"/>
  <c r="M31" i="126"/>
  <c r="O31" i="126"/>
  <c r="N31" i="126"/>
  <c r="I31" i="126"/>
  <c r="I4" i="126"/>
  <c r="J4" i="126"/>
  <c r="FV4" i="126"/>
  <c r="BA5" i="66" s="1"/>
  <c r="K4" i="126"/>
  <c r="L4" i="126"/>
  <c r="M4" i="126"/>
  <c r="N4" i="126"/>
  <c r="FZ4" i="126"/>
  <c r="BM5" i="66" s="1"/>
  <c r="I5" i="126"/>
  <c r="J5" i="126"/>
  <c r="K5" i="126"/>
  <c r="L5" i="126"/>
  <c r="M5" i="126"/>
  <c r="N5" i="126"/>
  <c r="I6" i="126"/>
  <c r="J6" i="126"/>
  <c r="FV6" i="126"/>
  <c r="BA7" i="66" s="1"/>
  <c r="K6" i="126"/>
  <c r="L6" i="126"/>
  <c r="M6" i="126"/>
  <c r="N6" i="126"/>
  <c r="FZ6" i="126"/>
  <c r="BM7" i="66" s="1"/>
  <c r="I7" i="126"/>
  <c r="J7" i="126"/>
  <c r="K7" i="126"/>
  <c r="L7" i="126"/>
  <c r="M7" i="126"/>
  <c r="N7" i="126"/>
  <c r="I8" i="126"/>
  <c r="J8" i="126"/>
  <c r="FV8" i="126"/>
  <c r="BA9" i="66" s="1"/>
  <c r="K8" i="126"/>
  <c r="L8" i="126"/>
  <c r="M8" i="126"/>
  <c r="N8" i="126"/>
  <c r="FZ8" i="126"/>
  <c r="BM9" i="66" s="1"/>
  <c r="I9" i="126"/>
  <c r="J9" i="126"/>
  <c r="K9" i="126"/>
  <c r="L9" i="126"/>
  <c r="FX9" i="126"/>
  <c r="BG10" i="66" s="1"/>
  <c r="M9" i="126"/>
  <c r="N9" i="126"/>
  <c r="I10" i="126"/>
  <c r="J10" i="126"/>
  <c r="FV10" i="126"/>
  <c r="BA11" i="66" s="1"/>
  <c r="K10" i="126"/>
  <c r="L10" i="126"/>
  <c r="M10" i="126"/>
  <c r="N10" i="126"/>
  <c r="FZ10" i="126"/>
  <c r="BM11" i="66" s="1"/>
  <c r="I11" i="126"/>
  <c r="J11" i="126"/>
  <c r="FV11" i="126"/>
  <c r="BA12" i="66" s="1"/>
  <c r="K11" i="126"/>
  <c r="L11" i="126"/>
  <c r="FX11" i="126"/>
  <c r="BG12" i="66" s="1"/>
  <c r="M11" i="126"/>
  <c r="N11" i="126"/>
  <c r="I12" i="126"/>
  <c r="J12" i="126"/>
  <c r="FV12" i="126"/>
  <c r="BA13" i="66" s="1"/>
  <c r="K12" i="126"/>
  <c r="L12" i="126"/>
  <c r="FX12" i="126"/>
  <c r="BG13" i="66" s="1"/>
  <c r="M12" i="126"/>
  <c r="N12" i="126"/>
  <c r="I13" i="126"/>
  <c r="J13" i="126"/>
  <c r="FV13" i="126"/>
  <c r="BA14" i="66" s="1"/>
  <c r="K13" i="126"/>
  <c r="L13" i="126"/>
  <c r="M13" i="126"/>
  <c r="N13" i="126"/>
  <c r="FZ13" i="126"/>
  <c r="BM14" i="66" s="1"/>
  <c r="I14" i="126"/>
  <c r="J14" i="126"/>
  <c r="K14" i="126"/>
  <c r="L14" i="126"/>
  <c r="FX14" i="126"/>
  <c r="BG15" i="66" s="1"/>
  <c r="M14" i="126"/>
  <c r="N14" i="126"/>
  <c r="FZ14" i="126"/>
  <c r="BM15" i="66" s="1"/>
  <c r="I15" i="126"/>
  <c r="J15" i="126"/>
  <c r="K15" i="126"/>
  <c r="L15" i="126"/>
  <c r="FX15" i="126"/>
  <c r="BG16" i="66" s="1"/>
  <c r="M15" i="126"/>
  <c r="N15" i="126"/>
  <c r="FZ15" i="126"/>
  <c r="BM16" i="66" s="1"/>
  <c r="I16" i="126"/>
  <c r="J16" i="126"/>
  <c r="K16" i="126"/>
  <c r="L16" i="126"/>
  <c r="FX16" i="126"/>
  <c r="BG17" i="66" s="1"/>
  <c r="M16" i="126"/>
  <c r="N16" i="126"/>
  <c r="FZ16" i="126"/>
  <c r="BM17" i="66" s="1"/>
  <c r="I17" i="126"/>
  <c r="J17" i="126"/>
  <c r="FV17" i="126"/>
  <c r="BA18" i="66" s="1"/>
  <c r="K17" i="126"/>
  <c r="L17" i="126"/>
  <c r="M17" i="126"/>
  <c r="N17" i="126"/>
  <c r="FZ17" i="126"/>
  <c r="BM18" i="66" s="1"/>
  <c r="I18" i="126"/>
  <c r="J18" i="126"/>
  <c r="FV18" i="126"/>
  <c r="BA19" i="66" s="1"/>
  <c r="K18" i="126"/>
  <c r="L18" i="126"/>
  <c r="M18" i="126"/>
  <c r="N18" i="126"/>
  <c r="FZ18" i="126"/>
  <c r="BM19" i="66" s="1"/>
  <c r="I19" i="126"/>
  <c r="J19" i="126"/>
  <c r="K19" i="126"/>
  <c r="L19" i="126"/>
  <c r="FX19" i="126"/>
  <c r="BG20" i="66" s="1"/>
  <c r="M19" i="126"/>
  <c r="N19" i="126"/>
  <c r="I20" i="126"/>
  <c r="J20" i="126"/>
  <c r="FV20" i="126"/>
  <c r="BA21" i="66" s="1"/>
  <c r="K20" i="126"/>
  <c r="L20" i="126"/>
  <c r="M20" i="126"/>
  <c r="N20" i="126"/>
  <c r="FZ20" i="126"/>
  <c r="BM21" i="66" s="1"/>
  <c r="I21" i="126"/>
  <c r="J21" i="126"/>
  <c r="K21" i="126"/>
  <c r="L21" i="126"/>
  <c r="FX21" i="126"/>
  <c r="BG22" i="66" s="1"/>
  <c r="M21" i="126"/>
  <c r="N21" i="126"/>
  <c r="FZ21" i="126"/>
  <c r="BM22" i="66" s="1"/>
  <c r="I22" i="126"/>
  <c r="J22" i="126"/>
  <c r="FV22" i="126"/>
  <c r="BA23" i="66" s="1"/>
  <c r="K22" i="126"/>
  <c r="L22" i="126"/>
  <c r="FX22" i="126"/>
  <c r="BG23" i="66" s="1"/>
  <c r="M22" i="126"/>
  <c r="N22" i="126"/>
  <c r="FZ22" i="126"/>
  <c r="BM23" i="66" s="1"/>
  <c r="I23" i="126"/>
  <c r="J23" i="126"/>
  <c r="K23" i="126"/>
  <c r="L23" i="126"/>
  <c r="FX23" i="126"/>
  <c r="BG24" i="66" s="1"/>
  <c r="M23" i="126"/>
  <c r="N23" i="126"/>
  <c r="FZ23" i="126"/>
  <c r="BM24" i="66" s="1"/>
  <c r="I24" i="126"/>
  <c r="J24" i="126"/>
  <c r="FV24" i="126"/>
  <c r="BA25" i="66" s="1"/>
  <c r="K24" i="126"/>
  <c r="L24" i="126"/>
  <c r="M24" i="126"/>
  <c r="N24" i="126"/>
  <c r="FZ24" i="126"/>
  <c r="BM25" i="66" s="1"/>
  <c r="I25" i="126"/>
  <c r="J25" i="126"/>
  <c r="K25" i="126"/>
  <c r="L25" i="126"/>
  <c r="FX25" i="126"/>
  <c r="BG26" i="66" s="1"/>
  <c r="M25" i="126"/>
  <c r="N25" i="126"/>
  <c r="I26" i="126"/>
  <c r="J26" i="126"/>
  <c r="FV26" i="126"/>
  <c r="BA27" i="66" s="1"/>
  <c r="K26" i="126"/>
  <c r="L26" i="126"/>
  <c r="M26" i="126"/>
  <c r="N26" i="126"/>
  <c r="I27" i="126"/>
  <c r="J27" i="126"/>
  <c r="FV27" i="126"/>
  <c r="BA28" i="66" s="1"/>
  <c r="K27" i="126"/>
  <c r="L27" i="126"/>
  <c r="M27" i="126"/>
  <c r="N27" i="126"/>
  <c r="FZ27" i="126"/>
  <c r="BM28" i="66" s="1"/>
  <c r="I28" i="126"/>
  <c r="J28" i="126"/>
  <c r="K28" i="126"/>
  <c r="L28" i="126"/>
  <c r="M28" i="126"/>
  <c r="N28" i="126"/>
  <c r="I29" i="126"/>
  <c r="J29" i="126"/>
  <c r="FV29" i="126"/>
  <c r="BA30" i="66" s="1"/>
  <c r="K29" i="126"/>
  <c r="L29" i="126"/>
  <c r="FX29" i="126"/>
  <c r="BG30" i="66" s="1"/>
  <c r="M29" i="126"/>
  <c r="N29" i="126"/>
  <c r="FZ29" i="126"/>
  <c r="BM30" i="66" s="1"/>
  <c r="J3" i="126"/>
  <c r="K3" i="126"/>
  <c r="K30" i="126"/>
  <c r="K32" i="126"/>
  <c r="L3" i="126"/>
  <c r="M3" i="126"/>
  <c r="FY3" i="126"/>
  <c r="BJ4" i="66" s="1"/>
  <c r="N3" i="126"/>
  <c r="I3" i="126"/>
  <c r="O41" i="114"/>
  <c r="O42" i="114"/>
  <c r="O43" i="114"/>
  <c r="O44" i="114"/>
  <c r="O45" i="114"/>
  <c r="O46" i="114"/>
  <c r="O47" i="114"/>
  <c r="O48" i="114"/>
  <c r="O49" i="114"/>
  <c r="O50" i="114"/>
  <c r="O51" i="114"/>
  <c r="O52" i="114"/>
  <c r="O53" i="114"/>
  <c r="O54" i="114"/>
  <c r="O55" i="114"/>
  <c r="O56" i="114"/>
  <c r="O57" i="114"/>
  <c r="O58" i="114"/>
  <c r="O59" i="114"/>
  <c r="O60" i="114"/>
  <c r="O61" i="114"/>
  <c r="O62" i="114"/>
  <c r="O63" i="114"/>
  <c r="O64" i="114"/>
  <c r="O65" i="114"/>
  <c r="O66" i="114"/>
  <c r="O6" i="114"/>
  <c r="O7" i="114"/>
  <c r="O8" i="114"/>
  <c r="O9" i="114"/>
  <c r="O10" i="114"/>
  <c r="O11" i="114"/>
  <c r="O12" i="114"/>
  <c r="O13" i="114"/>
  <c r="O14" i="114"/>
  <c r="O15" i="114"/>
  <c r="O16" i="114"/>
  <c r="O17" i="114"/>
  <c r="O18" i="114"/>
  <c r="O19" i="114"/>
  <c r="O20" i="114"/>
  <c r="O21" i="114"/>
  <c r="O22" i="114"/>
  <c r="O23" i="114"/>
  <c r="O24" i="114"/>
  <c r="O25" i="114"/>
  <c r="O26" i="114"/>
  <c r="O27" i="114"/>
  <c r="O28" i="114"/>
  <c r="O29" i="114"/>
  <c r="O30" i="114"/>
  <c r="O31" i="114"/>
  <c r="N6" i="111"/>
  <c r="O6" i="111"/>
  <c r="P6" i="111"/>
  <c r="Q6" i="111"/>
  <c r="N7" i="111"/>
  <c r="O7" i="111"/>
  <c r="P7" i="111"/>
  <c r="Q7" i="111"/>
  <c r="N8" i="111"/>
  <c r="O8" i="111"/>
  <c r="P8" i="111"/>
  <c r="Q8" i="111"/>
  <c r="N9" i="111"/>
  <c r="O9" i="111"/>
  <c r="P9" i="111"/>
  <c r="Q9" i="111"/>
  <c r="N10" i="111"/>
  <c r="O10" i="111"/>
  <c r="P10" i="111"/>
  <c r="Q10" i="111"/>
  <c r="N11" i="111"/>
  <c r="O11" i="111"/>
  <c r="P11" i="111"/>
  <c r="Q11" i="111"/>
  <c r="N12" i="111"/>
  <c r="O12" i="111"/>
  <c r="P12" i="111"/>
  <c r="Q12" i="111"/>
  <c r="N13" i="111"/>
  <c r="O13" i="111"/>
  <c r="P13" i="111"/>
  <c r="Q13" i="111"/>
  <c r="N14" i="111"/>
  <c r="O14" i="111"/>
  <c r="P14" i="111"/>
  <c r="Q14" i="111"/>
  <c r="N15" i="111"/>
  <c r="O15" i="111"/>
  <c r="P15" i="111"/>
  <c r="Q15" i="111"/>
  <c r="N16" i="111"/>
  <c r="O16" i="111"/>
  <c r="P16" i="111"/>
  <c r="Q16" i="111"/>
  <c r="N17" i="111"/>
  <c r="O17" i="111"/>
  <c r="P17" i="111"/>
  <c r="Q17" i="111"/>
  <c r="N18" i="111"/>
  <c r="O18" i="111"/>
  <c r="P18" i="111"/>
  <c r="Q18" i="111"/>
  <c r="N19" i="111"/>
  <c r="O19" i="111"/>
  <c r="P19" i="111"/>
  <c r="Q19" i="111"/>
  <c r="N20" i="111"/>
  <c r="O20" i="111"/>
  <c r="P20" i="111"/>
  <c r="Q20" i="111"/>
  <c r="N21" i="111"/>
  <c r="O21" i="111"/>
  <c r="P21" i="111"/>
  <c r="Q21" i="111"/>
  <c r="N22" i="111"/>
  <c r="O22" i="111"/>
  <c r="P22" i="111"/>
  <c r="Q22" i="111"/>
  <c r="N23" i="111"/>
  <c r="O23" i="111"/>
  <c r="P23" i="111"/>
  <c r="Q23" i="111"/>
  <c r="N24" i="111"/>
  <c r="O24" i="111"/>
  <c r="P24" i="111"/>
  <c r="Q24" i="111"/>
  <c r="N25" i="111"/>
  <c r="O25" i="111"/>
  <c r="P25" i="111"/>
  <c r="Q25" i="111"/>
  <c r="N26" i="111"/>
  <c r="O26" i="111"/>
  <c r="P26" i="111"/>
  <c r="Q26" i="111"/>
  <c r="N27" i="111"/>
  <c r="O27" i="111"/>
  <c r="P27" i="111"/>
  <c r="Q27" i="111"/>
  <c r="N28" i="111"/>
  <c r="O28" i="111"/>
  <c r="P28" i="111"/>
  <c r="Q28" i="111"/>
  <c r="N29" i="111"/>
  <c r="O29" i="111"/>
  <c r="P29" i="111"/>
  <c r="Q29" i="111"/>
  <c r="N30" i="111"/>
  <c r="O30" i="111"/>
  <c r="P30" i="111"/>
  <c r="Q30" i="111"/>
  <c r="N31" i="111"/>
  <c r="O31" i="111"/>
  <c r="P31" i="111"/>
  <c r="Q31" i="111"/>
  <c r="O5" i="111"/>
  <c r="P5" i="111"/>
  <c r="Q5" i="111"/>
  <c r="N41" i="111"/>
  <c r="O41" i="111"/>
  <c r="P41" i="111"/>
  <c r="Q41" i="111"/>
  <c r="N42" i="111"/>
  <c r="O42" i="111"/>
  <c r="P42" i="111"/>
  <c r="Q42" i="111"/>
  <c r="N43" i="111"/>
  <c r="O43" i="111"/>
  <c r="P43" i="111"/>
  <c r="Q43" i="111"/>
  <c r="N44" i="111"/>
  <c r="O44" i="111"/>
  <c r="P44" i="111"/>
  <c r="Q44" i="111"/>
  <c r="N45" i="111"/>
  <c r="O45" i="111"/>
  <c r="P45" i="111"/>
  <c r="Q45" i="111"/>
  <c r="N46" i="111"/>
  <c r="O46" i="111"/>
  <c r="P46" i="111"/>
  <c r="Q46" i="111"/>
  <c r="N47" i="111"/>
  <c r="O47" i="111"/>
  <c r="P47" i="111"/>
  <c r="Q47" i="111"/>
  <c r="N48" i="111"/>
  <c r="O48" i="111"/>
  <c r="P48" i="111"/>
  <c r="Q48" i="111"/>
  <c r="N49" i="111"/>
  <c r="O49" i="111"/>
  <c r="P49" i="111"/>
  <c r="Q49" i="111"/>
  <c r="N50" i="111"/>
  <c r="O50" i="111"/>
  <c r="P50" i="111"/>
  <c r="Q50" i="111"/>
  <c r="N51" i="111"/>
  <c r="O51" i="111"/>
  <c r="P51" i="111"/>
  <c r="Q51" i="111"/>
  <c r="N52" i="111"/>
  <c r="O52" i="111"/>
  <c r="P52" i="111"/>
  <c r="Q52" i="111"/>
  <c r="N53" i="111"/>
  <c r="O53" i="111"/>
  <c r="P53" i="111"/>
  <c r="Q53" i="111"/>
  <c r="N54" i="111"/>
  <c r="O54" i="111"/>
  <c r="P54" i="111"/>
  <c r="Q54" i="111"/>
  <c r="N55" i="111"/>
  <c r="O55" i="111"/>
  <c r="P55" i="111"/>
  <c r="Q55" i="111"/>
  <c r="N56" i="111"/>
  <c r="O56" i="111"/>
  <c r="P56" i="111"/>
  <c r="Q56" i="111"/>
  <c r="N57" i="111"/>
  <c r="O57" i="111"/>
  <c r="P57" i="111"/>
  <c r="Q57" i="111"/>
  <c r="N58" i="111"/>
  <c r="O58" i="111"/>
  <c r="P58" i="111"/>
  <c r="Q58" i="111"/>
  <c r="N59" i="111"/>
  <c r="O59" i="111"/>
  <c r="P59" i="111"/>
  <c r="Q59" i="111"/>
  <c r="N60" i="111"/>
  <c r="O60" i="111"/>
  <c r="P60" i="111"/>
  <c r="Q60" i="111"/>
  <c r="N61" i="111"/>
  <c r="O61" i="111"/>
  <c r="P61" i="111"/>
  <c r="Q61" i="111"/>
  <c r="N62" i="111"/>
  <c r="O62" i="111"/>
  <c r="P62" i="111"/>
  <c r="Q62" i="111"/>
  <c r="N63" i="111"/>
  <c r="O63" i="111"/>
  <c r="P63" i="111"/>
  <c r="Q63" i="111"/>
  <c r="N64" i="111"/>
  <c r="O64" i="111"/>
  <c r="P64" i="111"/>
  <c r="Q64" i="111"/>
  <c r="N65" i="111"/>
  <c r="O65" i="111"/>
  <c r="P65" i="111"/>
  <c r="Q65" i="111"/>
  <c r="N66" i="111"/>
  <c r="O66" i="111"/>
  <c r="P66" i="111"/>
  <c r="Q66" i="111"/>
  <c r="O40" i="111"/>
  <c r="P40" i="111"/>
  <c r="Q40" i="111"/>
  <c r="O102" i="111"/>
  <c r="AC3" i="63"/>
  <c r="N179" i="63"/>
  <c r="N178" i="63"/>
  <c r="N177" i="63"/>
  <c r="N176" i="63"/>
  <c r="N175" i="63"/>
  <c r="N174" i="63"/>
  <c r="N173" i="63"/>
  <c r="N172" i="63"/>
  <c r="N171" i="63"/>
  <c r="N170" i="63"/>
  <c r="N169" i="63"/>
  <c r="N168" i="63"/>
  <c r="N167" i="63"/>
  <c r="N166" i="63"/>
  <c r="N165" i="63"/>
  <c r="N164" i="63"/>
  <c r="N163" i="63"/>
  <c r="N162" i="63"/>
  <c r="N161" i="63"/>
  <c r="N160" i="63"/>
  <c r="N159" i="63"/>
  <c r="N158" i="63"/>
  <c r="N157" i="63"/>
  <c r="N156" i="63"/>
  <c r="N155" i="63"/>
  <c r="N154" i="63"/>
  <c r="N153" i="63"/>
  <c r="N151" i="63"/>
  <c r="N150" i="63"/>
  <c r="N149" i="63"/>
  <c r="N148" i="63"/>
  <c r="N147" i="63"/>
  <c r="N146" i="63"/>
  <c r="N145" i="63"/>
  <c r="N144" i="63"/>
  <c r="N143" i="63"/>
  <c r="N142" i="63"/>
  <c r="N141" i="63"/>
  <c r="N140" i="63"/>
  <c r="N139" i="63"/>
  <c r="N138" i="63"/>
  <c r="N137" i="63"/>
  <c r="N136" i="63"/>
  <c r="N135" i="63"/>
  <c r="N134" i="63"/>
  <c r="N133" i="63"/>
  <c r="N132" i="63"/>
  <c r="N131" i="63"/>
  <c r="N130" i="63"/>
  <c r="N129" i="63"/>
  <c r="N128" i="63"/>
  <c r="N127" i="63"/>
  <c r="N126" i="63"/>
  <c r="N125" i="63"/>
  <c r="N124" i="63"/>
  <c r="N123" i="63"/>
  <c r="N121" i="63"/>
  <c r="N120" i="63"/>
  <c r="N119" i="63"/>
  <c r="N118" i="63"/>
  <c r="N117" i="63"/>
  <c r="N116" i="63"/>
  <c r="N115" i="63"/>
  <c r="N114" i="63"/>
  <c r="N113" i="63"/>
  <c r="N112" i="63"/>
  <c r="N111" i="63"/>
  <c r="N110" i="63"/>
  <c r="N109" i="63"/>
  <c r="N108" i="63"/>
  <c r="N107" i="63"/>
  <c r="N106" i="63"/>
  <c r="N105" i="63"/>
  <c r="N104" i="63"/>
  <c r="N103" i="63"/>
  <c r="N102" i="63"/>
  <c r="N101" i="63"/>
  <c r="N100" i="63"/>
  <c r="N99" i="63"/>
  <c r="N98" i="63"/>
  <c r="N97" i="63"/>
  <c r="N96" i="63"/>
  <c r="N95" i="63"/>
  <c r="N94" i="63"/>
  <c r="N93" i="63"/>
  <c r="N91" i="63"/>
  <c r="N90" i="63"/>
  <c r="N89" i="63"/>
  <c r="N88" i="63"/>
  <c r="N87" i="63"/>
  <c r="N86" i="63"/>
  <c r="N85" i="63"/>
  <c r="N84" i="63"/>
  <c r="N83" i="63"/>
  <c r="N82" i="63"/>
  <c r="N81" i="63"/>
  <c r="N80" i="63"/>
  <c r="N79" i="63"/>
  <c r="N78" i="63"/>
  <c r="N77" i="63"/>
  <c r="N76" i="63"/>
  <c r="N75" i="63"/>
  <c r="N74" i="63"/>
  <c r="N73" i="63"/>
  <c r="N72" i="63"/>
  <c r="N71" i="63"/>
  <c r="N70" i="63"/>
  <c r="N69" i="63"/>
  <c r="N68" i="63"/>
  <c r="N67" i="63"/>
  <c r="N66" i="63"/>
  <c r="N65" i="63"/>
  <c r="N64" i="63"/>
  <c r="N63" i="63"/>
  <c r="N61" i="63"/>
  <c r="N60" i="63"/>
  <c r="N59" i="63"/>
  <c r="N58" i="63"/>
  <c r="N57" i="63"/>
  <c r="N56" i="63"/>
  <c r="N55" i="63"/>
  <c r="N54" i="63"/>
  <c r="N53" i="63"/>
  <c r="N52" i="63"/>
  <c r="N51" i="63"/>
  <c r="N50" i="63"/>
  <c r="N49" i="63"/>
  <c r="N48" i="63"/>
  <c r="N47" i="63"/>
  <c r="N46" i="63"/>
  <c r="N45" i="63"/>
  <c r="N44" i="63"/>
  <c r="N43" i="63"/>
  <c r="N42" i="63"/>
  <c r="N41" i="63"/>
  <c r="N40" i="63"/>
  <c r="N39" i="63"/>
  <c r="N38" i="63"/>
  <c r="N37" i="63"/>
  <c r="N36" i="63"/>
  <c r="N35" i="63"/>
  <c r="N34" i="63"/>
  <c r="N33" i="63"/>
  <c r="N31" i="63"/>
  <c r="N30" i="63"/>
  <c r="N29" i="63"/>
  <c r="N28" i="63"/>
  <c r="N27" i="63"/>
  <c r="N26" i="63"/>
  <c r="N25" i="63"/>
  <c r="N24" i="63"/>
  <c r="N23" i="63"/>
  <c r="N22" i="63"/>
  <c r="N21" i="63"/>
  <c r="N20" i="63"/>
  <c r="N19" i="63"/>
  <c r="N18" i="63"/>
  <c r="N17" i="63"/>
  <c r="N16" i="63"/>
  <c r="N15" i="63"/>
  <c r="N14" i="63"/>
  <c r="N13" i="63"/>
  <c r="N12" i="63"/>
  <c r="N11" i="63"/>
  <c r="N10" i="63"/>
  <c r="N9" i="63"/>
  <c r="N8" i="63"/>
  <c r="N7" i="63"/>
  <c r="N6" i="63"/>
  <c r="N5" i="63"/>
  <c r="N4" i="63"/>
  <c r="N3" i="63"/>
  <c r="BX3" i="63"/>
  <c r="AC3" i="126"/>
  <c r="BE3" i="126"/>
  <c r="CG3" i="126"/>
  <c r="DI3" i="126"/>
  <c r="EK3" i="126"/>
  <c r="FM3" i="126"/>
  <c r="FV3" i="126"/>
  <c r="BA4" i="66" s="1"/>
  <c r="FX3" i="126"/>
  <c r="BG4" i="66" s="1"/>
  <c r="FZ3" i="126"/>
  <c r="BM4" i="66" s="1"/>
  <c r="FW4" i="126"/>
  <c r="BD5" i="66" s="1"/>
  <c r="AQ4" i="126"/>
  <c r="BE4" i="126"/>
  <c r="CG4" i="126"/>
  <c r="DI4" i="126"/>
  <c r="DW4" i="126"/>
  <c r="EK4" i="126"/>
  <c r="EY4" i="126"/>
  <c r="FM4" i="126"/>
  <c r="FU4" i="126"/>
  <c r="AX5" i="66" s="1"/>
  <c r="FY4" i="126"/>
  <c r="BJ5" i="66" s="1"/>
  <c r="FY5" i="126"/>
  <c r="BJ6" i="66" s="1"/>
  <c r="AQ5" i="126"/>
  <c r="BE5" i="126"/>
  <c r="BS5" i="126"/>
  <c r="CU5" i="126"/>
  <c r="DW5" i="126"/>
  <c r="EK5" i="126"/>
  <c r="EY5" i="126"/>
  <c r="FM5" i="126"/>
  <c r="FW5" i="126"/>
  <c r="BD6" i="66" s="1"/>
  <c r="FW6" i="126"/>
  <c r="BD7" i="66" s="1"/>
  <c r="BE6" i="126"/>
  <c r="CG6" i="126"/>
  <c r="CU6" i="126"/>
  <c r="DI6" i="126"/>
  <c r="DW6" i="126"/>
  <c r="EK6" i="126"/>
  <c r="FM6" i="126"/>
  <c r="FU6" i="126"/>
  <c r="AX7" i="66" s="1"/>
  <c r="FY6" i="126"/>
  <c r="BJ7" i="66" s="1"/>
  <c r="AC7" i="126"/>
  <c r="FY7" i="126"/>
  <c r="BJ8" i="66" s="1"/>
  <c r="AQ7" i="126"/>
  <c r="BS7" i="126"/>
  <c r="CU7" i="126"/>
  <c r="DI7" i="126"/>
  <c r="DW7" i="126"/>
  <c r="EK7" i="126"/>
  <c r="EY7" i="126"/>
  <c r="FW7" i="126"/>
  <c r="BD8" i="66" s="1"/>
  <c r="FW8" i="126"/>
  <c r="BD9" i="66" s="1"/>
  <c r="BE8" i="126"/>
  <c r="BS8" i="126"/>
  <c r="CG8" i="126"/>
  <c r="CU8" i="126"/>
  <c r="DI8" i="126"/>
  <c r="DW8" i="126"/>
  <c r="EK8" i="126"/>
  <c r="FM8" i="126"/>
  <c r="FU8" i="126"/>
  <c r="AX9" i="66" s="1"/>
  <c r="FY8" i="126"/>
  <c r="BJ9" i="66" s="1"/>
  <c r="AQ9" i="126"/>
  <c r="BS9" i="126"/>
  <c r="CG9" i="126"/>
  <c r="CU9" i="126"/>
  <c r="FW9" i="126"/>
  <c r="BD10" i="66" s="1"/>
  <c r="DW9" i="126"/>
  <c r="EY9" i="126"/>
  <c r="AC10" i="126"/>
  <c r="BE10" i="126"/>
  <c r="CG10" i="126"/>
  <c r="DW10" i="126"/>
  <c r="EK10" i="126"/>
  <c r="EY10" i="126"/>
  <c r="FM10" i="126"/>
  <c r="FW10" i="126"/>
  <c r="BD11" i="66" s="1"/>
  <c r="FU10" i="126"/>
  <c r="AX11" i="66" s="1"/>
  <c r="FX10" i="126"/>
  <c r="BG11" i="66" s="1"/>
  <c r="FY10" i="126"/>
  <c r="BJ11" i="66" s="1"/>
  <c r="AC11" i="126"/>
  <c r="AQ11" i="126"/>
  <c r="BE11" i="126"/>
  <c r="BS11" i="126"/>
  <c r="CG11" i="126"/>
  <c r="CU11" i="126"/>
  <c r="DI11" i="126"/>
  <c r="DW11" i="126"/>
  <c r="EK11" i="126"/>
  <c r="EY11" i="126"/>
  <c r="FM11" i="126"/>
  <c r="FY11" i="126"/>
  <c r="BJ12" i="66" s="1"/>
  <c r="FW11" i="126"/>
  <c r="BD12" i="66"/>
  <c r="FZ11" i="126"/>
  <c r="BM12" i="66" s="1"/>
  <c r="FZ12" i="126"/>
  <c r="BM13" i="66" s="1"/>
  <c r="AQ12" i="126"/>
  <c r="BE12" i="126"/>
  <c r="BS12" i="126"/>
  <c r="CG12" i="126"/>
  <c r="CU12" i="126"/>
  <c r="DI12" i="126"/>
  <c r="DW12" i="126"/>
  <c r="EK12" i="126"/>
  <c r="FW12" i="126"/>
  <c r="BD13" i="66" s="1"/>
  <c r="EY12" i="126"/>
  <c r="FM12" i="126"/>
  <c r="FU12" i="126"/>
  <c r="AX13" i="66" s="1"/>
  <c r="BO13" i="66" s="1"/>
  <c r="FY12" i="126"/>
  <c r="BJ13" i="66" s="1"/>
  <c r="AC13" i="126"/>
  <c r="AQ13" i="126"/>
  <c r="BE13" i="126"/>
  <c r="BS13" i="126"/>
  <c r="CG13" i="126"/>
  <c r="CU13" i="126"/>
  <c r="DI13" i="126"/>
  <c r="DW13" i="126"/>
  <c r="EK13" i="126"/>
  <c r="FY13" i="126"/>
  <c r="BJ14" i="66" s="1"/>
  <c r="EY13" i="126"/>
  <c r="FM13" i="126"/>
  <c r="FW13" i="126"/>
  <c r="BD14" i="66" s="1"/>
  <c r="FU14" i="126"/>
  <c r="AX15" i="66"/>
  <c r="BE14" i="126"/>
  <c r="FW14" i="126"/>
  <c r="BD15" i="66" s="1"/>
  <c r="CG14" i="126"/>
  <c r="DI14" i="126"/>
  <c r="EK14" i="126"/>
  <c r="EY14" i="126"/>
  <c r="FM14" i="126"/>
  <c r="FY14" i="126"/>
  <c r="BJ15" i="66" s="1"/>
  <c r="AC15" i="126"/>
  <c r="FY15" i="126"/>
  <c r="BJ16" i="66" s="1"/>
  <c r="AQ15" i="126"/>
  <c r="BE15" i="126"/>
  <c r="BS15" i="126"/>
  <c r="CG15" i="126"/>
  <c r="CU15" i="126"/>
  <c r="DI15" i="126"/>
  <c r="DW15" i="126"/>
  <c r="EK15" i="126"/>
  <c r="EY15" i="126"/>
  <c r="FM15" i="126"/>
  <c r="FW15" i="126"/>
  <c r="BD16" i="66" s="1"/>
  <c r="FW16" i="126"/>
  <c r="BD17" i="66" s="1"/>
  <c r="AC16" i="126"/>
  <c r="AQ16" i="126"/>
  <c r="BE16" i="126"/>
  <c r="BS16" i="126"/>
  <c r="CG16" i="126"/>
  <c r="CU16" i="126"/>
  <c r="DI16" i="126"/>
  <c r="DW16" i="126"/>
  <c r="EK16" i="126"/>
  <c r="EY16" i="126"/>
  <c r="FM16" i="126"/>
  <c r="FU16" i="126"/>
  <c r="AX17" i="66" s="1"/>
  <c r="FY16" i="126"/>
  <c r="BJ17" i="66" s="1"/>
  <c r="AC17" i="126"/>
  <c r="FY17" i="126"/>
  <c r="BJ18" i="66" s="1"/>
  <c r="AQ17" i="126"/>
  <c r="BE17" i="126"/>
  <c r="BS17" i="126"/>
  <c r="CG17" i="126"/>
  <c r="CU17" i="126"/>
  <c r="DI17" i="126"/>
  <c r="DW17" i="126"/>
  <c r="EK17" i="126"/>
  <c r="EY17" i="126"/>
  <c r="FM17" i="126"/>
  <c r="FW17" i="126"/>
  <c r="BD18" i="66" s="1"/>
  <c r="FU18" i="126"/>
  <c r="AX19" i="66" s="1"/>
  <c r="FY18" i="126"/>
  <c r="BJ19" i="66" s="1"/>
  <c r="AC18" i="126"/>
  <c r="BE18" i="126"/>
  <c r="CG18" i="126"/>
  <c r="DI18" i="126"/>
  <c r="EK18" i="126"/>
  <c r="FM18" i="126"/>
  <c r="FW19" i="126"/>
  <c r="BD20" i="66" s="1"/>
  <c r="AQ19" i="126"/>
  <c r="BS19" i="126"/>
  <c r="CU19" i="126"/>
  <c r="DW19" i="126"/>
  <c r="EY19" i="126"/>
  <c r="AC20" i="126"/>
  <c r="FU20" i="126"/>
  <c r="AX21" i="66" s="1"/>
  <c r="FY20" i="126"/>
  <c r="BJ21" i="66" s="1"/>
  <c r="BE20" i="126"/>
  <c r="CG20" i="126"/>
  <c r="DI20" i="126"/>
  <c r="EK20" i="126"/>
  <c r="FM20" i="126"/>
  <c r="AQ21" i="126"/>
  <c r="FU21" i="126"/>
  <c r="AX22" i="66" s="1"/>
  <c r="FY21" i="126"/>
  <c r="BJ22" i="66" s="1"/>
  <c r="BS21" i="126"/>
  <c r="CG21" i="126"/>
  <c r="CU21" i="126"/>
  <c r="DI21" i="126"/>
  <c r="DW21" i="126"/>
  <c r="EK21" i="126"/>
  <c r="EY21" i="126"/>
  <c r="FM21" i="126"/>
  <c r="FW21" i="126"/>
  <c r="BD22" i="66" s="1"/>
  <c r="FW22" i="126"/>
  <c r="BD23" i="66" s="1"/>
  <c r="AC22" i="126"/>
  <c r="AQ22" i="126"/>
  <c r="BE22" i="126"/>
  <c r="BS22" i="126"/>
  <c r="CG22" i="126"/>
  <c r="CU22" i="126"/>
  <c r="DI22" i="126"/>
  <c r="DW22" i="126"/>
  <c r="EK22" i="126"/>
  <c r="EY22" i="126"/>
  <c r="FM22" i="126"/>
  <c r="FU22" i="126"/>
  <c r="AX23" i="66" s="1"/>
  <c r="FY22" i="126"/>
  <c r="BJ23" i="66" s="1"/>
  <c r="AC23" i="126"/>
  <c r="FV23" i="126"/>
  <c r="BA24" i="66" s="1"/>
  <c r="FY23" i="126"/>
  <c r="BJ24" i="66" s="1"/>
  <c r="AQ23" i="126"/>
  <c r="BE23" i="126"/>
  <c r="BS23" i="126"/>
  <c r="CG23" i="126"/>
  <c r="CU23" i="126"/>
  <c r="DI23" i="126"/>
  <c r="DW23" i="126"/>
  <c r="EK23" i="126"/>
  <c r="EY23" i="126"/>
  <c r="FM23" i="126"/>
  <c r="FW23" i="126"/>
  <c r="BD24" i="66" s="1"/>
  <c r="FU24" i="126"/>
  <c r="AX25" i="66" s="1"/>
  <c r="BO25" i="66" s="1"/>
  <c r="AC24" i="126"/>
  <c r="BE24" i="126"/>
  <c r="FY24" i="126"/>
  <c r="BJ25" i="66"/>
  <c r="CG24" i="126"/>
  <c r="DI24" i="126"/>
  <c r="EK24" i="126"/>
  <c r="FM24" i="126"/>
  <c r="FW25" i="126"/>
  <c r="BD26" i="66" s="1"/>
  <c r="AQ25" i="126"/>
  <c r="BS25" i="126"/>
  <c r="CU25" i="126"/>
  <c r="DW25" i="126"/>
  <c r="EY25" i="126"/>
  <c r="FZ26" i="126"/>
  <c r="BM27" i="66" s="1"/>
  <c r="AC26" i="126"/>
  <c r="BE26" i="126"/>
  <c r="CG26" i="126"/>
  <c r="DI26" i="126"/>
  <c r="EK26" i="126"/>
  <c r="EY26" i="126"/>
  <c r="FM26" i="126"/>
  <c r="FU26" i="126"/>
  <c r="AX27" i="66" s="1"/>
  <c r="FW26" i="126"/>
  <c r="BD27" i="66" s="1"/>
  <c r="FY26" i="126"/>
  <c r="BJ27" i="66" s="1"/>
  <c r="AC27" i="126"/>
  <c r="AQ27" i="126"/>
  <c r="BE27" i="126"/>
  <c r="BS27" i="126"/>
  <c r="CG27" i="126"/>
  <c r="CU27" i="126"/>
  <c r="DI27" i="126"/>
  <c r="DW27" i="126"/>
  <c r="EK27" i="126"/>
  <c r="EY27" i="126"/>
  <c r="FM27" i="126"/>
  <c r="FU27" i="126"/>
  <c r="AX28" i="66" s="1"/>
  <c r="FW27" i="126"/>
  <c r="BD28" i="66"/>
  <c r="FY27" i="126"/>
  <c r="BJ28" i="66" s="1"/>
  <c r="AC28" i="126"/>
  <c r="AQ28" i="126"/>
  <c r="BE28" i="126"/>
  <c r="BS28" i="126"/>
  <c r="CG28" i="126"/>
  <c r="FZ28" i="126"/>
  <c r="BM29" i="66" s="1"/>
  <c r="CU28" i="126"/>
  <c r="DI28" i="126"/>
  <c r="DW28" i="126"/>
  <c r="EK28" i="126"/>
  <c r="EY28" i="126"/>
  <c r="FM28" i="126"/>
  <c r="FU28" i="126"/>
  <c r="AX29" i="66" s="1"/>
  <c r="FW28" i="126"/>
  <c r="BD29" i="66" s="1"/>
  <c r="FX28" i="126"/>
  <c r="BG29" i="66" s="1"/>
  <c r="FY28" i="126"/>
  <c r="BJ29" i="66" s="1"/>
  <c r="AC29" i="126"/>
  <c r="AQ29" i="126"/>
  <c r="BE29" i="126"/>
  <c r="BS29" i="126"/>
  <c r="CG29" i="126"/>
  <c r="CU29" i="126"/>
  <c r="DI29" i="126"/>
  <c r="DW29" i="126"/>
  <c r="EK29" i="126"/>
  <c r="EY29" i="126"/>
  <c r="FM29" i="126"/>
  <c r="FU29" i="126"/>
  <c r="AX30" i="66" s="1"/>
  <c r="FW29" i="126"/>
  <c r="BD30" i="66" s="1"/>
  <c r="FY29" i="126"/>
  <c r="BJ30" i="66" s="1"/>
  <c r="W30" i="126"/>
  <c r="W32" i="126"/>
  <c r="X30" i="126"/>
  <c r="Y30" i="126"/>
  <c r="Y32" i="126"/>
  <c r="Z30" i="126"/>
  <c r="Z32" i="126"/>
  <c r="AA30" i="126"/>
  <c r="AA32" i="126"/>
  <c r="AB30" i="126"/>
  <c r="AK30" i="126"/>
  <c r="AK32" i="126"/>
  <c r="AL30" i="126"/>
  <c r="AM30" i="126"/>
  <c r="AM32" i="126"/>
  <c r="AN30" i="126"/>
  <c r="AN32" i="126"/>
  <c r="AO30" i="126"/>
  <c r="AO32" i="126"/>
  <c r="AP30" i="126"/>
  <c r="AP32" i="126"/>
  <c r="AY30" i="126"/>
  <c r="AY32" i="126"/>
  <c r="AZ30" i="126"/>
  <c r="AZ32" i="126"/>
  <c r="BA30" i="126"/>
  <c r="BB30" i="126"/>
  <c r="BB32" i="126"/>
  <c r="BC30" i="126"/>
  <c r="BC32" i="126"/>
  <c r="BD30" i="126"/>
  <c r="BD32" i="126"/>
  <c r="BM30" i="126"/>
  <c r="BN30" i="126"/>
  <c r="BO30" i="126"/>
  <c r="BP30" i="126"/>
  <c r="BP32" i="126"/>
  <c r="BQ30" i="126"/>
  <c r="BR30" i="126"/>
  <c r="CA30" i="126"/>
  <c r="CB30" i="126"/>
  <c r="CC30" i="126"/>
  <c r="CD30" i="126"/>
  <c r="CE30" i="126"/>
  <c r="CF30" i="126"/>
  <c r="CF32" i="126"/>
  <c r="CO30" i="126"/>
  <c r="CO32" i="126"/>
  <c r="CP30" i="126"/>
  <c r="CQ30" i="126"/>
  <c r="CQ32" i="126"/>
  <c r="CR30" i="126"/>
  <c r="CS30" i="126"/>
  <c r="CS32" i="126"/>
  <c r="CT30" i="126"/>
  <c r="CT32" i="126"/>
  <c r="DC30" i="126"/>
  <c r="DC32" i="126" s="1"/>
  <c r="DD30" i="126"/>
  <c r="DD32" i="126" s="1"/>
  <c r="DE30" i="126"/>
  <c r="DE32" i="126" s="1"/>
  <c r="DF30" i="126"/>
  <c r="DG30" i="126"/>
  <c r="DH30" i="126"/>
  <c r="DH32" i="126" s="1"/>
  <c r="DQ30" i="126"/>
  <c r="DQ32" i="126" s="1"/>
  <c r="DR30" i="126"/>
  <c r="DS30" i="126"/>
  <c r="DS32" i="126" s="1"/>
  <c r="DT30" i="126"/>
  <c r="DT32" i="126" s="1"/>
  <c r="DU30" i="126"/>
  <c r="DU32" i="126" s="1"/>
  <c r="DV30" i="126"/>
  <c r="DV32" i="126" s="1"/>
  <c r="EE30" i="126"/>
  <c r="EF30" i="126"/>
  <c r="EG30" i="126"/>
  <c r="EG32" i="126"/>
  <c r="EH30" i="126"/>
  <c r="EH32" i="126"/>
  <c r="EI30" i="126"/>
  <c r="EJ30" i="126"/>
  <c r="ES30" i="126"/>
  <c r="ES32" i="126"/>
  <c r="ET30" i="126"/>
  <c r="EU30" i="126"/>
  <c r="EV30" i="126"/>
  <c r="EW30" i="126"/>
  <c r="EW32" i="126"/>
  <c r="EX30" i="126"/>
  <c r="EX32" i="126"/>
  <c r="FG30" i="126"/>
  <c r="FH30" i="126"/>
  <c r="FH32" i="126"/>
  <c r="FI30" i="126"/>
  <c r="FI32" i="126"/>
  <c r="FJ30" i="126"/>
  <c r="FJ32" i="126"/>
  <c r="FK30" i="126"/>
  <c r="FL30" i="126"/>
  <c r="FL32" i="126"/>
  <c r="AC31" i="126"/>
  <c r="AQ31" i="126"/>
  <c r="BE31" i="126"/>
  <c r="BS31" i="126"/>
  <c r="CG31" i="126"/>
  <c r="CB32" i="126"/>
  <c r="CU31" i="126"/>
  <c r="CR32" i="126"/>
  <c r="DI31" i="126"/>
  <c r="DW31" i="126"/>
  <c r="EK31" i="126"/>
  <c r="EY31" i="126"/>
  <c r="FM31" i="126"/>
  <c r="FU31" i="126"/>
  <c r="AX31" i="66" s="1"/>
  <c r="AX34" i="66" s="1"/>
  <c r="FV31" i="126"/>
  <c r="BA31" i="66" s="1"/>
  <c r="FW31" i="126"/>
  <c r="BD31" i="66" s="1"/>
  <c r="BD34" i="66" s="1"/>
  <c r="FX31" i="126"/>
  <c r="BG31" i="66" s="1"/>
  <c r="BG34" i="66" s="1"/>
  <c r="FZ31" i="126"/>
  <c r="BM31" i="66" s="1"/>
  <c r="BM34" i="66" s="1"/>
  <c r="BA32" i="126"/>
  <c r="BM32" i="126"/>
  <c r="BO32" i="126"/>
  <c r="BQ32" i="126"/>
  <c r="CA32" i="126"/>
  <c r="CC32" i="126"/>
  <c r="CE32" i="126"/>
  <c r="DG32" i="126"/>
  <c r="EE32" i="126"/>
  <c r="EI32" i="126"/>
  <c r="EU32" i="126"/>
  <c r="FG32" i="126"/>
  <c r="FK32" i="126"/>
  <c r="O28" i="126"/>
  <c r="FV28" i="126"/>
  <c r="BA29" i="66" s="1"/>
  <c r="O27" i="126"/>
  <c r="FX27" i="126"/>
  <c r="O17" i="126"/>
  <c r="FX17" i="126"/>
  <c r="BG18" i="66" s="1"/>
  <c r="O16" i="126"/>
  <c r="FV16" i="126"/>
  <c r="O13" i="126"/>
  <c r="FX13" i="126"/>
  <c r="BG14" i="66"/>
  <c r="L30" i="126"/>
  <c r="L32" i="126"/>
  <c r="FY31" i="126"/>
  <c r="FX5" i="126"/>
  <c r="BG6" i="66" s="1"/>
  <c r="I30" i="126"/>
  <c r="I32" i="126"/>
  <c r="FU3" i="126"/>
  <c r="AX4" i="66" s="1"/>
  <c r="O6" i="126"/>
  <c r="CH3" i="63"/>
  <c r="CD3" i="63"/>
  <c r="BZ3" i="63"/>
  <c r="CG3" i="63"/>
  <c r="CC3" i="63"/>
  <c r="BY3" i="63"/>
  <c r="CB3" i="63"/>
  <c r="CI3" i="63"/>
  <c r="CA3" i="63"/>
  <c r="CF3" i="63"/>
  <c r="CE3" i="63"/>
  <c r="CG7" i="63"/>
  <c r="CE7" i="63"/>
  <c r="CC7" i="63"/>
  <c r="CA7" i="63"/>
  <c r="BY7" i="63"/>
  <c r="CI7" i="63"/>
  <c r="CH7" i="63"/>
  <c r="CD7" i="63"/>
  <c r="BZ7" i="63"/>
  <c r="BX7" i="63"/>
  <c r="CF7" i="63"/>
  <c r="CB7" i="63"/>
  <c r="CG11" i="63"/>
  <c r="CE11" i="63"/>
  <c r="CC11" i="63"/>
  <c r="CA11" i="63"/>
  <c r="BY11" i="63"/>
  <c r="CI11" i="63"/>
  <c r="CF11" i="63"/>
  <c r="CB11" i="63"/>
  <c r="CH11" i="63"/>
  <c r="CD11" i="63"/>
  <c r="BZ11" i="63"/>
  <c r="BX11" i="63"/>
  <c r="CG15" i="63"/>
  <c r="CE15" i="63"/>
  <c r="CC15" i="63"/>
  <c r="CA15" i="63"/>
  <c r="BY15" i="63"/>
  <c r="CI15" i="63"/>
  <c r="CH15" i="63"/>
  <c r="CD15" i="63"/>
  <c r="BZ15" i="63"/>
  <c r="BX15" i="63"/>
  <c r="CF15" i="63"/>
  <c r="CB15" i="63"/>
  <c r="CG19" i="63"/>
  <c r="CE19" i="63"/>
  <c r="CC19" i="63"/>
  <c r="CA19" i="63"/>
  <c r="BY19" i="63"/>
  <c r="CI19" i="63"/>
  <c r="CF19" i="63"/>
  <c r="CB19" i="63"/>
  <c r="CH19" i="63"/>
  <c r="CD19" i="63"/>
  <c r="BZ19" i="63"/>
  <c r="BX19" i="63"/>
  <c r="CG23" i="63"/>
  <c r="CE23" i="63"/>
  <c r="CC23" i="63"/>
  <c r="CA23" i="63"/>
  <c r="BY23" i="63"/>
  <c r="CI23" i="63"/>
  <c r="CH23" i="63"/>
  <c r="CD23" i="63"/>
  <c r="BZ23" i="63"/>
  <c r="BX23" i="63"/>
  <c r="CF23" i="63"/>
  <c r="CB23" i="63"/>
  <c r="CG27" i="63"/>
  <c r="CE27" i="63"/>
  <c r="CC27" i="63"/>
  <c r="CA27" i="63"/>
  <c r="BY27" i="63"/>
  <c r="CI27" i="63"/>
  <c r="CF27" i="63"/>
  <c r="CB27" i="63"/>
  <c r="CH27" i="63"/>
  <c r="CD27" i="63"/>
  <c r="BZ27" i="63"/>
  <c r="BX27" i="63"/>
  <c r="CG36" i="63"/>
  <c r="CC36" i="63"/>
  <c r="BY36" i="63"/>
  <c r="CF36" i="63"/>
  <c r="CB36" i="63"/>
  <c r="BX36" i="63"/>
  <c r="CI36" i="63"/>
  <c r="CA36" i="63"/>
  <c r="CH36" i="63"/>
  <c r="BZ36" i="63"/>
  <c r="CE36" i="63"/>
  <c r="CD36" i="63"/>
  <c r="CG40" i="63"/>
  <c r="CC40" i="63"/>
  <c r="BY40" i="63"/>
  <c r="CF40" i="63"/>
  <c r="CB40" i="63"/>
  <c r="BX40" i="63"/>
  <c r="CI40" i="63"/>
  <c r="CA40" i="63"/>
  <c r="CH40" i="63"/>
  <c r="BZ40" i="63"/>
  <c r="CE40" i="63"/>
  <c r="CD40" i="63"/>
  <c r="CG44" i="63"/>
  <c r="CC44" i="63"/>
  <c r="BY44" i="63"/>
  <c r="CF44" i="63"/>
  <c r="CB44" i="63"/>
  <c r="BX44" i="63"/>
  <c r="CI44" i="63"/>
  <c r="CA44" i="63"/>
  <c r="CH44" i="63"/>
  <c r="BZ44" i="63"/>
  <c r="CE44" i="63"/>
  <c r="CD44" i="63"/>
  <c r="CG48" i="63"/>
  <c r="CC48" i="63"/>
  <c r="BY48" i="63"/>
  <c r="CF48" i="63"/>
  <c r="CB48" i="63"/>
  <c r="BX48" i="63"/>
  <c r="CI48" i="63"/>
  <c r="CA48" i="63"/>
  <c r="CH48" i="63"/>
  <c r="BZ48" i="63"/>
  <c r="CD48" i="63"/>
  <c r="CE48" i="63"/>
  <c r="CG52" i="63"/>
  <c r="CC52" i="63"/>
  <c r="BY52" i="63"/>
  <c r="CF52" i="63"/>
  <c r="CB52" i="63"/>
  <c r="BX52" i="63"/>
  <c r="CI52" i="63"/>
  <c r="CA52" i="63"/>
  <c r="CH52" i="63"/>
  <c r="BZ52" i="63"/>
  <c r="CE52" i="63"/>
  <c r="CD52" i="63"/>
  <c r="CG56" i="63"/>
  <c r="CC56" i="63"/>
  <c r="BY56" i="63"/>
  <c r="CF56" i="63"/>
  <c r="CB56" i="63"/>
  <c r="BX56" i="63"/>
  <c r="CI56" i="63"/>
  <c r="CA56" i="63"/>
  <c r="CD56" i="63"/>
  <c r="CH56" i="63"/>
  <c r="BZ56" i="63"/>
  <c r="CE56" i="63"/>
  <c r="CG65" i="63"/>
  <c r="CC65" i="63"/>
  <c r="BY65" i="63"/>
  <c r="CF65" i="63"/>
  <c r="CB65" i="63"/>
  <c r="BX65" i="63"/>
  <c r="CI65" i="63"/>
  <c r="CA65" i="63"/>
  <c r="CD65" i="63"/>
  <c r="CH65" i="63"/>
  <c r="BZ65" i="63"/>
  <c r="CE65" i="63"/>
  <c r="CG69" i="63"/>
  <c r="CC69" i="63"/>
  <c r="BY69" i="63"/>
  <c r="CF69" i="63"/>
  <c r="CB69" i="63"/>
  <c r="BX69" i="63"/>
  <c r="CI69" i="63"/>
  <c r="CA69" i="63"/>
  <c r="CH69" i="63"/>
  <c r="BZ69" i="63"/>
  <c r="CE69" i="63"/>
  <c r="CD69" i="63"/>
  <c r="CG73" i="63"/>
  <c r="CC73" i="63"/>
  <c r="BY73" i="63"/>
  <c r="CF73" i="63"/>
  <c r="CB73" i="63"/>
  <c r="BX73" i="63"/>
  <c r="CI73" i="63"/>
  <c r="CA73" i="63"/>
  <c r="CD73" i="63"/>
  <c r="CH73" i="63"/>
  <c r="BZ73" i="63"/>
  <c r="CE73" i="63"/>
  <c r="CG77" i="63"/>
  <c r="CC77" i="63"/>
  <c r="BY77" i="63"/>
  <c r="CF77" i="63"/>
  <c r="CB77" i="63"/>
  <c r="BX77" i="63"/>
  <c r="CI77" i="63"/>
  <c r="CA77" i="63"/>
  <c r="CH77" i="63"/>
  <c r="BZ77" i="63"/>
  <c r="CD77" i="63"/>
  <c r="CE77" i="63"/>
  <c r="CG81" i="63"/>
  <c r="CC81" i="63"/>
  <c r="BY81" i="63"/>
  <c r="CF81" i="63"/>
  <c r="CB81" i="63"/>
  <c r="BX81" i="63"/>
  <c r="CI81" i="63"/>
  <c r="CA81" i="63"/>
  <c r="CH81" i="63"/>
  <c r="BZ81" i="63"/>
  <c r="CE81" i="63"/>
  <c r="CD81" i="63"/>
  <c r="CG85" i="63"/>
  <c r="CC85" i="63"/>
  <c r="BY85" i="63"/>
  <c r="CF85" i="63"/>
  <c r="CB85" i="63"/>
  <c r="BX85" i="63"/>
  <c r="CI85" i="63"/>
  <c r="CA85" i="63"/>
  <c r="CD85" i="63"/>
  <c r="CH85" i="63"/>
  <c r="BZ85" i="63"/>
  <c r="CE85" i="63"/>
  <c r="CG89" i="63"/>
  <c r="CC89" i="63"/>
  <c r="BY89" i="63"/>
  <c r="CF89" i="63"/>
  <c r="CB89" i="63"/>
  <c r="BX89" i="63"/>
  <c r="CI89" i="63"/>
  <c r="CA89" i="63"/>
  <c r="CH89" i="63"/>
  <c r="BZ89" i="63"/>
  <c r="CE89" i="63"/>
  <c r="CD89" i="63"/>
  <c r="CG94" i="63"/>
  <c r="CC94" i="63"/>
  <c r="BY94" i="63"/>
  <c r="CF94" i="63"/>
  <c r="CB94" i="63"/>
  <c r="BX94" i="63"/>
  <c r="CI94" i="63"/>
  <c r="CA94" i="63"/>
  <c r="CD94" i="63"/>
  <c r="CH94" i="63"/>
  <c r="BZ94" i="63"/>
  <c r="CE94" i="63"/>
  <c r="CG98" i="63"/>
  <c r="CC98" i="63"/>
  <c r="BY98" i="63"/>
  <c r="CF98" i="63"/>
  <c r="CB98" i="63"/>
  <c r="BX98" i="63"/>
  <c r="CI98" i="63"/>
  <c r="CA98" i="63"/>
  <c r="CH98" i="63"/>
  <c r="BZ98" i="63"/>
  <c r="CE98" i="63"/>
  <c r="CD98" i="63"/>
  <c r="CG102" i="63"/>
  <c r="CC102" i="63"/>
  <c r="BY102" i="63"/>
  <c r="CF102" i="63"/>
  <c r="CB102" i="63"/>
  <c r="BX102" i="63"/>
  <c r="CI102" i="63"/>
  <c r="CA102" i="63"/>
  <c r="CH102" i="63"/>
  <c r="BZ102" i="63"/>
  <c r="CE102" i="63"/>
  <c r="CD102" i="63"/>
  <c r="CG106" i="63"/>
  <c r="CC106" i="63"/>
  <c r="BY106" i="63"/>
  <c r="CF106" i="63"/>
  <c r="CB106" i="63"/>
  <c r="BX106" i="63"/>
  <c r="CI106" i="63"/>
  <c r="CA106" i="63"/>
  <c r="CH106" i="63"/>
  <c r="BZ106" i="63"/>
  <c r="CE106" i="63"/>
  <c r="CD106" i="63"/>
  <c r="CG110" i="63"/>
  <c r="CC110" i="63"/>
  <c r="BY110" i="63"/>
  <c r="CF110" i="63"/>
  <c r="CB110" i="63"/>
  <c r="BX110" i="63"/>
  <c r="CI110" i="63"/>
  <c r="CA110" i="63"/>
  <c r="CD110" i="63"/>
  <c r="CH110" i="63"/>
  <c r="BZ110" i="63"/>
  <c r="CE110" i="63"/>
  <c r="CG114" i="63"/>
  <c r="CC114" i="63"/>
  <c r="BY114" i="63"/>
  <c r="CF114" i="63"/>
  <c r="CB114" i="63"/>
  <c r="BX114" i="63"/>
  <c r="CI114" i="63"/>
  <c r="CA114" i="63"/>
  <c r="CD114" i="63"/>
  <c r="CH114" i="63"/>
  <c r="BZ114" i="63"/>
  <c r="CE114" i="63"/>
  <c r="CG118" i="63"/>
  <c r="CC118" i="63"/>
  <c r="BY118" i="63"/>
  <c r="CF118" i="63"/>
  <c r="CB118" i="63"/>
  <c r="BX118" i="63"/>
  <c r="CI118" i="63"/>
  <c r="CA118" i="63"/>
  <c r="CH118" i="63"/>
  <c r="BZ118" i="63"/>
  <c r="CE118" i="63"/>
  <c r="CD118" i="63"/>
  <c r="CG123" i="63"/>
  <c r="CC123" i="63"/>
  <c r="BY123" i="63"/>
  <c r="CF123" i="63"/>
  <c r="CB123" i="63"/>
  <c r="BX123" i="63"/>
  <c r="CI123" i="63"/>
  <c r="CA123" i="63"/>
  <c r="CH123" i="63"/>
  <c r="BZ123" i="63"/>
  <c r="CE123" i="63"/>
  <c r="CD123" i="63"/>
  <c r="CG127" i="63"/>
  <c r="CC127" i="63"/>
  <c r="BY127" i="63"/>
  <c r="CF127" i="63"/>
  <c r="CB127" i="63"/>
  <c r="BX127" i="63"/>
  <c r="CI127" i="63"/>
  <c r="CA127" i="63"/>
  <c r="CD127" i="63"/>
  <c r="CH127" i="63"/>
  <c r="BZ127" i="63"/>
  <c r="CE127" i="63"/>
  <c r="CG131" i="63"/>
  <c r="CC131" i="63"/>
  <c r="BY131" i="63"/>
  <c r="CF131" i="63"/>
  <c r="CB131" i="63"/>
  <c r="BX131" i="63"/>
  <c r="CI131" i="63"/>
  <c r="CA131" i="63"/>
  <c r="CD131" i="63"/>
  <c r="CH131" i="63"/>
  <c r="BZ131" i="63"/>
  <c r="CE131" i="63"/>
  <c r="CG135" i="63"/>
  <c r="CC135" i="63"/>
  <c r="BY135" i="63"/>
  <c r="CF135" i="63"/>
  <c r="CB135" i="63"/>
  <c r="BX135" i="63"/>
  <c r="CI135" i="63"/>
  <c r="CA135" i="63"/>
  <c r="CH135" i="63"/>
  <c r="BZ135" i="63"/>
  <c r="CE135" i="63"/>
  <c r="CD135" i="63"/>
  <c r="CG139" i="63"/>
  <c r="CC139" i="63"/>
  <c r="BY139" i="63"/>
  <c r="CF139" i="63"/>
  <c r="CB139" i="63"/>
  <c r="BX139" i="63"/>
  <c r="CI139" i="63"/>
  <c r="CA139" i="63"/>
  <c r="CD139" i="63"/>
  <c r="CH139" i="63"/>
  <c r="BZ139" i="63"/>
  <c r="CE139" i="63"/>
  <c r="CG143" i="63"/>
  <c r="CC143" i="63"/>
  <c r="BY143" i="63"/>
  <c r="CF143" i="63"/>
  <c r="CB143" i="63"/>
  <c r="BX143" i="63"/>
  <c r="CI143" i="63"/>
  <c r="CA143" i="63"/>
  <c r="CD143" i="63"/>
  <c r="CH143" i="63"/>
  <c r="BZ143" i="63"/>
  <c r="CE143" i="63"/>
  <c r="CG147" i="63"/>
  <c r="CC147" i="63"/>
  <c r="BY147" i="63"/>
  <c r="CF147" i="63"/>
  <c r="CB147" i="63"/>
  <c r="BX147" i="63"/>
  <c r="CI147" i="63"/>
  <c r="CA147" i="63"/>
  <c r="CH147" i="63"/>
  <c r="BZ147" i="63"/>
  <c r="CE147" i="63"/>
  <c r="CD147" i="63"/>
  <c r="O25" i="126"/>
  <c r="O23" i="126"/>
  <c r="O21" i="126"/>
  <c r="O19" i="126"/>
  <c r="O15" i="126"/>
  <c r="O9" i="126"/>
  <c r="O7" i="126"/>
  <c r="N30" i="126"/>
  <c r="J30" i="126"/>
  <c r="CG4" i="63"/>
  <c r="CE4" i="63"/>
  <c r="CC4" i="63"/>
  <c r="CA4" i="63"/>
  <c r="BY4" i="63"/>
  <c r="CI4" i="63"/>
  <c r="CF4" i="63"/>
  <c r="CB4" i="63"/>
  <c r="CH4" i="63"/>
  <c r="CD4" i="63"/>
  <c r="BZ4" i="63"/>
  <c r="BX4" i="63"/>
  <c r="CG8" i="63"/>
  <c r="CE8" i="63"/>
  <c r="CC8" i="63"/>
  <c r="CA8" i="63"/>
  <c r="BY8" i="63"/>
  <c r="BZ8" i="63"/>
  <c r="BX8" i="63"/>
  <c r="CH8" i="63"/>
  <c r="CD8" i="63"/>
  <c r="CI8" i="63"/>
  <c r="CF8" i="63"/>
  <c r="CB8" i="63"/>
  <c r="CG12" i="63"/>
  <c r="CE12" i="63"/>
  <c r="CC12" i="63"/>
  <c r="CA12" i="63"/>
  <c r="BY12" i="63"/>
  <c r="CI12" i="63"/>
  <c r="CF12" i="63"/>
  <c r="CB12" i="63"/>
  <c r="BZ12" i="63"/>
  <c r="BX12" i="63"/>
  <c r="CD12" i="63"/>
  <c r="CH12" i="63"/>
  <c r="CG16" i="63"/>
  <c r="CE16" i="63"/>
  <c r="CC16" i="63"/>
  <c r="CA16" i="63"/>
  <c r="BY16" i="63"/>
  <c r="CD16" i="63"/>
  <c r="BZ16" i="63"/>
  <c r="BX16" i="63"/>
  <c r="CH16" i="63"/>
  <c r="CI16" i="63"/>
  <c r="CF16" i="63"/>
  <c r="CB16" i="63"/>
  <c r="CG20" i="63"/>
  <c r="CE20" i="63"/>
  <c r="CC20" i="63"/>
  <c r="CA20" i="63"/>
  <c r="BY20" i="63"/>
  <c r="CI20" i="63"/>
  <c r="CF20" i="63"/>
  <c r="CB20" i="63"/>
  <c r="CD20" i="63"/>
  <c r="BZ20" i="63"/>
  <c r="BX20" i="63"/>
  <c r="CH20" i="63"/>
  <c r="CG24" i="63"/>
  <c r="CE24" i="63"/>
  <c r="CC24" i="63"/>
  <c r="CA24" i="63"/>
  <c r="BY24" i="63"/>
  <c r="CD24" i="63"/>
  <c r="BZ24" i="63"/>
  <c r="BX24" i="63"/>
  <c r="CH24" i="63"/>
  <c r="CI24" i="63"/>
  <c r="CF24" i="63"/>
  <c r="CB24" i="63"/>
  <c r="CG28" i="63"/>
  <c r="CE28" i="63"/>
  <c r="CC28" i="63"/>
  <c r="CA28" i="63"/>
  <c r="BY28" i="63"/>
  <c r="CI28" i="63"/>
  <c r="CF28" i="63"/>
  <c r="CB28" i="63"/>
  <c r="CH28" i="63"/>
  <c r="CD28" i="63"/>
  <c r="BZ28" i="63"/>
  <c r="BX28" i="63"/>
  <c r="CG33" i="63"/>
  <c r="CC33" i="63"/>
  <c r="BY33" i="63"/>
  <c r="CF33" i="63"/>
  <c r="CB33" i="63"/>
  <c r="BX33" i="63"/>
  <c r="CE33" i="63"/>
  <c r="CD33" i="63"/>
  <c r="CI33" i="63"/>
  <c r="CA33" i="63"/>
  <c r="CH33" i="63"/>
  <c r="BZ33" i="63"/>
  <c r="CG37" i="63"/>
  <c r="CC37" i="63"/>
  <c r="BY37" i="63"/>
  <c r="CF37" i="63"/>
  <c r="CB37" i="63"/>
  <c r="BX37" i="63"/>
  <c r="CE37" i="63"/>
  <c r="CD37" i="63"/>
  <c r="CI37" i="63"/>
  <c r="CA37" i="63"/>
  <c r="BZ37" i="63"/>
  <c r="CH37" i="63"/>
  <c r="CG41" i="63"/>
  <c r="CC41" i="63"/>
  <c r="BY41" i="63"/>
  <c r="CF41" i="63"/>
  <c r="CB41" i="63"/>
  <c r="BX41" i="63"/>
  <c r="CE41" i="63"/>
  <c r="CD41" i="63"/>
  <c r="CI41" i="63"/>
  <c r="CA41" i="63"/>
  <c r="CH41" i="63"/>
  <c r="BZ41" i="63"/>
  <c r="CG45" i="63"/>
  <c r="CC45" i="63"/>
  <c r="BY45" i="63"/>
  <c r="CF45" i="63"/>
  <c r="CB45" i="63"/>
  <c r="BX45" i="63"/>
  <c r="CE45" i="63"/>
  <c r="CD45" i="63"/>
  <c r="CI45" i="63"/>
  <c r="CA45" i="63"/>
  <c r="BZ45" i="63"/>
  <c r="CH45" i="63"/>
  <c r="CG49" i="63"/>
  <c r="CC49" i="63"/>
  <c r="BY49" i="63"/>
  <c r="CF49" i="63"/>
  <c r="CB49" i="63"/>
  <c r="BX49" i="63"/>
  <c r="CE49" i="63"/>
  <c r="CH49" i="63"/>
  <c r="CD49" i="63"/>
  <c r="CI49" i="63"/>
  <c r="CA49" i="63"/>
  <c r="BZ49" i="63"/>
  <c r="CG53" i="63"/>
  <c r="CC53" i="63"/>
  <c r="BY53" i="63"/>
  <c r="CF53" i="63"/>
  <c r="CB53" i="63"/>
  <c r="BX53" i="63"/>
  <c r="CE53" i="63"/>
  <c r="BZ53" i="63"/>
  <c r="CD53" i="63"/>
  <c r="CH53" i="63"/>
  <c r="CI53" i="63"/>
  <c r="CA53" i="63"/>
  <c r="CG57" i="63"/>
  <c r="CC57" i="63"/>
  <c r="BY57" i="63"/>
  <c r="CF57" i="63"/>
  <c r="CB57" i="63"/>
  <c r="BX57" i="63"/>
  <c r="CE57" i="63"/>
  <c r="CD57" i="63"/>
  <c r="BZ57" i="63"/>
  <c r="CI57" i="63"/>
  <c r="CA57" i="63"/>
  <c r="CH57" i="63"/>
  <c r="CG66" i="63"/>
  <c r="CC66" i="63"/>
  <c r="BY66" i="63"/>
  <c r="CF66" i="63"/>
  <c r="CB66" i="63"/>
  <c r="BX66" i="63"/>
  <c r="CE66" i="63"/>
  <c r="CD66" i="63"/>
  <c r="CH66" i="63"/>
  <c r="CI66" i="63"/>
  <c r="CA66" i="63"/>
  <c r="BZ66" i="63"/>
  <c r="CG70" i="63"/>
  <c r="CC70" i="63"/>
  <c r="BY70" i="63"/>
  <c r="CF70" i="63"/>
  <c r="CB70" i="63"/>
  <c r="BX70" i="63"/>
  <c r="CE70" i="63"/>
  <c r="CH70" i="63"/>
  <c r="CD70" i="63"/>
  <c r="BZ70" i="63"/>
  <c r="CI70" i="63"/>
  <c r="CA70" i="63"/>
  <c r="CG74" i="63"/>
  <c r="CC74" i="63"/>
  <c r="BY74" i="63"/>
  <c r="CF74" i="63"/>
  <c r="CB74" i="63"/>
  <c r="BX74" i="63"/>
  <c r="CE74" i="63"/>
  <c r="CD74" i="63"/>
  <c r="BZ74" i="63"/>
  <c r="CI74" i="63"/>
  <c r="CA74" i="63"/>
  <c r="CH74" i="63"/>
  <c r="CG78" i="63"/>
  <c r="CC78" i="63"/>
  <c r="BY78" i="63"/>
  <c r="CF78" i="63"/>
  <c r="CB78" i="63"/>
  <c r="BX78" i="63"/>
  <c r="CE78" i="63"/>
  <c r="CD78" i="63"/>
  <c r="CH78" i="63"/>
  <c r="CI78" i="63"/>
  <c r="CA78" i="63"/>
  <c r="BZ78" i="63"/>
  <c r="CG82" i="63"/>
  <c r="CC82" i="63"/>
  <c r="BY82" i="63"/>
  <c r="CF82" i="63"/>
  <c r="CB82" i="63"/>
  <c r="BX82" i="63"/>
  <c r="CE82" i="63"/>
  <c r="BZ82" i="63"/>
  <c r="CD82" i="63"/>
  <c r="CI82" i="63"/>
  <c r="CA82" i="63"/>
  <c r="CH82" i="63"/>
  <c r="CG86" i="63"/>
  <c r="CC86" i="63"/>
  <c r="BY86" i="63"/>
  <c r="CF86" i="63"/>
  <c r="CB86" i="63"/>
  <c r="BX86" i="63"/>
  <c r="CE86" i="63"/>
  <c r="CD86" i="63"/>
  <c r="CI86" i="63"/>
  <c r="CA86" i="63"/>
  <c r="CH86" i="63"/>
  <c r="BZ86" i="63"/>
  <c r="CG95" i="63"/>
  <c r="CC95" i="63"/>
  <c r="BY95" i="63"/>
  <c r="CF95" i="63"/>
  <c r="CB95" i="63"/>
  <c r="BX95" i="63"/>
  <c r="CE95" i="63"/>
  <c r="CH95" i="63"/>
  <c r="CD95" i="63"/>
  <c r="CI95" i="63"/>
  <c r="CA95" i="63"/>
  <c r="BZ95" i="63"/>
  <c r="CG99" i="63"/>
  <c r="CC99" i="63"/>
  <c r="BY99" i="63"/>
  <c r="CF99" i="63"/>
  <c r="CB99" i="63"/>
  <c r="BX99" i="63"/>
  <c r="CE99" i="63"/>
  <c r="BZ99" i="63"/>
  <c r="CD99" i="63"/>
  <c r="CH99" i="63"/>
  <c r="CI99" i="63"/>
  <c r="CA99" i="63"/>
  <c r="CG103" i="63"/>
  <c r="CC103" i="63"/>
  <c r="BY103" i="63"/>
  <c r="CF103" i="63"/>
  <c r="CB103" i="63"/>
  <c r="BX103" i="63"/>
  <c r="CE103" i="63"/>
  <c r="BZ103" i="63"/>
  <c r="CD103" i="63"/>
  <c r="CI103" i="63"/>
  <c r="CA103" i="63"/>
  <c r="CH103" i="63"/>
  <c r="CG107" i="63"/>
  <c r="CC107" i="63"/>
  <c r="BY107" i="63"/>
  <c r="CF107" i="63"/>
  <c r="CB107" i="63"/>
  <c r="BX107" i="63"/>
  <c r="CE107" i="63"/>
  <c r="BZ107" i="63"/>
  <c r="CD107" i="63"/>
  <c r="CI107" i="63"/>
  <c r="CA107" i="63"/>
  <c r="CH107" i="63"/>
  <c r="CG111" i="63"/>
  <c r="CC111" i="63"/>
  <c r="BY111" i="63"/>
  <c r="CF111" i="63"/>
  <c r="CB111" i="63"/>
  <c r="BX111" i="63"/>
  <c r="CE111" i="63"/>
  <c r="CH111" i="63"/>
  <c r="CD111" i="63"/>
  <c r="CI111" i="63"/>
  <c r="CA111" i="63"/>
  <c r="BZ111" i="63"/>
  <c r="CG115" i="63"/>
  <c r="CC115" i="63"/>
  <c r="BY115" i="63"/>
  <c r="CF115" i="63"/>
  <c r="CB115" i="63"/>
  <c r="BX115" i="63"/>
  <c r="CE115" i="63"/>
  <c r="BZ115" i="63"/>
  <c r="CD115" i="63"/>
  <c r="CI115" i="63"/>
  <c r="CA115" i="63"/>
  <c r="CH115" i="63"/>
  <c r="CG119" i="63"/>
  <c r="CC119" i="63"/>
  <c r="BY119" i="63"/>
  <c r="CF119" i="63"/>
  <c r="CB119" i="63"/>
  <c r="BX119" i="63"/>
  <c r="CE119" i="63"/>
  <c r="CH119" i="63"/>
  <c r="BZ119" i="63"/>
  <c r="CD119" i="63"/>
  <c r="CI119" i="63"/>
  <c r="CA119" i="63"/>
  <c r="CG124" i="63"/>
  <c r="CC124" i="63"/>
  <c r="BY124" i="63"/>
  <c r="CF124" i="63"/>
  <c r="CB124" i="63"/>
  <c r="BX124" i="63"/>
  <c r="CE124" i="63"/>
  <c r="BZ124" i="63"/>
  <c r="CD124" i="63"/>
  <c r="CI124" i="63"/>
  <c r="CA124" i="63"/>
  <c r="CH124" i="63"/>
  <c r="CG128" i="63"/>
  <c r="CC128" i="63"/>
  <c r="BY128" i="63"/>
  <c r="CF128" i="63"/>
  <c r="CB128" i="63"/>
  <c r="BX128" i="63"/>
  <c r="CE128" i="63"/>
  <c r="CH128" i="63"/>
  <c r="CD128" i="63"/>
  <c r="CI128" i="63"/>
  <c r="CA128" i="63"/>
  <c r="BZ128" i="63"/>
  <c r="CG132" i="63"/>
  <c r="CC132" i="63"/>
  <c r="BY132" i="63"/>
  <c r="CF132" i="63"/>
  <c r="CB132" i="63"/>
  <c r="BX132" i="63"/>
  <c r="CE132" i="63"/>
  <c r="BZ132" i="63"/>
  <c r="CD132" i="63"/>
  <c r="CI132" i="63"/>
  <c r="CA132" i="63"/>
  <c r="CH132" i="63"/>
  <c r="CG136" i="63"/>
  <c r="CC136" i="63"/>
  <c r="BY136" i="63"/>
  <c r="CF136" i="63"/>
  <c r="CB136" i="63"/>
  <c r="BX136" i="63"/>
  <c r="CE136" i="63"/>
  <c r="CH136" i="63"/>
  <c r="BZ136" i="63"/>
  <c r="CD136" i="63"/>
  <c r="CI136" i="63"/>
  <c r="CA136" i="63"/>
  <c r="CG140" i="63"/>
  <c r="CC140" i="63"/>
  <c r="BY140" i="63"/>
  <c r="CF140" i="63"/>
  <c r="CB140" i="63"/>
  <c r="BX140" i="63"/>
  <c r="CE140" i="63"/>
  <c r="CH140" i="63"/>
  <c r="CD140" i="63"/>
  <c r="CI140" i="63"/>
  <c r="CA140" i="63"/>
  <c r="BZ140" i="63"/>
  <c r="CG144" i="63"/>
  <c r="CC144" i="63"/>
  <c r="BY144" i="63"/>
  <c r="CF144" i="63"/>
  <c r="CB144" i="63"/>
  <c r="BX144" i="63"/>
  <c r="CE144" i="63"/>
  <c r="CH144" i="63"/>
  <c r="CD144" i="63"/>
  <c r="CI144" i="63"/>
  <c r="CA144" i="63"/>
  <c r="BZ144" i="63"/>
  <c r="CG148" i="63"/>
  <c r="CC148" i="63"/>
  <c r="BY148" i="63"/>
  <c r="CF148" i="63"/>
  <c r="CB148" i="63"/>
  <c r="BX148" i="63"/>
  <c r="CE148" i="63"/>
  <c r="BZ148" i="63"/>
  <c r="CD148" i="63"/>
  <c r="CI148" i="63"/>
  <c r="CA148" i="63"/>
  <c r="CH148" i="63"/>
  <c r="CH5" i="63"/>
  <c r="CF5" i="63"/>
  <c r="CD5" i="63"/>
  <c r="CB5" i="63"/>
  <c r="BZ5" i="63"/>
  <c r="BX5" i="63"/>
  <c r="CG5" i="63"/>
  <c r="CC5" i="63"/>
  <c r="BY5" i="63"/>
  <c r="CI5" i="63"/>
  <c r="CE5" i="63"/>
  <c r="CA5" i="63"/>
  <c r="CH9" i="63"/>
  <c r="CF9" i="63"/>
  <c r="CD9" i="63"/>
  <c r="CB9" i="63"/>
  <c r="BZ9" i="63"/>
  <c r="BX9" i="63"/>
  <c r="CE9" i="63"/>
  <c r="CA9" i="63"/>
  <c r="CG9" i="63"/>
  <c r="CC9" i="63"/>
  <c r="BY9" i="63"/>
  <c r="CI9" i="63"/>
  <c r="CH13" i="63"/>
  <c r="CF13" i="63"/>
  <c r="CD13" i="63"/>
  <c r="CB13" i="63"/>
  <c r="BZ13" i="63"/>
  <c r="BX13" i="63"/>
  <c r="CG13" i="63"/>
  <c r="CC13" i="63"/>
  <c r="BY13" i="63"/>
  <c r="CI13" i="63"/>
  <c r="CE13" i="63"/>
  <c r="CA13" i="63"/>
  <c r="CH17" i="63"/>
  <c r="CF17" i="63"/>
  <c r="CD17" i="63"/>
  <c r="CB17" i="63"/>
  <c r="BZ17" i="63"/>
  <c r="BX17" i="63"/>
  <c r="CE17" i="63"/>
  <c r="CA17" i="63"/>
  <c r="CG17" i="63"/>
  <c r="CC17" i="63"/>
  <c r="BY17" i="63"/>
  <c r="CI17" i="63"/>
  <c r="CH21" i="63"/>
  <c r="CF21" i="63"/>
  <c r="CD21" i="63"/>
  <c r="CB21" i="63"/>
  <c r="BZ21" i="63"/>
  <c r="BX21" i="63"/>
  <c r="CG21" i="63"/>
  <c r="CC21" i="63"/>
  <c r="BY21" i="63"/>
  <c r="CI21" i="63"/>
  <c r="CE21" i="63"/>
  <c r="CA21" i="63"/>
  <c r="CH25" i="63"/>
  <c r="CF25" i="63"/>
  <c r="CD25" i="63"/>
  <c r="CB25" i="63"/>
  <c r="BZ25" i="63"/>
  <c r="BX25" i="63"/>
  <c r="CE25" i="63"/>
  <c r="CA25" i="63"/>
  <c r="CG25" i="63"/>
  <c r="CC25" i="63"/>
  <c r="BY25" i="63"/>
  <c r="CI25" i="63"/>
  <c r="CH29" i="63"/>
  <c r="CF29" i="63"/>
  <c r="CD29" i="63"/>
  <c r="CB29" i="63"/>
  <c r="BZ29" i="63"/>
  <c r="BX29" i="63"/>
  <c r="CG29" i="63"/>
  <c r="CC29" i="63"/>
  <c r="BY29" i="63"/>
  <c r="CI29" i="63"/>
  <c r="CE29" i="63"/>
  <c r="CA29" i="63"/>
  <c r="CG34" i="63"/>
  <c r="CC34" i="63"/>
  <c r="BY34" i="63"/>
  <c r="CF34" i="63"/>
  <c r="CB34" i="63"/>
  <c r="BX34" i="63"/>
  <c r="CI34" i="63"/>
  <c r="CA34" i="63"/>
  <c r="CH34" i="63"/>
  <c r="BZ34" i="63"/>
  <c r="CE34" i="63"/>
  <c r="CD34" i="63"/>
  <c r="CG38" i="63"/>
  <c r="CC38" i="63"/>
  <c r="BY38" i="63"/>
  <c r="CF38" i="63"/>
  <c r="CB38" i="63"/>
  <c r="BX38" i="63"/>
  <c r="CI38" i="63"/>
  <c r="CA38" i="63"/>
  <c r="CH38" i="63"/>
  <c r="BZ38" i="63"/>
  <c r="CE38" i="63"/>
  <c r="CD38" i="63"/>
  <c r="CG42" i="63"/>
  <c r="CC42" i="63"/>
  <c r="BY42" i="63"/>
  <c r="CF42" i="63"/>
  <c r="CB42" i="63"/>
  <c r="BX42" i="63"/>
  <c r="CI42" i="63"/>
  <c r="CA42" i="63"/>
  <c r="CH42" i="63"/>
  <c r="BZ42" i="63"/>
  <c r="CE42" i="63"/>
  <c r="CD42" i="63"/>
  <c r="CG46" i="63"/>
  <c r="CC46" i="63"/>
  <c r="BY46" i="63"/>
  <c r="CF46" i="63"/>
  <c r="CB46" i="63"/>
  <c r="BX46" i="63"/>
  <c r="CI46" i="63"/>
  <c r="CA46" i="63"/>
  <c r="CH46" i="63"/>
  <c r="BZ46" i="63"/>
  <c r="CE46" i="63"/>
  <c r="CD46" i="63"/>
  <c r="CG50" i="63"/>
  <c r="CC50" i="63"/>
  <c r="BY50" i="63"/>
  <c r="CF50" i="63"/>
  <c r="CB50" i="63"/>
  <c r="BX50" i="63"/>
  <c r="CI50" i="63"/>
  <c r="CA50" i="63"/>
  <c r="CH50" i="63"/>
  <c r="BZ50" i="63"/>
  <c r="CD50" i="63"/>
  <c r="CE50" i="63"/>
  <c r="CG54" i="63"/>
  <c r="CC54" i="63"/>
  <c r="BY54" i="63"/>
  <c r="CF54" i="63"/>
  <c r="CB54" i="63"/>
  <c r="BX54" i="63"/>
  <c r="CI54" i="63"/>
  <c r="CA54" i="63"/>
  <c r="CH54" i="63"/>
  <c r="BZ54" i="63"/>
  <c r="CE54" i="63"/>
  <c r="CD54" i="63"/>
  <c r="CG58" i="63"/>
  <c r="CC58" i="63"/>
  <c r="BY58" i="63"/>
  <c r="CF58" i="63"/>
  <c r="CB58" i="63"/>
  <c r="BX58" i="63"/>
  <c r="CI58" i="63"/>
  <c r="CA58" i="63"/>
  <c r="CH58" i="63"/>
  <c r="BZ58" i="63"/>
  <c r="CD58" i="63"/>
  <c r="CE58" i="63"/>
  <c r="CG63" i="63"/>
  <c r="CC63" i="63"/>
  <c r="BY63" i="63"/>
  <c r="CF63" i="63"/>
  <c r="CB63" i="63"/>
  <c r="BX63" i="63"/>
  <c r="CI63" i="63"/>
  <c r="CA63" i="63"/>
  <c r="CH63" i="63"/>
  <c r="BZ63" i="63"/>
  <c r="CD63" i="63"/>
  <c r="CE63" i="63"/>
  <c r="CG67" i="63"/>
  <c r="CC67" i="63"/>
  <c r="BY67" i="63"/>
  <c r="CF67" i="63"/>
  <c r="CB67" i="63"/>
  <c r="BX67" i="63"/>
  <c r="CI67" i="63"/>
  <c r="CA67" i="63"/>
  <c r="CH67" i="63"/>
  <c r="BZ67" i="63"/>
  <c r="CE67" i="63"/>
  <c r="CD67" i="63"/>
  <c r="CG71" i="63"/>
  <c r="CC71" i="63"/>
  <c r="BY71" i="63"/>
  <c r="CF71" i="63"/>
  <c r="CB71" i="63"/>
  <c r="BX71" i="63"/>
  <c r="CI71" i="63"/>
  <c r="CA71" i="63"/>
  <c r="CH71" i="63"/>
  <c r="BZ71" i="63"/>
  <c r="CE71" i="63"/>
  <c r="CD71" i="63"/>
  <c r="CG75" i="63"/>
  <c r="CC75" i="63"/>
  <c r="BY75" i="63"/>
  <c r="CF75" i="63"/>
  <c r="CB75" i="63"/>
  <c r="BX75" i="63"/>
  <c r="CI75" i="63"/>
  <c r="CA75" i="63"/>
  <c r="CH75" i="63"/>
  <c r="BZ75" i="63"/>
  <c r="CD75" i="63"/>
  <c r="CE75" i="63"/>
  <c r="CG79" i="63"/>
  <c r="CC79" i="63"/>
  <c r="BY79" i="63"/>
  <c r="CF79" i="63"/>
  <c r="CB79" i="63"/>
  <c r="BX79" i="63"/>
  <c r="CI79" i="63"/>
  <c r="CA79" i="63"/>
  <c r="CH79" i="63"/>
  <c r="BZ79" i="63"/>
  <c r="CE79" i="63"/>
  <c r="CD79" i="63"/>
  <c r="CG83" i="63"/>
  <c r="CC83" i="63"/>
  <c r="BY83" i="63"/>
  <c r="CF83" i="63"/>
  <c r="CB83" i="63"/>
  <c r="BX83" i="63"/>
  <c r="CI83" i="63"/>
  <c r="CA83" i="63"/>
  <c r="CD83" i="63"/>
  <c r="CH83" i="63"/>
  <c r="BZ83" i="63"/>
  <c r="CE83" i="63"/>
  <c r="CG87" i="63"/>
  <c r="CC87" i="63"/>
  <c r="BY87" i="63"/>
  <c r="CF87" i="63"/>
  <c r="CB87" i="63"/>
  <c r="BX87" i="63"/>
  <c r="CI87" i="63"/>
  <c r="CA87" i="63"/>
  <c r="CD87" i="63"/>
  <c r="CH87" i="63"/>
  <c r="BZ87" i="63"/>
  <c r="CE87" i="63"/>
  <c r="CG96" i="63"/>
  <c r="CC96" i="63"/>
  <c r="BY96" i="63"/>
  <c r="CF96" i="63"/>
  <c r="CB96" i="63"/>
  <c r="BX96" i="63"/>
  <c r="CI96" i="63"/>
  <c r="CA96" i="63"/>
  <c r="CH96" i="63"/>
  <c r="BZ96" i="63"/>
  <c r="CE96" i="63"/>
  <c r="CD96" i="63"/>
  <c r="CG100" i="63"/>
  <c r="CC100" i="63"/>
  <c r="BY100" i="63"/>
  <c r="CF100" i="63"/>
  <c r="CB100" i="63"/>
  <c r="BX100" i="63"/>
  <c r="CI100" i="63"/>
  <c r="CA100" i="63"/>
  <c r="CH100" i="63"/>
  <c r="BZ100" i="63"/>
  <c r="CE100" i="63"/>
  <c r="CD100" i="63"/>
  <c r="CG104" i="63"/>
  <c r="CC104" i="63"/>
  <c r="BY104" i="63"/>
  <c r="CF104" i="63"/>
  <c r="CB104" i="63"/>
  <c r="BX104" i="63"/>
  <c r="CI104" i="63"/>
  <c r="CA104" i="63"/>
  <c r="CD104" i="63"/>
  <c r="CH104" i="63"/>
  <c r="BZ104" i="63"/>
  <c r="CE104" i="63"/>
  <c r="CG108" i="63"/>
  <c r="CC108" i="63"/>
  <c r="BY108" i="63"/>
  <c r="CF108" i="63"/>
  <c r="CB108" i="63"/>
  <c r="BX108" i="63"/>
  <c r="CI108" i="63"/>
  <c r="CA108" i="63"/>
  <c r="CH108" i="63"/>
  <c r="BZ108" i="63"/>
  <c r="CE108" i="63"/>
  <c r="CD108" i="63"/>
  <c r="CG112" i="63"/>
  <c r="CC112" i="63"/>
  <c r="BY112" i="63"/>
  <c r="CF112" i="63"/>
  <c r="CB112" i="63"/>
  <c r="BX112" i="63"/>
  <c r="CI112" i="63"/>
  <c r="CA112" i="63"/>
  <c r="CH112" i="63"/>
  <c r="BZ112" i="63"/>
  <c r="CE112" i="63"/>
  <c r="CD112" i="63"/>
  <c r="CG116" i="63"/>
  <c r="CC116" i="63"/>
  <c r="BY116" i="63"/>
  <c r="CF116" i="63"/>
  <c r="CB116" i="63"/>
  <c r="BX116" i="63"/>
  <c r="CI116" i="63"/>
  <c r="CA116" i="63"/>
  <c r="CD116" i="63"/>
  <c r="CH116" i="63"/>
  <c r="BZ116" i="63"/>
  <c r="CE116" i="63"/>
  <c r="CG125" i="63"/>
  <c r="CC125" i="63"/>
  <c r="BY125" i="63"/>
  <c r="CF125" i="63"/>
  <c r="CB125" i="63"/>
  <c r="BX125" i="63"/>
  <c r="CI125" i="63"/>
  <c r="CA125" i="63"/>
  <c r="CD125" i="63"/>
  <c r="CH125" i="63"/>
  <c r="BZ125" i="63"/>
  <c r="CE125" i="63"/>
  <c r="CG129" i="63"/>
  <c r="CC129" i="63"/>
  <c r="BY129" i="63"/>
  <c r="CF129" i="63"/>
  <c r="CB129" i="63"/>
  <c r="BX129" i="63"/>
  <c r="CI129" i="63"/>
  <c r="CA129" i="63"/>
  <c r="CH129" i="63"/>
  <c r="BZ129" i="63"/>
  <c r="CE129" i="63"/>
  <c r="CD129" i="63"/>
  <c r="CG133" i="63"/>
  <c r="CC133" i="63"/>
  <c r="BY133" i="63"/>
  <c r="CF133" i="63"/>
  <c r="CB133" i="63"/>
  <c r="BX133" i="63"/>
  <c r="CI133" i="63"/>
  <c r="CA133" i="63"/>
  <c r="CD133" i="63"/>
  <c r="CH133" i="63"/>
  <c r="BZ133" i="63"/>
  <c r="CE133" i="63"/>
  <c r="CG137" i="63"/>
  <c r="CC137" i="63"/>
  <c r="BY137" i="63"/>
  <c r="CF137" i="63"/>
  <c r="CB137" i="63"/>
  <c r="BX137" i="63"/>
  <c r="CI137" i="63"/>
  <c r="CA137" i="63"/>
  <c r="CH137" i="63"/>
  <c r="BZ137" i="63"/>
  <c r="CE137" i="63"/>
  <c r="CD137" i="63"/>
  <c r="CG141" i="63"/>
  <c r="CC141" i="63"/>
  <c r="BY141" i="63"/>
  <c r="CF141" i="63"/>
  <c r="CB141" i="63"/>
  <c r="BX141" i="63"/>
  <c r="CI141" i="63"/>
  <c r="CA141" i="63"/>
  <c r="CH141" i="63"/>
  <c r="BZ141" i="63"/>
  <c r="CE141" i="63"/>
  <c r="CD141" i="63"/>
  <c r="CG145" i="63"/>
  <c r="CC145" i="63"/>
  <c r="BY145" i="63"/>
  <c r="CF145" i="63"/>
  <c r="CB145" i="63"/>
  <c r="BX145" i="63"/>
  <c r="CI145" i="63"/>
  <c r="CA145" i="63"/>
  <c r="CD145" i="63"/>
  <c r="CH145" i="63"/>
  <c r="BZ145" i="63"/>
  <c r="CE145" i="63"/>
  <c r="CG149" i="63"/>
  <c r="CC149" i="63"/>
  <c r="BY149" i="63"/>
  <c r="CF149" i="63"/>
  <c r="CB149" i="63"/>
  <c r="BX149" i="63"/>
  <c r="CI149" i="63"/>
  <c r="CA149" i="63"/>
  <c r="CD149" i="63"/>
  <c r="CH149" i="63"/>
  <c r="BZ149" i="63"/>
  <c r="CE149" i="63"/>
  <c r="CI6" i="63"/>
  <c r="CH6" i="63"/>
  <c r="CF6" i="63"/>
  <c r="CD6" i="63"/>
  <c r="CB6" i="63"/>
  <c r="BZ6" i="63"/>
  <c r="BX6" i="63"/>
  <c r="CG6" i="63"/>
  <c r="CC6" i="63"/>
  <c r="BY6" i="63"/>
  <c r="CA6" i="63"/>
  <c r="CE6" i="63"/>
  <c r="CI10" i="63"/>
  <c r="CH10" i="63"/>
  <c r="CF10" i="63"/>
  <c r="CD10" i="63"/>
  <c r="CB10" i="63"/>
  <c r="BZ10" i="63"/>
  <c r="BX10" i="63"/>
  <c r="CE10" i="63"/>
  <c r="CA10" i="63"/>
  <c r="BY10" i="63"/>
  <c r="CG10" i="63"/>
  <c r="CC10" i="63"/>
  <c r="CI14" i="63"/>
  <c r="CH14" i="63"/>
  <c r="CF14" i="63"/>
  <c r="CD14" i="63"/>
  <c r="CB14" i="63"/>
  <c r="BZ14" i="63"/>
  <c r="BX14" i="63"/>
  <c r="CG14" i="63"/>
  <c r="CC14" i="63"/>
  <c r="BY14" i="63"/>
  <c r="CE14" i="63"/>
  <c r="CA14" i="63"/>
  <c r="CI18" i="63"/>
  <c r="CH18" i="63"/>
  <c r="CF18" i="63"/>
  <c r="CD18" i="63"/>
  <c r="CB18" i="63"/>
  <c r="BZ18" i="63"/>
  <c r="BX18" i="63"/>
  <c r="CE18" i="63"/>
  <c r="CA18" i="63"/>
  <c r="BY18" i="63"/>
  <c r="CG18" i="63"/>
  <c r="CC18" i="63"/>
  <c r="CI22" i="63"/>
  <c r="CH22" i="63"/>
  <c r="CF22" i="63"/>
  <c r="CD22" i="63"/>
  <c r="CB22" i="63"/>
  <c r="BZ22" i="63"/>
  <c r="BX22" i="63"/>
  <c r="CG22" i="63"/>
  <c r="CC22" i="63"/>
  <c r="BY22" i="63"/>
  <c r="CE22" i="63"/>
  <c r="CA22" i="63"/>
  <c r="CI26" i="63"/>
  <c r="CH26" i="63"/>
  <c r="CF26" i="63"/>
  <c r="CD26" i="63"/>
  <c r="CB26" i="63"/>
  <c r="BZ26" i="63"/>
  <c r="BX26" i="63"/>
  <c r="CE26" i="63"/>
  <c r="CA26" i="63"/>
  <c r="CC26" i="63"/>
  <c r="BY26" i="63"/>
  <c r="CG26" i="63"/>
  <c r="CG35" i="63"/>
  <c r="CC35" i="63"/>
  <c r="BY35" i="63"/>
  <c r="CF35" i="63"/>
  <c r="CB35" i="63"/>
  <c r="BX35" i="63"/>
  <c r="CE35" i="63"/>
  <c r="CD35" i="63"/>
  <c r="CI35" i="63"/>
  <c r="CA35" i="63"/>
  <c r="CH35" i="63"/>
  <c r="BZ35" i="63"/>
  <c r="CG39" i="63"/>
  <c r="CC39" i="63"/>
  <c r="BY39" i="63"/>
  <c r="CF39" i="63"/>
  <c r="CB39" i="63"/>
  <c r="BX39" i="63"/>
  <c r="CE39" i="63"/>
  <c r="CD39" i="63"/>
  <c r="CI39" i="63"/>
  <c r="CA39" i="63"/>
  <c r="CH39" i="63"/>
  <c r="BZ39" i="63"/>
  <c r="CG43" i="63"/>
  <c r="CC43" i="63"/>
  <c r="BY43" i="63"/>
  <c r="CF43" i="63"/>
  <c r="CB43" i="63"/>
  <c r="BX43" i="63"/>
  <c r="CE43" i="63"/>
  <c r="CD43" i="63"/>
  <c r="CI43" i="63"/>
  <c r="CA43" i="63"/>
  <c r="BZ43" i="63"/>
  <c r="CH43" i="63"/>
  <c r="CG47" i="63"/>
  <c r="CC47" i="63"/>
  <c r="BY47" i="63"/>
  <c r="CF47" i="63"/>
  <c r="CB47" i="63"/>
  <c r="BX47" i="63"/>
  <c r="CE47" i="63"/>
  <c r="CD47" i="63"/>
  <c r="CI47" i="63"/>
  <c r="CA47" i="63"/>
  <c r="CH47" i="63"/>
  <c r="BZ47" i="63"/>
  <c r="CG51" i="63"/>
  <c r="CC51" i="63"/>
  <c r="BY51" i="63"/>
  <c r="CF51" i="63"/>
  <c r="CB51" i="63"/>
  <c r="BX51" i="63"/>
  <c r="CE51" i="63"/>
  <c r="CD51" i="63"/>
  <c r="CH51" i="63"/>
  <c r="CI51" i="63"/>
  <c r="CA51" i="63"/>
  <c r="BZ51" i="63"/>
  <c r="CG55" i="63"/>
  <c r="CC55" i="63"/>
  <c r="BY55" i="63"/>
  <c r="CF55" i="63"/>
  <c r="CB55" i="63"/>
  <c r="BX55" i="63"/>
  <c r="CE55" i="63"/>
  <c r="CD55" i="63"/>
  <c r="BZ55" i="63"/>
  <c r="CI55" i="63"/>
  <c r="CA55" i="63"/>
  <c r="CH55" i="63"/>
  <c r="CG59" i="63"/>
  <c r="CC59" i="63"/>
  <c r="BY59" i="63"/>
  <c r="CF59" i="63"/>
  <c r="CB59" i="63"/>
  <c r="BX59" i="63"/>
  <c r="CE59" i="63"/>
  <c r="BZ59" i="63"/>
  <c r="CD59" i="63"/>
  <c r="CI59" i="63"/>
  <c r="CA59" i="63"/>
  <c r="CH59" i="63"/>
  <c r="CG64" i="63"/>
  <c r="CC64" i="63"/>
  <c r="BY64" i="63"/>
  <c r="CF64" i="63"/>
  <c r="CB64" i="63"/>
  <c r="BX64" i="63"/>
  <c r="CE64" i="63"/>
  <c r="CD64" i="63"/>
  <c r="CH64" i="63"/>
  <c r="CI64" i="63"/>
  <c r="CA64" i="63"/>
  <c r="BZ64" i="63"/>
  <c r="CG68" i="63"/>
  <c r="CC68" i="63"/>
  <c r="BY68" i="63"/>
  <c r="CF68" i="63"/>
  <c r="CB68" i="63"/>
  <c r="BX68" i="63"/>
  <c r="CE68" i="63"/>
  <c r="BZ68" i="63"/>
  <c r="CD68" i="63"/>
  <c r="CH68" i="63"/>
  <c r="CI68" i="63"/>
  <c r="CA68" i="63"/>
  <c r="CG72" i="63"/>
  <c r="CC72" i="63"/>
  <c r="BY72" i="63"/>
  <c r="CF72" i="63"/>
  <c r="CB72" i="63"/>
  <c r="BX72" i="63"/>
  <c r="CE72" i="63"/>
  <c r="CD72" i="63"/>
  <c r="BZ72" i="63"/>
  <c r="CI72" i="63"/>
  <c r="CA72" i="63"/>
  <c r="CH72" i="63"/>
  <c r="CG76" i="63"/>
  <c r="CC76" i="63"/>
  <c r="BY76" i="63"/>
  <c r="CF76" i="63"/>
  <c r="CB76" i="63"/>
  <c r="BX76" i="63"/>
  <c r="CE76" i="63"/>
  <c r="CH76" i="63"/>
  <c r="CD76" i="63"/>
  <c r="CI76" i="63"/>
  <c r="CA76" i="63"/>
  <c r="BZ76" i="63"/>
  <c r="CG80" i="63"/>
  <c r="CC80" i="63"/>
  <c r="BY80" i="63"/>
  <c r="CF80" i="63"/>
  <c r="CB80" i="63"/>
  <c r="BX80" i="63"/>
  <c r="CE80" i="63"/>
  <c r="BZ80" i="63"/>
  <c r="CD80" i="63"/>
  <c r="CH80" i="63"/>
  <c r="CI80" i="63"/>
  <c r="CA80" i="63"/>
  <c r="CG84" i="63"/>
  <c r="CC84" i="63"/>
  <c r="BY84" i="63"/>
  <c r="CF84" i="63"/>
  <c r="CB84" i="63"/>
  <c r="BX84" i="63"/>
  <c r="CE84" i="63"/>
  <c r="CD84" i="63"/>
  <c r="BZ84" i="63"/>
  <c r="CI84" i="63"/>
  <c r="CA84" i="63"/>
  <c r="CH84" i="63"/>
  <c r="CG88" i="63"/>
  <c r="CC88" i="63"/>
  <c r="BY88" i="63"/>
  <c r="CF88" i="63"/>
  <c r="CB88" i="63"/>
  <c r="BX88" i="63"/>
  <c r="CE88" i="63"/>
  <c r="CH88" i="63"/>
  <c r="CD88" i="63"/>
  <c r="CI88" i="63"/>
  <c r="CA88" i="63"/>
  <c r="BZ88" i="63"/>
  <c r="CG93" i="63"/>
  <c r="CC93" i="63"/>
  <c r="BY93" i="63"/>
  <c r="CF93" i="63"/>
  <c r="CB93" i="63"/>
  <c r="BX93" i="63"/>
  <c r="CE93" i="63"/>
  <c r="BZ93" i="63"/>
  <c r="CD93" i="63"/>
  <c r="CI93" i="63"/>
  <c r="CA93" i="63"/>
  <c r="CH93" i="63"/>
  <c r="CG97" i="63"/>
  <c r="CC97" i="63"/>
  <c r="BY97" i="63"/>
  <c r="CF97" i="63"/>
  <c r="CB97" i="63"/>
  <c r="BX97" i="63"/>
  <c r="CE97" i="63"/>
  <c r="CH97" i="63"/>
  <c r="CD97" i="63"/>
  <c r="CI97" i="63"/>
  <c r="CA97" i="63"/>
  <c r="BZ97" i="63"/>
  <c r="CG101" i="63"/>
  <c r="CC101" i="63"/>
  <c r="BY101" i="63"/>
  <c r="CF101" i="63"/>
  <c r="CB101" i="63"/>
  <c r="BX101" i="63"/>
  <c r="CE101" i="63"/>
  <c r="BZ101" i="63"/>
  <c r="CD101" i="63"/>
  <c r="CI101" i="63"/>
  <c r="CA101" i="63"/>
  <c r="CH101" i="63"/>
  <c r="CG105" i="63"/>
  <c r="CC105" i="63"/>
  <c r="BY105" i="63"/>
  <c r="CF105" i="63"/>
  <c r="CB105" i="63"/>
  <c r="BX105" i="63"/>
  <c r="CE105" i="63"/>
  <c r="CH105" i="63"/>
  <c r="CD105" i="63"/>
  <c r="CI105" i="63"/>
  <c r="CA105" i="63"/>
  <c r="BZ105" i="63"/>
  <c r="CG109" i="63"/>
  <c r="CC109" i="63"/>
  <c r="BY109" i="63"/>
  <c r="CF109" i="63"/>
  <c r="CB109" i="63"/>
  <c r="BX109" i="63"/>
  <c r="CE109" i="63"/>
  <c r="BZ109" i="63"/>
  <c r="CD109" i="63"/>
  <c r="CI109" i="63"/>
  <c r="CA109" i="63"/>
  <c r="CH109" i="63"/>
  <c r="CG113" i="63"/>
  <c r="CC113" i="63"/>
  <c r="BY113" i="63"/>
  <c r="CF113" i="63"/>
  <c r="CB113" i="63"/>
  <c r="BX113" i="63"/>
  <c r="CE113" i="63"/>
  <c r="BZ113" i="63"/>
  <c r="CD113" i="63"/>
  <c r="CI113" i="63"/>
  <c r="CA113" i="63"/>
  <c r="CH113" i="63"/>
  <c r="CG117" i="63"/>
  <c r="CC117" i="63"/>
  <c r="BY117" i="63"/>
  <c r="CF117" i="63"/>
  <c r="CB117" i="63"/>
  <c r="BX117" i="63"/>
  <c r="CE117" i="63"/>
  <c r="CH117" i="63"/>
  <c r="CD117" i="63"/>
  <c r="CI117" i="63"/>
  <c r="CA117" i="63"/>
  <c r="BZ117" i="63"/>
  <c r="CG126" i="63"/>
  <c r="CC126" i="63"/>
  <c r="BY126" i="63"/>
  <c r="CF126" i="63"/>
  <c r="CB126" i="63"/>
  <c r="BX126" i="63"/>
  <c r="CE126" i="63"/>
  <c r="CH126" i="63"/>
  <c r="CD126" i="63"/>
  <c r="CI126" i="63"/>
  <c r="CA126" i="63"/>
  <c r="BZ126" i="63"/>
  <c r="CG130" i="63"/>
  <c r="CC130" i="63"/>
  <c r="BY130" i="63"/>
  <c r="CF130" i="63"/>
  <c r="CB130" i="63"/>
  <c r="BX130" i="63"/>
  <c r="CE130" i="63"/>
  <c r="BZ130" i="63"/>
  <c r="CD130" i="63"/>
  <c r="CI130" i="63"/>
  <c r="CA130" i="63"/>
  <c r="CH130" i="63"/>
  <c r="CG134" i="63"/>
  <c r="CC134" i="63"/>
  <c r="BY134" i="63"/>
  <c r="CF134" i="63"/>
  <c r="CB134" i="63"/>
  <c r="BX134" i="63"/>
  <c r="CE134" i="63"/>
  <c r="CH134" i="63"/>
  <c r="CD134" i="63"/>
  <c r="CI134" i="63"/>
  <c r="CA134" i="63"/>
  <c r="BZ134" i="63"/>
  <c r="CG138" i="63"/>
  <c r="CC138" i="63"/>
  <c r="BY138" i="63"/>
  <c r="CF138" i="63"/>
  <c r="CB138" i="63"/>
  <c r="BX138" i="63"/>
  <c r="CE138" i="63"/>
  <c r="BZ138" i="63"/>
  <c r="CD138" i="63"/>
  <c r="CI138" i="63"/>
  <c r="CA138" i="63"/>
  <c r="CH138" i="63"/>
  <c r="CG142" i="63"/>
  <c r="CC142" i="63"/>
  <c r="BY142" i="63"/>
  <c r="CF142" i="63"/>
  <c r="CB142" i="63"/>
  <c r="BX142" i="63"/>
  <c r="CE142" i="63"/>
  <c r="BZ142" i="63"/>
  <c r="CD142" i="63"/>
  <c r="CI142" i="63"/>
  <c r="CA142" i="63"/>
  <c r="CH142" i="63"/>
  <c r="CG146" i="63"/>
  <c r="CC146" i="63"/>
  <c r="BY146" i="63"/>
  <c r="CF146" i="63"/>
  <c r="CB146" i="63"/>
  <c r="BX146" i="63"/>
  <c r="CE146" i="63"/>
  <c r="CH146" i="63"/>
  <c r="CD146" i="63"/>
  <c r="CI146" i="63"/>
  <c r="CA146" i="63"/>
  <c r="BZ146" i="63"/>
  <c r="BZ156" i="63"/>
  <c r="CE156" i="63"/>
  <c r="BY156" i="63"/>
  <c r="CG156" i="63"/>
  <c r="CH156" i="63"/>
  <c r="CD156" i="63"/>
  <c r="CI156" i="63"/>
  <c r="CF156" i="63"/>
  <c r="CC156" i="63"/>
  <c r="CA156" i="63"/>
  <c r="BX156" i="63"/>
  <c r="CB156" i="63"/>
  <c r="CG160" i="63"/>
  <c r="BZ160" i="63"/>
  <c r="CE160" i="63"/>
  <c r="BY160" i="63"/>
  <c r="CD160" i="63"/>
  <c r="CI160" i="63"/>
  <c r="CF160" i="63"/>
  <c r="CC160" i="63"/>
  <c r="CA160" i="63"/>
  <c r="BX160" i="63"/>
  <c r="CB160" i="63"/>
  <c r="CH160" i="63"/>
  <c r="BZ164" i="63"/>
  <c r="CB164" i="63"/>
  <c r="BY164" i="63"/>
  <c r="CD164" i="63"/>
  <c r="CI164" i="63"/>
  <c r="CF164" i="63"/>
  <c r="CH164" i="63"/>
  <c r="CG164" i="63"/>
  <c r="CA164" i="63"/>
  <c r="BX164" i="63"/>
  <c r="CE164" i="63"/>
  <c r="CC164" i="63"/>
  <c r="CG168" i="63"/>
  <c r="BZ168" i="63"/>
  <c r="CE168" i="63"/>
  <c r="CH168" i="63"/>
  <c r="CD168" i="63"/>
  <c r="CI168" i="63"/>
  <c r="CF168" i="63"/>
  <c r="CC168" i="63"/>
  <c r="CA168" i="63"/>
  <c r="BX168" i="63"/>
  <c r="CB168" i="63"/>
  <c r="BY168" i="63"/>
  <c r="CB172" i="63"/>
  <c r="CC172" i="63"/>
  <c r="CH172" i="63"/>
  <c r="CD172" i="63"/>
  <c r="CI172" i="63"/>
  <c r="CF172" i="63"/>
  <c r="CA172" i="63"/>
  <c r="BX172" i="63"/>
  <c r="BZ172" i="63"/>
  <c r="CE172" i="63"/>
  <c r="BY172" i="63"/>
  <c r="CG172" i="63"/>
  <c r="BZ176" i="63"/>
  <c r="CD176" i="63"/>
  <c r="CI176" i="63"/>
  <c r="CF176" i="63"/>
  <c r="CG176" i="63"/>
  <c r="CA176" i="63"/>
  <c r="BX176" i="63"/>
  <c r="CE176" i="63"/>
  <c r="CB176" i="63"/>
  <c r="BY176" i="63"/>
  <c r="CC176" i="63"/>
  <c r="CH176" i="63"/>
  <c r="CG153" i="63"/>
  <c r="CD153" i="63"/>
  <c r="CI153" i="63"/>
  <c r="CF153" i="63"/>
  <c r="CH153" i="63"/>
  <c r="CA153" i="63"/>
  <c r="BY153" i="63"/>
  <c r="BZ153" i="63"/>
  <c r="CE153" i="63"/>
  <c r="CB153" i="63"/>
  <c r="CC153" i="63"/>
  <c r="BX153" i="63"/>
  <c r="CD157" i="63"/>
  <c r="CF157" i="63"/>
  <c r="BY157" i="63"/>
  <c r="CG157" i="63"/>
  <c r="CH157" i="63"/>
  <c r="CA157" i="63"/>
  <c r="BX157" i="63"/>
  <c r="BZ157" i="63"/>
  <c r="CE157" i="63"/>
  <c r="CB157" i="63"/>
  <c r="CC157" i="63"/>
  <c r="CI157" i="63"/>
  <c r="CD161" i="63"/>
  <c r="CF161" i="63"/>
  <c r="CG161" i="63"/>
  <c r="BX161" i="63"/>
  <c r="CH161" i="63"/>
  <c r="CA161" i="63"/>
  <c r="BY161" i="63"/>
  <c r="BZ161" i="63"/>
  <c r="CE161" i="63"/>
  <c r="CB161" i="63"/>
  <c r="CC161" i="63"/>
  <c r="CI161" i="63"/>
  <c r="CD165" i="63"/>
  <c r="CI165" i="63"/>
  <c r="CH165" i="63"/>
  <c r="CA165" i="63"/>
  <c r="BX165" i="63"/>
  <c r="CG165" i="63"/>
  <c r="BZ165" i="63"/>
  <c r="CE165" i="63"/>
  <c r="CB165" i="63"/>
  <c r="CC165" i="63"/>
  <c r="CF165" i="63"/>
  <c r="BY165" i="63"/>
  <c r="CG169" i="63"/>
  <c r="CD169" i="63"/>
  <c r="CH169" i="63"/>
  <c r="CA169" i="63"/>
  <c r="BX169" i="63"/>
  <c r="BY169" i="63"/>
  <c r="BZ169" i="63"/>
  <c r="CE169" i="63"/>
  <c r="CB169" i="63"/>
  <c r="CC169" i="63"/>
  <c r="CI169" i="63"/>
  <c r="CF169" i="63"/>
  <c r="CD173" i="63"/>
  <c r="CI173" i="63"/>
  <c r="CG173" i="63"/>
  <c r="CH173" i="63"/>
  <c r="CA173" i="63"/>
  <c r="BX173" i="63"/>
  <c r="BZ173" i="63"/>
  <c r="CE173" i="63"/>
  <c r="CB173" i="63"/>
  <c r="CC173" i="63"/>
  <c r="CF173" i="63"/>
  <c r="BY173" i="63"/>
  <c r="CD177" i="63"/>
  <c r="CI177" i="63"/>
  <c r="CF177" i="63"/>
  <c r="BY177" i="63"/>
  <c r="CH177" i="63"/>
  <c r="CA177" i="63"/>
  <c r="BX177" i="63"/>
  <c r="BZ177" i="63"/>
  <c r="CE177" i="63"/>
  <c r="CB177" i="63"/>
  <c r="CC177" i="63"/>
  <c r="CG177" i="63"/>
  <c r="CH154" i="63"/>
  <c r="BZ154" i="63"/>
  <c r="CG154" i="63"/>
  <c r="CA154" i="63"/>
  <c r="BX154" i="63"/>
  <c r="CC154" i="63"/>
  <c r="CB154" i="63"/>
  <c r="CD154" i="63"/>
  <c r="CI154" i="63"/>
  <c r="CF154" i="63"/>
  <c r="BY154" i="63"/>
  <c r="CE154" i="63"/>
  <c r="CH158" i="63"/>
  <c r="CG158" i="63"/>
  <c r="CA158" i="63"/>
  <c r="BX158" i="63"/>
  <c r="CC158" i="63"/>
  <c r="BZ158" i="63"/>
  <c r="CE158" i="63"/>
  <c r="CD158" i="63"/>
  <c r="CI158" i="63"/>
  <c r="CF158" i="63"/>
  <c r="BY158" i="63"/>
  <c r="CB158" i="63"/>
  <c r="CH162" i="63"/>
  <c r="CE162" i="63"/>
  <c r="CA162" i="63"/>
  <c r="BX162" i="63"/>
  <c r="CC162" i="63"/>
  <c r="BZ162" i="63"/>
  <c r="CD162" i="63"/>
  <c r="CI162" i="63"/>
  <c r="CF162" i="63"/>
  <c r="BY162" i="63"/>
  <c r="CG162" i="63"/>
  <c r="CB162" i="63"/>
  <c r="CH166" i="63"/>
  <c r="CE166" i="63"/>
  <c r="CB166" i="63"/>
  <c r="CA166" i="63"/>
  <c r="BX166" i="63"/>
  <c r="CC166" i="63"/>
  <c r="CG166" i="63"/>
  <c r="CD166" i="63"/>
  <c r="CI166" i="63"/>
  <c r="CF166" i="63"/>
  <c r="BY166" i="63"/>
  <c r="BZ166" i="63"/>
  <c r="CG170" i="63"/>
  <c r="CH170" i="63"/>
  <c r="BY170" i="63"/>
  <c r="CB170" i="63"/>
  <c r="CA170" i="63"/>
  <c r="BX170" i="63"/>
  <c r="CC170" i="63"/>
  <c r="CD170" i="63"/>
  <c r="CI170" i="63"/>
  <c r="CF170" i="63"/>
  <c r="BZ170" i="63"/>
  <c r="CE170" i="63"/>
  <c r="CH174" i="63"/>
  <c r="BY174" i="63"/>
  <c r="CA174" i="63"/>
  <c r="BX174" i="63"/>
  <c r="CC174" i="63"/>
  <c r="CG174" i="63"/>
  <c r="CD174" i="63"/>
  <c r="CI174" i="63"/>
  <c r="CF174" i="63"/>
  <c r="BZ174" i="63"/>
  <c r="CE174" i="63"/>
  <c r="CB174" i="63"/>
  <c r="CH178" i="63"/>
  <c r="BY178" i="63"/>
  <c r="CE178" i="63"/>
  <c r="CG178" i="63"/>
  <c r="CA178" i="63"/>
  <c r="BX178" i="63"/>
  <c r="CC178" i="63"/>
  <c r="BZ178" i="63"/>
  <c r="CD178" i="63"/>
  <c r="CI178" i="63"/>
  <c r="CF178" i="63"/>
  <c r="CB178" i="63"/>
  <c r="CA155" i="63"/>
  <c r="CI155" i="63"/>
  <c r="CF155" i="63"/>
  <c r="BZ155" i="63"/>
  <c r="CE155" i="63"/>
  <c r="CB155" i="63"/>
  <c r="BY155" i="63"/>
  <c r="CG155" i="63"/>
  <c r="CH155" i="63"/>
  <c r="CC155" i="63"/>
  <c r="BX155" i="63"/>
  <c r="CD155" i="63"/>
  <c r="CG159" i="63"/>
  <c r="CA159" i="63"/>
  <c r="CD159" i="63"/>
  <c r="BZ159" i="63"/>
  <c r="CE159" i="63"/>
  <c r="CB159" i="63"/>
  <c r="CF159" i="63"/>
  <c r="CH159" i="63"/>
  <c r="CC159" i="63"/>
  <c r="BX159" i="63"/>
  <c r="CI159" i="63"/>
  <c r="BY159" i="63"/>
  <c r="CA163" i="63"/>
  <c r="CD163" i="63"/>
  <c r="BY163" i="63"/>
  <c r="CG163" i="63"/>
  <c r="BZ163" i="63"/>
  <c r="CE163" i="63"/>
  <c r="CB163" i="63"/>
  <c r="CF163" i="63"/>
  <c r="CH163" i="63"/>
  <c r="CC163" i="63"/>
  <c r="BX163" i="63"/>
  <c r="CI163" i="63"/>
  <c r="BX167" i="63"/>
  <c r="BZ167" i="63"/>
  <c r="CE167" i="63"/>
  <c r="CB167" i="63"/>
  <c r="CD167" i="63"/>
  <c r="BY167" i="63"/>
  <c r="CG167" i="63"/>
  <c r="CI167" i="63"/>
  <c r="CH167" i="63"/>
  <c r="CC167" i="63"/>
  <c r="CA167" i="63"/>
  <c r="CF167" i="63"/>
  <c r="CA171" i="63"/>
  <c r="BX171" i="63"/>
  <c r="CI171" i="63"/>
  <c r="BY171" i="63"/>
  <c r="BZ171" i="63"/>
  <c r="CE171" i="63"/>
  <c r="CB171" i="63"/>
  <c r="CD171" i="63"/>
  <c r="CF171" i="63"/>
  <c r="CG171" i="63"/>
  <c r="CH171" i="63"/>
  <c r="CC171" i="63"/>
  <c r="CG175" i="63"/>
  <c r="BX175" i="63"/>
  <c r="CF175" i="63"/>
  <c r="BZ175" i="63"/>
  <c r="CE175" i="63"/>
  <c r="CB175" i="63"/>
  <c r="CD175" i="63"/>
  <c r="BY175" i="63"/>
  <c r="CI175" i="63"/>
  <c r="CH175" i="63"/>
  <c r="CC175" i="63"/>
  <c r="CA175" i="63"/>
  <c r="CI179" i="63"/>
  <c r="CG179" i="63"/>
  <c r="CD179" i="63"/>
  <c r="BZ179" i="63"/>
  <c r="CH179" i="63"/>
  <c r="CE179" i="63"/>
  <c r="CB179" i="63"/>
  <c r="CF179" i="63"/>
  <c r="CC179" i="63"/>
  <c r="CA179" i="63"/>
  <c r="BX179" i="63"/>
  <c r="BY179" i="63"/>
  <c r="N181" i="63"/>
  <c r="O29" i="126"/>
  <c r="O22" i="126"/>
  <c r="FV15" i="126"/>
  <c r="BA16" i="66" s="1"/>
  <c r="O14" i="126"/>
  <c r="O11" i="126"/>
  <c r="O5" i="126"/>
  <c r="FV21" i="126"/>
  <c r="BA22" i="66" s="1"/>
  <c r="O12" i="126"/>
  <c r="M30" i="126"/>
  <c r="M32" i="126"/>
  <c r="EV32" i="126"/>
  <c r="EJ32" i="126"/>
  <c r="EF32" i="126"/>
  <c r="DF32" i="126"/>
  <c r="CD32" i="126"/>
  <c r="BR32" i="126"/>
  <c r="AB32" i="126"/>
  <c r="AC32" i="126"/>
  <c r="X32" i="126"/>
  <c r="N32" i="126"/>
  <c r="FM32" i="126"/>
  <c r="BE32" i="126"/>
  <c r="BE33" i="126"/>
  <c r="GA28" i="126"/>
  <c r="ET32" i="126"/>
  <c r="DR32" i="126"/>
  <c r="CP32" i="126"/>
  <c r="CU32" i="126"/>
  <c r="BN32" i="126"/>
  <c r="BS32" i="126"/>
  <c r="AL32" i="126"/>
  <c r="AQ32" i="126"/>
  <c r="J32" i="126"/>
  <c r="FX26" i="126"/>
  <c r="BG27" i="66" s="1"/>
  <c r="FM25" i="126"/>
  <c r="DI25" i="126"/>
  <c r="BE25" i="126"/>
  <c r="FW24" i="126"/>
  <c r="BD25" i="66" s="1"/>
  <c r="DW26" i="126"/>
  <c r="BS26" i="126"/>
  <c r="O26" i="126"/>
  <c r="FZ25" i="126"/>
  <c r="BM26" i="66" s="1"/>
  <c r="FV25" i="126"/>
  <c r="BA26" i="66" s="1"/>
  <c r="EY24" i="126"/>
  <c r="CU24" i="126"/>
  <c r="AQ24" i="126"/>
  <c r="EK25" i="126"/>
  <c r="CG25" i="126"/>
  <c r="FY25" i="126"/>
  <c r="BJ26" i="66"/>
  <c r="AC25" i="126"/>
  <c r="FU25" i="126"/>
  <c r="AX26" i="66" s="1"/>
  <c r="CU26" i="126"/>
  <c r="AQ26" i="126"/>
  <c r="DW24" i="126"/>
  <c r="BS24" i="126"/>
  <c r="FX24" i="126"/>
  <c r="BG25" i="66" s="1"/>
  <c r="O24" i="126"/>
  <c r="AC21" i="126"/>
  <c r="FM19" i="126"/>
  <c r="DI19" i="126"/>
  <c r="DI30" i="126" s="1"/>
  <c r="DI32" i="126" s="1"/>
  <c r="BE19" i="126"/>
  <c r="FW18" i="126"/>
  <c r="BD19" i="66" s="1"/>
  <c r="FX18" i="126"/>
  <c r="BG19" i="66" s="1"/>
  <c r="FU23" i="126"/>
  <c r="DW20" i="126"/>
  <c r="BS20" i="126"/>
  <c r="FX20" i="126"/>
  <c r="BG21" i="66"/>
  <c r="O20" i="126"/>
  <c r="FZ19" i="126"/>
  <c r="BM20" i="66" s="1"/>
  <c r="FV19" i="126"/>
  <c r="BA20" i="66" s="1"/>
  <c r="EY18" i="126"/>
  <c r="CU18" i="126"/>
  <c r="AQ18" i="126"/>
  <c r="BE21" i="126"/>
  <c r="FW20" i="126"/>
  <c r="BD21" i="66" s="1"/>
  <c r="EK19" i="126"/>
  <c r="CG19" i="126"/>
  <c r="FY19" i="126"/>
  <c r="BJ20" i="66" s="1"/>
  <c r="AC19" i="126"/>
  <c r="FU19" i="126"/>
  <c r="AX20" i="66" s="1"/>
  <c r="EY20" i="126"/>
  <c r="CU20" i="126"/>
  <c r="AQ20" i="126"/>
  <c r="DW18" i="126"/>
  <c r="BS18" i="126"/>
  <c r="O18" i="126"/>
  <c r="FU17" i="126"/>
  <c r="FU15" i="126"/>
  <c r="AX16" i="66" s="1"/>
  <c r="DW14" i="126"/>
  <c r="BS14" i="126"/>
  <c r="CU14" i="126"/>
  <c r="AQ14" i="126"/>
  <c r="FV14" i="126"/>
  <c r="BA15" i="66" s="1"/>
  <c r="AC14" i="126"/>
  <c r="AC12" i="126"/>
  <c r="DI10" i="126"/>
  <c r="FM9" i="126"/>
  <c r="DI9" i="126"/>
  <c r="FX7" i="126"/>
  <c r="BG8" i="66" s="1"/>
  <c r="FX6" i="126"/>
  <c r="BG7" i="66" s="1"/>
  <c r="AC6" i="126"/>
  <c r="FZ5" i="126"/>
  <c r="BM6" i="66" s="1"/>
  <c r="FV5" i="126"/>
  <c r="BA6" i="66" s="1"/>
  <c r="BS3" i="126"/>
  <c r="O3" i="126"/>
  <c r="BS10" i="126"/>
  <c r="O10" i="126"/>
  <c r="AC5" i="126"/>
  <c r="FX4" i="126"/>
  <c r="AC4" i="126"/>
  <c r="O4" i="126"/>
  <c r="CU3" i="126"/>
  <c r="FU13" i="126"/>
  <c r="FU11" i="126"/>
  <c r="AX12" i="66" s="1"/>
  <c r="EK9" i="126"/>
  <c r="BE9" i="126"/>
  <c r="FZ9" i="126"/>
  <c r="BM10" i="66" s="1"/>
  <c r="FV9" i="126"/>
  <c r="BA10" i="66" s="1"/>
  <c r="EY8" i="126"/>
  <c r="AQ8" i="126"/>
  <c r="CG7" i="126"/>
  <c r="BS6" i="126"/>
  <c r="DI5" i="126"/>
  <c r="CU4" i="126"/>
  <c r="DW3" i="126"/>
  <c r="FW3" i="126"/>
  <c r="BD4" i="66" s="1"/>
  <c r="CU10" i="126"/>
  <c r="AQ10" i="126"/>
  <c r="FY9" i="126"/>
  <c r="BJ10" i="66"/>
  <c r="AC9" i="126"/>
  <c r="FX8" i="126"/>
  <c r="BG9" i="66" s="1"/>
  <c r="AC8" i="126"/>
  <c r="O8" i="126"/>
  <c r="FM7" i="126"/>
  <c r="BE7" i="126"/>
  <c r="FZ7" i="126"/>
  <c r="BM8" i="66" s="1"/>
  <c r="FV7" i="126"/>
  <c r="BA8" i="66" s="1"/>
  <c r="EY6" i="126"/>
  <c r="AQ6" i="126"/>
  <c r="CG5" i="126"/>
  <c r="BS4" i="126"/>
  <c r="EY3" i="126"/>
  <c r="AQ3" i="126"/>
  <c r="FU9" i="126"/>
  <c r="AX10" i="66" s="1"/>
  <c r="FU7" i="126"/>
  <c r="AX8" i="66" s="1"/>
  <c r="FU5" i="126"/>
  <c r="AX6" i="66"/>
  <c r="CG30" i="126"/>
  <c r="CG32" i="126"/>
  <c r="GA31" i="126"/>
  <c r="BJ31" i="66"/>
  <c r="BA17" i="66"/>
  <c r="BG5" i="66"/>
  <c r="GA27" i="126"/>
  <c r="BG28" i="66"/>
  <c r="GA13" i="126"/>
  <c r="AX14" i="66"/>
  <c r="AX24" i="66"/>
  <c r="AX18" i="66"/>
  <c r="GA11" i="126"/>
  <c r="GA3" i="126"/>
  <c r="FM30" i="126"/>
  <c r="DW30" i="126"/>
  <c r="DW32" i="126" s="1"/>
  <c r="CH120" i="63"/>
  <c r="BZ120" i="63"/>
  <c r="CF120" i="63"/>
  <c r="CE90" i="63"/>
  <c r="CA90" i="63"/>
  <c r="CF90" i="63"/>
  <c r="BZ60" i="63"/>
  <c r="CD60" i="63"/>
  <c r="CF60" i="63"/>
  <c r="CH150" i="63"/>
  <c r="CB150" i="63"/>
  <c r="CG150" i="63"/>
  <c r="CC30" i="63"/>
  <c r="CA120" i="63"/>
  <c r="CE120" i="63"/>
  <c r="BY120" i="63"/>
  <c r="CD90" i="63"/>
  <c r="CI90" i="63"/>
  <c r="BY90" i="63"/>
  <c r="CH60" i="63"/>
  <c r="CE60" i="63"/>
  <c r="BY60" i="63"/>
  <c r="CD150" i="63"/>
  <c r="CA150" i="63"/>
  <c r="CF150" i="63"/>
  <c r="CB30" i="63"/>
  <c r="CD30" i="63"/>
  <c r="CA30" i="63"/>
  <c r="CE30" i="63"/>
  <c r="CG30" i="63"/>
  <c r="CI120" i="63"/>
  <c r="BX120" i="63"/>
  <c r="CC120" i="63"/>
  <c r="BZ90" i="63"/>
  <c r="BX90" i="63"/>
  <c r="CC90" i="63"/>
  <c r="CA60" i="63"/>
  <c r="BX60" i="63"/>
  <c r="CC60" i="63"/>
  <c r="CI30" i="63"/>
  <c r="CE150" i="63"/>
  <c r="CI150" i="63"/>
  <c r="BY150" i="63"/>
  <c r="CF30" i="63"/>
  <c r="BX30" i="63"/>
  <c r="BZ30" i="63"/>
  <c r="CD120" i="63"/>
  <c r="CB120" i="63"/>
  <c r="CG120" i="63"/>
  <c r="CH90" i="63"/>
  <c r="CB90" i="63"/>
  <c r="CG90" i="63"/>
  <c r="BY30" i="63"/>
  <c r="CH30" i="63"/>
  <c r="CI60" i="63"/>
  <c r="CB60" i="63"/>
  <c r="CG60" i="63"/>
  <c r="BZ150" i="63"/>
  <c r="BX150" i="63"/>
  <c r="CC150" i="63"/>
  <c r="BX180" i="63"/>
  <c r="BZ180" i="63"/>
  <c r="CF180" i="63"/>
  <c r="CC180" i="63"/>
  <c r="BY180" i="63"/>
  <c r="CI180" i="63"/>
  <c r="CB180" i="63"/>
  <c r="CA180" i="63"/>
  <c r="CD180" i="63"/>
  <c r="CE180" i="63"/>
  <c r="CH180" i="63"/>
  <c r="CG180" i="63"/>
  <c r="EY30" i="126"/>
  <c r="EY32" i="126"/>
  <c r="EK30" i="126"/>
  <c r="EK32" i="126"/>
  <c r="BE30" i="126"/>
  <c r="GA25" i="126"/>
  <c r="GA19" i="126"/>
  <c r="GA18" i="126"/>
  <c r="O30" i="126"/>
  <c r="O32" i="126"/>
  <c r="GA26" i="126"/>
  <c r="AC30" i="126"/>
  <c r="BS30" i="126"/>
  <c r="AQ30" i="126"/>
  <c r="CU30" i="126"/>
  <c r="GA5" i="126"/>
  <c r="G7" i="128"/>
  <c r="G10" i="128"/>
  <c r="G6" i="128"/>
  <c r="G5" i="128"/>
  <c r="G17" i="128"/>
  <c r="G14" i="128"/>
  <c r="G11" i="128"/>
  <c r="G12" i="128"/>
  <c r="G8" i="128"/>
  <c r="G15" i="128"/>
  <c r="G9" i="128"/>
  <c r="G18" i="128"/>
  <c r="G16" i="128"/>
  <c r="G13" i="128"/>
  <c r="G22" i="128"/>
  <c r="G27" i="128"/>
  <c r="G19" i="128"/>
  <c r="G21" i="128"/>
  <c r="G20" i="128"/>
  <c r="G23" i="128"/>
  <c r="G26" i="128"/>
  <c r="G28" i="128"/>
  <c r="G24" i="128"/>
  <c r="G25" i="128"/>
  <c r="G29" i="128"/>
  <c r="G30" i="128"/>
  <c r="G4" i="128"/>
  <c r="F7" i="128"/>
  <c r="F10" i="128"/>
  <c r="AN19" i="66" s="1"/>
  <c r="F6" i="128"/>
  <c r="AN29" i="66" s="1"/>
  <c r="F5" i="128"/>
  <c r="F17" i="128"/>
  <c r="AN20" i="66" s="1"/>
  <c r="F14" i="128"/>
  <c r="AN22" i="66" s="1"/>
  <c r="F11" i="128"/>
  <c r="AN9" i="66" s="1"/>
  <c r="F12" i="128"/>
  <c r="F8" i="128"/>
  <c r="F15" i="128"/>
  <c r="AN16" i="66" s="1"/>
  <c r="F9" i="128"/>
  <c r="O11" i="128" s="1"/>
  <c r="F18" i="128"/>
  <c r="F16" i="128"/>
  <c r="F13" i="128"/>
  <c r="O13" i="128" s="1"/>
  <c r="F22" i="128"/>
  <c r="F27" i="128"/>
  <c r="F19" i="128"/>
  <c r="F21" i="128"/>
  <c r="F20" i="128"/>
  <c r="F23" i="128"/>
  <c r="F26" i="128"/>
  <c r="F28" i="128"/>
  <c r="O29" i="128" s="1"/>
  <c r="F24" i="128"/>
  <c r="AN13" i="66" s="1"/>
  <c r="F25" i="128"/>
  <c r="AN23" i="66" s="1"/>
  <c r="F29" i="128"/>
  <c r="F30" i="128"/>
  <c r="AU32" i="66"/>
  <c r="D240" i="73"/>
  <c r="B240" i="73"/>
  <c r="F212" i="73"/>
  <c r="F213" i="73"/>
  <c r="F214" i="73"/>
  <c r="F215" i="73"/>
  <c r="F216" i="73"/>
  <c r="F217" i="73"/>
  <c r="J148" i="73" s="1"/>
  <c r="J627" i="73" s="1"/>
  <c r="F218" i="73"/>
  <c r="F219" i="73"/>
  <c r="F220" i="73"/>
  <c r="F221" i="73"/>
  <c r="F222" i="73"/>
  <c r="F223" i="73"/>
  <c r="F224" i="73"/>
  <c r="F225" i="73"/>
  <c r="J156" i="73" s="1"/>
  <c r="J635" i="73" s="1"/>
  <c r="F226" i="73"/>
  <c r="F227" i="73"/>
  <c r="F228" i="73"/>
  <c r="F229" i="73"/>
  <c r="F230" i="73"/>
  <c r="F231" i="73"/>
  <c r="M162" i="73" s="1"/>
  <c r="F232" i="73"/>
  <c r="F233" i="73"/>
  <c r="F234" i="73"/>
  <c r="F235" i="73"/>
  <c r="F236" i="73"/>
  <c r="F237" i="73"/>
  <c r="F238" i="73"/>
  <c r="F239" i="73"/>
  <c r="L172" i="73" s="1"/>
  <c r="L744" i="73" s="1"/>
  <c r="E239" i="73"/>
  <c r="E213" i="73"/>
  <c r="E214" i="73"/>
  <c r="E215" i="73"/>
  <c r="E216" i="73"/>
  <c r="E217" i="73"/>
  <c r="E218" i="73"/>
  <c r="E219" i="73"/>
  <c r="E220" i="73"/>
  <c r="E221" i="73"/>
  <c r="E222" i="73"/>
  <c r="E223" i="73"/>
  <c r="E224" i="73"/>
  <c r="E225" i="73"/>
  <c r="E226" i="73"/>
  <c r="E227" i="73"/>
  <c r="E228" i="73"/>
  <c r="E229" i="73"/>
  <c r="E230" i="73"/>
  <c r="E231" i="73"/>
  <c r="E232" i="73"/>
  <c r="E233" i="73"/>
  <c r="E234" i="73"/>
  <c r="E235" i="73"/>
  <c r="M130" i="73" s="1"/>
  <c r="N130" i="73" s="1"/>
  <c r="E236" i="73"/>
  <c r="E237" i="73"/>
  <c r="E238" i="73"/>
  <c r="E212" i="73"/>
  <c r="C239" i="73"/>
  <c r="C213" i="73"/>
  <c r="C214" i="73"/>
  <c r="C215" i="73"/>
  <c r="C216" i="73"/>
  <c r="C217" i="73"/>
  <c r="C218" i="73"/>
  <c r="C219" i="73"/>
  <c r="C220" i="73"/>
  <c r="C221" i="73"/>
  <c r="C222" i="73"/>
  <c r="C223" i="73"/>
  <c r="C224" i="73"/>
  <c r="C225" i="73"/>
  <c r="C226" i="73"/>
  <c r="C227" i="73"/>
  <c r="C228" i="73"/>
  <c r="C229" i="73"/>
  <c r="C230" i="73"/>
  <c r="C231" i="73"/>
  <c r="E58" i="73" s="1"/>
  <c r="E398" i="73" s="1"/>
  <c r="C232" i="73"/>
  <c r="C233" i="73"/>
  <c r="C234" i="73"/>
  <c r="C235" i="73"/>
  <c r="C236" i="73"/>
  <c r="C237" i="73"/>
  <c r="E64" i="73" s="1"/>
  <c r="E404" i="73" s="1"/>
  <c r="C238" i="73"/>
  <c r="C212" i="73"/>
  <c r="CR32" i="66"/>
  <c r="CT32" i="66"/>
  <c r="F4" i="128"/>
  <c r="AN11" i="66" s="1"/>
  <c r="H5" i="106"/>
  <c r="H5" i="107"/>
  <c r="H5" i="108"/>
  <c r="H5" i="109"/>
  <c r="H5" i="110"/>
  <c r="H5" i="111"/>
  <c r="H5" i="112"/>
  <c r="H5" i="113"/>
  <c r="H5" i="114"/>
  <c r="H5" i="115"/>
  <c r="H5" i="116"/>
  <c r="H5" i="117"/>
  <c r="I5" i="106"/>
  <c r="I5" i="107"/>
  <c r="I5" i="108"/>
  <c r="I5" i="109"/>
  <c r="I5" i="110"/>
  <c r="I5" i="111"/>
  <c r="I5" i="112"/>
  <c r="I5" i="113"/>
  <c r="I5" i="114"/>
  <c r="I5" i="115"/>
  <c r="I5" i="116"/>
  <c r="I5" i="117"/>
  <c r="J5" i="106"/>
  <c r="J5" i="107"/>
  <c r="J5" i="108"/>
  <c r="J5" i="109"/>
  <c r="J5" i="110"/>
  <c r="J5" i="111"/>
  <c r="J5" i="112"/>
  <c r="J5" i="113"/>
  <c r="J5" i="114"/>
  <c r="J5" i="115"/>
  <c r="J5" i="116"/>
  <c r="J5" i="117"/>
  <c r="K5" i="106"/>
  <c r="K5" i="107"/>
  <c r="K5" i="108"/>
  <c r="K5" i="109"/>
  <c r="K5" i="110"/>
  <c r="K5" i="111"/>
  <c r="K5" i="112"/>
  <c r="K5" i="113"/>
  <c r="K5" i="114"/>
  <c r="K5" i="115"/>
  <c r="K5" i="116"/>
  <c r="K5" i="117"/>
  <c r="L5" i="106"/>
  <c r="L5" i="107"/>
  <c r="L5" i="108"/>
  <c r="L5" i="109"/>
  <c r="L5" i="110"/>
  <c r="L5" i="111"/>
  <c r="L5" i="112"/>
  <c r="L5" i="113"/>
  <c r="L5" i="114"/>
  <c r="L5" i="115"/>
  <c r="L5" i="116"/>
  <c r="L5" i="117"/>
  <c r="M5" i="106"/>
  <c r="M5" i="107"/>
  <c r="M5" i="108"/>
  <c r="M5" i="109"/>
  <c r="M5" i="110"/>
  <c r="M5" i="111"/>
  <c r="M5" i="112"/>
  <c r="M5" i="113"/>
  <c r="M5" i="114"/>
  <c r="M5" i="115"/>
  <c r="M5" i="116"/>
  <c r="M5" i="117"/>
  <c r="N5" i="106"/>
  <c r="N5" i="107"/>
  <c r="N5" i="108"/>
  <c r="N5" i="109"/>
  <c r="N5" i="110"/>
  <c r="N5" i="111"/>
  <c r="N5" i="112"/>
  <c r="N5" i="113"/>
  <c r="N5" i="114"/>
  <c r="N5" i="115"/>
  <c r="N5" i="116"/>
  <c r="N5" i="117"/>
  <c r="O5" i="106"/>
  <c r="O5" i="109"/>
  <c r="O5" i="113"/>
  <c r="O5" i="114"/>
  <c r="O5" i="115"/>
  <c r="O5" i="116"/>
  <c r="O5" i="117"/>
  <c r="P5" i="106"/>
  <c r="P5" i="107"/>
  <c r="P5" i="108"/>
  <c r="P5" i="109"/>
  <c r="P5" i="110"/>
  <c r="P5" i="112"/>
  <c r="P5" i="113"/>
  <c r="P5" i="115"/>
  <c r="P5" i="116"/>
  <c r="P5" i="117"/>
  <c r="Q5" i="106"/>
  <c r="Q5" i="107"/>
  <c r="Q5" i="108"/>
  <c r="Q5" i="109"/>
  <c r="Q5" i="110"/>
  <c r="Q5" i="112"/>
  <c r="Q5" i="113"/>
  <c r="Q5" i="115"/>
  <c r="Q5" i="116"/>
  <c r="Q5" i="117"/>
  <c r="H102" i="106"/>
  <c r="H5" i="118"/>
  <c r="I102" i="106"/>
  <c r="I5" i="118"/>
  <c r="J102" i="106"/>
  <c r="J5" i="118"/>
  <c r="K102" i="106"/>
  <c r="K5" i="118"/>
  <c r="L102" i="106"/>
  <c r="L5" i="118"/>
  <c r="M102" i="106"/>
  <c r="M5" i="118"/>
  <c r="N102" i="106"/>
  <c r="N5" i="118"/>
  <c r="O102" i="106"/>
  <c r="O5" i="118"/>
  <c r="P102" i="106"/>
  <c r="P5" i="118"/>
  <c r="Q102" i="106"/>
  <c r="Q5" i="118"/>
  <c r="H102" i="107"/>
  <c r="H6" i="118"/>
  <c r="I102" i="107"/>
  <c r="I6" i="118"/>
  <c r="J102" i="107"/>
  <c r="J6" i="118"/>
  <c r="K102" i="107"/>
  <c r="K6" i="118"/>
  <c r="L102" i="107"/>
  <c r="L6" i="118"/>
  <c r="M102" i="107"/>
  <c r="M6" i="118"/>
  <c r="N102" i="107"/>
  <c r="N6" i="118"/>
  <c r="P102" i="107"/>
  <c r="P6" i="118"/>
  <c r="Q102" i="107"/>
  <c r="Q6" i="118"/>
  <c r="H102" i="108"/>
  <c r="H7" i="118"/>
  <c r="I102" i="108"/>
  <c r="I7" i="118"/>
  <c r="J102" i="108"/>
  <c r="J7" i="118"/>
  <c r="K102" i="108"/>
  <c r="K7" i="118"/>
  <c r="L102" i="108"/>
  <c r="L7" i="118"/>
  <c r="M102" i="108"/>
  <c r="M7" i="118"/>
  <c r="N102" i="108"/>
  <c r="N7" i="118"/>
  <c r="O7" i="108"/>
  <c r="O23" i="108"/>
  <c r="P102" i="108"/>
  <c r="P7" i="118"/>
  <c r="Q102" i="108"/>
  <c r="Q7" i="118"/>
  <c r="H102" i="109"/>
  <c r="I102" i="109"/>
  <c r="J102" i="109"/>
  <c r="K102" i="109"/>
  <c r="L102" i="109"/>
  <c r="M102" i="109"/>
  <c r="N102" i="109"/>
  <c r="P102" i="109"/>
  <c r="Q102" i="109"/>
  <c r="H102" i="110"/>
  <c r="H9" i="118"/>
  <c r="I102" i="110"/>
  <c r="I9" i="118"/>
  <c r="J102" i="110"/>
  <c r="J9" i="118"/>
  <c r="K102" i="110"/>
  <c r="K9" i="118"/>
  <c r="L102" i="110"/>
  <c r="L9" i="118"/>
  <c r="M102" i="110"/>
  <c r="M9" i="118"/>
  <c r="N102" i="110"/>
  <c r="N9" i="118"/>
  <c r="P102" i="110"/>
  <c r="P9" i="118"/>
  <c r="Q102" i="110"/>
  <c r="Q9" i="118"/>
  <c r="H102" i="111"/>
  <c r="H10" i="118"/>
  <c r="I102" i="111"/>
  <c r="I10" i="118"/>
  <c r="J102" i="111"/>
  <c r="J10" i="118"/>
  <c r="K102" i="111"/>
  <c r="K10" i="118"/>
  <c r="L102" i="111"/>
  <c r="L10" i="118"/>
  <c r="M102" i="111"/>
  <c r="M10" i="118"/>
  <c r="N102" i="111"/>
  <c r="N10" i="118"/>
  <c r="O10" i="118"/>
  <c r="P102" i="111"/>
  <c r="P10" i="118"/>
  <c r="Q102" i="111"/>
  <c r="Q10" i="118"/>
  <c r="F102" i="106"/>
  <c r="G102" i="106"/>
  <c r="F102" i="107"/>
  <c r="G102" i="107"/>
  <c r="F102" i="108"/>
  <c r="G102" i="108"/>
  <c r="F102" i="109"/>
  <c r="F103" i="109"/>
  <c r="G102" i="109"/>
  <c r="G103" i="109"/>
  <c r="F102" i="110"/>
  <c r="G102" i="110"/>
  <c r="F102" i="111"/>
  <c r="G102" i="111"/>
  <c r="E102" i="106"/>
  <c r="E5" i="118"/>
  <c r="T73" i="62"/>
  <c r="E102" i="107"/>
  <c r="E6" i="118"/>
  <c r="U73" i="62"/>
  <c r="E102" i="108"/>
  <c r="E7" i="118"/>
  <c r="V73" i="62"/>
  <c r="E102" i="109"/>
  <c r="E102" i="110"/>
  <c r="E9" i="118"/>
  <c r="X73" i="62"/>
  <c r="E102" i="111"/>
  <c r="D102" i="106"/>
  <c r="D5" i="118"/>
  <c r="B73" i="62"/>
  <c r="D102" i="107"/>
  <c r="D6" i="118"/>
  <c r="C73" i="62"/>
  <c r="D102" i="108"/>
  <c r="D7" i="118"/>
  <c r="D73" i="62"/>
  <c r="D102" i="109"/>
  <c r="D102" i="110"/>
  <c r="D9" i="118"/>
  <c r="F73" i="62"/>
  <c r="D102" i="111"/>
  <c r="D10" i="118"/>
  <c r="G73" i="62"/>
  <c r="C102" i="106"/>
  <c r="C5" i="118"/>
  <c r="T38" i="62"/>
  <c r="C102" i="107"/>
  <c r="C6" i="118"/>
  <c r="U38" i="62"/>
  <c r="C102" i="108"/>
  <c r="C7" i="118"/>
  <c r="V38" i="62"/>
  <c r="C102" i="109"/>
  <c r="C103" i="109"/>
  <c r="C102" i="110"/>
  <c r="C9" i="118"/>
  <c r="X38" i="62"/>
  <c r="C102" i="111"/>
  <c r="C10" i="118"/>
  <c r="Y38" i="62"/>
  <c r="B102" i="106"/>
  <c r="B102" i="107"/>
  <c r="B6" i="118"/>
  <c r="C38" i="62"/>
  <c r="B102" i="108"/>
  <c r="B7" i="118"/>
  <c r="D38" i="62"/>
  <c r="B102" i="109"/>
  <c r="B102" i="110"/>
  <c r="B102" i="111"/>
  <c r="B10" i="118"/>
  <c r="G38" i="62"/>
  <c r="G240" i="73"/>
  <c r="V16" i="62" s="1"/>
  <c r="N42" i="64" s="1"/>
  <c r="N145" i="62"/>
  <c r="N146" i="62"/>
  <c r="B155" i="62"/>
  <c r="N147" i="62"/>
  <c r="C156" i="62"/>
  <c r="F155" i="62"/>
  <c r="H155" i="62"/>
  <c r="AR123" i="63"/>
  <c r="DI123" i="63"/>
  <c r="BG123" i="63"/>
  <c r="DV123" i="63"/>
  <c r="BV123" i="63"/>
  <c r="U212" i="73"/>
  <c r="AR124" i="63"/>
  <c r="DI124" i="63"/>
  <c r="BG124" i="63"/>
  <c r="DV124" i="63"/>
  <c r="BV124" i="63"/>
  <c r="EI124" i="63"/>
  <c r="U213" i="73"/>
  <c r="Q5" i="66" s="1"/>
  <c r="AR125" i="63"/>
  <c r="DI125" i="63"/>
  <c r="BG125" i="63"/>
  <c r="DV125" i="63"/>
  <c r="BV125" i="63"/>
  <c r="U214" i="73"/>
  <c r="U145" i="73" s="1"/>
  <c r="F597" i="73" s="1"/>
  <c r="AR126" i="63"/>
  <c r="DI126" i="63"/>
  <c r="BG126" i="63"/>
  <c r="DV126" i="63"/>
  <c r="BV126" i="63"/>
  <c r="EI126" i="63"/>
  <c r="U215" i="73"/>
  <c r="Q6" i="66" s="1"/>
  <c r="AR127" i="63"/>
  <c r="DI127" i="63"/>
  <c r="BG127" i="63"/>
  <c r="DV127" i="63"/>
  <c r="BV127" i="63"/>
  <c r="EI127" i="63"/>
  <c r="U216" i="73"/>
  <c r="Q8" i="66" s="1"/>
  <c r="AR128" i="63"/>
  <c r="DI128" i="63"/>
  <c r="BG128" i="63"/>
  <c r="DV128" i="63"/>
  <c r="BV128" i="63"/>
  <c r="EI128" i="63"/>
  <c r="U217" i="73"/>
  <c r="Q9" i="66" s="1"/>
  <c r="AR129" i="63"/>
  <c r="DI129" i="63"/>
  <c r="BG129" i="63"/>
  <c r="DV129" i="63"/>
  <c r="BV129" i="63"/>
  <c r="EI129" i="63"/>
  <c r="U218" i="73"/>
  <c r="AR130" i="63"/>
  <c r="DI130" i="63"/>
  <c r="BG130" i="63"/>
  <c r="DV130" i="63"/>
  <c r="BV130" i="63"/>
  <c r="EI130" i="63"/>
  <c r="U219" i="73"/>
  <c r="AR131" i="63"/>
  <c r="DI131" i="63"/>
  <c r="BG131" i="63"/>
  <c r="DV131" i="63"/>
  <c r="BV131" i="63"/>
  <c r="EI131" i="63"/>
  <c r="U220" i="73"/>
  <c r="Q12" i="66" s="1"/>
  <c r="AR132" i="63"/>
  <c r="DI132" i="63"/>
  <c r="BG132" i="63"/>
  <c r="DV132" i="63"/>
  <c r="BV132" i="63"/>
  <c r="EI132" i="63"/>
  <c r="U221" i="73"/>
  <c r="T152" i="73" s="1"/>
  <c r="E604" i="73" s="1"/>
  <c r="AR133" i="63"/>
  <c r="DI133" i="63"/>
  <c r="BG133" i="63"/>
  <c r="DV133" i="63"/>
  <c r="BV133" i="63"/>
  <c r="EI133" i="63"/>
  <c r="U222" i="73"/>
  <c r="Z153" i="73" s="1"/>
  <c r="K605" i="73" s="1"/>
  <c r="AR134" i="63"/>
  <c r="DI134" i="63"/>
  <c r="BG134" i="63"/>
  <c r="DV134" i="63"/>
  <c r="BV134" i="63"/>
  <c r="EI134" i="63"/>
  <c r="U223" i="73"/>
  <c r="Y154" i="73" s="1"/>
  <c r="J606" i="73" s="1"/>
  <c r="AR135" i="63"/>
  <c r="DI135" i="63"/>
  <c r="BG135" i="63"/>
  <c r="DV135" i="63"/>
  <c r="BV135" i="63"/>
  <c r="EI135" i="63"/>
  <c r="U224" i="73"/>
  <c r="AR136" i="63"/>
  <c r="DI136" i="63"/>
  <c r="BG136" i="63"/>
  <c r="DV136" i="63"/>
  <c r="BV136" i="63"/>
  <c r="EI136" i="63"/>
  <c r="U225" i="73"/>
  <c r="AR137" i="63"/>
  <c r="DI137" i="63"/>
  <c r="BG137" i="63"/>
  <c r="DV137" i="63"/>
  <c r="BV137" i="63"/>
  <c r="EI137" i="63"/>
  <c r="U226" i="73"/>
  <c r="AR138" i="63"/>
  <c r="DI138" i="63"/>
  <c r="BG138" i="63"/>
  <c r="DV138" i="63"/>
  <c r="BV138" i="63"/>
  <c r="EI138" i="63"/>
  <c r="U227" i="73"/>
  <c r="AR139" i="63"/>
  <c r="DI139" i="63"/>
  <c r="BG139" i="63"/>
  <c r="DV139" i="63"/>
  <c r="BV139" i="63"/>
  <c r="EI139" i="63"/>
  <c r="U228" i="73"/>
  <c r="AR140" i="63"/>
  <c r="DI140" i="63"/>
  <c r="BG140" i="63"/>
  <c r="DV140" i="63"/>
  <c r="BV140" i="63"/>
  <c r="EI140" i="63"/>
  <c r="U229" i="73"/>
  <c r="Q20" i="66" s="1"/>
  <c r="AR141" i="63"/>
  <c r="DI141" i="63"/>
  <c r="BG141" i="63"/>
  <c r="DV141" i="63"/>
  <c r="BV141" i="63"/>
  <c r="EI141" i="63"/>
  <c r="U230" i="73"/>
  <c r="Y161" i="73" s="1"/>
  <c r="J613" i="73" s="1"/>
  <c r="AR142" i="63"/>
  <c r="DI142" i="63"/>
  <c r="BG142" i="63"/>
  <c r="DV142" i="63"/>
  <c r="BV142" i="63"/>
  <c r="EI142" i="63"/>
  <c r="U231" i="73"/>
  <c r="Q162" i="73" s="1"/>
  <c r="B614" i="73" s="1"/>
  <c r="AR143" i="63"/>
  <c r="DI143" i="63"/>
  <c r="BG143" i="63"/>
  <c r="DV143" i="63"/>
  <c r="BV143" i="63"/>
  <c r="EI143" i="63"/>
  <c r="U232" i="73"/>
  <c r="AR144" i="63"/>
  <c r="DI144" i="63"/>
  <c r="BG144" i="63"/>
  <c r="DV144" i="63"/>
  <c r="BV144" i="63"/>
  <c r="EI144" i="63"/>
  <c r="U233" i="73"/>
  <c r="S164" i="73" s="1"/>
  <c r="D616" i="73" s="1"/>
  <c r="AR145" i="63"/>
  <c r="DI145" i="63"/>
  <c r="BG145" i="63"/>
  <c r="DV145" i="63"/>
  <c r="BV145" i="63"/>
  <c r="EI145" i="63"/>
  <c r="U234" i="73"/>
  <c r="AR146" i="63"/>
  <c r="DI146" i="63"/>
  <c r="BG146" i="63"/>
  <c r="DV146" i="63"/>
  <c r="BV146" i="63"/>
  <c r="EI146" i="63"/>
  <c r="U235" i="73"/>
  <c r="AR147" i="63"/>
  <c r="DI147" i="63"/>
  <c r="BG147" i="63"/>
  <c r="DV147" i="63"/>
  <c r="BV147" i="63"/>
  <c r="EI147" i="63"/>
  <c r="U236" i="73"/>
  <c r="Q29" i="66" s="1"/>
  <c r="AR148" i="63"/>
  <c r="DI148" i="63"/>
  <c r="BG148" i="63"/>
  <c r="DV148" i="63"/>
  <c r="BV148" i="63"/>
  <c r="EI148" i="63"/>
  <c r="U237" i="73"/>
  <c r="AR149" i="63"/>
  <c r="BG149" i="63"/>
  <c r="DV149" i="63"/>
  <c r="BV149" i="63"/>
  <c r="EI149" i="63"/>
  <c r="U238" i="73"/>
  <c r="R169" i="73" s="1"/>
  <c r="C621" i="73" s="1"/>
  <c r="U239" i="73"/>
  <c r="N110" i="62"/>
  <c r="D119" i="62"/>
  <c r="N111" i="62"/>
  <c r="B120" i="62"/>
  <c r="N112" i="62"/>
  <c r="B121" i="62"/>
  <c r="E119" i="62"/>
  <c r="G119" i="62"/>
  <c r="H121" i="62"/>
  <c r="AR93" i="63"/>
  <c r="BG93" i="63"/>
  <c r="DV93" i="63"/>
  <c r="BV93" i="63"/>
  <c r="EI93" i="63"/>
  <c r="T212" i="73"/>
  <c r="T107" i="73" s="1"/>
  <c r="E514" i="73" s="1"/>
  <c r="AR94" i="63"/>
  <c r="BG94" i="63"/>
  <c r="DV94" i="63"/>
  <c r="BV94" i="63"/>
  <c r="EI94" i="63"/>
  <c r="T213" i="73"/>
  <c r="AB108" i="73" s="1"/>
  <c r="AR95" i="63"/>
  <c r="DI95" i="63"/>
  <c r="BG95" i="63"/>
  <c r="DV95" i="63"/>
  <c r="BV95" i="63"/>
  <c r="EI95" i="63"/>
  <c r="T214" i="73"/>
  <c r="W109" i="73" s="1"/>
  <c r="H516" i="73" s="1"/>
  <c r="AR96" i="63"/>
  <c r="DI96" i="63"/>
  <c r="BG96" i="63"/>
  <c r="DV96" i="63"/>
  <c r="BV96" i="63"/>
  <c r="EI96" i="63"/>
  <c r="T215" i="73"/>
  <c r="AR97" i="63"/>
  <c r="DI97" i="63"/>
  <c r="BG97" i="63"/>
  <c r="DV97" i="63"/>
  <c r="BV97" i="63"/>
  <c r="EI97" i="63"/>
  <c r="T216" i="73"/>
  <c r="AR98" i="63"/>
  <c r="DI98" i="63"/>
  <c r="BG98" i="63"/>
  <c r="DV98" i="63"/>
  <c r="BV98" i="63"/>
  <c r="EI98" i="63"/>
  <c r="T217" i="73"/>
  <c r="V112" i="73" s="1"/>
  <c r="G519" i="73" s="1"/>
  <c r="AR99" i="63"/>
  <c r="DI99" i="63"/>
  <c r="BG99" i="63"/>
  <c r="DV99" i="63"/>
  <c r="BV99" i="63"/>
  <c r="EI99" i="63"/>
  <c r="T218" i="73"/>
  <c r="N10" i="66" s="1"/>
  <c r="AR100" i="63"/>
  <c r="DI100" i="63"/>
  <c r="BG100" i="63"/>
  <c r="DV100" i="63"/>
  <c r="BV100" i="63"/>
  <c r="EI100" i="63"/>
  <c r="T219" i="73"/>
  <c r="Y114" i="73" s="1"/>
  <c r="J521" i="73" s="1"/>
  <c r="AR101" i="63"/>
  <c r="DI101" i="63"/>
  <c r="BG101" i="63"/>
  <c r="DV101" i="63"/>
  <c r="BV101" i="63"/>
  <c r="EI101" i="63"/>
  <c r="T220" i="73"/>
  <c r="AR102" i="63"/>
  <c r="DI102" i="63"/>
  <c r="BG102" i="63"/>
  <c r="DV102" i="63"/>
  <c r="BV102" i="63"/>
  <c r="EI102" i="63"/>
  <c r="T221" i="73"/>
  <c r="AR103" i="63"/>
  <c r="DI103" i="63"/>
  <c r="BG103" i="63"/>
  <c r="DV103" i="63"/>
  <c r="BV103" i="63"/>
  <c r="EI103" i="63"/>
  <c r="T222" i="73"/>
  <c r="Z117" i="73" s="1"/>
  <c r="K524" i="73" s="1"/>
  <c r="AR104" i="63"/>
  <c r="DI104" i="63"/>
  <c r="BG104" i="63"/>
  <c r="DV104" i="63"/>
  <c r="BV104" i="63"/>
  <c r="EI104" i="63"/>
  <c r="T223" i="73"/>
  <c r="AR105" i="63"/>
  <c r="DI105" i="63"/>
  <c r="BG105" i="63"/>
  <c r="DV105" i="63"/>
  <c r="BV105" i="63"/>
  <c r="EI105" i="63"/>
  <c r="T224" i="73"/>
  <c r="Z119" i="73" s="1"/>
  <c r="K526" i="73" s="1"/>
  <c r="AR106" i="63"/>
  <c r="DI106" i="63"/>
  <c r="BG106" i="63"/>
  <c r="DV106" i="63"/>
  <c r="BV106" i="63"/>
  <c r="EI106" i="63"/>
  <c r="T225" i="73"/>
  <c r="AR107" i="63"/>
  <c r="DI107" i="63"/>
  <c r="BG107" i="63"/>
  <c r="DV107" i="63"/>
  <c r="BV107" i="63"/>
  <c r="EI107" i="63"/>
  <c r="T226" i="73"/>
  <c r="T121" i="73" s="1"/>
  <c r="E528" i="73" s="1"/>
  <c r="AR108" i="63"/>
  <c r="DI108" i="63"/>
  <c r="BG108" i="63"/>
  <c r="DV108" i="63"/>
  <c r="BV108" i="63"/>
  <c r="EI108" i="63"/>
  <c r="T227" i="73"/>
  <c r="R122" i="73" s="1"/>
  <c r="C529" i="73" s="1"/>
  <c r="AR109" i="63"/>
  <c r="DI109" i="63"/>
  <c r="BG109" i="63"/>
  <c r="DV109" i="63"/>
  <c r="BV109" i="63"/>
  <c r="EI109" i="63"/>
  <c r="T228" i="73"/>
  <c r="AR110" i="63"/>
  <c r="DI110" i="63"/>
  <c r="BG110" i="63"/>
  <c r="DV110" i="63"/>
  <c r="BV110" i="63"/>
  <c r="EI110" i="63"/>
  <c r="T229" i="73"/>
  <c r="X124" i="73" s="1"/>
  <c r="I531" i="73" s="1"/>
  <c r="AR111" i="63"/>
  <c r="DI111" i="63"/>
  <c r="BG111" i="63"/>
  <c r="DV111" i="63"/>
  <c r="BV111" i="63"/>
  <c r="EI111" i="63"/>
  <c r="T230" i="73"/>
  <c r="X125" i="73" s="1"/>
  <c r="I532" i="73" s="1"/>
  <c r="AR112" i="63"/>
  <c r="DI112" i="63"/>
  <c r="BG112" i="63"/>
  <c r="DV112" i="63"/>
  <c r="BV112" i="63"/>
  <c r="EI112" i="63"/>
  <c r="T231" i="73"/>
  <c r="AR113" i="63"/>
  <c r="BG113" i="63"/>
  <c r="DV113" i="63"/>
  <c r="BV113" i="63"/>
  <c r="EI113" i="63"/>
  <c r="T232" i="73"/>
  <c r="AR114" i="63"/>
  <c r="DI114" i="63"/>
  <c r="BG114" i="63"/>
  <c r="DV114" i="63"/>
  <c r="BV114" i="63"/>
  <c r="T233" i="73"/>
  <c r="Q128" i="73" s="1"/>
  <c r="B535" i="73" s="1"/>
  <c r="AR115" i="63"/>
  <c r="DI115" i="63"/>
  <c r="BG115" i="63"/>
  <c r="DV115" i="63"/>
  <c r="BV115" i="63"/>
  <c r="EI115" i="63"/>
  <c r="T234" i="73"/>
  <c r="AR116" i="63"/>
  <c r="DI116" i="63"/>
  <c r="BG116" i="63"/>
  <c r="DV116" i="63"/>
  <c r="BV116" i="63"/>
  <c r="EI116" i="63"/>
  <c r="T235" i="73"/>
  <c r="Z130" i="73" s="1"/>
  <c r="K537" i="73" s="1"/>
  <c r="AR117" i="63"/>
  <c r="DI117" i="63"/>
  <c r="BG117" i="63"/>
  <c r="DV117" i="63"/>
  <c r="BV117" i="63"/>
  <c r="EI117" i="63"/>
  <c r="T236" i="73"/>
  <c r="Z131" i="73" s="1"/>
  <c r="K538" i="73" s="1"/>
  <c r="AR118" i="63"/>
  <c r="DI118" i="63"/>
  <c r="BG118" i="63"/>
  <c r="DV118" i="63"/>
  <c r="BV118" i="63"/>
  <c r="EI118" i="63"/>
  <c r="T237" i="73"/>
  <c r="AR119" i="63"/>
  <c r="DI119" i="63"/>
  <c r="BG119" i="63"/>
  <c r="DV119" i="63"/>
  <c r="BV119" i="63"/>
  <c r="EI119" i="63"/>
  <c r="T238" i="73"/>
  <c r="T133" i="73" s="1"/>
  <c r="E540" i="73" s="1"/>
  <c r="T239" i="73"/>
  <c r="N31" i="66" s="1"/>
  <c r="BX44" i="66" s="1"/>
  <c r="AF75" i="62"/>
  <c r="AF76" i="62"/>
  <c r="Y85" i="62"/>
  <c r="AF77" i="62"/>
  <c r="U86" i="62"/>
  <c r="V86" i="62"/>
  <c r="N75" i="62"/>
  <c r="B84" i="62"/>
  <c r="N76" i="62"/>
  <c r="D85" i="62"/>
  <c r="N77" i="62"/>
  <c r="G84" i="62"/>
  <c r="AR33" i="63"/>
  <c r="DI33" i="63"/>
  <c r="BG33" i="63"/>
  <c r="DV33" i="63"/>
  <c r="BV33" i="63"/>
  <c r="EI33" i="63"/>
  <c r="R212" i="73"/>
  <c r="T39" i="73" s="1"/>
  <c r="AR34" i="63"/>
  <c r="DI34" i="63"/>
  <c r="BG34" i="63"/>
  <c r="DV34" i="63"/>
  <c r="BV34" i="63"/>
  <c r="EI34" i="63"/>
  <c r="R213" i="73"/>
  <c r="Z40" i="73" s="1"/>
  <c r="K353" i="73" s="1"/>
  <c r="AR35" i="63"/>
  <c r="DI35" i="63"/>
  <c r="BG35" i="63"/>
  <c r="DV35" i="63"/>
  <c r="BV35" i="63"/>
  <c r="EI35" i="63"/>
  <c r="R214" i="73"/>
  <c r="R41" i="73" s="1"/>
  <c r="AR36" i="63"/>
  <c r="DI36" i="63"/>
  <c r="BG36" i="63"/>
  <c r="DV36" i="63"/>
  <c r="BV36" i="63"/>
  <c r="EI36" i="63"/>
  <c r="R215" i="73"/>
  <c r="AR37" i="63"/>
  <c r="DI37" i="63"/>
  <c r="BG37" i="63"/>
  <c r="DV37" i="63"/>
  <c r="BV37" i="63"/>
  <c r="EI37" i="63"/>
  <c r="R216" i="73"/>
  <c r="X43" i="73" s="1"/>
  <c r="I356" i="73" s="1"/>
  <c r="AR38" i="63"/>
  <c r="DI38" i="63"/>
  <c r="BG38" i="63"/>
  <c r="DV38" i="63"/>
  <c r="BV38" i="63"/>
  <c r="EI38" i="63"/>
  <c r="R217" i="73"/>
  <c r="AA44" i="73" s="1"/>
  <c r="L357" i="73" s="1"/>
  <c r="AR39" i="63"/>
  <c r="DI39" i="63"/>
  <c r="BG39" i="63"/>
  <c r="DV39" i="63"/>
  <c r="BV39" i="63"/>
  <c r="EI39" i="63"/>
  <c r="R218" i="73"/>
  <c r="AR40" i="63"/>
  <c r="DI40" i="63"/>
  <c r="BG40" i="63"/>
  <c r="DV40" i="63"/>
  <c r="BV40" i="63"/>
  <c r="EI40" i="63"/>
  <c r="R219" i="73"/>
  <c r="S46" i="73" s="1"/>
  <c r="D359" i="73" s="1"/>
  <c r="AR41" i="63"/>
  <c r="DI41" i="63"/>
  <c r="BG41" i="63"/>
  <c r="DV41" i="63"/>
  <c r="BV41" i="63"/>
  <c r="EI41" i="63"/>
  <c r="R220" i="73"/>
  <c r="Z47" i="73" s="1"/>
  <c r="K360" i="73" s="1"/>
  <c r="AR42" i="63"/>
  <c r="DI42" i="63"/>
  <c r="BG42" i="63"/>
  <c r="DV42" i="63"/>
  <c r="BV42" i="63"/>
  <c r="EI42" i="63"/>
  <c r="R221" i="73"/>
  <c r="S48" i="73" s="1"/>
  <c r="D361" i="73" s="1"/>
  <c r="AR43" i="63"/>
  <c r="DI43" i="63"/>
  <c r="BG43" i="63"/>
  <c r="DV43" i="63"/>
  <c r="BV43" i="63"/>
  <c r="EI43" i="63"/>
  <c r="R222" i="73"/>
  <c r="X49" i="73" s="1"/>
  <c r="I362" i="73" s="1"/>
  <c r="AR44" i="63"/>
  <c r="DI44" i="63"/>
  <c r="BG44" i="63"/>
  <c r="DV44" i="63"/>
  <c r="BV44" i="63"/>
  <c r="EI44" i="63"/>
  <c r="R223" i="73"/>
  <c r="AR45" i="63"/>
  <c r="DI45" i="63"/>
  <c r="BG45" i="63"/>
  <c r="DV45" i="63"/>
  <c r="BV45" i="63"/>
  <c r="EI45" i="63"/>
  <c r="R224" i="73"/>
  <c r="Y51" i="73" s="1"/>
  <c r="J364" i="73" s="1"/>
  <c r="AR46" i="63"/>
  <c r="DI46" i="63"/>
  <c r="BG46" i="63"/>
  <c r="DV46" i="63"/>
  <c r="BV46" i="63"/>
  <c r="EI46" i="63"/>
  <c r="R225" i="73"/>
  <c r="U52" i="73" s="1"/>
  <c r="F365" i="73" s="1"/>
  <c r="AR47" i="63"/>
  <c r="DI47" i="63"/>
  <c r="BG47" i="63"/>
  <c r="DV47" i="63"/>
  <c r="BV47" i="63"/>
  <c r="EI47" i="63"/>
  <c r="R226" i="73"/>
  <c r="AR48" i="63"/>
  <c r="DI48" i="63"/>
  <c r="BG48" i="63"/>
  <c r="DV48" i="63"/>
  <c r="BV48" i="63"/>
  <c r="EI48" i="63"/>
  <c r="R227" i="73"/>
  <c r="H21" i="66" s="1"/>
  <c r="AR49" i="63"/>
  <c r="DI49" i="63"/>
  <c r="BG49" i="63"/>
  <c r="DV49" i="63"/>
  <c r="BV49" i="63"/>
  <c r="EI49" i="63"/>
  <c r="R228" i="73"/>
  <c r="H19" i="66" s="1"/>
  <c r="AR50" i="63"/>
  <c r="DI50" i="63"/>
  <c r="BG50" i="63"/>
  <c r="DV50" i="63"/>
  <c r="BV50" i="63"/>
  <c r="EI50" i="63"/>
  <c r="R229" i="73"/>
  <c r="V56" i="73" s="1"/>
  <c r="G369" i="73" s="1"/>
  <c r="AR51" i="63"/>
  <c r="DI51" i="63"/>
  <c r="BG51" i="63"/>
  <c r="DV51" i="63"/>
  <c r="BV51" i="63"/>
  <c r="EI51" i="63"/>
  <c r="R230" i="73"/>
  <c r="W57" i="73" s="1"/>
  <c r="H370" i="73" s="1"/>
  <c r="AR52" i="63"/>
  <c r="DI52" i="63"/>
  <c r="BG52" i="63"/>
  <c r="DV52" i="63"/>
  <c r="BV52" i="63"/>
  <c r="R231" i="73"/>
  <c r="AA58" i="73" s="1"/>
  <c r="L371" i="73" s="1"/>
  <c r="AR53" i="63"/>
  <c r="DI53" i="63"/>
  <c r="BG53" i="63"/>
  <c r="DV53" i="63"/>
  <c r="BV53" i="63"/>
  <c r="EI53" i="63"/>
  <c r="R232" i="73"/>
  <c r="T59" i="73" s="1"/>
  <c r="E372" i="73" s="1"/>
  <c r="AR54" i="63"/>
  <c r="DI54" i="63"/>
  <c r="BG54" i="63"/>
  <c r="DV54" i="63"/>
  <c r="BV54" i="63"/>
  <c r="EI54" i="63"/>
  <c r="R233" i="73"/>
  <c r="AB60" i="73" s="1"/>
  <c r="AR55" i="63"/>
  <c r="DI55" i="63"/>
  <c r="BG55" i="63"/>
  <c r="DV55" i="63"/>
  <c r="BV55" i="63"/>
  <c r="EI55" i="63"/>
  <c r="R234" i="73"/>
  <c r="R61" i="73" s="1"/>
  <c r="C374" i="73" s="1"/>
  <c r="AR56" i="63"/>
  <c r="DI56" i="63"/>
  <c r="BG56" i="63"/>
  <c r="DV56" i="63"/>
  <c r="BV56" i="63"/>
  <c r="EI56" i="63"/>
  <c r="R235" i="73"/>
  <c r="H27" i="66" s="1"/>
  <c r="AR57" i="63"/>
  <c r="DI57" i="63"/>
  <c r="BG57" i="63"/>
  <c r="DV57" i="63"/>
  <c r="BV57" i="63"/>
  <c r="EI57" i="63"/>
  <c r="R236" i="73"/>
  <c r="T63" i="73" s="1"/>
  <c r="E376" i="73" s="1"/>
  <c r="AR58" i="63"/>
  <c r="DI58" i="63"/>
  <c r="BG58" i="63"/>
  <c r="DV58" i="63"/>
  <c r="BV58" i="63"/>
  <c r="EI58" i="63"/>
  <c r="R237" i="73"/>
  <c r="Y64" i="73" s="1"/>
  <c r="J377" i="73" s="1"/>
  <c r="AR59" i="63"/>
  <c r="DI59" i="63"/>
  <c r="BG59" i="63"/>
  <c r="DV59" i="63"/>
  <c r="BV59" i="63"/>
  <c r="EI59" i="63"/>
  <c r="R238" i="73"/>
  <c r="R239" i="73"/>
  <c r="AF40" i="62"/>
  <c r="T49" i="62"/>
  <c r="AF41" i="62"/>
  <c r="T50" i="62"/>
  <c r="AF42" i="62"/>
  <c r="U51" i="62"/>
  <c r="V14" i="62"/>
  <c r="N10" i="64" s="1"/>
  <c r="N40" i="62"/>
  <c r="B49" i="62"/>
  <c r="N41" i="62"/>
  <c r="C50" i="62"/>
  <c r="N42" i="62"/>
  <c r="N5" i="62"/>
  <c r="B14" i="62"/>
  <c r="N7" i="62"/>
  <c r="B16" i="62"/>
  <c r="AR3" i="63"/>
  <c r="DI3" i="63"/>
  <c r="BG3" i="63"/>
  <c r="DV3" i="63"/>
  <c r="BV3" i="63"/>
  <c r="EI3" i="63"/>
  <c r="Q212" i="73"/>
  <c r="Q5" i="73" s="1"/>
  <c r="AR4" i="63"/>
  <c r="DI4" i="63"/>
  <c r="BG4" i="63"/>
  <c r="DV4" i="63"/>
  <c r="BV4" i="63"/>
  <c r="EI4" i="63"/>
  <c r="Q213" i="73"/>
  <c r="Q6" i="73" s="1"/>
  <c r="B272" i="73" s="1"/>
  <c r="AR5" i="63"/>
  <c r="DI5" i="63"/>
  <c r="BG5" i="63"/>
  <c r="DV5" i="63"/>
  <c r="BV5" i="63"/>
  <c r="EI5" i="63"/>
  <c r="Q214" i="73"/>
  <c r="S7" i="73" s="1"/>
  <c r="D273" i="73" s="1"/>
  <c r="AR6" i="63"/>
  <c r="DI6" i="63"/>
  <c r="BG6" i="63"/>
  <c r="DV6" i="63"/>
  <c r="BV6" i="63"/>
  <c r="EI6" i="63"/>
  <c r="Q215" i="73"/>
  <c r="AR7" i="63"/>
  <c r="DI7" i="63"/>
  <c r="BG7" i="63"/>
  <c r="DV7" i="63"/>
  <c r="BV7" i="63"/>
  <c r="EI7" i="63"/>
  <c r="Q216" i="73"/>
  <c r="AR8" i="63"/>
  <c r="DI8" i="63"/>
  <c r="BG8" i="63"/>
  <c r="DV8" i="63"/>
  <c r="BV8" i="63"/>
  <c r="EI8" i="63"/>
  <c r="Q217" i="73"/>
  <c r="V10" i="73" s="1"/>
  <c r="G276" i="73" s="1"/>
  <c r="AR9" i="63"/>
  <c r="DI9" i="63"/>
  <c r="BG9" i="63"/>
  <c r="DV9" i="63"/>
  <c r="BV9" i="63"/>
  <c r="EI9" i="63"/>
  <c r="Q218" i="73"/>
  <c r="R11" i="73" s="1"/>
  <c r="C277" i="73" s="1"/>
  <c r="AR10" i="63"/>
  <c r="DI10" i="63"/>
  <c r="BG10" i="63"/>
  <c r="DV10" i="63"/>
  <c r="BV10" i="63"/>
  <c r="EI10" i="63"/>
  <c r="Q219" i="73"/>
  <c r="V12" i="73" s="1"/>
  <c r="G278" i="73" s="1"/>
  <c r="AR11" i="63"/>
  <c r="DI11" i="63"/>
  <c r="BG11" i="63"/>
  <c r="DV11" i="63"/>
  <c r="BV11" i="63"/>
  <c r="EI11" i="63"/>
  <c r="Q220" i="73"/>
  <c r="S13" i="73" s="1"/>
  <c r="D279" i="73" s="1"/>
  <c r="AR12" i="63"/>
  <c r="DI12" i="63"/>
  <c r="BG12" i="63"/>
  <c r="DV12" i="63"/>
  <c r="BV12" i="63"/>
  <c r="EI12" i="63"/>
  <c r="Q221" i="73"/>
  <c r="AB14" i="73" s="1"/>
  <c r="AR13" i="63"/>
  <c r="DI13" i="63"/>
  <c r="BG13" i="63"/>
  <c r="DV13" i="63"/>
  <c r="BV13" i="63"/>
  <c r="EI13" i="63"/>
  <c r="Q222" i="73"/>
  <c r="Q15" i="73" s="1"/>
  <c r="B281" i="73" s="1"/>
  <c r="AR14" i="63"/>
  <c r="DI14" i="63"/>
  <c r="BG14" i="63"/>
  <c r="DV14" i="63"/>
  <c r="BV14" i="63"/>
  <c r="EI14" i="63"/>
  <c r="Q223" i="73"/>
  <c r="AR15" i="63"/>
  <c r="DI15" i="63"/>
  <c r="BG15" i="63"/>
  <c r="DV15" i="63"/>
  <c r="BV15" i="63"/>
  <c r="EI15" i="63"/>
  <c r="Q224" i="73"/>
  <c r="AR16" i="63"/>
  <c r="DI16" i="63"/>
  <c r="BG16" i="63"/>
  <c r="DV16" i="63"/>
  <c r="BV16" i="63"/>
  <c r="EI16" i="63"/>
  <c r="Q225" i="73"/>
  <c r="T18" i="73" s="1"/>
  <c r="E284" i="73" s="1"/>
  <c r="AR17" i="63"/>
  <c r="DI17" i="63"/>
  <c r="BG17" i="63"/>
  <c r="DV17" i="63"/>
  <c r="BV17" i="63"/>
  <c r="EI17" i="63"/>
  <c r="Q226" i="73"/>
  <c r="X19" i="73" s="1"/>
  <c r="I285" i="73" s="1"/>
  <c r="AR18" i="63"/>
  <c r="DI18" i="63"/>
  <c r="BG18" i="63"/>
  <c r="DV18" i="63"/>
  <c r="BV18" i="63"/>
  <c r="EI18" i="63"/>
  <c r="Q227" i="73"/>
  <c r="AR19" i="63"/>
  <c r="DI19" i="63"/>
  <c r="BG19" i="63"/>
  <c r="DV19" i="63"/>
  <c r="BV19" i="63"/>
  <c r="EI19" i="63"/>
  <c r="Q228" i="73"/>
  <c r="Q21" i="73" s="1"/>
  <c r="B287" i="73" s="1"/>
  <c r="AR20" i="63"/>
  <c r="DI20" i="63"/>
  <c r="BG20" i="63"/>
  <c r="DV20" i="63"/>
  <c r="BV20" i="63"/>
  <c r="EI20" i="63"/>
  <c r="Q229" i="73"/>
  <c r="X22" i="73" s="1"/>
  <c r="I288" i="73" s="1"/>
  <c r="AR21" i="63"/>
  <c r="DI21" i="63"/>
  <c r="BG21" i="63"/>
  <c r="DV21" i="63"/>
  <c r="BV21" i="63"/>
  <c r="EI21" i="63"/>
  <c r="Q230" i="73"/>
  <c r="Q23" i="73" s="1"/>
  <c r="B289" i="73" s="1"/>
  <c r="AR22" i="63"/>
  <c r="DI22" i="63"/>
  <c r="BG22" i="63"/>
  <c r="DV22" i="63"/>
  <c r="BV22" i="63"/>
  <c r="EI22" i="63"/>
  <c r="Q231" i="73"/>
  <c r="AR23" i="63"/>
  <c r="DI23" i="63"/>
  <c r="BG23" i="63"/>
  <c r="DV23" i="63"/>
  <c r="BV23" i="63"/>
  <c r="EI23" i="63"/>
  <c r="Q232" i="73"/>
  <c r="AR24" i="63"/>
  <c r="DI24" i="63"/>
  <c r="BG24" i="63"/>
  <c r="DV24" i="63"/>
  <c r="BV24" i="63"/>
  <c r="EI24" i="63"/>
  <c r="Q233" i="73"/>
  <c r="R26" i="73" s="1"/>
  <c r="C292" i="73" s="1"/>
  <c r="AR25" i="63"/>
  <c r="DI25" i="63"/>
  <c r="BG25" i="63"/>
  <c r="DV25" i="63"/>
  <c r="BV25" i="63"/>
  <c r="EI25" i="63"/>
  <c r="Q234" i="73"/>
  <c r="AB27" i="73" s="1"/>
  <c r="AR26" i="63"/>
  <c r="DI26" i="63"/>
  <c r="BG26" i="63"/>
  <c r="DV26" i="63"/>
  <c r="BV26" i="63"/>
  <c r="EI26" i="63"/>
  <c r="Q235" i="73"/>
  <c r="Q28" i="73" s="1"/>
  <c r="B294" i="73" s="1"/>
  <c r="AR27" i="63"/>
  <c r="DI27" i="63"/>
  <c r="BG27" i="63"/>
  <c r="DV27" i="63"/>
  <c r="BV27" i="63"/>
  <c r="EI27" i="63"/>
  <c r="Q236" i="73"/>
  <c r="AB29" i="73" s="1"/>
  <c r="AR28" i="63"/>
  <c r="DI28" i="63"/>
  <c r="BG28" i="63"/>
  <c r="DV28" i="63"/>
  <c r="BV28" i="63"/>
  <c r="EI28" i="63"/>
  <c r="Q237" i="73"/>
  <c r="Q30" i="73" s="1"/>
  <c r="B296" i="73" s="1"/>
  <c r="AR29" i="63"/>
  <c r="DI29" i="63"/>
  <c r="BG29" i="63"/>
  <c r="DV29" i="63"/>
  <c r="BV29" i="63"/>
  <c r="EI29" i="63"/>
  <c r="Q238" i="73"/>
  <c r="AB31" i="73" s="1"/>
  <c r="Q239" i="73"/>
  <c r="E31" i="66" s="1"/>
  <c r="BX35" i="66" s="1"/>
  <c r="AR63" i="63"/>
  <c r="DI63" i="63"/>
  <c r="BG63" i="63"/>
  <c r="DV63" i="63"/>
  <c r="BV63" i="63"/>
  <c r="EI63" i="63"/>
  <c r="S212" i="73"/>
  <c r="X73" i="73" s="1"/>
  <c r="AR64" i="63"/>
  <c r="DI64" i="63"/>
  <c r="BG64" i="63"/>
  <c r="DV64" i="63"/>
  <c r="BV64" i="63"/>
  <c r="EI64" i="63"/>
  <c r="S213" i="73"/>
  <c r="AR65" i="63"/>
  <c r="DI65" i="63"/>
  <c r="BG65" i="63"/>
  <c r="DV65" i="63"/>
  <c r="BV65" i="63"/>
  <c r="EI65" i="63"/>
  <c r="S214" i="73"/>
  <c r="AR66" i="63"/>
  <c r="DI66" i="63"/>
  <c r="BG66" i="63"/>
  <c r="DV66" i="63"/>
  <c r="BV66" i="63"/>
  <c r="EI66" i="63"/>
  <c r="S215" i="73"/>
  <c r="Q76" i="73" s="1"/>
  <c r="B436" i="73" s="1"/>
  <c r="AR67" i="63"/>
  <c r="DI67" i="63"/>
  <c r="BG67" i="63"/>
  <c r="DV67" i="63"/>
  <c r="BV67" i="63"/>
  <c r="EI67" i="63"/>
  <c r="S216" i="73"/>
  <c r="AR68" i="63"/>
  <c r="DI68" i="63"/>
  <c r="BG68" i="63"/>
  <c r="DV68" i="63"/>
  <c r="BV68" i="63"/>
  <c r="EI68" i="63"/>
  <c r="S217" i="73"/>
  <c r="R78" i="73" s="1"/>
  <c r="AR69" i="63"/>
  <c r="DI69" i="63"/>
  <c r="BG69" i="63"/>
  <c r="DV69" i="63"/>
  <c r="BV69" i="63"/>
  <c r="EI69" i="63"/>
  <c r="S218" i="73"/>
  <c r="X79" i="73" s="1"/>
  <c r="I439" i="73" s="1"/>
  <c r="AR70" i="63"/>
  <c r="DI70" i="63"/>
  <c r="BG70" i="63"/>
  <c r="DV70" i="63"/>
  <c r="BV70" i="63"/>
  <c r="EI70" i="63"/>
  <c r="S219" i="73"/>
  <c r="R80" i="73" s="1"/>
  <c r="C440" i="73" s="1"/>
  <c r="AR71" i="63"/>
  <c r="DI71" i="63"/>
  <c r="BG71" i="63"/>
  <c r="DV71" i="63"/>
  <c r="BV71" i="63"/>
  <c r="EI71" i="63"/>
  <c r="S220" i="73"/>
  <c r="V81" i="73" s="1"/>
  <c r="G441" i="73" s="1"/>
  <c r="AR72" i="63"/>
  <c r="DI72" i="63"/>
  <c r="BG72" i="63"/>
  <c r="DV72" i="63"/>
  <c r="BV72" i="63"/>
  <c r="EI72" i="63"/>
  <c r="S221" i="73"/>
  <c r="AR73" i="63"/>
  <c r="DI73" i="63"/>
  <c r="BG73" i="63"/>
  <c r="DV73" i="63"/>
  <c r="BV73" i="63"/>
  <c r="EI73" i="63"/>
  <c r="S222" i="73"/>
  <c r="AR74" i="63"/>
  <c r="DI74" i="63"/>
  <c r="BG74" i="63"/>
  <c r="DV74" i="63"/>
  <c r="BV74" i="63"/>
  <c r="EI74" i="63"/>
  <c r="S223" i="73"/>
  <c r="W84" i="73" s="1"/>
  <c r="H444" i="73" s="1"/>
  <c r="AR75" i="63"/>
  <c r="DI75" i="63"/>
  <c r="BG75" i="63"/>
  <c r="DV75" i="63"/>
  <c r="BV75" i="63"/>
  <c r="EI75" i="63"/>
  <c r="S224" i="73"/>
  <c r="AR76" i="63"/>
  <c r="DI76" i="63"/>
  <c r="BG76" i="63"/>
  <c r="DV76" i="63"/>
  <c r="BV76" i="63"/>
  <c r="EI76" i="63"/>
  <c r="S225" i="73"/>
  <c r="U86" i="73" s="1"/>
  <c r="F446" i="73" s="1"/>
  <c r="AR77" i="63"/>
  <c r="DI77" i="63"/>
  <c r="BG77" i="63"/>
  <c r="DV77" i="63"/>
  <c r="BV77" i="63"/>
  <c r="EI77" i="63"/>
  <c r="S226" i="73"/>
  <c r="K18" i="66" s="1"/>
  <c r="AR78" i="63"/>
  <c r="DI78" i="63"/>
  <c r="BG78" i="63"/>
  <c r="DV78" i="63"/>
  <c r="BV78" i="63"/>
  <c r="EI78" i="63"/>
  <c r="S227" i="73"/>
  <c r="AR79" i="63"/>
  <c r="DI79" i="63"/>
  <c r="BG79" i="63"/>
  <c r="DV79" i="63"/>
  <c r="BV79" i="63"/>
  <c r="EI79" i="63"/>
  <c r="S228" i="73"/>
  <c r="U89" i="73" s="1"/>
  <c r="F449" i="73" s="1"/>
  <c r="AR80" i="63"/>
  <c r="DI80" i="63"/>
  <c r="BG80" i="63"/>
  <c r="DV80" i="63"/>
  <c r="BV80" i="63"/>
  <c r="EI80" i="63"/>
  <c r="S229" i="73"/>
  <c r="AR81" i="63"/>
  <c r="DI81" i="63"/>
  <c r="BG81" i="63"/>
  <c r="DV81" i="63"/>
  <c r="BV81" i="63"/>
  <c r="EI81" i="63"/>
  <c r="S230" i="73"/>
  <c r="AR82" i="63"/>
  <c r="DI82" i="63"/>
  <c r="BG82" i="63"/>
  <c r="DV82" i="63"/>
  <c r="BV82" i="63"/>
  <c r="EI82" i="63"/>
  <c r="S231" i="73"/>
  <c r="S92" i="73" s="1"/>
  <c r="D452" i="73" s="1"/>
  <c r="AR83" i="63"/>
  <c r="DI83" i="63"/>
  <c r="BG83" i="63"/>
  <c r="DV83" i="63"/>
  <c r="BV83" i="63"/>
  <c r="EI83" i="63"/>
  <c r="S232" i="73"/>
  <c r="AR84" i="63"/>
  <c r="DI84" i="63"/>
  <c r="BG84" i="63"/>
  <c r="DV84" i="63"/>
  <c r="BV84" i="63"/>
  <c r="EI84" i="63"/>
  <c r="S233" i="73"/>
  <c r="V94" i="73" s="1"/>
  <c r="G454" i="73" s="1"/>
  <c r="AR85" i="63"/>
  <c r="DI85" i="63"/>
  <c r="BG85" i="63"/>
  <c r="DV85" i="63"/>
  <c r="BV85" i="63"/>
  <c r="EI85" i="63"/>
  <c r="S234" i="73"/>
  <c r="T95" i="73" s="1"/>
  <c r="E455" i="73" s="1"/>
  <c r="AR86" i="63"/>
  <c r="DI86" i="63"/>
  <c r="BG86" i="63"/>
  <c r="DV86" i="63"/>
  <c r="BV86" i="63"/>
  <c r="EI86" i="63"/>
  <c r="S235" i="73"/>
  <c r="AR87" i="63"/>
  <c r="DI87" i="63"/>
  <c r="BG87" i="63"/>
  <c r="DV87" i="63"/>
  <c r="BV87" i="63"/>
  <c r="EI87" i="63"/>
  <c r="S236" i="73"/>
  <c r="X97" i="73" s="1"/>
  <c r="I457" i="73" s="1"/>
  <c r="AR88" i="63"/>
  <c r="DI88" i="63"/>
  <c r="BG88" i="63"/>
  <c r="DV88" i="63"/>
  <c r="BV88" i="63"/>
  <c r="EI88" i="63"/>
  <c r="S237" i="73"/>
  <c r="X98" i="73" s="1"/>
  <c r="I458" i="73" s="1"/>
  <c r="AR89" i="63"/>
  <c r="DI89" i="63"/>
  <c r="BG89" i="63"/>
  <c r="DV89" i="63"/>
  <c r="BV89" i="63"/>
  <c r="EI89" i="63"/>
  <c r="S238" i="73"/>
  <c r="S239" i="73"/>
  <c r="K31" i="66" s="1"/>
  <c r="BX41" i="66" s="1"/>
  <c r="AR153" i="63"/>
  <c r="DI153" i="63"/>
  <c r="BG153" i="63"/>
  <c r="DV153" i="63"/>
  <c r="BV153" i="63"/>
  <c r="EI153" i="63"/>
  <c r="V212" i="73"/>
  <c r="Z177" i="73" s="1"/>
  <c r="AR154" i="63"/>
  <c r="DI154" i="63"/>
  <c r="BG154" i="63"/>
  <c r="DV154" i="63"/>
  <c r="BV154" i="63"/>
  <c r="EI154" i="63"/>
  <c r="V213" i="73"/>
  <c r="AR155" i="63"/>
  <c r="DI155" i="63"/>
  <c r="BG155" i="63"/>
  <c r="DV155" i="63"/>
  <c r="BV155" i="63"/>
  <c r="EI155" i="63"/>
  <c r="V214" i="73"/>
  <c r="AA179" i="73" s="1"/>
  <c r="L678" i="73" s="1"/>
  <c r="AR156" i="63"/>
  <c r="DI156" i="63"/>
  <c r="BG156" i="63"/>
  <c r="DV156" i="63"/>
  <c r="BV156" i="63"/>
  <c r="EI156" i="63"/>
  <c r="V215" i="73"/>
  <c r="T6" i="66" s="1"/>
  <c r="AR157" i="63"/>
  <c r="DI157" i="63"/>
  <c r="BG157" i="63"/>
  <c r="DV157" i="63"/>
  <c r="BV157" i="63"/>
  <c r="EI157" i="63"/>
  <c r="V216" i="73"/>
  <c r="T8" i="66" s="1"/>
  <c r="AR158" i="63"/>
  <c r="DI158" i="63"/>
  <c r="BG158" i="63"/>
  <c r="DV158" i="63"/>
  <c r="BV158" i="63"/>
  <c r="EI158" i="63"/>
  <c r="V217" i="73"/>
  <c r="Q182" i="73" s="1"/>
  <c r="B681" i="73" s="1"/>
  <c r="AR159" i="63"/>
  <c r="DI159" i="63"/>
  <c r="BG159" i="63"/>
  <c r="DV159" i="63"/>
  <c r="BV159" i="63"/>
  <c r="EI159" i="63"/>
  <c r="V218" i="73"/>
  <c r="R183" i="73" s="1"/>
  <c r="C682" i="73" s="1"/>
  <c r="AR160" i="63"/>
  <c r="DI160" i="63"/>
  <c r="BG160" i="63"/>
  <c r="DV160" i="63"/>
  <c r="BV160" i="63"/>
  <c r="EI160" i="63"/>
  <c r="V219" i="73"/>
  <c r="AR161" i="63"/>
  <c r="DI161" i="63"/>
  <c r="BG161" i="63"/>
  <c r="DV161" i="63"/>
  <c r="BV161" i="63"/>
  <c r="EI161" i="63"/>
  <c r="V220" i="73"/>
  <c r="Y185" i="73" s="1"/>
  <c r="J684" i="73" s="1"/>
  <c r="AR162" i="63"/>
  <c r="DI162" i="63"/>
  <c r="BG162" i="63"/>
  <c r="DV162" i="63"/>
  <c r="BV162" i="63"/>
  <c r="EI162" i="63"/>
  <c r="V221" i="73"/>
  <c r="AR163" i="63"/>
  <c r="DI163" i="63"/>
  <c r="BG163" i="63"/>
  <c r="DV163" i="63"/>
  <c r="BV163" i="63"/>
  <c r="EI163" i="63"/>
  <c r="V222" i="73"/>
  <c r="Z187" i="73" s="1"/>
  <c r="K686" i="73" s="1"/>
  <c r="AR164" i="63"/>
  <c r="DI164" i="63"/>
  <c r="BG164" i="63"/>
  <c r="DV164" i="63"/>
  <c r="BV164" i="63"/>
  <c r="EI164" i="63"/>
  <c r="V223" i="73"/>
  <c r="AR165" i="63"/>
  <c r="DI165" i="63"/>
  <c r="BG165" i="63"/>
  <c r="DV165" i="63"/>
  <c r="BV165" i="63"/>
  <c r="EI165" i="63"/>
  <c r="V224" i="73"/>
  <c r="AA189" i="73" s="1"/>
  <c r="L688" i="73" s="1"/>
  <c r="AR166" i="63"/>
  <c r="DI166" i="63"/>
  <c r="BG166" i="63"/>
  <c r="DV166" i="63"/>
  <c r="BV166" i="63"/>
  <c r="EI166" i="63"/>
  <c r="V225" i="73"/>
  <c r="AR167" i="63"/>
  <c r="DI167" i="63"/>
  <c r="BG167" i="63"/>
  <c r="DV167" i="63"/>
  <c r="BV167" i="63"/>
  <c r="EI167" i="63"/>
  <c r="V226" i="73"/>
  <c r="X191" i="73" s="1"/>
  <c r="I690" i="73" s="1"/>
  <c r="AR168" i="63"/>
  <c r="DI168" i="63"/>
  <c r="BG168" i="63"/>
  <c r="DV168" i="63"/>
  <c r="BV168" i="63"/>
  <c r="EI168" i="63"/>
  <c r="V227" i="73"/>
  <c r="S192" i="73" s="1"/>
  <c r="D691" i="73" s="1"/>
  <c r="AR169" i="63"/>
  <c r="DI169" i="63"/>
  <c r="BG169" i="63"/>
  <c r="DV169" i="63"/>
  <c r="BV169" i="63"/>
  <c r="EI169" i="63"/>
  <c r="V228" i="73"/>
  <c r="Y193" i="73" s="1"/>
  <c r="J692" i="73" s="1"/>
  <c r="AR170" i="63"/>
  <c r="DI170" i="63"/>
  <c r="BG170" i="63"/>
  <c r="DV170" i="63"/>
  <c r="BV170" i="63"/>
  <c r="EI170" i="63"/>
  <c r="V229" i="73"/>
  <c r="AR171" i="63"/>
  <c r="DI171" i="63"/>
  <c r="BG171" i="63"/>
  <c r="DV171" i="63"/>
  <c r="BV171" i="63"/>
  <c r="EI171" i="63"/>
  <c r="V230" i="73"/>
  <c r="AA195" i="73" s="1"/>
  <c r="L694" i="73" s="1"/>
  <c r="AR172" i="63"/>
  <c r="DI172" i="63"/>
  <c r="BG172" i="63"/>
  <c r="DV172" i="63"/>
  <c r="BV172" i="63"/>
  <c r="EI172" i="63"/>
  <c r="V231" i="73"/>
  <c r="AR173" i="63"/>
  <c r="DI173" i="63"/>
  <c r="BG173" i="63"/>
  <c r="DV173" i="63"/>
  <c r="BV173" i="63"/>
  <c r="EI173" i="63"/>
  <c r="V232" i="73"/>
  <c r="V197" i="73" s="1"/>
  <c r="G696" i="73" s="1"/>
  <c r="AR174" i="63"/>
  <c r="DI174" i="63"/>
  <c r="BG174" i="63"/>
  <c r="DV174" i="63"/>
  <c r="BV174" i="63"/>
  <c r="EI174" i="63"/>
  <c r="V233" i="73"/>
  <c r="AA198" i="73" s="1"/>
  <c r="L697" i="73" s="1"/>
  <c r="AR175" i="63"/>
  <c r="DI175" i="63"/>
  <c r="BG175" i="63"/>
  <c r="DV175" i="63"/>
  <c r="BV175" i="63"/>
  <c r="EI175" i="63"/>
  <c r="V234" i="73"/>
  <c r="Q199" i="73" s="1"/>
  <c r="B698" i="73" s="1"/>
  <c r="AR176" i="63"/>
  <c r="DI176" i="63"/>
  <c r="BG176" i="63"/>
  <c r="DV176" i="63"/>
  <c r="BV176" i="63"/>
  <c r="EI176" i="63"/>
  <c r="V235" i="73"/>
  <c r="Y200" i="73" s="1"/>
  <c r="J699" i="73" s="1"/>
  <c r="AR177" i="63"/>
  <c r="DI177" i="63"/>
  <c r="BG177" i="63"/>
  <c r="DV177" i="63"/>
  <c r="BV177" i="63"/>
  <c r="EI177" i="63"/>
  <c r="V236" i="73"/>
  <c r="W201" i="73" s="1"/>
  <c r="H700" i="73" s="1"/>
  <c r="AR178" i="63"/>
  <c r="DI178" i="63"/>
  <c r="BG178" i="63"/>
  <c r="DV178" i="63"/>
  <c r="BV178" i="63"/>
  <c r="EI178" i="63"/>
  <c r="V237" i="73"/>
  <c r="AR179" i="63"/>
  <c r="DI179" i="63"/>
  <c r="BG179" i="63"/>
  <c r="DV179" i="63"/>
  <c r="BV179" i="63"/>
  <c r="EI179" i="63"/>
  <c r="V238" i="73"/>
  <c r="S203" i="73" s="1"/>
  <c r="D702" i="73" s="1"/>
  <c r="V239" i="73"/>
  <c r="H40" i="112"/>
  <c r="I40" i="112"/>
  <c r="J40" i="112"/>
  <c r="K40" i="112"/>
  <c r="L40" i="112"/>
  <c r="M40" i="112"/>
  <c r="N40" i="112"/>
  <c r="P40" i="112"/>
  <c r="Q40" i="112"/>
  <c r="H41" i="112"/>
  <c r="I41" i="112"/>
  <c r="J41" i="112"/>
  <c r="K41" i="112"/>
  <c r="L41" i="112"/>
  <c r="M41" i="112"/>
  <c r="N41" i="112"/>
  <c r="O41" i="112"/>
  <c r="P41" i="112"/>
  <c r="Q41" i="112"/>
  <c r="H42" i="112"/>
  <c r="I42" i="112"/>
  <c r="J42" i="112"/>
  <c r="K42" i="112"/>
  <c r="L42" i="112"/>
  <c r="M42" i="112"/>
  <c r="N42" i="112"/>
  <c r="O42" i="112"/>
  <c r="P42" i="112"/>
  <c r="Q42" i="112"/>
  <c r="H43" i="112"/>
  <c r="I43" i="112"/>
  <c r="J43" i="112"/>
  <c r="K43" i="112"/>
  <c r="L43" i="112"/>
  <c r="M43" i="112"/>
  <c r="N43" i="112"/>
  <c r="H44" i="112"/>
  <c r="I44" i="112"/>
  <c r="J44" i="112"/>
  <c r="K44" i="112"/>
  <c r="L44" i="112"/>
  <c r="M44" i="112"/>
  <c r="N44" i="112"/>
  <c r="O44" i="112"/>
  <c r="P44" i="112"/>
  <c r="Q44" i="112"/>
  <c r="H45" i="112"/>
  <c r="I45" i="112"/>
  <c r="J45" i="112"/>
  <c r="K45" i="112"/>
  <c r="L45" i="112"/>
  <c r="M45" i="112"/>
  <c r="N45" i="112"/>
  <c r="O45" i="112"/>
  <c r="P45" i="112"/>
  <c r="Q45" i="112"/>
  <c r="H46" i="112"/>
  <c r="I46" i="112"/>
  <c r="J46" i="112"/>
  <c r="K46" i="112"/>
  <c r="L46" i="112"/>
  <c r="M46" i="112"/>
  <c r="N46" i="112"/>
  <c r="O46" i="112"/>
  <c r="P46" i="112"/>
  <c r="Q46" i="112"/>
  <c r="H47" i="112"/>
  <c r="I47" i="112"/>
  <c r="J47" i="112"/>
  <c r="K47" i="112"/>
  <c r="L47" i="112"/>
  <c r="M47" i="112"/>
  <c r="N47" i="112"/>
  <c r="P47" i="112"/>
  <c r="Q47" i="112"/>
  <c r="H48" i="112"/>
  <c r="I48" i="112"/>
  <c r="J48" i="112"/>
  <c r="K48" i="112"/>
  <c r="L48" i="112"/>
  <c r="M48" i="112"/>
  <c r="N48" i="112"/>
  <c r="O48" i="112"/>
  <c r="P48" i="112"/>
  <c r="Q48" i="112"/>
  <c r="H49" i="112"/>
  <c r="I49" i="112"/>
  <c r="J49" i="112"/>
  <c r="K49" i="112"/>
  <c r="L49" i="112"/>
  <c r="M49" i="112"/>
  <c r="N49" i="112"/>
  <c r="O49" i="112"/>
  <c r="P49" i="112"/>
  <c r="Q49" i="112"/>
  <c r="H50" i="112"/>
  <c r="I50" i="112"/>
  <c r="J50" i="112"/>
  <c r="K50" i="112"/>
  <c r="L50" i="112"/>
  <c r="M50" i="112"/>
  <c r="N50" i="112"/>
  <c r="O50" i="112"/>
  <c r="P50" i="112"/>
  <c r="Q50" i="112"/>
  <c r="H51" i="112"/>
  <c r="I51" i="112"/>
  <c r="J51" i="112"/>
  <c r="K51" i="112"/>
  <c r="L51" i="112"/>
  <c r="M51" i="112"/>
  <c r="N51" i="112"/>
  <c r="P51" i="112"/>
  <c r="Q51" i="112"/>
  <c r="H52" i="112"/>
  <c r="I52" i="112"/>
  <c r="J52" i="112"/>
  <c r="K52" i="112"/>
  <c r="L52" i="112"/>
  <c r="M52" i="112"/>
  <c r="N52" i="112"/>
  <c r="O52" i="112"/>
  <c r="P52" i="112"/>
  <c r="Q52" i="112"/>
  <c r="H53" i="112"/>
  <c r="I53" i="112"/>
  <c r="J53" i="112"/>
  <c r="K53" i="112"/>
  <c r="L53" i="112"/>
  <c r="M53" i="112"/>
  <c r="N53" i="112"/>
  <c r="O53" i="112"/>
  <c r="P53" i="112"/>
  <c r="Q53" i="112"/>
  <c r="H54" i="112"/>
  <c r="I54" i="112"/>
  <c r="J54" i="112"/>
  <c r="K54" i="112"/>
  <c r="L54" i="112"/>
  <c r="M54" i="112"/>
  <c r="N54" i="112"/>
  <c r="O54" i="112"/>
  <c r="P54" i="112"/>
  <c r="Q54" i="112"/>
  <c r="H55" i="112"/>
  <c r="I55" i="112"/>
  <c r="J55" i="112"/>
  <c r="K55" i="112"/>
  <c r="L55" i="112"/>
  <c r="M55" i="112"/>
  <c r="N55" i="112"/>
  <c r="P55" i="112"/>
  <c r="Q55" i="112"/>
  <c r="H56" i="112"/>
  <c r="I56" i="112"/>
  <c r="J56" i="112"/>
  <c r="K56" i="112"/>
  <c r="L56" i="112"/>
  <c r="M56" i="112"/>
  <c r="N56" i="112"/>
  <c r="O56" i="112"/>
  <c r="P56" i="112"/>
  <c r="Q56" i="112"/>
  <c r="H57" i="112"/>
  <c r="I57" i="112"/>
  <c r="J57" i="112"/>
  <c r="K57" i="112"/>
  <c r="L57" i="112"/>
  <c r="M57" i="112"/>
  <c r="N57" i="112"/>
  <c r="O57" i="112"/>
  <c r="H58" i="112"/>
  <c r="I58" i="112"/>
  <c r="J58" i="112"/>
  <c r="K58" i="112"/>
  <c r="L58" i="112"/>
  <c r="M58" i="112"/>
  <c r="N58" i="112"/>
  <c r="O58" i="112"/>
  <c r="P58" i="112"/>
  <c r="Q58" i="112"/>
  <c r="H59" i="112"/>
  <c r="I59" i="112"/>
  <c r="J59" i="112"/>
  <c r="K59" i="112"/>
  <c r="L59" i="112"/>
  <c r="M59" i="112"/>
  <c r="N59" i="112"/>
  <c r="P59" i="112"/>
  <c r="Q59" i="112"/>
  <c r="H60" i="112"/>
  <c r="I60" i="112"/>
  <c r="J60" i="112"/>
  <c r="K60" i="112"/>
  <c r="L60" i="112"/>
  <c r="M60" i="112"/>
  <c r="N60" i="112"/>
  <c r="O60" i="112"/>
  <c r="P60" i="112"/>
  <c r="Q60" i="112"/>
  <c r="H61" i="112"/>
  <c r="I61" i="112"/>
  <c r="J61" i="112"/>
  <c r="K61" i="112"/>
  <c r="L61" i="112"/>
  <c r="M61" i="112"/>
  <c r="N61" i="112"/>
  <c r="O61" i="112"/>
  <c r="P61" i="112"/>
  <c r="Q61" i="112"/>
  <c r="H62" i="112"/>
  <c r="I62" i="112"/>
  <c r="J62" i="112"/>
  <c r="K62" i="112"/>
  <c r="L62" i="112"/>
  <c r="M62" i="112"/>
  <c r="N62" i="112"/>
  <c r="O62" i="112"/>
  <c r="P62" i="112"/>
  <c r="Q62" i="112"/>
  <c r="H63" i="112"/>
  <c r="I63" i="112"/>
  <c r="J63" i="112"/>
  <c r="K63" i="112"/>
  <c r="L63" i="112"/>
  <c r="M63" i="112"/>
  <c r="N63" i="112"/>
  <c r="P63" i="112"/>
  <c r="Q63" i="112"/>
  <c r="H64" i="112"/>
  <c r="I64" i="112"/>
  <c r="J64" i="112"/>
  <c r="K64" i="112"/>
  <c r="L64" i="112"/>
  <c r="M64" i="112"/>
  <c r="N64" i="112"/>
  <c r="O64" i="112"/>
  <c r="H65" i="112"/>
  <c r="I65" i="112"/>
  <c r="J65" i="112"/>
  <c r="K65" i="112"/>
  <c r="L65" i="112"/>
  <c r="M65" i="112"/>
  <c r="N65" i="112"/>
  <c r="O65" i="112"/>
  <c r="P65" i="112"/>
  <c r="Q65" i="112"/>
  <c r="H66" i="112"/>
  <c r="I66" i="112"/>
  <c r="J66" i="112"/>
  <c r="K66" i="112"/>
  <c r="L66" i="112"/>
  <c r="M66" i="112"/>
  <c r="N66" i="112"/>
  <c r="O66" i="112"/>
  <c r="P66" i="112"/>
  <c r="Q66" i="112"/>
  <c r="H6" i="112"/>
  <c r="I6" i="112"/>
  <c r="J6" i="112"/>
  <c r="K6" i="112"/>
  <c r="L6" i="112"/>
  <c r="M6" i="112"/>
  <c r="N6" i="112"/>
  <c r="O6" i="112"/>
  <c r="P6" i="112"/>
  <c r="Q6" i="112"/>
  <c r="H7" i="112"/>
  <c r="I7" i="112"/>
  <c r="J7" i="112"/>
  <c r="K7" i="112"/>
  <c r="L7" i="112"/>
  <c r="M7" i="112"/>
  <c r="N7" i="112"/>
  <c r="O7" i="112"/>
  <c r="P7" i="112"/>
  <c r="Q7" i="112"/>
  <c r="H8" i="112"/>
  <c r="I8" i="112"/>
  <c r="J8" i="112"/>
  <c r="K8" i="112"/>
  <c r="L8" i="112"/>
  <c r="M8" i="112"/>
  <c r="N8" i="112"/>
  <c r="P8" i="112"/>
  <c r="Q8" i="112"/>
  <c r="H9" i="112"/>
  <c r="I9" i="112"/>
  <c r="J9" i="112"/>
  <c r="K9" i="112"/>
  <c r="L9" i="112"/>
  <c r="M9" i="112"/>
  <c r="N9" i="112"/>
  <c r="O9" i="112"/>
  <c r="P9" i="112"/>
  <c r="Q9" i="112"/>
  <c r="H10" i="112"/>
  <c r="I10" i="112"/>
  <c r="J10" i="112"/>
  <c r="K10" i="112"/>
  <c r="L10" i="112"/>
  <c r="M10" i="112"/>
  <c r="N10" i="112"/>
  <c r="O10" i="112"/>
  <c r="P10" i="112"/>
  <c r="Q10" i="112"/>
  <c r="H11" i="112"/>
  <c r="I11" i="112"/>
  <c r="J11" i="112"/>
  <c r="K11" i="112"/>
  <c r="L11" i="112"/>
  <c r="M11" i="112"/>
  <c r="N11" i="112"/>
  <c r="O11" i="112"/>
  <c r="P11" i="112"/>
  <c r="Q11" i="112"/>
  <c r="H12" i="112"/>
  <c r="I12" i="112"/>
  <c r="J12" i="112"/>
  <c r="K12" i="112"/>
  <c r="L12" i="112"/>
  <c r="M12" i="112"/>
  <c r="N12" i="112"/>
  <c r="P12" i="112"/>
  <c r="Q12" i="112"/>
  <c r="H13" i="112"/>
  <c r="I13" i="112"/>
  <c r="J13" i="112"/>
  <c r="K13" i="112"/>
  <c r="L13" i="112"/>
  <c r="M13" i="112"/>
  <c r="N13" i="112"/>
  <c r="O13" i="112"/>
  <c r="P13" i="112"/>
  <c r="Q13" i="112"/>
  <c r="H14" i="112"/>
  <c r="I14" i="112"/>
  <c r="J14" i="112"/>
  <c r="K14" i="112"/>
  <c r="L14" i="112"/>
  <c r="M14" i="112"/>
  <c r="N14" i="112"/>
  <c r="O14" i="112"/>
  <c r="P14" i="112"/>
  <c r="Q14" i="112"/>
  <c r="H15" i="112"/>
  <c r="I15" i="112"/>
  <c r="J15" i="112"/>
  <c r="K15" i="112"/>
  <c r="L15" i="112"/>
  <c r="M15" i="112"/>
  <c r="N15" i="112"/>
  <c r="O15" i="112"/>
  <c r="P15" i="112"/>
  <c r="Q15" i="112"/>
  <c r="H16" i="112"/>
  <c r="I16" i="112"/>
  <c r="J16" i="112"/>
  <c r="K16" i="112"/>
  <c r="L16" i="112"/>
  <c r="M16" i="112"/>
  <c r="N16" i="112"/>
  <c r="P16" i="112"/>
  <c r="Q16" i="112"/>
  <c r="H17" i="112"/>
  <c r="I17" i="112"/>
  <c r="J17" i="112"/>
  <c r="K17" i="112"/>
  <c r="L17" i="112"/>
  <c r="M17" i="112"/>
  <c r="N17" i="112"/>
  <c r="O17" i="112"/>
  <c r="P17" i="112"/>
  <c r="Q17" i="112"/>
  <c r="H18" i="112"/>
  <c r="I18" i="112"/>
  <c r="J18" i="112"/>
  <c r="K18" i="112"/>
  <c r="L18" i="112"/>
  <c r="M18" i="112"/>
  <c r="N18" i="112"/>
  <c r="O18" i="112"/>
  <c r="P18" i="112"/>
  <c r="Q18" i="112"/>
  <c r="H19" i="112"/>
  <c r="I19" i="112"/>
  <c r="J19" i="112"/>
  <c r="K19" i="112"/>
  <c r="L19" i="112"/>
  <c r="M19" i="112"/>
  <c r="N19" i="112"/>
  <c r="O19" i="112"/>
  <c r="P19" i="112"/>
  <c r="Q19" i="112"/>
  <c r="H20" i="112"/>
  <c r="I20" i="112"/>
  <c r="J20" i="112"/>
  <c r="K20" i="112"/>
  <c r="L20" i="112"/>
  <c r="M20" i="112"/>
  <c r="N20" i="112"/>
  <c r="P20" i="112"/>
  <c r="Q20" i="112"/>
  <c r="H21" i="112"/>
  <c r="I21" i="112"/>
  <c r="J21" i="112"/>
  <c r="K21" i="112"/>
  <c r="L21" i="112"/>
  <c r="M21" i="112"/>
  <c r="N21" i="112"/>
  <c r="O21" i="112"/>
  <c r="P21" i="112"/>
  <c r="Q21" i="112"/>
  <c r="H22" i="112"/>
  <c r="I22" i="112"/>
  <c r="J22" i="112"/>
  <c r="K22" i="112"/>
  <c r="L22" i="112"/>
  <c r="M22" i="112"/>
  <c r="N22" i="112"/>
  <c r="O22" i="112"/>
  <c r="H23" i="112"/>
  <c r="I23" i="112"/>
  <c r="J23" i="112"/>
  <c r="K23" i="112"/>
  <c r="L23" i="112"/>
  <c r="M23" i="112"/>
  <c r="N23" i="112"/>
  <c r="O23" i="112"/>
  <c r="P23" i="112"/>
  <c r="Q23" i="112"/>
  <c r="H24" i="112"/>
  <c r="I24" i="112"/>
  <c r="J24" i="112"/>
  <c r="K24" i="112"/>
  <c r="L24" i="112"/>
  <c r="M24" i="112"/>
  <c r="N24" i="112"/>
  <c r="P24" i="112"/>
  <c r="Q24" i="112"/>
  <c r="H25" i="112"/>
  <c r="I25" i="112"/>
  <c r="J25" i="112"/>
  <c r="K25" i="112"/>
  <c r="L25" i="112"/>
  <c r="M25" i="112"/>
  <c r="N25" i="112"/>
  <c r="O25" i="112"/>
  <c r="P25" i="112"/>
  <c r="Q25" i="112"/>
  <c r="H26" i="112"/>
  <c r="I26" i="112"/>
  <c r="J26" i="112"/>
  <c r="K26" i="112"/>
  <c r="L26" i="112"/>
  <c r="M26" i="112"/>
  <c r="N26" i="112"/>
  <c r="O26" i="112"/>
  <c r="P26" i="112"/>
  <c r="Q26" i="112"/>
  <c r="H27" i="112"/>
  <c r="I27" i="112"/>
  <c r="J27" i="112"/>
  <c r="K27" i="112"/>
  <c r="L27" i="112"/>
  <c r="M27" i="112"/>
  <c r="N27" i="112"/>
  <c r="O27" i="112"/>
  <c r="P27" i="112"/>
  <c r="Q27" i="112"/>
  <c r="H28" i="112"/>
  <c r="I28" i="112"/>
  <c r="J28" i="112"/>
  <c r="K28" i="112"/>
  <c r="L28" i="112"/>
  <c r="M28" i="112"/>
  <c r="N28" i="112"/>
  <c r="P28" i="112"/>
  <c r="Q28" i="112"/>
  <c r="H29" i="112"/>
  <c r="I29" i="112"/>
  <c r="J29" i="112"/>
  <c r="K29" i="112"/>
  <c r="L29" i="112"/>
  <c r="M29" i="112"/>
  <c r="N29" i="112"/>
  <c r="O29" i="112"/>
  <c r="P29" i="112"/>
  <c r="Q29" i="112"/>
  <c r="H30" i="112"/>
  <c r="I30" i="112"/>
  <c r="J30" i="112"/>
  <c r="K30" i="112"/>
  <c r="L30" i="112"/>
  <c r="M30" i="112"/>
  <c r="N30" i="112"/>
  <c r="O30" i="112"/>
  <c r="P30" i="112"/>
  <c r="Q30" i="112"/>
  <c r="H31" i="112"/>
  <c r="I31" i="112"/>
  <c r="J31" i="112"/>
  <c r="K31" i="112"/>
  <c r="L31" i="112"/>
  <c r="M31" i="112"/>
  <c r="N31" i="112"/>
  <c r="O31" i="112"/>
  <c r="P31" i="112"/>
  <c r="Q31" i="112"/>
  <c r="F40" i="112"/>
  <c r="G40" i="112"/>
  <c r="F41" i="112"/>
  <c r="G41" i="112"/>
  <c r="F42" i="112"/>
  <c r="G42" i="112"/>
  <c r="F43" i="112"/>
  <c r="G43" i="112"/>
  <c r="W43" i="112"/>
  <c r="F44" i="112"/>
  <c r="G44" i="112"/>
  <c r="F45" i="112"/>
  <c r="G45" i="112"/>
  <c r="F46" i="112"/>
  <c r="G46" i="112"/>
  <c r="F47" i="112"/>
  <c r="G47" i="112"/>
  <c r="W47" i="112"/>
  <c r="F48" i="112"/>
  <c r="G48" i="112"/>
  <c r="F49" i="112"/>
  <c r="G49" i="112"/>
  <c r="F50" i="112"/>
  <c r="G50" i="112"/>
  <c r="F51" i="112"/>
  <c r="G51" i="112"/>
  <c r="F52" i="112"/>
  <c r="G52" i="112"/>
  <c r="F53" i="112"/>
  <c r="G53" i="112"/>
  <c r="F54" i="112"/>
  <c r="G54" i="112"/>
  <c r="F55" i="112"/>
  <c r="G55" i="112"/>
  <c r="F56" i="112"/>
  <c r="G56" i="112"/>
  <c r="F57" i="112"/>
  <c r="G57" i="112"/>
  <c r="W57" i="112"/>
  <c r="F58" i="112"/>
  <c r="G58" i="112"/>
  <c r="F59" i="112"/>
  <c r="G59" i="112"/>
  <c r="F60" i="112"/>
  <c r="G60" i="112"/>
  <c r="F61" i="112"/>
  <c r="G61" i="112"/>
  <c r="F62" i="112"/>
  <c r="G62" i="112"/>
  <c r="F63" i="112"/>
  <c r="G63" i="112"/>
  <c r="F64" i="112"/>
  <c r="G64" i="112"/>
  <c r="F65" i="112"/>
  <c r="G65" i="112"/>
  <c r="F66" i="112"/>
  <c r="G66" i="112"/>
  <c r="F6" i="112"/>
  <c r="G6" i="112"/>
  <c r="F7" i="112"/>
  <c r="G7" i="112"/>
  <c r="F8" i="112"/>
  <c r="G8" i="112"/>
  <c r="F9" i="112"/>
  <c r="G9" i="112"/>
  <c r="F10" i="112"/>
  <c r="G10" i="112"/>
  <c r="W10" i="112"/>
  <c r="F11" i="112"/>
  <c r="G11" i="112"/>
  <c r="F12" i="112"/>
  <c r="G12" i="112"/>
  <c r="W12" i="112"/>
  <c r="F13" i="112"/>
  <c r="G13" i="112"/>
  <c r="F14" i="112"/>
  <c r="G14" i="112"/>
  <c r="F15" i="112"/>
  <c r="G15" i="112"/>
  <c r="F16" i="112"/>
  <c r="G16" i="112"/>
  <c r="F17" i="112"/>
  <c r="G17" i="112"/>
  <c r="W17" i="112"/>
  <c r="F18" i="112"/>
  <c r="G18" i="112"/>
  <c r="F19" i="112"/>
  <c r="G19" i="112"/>
  <c r="F20" i="112"/>
  <c r="G20" i="112"/>
  <c r="F21" i="112"/>
  <c r="G21" i="112"/>
  <c r="F22" i="112"/>
  <c r="G22" i="112"/>
  <c r="F23" i="112"/>
  <c r="G23" i="112"/>
  <c r="F24" i="112"/>
  <c r="G24" i="112"/>
  <c r="W24" i="112"/>
  <c r="F25" i="112"/>
  <c r="G25" i="112"/>
  <c r="F26" i="112"/>
  <c r="G26" i="112"/>
  <c r="F27" i="112"/>
  <c r="G27" i="112"/>
  <c r="F28" i="112"/>
  <c r="G28" i="112"/>
  <c r="F29" i="112"/>
  <c r="G29" i="112"/>
  <c r="F30" i="112"/>
  <c r="G30" i="112"/>
  <c r="F31" i="112"/>
  <c r="G31" i="112"/>
  <c r="F5" i="112"/>
  <c r="G5" i="112"/>
  <c r="E40" i="112"/>
  <c r="V40" i="112"/>
  <c r="E41" i="112"/>
  <c r="V41" i="112"/>
  <c r="E42" i="112"/>
  <c r="V42" i="112"/>
  <c r="E43" i="112"/>
  <c r="V43" i="112"/>
  <c r="E44" i="112"/>
  <c r="V44" i="112"/>
  <c r="E45" i="112"/>
  <c r="V45" i="112"/>
  <c r="E46" i="112"/>
  <c r="V46" i="112"/>
  <c r="E47" i="112"/>
  <c r="V47" i="112"/>
  <c r="E48" i="112"/>
  <c r="V48" i="112"/>
  <c r="E49" i="112"/>
  <c r="V49" i="112"/>
  <c r="E50" i="112"/>
  <c r="V50" i="112"/>
  <c r="E51" i="112"/>
  <c r="V51" i="112"/>
  <c r="E52" i="112"/>
  <c r="V52" i="112"/>
  <c r="E53" i="112"/>
  <c r="V53" i="112"/>
  <c r="E54" i="112"/>
  <c r="V54" i="112"/>
  <c r="E55" i="112"/>
  <c r="V55" i="112"/>
  <c r="E56" i="112"/>
  <c r="V56" i="112"/>
  <c r="E57" i="112"/>
  <c r="V57" i="112"/>
  <c r="E58" i="112"/>
  <c r="V58" i="112"/>
  <c r="E59" i="112"/>
  <c r="V59" i="112"/>
  <c r="E60" i="112"/>
  <c r="V60" i="112"/>
  <c r="E61" i="112"/>
  <c r="V61" i="112"/>
  <c r="E62" i="112"/>
  <c r="V62" i="112"/>
  <c r="E63" i="112"/>
  <c r="V63" i="112"/>
  <c r="E64" i="112"/>
  <c r="V64" i="112"/>
  <c r="E65" i="112"/>
  <c r="V65" i="112"/>
  <c r="E66" i="112"/>
  <c r="V66" i="112"/>
  <c r="E6" i="112"/>
  <c r="V6" i="112"/>
  <c r="E7" i="112"/>
  <c r="V7" i="112"/>
  <c r="E8" i="112"/>
  <c r="V8" i="112"/>
  <c r="E9" i="112"/>
  <c r="V9" i="112"/>
  <c r="CK7" i="126"/>
  <c r="E10" i="112"/>
  <c r="V10" i="112"/>
  <c r="E11" i="112"/>
  <c r="V11" i="112"/>
  <c r="E12" i="112"/>
  <c r="V12" i="112"/>
  <c r="E13" i="112"/>
  <c r="V13" i="112"/>
  <c r="E14" i="112"/>
  <c r="V14" i="112"/>
  <c r="E15" i="112"/>
  <c r="V15" i="112"/>
  <c r="E16" i="112"/>
  <c r="V16" i="112"/>
  <c r="E17" i="112"/>
  <c r="V17" i="112"/>
  <c r="E18" i="112"/>
  <c r="V18" i="112"/>
  <c r="E19" i="112"/>
  <c r="V19" i="112"/>
  <c r="E20" i="112"/>
  <c r="V20" i="112"/>
  <c r="E21" i="112"/>
  <c r="V21" i="112"/>
  <c r="E22" i="112"/>
  <c r="V22" i="112"/>
  <c r="E23" i="112"/>
  <c r="V23" i="112"/>
  <c r="E24" i="112"/>
  <c r="V24" i="112"/>
  <c r="E25" i="112"/>
  <c r="V25" i="112"/>
  <c r="E26" i="112"/>
  <c r="V26" i="112"/>
  <c r="E27" i="112"/>
  <c r="V27" i="112"/>
  <c r="E28" i="112"/>
  <c r="V28" i="112"/>
  <c r="E29" i="112"/>
  <c r="V29" i="112"/>
  <c r="E30" i="112"/>
  <c r="V30" i="112"/>
  <c r="E31" i="112"/>
  <c r="V31" i="112"/>
  <c r="E5" i="112"/>
  <c r="V5" i="112"/>
  <c r="D40" i="112"/>
  <c r="U40" i="112"/>
  <c r="D41" i="112"/>
  <c r="U41" i="112"/>
  <c r="D42" i="112"/>
  <c r="U42" i="112"/>
  <c r="D43" i="112"/>
  <c r="U43" i="112"/>
  <c r="D44" i="112"/>
  <c r="U44" i="112"/>
  <c r="D45" i="112"/>
  <c r="U45" i="112"/>
  <c r="D46" i="112"/>
  <c r="U46" i="112"/>
  <c r="D47" i="112"/>
  <c r="U47" i="112"/>
  <c r="D48" i="112"/>
  <c r="U48" i="112"/>
  <c r="D49" i="112"/>
  <c r="U49" i="112"/>
  <c r="D50" i="112"/>
  <c r="U50" i="112"/>
  <c r="D51" i="112"/>
  <c r="U51" i="112"/>
  <c r="D52" i="112"/>
  <c r="U52" i="112"/>
  <c r="D53" i="112"/>
  <c r="U53" i="112"/>
  <c r="D54" i="112"/>
  <c r="U54" i="112"/>
  <c r="D55" i="112"/>
  <c r="U55" i="112"/>
  <c r="D56" i="112"/>
  <c r="U56" i="112"/>
  <c r="D57" i="112"/>
  <c r="D58" i="112"/>
  <c r="U58" i="112"/>
  <c r="D59" i="112"/>
  <c r="U59" i="112"/>
  <c r="D60" i="112"/>
  <c r="U60" i="112"/>
  <c r="D61" i="112"/>
  <c r="D62" i="112"/>
  <c r="U62" i="112"/>
  <c r="D63" i="112"/>
  <c r="U63" i="112"/>
  <c r="D64" i="112"/>
  <c r="U64" i="112"/>
  <c r="D65" i="112"/>
  <c r="D66" i="112"/>
  <c r="U66" i="112"/>
  <c r="B10" i="112"/>
  <c r="S10" i="112"/>
  <c r="B20" i="112"/>
  <c r="S20" i="112"/>
  <c r="B30" i="112"/>
  <c r="C10" i="112"/>
  <c r="T10" i="112"/>
  <c r="C20" i="112"/>
  <c r="T20" i="112"/>
  <c r="C30" i="112"/>
  <c r="T30" i="112"/>
  <c r="D10" i="112"/>
  <c r="D20" i="112"/>
  <c r="U20" i="112"/>
  <c r="D5" i="112"/>
  <c r="U5" i="112"/>
  <c r="D6" i="112"/>
  <c r="U6" i="112"/>
  <c r="D7" i="112"/>
  <c r="D8" i="112"/>
  <c r="U8" i="112"/>
  <c r="D9" i="112"/>
  <c r="U9" i="112"/>
  <c r="D11" i="112"/>
  <c r="D12" i="112"/>
  <c r="U12" i="112"/>
  <c r="D13" i="112"/>
  <c r="U13" i="112"/>
  <c r="D14" i="112"/>
  <c r="U14" i="112"/>
  <c r="D15" i="112"/>
  <c r="D16" i="112"/>
  <c r="U16" i="112"/>
  <c r="D17" i="112"/>
  <c r="U17" i="112"/>
  <c r="D18" i="112"/>
  <c r="U18" i="112"/>
  <c r="D19" i="112"/>
  <c r="D21" i="112"/>
  <c r="U21" i="112"/>
  <c r="D22" i="112"/>
  <c r="U22" i="112"/>
  <c r="D23" i="112"/>
  <c r="U23" i="112"/>
  <c r="D24" i="112"/>
  <c r="D25" i="112"/>
  <c r="U25" i="112"/>
  <c r="D26" i="112"/>
  <c r="U26" i="112"/>
  <c r="D27" i="112"/>
  <c r="U27" i="112"/>
  <c r="D28" i="112"/>
  <c r="D29" i="112"/>
  <c r="U29" i="112"/>
  <c r="D30" i="112"/>
  <c r="U30" i="112"/>
  <c r="D31" i="112"/>
  <c r="U31" i="112"/>
  <c r="C40" i="112"/>
  <c r="C41" i="112"/>
  <c r="T41" i="112"/>
  <c r="C42" i="112"/>
  <c r="T42" i="112"/>
  <c r="C43" i="112"/>
  <c r="T43" i="112"/>
  <c r="C44" i="112"/>
  <c r="T44" i="112"/>
  <c r="C45" i="112"/>
  <c r="T45" i="112"/>
  <c r="C46" i="112"/>
  <c r="T46" i="112"/>
  <c r="C47" i="112"/>
  <c r="T47" i="112"/>
  <c r="C48" i="112"/>
  <c r="T48" i="112"/>
  <c r="C49" i="112"/>
  <c r="T49" i="112"/>
  <c r="C50" i="112"/>
  <c r="T50" i="112"/>
  <c r="C51" i="112"/>
  <c r="T51" i="112"/>
  <c r="C52" i="112"/>
  <c r="T52" i="112"/>
  <c r="C53" i="112"/>
  <c r="T53" i="112"/>
  <c r="C54" i="112"/>
  <c r="T54" i="112"/>
  <c r="C55" i="112"/>
  <c r="T55" i="112"/>
  <c r="C56" i="112"/>
  <c r="T56" i="112"/>
  <c r="C57" i="112"/>
  <c r="T57" i="112"/>
  <c r="C58" i="112"/>
  <c r="T58" i="112"/>
  <c r="C59" i="112"/>
  <c r="T59" i="112"/>
  <c r="C60" i="112"/>
  <c r="T60" i="112"/>
  <c r="C61" i="112"/>
  <c r="T61" i="112"/>
  <c r="C62" i="112"/>
  <c r="T62" i="112"/>
  <c r="C63" i="112"/>
  <c r="T63" i="112"/>
  <c r="C64" i="112"/>
  <c r="T64" i="112"/>
  <c r="C65" i="112"/>
  <c r="T65" i="112"/>
  <c r="C66" i="112"/>
  <c r="T66" i="112"/>
  <c r="C6" i="112"/>
  <c r="C7" i="112"/>
  <c r="T7" i="112"/>
  <c r="C8" i="112"/>
  <c r="T8" i="112"/>
  <c r="C9" i="112"/>
  <c r="T9" i="112"/>
  <c r="C11" i="112"/>
  <c r="C12" i="112"/>
  <c r="T12" i="112"/>
  <c r="C13" i="112"/>
  <c r="T13" i="112"/>
  <c r="C14" i="112"/>
  <c r="T14" i="112"/>
  <c r="C15" i="112"/>
  <c r="C16" i="112"/>
  <c r="T16" i="112"/>
  <c r="C17" i="112"/>
  <c r="T17" i="112"/>
  <c r="C18" i="112"/>
  <c r="T18" i="112"/>
  <c r="C19" i="112"/>
  <c r="C21" i="112"/>
  <c r="T21" i="112"/>
  <c r="C22" i="112"/>
  <c r="T22" i="112"/>
  <c r="C23" i="112"/>
  <c r="T23" i="112"/>
  <c r="C24" i="112"/>
  <c r="T24" i="112"/>
  <c r="C25" i="112"/>
  <c r="T25" i="112"/>
  <c r="C26" i="112"/>
  <c r="T26" i="112"/>
  <c r="C27" i="112"/>
  <c r="T27" i="112"/>
  <c r="C28" i="112"/>
  <c r="T28" i="112"/>
  <c r="C29" i="112"/>
  <c r="T29" i="112"/>
  <c r="C31" i="112"/>
  <c r="T31" i="112"/>
  <c r="C5" i="112"/>
  <c r="T5" i="112"/>
  <c r="B40" i="112"/>
  <c r="S40" i="112"/>
  <c r="B41" i="112"/>
  <c r="S41" i="112"/>
  <c r="B42" i="112"/>
  <c r="S42" i="112"/>
  <c r="B43" i="112"/>
  <c r="S43" i="112"/>
  <c r="B44" i="112"/>
  <c r="S44" i="112"/>
  <c r="B45" i="112"/>
  <c r="S45" i="112"/>
  <c r="B46" i="112"/>
  <c r="S46" i="112"/>
  <c r="B47" i="112"/>
  <c r="S47" i="112"/>
  <c r="B48" i="112"/>
  <c r="S48" i="112"/>
  <c r="B49" i="112"/>
  <c r="S49" i="112"/>
  <c r="B50" i="112"/>
  <c r="S50" i="112"/>
  <c r="B51" i="112"/>
  <c r="S51" i="112"/>
  <c r="B52" i="112"/>
  <c r="S52" i="112"/>
  <c r="B53" i="112"/>
  <c r="S53" i="112"/>
  <c r="B54" i="112"/>
  <c r="S54" i="112"/>
  <c r="B55" i="112"/>
  <c r="S55" i="112"/>
  <c r="B56" i="112"/>
  <c r="S56" i="112"/>
  <c r="B57" i="112"/>
  <c r="S57" i="112"/>
  <c r="B58" i="112"/>
  <c r="S58" i="112"/>
  <c r="B59" i="112"/>
  <c r="S59" i="112"/>
  <c r="B60" i="112"/>
  <c r="S60" i="112"/>
  <c r="B61" i="112"/>
  <c r="S61" i="112"/>
  <c r="B62" i="112"/>
  <c r="S62" i="112"/>
  <c r="B63" i="112"/>
  <c r="S63" i="112"/>
  <c r="B64" i="112"/>
  <c r="S64" i="112"/>
  <c r="B65" i="112"/>
  <c r="S65" i="112"/>
  <c r="B66" i="112"/>
  <c r="S66" i="112"/>
  <c r="B6" i="112"/>
  <c r="S6" i="112"/>
  <c r="B7" i="112"/>
  <c r="S7" i="112"/>
  <c r="B8" i="112"/>
  <c r="S8" i="112"/>
  <c r="B9" i="112"/>
  <c r="S9" i="112"/>
  <c r="B11" i="112"/>
  <c r="S11" i="112"/>
  <c r="B12" i="112"/>
  <c r="S12" i="112"/>
  <c r="B13" i="112"/>
  <c r="S13" i="112"/>
  <c r="B14" i="112"/>
  <c r="S14" i="112"/>
  <c r="B15" i="112"/>
  <c r="S15" i="112"/>
  <c r="CH13" i="126"/>
  <c r="B16" i="112"/>
  <c r="S16" i="112"/>
  <c r="B17" i="112"/>
  <c r="S17" i="112"/>
  <c r="B18" i="112"/>
  <c r="S18" i="112"/>
  <c r="B19" i="112"/>
  <c r="S19" i="112"/>
  <c r="B21" i="112"/>
  <c r="S21" i="112"/>
  <c r="B22" i="112"/>
  <c r="S22" i="112"/>
  <c r="B23" i="112"/>
  <c r="S23" i="112"/>
  <c r="B24" i="112"/>
  <c r="S24" i="112"/>
  <c r="B25" i="112"/>
  <c r="S25" i="112"/>
  <c r="B26" i="112"/>
  <c r="S26" i="112"/>
  <c r="B27" i="112"/>
  <c r="S27" i="112"/>
  <c r="B28" i="112"/>
  <c r="S28" i="112"/>
  <c r="B29" i="112"/>
  <c r="S29" i="112"/>
  <c r="B31" i="112"/>
  <c r="S31" i="112"/>
  <c r="B5" i="112"/>
  <c r="S5" i="112"/>
  <c r="C5" i="113"/>
  <c r="AD5" i="121"/>
  <c r="C6" i="113"/>
  <c r="AD6" i="121"/>
  <c r="C8" i="113"/>
  <c r="AD7" i="121"/>
  <c r="C7" i="113"/>
  <c r="AD8" i="121" s="1"/>
  <c r="C9" i="113"/>
  <c r="AD9" i="121"/>
  <c r="C10" i="113"/>
  <c r="AD10" i="121" s="1"/>
  <c r="C11" i="113"/>
  <c r="AD11" i="121" s="1"/>
  <c r="C12" i="113"/>
  <c r="AD12" i="121" s="1"/>
  <c r="C13" i="113"/>
  <c r="AD13" i="121" s="1"/>
  <c r="C14" i="113"/>
  <c r="AD14" i="121"/>
  <c r="C17" i="113"/>
  <c r="AD15" i="121" s="1"/>
  <c r="C16" i="113"/>
  <c r="AD16" i="121" s="1"/>
  <c r="C15" i="113"/>
  <c r="AD17" i="121" s="1"/>
  <c r="C18" i="113"/>
  <c r="AD18" i="121" s="1"/>
  <c r="C19" i="113"/>
  <c r="AD19" i="121"/>
  <c r="C21" i="113"/>
  <c r="AD20" i="121" s="1"/>
  <c r="C22" i="113"/>
  <c r="AD21" i="121"/>
  <c r="C20" i="113"/>
  <c r="AD22" i="121"/>
  <c r="C23" i="113"/>
  <c r="AD23" i="121" s="1"/>
  <c r="C24" i="113"/>
  <c r="AD24" i="121" s="1"/>
  <c r="C26" i="113"/>
  <c r="AD25" i="121" s="1"/>
  <c r="C27" i="113"/>
  <c r="AD26" i="121" s="1"/>
  <c r="C25" i="113"/>
  <c r="AD27" i="121"/>
  <c r="C28" i="113"/>
  <c r="AD28" i="121" s="1"/>
  <c r="C30" i="113"/>
  <c r="AD29" i="121" s="1"/>
  <c r="C29" i="113"/>
  <c r="AD30" i="121"/>
  <c r="C31" i="113"/>
  <c r="AD31" i="121"/>
  <c r="C40" i="113"/>
  <c r="C41" i="113"/>
  <c r="C42" i="113"/>
  <c r="T42" i="113" s="1"/>
  <c r="C43" i="113"/>
  <c r="C44" i="113"/>
  <c r="C45" i="113"/>
  <c r="C46" i="113"/>
  <c r="T46" i="113"/>
  <c r="C47" i="113"/>
  <c r="C48" i="113"/>
  <c r="C49" i="113"/>
  <c r="C50" i="113"/>
  <c r="T50" i="113"/>
  <c r="C51" i="113"/>
  <c r="C52" i="113"/>
  <c r="C53" i="113"/>
  <c r="C54" i="113"/>
  <c r="T54" i="113" s="1"/>
  <c r="C55" i="113"/>
  <c r="C56" i="113"/>
  <c r="C57" i="113"/>
  <c r="C58" i="113"/>
  <c r="T58" i="113" s="1"/>
  <c r="C59" i="113"/>
  <c r="C60" i="113"/>
  <c r="C61" i="113"/>
  <c r="C62" i="113"/>
  <c r="T62" i="113" s="1"/>
  <c r="C63" i="113"/>
  <c r="C64" i="113"/>
  <c r="C65" i="113"/>
  <c r="C66" i="113"/>
  <c r="T66" i="113" s="1"/>
  <c r="D5" i="113"/>
  <c r="Z5" i="122"/>
  <c r="D6" i="113"/>
  <c r="Z6" i="122"/>
  <c r="D8" i="113"/>
  <c r="Z7" i="122" s="1"/>
  <c r="D7" i="113"/>
  <c r="D9" i="113"/>
  <c r="Z9" i="122" s="1"/>
  <c r="D10" i="113"/>
  <c r="Z10" i="122" s="1"/>
  <c r="D11" i="113"/>
  <c r="D12" i="113"/>
  <c r="Z12" i="122"/>
  <c r="D13" i="113"/>
  <c r="Z13" i="122" s="1"/>
  <c r="D14" i="113"/>
  <c r="D17" i="113"/>
  <c r="Z15" i="122" s="1"/>
  <c r="D16" i="113"/>
  <c r="Z16" i="122" s="1"/>
  <c r="D15" i="113"/>
  <c r="Z17" i="122" s="1"/>
  <c r="D18" i="113"/>
  <c r="D19" i="113"/>
  <c r="Z19" i="122" s="1"/>
  <c r="D21" i="113"/>
  <c r="Z20" i="122" s="1"/>
  <c r="D22" i="113"/>
  <c r="D20" i="113"/>
  <c r="D23" i="113"/>
  <c r="Z23" i="122" s="1"/>
  <c r="D24" i="113"/>
  <c r="Z24" i="122"/>
  <c r="J25" i="125" s="1"/>
  <c r="D26" i="113"/>
  <c r="Z25" i="122" s="1"/>
  <c r="D27" i="113"/>
  <c r="Z26" i="122" s="1"/>
  <c r="D25" i="113"/>
  <c r="Z27" i="122" s="1"/>
  <c r="D28" i="113"/>
  <c r="Z28" i="122" s="1"/>
  <c r="D30" i="113"/>
  <c r="Z29" i="122" s="1"/>
  <c r="D29" i="113"/>
  <c r="Z30" i="122"/>
  <c r="D31" i="113"/>
  <c r="D40" i="113"/>
  <c r="D41" i="113"/>
  <c r="D42" i="113"/>
  <c r="D43" i="113"/>
  <c r="D44" i="113"/>
  <c r="D45" i="113"/>
  <c r="D46" i="113"/>
  <c r="D47" i="113"/>
  <c r="D48" i="113"/>
  <c r="D49" i="113"/>
  <c r="D50" i="113"/>
  <c r="D51" i="113"/>
  <c r="D52" i="113"/>
  <c r="D53" i="113"/>
  <c r="D54" i="113"/>
  <c r="D55" i="113"/>
  <c r="D56" i="113"/>
  <c r="D57" i="113"/>
  <c r="D58" i="113"/>
  <c r="D59" i="113"/>
  <c r="D60" i="113"/>
  <c r="D61" i="113"/>
  <c r="D62" i="113"/>
  <c r="D63" i="113"/>
  <c r="D64" i="113"/>
  <c r="D65" i="113"/>
  <c r="D66" i="113"/>
  <c r="E5" i="113"/>
  <c r="AA5" i="122" s="1"/>
  <c r="E6" i="113"/>
  <c r="AA6" i="122"/>
  <c r="E8" i="113"/>
  <c r="AA7" i="122" s="1"/>
  <c r="E7" i="113"/>
  <c r="AA8" i="122"/>
  <c r="E9" i="113"/>
  <c r="AA9" i="122" s="1"/>
  <c r="E10" i="113"/>
  <c r="AA10" i="122" s="1"/>
  <c r="E11" i="113"/>
  <c r="AA11" i="122" s="1"/>
  <c r="E12" i="113"/>
  <c r="AA12" i="122"/>
  <c r="E13" i="113"/>
  <c r="AA13" i="122" s="1"/>
  <c r="E14" i="113"/>
  <c r="AA14" i="122"/>
  <c r="E17" i="113"/>
  <c r="AA15" i="122" s="1"/>
  <c r="E16" i="113"/>
  <c r="AA16" i="122" s="1"/>
  <c r="E15" i="113"/>
  <c r="AA17" i="122"/>
  <c r="E18" i="113"/>
  <c r="AA18" i="122" s="1"/>
  <c r="E19" i="113"/>
  <c r="AA19" i="122" s="1"/>
  <c r="E21" i="113"/>
  <c r="AA20" i="122"/>
  <c r="E22" i="113"/>
  <c r="AA21" i="122"/>
  <c r="E20" i="113"/>
  <c r="AA22" i="122"/>
  <c r="E23" i="113"/>
  <c r="AA23" i="122" s="1"/>
  <c r="E24" i="113"/>
  <c r="AA24" i="122" s="1"/>
  <c r="E26" i="113"/>
  <c r="AA25" i="122" s="1"/>
  <c r="E27" i="113"/>
  <c r="AA26" i="122"/>
  <c r="E25" i="113"/>
  <c r="AA27" i="122" s="1"/>
  <c r="E28" i="113"/>
  <c r="AA28" i="122" s="1"/>
  <c r="E30" i="113"/>
  <c r="AA29" i="122" s="1"/>
  <c r="E29" i="113"/>
  <c r="AA30" i="122"/>
  <c r="E31" i="113"/>
  <c r="AA31" i="122" s="1"/>
  <c r="E40" i="113"/>
  <c r="E41" i="113"/>
  <c r="E42" i="113"/>
  <c r="E43" i="113"/>
  <c r="E44" i="113"/>
  <c r="E45" i="113"/>
  <c r="E46" i="113"/>
  <c r="E47" i="113"/>
  <c r="E48" i="113"/>
  <c r="E49" i="113"/>
  <c r="E50" i="113"/>
  <c r="E51" i="113"/>
  <c r="E52" i="113"/>
  <c r="E53" i="113"/>
  <c r="E54" i="113"/>
  <c r="E55" i="113"/>
  <c r="E56" i="113"/>
  <c r="E57" i="113"/>
  <c r="E58" i="113"/>
  <c r="E59" i="113"/>
  <c r="E60" i="113"/>
  <c r="E61" i="113"/>
  <c r="E62" i="113"/>
  <c r="E63" i="113"/>
  <c r="E64" i="113"/>
  <c r="E65" i="113"/>
  <c r="E66" i="113"/>
  <c r="F5" i="113"/>
  <c r="G5" i="113"/>
  <c r="F6" i="113"/>
  <c r="G6" i="113"/>
  <c r="F8" i="113"/>
  <c r="G8" i="113"/>
  <c r="F7" i="113"/>
  <c r="G7" i="113"/>
  <c r="F9" i="113"/>
  <c r="G9" i="113"/>
  <c r="F10" i="113"/>
  <c r="G10" i="113"/>
  <c r="F11" i="113"/>
  <c r="G11" i="113"/>
  <c r="F12" i="113"/>
  <c r="G12" i="113"/>
  <c r="F13" i="113"/>
  <c r="G13" i="113"/>
  <c r="F14" i="113"/>
  <c r="G14" i="113"/>
  <c r="F17" i="113"/>
  <c r="G17" i="113"/>
  <c r="F16" i="113"/>
  <c r="G16" i="113"/>
  <c r="F15" i="113"/>
  <c r="G15" i="113"/>
  <c r="F18" i="113"/>
  <c r="G18" i="113"/>
  <c r="F19" i="113"/>
  <c r="G19" i="113"/>
  <c r="F21" i="113"/>
  <c r="G21" i="113"/>
  <c r="F22" i="113"/>
  <c r="G22" i="113"/>
  <c r="F20" i="113"/>
  <c r="G20" i="113"/>
  <c r="F23" i="113"/>
  <c r="G23" i="113"/>
  <c r="F24" i="113"/>
  <c r="G24" i="113"/>
  <c r="F26" i="113"/>
  <c r="G26" i="113"/>
  <c r="F27" i="113"/>
  <c r="G27" i="113"/>
  <c r="F25" i="113"/>
  <c r="G25" i="113"/>
  <c r="F28" i="113"/>
  <c r="G28" i="113"/>
  <c r="F30" i="113"/>
  <c r="G30" i="113"/>
  <c r="F29" i="113"/>
  <c r="G29" i="113"/>
  <c r="F31" i="113"/>
  <c r="G31" i="113"/>
  <c r="F40" i="113"/>
  <c r="G40" i="113"/>
  <c r="F41" i="113"/>
  <c r="G41" i="113"/>
  <c r="F42" i="113"/>
  <c r="G42" i="113"/>
  <c r="F43" i="113"/>
  <c r="G43" i="113"/>
  <c r="F44" i="113"/>
  <c r="G44" i="113"/>
  <c r="F45" i="113"/>
  <c r="G45" i="113"/>
  <c r="F46" i="113"/>
  <c r="G46" i="113"/>
  <c r="F47" i="113"/>
  <c r="G47" i="113"/>
  <c r="F48" i="113"/>
  <c r="G48" i="113"/>
  <c r="F49" i="113"/>
  <c r="G49" i="113"/>
  <c r="F50" i="113"/>
  <c r="G50" i="113"/>
  <c r="F51" i="113"/>
  <c r="G51" i="113"/>
  <c r="F52" i="113"/>
  <c r="G52" i="113"/>
  <c r="F53" i="113"/>
  <c r="G53" i="113"/>
  <c r="F54" i="113"/>
  <c r="G54" i="113"/>
  <c r="F55" i="113"/>
  <c r="G55" i="113"/>
  <c r="F56" i="113"/>
  <c r="G56" i="113"/>
  <c r="F57" i="113"/>
  <c r="G57" i="113"/>
  <c r="F58" i="113"/>
  <c r="G58" i="113"/>
  <c r="F59" i="113"/>
  <c r="G59" i="113"/>
  <c r="F60" i="113"/>
  <c r="G60" i="113"/>
  <c r="F61" i="113"/>
  <c r="G61" i="113"/>
  <c r="F62" i="113"/>
  <c r="G62" i="113"/>
  <c r="F63" i="113"/>
  <c r="G63" i="113"/>
  <c r="F64" i="113"/>
  <c r="G64" i="113"/>
  <c r="F65" i="113"/>
  <c r="G65" i="113"/>
  <c r="F66" i="113"/>
  <c r="G66" i="113"/>
  <c r="H6" i="113"/>
  <c r="I6" i="113"/>
  <c r="J6" i="113"/>
  <c r="K6" i="113"/>
  <c r="L6" i="113"/>
  <c r="M6" i="113"/>
  <c r="N6" i="113"/>
  <c r="P6" i="113"/>
  <c r="Q6" i="113"/>
  <c r="H8" i="113"/>
  <c r="I8" i="113"/>
  <c r="J8" i="113"/>
  <c r="K8" i="113"/>
  <c r="L8" i="113"/>
  <c r="M8" i="113"/>
  <c r="N8" i="113"/>
  <c r="O8" i="113"/>
  <c r="P8" i="113"/>
  <c r="Q8" i="113"/>
  <c r="H7" i="113"/>
  <c r="I7" i="113"/>
  <c r="J7" i="113"/>
  <c r="K7" i="113"/>
  <c r="L7" i="113"/>
  <c r="M7" i="113"/>
  <c r="N7" i="113"/>
  <c r="O7" i="113"/>
  <c r="P7" i="113"/>
  <c r="Q7" i="113"/>
  <c r="H9" i="113"/>
  <c r="I9" i="113"/>
  <c r="J9" i="113"/>
  <c r="K9" i="113"/>
  <c r="L9" i="113"/>
  <c r="M9" i="113"/>
  <c r="N9" i="113"/>
  <c r="O9" i="113"/>
  <c r="P9" i="113"/>
  <c r="Q9" i="113"/>
  <c r="H10" i="113"/>
  <c r="I10" i="113"/>
  <c r="J10" i="113"/>
  <c r="K10" i="113"/>
  <c r="L10" i="113"/>
  <c r="M10" i="113"/>
  <c r="N10" i="113"/>
  <c r="P10" i="113"/>
  <c r="Q10" i="113"/>
  <c r="H11" i="113"/>
  <c r="I11" i="113"/>
  <c r="J11" i="113"/>
  <c r="K11" i="113"/>
  <c r="L11" i="113"/>
  <c r="M11" i="113"/>
  <c r="N11" i="113"/>
  <c r="O11" i="113"/>
  <c r="P11" i="113"/>
  <c r="Q11" i="113"/>
  <c r="H12" i="113"/>
  <c r="I12" i="113"/>
  <c r="J12" i="113"/>
  <c r="K12" i="113"/>
  <c r="L12" i="113"/>
  <c r="M12" i="113"/>
  <c r="N12" i="113"/>
  <c r="O12" i="113"/>
  <c r="P12" i="113"/>
  <c r="Q12" i="113"/>
  <c r="H13" i="113"/>
  <c r="I13" i="113"/>
  <c r="J13" i="113"/>
  <c r="K13" i="113"/>
  <c r="L13" i="113"/>
  <c r="M13" i="113"/>
  <c r="N13" i="113"/>
  <c r="O13" i="113"/>
  <c r="P13" i="113"/>
  <c r="Q13" i="113"/>
  <c r="H14" i="113"/>
  <c r="I14" i="113"/>
  <c r="J14" i="113"/>
  <c r="K14" i="113"/>
  <c r="L14" i="113"/>
  <c r="M14" i="113"/>
  <c r="N14" i="113"/>
  <c r="P14" i="113"/>
  <c r="Q14" i="113"/>
  <c r="H17" i="113"/>
  <c r="I17" i="113"/>
  <c r="J17" i="113"/>
  <c r="K17" i="113"/>
  <c r="L17" i="113"/>
  <c r="M17" i="113"/>
  <c r="N17" i="113"/>
  <c r="O17" i="113"/>
  <c r="P17" i="113"/>
  <c r="Q17" i="113"/>
  <c r="H16" i="113"/>
  <c r="I16" i="113"/>
  <c r="J16" i="113"/>
  <c r="K16" i="113"/>
  <c r="L16" i="113"/>
  <c r="M16" i="113"/>
  <c r="N16" i="113"/>
  <c r="O16" i="113"/>
  <c r="P16" i="113"/>
  <c r="Q16" i="113"/>
  <c r="H15" i="113"/>
  <c r="I15" i="113"/>
  <c r="J15" i="113"/>
  <c r="K15" i="113"/>
  <c r="L15" i="113"/>
  <c r="M15" i="113"/>
  <c r="N15" i="113"/>
  <c r="O15" i="113"/>
  <c r="P15" i="113"/>
  <c r="Q15" i="113"/>
  <c r="H18" i="113"/>
  <c r="I18" i="113"/>
  <c r="J18" i="113"/>
  <c r="K18" i="113"/>
  <c r="L18" i="113"/>
  <c r="M18" i="113"/>
  <c r="N18" i="113"/>
  <c r="P18" i="113"/>
  <c r="Q18" i="113"/>
  <c r="H19" i="113"/>
  <c r="I19" i="113"/>
  <c r="J19" i="113"/>
  <c r="K19" i="113"/>
  <c r="L19" i="113"/>
  <c r="M19" i="113"/>
  <c r="N19" i="113"/>
  <c r="O19" i="113"/>
  <c r="P19" i="113"/>
  <c r="Q19" i="113"/>
  <c r="H21" i="113"/>
  <c r="I21" i="113"/>
  <c r="J21" i="113"/>
  <c r="K21" i="113"/>
  <c r="L21" i="113"/>
  <c r="M21" i="113"/>
  <c r="N21" i="113"/>
  <c r="O21" i="113"/>
  <c r="P21" i="113"/>
  <c r="Q21" i="113"/>
  <c r="H22" i="113"/>
  <c r="I22" i="113"/>
  <c r="J22" i="113"/>
  <c r="K22" i="113"/>
  <c r="L22" i="113"/>
  <c r="M22" i="113"/>
  <c r="N22" i="113"/>
  <c r="P22" i="113"/>
  <c r="Q22" i="113"/>
  <c r="H20" i="113"/>
  <c r="I20" i="113"/>
  <c r="J20" i="113"/>
  <c r="K20" i="113"/>
  <c r="L20" i="113"/>
  <c r="M20" i="113"/>
  <c r="N20" i="113"/>
  <c r="O20" i="113"/>
  <c r="P20" i="113"/>
  <c r="P20" i="119" s="1"/>
  <c r="Q20" i="113"/>
  <c r="H23" i="113"/>
  <c r="I23" i="113"/>
  <c r="J23" i="113"/>
  <c r="K23" i="113"/>
  <c r="L23" i="113"/>
  <c r="M23" i="113"/>
  <c r="N23" i="113"/>
  <c r="O23" i="113"/>
  <c r="P23" i="113"/>
  <c r="Q23" i="113"/>
  <c r="H24" i="113"/>
  <c r="I24" i="113"/>
  <c r="J24" i="113"/>
  <c r="K24" i="113"/>
  <c r="L24" i="113"/>
  <c r="R24" i="113" s="1"/>
  <c r="M24" i="113"/>
  <c r="N24" i="113"/>
  <c r="O24" i="113"/>
  <c r="P24" i="113"/>
  <c r="Q24" i="113"/>
  <c r="H26" i="113"/>
  <c r="I26" i="113"/>
  <c r="J26" i="113"/>
  <c r="K26" i="113"/>
  <c r="L26" i="113"/>
  <c r="M26" i="113"/>
  <c r="N26" i="113"/>
  <c r="P26" i="113"/>
  <c r="Q26" i="113"/>
  <c r="H27" i="113"/>
  <c r="I27" i="113"/>
  <c r="J27" i="113"/>
  <c r="K27" i="113"/>
  <c r="L27" i="113"/>
  <c r="M27" i="113"/>
  <c r="N27" i="113"/>
  <c r="O27" i="113"/>
  <c r="P27" i="113"/>
  <c r="Q27" i="113"/>
  <c r="H25" i="113"/>
  <c r="I25" i="113"/>
  <c r="J25" i="113"/>
  <c r="K25" i="113"/>
  <c r="L25" i="113"/>
  <c r="M25" i="113"/>
  <c r="N25" i="113"/>
  <c r="O25" i="113"/>
  <c r="O25" i="119" s="1"/>
  <c r="P25" i="113"/>
  <c r="Q25" i="113"/>
  <c r="H28" i="113"/>
  <c r="I28" i="113"/>
  <c r="J28" i="113"/>
  <c r="K28" i="113"/>
  <c r="L28" i="113"/>
  <c r="M28" i="113"/>
  <c r="X28" i="113" s="1"/>
  <c r="DA26" i="126" s="1"/>
  <c r="N28" i="113"/>
  <c r="O28" i="113"/>
  <c r="P28" i="113"/>
  <c r="Q28" i="113"/>
  <c r="H30" i="113"/>
  <c r="I30" i="113"/>
  <c r="J30" i="113"/>
  <c r="K30" i="113"/>
  <c r="L30" i="113"/>
  <c r="M30" i="113"/>
  <c r="N30" i="113"/>
  <c r="P30" i="113"/>
  <c r="Q30" i="113"/>
  <c r="H29" i="113"/>
  <c r="I29" i="113"/>
  <c r="J29" i="113"/>
  <c r="R29" i="113" s="1"/>
  <c r="K29" i="113"/>
  <c r="L29" i="113"/>
  <c r="M29" i="113"/>
  <c r="N29" i="113"/>
  <c r="O29" i="113"/>
  <c r="P29" i="113"/>
  <c r="Q29" i="113"/>
  <c r="H31" i="113"/>
  <c r="I31" i="113"/>
  <c r="J31" i="113"/>
  <c r="K31" i="113"/>
  <c r="L31" i="113"/>
  <c r="M31" i="113"/>
  <c r="N31" i="113"/>
  <c r="O31" i="113"/>
  <c r="P31" i="113"/>
  <c r="Q31" i="113"/>
  <c r="H40" i="113"/>
  <c r="I40" i="113"/>
  <c r="J40" i="113"/>
  <c r="K40" i="113"/>
  <c r="L40" i="113"/>
  <c r="M40" i="113"/>
  <c r="N40" i="113"/>
  <c r="O40" i="113"/>
  <c r="P40" i="113"/>
  <c r="Q40" i="113"/>
  <c r="H41" i="113"/>
  <c r="I41" i="113"/>
  <c r="J41" i="113"/>
  <c r="K41" i="113"/>
  <c r="L41" i="113"/>
  <c r="M41" i="113"/>
  <c r="N41" i="113"/>
  <c r="P41" i="113"/>
  <c r="Q41" i="113"/>
  <c r="H42" i="113"/>
  <c r="I42" i="113"/>
  <c r="J42" i="113"/>
  <c r="K42" i="113"/>
  <c r="L42" i="113"/>
  <c r="M42" i="113"/>
  <c r="N42" i="113"/>
  <c r="O42" i="113"/>
  <c r="P42" i="113"/>
  <c r="Q42" i="113"/>
  <c r="H43" i="113"/>
  <c r="I43" i="113"/>
  <c r="J43" i="113"/>
  <c r="K43" i="113"/>
  <c r="L43" i="113"/>
  <c r="M43" i="113"/>
  <c r="N43" i="113"/>
  <c r="O43" i="113"/>
  <c r="H44" i="113"/>
  <c r="I44" i="113"/>
  <c r="J44" i="113"/>
  <c r="K44" i="113"/>
  <c r="L44" i="113"/>
  <c r="M44" i="113"/>
  <c r="N44" i="113"/>
  <c r="O44" i="113"/>
  <c r="P44" i="113"/>
  <c r="Q44" i="113"/>
  <c r="H45" i="113"/>
  <c r="I45" i="113"/>
  <c r="J45" i="113"/>
  <c r="K45" i="113"/>
  <c r="L45" i="113"/>
  <c r="M45" i="113"/>
  <c r="N45" i="113"/>
  <c r="P45" i="113"/>
  <c r="Q45" i="113"/>
  <c r="H46" i="113"/>
  <c r="I46" i="113"/>
  <c r="J46" i="113"/>
  <c r="K46" i="113"/>
  <c r="L46" i="113"/>
  <c r="M46" i="113"/>
  <c r="N46" i="113"/>
  <c r="O46" i="113"/>
  <c r="P46" i="113"/>
  <c r="Q46" i="113"/>
  <c r="H47" i="113"/>
  <c r="I47" i="113"/>
  <c r="J47" i="113"/>
  <c r="K47" i="113"/>
  <c r="L47" i="113"/>
  <c r="M47" i="113"/>
  <c r="N47" i="113"/>
  <c r="O47" i="113"/>
  <c r="P47" i="113"/>
  <c r="Q47" i="113"/>
  <c r="H48" i="113"/>
  <c r="I48" i="113"/>
  <c r="J48" i="113"/>
  <c r="K48" i="113"/>
  <c r="L48" i="113"/>
  <c r="M48" i="113"/>
  <c r="N48" i="113"/>
  <c r="O48" i="113"/>
  <c r="P48" i="113"/>
  <c r="Q48" i="113"/>
  <c r="H49" i="113"/>
  <c r="I49" i="113"/>
  <c r="J49" i="113"/>
  <c r="K49" i="113"/>
  <c r="L49" i="113"/>
  <c r="M49" i="113"/>
  <c r="N49" i="113"/>
  <c r="P49" i="113"/>
  <c r="Q49" i="113"/>
  <c r="Q47" i="119" s="1"/>
  <c r="H50" i="113"/>
  <c r="I50" i="113"/>
  <c r="J50" i="113"/>
  <c r="K50" i="113"/>
  <c r="L50" i="113"/>
  <c r="M50" i="113"/>
  <c r="N50" i="113"/>
  <c r="O50" i="113"/>
  <c r="P50" i="113"/>
  <c r="Q50" i="113"/>
  <c r="Q48" i="119" s="1"/>
  <c r="H51" i="113"/>
  <c r="I51" i="113"/>
  <c r="J51" i="113"/>
  <c r="K51" i="113"/>
  <c r="L51" i="113"/>
  <c r="M51" i="113"/>
  <c r="N51" i="113"/>
  <c r="O51" i="113"/>
  <c r="O49" i="119" s="1"/>
  <c r="P51" i="113"/>
  <c r="Q51" i="113"/>
  <c r="H52" i="113"/>
  <c r="I52" i="113"/>
  <c r="J52" i="113"/>
  <c r="K52" i="113"/>
  <c r="L52" i="113"/>
  <c r="M52" i="113"/>
  <c r="N52" i="113"/>
  <c r="O52" i="113"/>
  <c r="P52" i="113"/>
  <c r="Q52" i="113"/>
  <c r="H53" i="113"/>
  <c r="I53" i="113"/>
  <c r="J53" i="113"/>
  <c r="K53" i="113"/>
  <c r="L53" i="113"/>
  <c r="M53" i="113"/>
  <c r="N53" i="113"/>
  <c r="P53" i="113"/>
  <c r="Q53" i="113"/>
  <c r="H54" i="113"/>
  <c r="I54" i="113"/>
  <c r="J54" i="113"/>
  <c r="K54" i="113"/>
  <c r="L54" i="113"/>
  <c r="M54" i="113"/>
  <c r="N54" i="113"/>
  <c r="O54" i="113"/>
  <c r="P54" i="113"/>
  <c r="Q54" i="113"/>
  <c r="H55" i="113"/>
  <c r="I55" i="113"/>
  <c r="J55" i="113"/>
  <c r="K55" i="113"/>
  <c r="L55" i="113"/>
  <c r="M55" i="113"/>
  <c r="N55" i="113"/>
  <c r="O55" i="113"/>
  <c r="P55" i="113"/>
  <c r="P53" i="119" s="1"/>
  <c r="Q55" i="113"/>
  <c r="H56" i="113"/>
  <c r="I56" i="113"/>
  <c r="J56" i="113"/>
  <c r="K56" i="113"/>
  <c r="L56" i="113"/>
  <c r="M56" i="113"/>
  <c r="N56" i="113"/>
  <c r="O56" i="113"/>
  <c r="P56" i="113"/>
  <c r="Q56" i="113"/>
  <c r="H57" i="113"/>
  <c r="I57" i="113"/>
  <c r="J57" i="113"/>
  <c r="K57" i="113"/>
  <c r="L57" i="113"/>
  <c r="M57" i="113"/>
  <c r="N57" i="113"/>
  <c r="H58" i="113"/>
  <c r="I58" i="113"/>
  <c r="J58" i="113"/>
  <c r="K58" i="113"/>
  <c r="L58" i="113"/>
  <c r="M58" i="113"/>
  <c r="N58" i="113"/>
  <c r="O58" i="113"/>
  <c r="P58" i="113"/>
  <c r="Q58" i="113"/>
  <c r="H59" i="113"/>
  <c r="I59" i="113"/>
  <c r="J59" i="113"/>
  <c r="K59" i="113"/>
  <c r="L59" i="113"/>
  <c r="M59" i="113"/>
  <c r="N59" i="113"/>
  <c r="O59" i="113"/>
  <c r="P59" i="113"/>
  <c r="Q59" i="113"/>
  <c r="H60" i="113"/>
  <c r="I60" i="113"/>
  <c r="J60" i="113"/>
  <c r="K60" i="113"/>
  <c r="L60" i="113"/>
  <c r="M60" i="113"/>
  <c r="N60" i="113"/>
  <c r="O60" i="113"/>
  <c r="P60" i="113"/>
  <c r="Q60" i="113"/>
  <c r="H61" i="113"/>
  <c r="I61" i="113"/>
  <c r="J61" i="113"/>
  <c r="K61" i="113"/>
  <c r="L61" i="113"/>
  <c r="M61" i="113"/>
  <c r="N61" i="113"/>
  <c r="P61" i="113"/>
  <c r="P59" i="119" s="1"/>
  <c r="Q61" i="113"/>
  <c r="H62" i="113"/>
  <c r="I62" i="113"/>
  <c r="J62" i="113"/>
  <c r="K62" i="113"/>
  <c r="L62" i="113"/>
  <c r="M62" i="113"/>
  <c r="N62" i="113"/>
  <c r="O62" i="113"/>
  <c r="P62" i="113"/>
  <c r="Q62" i="113"/>
  <c r="H63" i="113"/>
  <c r="I63" i="113"/>
  <c r="J63" i="113"/>
  <c r="K63" i="113"/>
  <c r="L63" i="113"/>
  <c r="M63" i="113"/>
  <c r="N63" i="113"/>
  <c r="O63" i="113"/>
  <c r="P63" i="113"/>
  <c r="Q63" i="113"/>
  <c r="H64" i="113"/>
  <c r="I64" i="113"/>
  <c r="J64" i="113"/>
  <c r="K64" i="113"/>
  <c r="L64" i="113"/>
  <c r="M64" i="113"/>
  <c r="N64" i="113"/>
  <c r="O64" i="113"/>
  <c r="H65" i="113"/>
  <c r="I65" i="113"/>
  <c r="J65" i="113"/>
  <c r="K65" i="113"/>
  <c r="L65" i="113"/>
  <c r="M65" i="113"/>
  <c r="N65" i="113"/>
  <c r="P65" i="113"/>
  <c r="Q65" i="113"/>
  <c r="H66" i="113"/>
  <c r="I66" i="113"/>
  <c r="J66" i="113"/>
  <c r="K66" i="113"/>
  <c r="L66" i="113"/>
  <c r="M66" i="113"/>
  <c r="N66" i="113"/>
  <c r="O66" i="113"/>
  <c r="P66" i="113"/>
  <c r="Q66" i="113"/>
  <c r="Q64" i="119" s="1"/>
  <c r="B5" i="113"/>
  <c r="AC5" i="121" s="1"/>
  <c r="B6" i="113"/>
  <c r="AC6" i="121"/>
  <c r="B8" i="113"/>
  <c r="AC7" i="121"/>
  <c r="B7" i="113"/>
  <c r="AC8" i="121"/>
  <c r="B9" i="113"/>
  <c r="AC9" i="121"/>
  <c r="B10" i="113"/>
  <c r="AC10" i="121"/>
  <c r="B11" i="113"/>
  <c r="AC11" i="121"/>
  <c r="B12" i="113"/>
  <c r="AC12" i="121"/>
  <c r="B13" i="113"/>
  <c r="AC13" i="121"/>
  <c r="B14" i="113"/>
  <c r="AC14" i="121"/>
  <c r="B17" i="113"/>
  <c r="AC15" i="121"/>
  <c r="B16" i="113"/>
  <c r="AC16" i="121"/>
  <c r="B15" i="113"/>
  <c r="AC17" i="121"/>
  <c r="B18" i="113"/>
  <c r="AC18" i="121"/>
  <c r="B19" i="113"/>
  <c r="AC19" i="121"/>
  <c r="B21" i="113"/>
  <c r="AC20" i="121"/>
  <c r="B22" i="113"/>
  <c r="AC21" i="121"/>
  <c r="B20" i="113"/>
  <c r="AC22" i="121"/>
  <c r="B23" i="113"/>
  <c r="AC23" i="121"/>
  <c r="B24" i="113"/>
  <c r="AC24" i="121"/>
  <c r="B26" i="113"/>
  <c r="AC25" i="121"/>
  <c r="B27" i="113"/>
  <c r="AC26" i="121"/>
  <c r="B25" i="113"/>
  <c r="AC27" i="121"/>
  <c r="B28" i="113"/>
  <c r="AC28" i="121"/>
  <c r="B30" i="113"/>
  <c r="AC29" i="121"/>
  <c r="B29" i="113"/>
  <c r="AC30" i="121"/>
  <c r="B31" i="113"/>
  <c r="AC31" i="121"/>
  <c r="B40" i="113"/>
  <c r="B41" i="113"/>
  <c r="B67" i="113" s="1"/>
  <c r="AC33" i="121" s="1"/>
  <c r="B42" i="113"/>
  <c r="B43" i="113"/>
  <c r="B44" i="113"/>
  <c r="B45" i="113"/>
  <c r="B46" i="113"/>
  <c r="B47" i="113"/>
  <c r="B48" i="113"/>
  <c r="B49" i="113"/>
  <c r="B50" i="113"/>
  <c r="B51" i="113"/>
  <c r="B52" i="113"/>
  <c r="B53" i="113"/>
  <c r="B54" i="113"/>
  <c r="B55" i="113"/>
  <c r="B56" i="113"/>
  <c r="B57" i="113"/>
  <c r="B58" i="113"/>
  <c r="B59" i="113"/>
  <c r="B60" i="113"/>
  <c r="B61" i="113"/>
  <c r="B62" i="113"/>
  <c r="B63" i="113"/>
  <c r="B64" i="113"/>
  <c r="B65" i="113"/>
  <c r="B66" i="113"/>
  <c r="B5" i="114"/>
  <c r="AE5" i="121"/>
  <c r="B6" i="114"/>
  <c r="AE6" i="121"/>
  <c r="B8" i="114"/>
  <c r="AE7" i="121"/>
  <c r="B7" i="114"/>
  <c r="AE8" i="121"/>
  <c r="B9" i="114"/>
  <c r="AE9" i="121"/>
  <c r="B10" i="114"/>
  <c r="AE10" i="121"/>
  <c r="B11" i="114"/>
  <c r="AE11" i="121"/>
  <c r="B12" i="114"/>
  <c r="AE12" i="121"/>
  <c r="B13" i="114"/>
  <c r="AE13" i="121"/>
  <c r="B14" i="114"/>
  <c r="AE14" i="121"/>
  <c r="B17" i="114"/>
  <c r="AE15" i="121"/>
  <c r="B16" i="114"/>
  <c r="AE16" i="121"/>
  <c r="B15" i="114"/>
  <c r="AE17" i="121"/>
  <c r="B18" i="114"/>
  <c r="AE18" i="121"/>
  <c r="B19" i="114"/>
  <c r="AE19" i="121"/>
  <c r="B21" i="114"/>
  <c r="AE20" i="121"/>
  <c r="B22" i="114"/>
  <c r="AE21" i="121"/>
  <c r="B20" i="114"/>
  <c r="AE22" i="121"/>
  <c r="B23" i="114"/>
  <c r="AE23" i="121"/>
  <c r="B24" i="114"/>
  <c r="AE24" i="121"/>
  <c r="B26" i="114"/>
  <c r="AE25" i="121"/>
  <c r="B27" i="114"/>
  <c r="AE26" i="121"/>
  <c r="B25" i="114"/>
  <c r="AE27" i="121"/>
  <c r="B28" i="114"/>
  <c r="AE28" i="121"/>
  <c r="B30" i="114"/>
  <c r="AE29" i="121"/>
  <c r="B29" i="114"/>
  <c r="AE30" i="121"/>
  <c r="B31" i="114"/>
  <c r="AE31" i="121"/>
  <c r="B40" i="114"/>
  <c r="B41" i="114"/>
  <c r="B42" i="114"/>
  <c r="B43" i="114"/>
  <c r="B44" i="114"/>
  <c r="B45" i="114"/>
  <c r="B46" i="114"/>
  <c r="B47" i="114"/>
  <c r="B48" i="114"/>
  <c r="B49" i="114"/>
  <c r="B50" i="114"/>
  <c r="B51" i="114"/>
  <c r="B52" i="114"/>
  <c r="B53" i="114"/>
  <c r="B54" i="114"/>
  <c r="B55" i="114"/>
  <c r="B56" i="114"/>
  <c r="B57" i="114"/>
  <c r="B58" i="114"/>
  <c r="B59" i="114"/>
  <c r="B60" i="114"/>
  <c r="B61" i="114"/>
  <c r="B62" i="114"/>
  <c r="B63" i="114"/>
  <c r="B64" i="114"/>
  <c r="B65" i="114"/>
  <c r="B66" i="114"/>
  <c r="C5" i="114"/>
  <c r="AF5" i="121" s="1"/>
  <c r="C6" i="114"/>
  <c r="AF6" i="121" s="1"/>
  <c r="C8" i="114"/>
  <c r="AF7" i="121" s="1"/>
  <c r="C7" i="114"/>
  <c r="AF8" i="121" s="1"/>
  <c r="C9" i="114"/>
  <c r="AF9" i="121" s="1"/>
  <c r="C10" i="114"/>
  <c r="AF10" i="121" s="1"/>
  <c r="C11" i="114"/>
  <c r="AF11" i="121" s="1"/>
  <c r="C12" i="114"/>
  <c r="AF12" i="121" s="1"/>
  <c r="AR12" i="121" s="1"/>
  <c r="AT12" i="121" s="1"/>
  <c r="C13" i="114"/>
  <c r="AF13" i="121" s="1"/>
  <c r="C14" i="114"/>
  <c r="AF14" i="121" s="1"/>
  <c r="C17" i="114"/>
  <c r="AF15" i="121" s="1"/>
  <c r="C16" i="114"/>
  <c r="AF16" i="121" s="1"/>
  <c r="AR16" i="121" s="1"/>
  <c r="AT16" i="121" s="1"/>
  <c r="C15" i="114"/>
  <c r="AF17" i="121" s="1"/>
  <c r="C18" i="114"/>
  <c r="AF18" i="121" s="1"/>
  <c r="C19" i="114"/>
  <c r="AF19" i="121" s="1"/>
  <c r="C21" i="114"/>
  <c r="AF20" i="121" s="1"/>
  <c r="C22" i="114"/>
  <c r="AF21" i="121" s="1"/>
  <c r="C20" i="114"/>
  <c r="AF22" i="121" s="1"/>
  <c r="C23" i="114"/>
  <c r="AF23" i="121" s="1"/>
  <c r="C24" i="114"/>
  <c r="AF24" i="121" s="1"/>
  <c r="C26" i="114"/>
  <c r="AF25" i="121" s="1"/>
  <c r="C27" i="114"/>
  <c r="AF26" i="121" s="1"/>
  <c r="C25" i="114"/>
  <c r="AF27" i="121" s="1"/>
  <c r="C28" i="114"/>
  <c r="AF28" i="121" s="1"/>
  <c r="C30" i="114"/>
  <c r="AF29" i="121" s="1"/>
  <c r="C29" i="114"/>
  <c r="AF30" i="121" s="1"/>
  <c r="C31" i="114"/>
  <c r="AF31" i="121" s="1"/>
  <c r="C40" i="114"/>
  <c r="C41" i="114"/>
  <c r="C42" i="114"/>
  <c r="C43" i="114"/>
  <c r="C44" i="114"/>
  <c r="C45" i="114"/>
  <c r="C46" i="114"/>
  <c r="C47" i="114"/>
  <c r="C48" i="114"/>
  <c r="C49" i="114"/>
  <c r="C50" i="114"/>
  <c r="C51" i="114"/>
  <c r="C52" i="114"/>
  <c r="C53" i="114"/>
  <c r="C54" i="114"/>
  <c r="C55" i="114"/>
  <c r="C56" i="114"/>
  <c r="C57" i="114"/>
  <c r="C58" i="114"/>
  <c r="C59" i="114"/>
  <c r="C60" i="114"/>
  <c r="C61" i="114"/>
  <c r="C62" i="114"/>
  <c r="C63" i="114"/>
  <c r="C64" i="114"/>
  <c r="C65" i="114"/>
  <c r="C66" i="114"/>
  <c r="D5" i="114"/>
  <c r="AB5" i="122"/>
  <c r="D6" i="114"/>
  <c r="AB6" i="122"/>
  <c r="D8" i="114"/>
  <c r="D7" i="114"/>
  <c r="AB8" i="122" s="1"/>
  <c r="D9" i="114"/>
  <c r="AB9" i="122" s="1"/>
  <c r="D10" i="114"/>
  <c r="AB10" i="122" s="1"/>
  <c r="D11" i="114"/>
  <c r="AB11" i="122" s="1"/>
  <c r="D12" i="114"/>
  <c r="AB12" i="122"/>
  <c r="D13" i="114"/>
  <c r="AB13" i="122" s="1"/>
  <c r="D14" i="114"/>
  <c r="AB14" i="122"/>
  <c r="D17" i="114"/>
  <c r="AB15" i="122" s="1"/>
  <c r="D16" i="114"/>
  <c r="AB16" i="122"/>
  <c r="D15" i="114"/>
  <c r="AB17" i="122" s="1"/>
  <c r="D18" i="114"/>
  <c r="AB18" i="122"/>
  <c r="D19" i="114"/>
  <c r="AB19" i="122" s="1"/>
  <c r="D21" i="114"/>
  <c r="AB20" i="122"/>
  <c r="D22" i="114"/>
  <c r="AB21" i="122" s="1"/>
  <c r="D20" i="114"/>
  <c r="AB22" i="122"/>
  <c r="D23" i="114"/>
  <c r="AB23" i="122" s="1"/>
  <c r="AN23" i="122" s="1"/>
  <c r="AP23" i="122" s="1"/>
  <c r="D24" i="114"/>
  <c r="AB24" i="122"/>
  <c r="D26" i="114"/>
  <c r="AB25" i="122" s="1"/>
  <c r="D27" i="114"/>
  <c r="AB26" i="122"/>
  <c r="D25" i="114"/>
  <c r="AB27" i="122" s="1"/>
  <c r="D28" i="114"/>
  <c r="AB28" i="122"/>
  <c r="D30" i="114"/>
  <c r="AB29" i="122" s="1"/>
  <c r="D29" i="114"/>
  <c r="AB30" i="122"/>
  <c r="D31" i="114"/>
  <c r="AB31" i="122" s="1"/>
  <c r="D40" i="114"/>
  <c r="D41" i="114"/>
  <c r="D42" i="114"/>
  <c r="D43" i="114"/>
  <c r="D44" i="114"/>
  <c r="D45" i="114"/>
  <c r="D46" i="114"/>
  <c r="D47" i="114"/>
  <c r="D48" i="114"/>
  <c r="D49" i="114"/>
  <c r="D50" i="114"/>
  <c r="D51" i="114"/>
  <c r="D52" i="114"/>
  <c r="D53" i="114"/>
  <c r="D54" i="114"/>
  <c r="D55" i="114"/>
  <c r="D56" i="114"/>
  <c r="D57" i="114"/>
  <c r="D58" i="114"/>
  <c r="D59" i="114"/>
  <c r="D60" i="114"/>
  <c r="D61" i="114"/>
  <c r="D62" i="114"/>
  <c r="D63" i="114"/>
  <c r="D64" i="114"/>
  <c r="D65" i="114"/>
  <c r="D66" i="114"/>
  <c r="E5" i="114"/>
  <c r="AC5" i="122" s="1"/>
  <c r="E6" i="114"/>
  <c r="AC6" i="122"/>
  <c r="E8" i="114"/>
  <c r="AC7" i="122" s="1"/>
  <c r="AJ7" i="122" s="1"/>
  <c r="AK7" i="122" s="1"/>
  <c r="E7" i="114"/>
  <c r="AC8" i="122"/>
  <c r="E9" i="114"/>
  <c r="AC9" i="122" s="1"/>
  <c r="AO9" i="122" s="1"/>
  <c r="AQ9" i="122" s="1"/>
  <c r="E10" i="114"/>
  <c r="AC10" i="122"/>
  <c r="E11" i="114"/>
  <c r="AC11" i="122" s="1"/>
  <c r="E12" i="114"/>
  <c r="AC12" i="122"/>
  <c r="E13" i="114"/>
  <c r="AC13" i="122" s="1"/>
  <c r="E14" i="114"/>
  <c r="AC14" i="122"/>
  <c r="E17" i="114"/>
  <c r="AC15" i="122" s="1"/>
  <c r="E16" i="114"/>
  <c r="AC16" i="122"/>
  <c r="E15" i="114"/>
  <c r="AC17" i="122" s="1"/>
  <c r="AO17" i="122" s="1"/>
  <c r="AQ17" i="122" s="1"/>
  <c r="E18" i="114"/>
  <c r="AC18" i="122"/>
  <c r="E19" i="114"/>
  <c r="AC19" i="122" s="1"/>
  <c r="E21" i="114"/>
  <c r="E22" i="114"/>
  <c r="AC21" i="122" s="1"/>
  <c r="E20" i="114"/>
  <c r="AC22" i="122"/>
  <c r="E23" i="114"/>
  <c r="AC23" i="122" s="1"/>
  <c r="E24" i="114"/>
  <c r="E26" i="114"/>
  <c r="AC25" i="122"/>
  <c r="E27" i="114"/>
  <c r="AC26" i="122"/>
  <c r="E25" i="114"/>
  <c r="AC27" i="122"/>
  <c r="E28" i="114"/>
  <c r="E30" i="114"/>
  <c r="AC29" i="122"/>
  <c r="E29" i="114"/>
  <c r="AC30" i="122" s="1"/>
  <c r="E31" i="114"/>
  <c r="AC31" i="122"/>
  <c r="E40" i="114"/>
  <c r="V40" i="114" s="1"/>
  <c r="E41" i="114"/>
  <c r="E42" i="114"/>
  <c r="E43" i="114"/>
  <c r="E44" i="114"/>
  <c r="V44" i="114"/>
  <c r="E45" i="114"/>
  <c r="E46" i="114"/>
  <c r="E47" i="114"/>
  <c r="E48" i="114"/>
  <c r="V48" i="114"/>
  <c r="E49" i="114"/>
  <c r="E50" i="114"/>
  <c r="E51" i="114"/>
  <c r="E52" i="114"/>
  <c r="V52" i="114"/>
  <c r="E53" i="114"/>
  <c r="E54" i="114"/>
  <c r="E55" i="114"/>
  <c r="E56" i="114"/>
  <c r="V56" i="114" s="1"/>
  <c r="E57" i="114"/>
  <c r="E58" i="114"/>
  <c r="E59" i="114"/>
  <c r="E60" i="114"/>
  <c r="V60" i="114"/>
  <c r="E61" i="114"/>
  <c r="E62" i="114"/>
  <c r="E63" i="114"/>
  <c r="E64" i="114"/>
  <c r="V64" i="114"/>
  <c r="E65" i="114"/>
  <c r="E66" i="114"/>
  <c r="F5" i="114"/>
  <c r="G5" i="114"/>
  <c r="F6" i="114"/>
  <c r="G6" i="114"/>
  <c r="F8" i="114"/>
  <c r="G8" i="114"/>
  <c r="F7" i="114"/>
  <c r="G7" i="114"/>
  <c r="F9" i="114"/>
  <c r="G9" i="114"/>
  <c r="F10" i="114"/>
  <c r="G10" i="114"/>
  <c r="F11" i="114"/>
  <c r="G11" i="114"/>
  <c r="F12" i="114"/>
  <c r="G12" i="114"/>
  <c r="F13" i="114"/>
  <c r="G13" i="114"/>
  <c r="F14" i="114"/>
  <c r="G14" i="114"/>
  <c r="F17" i="114"/>
  <c r="G17" i="114"/>
  <c r="F16" i="114"/>
  <c r="G16" i="114"/>
  <c r="F15" i="114"/>
  <c r="G15" i="114"/>
  <c r="F18" i="114"/>
  <c r="G18" i="114"/>
  <c r="F19" i="114"/>
  <c r="G19" i="114"/>
  <c r="F21" i="114"/>
  <c r="G21" i="114"/>
  <c r="F22" i="114"/>
  <c r="G22" i="114"/>
  <c r="F20" i="114"/>
  <c r="G20" i="114"/>
  <c r="F23" i="114"/>
  <c r="G23" i="114"/>
  <c r="F24" i="114"/>
  <c r="G24" i="114"/>
  <c r="F26" i="114"/>
  <c r="G26" i="114"/>
  <c r="F27" i="114"/>
  <c r="G27" i="114"/>
  <c r="F25" i="114"/>
  <c r="G25" i="114"/>
  <c r="F28" i="114"/>
  <c r="G28" i="114"/>
  <c r="F30" i="114"/>
  <c r="G30" i="114"/>
  <c r="F29" i="114"/>
  <c r="G29" i="114"/>
  <c r="F31" i="114"/>
  <c r="G31" i="114"/>
  <c r="F40" i="114"/>
  <c r="G40" i="114"/>
  <c r="F41" i="114"/>
  <c r="G41" i="114"/>
  <c r="F42" i="114"/>
  <c r="G42" i="114"/>
  <c r="F43" i="114"/>
  <c r="G43" i="114"/>
  <c r="F44" i="114"/>
  <c r="G44" i="114"/>
  <c r="F45" i="114"/>
  <c r="G45" i="114"/>
  <c r="F46" i="114"/>
  <c r="G46" i="114"/>
  <c r="F47" i="114"/>
  <c r="G47" i="114"/>
  <c r="F48" i="114"/>
  <c r="G48" i="114"/>
  <c r="F49" i="114"/>
  <c r="G49" i="114"/>
  <c r="F50" i="114"/>
  <c r="G50" i="114"/>
  <c r="F51" i="114"/>
  <c r="G51" i="114"/>
  <c r="F52" i="114"/>
  <c r="G52" i="114"/>
  <c r="F53" i="114"/>
  <c r="G53" i="114"/>
  <c r="F54" i="114"/>
  <c r="G54" i="114"/>
  <c r="F55" i="114"/>
  <c r="G55" i="114"/>
  <c r="F56" i="114"/>
  <c r="G56" i="114"/>
  <c r="F57" i="114"/>
  <c r="G57" i="114"/>
  <c r="F58" i="114"/>
  <c r="G58" i="114"/>
  <c r="F59" i="114"/>
  <c r="G59" i="114"/>
  <c r="F60" i="114"/>
  <c r="G60" i="114"/>
  <c r="F61" i="114"/>
  <c r="G61" i="114"/>
  <c r="F62" i="114"/>
  <c r="G62" i="114"/>
  <c r="F63" i="114"/>
  <c r="G63" i="114"/>
  <c r="F64" i="114"/>
  <c r="G64" i="114"/>
  <c r="F65" i="114"/>
  <c r="G65" i="114"/>
  <c r="F66" i="114"/>
  <c r="G66" i="114"/>
  <c r="H6" i="114"/>
  <c r="I6" i="114"/>
  <c r="J6" i="114"/>
  <c r="K6" i="114"/>
  <c r="L6" i="114"/>
  <c r="M6" i="114"/>
  <c r="N6" i="114"/>
  <c r="H8" i="114"/>
  <c r="I8" i="114"/>
  <c r="J8" i="114"/>
  <c r="K8" i="114"/>
  <c r="L8" i="114"/>
  <c r="M8" i="114"/>
  <c r="N8" i="114"/>
  <c r="H7" i="114"/>
  <c r="I7" i="114"/>
  <c r="J7" i="114"/>
  <c r="K7" i="114"/>
  <c r="L7" i="114"/>
  <c r="M7" i="114"/>
  <c r="N7" i="114"/>
  <c r="H9" i="114"/>
  <c r="I9" i="114"/>
  <c r="J9" i="114"/>
  <c r="K9" i="114"/>
  <c r="L9" i="114"/>
  <c r="M9" i="114"/>
  <c r="N9" i="114"/>
  <c r="H10" i="114"/>
  <c r="I10" i="114"/>
  <c r="J10" i="114"/>
  <c r="K10" i="114"/>
  <c r="L10" i="114"/>
  <c r="M10" i="114"/>
  <c r="N10" i="114"/>
  <c r="H11" i="114"/>
  <c r="I11" i="114"/>
  <c r="J11" i="114"/>
  <c r="K11" i="114"/>
  <c r="L11" i="114"/>
  <c r="M11" i="114"/>
  <c r="N11" i="114"/>
  <c r="H12" i="114"/>
  <c r="I12" i="114"/>
  <c r="J12" i="114"/>
  <c r="K12" i="114"/>
  <c r="L12" i="114"/>
  <c r="M12" i="114"/>
  <c r="N12" i="114"/>
  <c r="H13" i="114"/>
  <c r="I13" i="114"/>
  <c r="J13" i="114"/>
  <c r="K13" i="114"/>
  <c r="L13" i="114"/>
  <c r="M13" i="114"/>
  <c r="N13" i="114"/>
  <c r="H14" i="114"/>
  <c r="I14" i="114"/>
  <c r="J14" i="114"/>
  <c r="K14" i="114"/>
  <c r="L14" i="114"/>
  <c r="M14" i="114"/>
  <c r="N14" i="114"/>
  <c r="H17" i="114"/>
  <c r="I17" i="114"/>
  <c r="J17" i="114"/>
  <c r="K17" i="114"/>
  <c r="L17" i="114"/>
  <c r="M17" i="114"/>
  <c r="N17" i="114"/>
  <c r="H16" i="114"/>
  <c r="I16" i="114"/>
  <c r="J16" i="114"/>
  <c r="K16" i="114"/>
  <c r="L16" i="114"/>
  <c r="M16" i="114"/>
  <c r="N16" i="114"/>
  <c r="H15" i="114"/>
  <c r="I15" i="114"/>
  <c r="J15" i="114"/>
  <c r="K15" i="114"/>
  <c r="L15" i="114"/>
  <c r="M15" i="114"/>
  <c r="N15" i="114"/>
  <c r="H18" i="114"/>
  <c r="I18" i="114"/>
  <c r="J18" i="114"/>
  <c r="K18" i="114"/>
  <c r="L18" i="114"/>
  <c r="M18" i="114"/>
  <c r="N18" i="114"/>
  <c r="H19" i="114"/>
  <c r="I19" i="114"/>
  <c r="J19" i="114"/>
  <c r="K19" i="114"/>
  <c r="L19" i="114"/>
  <c r="M19" i="114"/>
  <c r="N19" i="114"/>
  <c r="H21" i="114"/>
  <c r="I21" i="114"/>
  <c r="J21" i="114"/>
  <c r="K21" i="114"/>
  <c r="L21" i="114"/>
  <c r="M21" i="114"/>
  <c r="N21" i="114"/>
  <c r="H22" i="114"/>
  <c r="I22" i="114"/>
  <c r="J22" i="114"/>
  <c r="K22" i="114"/>
  <c r="L22" i="114"/>
  <c r="M22" i="114"/>
  <c r="N22" i="114"/>
  <c r="H20" i="114"/>
  <c r="I20" i="114"/>
  <c r="J20" i="114"/>
  <c r="K20" i="114"/>
  <c r="L20" i="114"/>
  <c r="M20" i="114"/>
  <c r="N20" i="114"/>
  <c r="H23" i="114"/>
  <c r="I23" i="114"/>
  <c r="J23" i="114"/>
  <c r="K23" i="114"/>
  <c r="L23" i="114"/>
  <c r="M23" i="114"/>
  <c r="N23" i="114"/>
  <c r="H24" i="114"/>
  <c r="I24" i="114"/>
  <c r="J24" i="114"/>
  <c r="K24" i="114"/>
  <c r="L24" i="114"/>
  <c r="M24" i="114"/>
  <c r="N24" i="114"/>
  <c r="H26" i="114"/>
  <c r="I26" i="114"/>
  <c r="J26" i="114"/>
  <c r="K26" i="114"/>
  <c r="L26" i="114"/>
  <c r="M26" i="114"/>
  <c r="N26" i="114"/>
  <c r="H27" i="114"/>
  <c r="I27" i="114"/>
  <c r="J27" i="114"/>
  <c r="K27" i="114"/>
  <c r="L27" i="114"/>
  <c r="M27" i="114"/>
  <c r="N27" i="114"/>
  <c r="H25" i="114"/>
  <c r="I25" i="114"/>
  <c r="J25" i="114"/>
  <c r="K25" i="114"/>
  <c r="L25" i="114"/>
  <c r="M25" i="114"/>
  <c r="N25" i="114"/>
  <c r="H28" i="114"/>
  <c r="I28" i="114"/>
  <c r="J28" i="114"/>
  <c r="K28" i="114"/>
  <c r="L28" i="114"/>
  <c r="M28" i="114"/>
  <c r="N28" i="114"/>
  <c r="H30" i="114"/>
  <c r="I30" i="114"/>
  <c r="J30" i="114"/>
  <c r="K30" i="114"/>
  <c r="L30" i="114"/>
  <c r="M30" i="114"/>
  <c r="N30" i="114"/>
  <c r="H29" i="114"/>
  <c r="I29" i="114"/>
  <c r="J29" i="114"/>
  <c r="K29" i="114"/>
  <c r="L29" i="114"/>
  <c r="M29" i="114"/>
  <c r="N29" i="114"/>
  <c r="H31" i="114"/>
  <c r="I31" i="114"/>
  <c r="J31" i="114"/>
  <c r="K31" i="114"/>
  <c r="L31" i="114"/>
  <c r="M31" i="114"/>
  <c r="N31" i="114"/>
  <c r="H40" i="114"/>
  <c r="I40" i="114"/>
  <c r="J40" i="114"/>
  <c r="K40" i="114"/>
  <c r="L40" i="114"/>
  <c r="M40" i="114"/>
  <c r="N40" i="114"/>
  <c r="O40" i="114"/>
  <c r="H41" i="114"/>
  <c r="I41" i="114"/>
  <c r="J41" i="114"/>
  <c r="K41" i="114"/>
  <c r="L41" i="114"/>
  <c r="M41" i="114"/>
  <c r="N41" i="114"/>
  <c r="H42" i="114"/>
  <c r="I42" i="114"/>
  <c r="J42" i="114"/>
  <c r="K42" i="114"/>
  <c r="L42" i="114"/>
  <c r="M42" i="114"/>
  <c r="N42" i="114"/>
  <c r="H43" i="114"/>
  <c r="I43" i="114"/>
  <c r="J43" i="114"/>
  <c r="K43" i="114"/>
  <c r="L43" i="114"/>
  <c r="M43" i="114"/>
  <c r="N43" i="114"/>
  <c r="H44" i="114"/>
  <c r="I44" i="114"/>
  <c r="J44" i="114"/>
  <c r="K44" i="114"/>
  <c r="L44" i="114"/>
  <c r="M44" i="114"/>
  <c r="N44" i="114"/>
  <c r="H45" i="114"/>
  <c r="I45" i="114"/>
  <c r="J45" i="114"/>
  <c r="K45" i="114"/>
  <c r="L45" i="114"/>
  <c r="M45" i="114"/>
  <c r="N45" i="114"/>
  <c r="H46" i="114"/>
  <c r="I46" i="114"/>
  <c r="J46" i="114"/>
  <c r="K46" i="114"/>
  <c r="L46" i="114"/>
  <c r="M46" i="114"/>
  <c r="N46" i="114"/>
  <c r="H47" i="114"/>
  <c r="I47" i="114"/>
  <c r="J47" i="114"/>
  <c r="K47" i="114"/>
  <c r="L47" i="114"/>
  <c r="M47" i="114"/>
  <c r="N47" i="114"/>
  <c r="H48" i="114"/>
  <c r="I48" i="114"/>
  <c r="J48" i="114"/>
  <c r="K48" i="114"/>
  <c r="L48" i="114"/>
  <c r="M48" i="114"/>
  <c r="N48" i="114"/>
  <c r="H49" i="114"/>
  <c r="I49" i="114"/>
  <c r="J49" i="114"/>
  <c r="K49" i="114"/>
  <c r="L49" i="114"/>
  <c r="M49" i="114"/>
  <c r="N49" i="114"/>
  <c r="H50" i="114"/>
  <c r="I50" i="114"/>
  <c r="J50" i="114"/>
  <c r="K50" i="114"/>
  <c r="L50" i="114"/>
  <c r="M50" i="114"/>
  <c r="N50" i="114"/>
  <c r="H51" i="114"/>
  <c r="I51" i="114"/>
  <c r="J51" i="114"/>
  <c r="K51" i="114"/>
  <c r="L51" i="114"/>
  <c r="M51" i="114"/>
  <c r="N51" i="114"/>
  <c r="H52" i="114"/>
  <c r="I52" i="114"/>
  <c r="J52" i="114"/>
  <c r="K52" i="114"/>
  <c r="L52" i="114"/>
  <c r="M52" i="114"/>
  <c r="N52" i="114"/>
  <c r="H53" i="114"/>
  <c r="I53" i="114"/>
  <c r="J53" i="114"/>
  <c r="K53" i="114"/>
  <c r="L53" i="114"/>
  <c r="M53" i="114"/>
  <c r="N53" i="114"/>
  <c r="H54" i="114"/>
  <c r="I54" i="114"/>
  <c r="J54" i="114"/>
  <c r="K54" i="114"/>
  <c r="L54" i="114"/>
  <c r="M54" i="114"/>
  <c r="N54" i="114"/>
  <c r="H55" i="114"/>
  <c r="I55" i="114"/>
  <c r="J55" i="114"/>
  <c r="K55" i="114"/>
  <c r="L55" i="114"/>
  <c r="M55" i="114"/>
  <c r="N55" i="114"/>
  <c r="H56" i="114"/>
  <c r="I56" i="114"/>
  <c r="J56" i="114"/>
  <c r="K56" i="114"/>
  <c r="L56" i="114"/>
  <c r="M56" i="114"/>
  <c r="N56" i="114"/>
  <c r="H57" i="114"/>
  <c r="I57" i="114"/>
  <c r="J57" i="114"/>
  <c r="K57" i="114"/>
  <c r="L57" i="114"/>
  <c r="M57" i="114"/>
  <c r="N57" i="114"/>
  <c r="H58" i="114"/>
  <c r="I58" i="114"/>
  <c r="J58" i="114"/>
  <c r="K58" i="114"/>
  <c r="L58" i="114"/>
  <c r="M58" i="114"/>
  <c r="N58" i="114"/>
  <c r="H59" i="114"/>
  <c r="I59" i="114"/>
  <c r="J59" i="114"/>
  <c r="K59" i="114"/>
  <c r="L59" i="114"/>
  <c r="M59" i="114"/>
  <c r="N59" i="114"/>
  <c r="H60" i="114"/>
  <c r="I60" i="114"/>
  <c r="J60" i="114"/>
  <c r="K60" i="114"/>
  <c r="L60" i="114"/>
  <c r="M60" i="114"/>
  <c r="N60" i="114"/>
  <c r="H61" i="114"/>
  <c r="I61" i="114"/>
  <c r="J61" i="114"/>
  <c r="K61" i="114"/>
  <c r="L61" i="114"/>
  <c r="M61" i="114"/>
  <c r="N61" i="114"/>
  <c r="H62" i="114"/>
  <c r="I62" i="114"/>
  <c r="J62" i="114"/>
  <c r="K62" i="114"/>
  <c r="L62" i="114"/>
  <c r="M62" i="114"/>
  <c r="N62" i="114"/>
  <c r="H63" i="114"/>
  <c r="I63" i="114"/>
  <c r="J63" i="114"/>
  <c r="K63" i="114"/>
  <c r="L63" i="114"/>
  <c r="M63" i="114"/>
  <c r="N63" i="114"/>
  <c r="H64" i="114"/>
  <c r="I64" i="114"/>
  <c r="J64" i="114"/>
  <c r="K64" i="114"/>
  <c r="L64" i="114"/>
  <c r="M64" i="114"/>
  <c r="N64" i="114"/>
  <c r="H65" i="114"/>
  <c r="I65" i="114"/>
  <c r="J65" i="114"/>
  <c r="K65" i="114"/>
  <c r="L65" i="114"/>
  <c r="M65" i="114"/>
  <c r="N65" i="114"/>
  <c r="H66" i="114"/>
  <c r="I66" i="114"/>
  <c r="J66" i="114"/>
  <c r="K66" i="114"/>
  <c r="L66" i="114"/>
  <c r="M66" i="114"/>
  <c r="N66" i="114"/>
  <c r="B5" i="115"/>
  <c r="B6" i="115"/>
  <c r="AG6" i="121"/>
  <c r="B8" i="115"/>
  <c r="AG7" i="121"/>
  <c r="B7" i="115"/>
  <c r="B9" i="115"/>
  <c r="AG9" i="121"/>
  <c r="B10" i="115"/>
  <c r="AG10" i="121"/>
  <c r="B11" i="115"/>
  <c r="AG11" i="121"/>
  <c r="B12" i="115"/>
  <c r="B13" i="115"/>
  <c r="AG13" i="121"/>
  <c r="B14" i="115"/>
  <c r="AG14" i="121"/>
  <c r="B17" i="115"/>
  <c r="AG15" i="121"/>
  <c r="B16" i="115"/>
  <c r="B15" i="115"/>
  <c r="AG17" i="121"/>
  <c r="B18" i="115"/>
  <c r="AG18" i="121"/>
  <c r="B19" i="115"/>
  <c r="AG19" i="121"/>
  <c r="B21" i="115"/>
  <c r="B22" i="115"/>
  <c r="AG21" i="121"/>
  <c r="B20" i="115"/>
  <c r="AG22" i="121"/>
  <c r="B23" i="115"/>
  <c r="AG23" i="121"/>
  <c r="B24" i="115"/>
  <c r="B26" i="115"/>
  <c r="AG25" i="121"/>
  <c r="B27" i="115"/>
  <c r="AG26" i="121"/>
  <c r="B25" i="115"/>
  <c r="AG27" i="121"/>
  <c r="B28" i="115"/>
  <c r="B30" i="115"/>
  <c r="AG29" i="121"/>
  <c r="B29" i="115"/>
  <c r="AG30" i="121"/>
  <c r="B31" i="115"/>
  <c r="AG31" i="121"/>
  <c r="B40" i="115"/>
  <c r="B41" i="115"/>
  <c r="B42" i="115"/>
  <c r="B43" i="115"/>
  <c r="B44" i="115"/>
  <c r="B45" i="115"/>
  <c r="B46" i="115"/>
  <c r="B47" i="115"/>
  <c r="B48" i="115"/>
  <c r="B49" i="115"/>
  <c r="B50" i="115"/>
  <c r="B51" i="115"/>
  <c r="B52" i="115"/>
  <c r="B53" i="115"/>
  <c r="B54" i="115"/>
  <c r="B55" i="115"/>
  <c r="B56" i="115"/>
  <c r="B57" i="115"/>
  <c r="B58" i="115"/>
  <c r="B59" i="115"/>
  <c r="B60" i="115"/>
  <c r="B61" i="115"/>
  <c r="B62" i="115"/>
  <c r="B63" i="115"/>
  <c r="B64" i="115"/>
  <c r="B65" i="115"/>
  <c r="B66" i="115"/>
  <c r="C5" i="115"/>
  <c r="AH5" i="121"/>
  <c r="C6" i="115"/>
  <c r="C8" i="115"/>
  <c r="AH7" i="121"/>
  <c r="C7" i="115"/>
  <c r="AH8" i="121"/>
  <c r="C9" i="115"/>
  <c r="AH9" i="121"/>
  <c r="C10" i="115"/>
  <c r="C11" i="115"/>
  <c r="C12" i="115"/>
  <c r="AH12" i="121"/>
  <c r="C13" i="115"/>
  <c r="AH13" i="121"/>
  <c r="C14" i="115"/>
  <c r="C17" i="115"/>
  <c r="AH15" i="121"/>
  <c r="C16" i="115"/>
  <c r="AH16" i="121"/>
  <c r="C15" i="115"/>
  <c r="C18" i="115"/>
  <c r="AH18" i="121"/>
  <c r="C19" i="115"/>
  <c r="AH19" i="121"/>
  <c r="C21" i="115"/>
  <c r="AH20" i="121"/>
  <c r="C22" i="115"/>
  <c r="C20" i="115"/>
  <c r="AH22" i="121"/>
  <c r="C23" i="115"/>
  <c r="AH23" i="121"/>
  <c r="C24" i="115"/>
  <c r="AH24" i="121"/>
  <c r="C26" i="115"/>
  <c r="C27" i="115"/>
  <c r="AH26" i="121"/>
  <c r="C25" i="115"/>
  <c r="AH27" i="121"/>
  <c r="C28" i="115"/>
  <c r="AH28" i="121"/>
  <c r="C30" i="115"/>
  <c r="AH29" i="121"/>
  <c r="C29" i="115"/>
  <c r="AH30" i="121"/>
  <c r="C31" i="115"/>
  <c r="AH31" i="121"/>
  <c r="C40" i="115"/>
  <c r="C41" i="115"/>
  <c r="C42" i="115"/>
  <c r="C43" i="115"/>
  <c r="C44" i="115"/>
  <c r="C45" i="115"/>
  <c r="C46" i="115"/>
  <c r="C47" i="115"/>
  <c r="C48" i="115"/>
  <c r="C49" i="115"/>
  <c r="C50" i="115"/>
  <c r="C51" i="115"/>
  <c r="C52" i="115"/>
  <c r="C53" i="115"/>
  <c r="C54" i="115"/>
  <c r="C55" i="115"/>
  <c r="C56" i="115"/>
  <c r="C57" i="115"/>
  <c r="C58" i="115"/>
  <c r="C59" i="115"/>
  <c r="C60" i="115"/>
  <c r="C61" i="115"/>
  <c r="C62" i="115"/>
  <c r="C63" i="115"/>
  <c r="C64" i="115"/>
  <c r="C65" i="115"/>
  <c r="C66" i="115"/>
  <c r="D5" i="115"/>
  <c r="AD5" i="122"/>
  <c r="D6" i="115"/>
  <c r="AD6" i="122"/>
  <c r="D8" i="115"/>
  <c r="AD7" i="122"/>
  <c r="D7" i="115"/>
  <c r="AD8" i="122"/>
  <c r="AD32" i="122" s="1"/>
  <c r="AD34" i="122" s="1"/>
  <c r="AD36" i="122" s="1"/>
  <c r="D9" i="115"/>
  <c r="AD9" i="122"/>
  <c r="D10" i="115"/>
  <c r="AD10" i="122"/>
  <c r="D11" i="115"/>
  <c r="AD11" i="122"/>
  <c r="D12" i="115"/>
  <c r="AD12" i="122"/>
  <c r="D13" i="115"/>
  <c r="AD13" i="122"/>
  <c r="D14" i="115"/>
  <c r="AD14" i="122"/>
  <c r="D17" i="115"/>
  <c r="AD15" i="122"/>
  <c r="D16" i="115"/>
  <c r="AD16" i="122"/>
  <c r="D15" i="115"/>
  <c r="AD17" i="122"/>
  <c r="D18" i="115"/>
  <c r="AD18" i="122"/>
  <c r="D19" i="115"/>
  <c r="AD19" i="122"/>
  <c r="D21" i="115"/>
  <c r="AD20" i="122"/>
  <c r="L21" i="125" s="1"/>
  <c r="D22" i="115"/>
  <c r="AD21" i="122"/>
  <c r="D20" i="115"/>
  <c r="AD22" i="122"/>
  <c r="D23" i="115"/>
  <c r="AD23" i="122"/>
  <c r="D24" i="115"/>
  <c r="AD24" i="122"/>
  <c r="D26" i="115"/>
  <c r="AD25" i="122"/>
  <c r="D27" i="115"/>
  <c r="AD26" i="122"/>
  <c r="D25" i="115"/>
  <c r="AD27" i="122"/>
  <c r="D28" i="115"/>
  <c r="AD28" i="122"/>
  <c r="D30" i="115"/>
  <c r="AD29" i="122"/>
  <c r="D29" i="115"/>
  <c r="AD30" i="122"/>
  <c r="D31" i="115"/>
  <c r="AD31" i="122"/>
  <c r="D40" i="115"/>
  <c r="D41" i="115"/>
  <c r="D42" i="115"/>
  <c r="D43" i="115"/>
  <c r="D44" i="115"/>
  <c r="D45" i="115"/>
  <c r="D46" i="115"/>
  <c r="D47" i="115"/>
  <c r="D48" i="115"/>
  <c r="D49" i="115"/>
  <c r="D50" i="115"/>
  <c r="D51" i="115"/>
  <c r="D52" i="115"/>
  <c r="D53" i="115"/>
  <c r="D54" i="115"/>
  <c r="D55" i="115"/>
  <c r="D56" i="115"/>
  <c r="D57" i="115"/>
  <c r="D58" i="115"/>
  <c r="D59" i="115"/>
  <c r="D60" i="115"/>
  <c r="D61" i="115"/>
  <c r="D62" i="115"/>
  <c r="D63" i="115"/>
  <c r="D64" i="115"/>
  <c r="D65" i="115"/>
  <c r="D66" i="115"/>
  <c r="E5" i="115"/>
  <c r="AE5" i="122"/>
  <c r="E6" i="115"/>
  <c r="AE6" i="122"/>
  <c r="E8" i="115"/>
  <c r="AE7" i="122"/>
  <c r="E7" i="115"/>
  <c r="AE8" i="122"/>
  <c r="E9" i="115"/>
  <c r="AE9" i="122"/>
  <c r="E10" i="115"/>
  <c r="AE10" i="122"/>
  <c r="E11" i="115"/>
  <c r="AE11" i="122"/>
  <c r="E12" i="115"/>
  <c r="AE12" i="122"/>
  <c r="E13" i="115"/>
  <c r="AE13" i="122"/>
  <c r="E14" i="115"/>
  <c r="AE14" i="122"/>
  <c r="E17" i="115"/>
  <c r="AE15" i="122"/>
  <c r="E16" i="115"/>
  <c r="AE16" i="122"/>
  <c r="E15" i="115"/>
  <c r="AE17" i="122"/>
  <c r="E18" i="115"/>
  <c r="AE18" i="122"/>
  <c r="E19" i="115"/>
  <c r="AE19" i="122"/>
  <c r="E21" i="115"/>
  <c r="AE20" i="122"/>
  <c r="E22" i="115"/>
  <c r="AE21" i="122"/>
  <c r="E20" i="115"/>
  <c r="AE22" i="122"/>
  <c r="E23" i="115"/>
  <c r="AE23" i="122"/>
  <c r="E24" i="115"/>
  <c r="AE24" i="122"/>
  <c r="E26" i="115"/>
  <c r="AE25" i="122"/>
  <c r="E27" i="115"/>
  <c r="AE26" i="122"/>
  <c r="E25" i="115"/>
  <c r="AE27" i="122"/>
  <c r="E28" i="115"/>
  <c r="AE28" i="122"/>
  <c r="E30" i="115"/>
  <c r="AE29" i="122"/>
  <c r="E29" i="115"/>
  <c r="AE30" i="122"/>
  <c r="E31" i="115"/>
  <c r="AE31" i="122"/>
  <c r="E40" i="115"/>
  <c r="E41" i="115"/>
  <c r="E42" i="115"/>
  <c r="E43" i="115"/>
  <c r="E44" i="115"/>
  <c r="E45" i="115"/>
  <c r="E46" i="115"/>
  <c r="E47" i="115"/>
  <c r="E48" i="115"/>
  <c r="E49" i="115"/>
  <c r="E50" i="115"/>
  <c r="E51" i="115"/>
  <c r="E52" i="115"/>
  <c r="E53" i="115"/>
  <c r="E54" i="115"/>
  <c r="E55" i="115"/>
  <c r="E56" i="115"/>
  <c r="E57" i="115"/>
  <c r="E58" i="115"/>
  <c r="E59" i="115"/>
  <c r="E60" i="115"/>
  <c r="E61" i="115"/>
  <c r="E62" i="115"/>
  <c r="E63" i="115"/>
  <c r="E64" i="115"/>
  <c r="E65" i="115"/>
  <c r="E66" i="115"/>
  <c r="F5" i="115"/>
  <c r="G5" i="115"/>
  <c r="F6" i="115"/>
  <c r="G6" i="115"/>
  <c r="F8" i="115"/>
  <c r="G8" i="115"/>
  <c r="F7" i="115"/>
  <c r="G7" i="115"/>
  <c r="F9" i="115"/>
  <c r="G9" i="115"/>
  <c r="F10" i="115"/>
  <c r="G10" i="115"/>
  <c r="F11" i="115"/>
  <c r="G11" i="115"/>
  <c r="F12" i="115"/>
  <c r="G12" i="115"/>
  <c r="F13" i="115"/>
  <c r="G13" i="115"/>
  <c r="F14" i="115"/>
  <c r="G14" i="115"/>
  <c r="F17" i="115"/>
  <c r="G17" i="115"/>
  <c r="F16" i="115"/>
  <c r="G16" i="115"/>
  <c r="F15" i="115"/>
  <c r="G15" i="115"/>
  <c r="F18" i="115"/>
  <c r="G18" i="115"/>
  <c r="F19" i="115"/>
  <c r="G19" i="115"/>
  <c r="F21" i="115"/>
  <c r="G21" i="115"/>
  <c r="F22" i="115"/>
  <c r="G22" i="115"/>
  <c r="F20" i="115"/>
  <c r="G20" i="115"/>
  <c r="F23" i="115"/>
  <c r="G23" i="115"/>
  <c r="F24" i="115"/>
  <c r="G24" i="115"/>
  <c r="F26" i="115"/>
  <c r="G26" i="115"/>
  <c r="F27" i="115"/>
  <c r="G27" i="115"/>
  <c r="F25" i="115"/>
  <c r="G25" i="115"/>
  <c r="F28" i="115"/>
  <c r="G28" i="115"/>
  <c r="F30" i="115"/>
  <c r="G30" i="115"/>
  <c r="F29" i="115"/>
  <c r="G29" i="115"/>
  <c r="F31" i="115"/>
  <c r="G31" i="115"/>
  <c r="F40" i="115"/>
  <c r="G40" i="115"/>
  <c r="F41" i="115"/>
  <c r="G41" i="115"/>
  <c r="F42" i="115"/>
  <c r="G42" i="115"/>
  <c r="F43" i="115"/>
  <c r="G43" i="115"/>
  <c r="F44" i="115"/>
  <c r="G44" i="115"/>
  <c r="F45" i="115"/>
  <c r="G45" i="115"/>
  <c r="F46" i="115"/>
  <c r="G46" i="115"/>
  <c r="F47" i="115"/>
  <c r="G47" i="115"/>
  <c r="F48" i="115"/>
  <c r="G48" i="115"/>
  <c r="F49" i="115"/>
  <c r="G49" i="115"/>
  <c r="F50" i="115"/>
  <c r="G50" i="115"/>
  <c r="F51" i="115"/>
  <c r="G51" i="115"/>
  <c r="F52" i="115"/>
  <c r="G52" i="115"/>
  <c r="F53" i="115"/>
  <c r="G53" i="115"/>
  <c r="F54" i="115"/>
  <c r="G54" i="115"/>
  <c r="F55" i="115"/>
  <c r="G55" i="115"/>
  <c r="F56" i="115"/>
  <c r="G56" i="115"/>
  <c r="F57" i="115"/>
  <c r="G57" i="115"/>
  <c r="F58" i="115"/>
  <c r="G58" i="115"/>
  <c r="F59" i="115"/>
  <c r="G59" i="115"/>
  <c r="F60" i="115"/>
  <c r="G60" i="115"/>
  <c r="F61" i="115"/>
  <c r="G61" i="115"/>
  <c r="F62" i="115"/>
  <c r="G62" i="115"/>
  <c r="F63" i="115"/>
  <c r="G63" i="115"/>
  <c r="F64" i="115"/>
  <c r="G64" i="115"/>
  <c r="F65" i="115"/>
  <c r="G65" i="115"/>
  <c r="F66" i="115"/>
  <c r="G66" i="115"/>
  <c r="H6" i="115"/>
  <c r="I6" i="115"/>
  <c r="J6" i="115"/>
  <c r="K6" i="115"/>
  <c r="L6" i="115"/>
  <c r="M6" i="115"/>
  <c r="N6" i="115"/>
  <c r="O6" i="115"/>
  <c r="P6" i="115"/>
  <c r="Q6" i="115"/>
  <c r="H8" i="115"/>
  <c r="I8" i="115"/>
  <c r="J8" i="115"/>
  <c r="K8" i="115"/>
  <c r="L8" i="115"/>
  <c r="M8" i="115"/>
  <c r="N8" i="115"/>
  <c r="O8" i="115"/>
  <c r="P8" i="115"/>
  <c r="Q8" i="115"/>
  <c r="H7" i="115"/>
  <c r="I7" i="115"/>
  <c r="J7" i="115"/>
  <c r="K7" i="115"/>
  <c r="L7" i="115"/>
  <c r="M7" i="115"/>
  <c r="N7" i="115"/>
  <c r="O7" i="115"/>
  <c r="P7" i="115"/>
  <c r="Q7" i="115"/>
  <c r="H9" i="115"/>
  <c r="I9" i="115"/>
  <c r="J9" i="115"/>
  <c r="K9" i="115"/>
  <c r="L9" i="115"/>
  <c r="M9" i="115"/>
  <c r="N9" i="115"/>
  <c r="O9" i="115"/>
  <c r="P9" i="115"/>
  <c r="Q9" i="115"/>
  <c r="H10" i="115"/>
  <c r="I10" i="115"/>
  <c r="J10" i="115"/>
  <c r="K10" i="115"/>
  <c r="L10" i="115"/>
  <c r="M10" i="115"/>
  <c r="N10" i="115"/>
  <c r="O10" i="115"/>
  <c r="P10" i="115"/>
  <c r="Q10" i="115"/>
  <c r="H11" i="115"/>
  <c r="I11" i="115"/>
  <c r="J11" i="115"/>
  <c r="K11" i="115"/>
  <c r="L11" i="115"/>
  <c r="M11" i="115"/>
  <c r="N11" i="115"/>
  <c r="O11" i="115"/>
  <c r="P11" i="115"/>
  <c r="Q11" i="115"/>
  <c r="H12" i="115"/>
  <c r="I12" i="115"/>
  <c r="J12" i="115"/>
  <c r="K12" i="115"/>
  <c r="L12" i="115"/>
  <c r="M12" i="115"/>
  <c r="N12" i="115"/>
  <c r="O12" i="115"/>
  <c r="P12" i="115"/>
  <c r="Q12" i="115"/>
  <c r="H13" i="115"/>
  <c r="I13" i="115"/>
  <c r="J13" i="115"/>
  <c r="K13" i="115"/>
  <c r="L13" i="115"/>
  <c r="M13" i="115"/>
  <c r="N13" i="115"/>
  <c r="O13" i="115"/>
  <c r="P13" i="115"/>
  <c r="Q13" i="115"/>
  <c r="H14" i="115"/>
  <c r="I14" i="115"/>
  <c r="J14" i="115"/>
  <c r="K14" i="115"/>
  <c r="L14" i="115"/>
  <c r="M14" i="115"/>
  <c r="N14" i="115"/>
  <c r="O14" i="115"/>
  <c r="P14" i="115"/>
  <c r="Q14" i="115"/>
  <c r="H17" i="115"/>
  <c r="I17" i="115"/>
  <c r="J17" i="115"/>
  <c r="K17" i="115"/>
  <c r="L17" i="115"/>
  <c r="M17" i="115"/>
  <c r="N17" i="115"/>
  <c r="O17" i="115"/>
  <c r="P17" i="115"/>
  <c r="Q17" i="115"/>
  <c r="H16" i="115"/>
  <c r="I16" i="115"/>
  <c r="J16" i="115"/>
  <c r="K16" i="115"/>
  <c r="L16" i="115"/>
  <c r="M16" i="115"/>
  <c r="N16" i="115"/>
  <c r="O16" i="115"/>
  <c r="P16" i="115"/>
  <c r="Q16" i="115"/>
  <c r="H15" i="115"/>
  <c r="I15" i="115"/>
  <c r="J15" i="115"/>
  <c r="K15" i="115"/>
  <c r="L15" i="115"/>
  <c r="M15" i="115"/>
  <c r="N15" i="115"/>
  <c r="O15" i="115"/>
  <c r="P15" i="115"/>
  <c r="Q15" i="115"/>
  <c r="H18" i="115"/>
  <c r="I18" i="115"/>
  <c r="J18" i="115"/>
  <c r="K18" i="115"/>
  <c r="L18" i="115"/>
  <c r="M18" i="115"/>
  <c r="N18" i="115"/>
  <c r="O18" i="115"/>
  <c r="P18" i="115"/>
  <c r="Q18" i="115"/>
  <c r="H19" i="115"/>
  <c r="I19" i="115"/>
  <c r="J19" i="115"/>
  <c r="K19" i="115"/>
  <c r="L19" i="115"/>
  <c r="M19" i="115"/>
  <c r="N19" i="115"/>
  <c r="O19" i="115"/>
  <c r="P19" i="115"/>
  <c r="Q19" i="115"/>
  <c r="H21" i="115"/>
  <c r="I21" i="115"/>
  <c r="J21" i="115"/>
  <c r="K21" i="115"/>
  <c r="L21" i="115"/>
  <c r="M21" i="115"/>
  <c r="N21" i="115"/>
  <c r="O21" i="115"/>
  <c r="P21" i="115"/>
  <c r="Q21" i="115"/>
  <c r="H22" i="115"/>
  <c r="I22" i="115"/>
  <c r="J22" i="115"/>
  <c r="K22" i="115"/>
  <c r="L22" i="115"/>
  <c r="M22" i="115"/>
  <c r="N22" i="115"/>
  <c r="O22" i="115"/>
  <c r="P22" i="115"/>
  <c r="Q22" i="115"/>
  <c r="H20" i="115"/>
  <c r="I20" i="115"/>
  <c r="J20" i="115"/>
  <c r="K20" i="115"/>
  <c r="L20" i="115"/>
  <c r="M20" i="115"/>
  <c r="N20" i="115"/>
  <c r="O20" i="115"/>
  <c r="P20" i="115"/>
  <c r="Q20" i="115"/>
  <c r="H23" i="115"/>
  <c r="I23" i="115"/>
  <c r="J23" i="115"/>
  <c r="K23" i="115"/>
  <c r="L23" i="115"/>
  <c r="M23" i="115"/>
  <c r="N23" i="115"/>
  <c r="O23" i="115"/>
  <c r="P23" i="115"/>
  <c r="Q23" i="115"/>
  <c r="H24" i="115"/>
  <c r="I24" i="115"/>
  <c r="J24" i="115"/>
  <c r="K24" i="115"/>
  <c r="L24" i="115"/>
  <c r="M24" i="115"/>
  <c r="N24" i="115"/>
  <c r="O24" i="115"/>
  <c r="P24" i="115"/>
  <c r="Q24" i="115"/>
  <c r="H26" i="115"/>
  <c r="I26" i="115"/>
  <c r="J26" i="115"/>
  <c r="K26" i="115"/>
  <c r="L26" i="115"/>
  <c r="M26" i="115"/>
  <c r="N26" i="115"/>
  <c r="O26" i="115"/>
  <c r="P26" i="115"/>
  <c r="Q26" i="115"/>
  <c r="H27" i="115"/>
  <c r="I27" i="115"/>
  <c r="J27" i="115"/>
  <c r="K27" i="115"/>
  <c r="L27" i="115"/>
  <c r="M27" i="115"/>
  <c r="N27" i="115"/>
  <c r="O27" i="115"/>
  <c r="P27" i="115"/>
  <c r="Q27" i="115"/>
  <c r="H25" i="115"/>
  <c r="I25" i="115"/>
  <c r="J25" i="115"/>
  <c r="K25" i="115"/>
  <c r="L25" i="115"/>
  <c r="M25" i="115"/>
  <c r="N25" i="115"/>
  <c r="O25" i="115"/>
  <c r="P25" i="115"/>
  <c r="Q25" i="115"/>
  <c r="H28" i="115"/>
  <c r="I28" i="115"/>
  <c r="J28" i="115"/>
  <c r="K28" i="115"/>
  <c r="L28" i="115"/>
  <c r="M28" i="115"/>
  <c r="N28" i="115"/>
  <c r="O28" i="115"/>
  <c r="P28" i="115"/>
  <c r="Q28" i="115"/>
  <c r="H30" i="115"/>
  <c r="I30" i="115"/>
  <c r="J30" i="115"/>
  <c r="K30" i="115"/>
  <c r="L30" i="115"/>
  <c r="M30" i="115"/>
  <c r="N30" i="115"/>
  <c r="O30" i="115"/>
  <c r="P30" i="115"/>
  <c r="Q30" i="115"/>
  <c r="H29" i="115"/>
  <c r="I29" i="115"/>
  <c r="J29" i="115"/>
  <c r="K29" i="115"/>
  <c r="L29" i="115"/>
  <c r="M29" i="115"/>
  <c r="N29" i="115"/>
  <c r="O29" i="115"/>
  <c r="P29" i="115"/>
  <c r="Q29" i="115"/>
  <c r="H31" i="115"/>
  <c r="I31" i="115"/>
  <c r="J31" i="115"/>
  <c r="K31" i="115"/>
  <c r="L31" i="115"/>
  <c r="M31" i="115"/>
  <c r="N31" i="115"/>
  <c r="O31" i="115"/>
  <c r="P31" i="115"/>
  <c r="Q31" i="115"/>
  <c r="H40" i="115"/>
  <c r="I40" i="115"/>
  <c r="J40" i="115"/>
  <c r="K40" i="115"/>
  <c r="L40" i="115"/>
  <c r="M40" i="115"/>
  <c r="N40" i="115"/>
  <c r="O40" i="115"/>
  <c r="P40" i="115"/>
  <c r="Q40" i="115"/>
  <c r="H41" i="115"/>
  <c r="I41" i="115"/>
  <c r="J41" i="115"/>
  <c r="K41" i="115"/>
  <c r="L41" i="115"/>
  <c r="M41" i="115"/>
  <c r="N41" i="115"/>
  <c r="O41" i="115"/>
  <c r="P41" i="115"/>
  <c r="Q41" i="115"/>
  <c r="H42" i="115"/>
  <c r="I42" i="115"/>
  <c r="J42" i="115"/>
  <c r="K42" i="115"/>
  <c r="L42" i="115"/>
  <c r="M42" i="115"/>
  <c r="N42" i="115"/>
  <c r="O42" i="115"/>
  <c r="P42" i="115"/>
  <c r="Q42" i="115"/>
  <c r="H43" i="115"/>
  <c r="I43" i="115"/>
  <c r="J43" i="115"/>
  <c r="K43" i="115"/>
  <c r="L43" i="115"/>
  <c r="M43" i="115"/>
  <c r="N43" i="115"/>
  <c r="O43" i="115"/>
  <c r="P43" i="115"/>
  <c r="Q43" i="115"/>
  <c r="H44" i="115"/>
  <c r="I44" i="115"/>
  <c r="J44" i="115"/>
  <c r="K44" i="115"/>
  <c r="L44" i="115"/>
  <c r="M44" i="115"/>
  <c r="N44" i="115"/>
  <c r="O44" i="115"/>
  <c r="P44" i="115"/>
  <c r="Q44" i="115"/>
  <c r="H45" i="115"/>
  <c r="I45" i="115"/>
  <c r="J45" i="115"/>
  <c r="K45" i="115"/>
  <c r="L45" i="115"/>
  <c r="M45" i="115"/>
  <c r="N45" i="115"/>
  <c r="O45" i="115"/>
  <c r="P45" i="115"/>
  <c r="Q45" i="115"/>
  <c r="H46" i="115"/>
  <c r="I46" i="115"/>
  <c r="J46" i="115"/>
  <c r="K46" i="115"/>
  <c r="L46" i="115"/>
  <c r="M46" i="115"/>
  <c r="N46" i="115"/>
  <c r="O46" i="115"/>
  <c r="P46" i="115"/>
  <c r="Q46" i="115"/>
  <c r="H47" i="115"/>
  <c r="I47" i="115"/>
  <c r="J47" i="115"/>
  <c r="K47" i="115"/>
  <c r="L47" i="115"/>
  <c r="M47" i="115"/>
  <c r="N47" i="115"/>
  <c r="O47" i="115"/>
  <c r="P47" i="115"/>
  <c r="Q47" i="115"/>
  <c r="H48" i="115"/>
  <c r="I48" i="115"/>
  <c r="J48" i="115"/>
  <c r="K48" i="115"/>
  <c r="L48" i="115"/>
  <c r="M48" i="115"/>
  <c r="N48" i="115"/>
  <c r="O48" i="115"/>
  <c r="P48" i="115"/>
  <c r="Q48" i="115"/>
  <c r="H49" i="115"/>
  <c r="I49" i="115"/>
  <c r="J49" i="115"/>
  <c r="K49" i="115"/>
  <c r="L49" i="115"/>
  <c r="M49" i="115"/>
  <c r="N49" i="115"/>
  <c r="O49" i="115"/>
  <c r="P49" i="115"/>
  <c r="Q49" i="115"/>
  <c r="H50" i="115"/>
  <c r="I50" i="115"/>
  <c r="J50" i="115"/>
  <c r="K50" i="115"/>
  <c r="L50" i="115"/>
  <c r="M50" i="115"/>
  <c r="N50" i="115"/>
  <c r="O50" i="115"/>
  <c r="P50" i="115"/>
  <c r="Q50" i="115"/>
  <c r="H51" i="115"/>
  <c r="I51" i="115"/>
  <c r="J51" i="115"/>
  <c r="K51" i="115"/>
  <c r="L51" i="115"/>
  <c r="M51" i="115"/>
  <c r="N51" i="115"/>
  <c r="O51" i="115"/>
  <c r="P51" i="115"/>
  <c r="Q51" i="115"/>
  <c r="H52" i="115"/>
  <c r="I52" i="115"/>
  <c r="J52" i="115"/>
  <c r="K52" i="115"/>
  <c r="L52" i="115"/>
  <c r="M52" i="115"/>
  <c r="N52" i="115"/>
  <c r="O52" i="115"/>
  <c r="P52" i="115"/>
  <c r="Q52" i="115"/>
  <c r="H53" i="115"/>
  <c r="I53" i="115"/>
  <c r="J53" i="115"/>
  <c r="K53" i="115"/>
  <c r="L53" i="115"/>
  <c r="M53" i="115"/>
  <c r="N53" i="115"/>
  <c r="O53" i="115"/>
  <c r="P53" i="115"/>
  <c r="Q53" i="115"/>
  <c r="H54" i="115"/>
  <c r="I54" i="115"/>
  <c r="J54" i="115"/>
  <c r="K54" i="115"/>
  <c r="L54" i="115"/>
  <c r="M54" i="115"/>
  <c r="N54" i="115"/>
  <c r="O54" i="115"/>
  <c r="P54" i="115"/>
  <c r="Q54" i="115"/>
  <c r="H55" i="115"/>
  <c r="I55" i="115"/>
  <c r="J55" i="115"/>
  <c r="K55" i="115"/>
  <c r="L55" i="115"/>
  <c r="M55" i="115"/>
  <c r="N55" i="115"/>
  <c r="O55" i="115"/>
  <c r="P55" i="115"/>
  <c r="Q55" i="115"/>
  <c r="H56" i="115"/>
  <c r="I56" i="115"/>
  <c r="J56" i="115"/>
  <c r="K56" i="115"/>
  <c r="L56" i="115"/>
  <c r="M56" i="115"/>
  <c r="N56" i="115"/>
  <c r="O56" i="115"/>
  <c r="P56" i="115"/>
  <c r="Q56" i="115"/>
  <c r="H57" i="115"/>
  <c r="I57" i="115"/>
  <c r="J57" i="115"/>
  <c r="K57" i="115"/>
  <c r="L57" i="115"/>
  <c r="M57" i="115"/>
  <c r="N57" i="115"/>
  <c r="O57" i="115"/>
  <c r="P57" i="115"/>
  <c r="Q57" i="115"/>
  <c r="H58" i="115"/>
  <c r="I58" i="115"/>
  <c r="J58" i="115"/>
  <c r="K58" i="115"/>
  <c r="L58" i="115"/>
  <c r="M58" i="115"/>
  <c r="N58" i="115"/>
  <c r="O58" i="115"/>
  <c r="P58" i="115"/>
  <c r="Q58" i="115"/>
  <c r="H59" i="115"/>
  <c r="I59" i="115"/>
  <c r="J59" i="115"/>
  <c r="K59" i="115"/>
  <c r="L59" i="115"/>
  <c r="M59" i="115"/>
  <c r="N59" i="115"/>
  <c r="O59" i="115"/>
  <c r="P59" i="115"/>
  <c r="Q59" i="115"/>
  <c r="H60" i="115"/>
  <c r="I60" i="115"/>
  <c r="J60" i="115"/>
  <c r="K60" i="115"/>
  <c r="L60" i="115"/>
  <c r="M60" i="115"/>
  <c r="N60" i="115"/>
  <c r="O60" i="115"/>
  <c r="P60" i="115"/>
  <c r="Q60" i="115"/>
  <c r="H61" i="115"/>
  <c r="I61" i="115"/>
  <c r="J61" i="115"/>
  <c r="K61" i="115"/>
  <c r="L61" i="115"/>
  <c r="M61" i="115"/>
  <c r="N61" i="115"/>
  <c r="O61" i="115"/>
  <c r="P61" i="115"/>
  <c r="Q61" i="115"/>
  <c r="H62" i="115"/>
  <c r="I62" i="115"/>
  <c r="J62" i="115"/>
  <c r="K62" i="115"/>
  <c r="L62" i="115"/>
  <c r="M62" i="115"/>
  <c r="N62" i="115"/>
  <c r="O62" i="115"/>
  <c r="P62" i="115"/>
  <c r="Q62" i="115"/>
  <c r="H63" i="115"/>
  <c r="I63" i="115"/>
  <c r="J63" i="115"/>
  <c r="K63" i="115"/>
  <c r="L63" i="115"/>
  <c r="M63" i="115"/>
  <c r="N63" i="115"/>
  <c r="O63" i="115"/>
  <c r="P63" i="115"/>
  <c r="Q63" i="115"/>
  <c r="H64" i="115"/>
  <c r="I64" i="115"/>
  <c r="J64" i="115"/>
  <c r="K64" i="115"/>
  <c r="L64" i="115"/>
  <c r="M64" i="115"/>
  <c r="N64" i="115"/>
  <c r="O64" i="115"/>
  <c r="H65" i="115"/>
  <c r="I65" i="115"/>
  <c r="J65" i="115"/>
  <c r="K65" i="115"/>
  <c r="L65" i="115"/>
  <c r="M65" i="115"/>
  <c r="N65" i="115"/>
  <c r="O65" i="115"/>
  <c r="P65" i="115"/>
  <c r="Q65" i="115"/>
  <c r="H66" i="115"/>
  <c r="I66" i="115"/>
  <c r="J66" i="115"/>
  <c r="K66" i="115"/>
  <c r="L66" i="115"/>
  <c r="M66" i="115"/>
  <c r="N66" i="115"/>
  <c r="O66" i="115"/>
  <c r="P66" i="115"/>
  <c r="Q66" i="115"/>
  <c r="B5" i="116"/>
  <c r="AI5" i="121"/>
  <c r="B6" i="116"/>
  <c r="AI6" i="121"/>
  <c r="B8" i="116"/>
  <c r="AI7" i="121"/>
  <c r="B7" i="116"/>
  <c r="AI8" i="121"/>
  <c r="B9" i="116"/>
  <c r="AI9" i="121"/>
  <c r="B10" i="116"/>
  <c r="AI10" i="121"/>
  <c r="B11" i="116"/>
  <c r="AI11" i="121"/>
  <c r="B12" i="116"/>
  <c r="AI12" i="121"/>
  <c r="B13" i="116"/>
  <c r="AI13" i="121"/>
  <c r="B14" i="116"/>
  <c r="AI14" i="121"/>
  <c r="B17" i="116"/>
  <c r="AI15" i="121"/>
  <c r="B16" i="116"/>
  <c r="AI16" i="121"/>
  <c r="B15" i="116"/>
  <c r="AI17" i="121"/>
  <c r="B18" i="116"/>
  <c r="AI18" i="121"/>
  <c r="B19" i="116"/>
  <c r="AI19" i="121"/>
  <c r="B21" i="116"/>
  <c r="AI20" i="121"/>
  <c r="B22" i="116"/>
  <c r="AI21" i="121"/>
  <c r="B20" i="116"/>
  <c r="AI22" i="121"/>
  <c r="B23" i="116"/>
  <c r="AI23" i="121"/>
  <c r="B24" i="116"/>
  <c r="AI24" i="121"/>
  <c r="B26" i="116"/>
  <c r="AI25" i="121"/>
  <c r="B27" i="116"/>
  <c r="AI26" i="121"/>
  <c r="B25" i="116"/>
  <c r="AI27" i="121"/>
  <c r="B28" i="116"/>
  <c r="AI28" i="121"/>
  <c r="B30" i="116"/>
  <c r="AI29" i="121"/>
  <c r="B29" i="116"/>
  <c r="AI30" i="121"/>
  <c r="B31" i="116"/>
  <c r="AI31" i="121"/>
  <c r="B40" i="116"/>
  <c r="B41" i="116"/>
  <c r="B42" i="116"/>
  <c r="B43" i="116"/>
  <c r="B44" i="116"/>
  <c r="B45" i="116"/>
  <c r="B46" i="116"/>
  <c r="B47" i="116"/>
  <c r="B48" i="116"/>
  <c r="B49" i="116"/>
  <c r="B50" i="116"/>
  <c r="B51" i="116"/>
  <c r="B52" i="116"/>
  <c r="B53" i="116"/>
  <c r="B54" i="116"/>
  <c r="B55" i="116"/>
  <c r="B56" i="116"/>
  <c r="B57" i="116"/>
  <c r="B58" i="116"/>
  <c r="B59" i="116"/>
  <c r="B60" i="116"/>
  <c r="B61" i="116"/>
  <c r="B62" i="116"/>
  <c r="B63" i="116"/>
  <c r="B64" i="116"/>
  <c r="B65" i="116"/>
  <c r="B66" i="116"/>
  <c r="C5" i="116"/>
  <c r="AJ5" i="121"/>
  <c r="C6" i="116"/>
  <c r="AJ6" i="121"/>
  <c r="C8" i="116"/>
  <c r="AJ7" i="121"/>
  <c r="C7" i="116"/>
  <c r="AJ8" i="121"/>
  <c r="C9" i="116"/>
  <c r="AJ9" i="121"/>
  <c r="C10" i="116"/>
  <c r="AJ10" i="121"/>
  <c r="C11" i="116"/>
  <c r="AJ11" i="121"/>
  <c r="C12" i="116"/>
  <c r="AJ12" i="121"/>
  <c r="C13" i="116"/>
  <c r="AJ13" i="121"/>
  <c r="C14" i="116"/>
  <c r="AJ14" i="121"/>
  <c r="C17" i="116"/>
  <c r="AJ15" i="121"/>
  <c r="C16" i="116"/>
  <c r="AJ16" i="121"/>
  <c r="C15" i="116"/>
  <c r="AJ17" i="121"/>
  <c r="C18" i="116"/>
  <c r="AJ18" i="121"/>
  <c r="C19" i="116"/>
  <c r="AJ19" i="121"/>
  <c r="C21" i="116"/>
  <c r="AJ20" i="121"/>
  <c r="C22" i="116"/>
  <c r="AJ21" i="121"/>
  <c r="C20" i="116"/>
  <c r="AJ22" i="121"/>
  <c r="C23" i="116"/>
  <c r="AJ23" i="121"/>
  <c r="C24" i="116"/>
  <c r="AJ24" i="121"/>
  <c r="C26" i="116"/>
  <c r="AJ25" i="121"/>
  <c r="C27" i="116"/>
  <c r="AJ26" i="121"/>
  <c r="C25" i="116"/>
  <c r="AJ27" i="121"/>
  <c r="C28" i="116"/>
  <c r="AJ28" i="121"/>
  <c r="C30" i="116"/>
  <c r="AJ29" i="121"/>
  <c r="C29" i="116"/>
  <c r="AJ30" i="121"/>
  <c r="C31" i="116"/>
  <c r="AJ31" i="121"/>
  <c r="C40" i="116"/>
  <c r="C41" i="116"/>
  <c r="C42" i="116"/>
  <c r="C43" i="116"/>
  <c r="C44" i="116"/>
  <c r="C45" i="116"/>
  <c r="C46" i="116"/>
  <c r="C47" i="116"/>
  <c r="C48" i="116"/>
  <c r="C49" i="116"/>
  <c r="C50" i="116"/>
  <c r="C51" i="116"/>
  <c r="C52" i="116"/>
  <c r="C53" i="116"/>
  <c r="C54" i="116"/>
  <c r="C55" i="116"/>
  <c r="C56" i="116"/>
  <c r="C57" i="116"/>
  <c r="C58" i="116"/>
  <c r="C59" i="116"/>
  <c r="C60" i="116"/>
  <c r="C61" i="116"/>
  <c r="C62" i="116"/>
  <c r="C63" i="116"/>
  <c r="C64" i="116"/>
  <c r="C65" i="116"/>
  <c r="C66" i="116"/>
  <c r="D5" i="116"/>
  <c r="AF5" i="122"/>
  <c r="D6" i="116"/>
  <c r="AF6" i="122"/>
  <c r="D8" i="116"/>
  <c r="AF7" i="122"/>
  <c r="D7" i="116"/>
  <c r="AF8" i="122"/>
  <c r="M9" i="125" s="1"/>
  <c r="D9" i="116"/>
  <c r="AF9" i="122"/>
  <c r="D10" i="116"/>
  <c r="AF10" i="122"/>
  <c r="D11" i="116"/>
  <c r="AF11" i="122"/>
  <c r="D12" i="116"/>
  <c r="AF12" i="122"/>
  <c r="M13" i="125" s="1"/>
  <c r="D13" i="116"/>
  <c r="AF13" i="122"/>
  <c r="D14" i="116"/>
  <c r="AF14" i="122"/>
  <c r="D17" i="116"/>
  <c r="AF15" i="122"/>
  <c r="D16" i="116"/>
  <c r="AF16" i="122"/>
  <c r="D15" i="116"/>
  <c r="AF17" i="122"/>
  <c r="D18" i="116"/>
  <c r="AF18" i="122"/>
  <c r="D19" i="116"/>
  <c r="AF19" i="122"/>
  <c r="D21" i="116"/>
  <c r="AF20" i="122"/>
  <c r="M21" i="125" s="1"/>
  <c r="D22" i="116"/>
  <c r="AF21" i="122"/>
  <c r="D20" i="116"/>
  <c r="AF22" i="122"/>
  <c r="D23" i="116"/>
  <c r="AF23" i="122"/>
  <c r="D24" i="116"/>
  <c r="AF24" i="122"/>
  <c r="M25" i="125" s="1"/>
  <c r="D26" i="116"/>
  <c r="AF25" i="122"/>
  <c r="D27" i="116"/>
  <c r="AF26" i="122"/>
  <c r="D25" i="116"/>
  <c r="AF27" i="122"/>
  <c r="D28" i="116"/>
  <c r="AF28" i="122"/>
  <c r="M29" i="125" s="1"/>
  <c r="D30" i="116"/>
  <c r="AF29" i="122"/>
  <c r="D29" i="116"/>
  <c r="AF30" i="122"/>
  <c r="D31" i="116"/>
  <c r="AF31" i="122"/>
  <c r="D40" i="116"/>
  <c r="D41" i="116"/>
  <c r="D42" i="116"/>
  <c r="D43" i="116"/>
  <c r="D44" i="116"/>
  <c r="D45" i="116"/>
  <c r="D46" i="116"/>
  <c r="D47" i="116"/>
  <c r="D48" i="116"/>
  <c r="D49" i="116"/>
  <c r="D50" i="116"/>
  <c r="D51" i="116"/>
  <c r="D52" i="116"/>
  <c r="D53" i="116"/>
  <c r="D54" i="116"/>
  <c r="D55" i="116"/>
  <c r="D56" i="116"/>
  <c r="D57" i="116"/>
  <c r="D58" i="116"/>
  <c r="D59" i="116"/>
  <c r="D60" i="116"/>
  <c r="D61" i="116"/>
  <c r="D62" i="116"/>
  <c r="D63" i="116"/>
  <c r="D64" i="116"/>
  <c r="D65" i="116"/>
  <c r="D66" i="116"/>
  <c r="E5" i="116"/>
  <c r="AG5" i="122"/>
  <c r="E6" i="116"/>
  <c r="AG6" i="122"/>
  <c r="E8" i="116"/>
  <c r="AG7" i="122"/>
  <c r="E7" i="116"/>
  <c r="AG8" i="122"/>
  <c r="E9" i="116"/>
  <c r="AG9" i="122"/>
  <c r="E10" i="116"/>
  <c r="AG10" i="122"/>
  <c r="E11" i="116"/>
  <c r="AG11" i="122"/>
  <c r="E12" i="116"/>
  <c r="AG12" i="122"/>
  <c r="E13" i="116"/>
  <c r="AG13" i="122"/>
  <c r="E14" i="116"/>
  <c r="AG14" i="122"/>
  <c r="E17" i="116"/>
  <c r="AG15" i="122"/>
  <c r="E16" i="116"/>
  <c r="AG16" i="122"/>
  <c r="E15" i="116"/>
  <c r="AG17" i="122"/>
  <c r="E18" i="116"/>
  <c r="AG18" i="122"/>
  <c r="E19" i="116"/>
  <c r="AG19" i="122"/>
  <c r="E21" i="116"/>
  <c r="AG20" i="122"/>
  <c r="E22" i="116"/>
  <c r="AG21" i="122"/>
  <c r="E20" i="116"/>
  <c r="AG22" i="122"/>
  <c r="E23" i="116"/>
  <c r="AG23" i="122"/>
  <c r="E24" i="116"/>
  <c r="AG24" i="122"/>
  <c r="E26" i="116"/>
  <c r="AG25" i="122"/>
  <c r="E27" i="116"/>
  <c r="AG26" i="122"/>
  <c r="E25" i="116"/>
  <c r="AG27" i="122"/>
  <c r="E28" i="116"/>
  <c r="AG28" i="122"/>
  <c r="E30" i="116"/>
  <c r="AG29" i="122"/>
  <c r="E29" i="116"/>
  <c r="AG30" i="122"/>
  <c r="E31" i="116"/>
  <c r="AG31" i="122"/>
  <c r="E40" i="116"/>
  <c r="E41" i="116"/>
  <c r="E42" i="116"/>
  <c r="E43" i="116"/>
  <c r="E44" i="116"/>
  <c r="E45" i="116"/>
  <c r="E46" i="116"/>
  <c r="E47" i="116"/>
  <c r="E48" i="116"/>
  <c r="E49" i="116"/>
  <c r="E50" i="116"/>
  <c r="E51" i="116"/>
  <c r="E52" i="116"/>
  <c r="E53" i="116"/>
  <c r="E54" i="116"/>
  <c r="E55" i="116"/>
  <c r="E56" i="116"/>
  <c r="E57" i="116"/>
  <c r="E58" i="116"/>
  <c r="E59" i="116"/>
  <c r="E60" i="116"/>
  <c r="E61" i="116"/>
  <c r="E62" i="116"/>
  <c r="E63" i="116"/>
  <c r="E64" i="116"/>
  <c r="E65" i="116"/>
  <c r="E66" i="116"/>
  <c r="F5" i="116"/>
  <c r="G5" i="116"/>
  <c r="F6" i="116"/>
  <c r="G6" i="116"/>
  <c r="F8" i="116"/>
  <c r="G8" i="116"/>
  <c r="F7" i="116"/>
  <c r="G7" i="116"/>
  <c r="F9" i="116"/>
  <c r="G9" i="116"/>
  <c r="F10" i="116"/>
  <c r="G10" i="116"/>
  <c r="F11" i="116"/>
  <c r="G11" i="116"/>
  <c r="F12" i="116"/>
  <c r="G12" i="116"/>
  <c r="F13" i="116"/>
  <c r="G13" i="116"/>
  <c r="F14" i="116"/>
  <c r="G14" i="116"/>
  <c r="F17" i="116"/>
  <c r="G17" i="116"/>
  <c r="F16" i="116"/>
  <c r="W16" i="116"/>
  <c r="G16" i="116"/>
  <c r="F15" i="116"/>
  <c r="G15" i="116"/>
  <c r="F18" i="116"/>
  <c r="G18" i="116"/>
  <c r="F19" i="116"/>
  <c r="G19" i="116"/>
  <c r="F21" i="116"/>
  <c r="G21" i="116"/>
  <c r="F22" i="116"/>
  <c r="G22" i="116"/>
  <c r="F20" i="116"/>
  <c r="W20" i="116"/>
  <c r="AP158" i="73"/>
  <c r="G20" i="116"/>
  <c r="F23" i="116"/>
  <c r="G23" i="116"/>
  <c r="W23" i="116"/>
  <c r="F24" i="116"/>
  <c r="W24" i="116"/>
  <c r="G24" i="116"/>
  <c r="F26" i="116"/>
  <c r="G26" i="116"/>
  <c r="F27" i="116"/>
  <c r="W27" i="116"/>
  <c r="AP165" i="73"/>
  <c r="G27" i="116"/>
  <c r="F25" i="116"/>
  <c r="G25" i="116"/>
  <c r="F28" i="116"/>
  <c r="G28" i="116"/>
  <c r="F30" i="116"/>
  <c r="G30" i="116"/>
  <c r="F29" i="116"/>
  <c r="W29" i="116"/>
  <c r="G29" i="116"/>
  <c r="F31" i="116"/>
  <c r="G31" i="116"/>
  <c r="F40" i="116"/>
  <c r="G40" i="116"/>
  <c r="F41" i="116"/>
  <c r="G41" i="116"/>
  <c r="F42" i="116"/>
  <c r="G42" i="116"/>
  <c r="F43" i="116"/>
  <c r="G43" i="116"/>
  <c r="F44" i="116"/>
  <c r="G44" i="116"/>
  <c r="F45" i="116"/>
  <c r="G45" i="116"/>
  <c r="F46" i="116"/>
  <c r="G46" i="116"/>
  <c r="F47" i="116"/>
  <c r="G47" i="116"/>
  <c r="F48" i="116"/>
  <c r="G48" i="116"/>
  <c r="F49" i="116"/>
  <c r="G49" i="116"/>
  <c r="F50" i="116"/>
  <c r="G50" i="116"/>
  <c r="F51" i="116"/>
  <c r="G51" i="116"/>
  <c r="F52" i="116"/>
  <c r="G52" i="116"/>
  <c r="F53" i="116"/>
  <c r="G53" i="116"/>
  <c r="F54" i="116"/>
  <c r="G54" i="116"/>
  <c r="F55" i="116"/>
  <c r="G55" i="116"/>
  <c r="F56" i="116"/>
  <c r="G56" i="116"/>
  <c r="F57" i="116"/>
  <c r="G57" i="116"/>
  <c r="F58" i="116"/>
  <c r="G58" i="116"/>
  <c r="F59" i="116"/>
  <c r="G59" i="116"/>
  <c r="F60" i="116"/>
  <c r="G60" i="116"/>
  <c r="F61" i="116"/>
  <c r="G61" i="116"/>
  <c r="F62" i="116"/>
  <c r="G62" i="116"/>
  <c r="F63" i="116"/>
  <c r="G63" i="116"/>
  <c r="F64" i="116"/>
  <c r="G64" i="116"/>
  <c r="F65" i="116"/>
  <c r="G65" i="116"/>
  <c r="F66" i="116"/>
  <c r="G66" i="116"/>
  <c r="H6" i="116"/>
  <c r="I6" i="116"/>
  <c r="J6" i="116"/>
  <c r="K6" i="116"/>
  <c r="L6" i="116"/>
  <c r="M6" i="116"/>
  <c r="N6" i="116"/>
  <c r="O6" i="116"/>
  <c r="P6" i="116"/>
  <c r="Q6" i="116"/>
  <c r="H8" i="116"/>
  <c r="I8" i="116"/>
  <c r="J8" i="116"/>
  <c r="K8" i="116"/>
  <c r="L8" i="116"/>
  <c r="M8" i="116"/>
  <c r="N8" i="116"/>
  <c r="O8" i="116"/>
  <c r="P8" i="116"/>
  <c r="Q8" i="116"/>
  <c r="H7" i="116"/>
  <c r="I7" i="116"/>
  <c r="J7" i="116"/>
  <c r="K7" i="116"/>
  <c r="L7" i="116"/>
  <c r="M7" i="116"/>
  <c r="N7" i="116"/>
  <c r="O7" i="116"/>
  <c r="P7" i="116"/>
  <c r="Q7" i="116"/>
  <c r="H9" i="116"/>
  <c r="I9" i="116"/>
  <c r="J9" i="116"/>
  <c r="K9" i="116"/>
  <c r="L9" i="116"/>
  <c r="M9" i="116"/>
  <c r="N9" i="116"/>
  <c r="O9" i="116"/>
  <c r="P9" i="116"/>
  <c r="Q9" i="116"/>
  <c r="H10" i="116"/>
  <c r="I10" i="116"/>
  <c r="J10" i="116"/>
  <c r="K10" i="116"/>
  <c r="L10" i="116"/>
  <c r="M10" i="116"/>
  <c r="N10" i="116"/>
  <c r="O10" i="116"/>
  <c r="P10" i="116"/>
  <c r="Q10" i="116"/>
  <c r="H11" i="116"/>
  <c r="I11" i="116"/>
  <c r="J11" i="116"/>
  <c r="K11" i="116"/>
  <c r="L11" i="116"/>
  <c r="M11" i="116"/>
  <c r="N11" i="116"/>
  <c r="O11" i="116"/>
  <c r="P11" i="116"/>
  <c r="Q11" i="116"/>
  <c r="H12" i="116"/>
  <c r="I12" i="116"/>
  <c r="J12" i="116"/>
  <c r="K12" i="116"/>
  <c r="L12" i="116"/>
  <c r="M12" i="116"/>
  <c r="N12" i="116"/>
  <c r="O12" i="116"/>
  <c r="P12" i="116"/>
  <c r="Q12" i="116"/>
  <c r="H13" i="116"/>
  <c r="I13" i="116"/>
  <c r="J13" i="116"/>
  <c r="K13" i="116"/>
  <c r="L13" i="116"/>
  <c r="M13" i="116"/>
  <c r="N13" i="116"/>
  <c r="O13" i="116"/>
  <c r="P13" i="116"/>
  <c r="Q13" i="116"/>
  <c r="H14" i="116"/>
  <c r="I14" i="116"/>
  <c r="J14" i="116"/>
  <c r="K14" i="116"/>
  <c r="L14" i="116"/>
  <c r="M14" i="116"/>
  <c r="N14" i="116"/>
  <c r="O14" i="116"/>
  <c r="P14" i="116"/>
  <c r="Q14" i="116"/>
  <c r="H17" i="116"/>
  <c r="I17" i="116"/>
  <c r="J17" i="116"/>
  <c r="K17" i="116"/>
  <c r="L17" i="116"/>
  <c r="M17" i="116"/>
  <c r="N17" i="116"/>
  <c r="O17" i="116"/>
  <c r="P17" i="116"/>
  <c r="Q17" i="116"/>
  <c r="H16" i="116"/>
  <c r="I16" i="116"/>
  <c r="J16" i="116"/>
  <c r="K16" i="116"/>
  <c r="L16" i="116"/>
  <c r="M16" i="116"/>
  <c r="N16" i="116"/>
  <c r="O16" i="116"/>
  <c r="P16" i="116"/>
  <c r="Q16" i="116"/>
  <c r="H15" i="116"/>
  <c r="I15" i="116"/>
  <c r="J15" i="116"/>
  <c r="K15" i="116"/>
  <c r="L15" i="116"/>
  <c r="M15" i="116"/>
  <c r="N15" i="116"/>
  <c r="O15" i="116"/>
  <c r="P15" i="116"/>
  <c r="Q15" i="116"/>
  <c r="H18" i="116"/>
  <c r="I18" i="116"/>
  <c r="J18" i="116"/>
  <c r="K18" i="116"/>
  <c r="L18" i="116"/>
  <c r="M18" i="116"/>
  <c r="N18" i="116"/>
  <c r="O18" i="116"/>
  <c r="P18" i="116"/>
  <c r="Q18" i="116"/>
  <c r="H19" i="116"/>
  <c r="I19" i="116"/>
  <c r="J19" i="116"/>
  <c r="K19" i="116"/>
  <c r="L19" i="116"/>
  <c r="M19" i="116"/>
  <c r="N19" i="116"/>
  <c r="O19" i="116"/>
  <c r="P19" i="116"/>
  <c r="Q19" i="116"/>
  <c r="H21" i="116"/>
  <c r="I21" i="116"/>
  <c r="J21" i="116"/>
  <c r="K21" i="116"/>
  <c r="L21" i="116"/>
  <c r="M21" i="116"/>
  <c r="N21" i="116"/>
  <c r="O21" i="116"/>
  <c r="P21" i="116"/>
  <c r="Q21" i="116"/>
  <c r="H22" i="116"/>
  <c r="I22" i="116"/>
  <c r="J22" i="116"/>
  <c r="K22" i="116"/>
  <c r="L22" i="116"/>
  <c r="M22" i="116"/>
  <c r="N22" i="116"/>
  <c r="O22" i="116"/>
  <c r="P22" i="116"/>
  <c r="Q22" i="116"/>
  <c r="H20" i="116"/>
  <c r="I20" i="116"/>
  <c r="J20" i="116"/>
  <c r="K20" i="116"/>
  <c r="L20" i="116"/>
  <c r="M20" i="116"/>
  <c r="N20" i="116"/>
  <c r="O20" i="116"/>
  <c r="P20" i="116"/>
  <c r="Q20" i="116"/>
  <c r="H23" i="116"/>
  <c r="I23" i="116"/>
  <c r="J23" i="116"/>
  <c r="K23" i="116"/>
  <c r="L23" i="116"/>
  <c r="M23" i="116"/>
  <c r="N23" i="116"/>
  <c r="O23" i="116"/>
  <c r="P23" i="116"/>
  <c r="Q23" i="116"/>
  <c r="H24" i="116"/>
  <c r="I24" i="116"/>
  <c r="J24" i="116"/>
  <c r="K24" i="116"/>
  <c r="L24" i="116"/>
  <c r="M24" i="116"/>
  <c r="N24" i="116"/>
  <c r="O24" i="116"/>
  <c r="P24" i="116"/>
  <c r="Q24" i="116"/>
  <c r="H26" i="116"/>
  <c r="I26" i="116"/>
  <c r="J26" i="116"/>
  <c r="K26" i="116"/>
  <c r="L26" i="116"/>
  <c r="M26" i="116"/>
  <c r="N26" i="116"/>
  <c r="O26" i="116"/>
  <c r="P26" i="116"/>
  <c r="Q26" i="116"/>
  <c r="H27" i="116"/>
  <c r="I27" i="116"/>
  <c r="J27" i="116"/>
  <c r="K27" i="116"/>
  <c r="L27" i="116"/>
  <c r="M27" i="116"/>
  <c r="N27" i="116"/>
  <c r="O27" i="116"/>
  <c r="P27" i="116"/>
  <c r="Q27" i="116"/>
  <c r="H25" i="116"/>
  <c r="I25" i="116"/>
  <c r="J25" i="116"/>
  <c r="K25" i="116"/>
  <c r="L25" i="116"/>
  <c r="M25" i="116"/>
  <c r="N25" i="116"/>
  <c r="O25" i="116"/>
  <c r="P25" i="116"/>
  <c r="Q25" i="116"/>
  <c r="H28" i="116"/>
  <c r="I28" i="116"/>
  <c r="J28" i="116"/>
  <c r="K28" i="116"/>
  <c r="L28" i="116"/>
  <c r="M28" i="116"/>
  <c r="N28" i="116"/>
  <c r="O28" i="116"/>
  <c r="P28" i="116"/>
  <c r="Q28" i="116"/>
  <c r="H30" i="116"/>
  <c r="I30" i="116"/>
  <c r="J30" i="116"/>
  <c r="K30" i="116"/>
  <c r="L30" i="116"/>
  <c r="M30" i="116"/>
  <c r="N30" i="116"/>
  <c r="O30" i="116"/>
  <c r="P30" i="116"/>
  <c r="Q30" i="116"/>
  <c r="H29" i="116"/>
  <c r="I29" i="116"/>
  <c r="J29" i="116"/>
  <c r="K29" i="116"/>
  <c r="L29" i="116"/>
  <c r="M29" i="116"/>
  <c r="N29" i="116"/>
  <c r="O29" i="116"/>
  <c r="P29" i="116"/>
  <c r="Q29" i="116"/>
  <c r="H31" i="116"/>
  <c r="I31" i="116"/>
  <c r="J31" i="116"/>
  <c r="K31" i="116"/>
  <c r="L31" i="116"/>
  <c r="M31" i="116"/>
  <c r="N31" i="116"/>
  <c r="O31" i="116"/>
  <c r="P31" i="116"/>
  <c r="Q31" i="116"/>
  <c r="H40" i="116"/>
  <c r="I40" i="116"/>
  <c r="J40" i="116"/>
  <c r="K40" i="116"/>
  <c r="L40" i="116"/>
  <c r="M40" i="116"/>
  <c r="N40" i="116"/>
  <c r="O40" i="116"/>
  <c r="P40" i="116"/>
  <c r="Q40" i="116"/>
  <c r="H41" i="116"/>
  <c r="I41" i="116"/>
  <c r="J41" i="116"/>
  <c r="K41" i="116"/>
  <c r="L41" i="116"/>
  <c r="M41" i="116"/>
  <c r="N41" i="116"/>
  <c r="O41" i="116"/>
  <c r="P41" i="116"/>
  <c r="Q41" i="116"/>
  <c r="H42" i="116"/>
  <c r="I42" i="116"/>
  <c r="J42" i="116"/>
  <c r="K42" i="116"/>
  <c r="L42" i="116"/>
  <c r="M42" i="116"/>
  <c r="N42" i="116"/>
  <c r="O42" i="116"/>
  <c r="P42" i="116"/>
  <c r="Q42" i="116"/>
  <c r="H43" i="116"/>
  <c r="I43" i="116"/>
  <c r="J43" i="116"/>
  <c r="K43" i="116"/>
  <c r="L43" i="116"/>
  <c r="M43" i="116"/>
  <c r="N43" i="116"/>
  <c r="O43" i="116"/>
  <c r="H44" i="116"/>
  <c r="I44" i="116"/>
  <c r="J44" i="116"/>
  <c r="K44" i="116"/>
  <c r="L44" i="116"/>
  <c r="M44" i="116"/>
  <c r="N44" i="116"/>
  <c r="O44" i="116"/>
  <c r="P44" i="116"/>
  <c r="Q44" i="116"/>
  <c r="H45" i="116"/>
  <c r="I45" i="116"/>
  <c r="J45" i="116"/>
  <c r="K45" i="116"/>
  <c r="L45" i="116"/>
  <c r="M45" i="116"/>
  <c r="N45" i="116"/>
  <c r="O45" i="116"/>
  <c r="P45" i="116"/>
  <c r="Q45" i="116"/>
  <c r="H46" i="116"/>
  <c r="I46" i="116"/>
  <c r="J46" i="116"/>
  <c r="K46" i="116"/>
  <c r="L46" i="116"/>
  <c r="M46" i="116"/>
  <c r="N46" i="116"/>
  <c r="O46" i="116"/>
  <c r="P46" i="116"/>
  <c r="Q46" i="116"/>
  <c r="H47" i="116"/>
  <c r="I47" i="116"/>
  <c r="J47" i="116"/>
  <c r="K47" i="116"/>
  <c r="L47" i="116"/>
  <c r="M47" i="116"/>
  <c r="N47" i="116"/>
  <c r="O47" i="116"/>
  <c r="P47" i="116"/>
  <c r="Q47" i="116"/>
  <c r="H48" i="116"/>
  <c r="I48" i="116"/>
  <c r="J48" i="116"/>
  <c r="K48" i="116"/>
  <c r="L48" i="116"/>
  <c r="M48" i="116"/>
  <c r="N48" i="116"/>
  <c r="O48" i="116"/>
  <c r="P48" i="116"/>
  <c r="Q48" i="116"/>
  <c r="H49" i="116"/>
  <c r="I49" i="116"/>
  <c r="J49" i="116"/>
  <c r="K49" i="116"/>
  <c r="L49" i="116"/>
  <c r="M49" i="116"/>
  <c r="N49" i="116"/>
  <c r="O49" i="116"/>
  <c r="P49" i="116"/>
  <c r="Q49" i="116"/>
  <c r="H50" i="116"/>
  <c r="I50" i="116"/>
  <c r="J50" i="116"/>
  <c r="K50" i="116"/>
  <c r="L50" i="116"/>
  <c r="M50" i="116"/>
  <c r="N50" i="116"/>
  <c r="O50" i="116"/>
  <c r="P50" i="116"/>
  <c r="Q50" i="116"/>
  <c r="H51" i="116"/>
  <c r="I51" i="116"/>
  <c r="J51" i="116"/>
  <c r="K51" i="116"/>
  <c r="L51" i="116"/>
  <c r="M51" i="116"/>
  <c r="N51" i="116"/>
  <c r="O51" i="116"/>
  <c r="P51" i="116"/>
  <c r="Q51" i="116"/>
  <c r="H52" i="116"/>
  <c r="I52" i="116"/>
  <c r="J52" i="116"/>
  <c r="K52" i="116"/>
  <c r="L52" i="116"/>
  <c r="M52" i="116"/>
  <c r="N52" i="116"/>
  <c r="O52" i="116"/>
  <c r="P52" i="116"/>
  <c r="Q52" i="116"/>
  <c r="H53" i="116"/>
  <c r="I53" i="116"/>
  <c r="J53" i="116"/>
  <c r="K53" i="116"/>
  <c r="L53" i="116"/>
  <c r="M53" i="116"/>
  <c r="N53" i="116"/>
  <c r="O53" i="116"/>
  <c r="P53" i="116"/>
  <c r="Q53" i="116"/>
  <c r="H54" i="116"/>
  <c r="I54" i="116"/>
  <c r="J54" i="116"/>
  <c r="K54" i="116"/>
  <c r="L54" i="116"/>
  <c r="M54" i="116"/>
  <c r="N54" i="116"/>
  <c r="O54" i="116"/>
  <c r="P54" i="116"/>
  <c r="Q54" i="116"/>
  <c r="H55" i="116"/>
  <c r="I55" i="116"/>
  <c r="J55" i="116"/>
  <c r="K55" i="116"/>
  <c r="L55" i="116"/>
  <c r="M55" i="116"/>
  <c r="N55" i="116"/>
  <c r="O55" i="116"/>
  <c r="P55" i="116"/>
  <c r="Q55" i="116"/>
  <c r="H56" i="116"/>
  <c r="I56" i="116"/>
  <c r="J56" i="116"/>
  <c r="K56" i="116"/>
  <c r="L56" i="116"/>
  <c r="M56" i="116"/>
  <c r="N56" i="116"/>
  <c r="O56" i="116"/>
  <c r="P56" i="116"/>
  <c r="Q56" i="116"/>
  <c r="H57" i="116"/>
  <c r="I57" i="116"/>
  <c r="J57" i="116"/>
  <c r="K57" i="116"/>
  <c r="L57" i="116"/>
  <c r="M57" i="116"/>
  <c r="N57" i="116"/>
  <c r="O57" i="116"/>
  <c r="P57" i="116"/>
  <c r="Q57" i="116"/>
  <c r="H58" i="116"/>
  <c r="I58" i="116"/>
  <c r="J58" i="116"/>
  <c r="K58" i="116"/>
  <c r="L58" i="116"/>
  <c r="M58" i="116"/>
  <c r="N58" i="116"/>
  <c r="O58" i="116"/>
  <c r="P58" i="116"/>
  <c r="Q58" i="116"/>
  <c r="H59" i="116"/>
  <c r="I59" i="116"/>
  <c r="J59" i="116"/>
  <c r="K59" i="116"/>
  <c r="L59" i="116"/>
  <c r="M59" i="116"/>
  <c r="N59" i="116"/>
  <c r="O59" i="116"/>
  <c r="P59" i="116"/>
  <c r="Q59" i="116"/>
  <c r="H60" i="116"/>
  <c r="I60" i="116"/>
  <c r="J60" i="116"/>
  <c r="K60" i="116"/>
  <c r="L60" i="116"/>
  <c r="M60" i="116"/>
  <c r="N60" i="116"/>
  <c r="O60" i="116"/>
  <c r="P60" i="116"/>
  <c r="Q60" i="116"/>
  <c r="H61" i="116"/>
  <c r="I61" i="116"/>
  <c r="J61" i="116"/>
  <c r="K61" i="116"/>
  <c r="L61" i="116"/>
  <c r="M61" i="116"/>
  <c r="N61" i="116"/>
  <c r="O61" i="116"/>
  <c r="P61" i="116"/>
  <c r="Q61" i="116"/>
  <c r="H62" i="116"/>
  <c r="I62" i="116"/>
  <c r="J62" i="116"/>
  <c r="K62" i="116"/>
  <c r="L62" i="116"/>
  <c r="M62" i="116"/>
  <c r="N62" i="116"/>
  <c r="O62" i="116"/>
  <c r="P62" i="116"/>
  <c r="Q62" i="116"/>
  <c r="H63" i="116"/>
  <c r="I63" i="116"/>
  <c r="J63" i="116"/>
  <c r="K63" i="116"/>
  <c r="L63" i="116"/>
  <c r="M63" i="116"/>
  <c r="N63" i="116"/>
  <c r="O63" i="116"/>
  <c r="P63" i="116"/>
  <c r="Q63" i="116"/>
  <c r="H64" i="116"/>
  <c r="I64" i="116"/>
  <c r="J64" i="116"/>
  <c r="K64" i="116"/>
  <c r="L64" i="116"/>
  <c r="M64" i="116"/>
  <c r="N64" i="116"/>
  <c r="O64" i="116"/>
  <c r="H65" i="116"/>
  <c r="I65" i="116"/>
  <c r="J65" i="116"/>
  <c r="K65" i="116"/>
  <c r="L65" i="116"/>
  <c r="M65" i="116"/>
  <c r="N65" i="116"/>
  <c r="O65" i="116"/>
  <c r="P65" i="116"/>
  <c r="Q65" i="116"/>
  <c r="H66" i="116"/>
  <c r="I66" i="116"/>
  <c r="J66" i="116"/>
  <c r="K66" i="116"/>
  <c r="L66" i="116"/>
  <c r="M66" i="116"/>
  <c r="N66" i="116"/>
  <c r="O66" i="116"/>
  <c r="P66" i="116"/>
  <c r="Q66" i="116"/>
  <c r="B5" i="117"/>
  <c r="AK5" i="121"/>
  <c r="B6" i="117"/>
  <c r="AK6" i="121"/>
  <c r="B8" i="117"/>
  <c r="AK7" i="121"/>
  <c r="B7" i="117"/>
  <c r="AK8" i="121"/>
  <c r="B9" i="117"/>
  <c r="AK9" i="121"/>
  <c r="B10" i="117"/>
  <c r="AK10" i="121"/>
  <c r="B11" i="117"/>
  <c r="AK11" i="121"/>
  <c r="B12" i="117"/>
  <c r="AK12" i="121"/>
  <c r="B13" i="117"/>
  <c r="B14" i="117"/>
  <c r="AK14" i="121"/>
  <c r="B17" i="117"/>
  <c r="AK15" i="121"/>
  <c r="B16" i="117"/>
  <c r="B15" i="117"/>
  <c r="AK17" i="121"/>
  <c r="B18" i="117"/>
  <c r="AK18" i="121"/>
  <c r="B19" i="117"/>
  <c r="AK19" i="121"/>
  <c r="B21" i="117"/>
  <c r="AK20" i="121"/>
  <c r="B22" i="117"/>
  <c r="AK21" i="121"/>
  <c r="B20" i="117"/>
  <c r="AK22" i="121"/>
  <c r="B23" i="117"/>
  <c r="AK23" i="121"/>
  <c r="B24" i="117"/>
  <c r="AK24" i="121"/>
  <c r="B26" i="117"/>
  <c r="AK25" i="121"/>
  <c r="B27" i="117"/>
  <c r="AK26" i="121"/>
  <c r="B25" i="117"/>
  <c r="AK27" i="121"/>
  <c r="B28" i="117"/>
  <c r="AK28" i="121"/>
  <c r="B30" i="117"/>
  <c r="B29" i="117"/>
  <c r="AK30" i="121"/>
  <c r="B31" i="117"/>
  <c r="AK31" i="121"/>
  <c r="B40" i="117"/>
  <c r="B41" i="117"/>
  <c r="B42" i="117"/>
  <c r="B43" i="117"/>
  <c r="B44" i="117"/>
  <c r="B45" i="117"/>
  <c r="B46" i="117"/>
  <c r="B47" i="117"/>
  <c r="B48" i="117"/>
  <c r="B49" i="117"/>
  <c r="B50" i="117"/>
  <c r="B51" i="117"/>
  <c r="B52" i="117"/>
  <c r="B53" i="117"/>
  <c r="B54" i="117"/>
  <c r="B55" i="117"/>
  <c r="B56" i="117"/>
  <c r="B57" i="117"/>
  <c r="B58" i="117"/>
  <c r="B59" i="117"/>
  <c r="B60" i="117"/>
  <c r="B61" i="117"/>
  <c r="B62" i="117"/>
  <c r="B63" i="117"/>
  <c r="B64" i="117"/>
  <c r="B65" i="117"/>
  <c r="B66" i="117"/>
  <c r="C5" i="117"/>
  <c r="AL5" i="121"/>
  <c r="C6" i="117"/>
  <c r="AL6" i="121"/>
  <c r="C8" i="117"/>
  <c r="AL7" i="121"/>
  <c r="C7" i="117"/>
  <c r="C9" i="117"/>
  <c r="AL9" i="121"/>
  <c r="C10" i="117"/>
  <c r="AL10" i="121"/>
  <c r="C11" i="117"/>
  <c r="AL11" i="121"/>
  <c r="C12" i="117"/>
  <c r="AL12" i="121"/>
  <c r="C13" i="117"/>
  <c r="AL13" i="121"/>
  <c r="C14" i="117"/>
  <c r="AL14" i="121"/>
  <c r="C17" i="117"/>
  <c r="C16" i="117"/>
  <c r="AL16" i="121"/>
  <c r="C15" i="117"/>
  <c r="AL17" i="121"/>
  <c r="C18" i="117"/>
  <c r="AL18" i="121"/>
  <c r="C19" i="117"/>
  <c r="AL19" i="121"/>
  <c r="C21" i="117"/>
  <c r="AL20" i="121"/>
  <c r="C22" i="117"/>
  <c r="AL21" i="121"/>
  <c r="C20" i="117"/>
  <c r="AL22" i="121"/>
  <c r="C23" i="117"/>
  <c r="AL23" i="121"/>
  <c r="C24" i="117"/>
  <c r="AL24" i="121"/>
  <c r="C26" i="117"/>
  <c r="AL25" i="121"/>
  <c r="C27" i="117"/>
  <c r="AL26" i="121"/>
  <c r="C25" i="117"/>
  <c r="AL27" i="121"/>
  <c r="C28" i="117"/>
  <c r="C30" i="117"/>
  <c r="AL29" i="121"/>
  <c r="C29" i="117"/>
  <c r="AL30" i="121"/>
  <c r="C31" i="117"/>
  <c r="C40" i="117"/>
  <c r="C41" i="117"/>
  <c r="C42" i="117"/>
  <c r="C43" i="117"/>
  <c r="C44" i="117"/>
  <c r="C45" i="117"/>
  <c r="C46" i="117"/>
  <c r="C47" i="117"/>
  <c r="C48" i="117"/>
  <c r="C49" i="117"/>
  <c r="C50" i="117"/>
  <c r="C51" i="117"/>
  <c r="C52" i="117"/>
  <c r="C53" i="117"/>
  <c r="C54" i="117"/>
  <c r="C55" i="117"/>
  <c r="C56" i="117"/>
  <c r="C57" i="117"/>
  <c r="C58" i="117"/>
  <c r="C59" i="117"/>
  <c r="C60" i="117"/>
  <c r="C61" i="117"/>
  <c r="C62" i="117"/>
  <c r="C63" i="117"/>
  <c r="C64" i="117"/>
  <c r="C65" i="117"/>
  <c r="C66" i="117"/>
  <c r="D5" i="117"/>
  <c r="D6" i="117"/>
  <c r="AH6" i="122"/>
  <c r="D8" i="117"/>
  <c r="AH7" i="122"/>
  <c r="D7" i="117"/>
  <c r="AH8" i="122"/>
  <c r="D9" i="117"/>
  <c r="D10" i="117"/>
  <c r="AH10" i="122"/>
  <c r="D11" i="117"/>
  <c r="AH11" i="122"/>
  <c r="D12" i="117"/>
  <c r="AH12" i="122"/>
  <c r="D13" i="117"/>
  <c r="AH13" i="122"/>
  <c r="D14" i="117"/>
  <c r="AH14" i="122"/>
  <c r="D17" i="117"/>
  <c r="AH15" i="122"/>
  <c r="D16" i="117"/>
  <c r="AH16" i="122"/>
  <c r="D15" i="117"/>
  <c r="AH17" i="122"/>
  <c r="D18" i="117"/>
  <c r="AH18" i="122"/>
  <c r="D19" i="117"/>
  <c r="D21" i="117"/>
  <c r="AH20" i="122"/>
  <c r="D22" i="117"/>
  <c r="AH21" i="122"/>
  <c r="D20" i="117"/>
  <c r="AH22" i="122"/>
  <c r="N23" i="125" s="1"/>
  <c r="D23" i="117"/>
  <c r="D24" i="117"/>
  <c r="AH24" i="122"/>
  <c r="D26" i="117"/>
  <c r="AH25" i="122"/>
  <c r="D27" i="117"/>
  <c r="AH26" i="122"/>
  <c r="D25" i="117"/>
  <c r="D28" i="117"/>
  <c r="AH28" i="122"/>
  <c r="D30" i="117"/>
  <c r="AH29" i="122"/>
  <c r="D29" i="117"/>
  <c r="AH30" i="122"/>
  <c r="D31" i="117"/>
  <c r="D40" i="117"/>
  <c r="D41" i="117"/>
  <c r="D42" i="117"/>
  <c r="D43" i="117"/>
  <c r="U43" i="117"/>
  <c r="D44" i="117"/>
  <c r="D45" i="117"/>
  <c r="D46" i="117"/>
  <c r="D47" i="117"/>
  <c r="D48" i="117"/>
  <c r="D49" i="117"/>
  <c r="D50" i="117"/>
  <c r="D51" i="117"/>
  <c r="U51" i="117"/>
  <c r="D52" i="117"/>
  <c r="D53" i="117"/>
  <c r="D54" i="117"/>
  <c r="D55" i="117"/>
  <c r="U55" i="117"/>
  <c r="D56" i="117"/>
  <c r="D57" i="117"/>
  <c r="D58" i="117"/>
  <c r="D59" i="117"/>
  <c r="D60" i="117"/>
  <c r="D61" i="117"/>
  <c r="D62" i="117"/>
  <c r="D63" i="117"/>
  <c r="U63" i="117"/>
  <c r="D64" i="117"/>
  <c r="D65" i="117"/>
  <c r="D66" i="117"/>
  <c r="E5" i="117"/>
  <c r="E6" i="117"/>
  <c r="AI6" i="122"/>
  <c r="E8" i="117"/>
  <c r="AI7" i="122"/>
  <c r="E7" i="117"/>
  <c r="AI8" i="122"/>
  <c r="E9" i="117"/>
  <c r="E10" i="117"/>
  <c r="AI10" i="122"/>
  <c r="N11" i="125" s="1"/>
  <c r="E11" i="117"/>
  <c r="AI11" i="122"/>
  <c r="E12" i="117"/>
  <c r="E13" i="117"/>
  <c r="E14" i="117"/>
  <c r="AI14" i="122"/>
  <c r="E17" i="117"/>
  <c r="AI15" i="122"/>
  <c r="E16" i="117"/>
  <c r="AI16" i="122"/>
  <c r="E15" i="117"/>
  <c r="E18" i="117"/>
  <c r="AI18" i="122"/>
  <c r="E19" i="117"/>
  <c r="E21" i="117"/>
  <c r="AI20" i="122"/>
  <c r="N21" i="125" s="1"/>
  <c r="E22" i="117"/>
  <c r="E20" i="117"/>
  <c r="AI22" i="122"/>
  <c r="E23" i="117"/>
  <c r="AI23" i="122"/>
  <c r="E24" i="117"/>
  <c r="AI24" i="122"/>
  <c r="E26" i="117"/>
  <c r="AI25" i="122"/>
  <c r="E27" i="117"/>
  <c r="E25" i="117"/>
  <c r="E28" i="117"/>
  <c r="AI28" i="122"/>
  <c r="E30" i="117"/>
  <c r="AI29" i="122"/>
  <c r="E29" i="117"/>
  <c r="AI30" i="122"/>
  <c r="E31" i="117"/>
  <c r="AI31" i="122"/>
  <c r="E40" i="117"/>
  <c r="E41" i="117"/>
  <c r="E42" i="117"/>
  <c r="E43" i="117"/>
  <c r="E44" i="117"/>
  <c r="E45" i="117"/>
  <c r="E46" i="117"/>
  <c r="E47" i="117"/>
  <c r="V47" i="117"/>
  <c r="E48" i="117"/>
  <c r="E49" i="117"/>
  <c r="E50" i="117"/>
  <c r="E51" i="117"/>
  <c r="V51" i="117"/>
  <c r="E52" i="117"/>
  <c r="E53" i="117"/>
  <c r="E54" i="117"/>
  <c r="E55" i="117"/>
  <c r="E56" i="117"/>
  <c r="E57" i="117"/>
  <c r="E58" i="117"/>
  <c r="E59" i="117"/>
  <c r="V59" i="117"/>
  <c r="E60" i="117"/>
  <c r="E61" i="117"/>
  <c r="E62" i="117"/>
  <c r="E63" i="117"/>
  <c r="V63" i="117"/>
  <c r="E64" i="117"/>
  <c r="E65" i="117"/>
  <c r="E66" i="117"/>
  <c r="F5" i="117"/>
  <c r="G5" i="117"/>
  <c r="F6" i="117"/>
  <c r="G6" i="117"/>
  <c r="F8" i="117"/>
  <c r="G8" i="117"/>
  <c r="F7" i="117"/>
  <c r="G7" i="117"/>
  <c r="F9" i="117"/>
  <c r="G9" i="117"/>
  <c r="F10" i="117"/>
  <c r="G10" i="117"/>
  <c r="F11" i="117"/>
  <c r="G11" i="117"/>
  <c r="F12" i="117"/>
  <c r="G12" i="117"/>
  <c r="F13" i="117"/>
  <c r="G13" i="117"/>
  <c r="F14" i="117"/>
  <c r="G14" i="117"/>
  <c r="F17" i="117"/>
  <c r="G17" i="117"/>
  <c r="F16" i="117"/>
  <c r="G16" i="117"/>
  <c r="F15" i="117"/>
  <c r="G15" i="117"/>
  <c r="F18" i="117"/>
  <c r="G18" i="117"/>
  <c r="F19" i="117"/>
  <c r="G19" i="117"/>
  <c r="F21" i="117"/>
  <c r="G21" i="117"/>
  <c r="F22" i="117"/>
  <c r="G22" i="117"/>
  <c r="F20" i="117"/>
  <c r="G20" i="117"/>
  <c r="F23" i="117"/>
  <c r="G23" i="117"/>
  <c r="F24" i="117"/>
  <c r="G24" i="117"/>
  <c r="F26" i="117"/>
  <c r="G26" i="117"/>
  <c r="F27" i="117"/>
  <c r="G27" i="117"/>
  <c r="F25" i="117"/>
  <c r="G25" i="117"/>
  <c r="F28" i="117"/>
  <c r="G28" i="117"/>
  <c r="F30" i="117"/>
  <c r="G30" i="117"/>
  <c r="F29" i="117"/>
  <c r="G29" i="117"/>
  <c r="F31" i="117"/>
  <c r="G31" i="117"/>
  <c r="F40" i="117"/>
  <c r="G40" i="117"/>
  <c r="F41" i="117"/>
  <c r="G41" i="117"/>
  <c r="F42" i="117"/>
  <c r="G42" i="117"/>
  <c r="F43" i="117"/>
  <c r="W43" i="117"/>
  <c r="G43" i="117"/>
  <c r="F44" i="117"/>
  <c r="G44" i="117"/>
  <c r="F45" i="117"/>
  <c r="G45" i="117"/>
  <c r="F46" i="117"/>
  <c r="G46" i="117"/>
  <c r="F47" i="117"/>
  <c r="G47" i="117"/>
  <c r="F48" i="117"/>
  <c r="G48" i="117"/>
  <c r="F49" i="117"/>
  <c r="G49" i="117"/>
  <c r="F50" i="117"/>
  <c r="G50" i="117"/>
  <c r="F51" i="117"/>
  <c r="W51" i="117"/>
  <c r="G51" i="117"/>
  <c r="F52" i="117"/>
  <c r="G52" i="117"/>
  <c r="F53" i="117"/>
  <c r="G53" i="117"/>
  <c r="F54" i="117"/>
  <c r="G54" i="117"/>
  <c r="F55" i="117"/>
  <c r="G55" i="117"/>
  <c r="F56" i="117"/>
  <c r="G56" i="117"/>
  <c r="F57" i="117"/>
  <c r="G57" i="117"/>
  <c r="F58" i="117"/>
  <c r="G58" i="117"/>
  <c r="F59" i="117"/>
  <c r="G59" i="117"/>
  <c r="F60" i="117"/>
  <c r="G60" i="117"/>
  <c r="F61" i="117"/>
  <c r="G61" i="117"/>
  <c r="F62" i="117"/>
  <c r="G62" i="117"/>
  <c r="F63" i="117"/>
  <c r="G63" i="117"/>
  <c r="F64" i="117"/>
  <c r="G64" i="117"/>
  <c r="F65" i="117"/>
  <c r="G65" i="117"/>
  <c r="F66" i="117"/>
  <c r="G66" i="117"/>
  <c r="H6" i="117"/>
  <c r="I6" i="117"/>
  <c r="J6" i="117"/>
  <c r="K6" i="117"/>
  <c r="L6" i="117"/>
  <c r="M6" i="117"/>
  <c r="N6" i="117"/>
  <c r="O6" i="117"/>
  <c r="P6" i="117"/>
  <c r="Q6" i="117"/>
  <c r="H8" i="117"/>
  <c r="I8" i="117"/>
  <c r="J8" i="117"/>
  <c r="K8" i="117"/>
  <c r="L8" i="117"/>
  <c r="M8" i="117"/>
  <c r="N8" i="117"/>
  <c r="O8" i="117"/>
  <c r="P8" i="117"/>
  <c r="Q8" i="117"/>
  <c r="H7" i="117"/>
  <c r="I7" i="117"/>
  <c r="J7" i="117"/>
  <c r="K7" i="117"/>
  <c r="L7" i="117"/>
  <c r="M7" i="117"/>
  <c r="N7" i="117"/>
  <c r="O7" i="117"/>
  <c r="P7" i="117"/>
  <c r="Q7" i="117"/>
  <c r="H9" i="117"/>
  <c r="I9" i="117"/>
  <c r="J9" i="117"/>
  <c r="K9" i="117"/>
  <c r="L9" i="117"/>
  <c r="M9" i="117"/>
  <c r="N9" i="117"/>
  <c r="O9" i="117"/>
  <c r="P9" i="117"/>
  <c r="Q9" i="117"/>
  <c r="H10" i="117"/>
  <c r="I10" i="117"/>
  <c r="J10" i="117"/>
  <c r="K10" i="117"/>
  <c r="L10" i="117"/>
  <c r="M10" i="117"/>
  <c r="N10" i="117"/>
  <c r="O10" i="117"/>
  <c r="P10" i="117"/>
  <c r="Q10" i="117"/>
  <c r="H11" i="117"/>
  <c r="I11" i="117"/>
  <c r="J11" i="117"/>
  <c r="K11" i="117"/>
  <c r="L11" i="117"/>
  <c r="M11" i="117"/>
  <c r="N11" i="117"/>
  <c r="O11" i="117"/>
  <c r="P11" i="117"/>
  <c r="Q11" i="117"/>
  <c r="H12" i="117"/>
  <c r="I12" i="117"/>
  <c r="J12" i="117"/>
  <c r="K12" i="117"/>
  <c r="L12" i="117"/>
  <c r="M12" i="117"/>
  <c r="N12" i="117"/>
  <c r="O12" i="117"/>
  <c r="P12" i="117"/>
  <c r="Q12" i="117"/>
  <c r="H13" i="117"/>
  <c r="I13" i="117"/>
  <c r="J13" i="117"/>
  <c r="K13" i="117"/>
  <c r="L13" i="117"/>
  <c r="M13" i="117"/>
  <c r="N13" i="117"/>
  <c r="O13" i="117"/>
  <c r="P13" i="117"/>
  <c r="Q13" i="117"/>
  <c r="H14" i="117"/>
  <c r="I14" i="117"/>
  <c r="J14" i="117"/>
  <c r="K14" i="117"/>
  <c r="L14" i="117"/>
  <c r="M14" i="117"/>
  <c r="N14" i="117"/>
  <c r="O14" i="117"/>
  <c r="P14" i="117"/>
  <c r="Q14" i="117"/>
  <c r="H17" i="117"/>
  <c r="I17" i="117"/>
  <c r="J17" i="117"/>
  <c r="K17" i="117"/>
  <c r="L17" i="117"/>
  <c r="M17" i="117"/>
  <c r="N17" i="117"/>
  <c r="O17" i="117"/>
  <c r="P17" i="117"/>
  <c r="Q17" i="117"/>
  <c r="H16" i="117"/>
  <c r="I16" i="117"/>
  <c r="J16" i="117"/>
  <c r="K16" i="117"/>
  <c r="L16" i="117"/>
  <c r="M16" i="117"/>
  <c r="N16" i="117"/>
  <c r="O16" i="117"/>
  <c r="P16" i="117"/>
  <c r="Q16" i="117"/>
  <c r="H15" i="117"/>
  <c r="I15" i="117"/>
  <c r="J15" i="117"/>
  <c r="K15" i="117"/>
  <c r="L15" i="117"/>
  <c r="M15" i="117"/>
  <c r="N15" i="117"/>
  <c r="O15" i="117"/>
  <c r="P15" i="117"/>
  <c r="Q15" i="117"/>
  <c r="H18" i="117"/>
  <c r="I18" i="117"/>
  <c r="J18" i="117"/>
  <c r="K18" i="117"/>
  <c r="L18" i="117"/>
  <c r="M18" i="117"/>
  <c r="N18" i="117"/>
  <c r="O18" i="117"/>
  <c r="P18" i="117"/>
  <c r="Q18" i="117"/>
  <c r="H19" i="117"/>
  <c r="I19" i="117"/>
  <c r="J19" i="117"/>
  <c r="K19" i="117"/>
  <c r="L19" i="117"/>
  <c r="M19" i="117"/>
  <c r="N19" i="117"/>
  <c r="O19" i="117"/>
  <c r="P19" i="117"/>
  <c r="Q19" i="117"/>
  <c r="H21" i="117"/>
  <c r="I21" i="117"/>
  <c r="J21" i="117"/>
  <c r="K21" i="117"/>
  <c r="L21" i="117"/>
  <c r="M21" i="117"/>
  <c r="N21" i="117"/>
  <c r="O21" i="117"/>
  <c r="P21" i="117"/>
  <c r="Q21" i="117"/>
  <c r="H22" i="117"/>
  <c r="I22" i="117"/>
  <c r="J22" i="117"/>
  <c r="K22" i="117"/>
  <c r="L22" i="117"/>
  <c r="M22" i="117"/>
  <c r="N22" i="117"/>
  <c r="O22" i="117"/>
  <c r="P22" i="117"/>
  <c r="Q22" i="117"/>
  <c r="H20" i="117"/>
  <c r="I20" i="117"/>
  <c r="J20" i="117"/>
  <c r="K20" i="117"/>
  <c r="L20" i="117"/>
  <c r="M20" i="117"/>
  <c r="N20" i="117"/>
  <c r="O20" i="117"/>
  <c r="P20" i="117"/>
  <c r="Q20" i="117"/>
  <c r="H23" i="117"/>
  <c r="I23" i="117"/>
  <c r="J23" i="117"/>
  <c r="K23" i="117"/>
  <c r="L23" i="117"/>
  <c r="M23" i="117"/>
  <c r="N23" i="117"/>
  <c r="O23" i="117"/>
  <c r="P23" i="117"/>
  <c r="Q23" i="117"/>
  <c r="H24" i="117"/>
  <c r="I24" i="117"/>
  <c r="J24" i="117"/>
  <c r="K24" i="117"/>
  <c r="L24" i="117"/>
  <c r="M24" i="117"/>
  <c r="N24" i="117"/>
  <c r="O24" i="117"/>
  <c r="P24" i="117"/>
  <c r="Q24" i="117"/>
  <c r="H26" i="117"/>
  <c r="I26" i="117"/>
  <c r="J26" i="117"/>
  <c r="K26" i="117"/>
  <c r="L26" i="117"/>
  <c r="M26" i="117"/>
  <c r="N26" i="117"/>
  <c r="O26" i="117"/>
  <c r="P26" i="117"/>
  <c r="Q26" i="117"/>
  <c r="H27" i="117"/>
  <c r="I27" i="117"/>
  <c r="J27" i="117"/>
  <c r="K27" i="117"/>
  <c r="L27" i="117"/>
  <c r="M27" i="117"/>
  <c r="N27" i="117"/>
  <c r="O27" i="117"/>
  <c r="P27" i="117"/>
  <c r="Q27" i="117"/>
  <c r="H25" i="117"/>
  <c r="I25" i="117"/>
  <c r="J25" i="117"/>
  <c r="K25" i="117"/>
  <c r="L25" i="117"/>
  <c r="M25" i="117"/>
  <c r="N25" i="117"/>
  <c r="O25" i="117"/>
  <c r="P25" i="117"/>
  <c r="Q25" i="117"/>
  <c r="H28" i="117"/>
  <c r="I28" i="117"/>
  <c r="J28" i="117"/>
  <c r="K28" i="117"/>
  <c r="L28" i="117"/>
  <c r="M28" i="117"/>
  <c r="N28" i="117"/>
  <c r="O28" i="117"/>
  <c r="P28" i="117"/>
  <c r="Q28" i="117"/>
  <c r="H30" i="117"/>
  <c r="I30" i="117"/>
  <c r="J30" i="117"/>
  <c r="K30" i="117"/>
  <c r="L30" i="117"/>
  <c r="M30" i="117"/>
  <c r="N30" i="117"/>
  <c r="O30" i="117"/>
  <c r="P30" i="117"/>
  <c r="Q30" i="117"/>
  <c r="H29" i="117"/>
  <c r="I29" i="117"/>
  <c r="J29" i="117"/>
  <c r="K29" i="117"/>
  <c r="L29" i="117"/>
  <c r="M29" i="117"/>
  <c r="N29" i="117"/>
  <c r="O29" i="117"/>
  <c r="P29" i="117"/>
  <c r="Q29" i="117"/>
  <c r="H31" i="117"/>
  <c r="I31" i="117"/>
  <c r="J31" i="117"/>
  <c r="K31" i="117"/>
  <c r="L31" i="117"/>
  <c r="M31" i="117"/>
  <c r="N31" i="117"/>
  <c r="O31" i="117"/>
  <c r="P31" i="117"/>
  <c r="Q31" i="117"/>
  <c r="H40" i="117"/>
  <c r="I40" i="117"/>
  <c r="J40" i="117"/>
  <c r="K40" i="117"/>
  <c r="L40" i="117"/>
  <c r="M40" i="117"/>
  <c r="N40" i="117"/>
  <c r="O40" i="117"/>
  <c r="P40" i="117"/>
  <c r="Q40" i="117"/>
  <c r="H41" i="117"/>
  <c r="I41" i="117"/>
  <c r="J41" i="117"/>
  <c r="K41" i="117"/>
  <c r="L41" i="117"/>
  <c r="M41" i="117"/>
  <c r="N41" i="117"/>
  <c r="O41" i="117"/>
  <c r="P41" i="117"/>
  <c r="Q41" i="117"/>
  <c r="H42" i="117"/>
  <c r="I42" i="117"/>
  <c r="J42" i="117"/>
  <c r="K42" i="117"/>
  <c r="L42" i="117"/>
  <c r="M42" i="117"/>
  <c r="N42" i="117"/>
  <c r="O42" i="117"/>
  <c r="P42" i="117"/>
  <c r="Q42" i="117"/>
  <c r="H43" i="117"/>
  <c r="I43" i="117"/>
  <c r="J43" i="117"/>
  <c r="K43" i="117"/>
  <c r="L43" i="117"/>
  <c r="M43" i="117"/>
  <c r="N43" i="117"/>
  <c r="O43" i="117"/>
  <c r="H44" i="117"/>
  <c r="I44" i="117"/>
  <c r="J44" i="117"/>
  <c r="K44" i="117"/>
  <c r="L44" i="117"/>
  <c r="M44" i="117"/>
  <c r="N44" i="117"/>
  <c r="O44" i="117"/>
  <c r="P44" i="117"/>
  <c r="Q44" i="117"/>
  <c r="H45" i="117"/>
  <c r="I45" i="117"/>
  <c r="J45" i="117"/>
  <c r="K45" i="117"/>
  <c r="L45" i="117"/>
  <c r="M45" i="117"/>
  <c r="N45" i="117"/>
  <c r="O45" i="117"/>
  <c r="P45" i="117"/>
  <c r="Q45" i="117"/>
  <c r="H46" i="117"/>
  <c r="I46" i="117"/>
  <c r="J46" i="117"/>
  <c r="K46" i="117"/>
  <c r="L46" i="117"/>
  <c r="M46" i="117"/>
  <c r="N46" i="117"/>
  <c r="O46" i="117"/>
  <c r="P46" i="117"/>
  <c r="Q46" i="117"/>
  <c r="H47" i="117"/>
  <c r="I47" i="117"/>
  <c r="J47" i="117"/>
  <c r="K47" i="117"/>
  <c r="L47" i="117"/>
  <c r="M47" i="117"/>
  <c r="N47" i="117"/>
  <c r="O47" i="117"/>
  <c r="P47" i="117"/>
  <c r="Q47" i="117"/>
  <c r="H48" i="117"/>
  <c r="I48" i="117"/>
  <c r="J48" i="117"/>
  <c r="K48" i="117"/>
  <c r="L48" i="117"/>
  <c r="M48" i="117"/>
  <c r="N48" i="117"/>
  <c r="O48" i="117"/>
  <c r="P48" i="117"/>
  <c r="Q48" i="117"/>
  <c r="H49" i="117"/>
  <c r="I49" i="117"/>
  <c r="J49" i="117"/>
  <c r="K49" i="117"/>
  <c r="L49" i="117"/>
  <c r="M49" i="117"/>
  <c r="N49" i="117"/>
  <c r="O49" i="117"/>
  <c r="P49" i="117"/>
  <c r="Q49" i="117"/>
  <c r="H50" i="117"/>
  <c r="I50" i="117"/>
  <c r="J50" i="117"/>
  <c r="K50" i="117"/>
  <c r="L50" i="117"/>
  <c r="M50" i="117"/>
  <c r="N50" i="117"/>
  <c r="O50" i="117"/>
  <c r="P50" i="117"/>
  <c r="Q50" i="117"/>
  <c r="H51" i="117"/>
  <c r="I51" i="117"/>
  <c r="J51" i="117"/>
  <c r="K51" i="117"/>
  <c r="L51" i="117"/>
  <c r="M51" i="117"/>
  <c r="N51" i="117"/>
  <c r="O51" i="117"/>
  <c r="P51" i="117"/>
  <c r="Q51" i="117"/>
  <c r="H52" i="117"/>
  <c r="I52" i="117"/>
  <c r="J52" i="117"/>
  <c r="K52" i="117"/>
  <c r="L52" i="117"/>
  <c r="M52" i="117"/>
  <c r="N52" i="117"/>
  <c r="O52" i="117"/>
  <c r="P52" i="117"/>
  <c r="Q52" i="117"/>
  <c r="H53" i="117"/>
  <c r="I53" i="117"/>
  <c r="J53" i="117"/>
  <c r="K53" i="117"/>
  <c r="L53" i="117"/>
  <c r="M53" i="117"/>
  <c r="N53" i="117"/>
  <c r="O53" i="117"/>
  <c r="P53" i="117"/>
  <c r="Q53" i="117"/>
  <c r="H54" i="117"/>
  <c r="I54" i="117"/>
  <c r="J54" i="117"/>
  <c r="K54" i="117"/>
  <c r="L54" i="117"/>
  <c r="M54" i="117"/>
  <c r="N54" i="117"/>
  <c r="O54" i="117"/>
  <c r="P54" i="117"/>
  <c r="Q54" i="117"/>
  <c r="H55" i="117"/>
  <c r="I55" i="117"/>
  <c r="J55" i="117"/>
  <c r="K55" i="117"/>
  <c r="L55" i="117"/>
  <c r="M55" i="117"/>
  <c r="N55" i="117"/>
  <c r="O55" i="117"/>
  <c r="P55" i="117"/>
  <c r="Q55" i="117"/>
  <c r="H56" i="117"/>
  <c r="I56" i="117"/>
  <c r="J56" i="117"/>
  <c r="K56" i="117"/>
  <c r="L56" i="117"/>
  <c r="M56" i="117"/>
  <c r="N56" i="117"/>
  <c r="O56" i="117"/>
  <c r="P56" i="117"/>
  <c r="Q56" i="117"/>
  <c r="H57" i="117"/>
  <c r="I57" i="117"/>
  <c r="J57" i="117"/>
  <c r="K57" i="117"/>
  <c r="L57" i="117"/>
  <c r="M57" i="117"/>
  <c r="N57" i="117"/>
  <c r="O57" i="117"/>
  <c r="P57" i="117"/>
  <c r="Q57" i="117"/>
  <c r="H58" i="117"/>
  <c r="I58" i="117"/>
  <c r="J58" i="117"/>
  <c r="K58" i="117"/>
  <c r="L58" i="117"/>
  <c r="M58" i="117"/>
  <c r="N58" i="117"/>
  <c r="O58" i="117"/>
  <c r="P58" i="117"/>
  <c r="Q58" i="117"/>
  <c r="H59" i="117"/>
  <c r="I59" i="117"/>
  <c r="J59" i="117"/>
  <c r="K59" i="117"/>
  <c r="L59" i="117"/>
  <c r="M59" i="117"/>
  <c r="N59" i="117"/>
  <c r="O59" i="117"/>
  <c r="P59" i="117"/>
  <c r="Q59" i="117"/>
  <c r="H60" i="117"/>
  <c r="I60" i="117"/>
  <c r="J60" i="117"/>
  <c r="K60" i="117"/>
  <c r="L60" i="117"/>
  <c r="M60" i="117"/>
  <c r="N60" i="117"/>
  <c r="O60" i="117"/>
  <c r="P60" i="117"/>
  <c r="Q60" i="117"/>
  <c r="H61" i="117"/>
  <c r="I61" i="117"/>
  <c r="J61" i="117"/>
  <c r="K61" i="117"/>
  <c r="L61" i="117"/>
  <c r="M61" i="117"/>
  <c r="N61" i="117"/>
  <c r="O61" i="117"/>
  <c r="P61" i="117"/>
  <c r="Q61" i="117"/>
  <c r="H62" i="117"/>
  <c r="I62" i="117"/>
  <c r="J62" i="117"/>
  <c r="K62" i="117"/>
  <c r="L62" i="117"/>
  <c r="M62" i="117"/>
  <c r="N62" i="117"/>
  <c r="O62" i="117"/>
  <c r="P62" i="117"/>
  <c r="Q62" i="117"/>
  <c r="H63" i="117"/>
  <c r="I63" i="117"/>
  <c r="J63" i="117"/>
  <c r="K63" i="117"/>
  <c r="L63" i="117"/>
  <c r="M63" i="117"/>
  <c r="N63" i="117"/>
  <c r="O63" i="117"/>
  <c r="P63" i="117"/>
  <c r="Q63" i="117"/>
  <c r="H64" i="117"/>
  <c r="I64" i="117"/>
  <c r="J64" i="117"/>
  <c r="K64" i="117"/>
  <c r="L64" i="117"/>
  <c r="M64" i="117"/>
  <c r="N64" i="117"/>
  <c r="O64" i="117"/>
  <c r="H65" i="117"/>
  <c r="I65" i="117"/>
  <c r="J65" i="117"/>
  <c r="K65" i="117"/>
  <c r="L65" i="117"/>
  <c r="M65" i="117"/>
  <c r="N65" i="117"/>
  <c r="O65" i="117"/>
  <c r="P65" i="117"/>
  <c r="Q65" i="117"/>
  <c r="H66" i="117"/>
  <c r="I66" i="117"/>
  <c r="J66" i="117"/>
  <c r="K66" i="117"/>
  <c r="L66" i="117"/>
  <c r="M66" i="117"/>
  <c r="N66" i="117"/>
  <c r="O66" i="117"/>
  <c r="P66" i="117"/>
  <c r="Q66" i="117"/>
  <c r="H32" i="122"/>
  <c r="H34" i="122" s="1"/>
  <c r="G38" i="128" s="1"/>
  <c r="G34" i="122"/>
  <c r="K34" i="122" s="1"/>
  <c r="K32" i="121"/>
  <c r="K34" i="121" s="1"/>
  <c r="J34" i="127" s="1"/>
  <c r="J32" i="121"/>
  <c r="J34" i="121" s="1"/>
  <c r="B5" i="106"/>
  <c r="B3" i="126"/>
  <c r="B5" i="107"/>
  <c r="P3" i="126"/>
  <c r="B5" i="108"/>
  <c r="AD3" i="126"/>
  <c r="B5" i="109"/>
  <c r="B5" i="110"/>
  <c r="W5" i="121"/>
  <c r="B5" i="111"/>
  <c r="B40" i="106"/>
  <c r="B40" i="107"/>
  <c r="B40" i="108"/>
  <c r="B40" i="109"/>
  <c r="B40" i="110"/>
  <c r="B40" i="111"/>
  <c r="S40" i="111"/>
  <c r="C5" i="106"/>
  <c r="C3" i="126"/>
  <c r="C5" i="107"/>
  <c r="Q3" i="126"/>
  <c r="C5" i="108"/>
  <c r="AE3" i="126"/>
  <c r="C5" i="109"/>
  <c r="C5" i="110"/>
  <c r="L4" i="65"/>
  <c r="C5" i="111"/>
  <c r="C40" i="106"/>
  <c r="C40" i="107"/>
  <c r="C40" i="108"/>
  <c r="C40" i="109"/>
  <c r="C40" i="110"/>
  <c r="C40" i="111"/>
  <c r="D5" i="106"/>
  <c r="D3" i="126"/>
  <c r="D5" i="107"/>
  <c r="R3" i="126"/>
  <c r="D5" i="108"/>
  <c r="AF3" i="126"/>
  <c r="D5" i="109"/>
  <c r="D5" i="110"/>
  <c r="U5" i="110"/>
  <c r="AJ73" i="73"/>
  <c r="F406" i="73" s="1"/>
  <c r="D5" i="111"/>
  <c r="D40" i="106"/>
  <c r="D40" i="107"/>
  <c r="D40" i="108"/>
  <c r="D40" i="109"/>
  <c r="D40" i="110"/>
  <c r="D40" i="111"/>
  <c r="U40" i="111"/>
  <c r="E5" i="106"/>
  <c r="E3" i="126"/>
  <c r="E5" i="107"/>
  <c r="S3" i="126"/>
  <c r="E5" i="108"/>
  <c r="AG3" i="126"/>
  <c r="E5" i="109"/>
  <c r="E5" i="110"/>
  <c r="V5" i="110"/>
  <c r="E5" i="111"/>
  <c r="E40" i="106"/>
  <c r="E40" i="107"/>
  <c r="E40" i="108"/>
  <c r="E40" i="109"/>
  <c r="E40" i="110"/>
  <c r="E40" i="111"/>
  <c r="V40" i="111"/>
  <c r="F5" i="106"/>
  <c r="F5" i="107"/>
  <c r="F5" i="108"/>
  <c r="F5" i="109"/>
  <c r="F5" i="110"/>
  <c r="F5" i="111"/>
  <c r="F40" i="106"/>
  <c r="F40" i="107"/>
  <c r="F40" i="108"/>
  <c r="F40" i="109"/>
  <c r="F40" i="110"/>
  <c r="F40" i="111"/>
  <c r="G5" i="106"/>
  <c r="G5" i="107"/>
  <c r="G5" i="108"/>
  <c r="G5" i="109"/>
  <c r="G5" i="110"/>
  <c r="G5" i="111"/>
  <c r="G40" i="106"/>
  <c r="G40" i="107"/>
  <c r="G40" i="108"/>
  <c r="G40" i="109"/>
  <c r="G40" i="110"/>
  <c r="G40" i="111"/>
  <c r="H40" i="106"/>
  <c r="H40" i="107"/>
  <c r="H40" i="108"/>
  <c r="H40" i="109"/>
  <c r="H40" i="110"/>
  <c r="H40" i="111"/>
  <c r="I40" i="106"/>
  <c r="I40" i="107"/>
  <c r="I40" i="108"/>
  <c r="I40" i="109"/>
  <c r="I40" i="110"/>
  <c r="I40" i="111"/>
  <c r="X40" i="111"/>
  <c r="J40" i="106"/>
  <c r="J40" i="107"/>
  <c r="J40" i="108"/>
  <c r="J40" i="109"/>
  <c r="J40" i="110"/>
  <c r="J40" i="111"/>
  <c r="K40" i="106"/>
  <c r="K40" i="107"/>
  <c r="K40" i="108"/>
  <c r="K40" i="109"/>
  <c r="K40" i="110"/>
  <c r="K40" i="111"/>
  <c r="L40" i="106"/>
  <c r="L40" i="107"/>
  <c r="L40" i="108"/>
  <c r="L40" i="109"/>
  <c r="L40" i="110"/>
  <c r="L40" i="111"/>
  <c r="M40" i="106"/>
  <c r="M40" i="107"/>
  <c r="M40" i="108"/>
  <c r="M40" i="109"/>
  <c r="M40" i="110"/>
  <c r="M40" i="111"/>
  <c r="N40" i="106"/>
  <c r="N40" i="107"/>
  <c r="N40" i="108"/>
  <c r="N40" i="109"/>
  <c r="N40" i="110"/>
  <c r="N40" i="111"/>
  <c r="O40" i="106"/>
  <c r="O40" i="108"/>
  <c r="O40" i="109"/>
  <c r="O40" i="110"/>
  <c r="P40" i="106"/>
  <c r="P40" i="107"/>
  <c r="P40" i="108"/>
  <c r="P40" i="109"/>
  <c r="P40" i="110"/>
  <c r="Q40" i="106"/>
  <c r="Q40" i="107"/>
  <c r="Q40" i="108"/>
  <c r="Q40" i="109"/>
  <c r="Q40" i="110"/>
  <c r="B6" i="106"/>
  <c r="B4" i="126"/>
  <c r="B6" i="107"/>
  <c r="P4" i="126"/>
  <c r="B6" i="108"/>
  <c r="AD4" i="126"/>
  <c r="B6" i="109"/>
  <c r="B6" i="110"/>
  <c r="W6" i="121"/>
  <c r="B6" i="111"/>
  <c r="B41" i="106"/>
  <c r="B41" i="107"/>
  <c r="B41" i="108"/>
  <c r="B41" i="109"/>
  <c r="B41" i="110"/>
  <c r="B41" i="111"/>
  <c r="S41" i="111"/>
  <c r="C6" i="106"/>
  <c r="C4" i="126"/>
  <c r="C6" i="107"/>
  <c r="Q4" i="126"/>
  <c r="C6" i="108"/>
  <c r="AE4" i="126"/>
  <c r="C6" i="109"/>
  <c r="C6" i="110"/>
  <c r="T6" i="110"/>
  <c r="AJ40" i="73"/>
  <c r="C6" i="111"/>
  <c r="C41" i="106"/>
  <c r="C41" i="107"/>
  <c r="C41" i="108"/>
  <c r="C41" i="109"/>
  <c r="C41" i="110"/>
  <c r="C41" i="111"/>
  <c r="D6" i="106"/>
  <c r="D4" i="126"/>
  <c r="D6" i="107"/>
  <c r="R4" i="126"/>
  <c r="D6" i="108"/>
  <c r="AF4" i="126"/>
  <c r="D6" i="109"/>
  <c r="D6" i="110"/>
  <c r="U6" i="110"/>
  <c r="AJ74" i="73"/>
  <c r="D6" i="111"/>
  <c r="D41" i="106"/>
  <c r="D41" i="107"/>
  <c r="D41" i="108"/>
  <c r="D41" i="109"/>
  <c r="D41" i="110"/>
  <c r="D41" i="111"/>
  <c r="U41" i="111"/>
  <c r="E6" i="106"/>
  <c r="E4" i="126"/>
  <c r="E6" i="107"/>
  <c r="S4" i="126"/>
  <c r="E6" i="108"/>
  <c r="AG4" i="126"/>
  <c r="E6" i="109"/>
  <c r="E6" i="110"/>
  <c r="M5" i="65"/>
  <c r="E6" i="111"/>
  <c r="E41" i="106"/>
  <c r="E41" i="107"/>
  <c r="E41" i="108"/>
  <c r="E41" i="109"/>
  <c r="E41" i="110"/>
  <c r="E41" i="111"/>
  <c r="V41" i="111"/>
  <c r="F6" i="106"/>
  <c r="F6" i="107"/>
  <c r="F6" i="108"/>
  <c r="F6" i="109"/>
  <c r="F6" i="110"/>
  <c r="F6" i="111"/>
  <c r="F41" i="106"/>
  <c r="F41" i="107"/>
  <c r="F41" i="108"/>
  <c r="F41" i="109"/>
  <c r="F41" i="110"/>
  <c r="F41" i="111"/>
  <c r="W41" i="111"/>
  <c r="G6" i="106"/>
  <c r="G6" i="107"/>
  <c r="G6" i="108"/>
  <c r="G6" i="109"/>
  <c r="G6" i="110"/>
  <c r="G6" i="111"/>
  <c r="G41" i="106"/>
  <c r="G41" i="107"/>
  <c r="G41" i="108"/>
  <c r="G41" i="109"/>
  <c r="G41" i="110"/>
  <c r="G41" i="111"/>
  <c r="H6" i="106"/>
  <c r="H6" i="107"/>
  <c r="H6" i="108"/>
  <c r="H6" i="109"/>
  <c r="H6" i="110"/>
  <c r="H6" i="111"/>
  <c r="H41" i="106"/>
  <c r="H41" i="107"/>
  <c r="H41" i="108"/>
  <c r="H41" i="109"/>
  <c r="H41" i="110"/>
  <c r="H41" i="111"/>
  <c r="X41" i="111"/>
  <c r="I6" i="106"/>
  <c r="I6" i="107"/>
  <c r="I6" i="108"/>
  <c r="I6" i="109"/>
  <c r="I6" i="110"/>
  <c r="I6" i="111"/>
  <c r="I41" i="106"/>
  <c r="I41" i="107"/>
  <c r="I41" i="108"/>
  <c r="I41" i="109"/>
  <c r="I41" i="110"/>
  <c r="I41" i="111"/>
  <c r="J6" i="106"/>
  <c r="J6" i="107"/>
  <c r="J6" i="108"/>
  <c r="J6" i="109"/>
  <c r="J6" i="110"/>
  <c r="J6" i="111"/>
  <c r="J41" i="106"/>
  <c r="J41" i="107"/>
  <c r="J41" i="108"/>
  <c r="J41" i="109"/>
  <c r="J41" i="110"/>
  <c r="J41" i="111"/>
  <c r="K6" i="106"/>
  <c r="K6" i="107"/>
  <c r="K6" i="108"/>
  <c r="K6" i="109"/>
  <c r="K6" i="110"/>
  <c r="K6" i="111"/>
  <c r="K41" i="106"/>
  <c r="K41" i="107"/>
  <c r="K41" i="108"/>
  <c r="K41" i="109"/>
  <c r="K41" i="110"/>
  <c r="K41" i="111"/>
  <c r="L6" i="106"/>
  <c r="L6" i="107"/>
  <c r="L6" i="108"/>
  <c r="L6" i="109"/>
  <c r="L6" i="110"/>
  <c r="L6" i="111"/>
  <c r="L41" i="106"/>
  <c r="L41" i="107"/>
  <c r="L41" i="108"/>
  <c r="L41" i="109"/>
  <c r="L41" i="110"/>
  <c r="L41" i="111"/>
  <c r="M6" i="106"/>
  <c r="M6" i="107"/>
  <c r="M6" i="108"/>
  <c r="M6" i="109"/>
  <c r="M6" i="110"/>
  <c r="M6" i="111"/>
  <c r="M41" i="106"/>
  <c r="M41" i="107"/>
  <c r="M41" i="108"/>
  <c r="M41" i="109"/>
  <c r="M41" i="110"/>
  <c r="M41" i="111"/>
  <c r="N6" i="106"/>
  <c r="N6" i="107"/>
  <c r="N6" i="108"/>
  <c r="N6" i="109"/>
  <c r="N6" i="110"/>
  <c r="N41" i="106"/>
  <c r="N41" i="107"/>
  <c r="N41" i="108"/>
  <c r="N41" i="109"/>
  <c r="N41" i="110"/>
  <c r="O6" i="106"/>
  <c r="O6" i="107"/>
  <c r="O6" i="108"/>
  <c r="O6" i="109"/>
  <c r="O6" i="110"/>
  <c r="O41" i="106"/>
  <c r="O41" i="107"/>
  <c r="O41" i="108"/>
  <c r="O41" i="110"/>
  <c r="P6" i="106"/>
  <c r="P6" i="107"/>
  <c r="P6" i="108"/>
  <c r="P6" i="109"/>
  <c r="R6" i="109"/>
  <c r="P6" i="110"/>
  <c r="P41" i="106"/>
  <c r="P41" i="107"/>
  <c r="P41" i="108"/>
  <c r="P41" i="109"/>
  <c r="P41" i="110"/>
  <c r="Q6" i="106"/>
  <c r="Q6" i="107"/>
  <c r="X6" i="107"/>
  <c r="Q6" i="108"/>
  <c r="Q6" i="109"/>
  <c r="Q6" i="110"/>
  <c r="Q41" i="106"/>
  <c r="Q41" i="107"/>
  <c r="Q41" i="108"/>
  <c r="Q41" i="109"/>
  <c r="Q41" i="110"/>
  <c r="B7" i="106"/>
  <c r="B6" i="126"/>
  <c r="B7" i="107"/>
  <c r="P6" i="126"/>
  <c r="B7" i="108"/>
  <c r="AD6" i="126"/>
  <c r="B7" i="109"/>
  <c r="B7" i="110"/>
  <c r="B7" i="111"/>
  <c r="B42" i="106"/>
  <c r="B42" i="107"/>
  <c r="S42" i="107"/>
  <c r="B42" i="108"/>
  <c r="B42" i="109"/>
  <c r="B42" i="110"/>
  <c r="B42" i="111"/>
  <c r="C7" i="106"/>
  <c r="C7" i="107"/>
  <c r="Q6" i="126"/>
  <c r="C7" i="108"/>
  <c r="AE6" i="126"/>
  <c r="C7" i="109"/>
  <c r="V8" i="121"/>
  <c r="C7" i="110"/>
  <c r="C7" i="111"/>
  <c r="C42" i="106"/>
  <c r="C42" i="107"/>
  <c r="C42" i="108"/>
  <c r="C42" i="109"/>
  <c r="C42" i="110"/>
  <c r="C42" i="111"/>
  <c r="D7" i="106"/>
  <c r="D7" i="107"/>
  <c r="R6" i="126"/>
  <c r="D7" i="108"/>
  <c r="AF6" i="126"/>
  <c r="D7" i="109"/>
  <c r="D7" i="110"/>
  <c r="D7" i="111"/>
  <c r="D42" i="106"/>
  <c r="D42" i="107"/>
  <c r="D42" i="108"/>
  <c r="D42" i="109"/>
  <c r="D42" i="110"/>
  <c r="D42" i="111"/>
  <c r="E7" i="106"/>
  <c r="E7" i="107"/>
  <c r="S6" i="126"/>
  <c r="E7" i="108"/>
  <c r="AG6" i="126"/>
  <c r="E7" i="109"/>
  <c r="K6" i="65"/>
  <c r="E7" i="110"/>
  <c r="E7" i="111"/>
  <c r="E42" i="106"/>
  <c r="E42" i="107"/>
  <c r="E42" i="108"/>
  <c r="E42" i="109"/>
  <c r="E42" i="110"/>
  <c r="E42" i="111"/>
  <c r="F7" i="106"/>
  <c r="F7" i="107"/>
  <c r="F7" i="108"/>
  <c r="F7" i="109"/>
  <c r="F7" i="110"/>
  <c r="F7" i="111"/>
  <c r="F42" i="106"/>
  <c r="F42" i="107"/>
  <c r="F42" i="108"/>
  <c r="F42" i="109"/>
  <c r="F42" i="110"/>
  <c r="F42" i="111"/>
  <c r="G7" i="106"/>
  <c r="G7" i="107"/>
  <c r="G7" i="108"/>
  <c r="G7" i="109"/>
  <c r="W7" i="109"/>
  <c r="AI145" i="73"/>
  <c r="E570" i="73" s="1"/>
  <c r="G7" i="110"/>
  <c r="G7" i="111"/>
  <c r="G42" i="106"/>
  <c r="G42" i="107"/>
  <c r="G42" i="108"/>
  <c r="G42" i="109"/>
  <c r="G42" i="110"/>
  <c r="G42" i="111"/>
  <c r="H7" i="106"/>
  <c r="H7" i="107"/>
  <c r="H7" i="108"/>
  <c r="H7" i="109"/>
  <c r="H7" i="110"/>
  <c r="H7" i="111"/>
  <c r="H42" i="106"/>
  <c r="H42" i="107"/>
  <c r="H42" i="108"/>
  <c r="H42" i="109"/>
  <c r="H42" i="110"/>
  <c r="H42" i="111"/>
  <c r="I7" i="106"/>
  <c r="I7" i="107"/>
  <c r="I7" i="108"/>
  <c r="I7" i="109"/>
  <c r="I7" i="110"/>
  <c r="I7" i="111"/>
  <c r="I42" i="106"/>
  <c r="I42" i="107"/>
  <c r="I42" i="108"/>
  <c r="I42" i="109"/>
  <c r="I42" i="110"/>
  <c r="I42" i="111"/>
  <c r="J7" i="106"/>
  <c r="J7" i="107"/>
  <c r="J7" i="108"/>
  <c r="J7" i="109"/>
  <c r="J7" i="110"/>
  <c r="J7" i="111"/>
  <c r="J42" i="106"/>
  <c r="J42" i="107"/>
  <c r="J42" i="108"/>
  <c r="J42" i="109"/>
  <c r="J42" i="110"/>
  <c r="J42" i="111"/>
  <c r="K7" i="106"/>
  <c r="K7" i="107"/>
  <c r="K7" i="108"/>
  <c r="K7" i="109"/>
  <c r="K7" i="110"/>
  <c r="K7" i="111"/>
  <c r="K42" i="106"/>
  <c r="K42" i="107"/>
  <c r="K42" i="108"/>
  <c r="K42" i="109"/>
  <c r="K42" i="110"/>
  <c r="K42" i="111"/>
  <c r="L7" i="106"/>
  <c r="L7" i="107"/>
  <c r="L7" i="108"/>
  <c r="L7" i="109"/>
  <c r="L7" i="110"/>
  <c r="L7" i="111"/>
  <c r="L42" i="106"/>
  <c r="L42" i="107"/>
  <c r="L42" i="108"/>
  <c r="L42" i="109"/>
  <c r="L42" i="110"/>
  <c r="L42" i="111"/>
  <c r="M7" i="106"/>
  <c r="M7" i="107"/>
  <c r="M7" i="108"/>
  <c r="M7" i="109"/>
  <c r="M7" i="110"/>
  <c r="M7" i="111"/>
  <c r="M42" i="106"/>
  <c r="M42" i="107"/>
  <c r="M42" i="108"/>
  <c r="M42" i="109"/>
  <c r="M42" i="110"/>
  <c r="M42" i="111"/>
  <c r="N7" i="106"/>
  <c r="N7" i="107"/>
  <c r="N7" i="108"/>
  <c r="N7" i="109"/>
  <c r="N7" i="110"/>
  <c r="N42" i="106"/>
  <c r="N42" i="107"/>
  <c r="N42" i="108"/>
  <c r="N42" i="109"/>
  <c r="N42" i="110"/>
  <c r="O7" i="106"/>
  <c r="O7" i="107"/>
  <c r="O7" i="109"/>
  <c r="O7" i="110"/>
  <c r="O42" i="106"/>
  <c r="O42" i="107"/>
  <c r="O42" i="109"/>
  <c r="O42" i="110"/>
  <c r="P7" i="106"/>
  <c r="P7" i="107"/>
  <c r="P7" i="108"/>
  <c r="P7" i="109"/>
  <c r="P7" i="110"/>
  <c r="P42" i="106"/>
  <c r="P42" i="107"/>
  <c r="P42" i="108"/>
  <c r="P42" i="109"/>
  <c r="P42" i="110"/>
  <c r="Q7" i="106"/>
  <c r="Q7" i="107"/>
  <c r="Q7" i="108"/>
  <c r="Q7" i="109"/>
  <c r="Q7" i="110"/>
  <c r="Q42" i="106"/>
  <c r="Q42" i="107"/>
  <c r="Q42" i="108"/>
  <c r="Q42" i="109"/>
  <c r="Q42" i="110"/>
  <c r="B8" i="106"/>
  <c r="B5" i="126"/>
  <c r="B8" i="107"/>
  <c r="P5" i="126"/>
  <c r="B8" i="108"/>
  <c r="AD5" i="126"/>
  <c r="B8" i="109"/>
  <c r="B8" i="110"/>
  <c r="B8" i="111"/>
  <c r="B43" i="106"/>
  <c r="S43" i="106"/>
  <c r="B43" i="107"/>
  <c r="B43" i="108"/>
  <c r="B43" i="109"/>
  <c r="B43" i="110"/>
  <c r="B43" i="111"/>
  <c r="C8" i="106"/>
  <c r="C5" i="126"/>
  <c r="C8" i="107"/>
  <c r="Q5" i="126"/>
  <c r="C8" i="108"/>
  <c r="AE5" i="126"/>
  <c r="C8" i="109"/>
  <c r="C8" i="110"/>
  <c r="C8" i="111"/>
  <c r="C43" i="106"/>
  <c r="T43" i="106"/>
  <c r="C43" i="107"/>
  <c r="C43" i="108"/>
  <c r="C43" i="109"/>
  <c r="C43" i="110"/>
  <c r="C43" i="111"/>
  <c r="D8" i="106"/>
  <c r="D5" i="126"/>
  <c r="D8" i="107"/>
  <c r="D8" i="108"/>
  <c r="AF5" i="126"/>
  <c r="D8" i="109"/>
  <c r="D8" i="110"/>
  <c r="D8" i="111"/>
  <c r="D43" i="106"/>
  <c r="U43" i="106"/>
  <c r="D43" i="107"/>
  <c r="D43" i="108"/>
  <c r="D43" i="109"/>
  <c r="D43" i="110"/>
  <c r="D43" i="111"/>
  <c r="E8" i="106"/>
  <c r="E5" i="126"/>
  <c r="E8" i="107"/>
  <c r="S5" i="126"/>
  <c r="E8" i="108"/>
  <c r="AG5" i="126"/>
  <c r="E8" i="109"/>
  <c r="E8" i="110"/>
  <c r="E8" i="111"/>
  <c r="E43" i="106"/>
  <c r="V43" i="106"/>
  <c r="E43" i="107"/>
  <c r="E43" i="108"/>
  <c r="E43" i="109"/>
  <c r="E43" i="110"/>
  <c r="E43" i="111"/>
  <c r="F8" i="106"/>
  <c r="F8" i="107"/>
  <c r="F8" i="108"/>
  <c r="F8" i="109"/>
  <c r="F8" i="110"/>
  <c r="F8" i="111"/>
  <c r="F43" i="106"/>
  <c r="F43" i="107"/>
  <c r="F43" i="108"/>
  <c r="F43" i="109"/>
  <c r="F43" i="110"/>
  <c r="F43" i="111"/>
  <c r="G8" i="106"/>
  <c r="G8" i="107"/>
  <c r="G8" i="108"/>
  <c r="G8" i="109"/>
  <c r="G8" i="110"/>
  <c r="G8" i="111"/>
  <c r="G43" i="106"/>
  <c r="G43" i="107"/>
  <c r="G43" i="108"/>
  <c r="G43" i="109"/>
  <c r="G43" i="110"/>
  <c r="G43" i="111"/>
  <c r="H8" i="106"/>
  <c r="H8" i="107"/>
  <c r="H8" i="108"/>
  <c r="H8" i="109"/>
  <c r="H8" i="110"/>
  <c r="H8" i="111"/>
  <c r="H43" i="106"/>
  <c r="H43" i="107"/>
  <c r="H43" i="108"/>
  <c r="H43" i="109"/>
  <c r="H43" i="110"/>
  <c r="H43" i="111"/>
  <c r="I8" i="106"/>
  <c r="I8" i="107"/>
  <c r="I8" i="108"/>
  <c r="I8" i="109"/>
  <c r="I8" i="110"/>
  <c r="I8" i="111"/>
  <c r="I43" i="106"/>
  <c r="I43" i="107"/>
  <c r="I43" i="108"/>
  <c r="I43" i="109"/>
  <c r="I43" i="110"/>
  <c r="I43" i="111"/>
  <c r="J8" i="106"/>
  <c r="J8" i="107"/>
  <c r="J8" i="108"/>
  <c r="J8" i="109"/>
  <c r="J8" i="110"/>
  <c r="J8" i="111"/>
  <c r="J43" i="106"/>
  <c r="J43" i="107"/>
  <c r="J43" i="108"/>
  <c r="J43" i="109"/>
  <c r="J43" i="110"/>
  <c r="J43" i="111"/>
  <c r="K8" i="106"/>
  <c r="K8" i="107"/>
  <c r="K8" i="108"/>
  <c r="K8" i="109"/>
  <c r="K8" i="110"/>
  <c r="K8" i="111"/>
  <c r="K43" i="106"/>
  <c r="K43" i="107"/>
  <c r="K43" i="108"/>
  <c r="K43" i="109"/>
  <c r="K43" i="110"/>
  <c r="K43" i="111"/>
  <c r="L8" i="106"/>
  <c r="L8" i="107"/>
  <c r="L8" i="108"/>
  <c r="L8" i="109"/>
  <c r="L8" i="110"/>
  <c r="L8" i="111"/>
  <c r="L43" i="106"/>
  <c r="L43" i="107"/>
  <c r="L43" i="108"/>
  <c r="L43" i="109"/>
  <c r="L43" i="110"/>
  <c r="L43" i="111"/>
  <c r="M8" i="106"/>
  <c r="M8" i="107"/>
  <c r="M8" i="108"/>
  <c r="M8" i="109"/>
  <c r="M8" i="110"/>
  <c r="M8" i="111"/>
  <c r="M43" i="106"/>
  <c r="M43" i="107"/>
  <c r="M43" i="108"/>
  <c r="M43" i="109"/>
  <c r="M43" i="110"/>
  <c r="M43" i="111"/>
  <c r="N8" i="106"/>
  <c r="N8" i="107"/>
  <c r="N8" i="108"/>
  <c r="N8" i="109"/>
  <c r="N8" i="110"/>
  <c r="N43" i="106"/>
  <c r="N43" i="107"/>
  <c r="N43" i="108"/>
  <c r="N43" i="109"/>
  <c r="N43" i="110"/>
  <c r="O8" i="106"/>
  <c r="O8" i="108"/>
  <c r="O8" i="109"/>
  <c r="O8" i="110"/>
  <c r="O43" i="106"/>
  <c r="O43" i="108"/>
  <c r="O43" i="109"/>
  <c r="O43" i="110"/>
  <c r="P8" i="106"/>
  <c r="P8" i="107"/>
  <c r="P8" i="108"/>
  <c r="P8" i="109"/>
  <c r="P8" i="110"/>
  <c r="P43" i="106"/>
  <c r="Q8" i="106"/>
  <c r="Q8" i="107"/>
  <c r="Q8" i="108"/>
  <c r="Q8" i="109"/>
  <c r="Q8" i="110"/>
  <c r="Q43" i="106"/>
  <c r="B9" i="106"/>
  <c r="B9" i="107"/>
  <c r="P7" i="126"/>
  <c r="B9" i="108"/>
  <c r="AD7" i="126"/>
  <c r="B9" i="109"/>
  <c r="U9" i="121"/>
  <c r="B9" i="110"/>
  <c r="B9" i="111"/>
  <c r="B44" i="106"/>
  <c r="B44" i="107"/>
  <c r="B44" i="108"/>
  <c r="B44" i="109"/>
  <c r="B44" i="110"/>
  <c r="B44" i="111"/>
  <c r="C9" i="106"/>
  <c r="C9" i="107"/>
  <c r="Q7" i="126"/>
  <c r="C9" i="108"/>
  <c r="AE7" i="126"/>
  <c r="C9" i="109"/>
  <c r="C9" i="110"/>
  <c r="C9" i="111"/>
  <c r="C44" i="106"/>
  <c r="C44" i="107"/>
  <c r="T44" i="107"/>
  <c r="C44" i="108"/>
  <c r="C44" i="109"/>
  <c r="C44" i="110"/>
  <c r="C44" i="111"/>
  <c r="D9" i="106"/>
  <c r="D9" i="107"/>
  <c r="R7" i="126"/>
  <c r="D9" i="108"/>
  <c r="AF7" i="126"/>
  <c r="D9" i="109"/>
  <c r="R9" i="122"/>
  <c r="R32" i="122" s="1"/>
  <c r="R34" i="122" s="1"/>
  <c r="R36" i="122" s="1"/>
  <c r="D9" i="110"/>
  <c r="D9" i="111"/>
  <c r="D44" i="106"/>
  <c r="D44" i="107"/>
  <c r="D44" i="108"/>
  <c r="D44" i="109"/>
  <c r="D44" i="110"/>
  <c r="D44" i="111"/>
  <c r="E9" i="106"/>
  <c r="E9" i="107"/>
  <c r="S7" i="126"/>
  <c r="E9" i="108"/>
  <c r="AG7" i="126"/>
  <c r="E9" i="109"/>
  <c r="E9" i="110"/>
  <c r="E9" i="111"/>
  <c r="E44" i="106"/>
  <c r="E44" i="107"/>
  <c r="V44" i="107"/>
  <c r="E44" i="108"/>
  <c r="E44" i="109"/>
  <c r="E44" i="110"/>
  <c r="E44" i="111"/>
  <c r="F9" i="106"/>
  <c r="F9" i="107"/>
  <c r="F9" i="108"/>
  <c r="F9" i="109"/>
  <c r="F9" i="110"/>
  <c r="F9" i="111"/>
  <c r="F44" i="106"/>
  <c r="F44" i="107"/>
  <c r="F44" i="108"/>
  <c r="F44" i="109"/>
  <c r="F44" i="110"/>
  <c r="F44" i="111"/>
  <c r="G9" i="106"/>
  <c r="G9" i="107"/>
  <c r="G9" i="108"/>
  <c r="G9" i="109"/>
  <c r="G9" i="110"/>
  <c r="G9" i="111"/>
  <c r="G44" i="106"/>
  <c r="G44" i="107"/>
  <c r="W44" i="107"/>
  <c r="G44" i="108"/>
  <c r="G44" i="109"/>
  <c r="G44" i="110"/>
  <c r="G44" i="111"/>
  <c r="H9" i="106"/>
  <c r="H9" i="107"/>
  <c r="H9" i="108"/>
  <c r="H9" i="109"/>
  <c r="H9" i="110"/>
  <c r="H9" i="111"/>
  <c r="H44" i="106"/>
  <c r="H44" i="107"/>
  <c r="H44" i="108"/>
  <c r="H44" i="109"/>
  <c r="H44" i="110"/>
  <c r="H44" i="111"/>
  <c r="I9" i="106"/>
  <c r="I9" i="107"/>
  <c r="I9" i="108"/>
  <c r="I9" i="109"/>
  <c r="I9" i="110"/>
  <c r="I9" i="111"/>
  <c r="I44" i="106"/>
  <c r="I44" i="107"/>
  <c r="I44" i="108"/>
  <c r="I44" i="109"/>
  <c r="I44" i="110"/>
  <c r="I44" i="111"/>
  <c r="J9" i="106"/>
  <c r="J9" i="107"/>
  <c r="J9" i="108"/>
  <c r="J9" i="109"/>
  <c r="J9" i="110"/>
  <c r="J9" i="111"/>
  <c r="J44" i="106"/>
  <c r="J44" i="107"/>
  <c r="J44" i="108"/>
  <c r="J44" i="109"/>
  <c r="J44" i="110"/>
  <c r="J44" i="111"/>
  <c r="K9" i="106"/>
  <c r="K9" i="107"/>
  <c r="K9" i="108"/>
  <c r="K9" i="109"/>
  <c r="K9" i="110"/>
  <c r="K9" i="111"/>
  <c r="K44" i="106"/>
  <c r="K44" i="107"/>
  <c r="K44" i="108"/>
  <c r="K44" i="109"/>
  <c r="K44" i="110"/>
  <c r="K44" i="111"/>
  <c r="L9" i="106"/>
  <c r="L9" i="107"/>
  <c r="L9" i="108"/>
  <c r="L9" i="109"/>
  <c r="L9" i="110"/>
  <c r="L9" i="111"/>
  <c r="L44" i="106"/>
  <c r="L44" i="107"/>
  <c r="L44" i="108"/>
  <c r="L44" i="109"/>
  <c r="L44" i="110"/>
  <c r="L44" i="111"/>
  <c r="M9" i="106"/>
  <c r="M9" i="107"/>
  <c r="M9" i="108"/>
  <c r="M9" i="109"/>
  <c r="M9" i="110"/>
  <c r="M9" i="111"/>
  <c r="M44" i="106"/>
  <c r="M44" i="107"/>
  <c r="M44" i="108"/>
  <c r="M44" i="109"/>
  <c r="M44" i="110"/>
  <c r="M44" i="111"/>
  <c r="N9" i="106"/>
  <c r="N9" i="107"/>
  <c r="N9" i="108"/>
  <c r="N9" i="109"/>
  <c r="N9" i="110"/>
  <c r="N44" i="106"/>
  <c r="N44" i="107"/>
  <c r="N44" i="108"/>
  <c r="N44" i="109"/>
  <c r="N44" i="110"/>
  <c r="O9" i="106"/>
  <c r="O9" i="107"/>
  <c r="O9" i="108"/>
  <c r="O9" i="109"/>
  <c r="O44" i="106"/>
  <c r="O44" i="107"/>
  <c r="O44" i="108"/>
  <c r="O44" i="109"/>
  <c r="O44" i="110"/>
  <c r="P9" i="106"/>
  <c r="P9" i="107"/>
  <c r="P9" i="108"/>
  <c r="P9" i="109"/>
  <c r="P9" i="110"/>
  <c r="P44" i="106"/>
  <c r="P44" i="107"/>
  <c r="P44" i="108"/>
  <c r="P44" i="109"/>
  <c r="P44" i="110"/>
  <c r="Q9" i="106"/>
  <c r="Q9" i="107"/>
  <c r="Q9" i="108"/>
  <c r="Q9" i="109"/>
  <c r="Q9" i="110"/>
  <c r="Q44" i="106"/>
  <c r="Q44" i="107"/>
  <c r="Q44" i="108"/>
  <c r="Q44" i="109"/>
  <c r="Q44" i="110"/>
  <c r="B10" i="106"/>
  <c r="B8" i="126"/>
  <c r="B10" i="107"/>
  <c r="P8" i="126"/>
  <c r="B10" i="108"/>
  <c r="AD8" i="126"/>
  <c r="B10" i="109"/>
  <c r="B10" i="110"/>
  <c r="B10" i="111"/>
  <c r="B45" i="106"/>
  <c r="S45" i="106"/>
  <c r="B45" i="107"/>
  <c r="B45" i="108"/>
  <c r="B45" i="109"/>
  <c r="B45" i="110"/>
  <c r="S45" i="110"/>
  <c r="B45" i="111"/>
  <c r="C10" i="106"/>
  <c r="C8" i="126"/>
  <c r="C10" i="107"/>
  <c r="Q8" i="126"/>
  <c r="C10" i="108"/>
  <c r="AE8" i="126"/>
  <c r="C10" i="109"/>
  <c r="C10" i="110"/>
  <c r="C10" i="111"/>
  <c r="T10" i="111"/>
  <c r="C45" i="106"/>
  <c r="C45" i="107"/>
  <c r="C45" i="108"/>
  <c r="C45" i="109"/>
  <c r="C45" i="110"/>
  <c r="T45" i="110"/>
  <c r="C45" i="111"/>
  <c r="D10" i="106"/>
  <c r="D8" i="126"/>
  <c r="D10" i="107"/>
  <c r="R8" i="126"/>
  <c r="D10" i="108"/>
  <c r="AF8" i="126"/>
  <c r="D10" i="109"/>
  <c r="D10" i="110"/>
  <c r="D10" i="111"/>
  <c r="D45" i="106"/>
  <c r="D45" i="107"/>
  <c r="D45" i="108"/>
  <c r="D45" i="109"/>
  <c r="D45" i="110"/>
  <c r="U45" i="110"/>
  <c r="D45" i="111"/>
  <c r="E10" i="106"/>
  <c r="E8" i="126"/>
  <c r="E10" i="107"/>
  <c r="S8" i="126"/>
  <c r="E10" i="108"/>
  <c r="AG8" i="126"/>
  <c r="E10" i="109"/>
  <c r="E10" i="110"/>
  <c r="E10" i="111"/>
  <c r="E45" i="106"/>
  <c r="E45" i="107"/>
  <c r="E45" i="108"/>
  <c r="E45" i="109"/>
  <c r="E45" i="110"/>
  <c r="V45" i="110"/>
  <c r="E45" i="111"/>
  <c r="F10" i="106"/>
  <c r="F10" i="107"/>
  <c r="F10" i="108"/>
  <c r="F10" i="109"/>
  <c r="F10" i="110"/>
  <c r="F10" i="111"/>
  <c r="W10" i="111"/>
  <c r="F45" i="106"/>
  <c r="F45" i="107"/>
  <c r="F45" i="108"/>
  <c r="F45" i="109"/>
  <c r="F45" i="110"/>
  <c r="F45" i="111"/>
  <c r="G10" i="106"/>
  <c r="G10" i="107"/>
  <c r="G10" i="108"/>
  <c r="G10" i="109"/>
  <c r="G10" i="110"/>
  <c r="G10" i="111"/>
  <c r="G45" i="106"/>
  <c r="G45" i="107"/>
  <c r="G45" i="108"/>
  <c r="G45" i="109"/>
  <c r="G45" i="110"/>
  <c r="G45" i="111"/>
  <c r="H10" i="106"/>
  <c r="H10" i="107"/>
  <c r="H10" i="108"/>
  <c r="H10" i="109"/>
  <c r="H10" i="110"/>
  <c r="H10" i="111"/>
  <c r="H45" i="106"/>
  <c r="H45" i="107"/>
  <c r="H45" i="108"/>
  <c r="H45" i="109"/>
  <c r="H45" i="110"/>
  <c r="H45" i="111"/>
  <c r="I10" i="106"/>
  <c r="I10" i="107"/>
  <c r="I10" i="108"/>
  <c r="I10" i="109"/>
  <c r="I10" i="110"/>
  <c r="I10" i="111"/>
  <c r="I45" i="106"/>
  <c r="I45" i="107"/>
  <c r="I45" i="108"/>
  <c r="I45" i="109"/>
  <c r="I45" i="110"/>
  <c r="I45" i="111"/>
  <c r="J10" i="106"/>
  <c r="J10" i="107"/>
  <c r="J10" i="108"/>
  <c r="J10" i="109"/>
  <c r="J10" i="110"/>
  <c r="J10" i="111"/>
  <c r="J45" i="106"/>
  <c r="J45" i="107"/>
  <c r="J45" i="108"/>
  <c r="J45" i="109"/>
  <c r="J45" i="110"/>
  <c r="J45" i="111"/>
  <c r="K10" i="106"/>
  <c r="K10" i="107"/>
  <c r="K10" i="108"/>
  <c r="K10" i="109"/>
  <c r="K10" i="110"/>
  <c r="K10" i="111"/>
  <c r="K45" i="106"/>
  <c r="K45" i="107"/>
  <c r="K45" i="108"/>
  <c r="K45" i="109"/>
  <c r="K45" i="110"/>
  <c r="K45" i="111"/>
  <c r="L10" i="106"/>
  <c r="L10" i="107"/>
  <c r="L10" i="108"/>
  <c r="L10" i="109"/>
  <c r="L10" i="110"/>
  <c r="L10" i="111"/>
  <c r="L45" i="106"/>
  <c r="L45" i="107"/>
  <c r="L45" i="108"/>
  <c r="L45" i="109"/>
  <c r="L45" i="110"/>
  <c r="L45" i="111"/>
  <c r="M10" i="106"/>
  <c r="M10" i="107"/>
  <c r="M10" i="108"/>
  <c r="M10" i="109"/>
  <c r="M10" i="110"/>
  <c r="M10" i="111"/>
  <c r="M45" i="106"/>
  <c r="M45" i="107"/>
  <c r="M45" i="108"/>
  <c r="M45" i="109"/>
  <c r="M45" i="110"/>
  <c r="M45" i="111"/>
  <c r="N10" i="106"/>
  <c r="N10" i="107"/>
  <c r="N10" i="108"/>
  <c r="N10" i="109"/>
  <c r="N10" i="110"/>
  <c r="N45" i="106"/>
  <c r="N45" i="107"/>
  <c r="N45" i="108"/>
  <c r="N45" i="109"/>
  <c r="N45" i="110"/>
  <c r="O10" i="106"/>
  <c r="O10" i="107"/>
  <c r="O10" i="108"/>
  <c r="O10" i="110"/>
  <c r="O45" i="106"/>
  <c r="O45" i="107"/>
  <c r="O45" i="108"/>
  <c r="O45" i="110"/>
  <c r="P10" i="106"/>
  <c r="P10" i="107"/>
  <c r="P10" i="108"/>
  <c r="P10" i="109"/>
  <c r="P10" i="110"/>
  <c r="P45" i="106"/>
  <c r="P45" i="107"/>
  <c r="P45" i="108"/>
  <c r="P45" i="109"/>
  <c r="P45" i="110"/>
  <c r="Q10" i="106"/>
  <c r="Q10" i="107"/>
  <c r="Q10" i="108"/>
  <c r="Q10" i="109"/>
  <c r="Q10" i="110"/>
  <c r="Q45" i="106"/>
  <c r="Q45" i="107"/>
  <c r="Q45" i="108"/>
  <c r="Q45" i="109"/>
  <c r="Q45" i="110"/>
  <c r="B11" i="106"/>
  <c r="B9" i="126"/>
  <c r="B11" i="107"/>
  <c r="P9" i="126"/>
  <c r="B11" i="108"/>
  <c r="AD9" i="126"/>
  <c r="B11" i="109"/>
  <c r="B11" i="110"/>
  <c r="S11" i="110"/>
  <c r="AJ11" i="73"/>
  <c r="B11" i="111"/>
  <c r="B46" i="106"/>
  <c r="B46" i="107"/>
  <c r="B46" i="108"/>
  <c r="B46" i="109"/>
  <c r="B46" i="110"/>
  <c r="B46" i="111"/>
  <c r="C11" i="106"/>
  <c r="C9" i="126"/>
  <c r="C11" i="107"/>
  <c r="Q9" i="126"/>
  <c r="C11" i="108"/>
  <c r="AE9" i="126"/>
  <c r="C11" i="109"/>
  <c r="C11" i="110"/>
  <c r="T11" i="110"/>
  <c r="AJ45" i="73"/>
  <c r="C11" i="111"/>
  <c r="C46" i="106"/>
  <c r="C46" i="107"/>
  <c r="C46" i="108"/>
  <c r="C46" i="109"/>
  <c r="C46" i="110"/>
  <c r="C46" i="111"/>
  <c r="T46" i="111"/>
  <c r="D11" i="106"/>
  <c r="D9" i="126"/>
  <c r="D11" i="107"/>
  <c r="R9" i="126"/>
  <c r="D11" i="108"/>
  <c r="AF9" i="126"/>
  <c r="D11" i="109"/>
  <c r="D11" i="110"/>
  <c r="U11" i="110"/>
  <c r="AJ79" i="73"/>
  <c r="D11" i="111"/>
  <c r="D46" i="106"/>
  <c r="D46" i="107"/>
  <c r="D46" i="108"/>
  <c r="D46" i="109"/>
  <c r="D46" i="110"/>
  <c r="D46" i="111"/>
  <c r="U46" i="111"/>
  <c r="E11" i="106"/>
  <c r="E9" i="126"/>
  <c r="E11" i="107"/>
  <c r="S9" i="126"/>
  <c r="E11" i="108"/>
  <c r="AG9" i="126"/>
  <c r="E11" i="109"/>
  <c r="E11" i="110"/>
  <c r="U11" i="122"/>
  <c r="E11" i="111"/>
  <c r="E46" i="106"/>
  <c r="E46" i="107"/>
  <c r="E46" i="108"/>
  <c r="E46" i="109"/>
  <c r="E46" i="110"/>
  <c r="E46" i="111"/>
  <c r="V46" i="111"/>
  <c r="F11" i="106"/>
  <c r="F11" i="107"/>
  <c r="F11" i="108"/>
  <c r="F11" i="109"/>
  <c r="F11" i="110"/>
  <c r="F11" i="111"/>
  <c r="F46" i="106"/>
  <c r="F46" i="107"/>
  <c r="F46" i="108"/>
  <c r="F46" i="109"/>
  <c r="F46" i="110"/>
  <c r="F46" i="111"/>
  <c r="W46" i="111"/>
  <c r="G11" i="106"/>
  <c r="G11" i="107"/>
  <c r="G11" i="108"/>
  <c r="G11" i="109"/>
  <c r="G11" i="110"/>
  <c r="G11" i="111"/>
  <c r="G46" i="106"/>
  <c r="G46" i="107"/>
  <c r="G46" i="108"/>
  <c r="G46" i="109"/>
  <c r="G46" i="110"/>
  <c r="G46" i="111"/>
  <c r="H11" i="106"/>
  <c r="H11" i="107"/>
  <c r="H11" i="108"/>
  <c r="H11" i="109"/>
  <c r="H11" i="110"/>
  <c r="H11" i="111"/>
  <c r="H46" i="106"/>
  <c r="H46" i="107"/>
  <c r="H46" i="108"/>
  <c r="H46" i="109"/>
  <c r="H46" i="110"/>
  <c r="H46" i="111"/>
  <c r="I11" i="106"/>
  <c r="I11" i="107"/>
  <c r="I11" i="108"/>
  <c r="I11" i="109"/>
  <c r="I11" i="110"/>
  <c r="I11" i="111"/>
  <c r="I46" i="106"/>
  <c r="I46" i="107"/>
  <c r="I46" i="108"/>
  <c r="I46" i="109"/>
  <c r="I46" i="110"/>
  <c r="I46" i="111"/>
  <c r="J11" i="106"/>
  <c r="J11" i="107"/>
  <c r="J11" i="108"/>
  <c r="J11" i="109"/>
  <c r="J11" i="110"/>
  <c r="J11" i="111"/>
  <c r="J46" i="106"/>
  <c r="J46" i="107"/>
  <c r="J46" i="108"/>
  <c r="J46" i="109"/>
  <c r="J46" i="110"/>
  <c r="J46" i="111"/>
  <c r="K11" i="106"/>
  <c r="K11" i="107"/>
  <c r="K11" i="108"/>
  <c r="K11" i="109"/>
  <c r="K11" i="110"/>
  <c r="K11" i="111"/>
  <c r="K46" i="106"/>
  <c r="K46" i="107"/>
  <c r="K46" i="108"/>
  <c r="K46" i="109"/>
  <c r="K46" i="110"/>
  <c r="K46" i="111"/>
  <c r="L11" i="106"/>
  <c r="L11" i="107"/>
  <c r="L11" i="108"/>
  <c r="L11" i="109"/>
  <c r="L11" i="110"/>
  <c r="L11" i="111"/>
  <c r="L46" i="106"/>
  <c r="L46" i="107"/>
  <c r="L46" i="108"/>
  <c r="L46" i="109"/>
  <c r="L46" i="110"/>
  <c r="L46" i="111"/>
  <c r="M11" i="106"/>
  <c r="M11" i="107"/>
  <c r="M11" i="108"/>
  <c r="M11" i="109"/>
  <c r="M11" i="110"/>
  <c r="M11" i="111"/>
  <c r="M46" i="106"/>
  <c r="M46" i="107"/>
  <c r="M46" i="108"/>
  <c r="M46" i="109"/>
  <c r="M46" i="110"/>
  <c r="M46" i="111"/>
  <c r="N11" i="106"/>
  <c r="N11" i="107"/>
  <c r="N11" i="108"/>
  <c r="N11" i="109"/>
  <c r="N11" i="110"/>
  <c r="N46" i="106"/>
  <c r="N46" i="107"/>
  <c r="N46" i="108"/>
  <c r="N46" i="109"/>
  <c r="N46" i="110"/>
  <c r="O11" i="106"/>
  <c r="O11" i="107"/>
  <c r="O11" i="109"/>
  <c r="O11" i="110"/>
  <c r="O46" i="106"/>
  <c r="O46" i="107"/>
  <c r="O46" i="109"/>
  <c r="O46" i="110"/>
  <c r="P11" i="106"/>
  <c r="P11" i="107"/>
  <c r="P11" i="108"/>
  <c r="P11" i="109"/>
  <c r="P11" i="110"/>
  <c r="P46" i="106"/>
  <c r="P46" i="107"/>
  <c r="P46" i="108"/>
  <c r="P46" i="109"/>
  <c r="P46" i="110"/>
  <c r="Q11" i="106"/>
  <c r="Q11" i="107"/>
  <c r="Q11" i="108"/>
  <c r="Q11" i="109"/>
  <c r="Q11" i="110"/>
  <c r="Q46" i="106"/>
  <c r="Q46" i="107"/>
  <c r="Q46" i="108"/>
  <c r="Q46" i="109"/>
  <c r="Q46" i="110"/>
  <c r="B12" i="106"/>
  <c r="B10" i="126"/>
  <c r="B12" i="107"/>
  <c r="P10" i="126"/>
  <c r="B12" i="108"/>
  <c r="AD10" i="126"/>
  <c r="B12" i="109"/>
  <c r="B12" i="110"/>
  <c r="B12" i="111"/>
  <c r="S12" i="111"/>
  <c r="B47" i="106"/>
  <c r="B47" i="107"/>
  <c r="B47" i="108"/>
  <c r="B47" i="109"/>
  <c r="B47" i="110"/>
  <c r="S47" i="110"/>
  <c r="B47" i="111"/>
  <c r="C12" i="106"/>
  <c r="C10" i="126"/>
  <c r="C12" i="107"/>
  <c r="Q10" i="126"/>
  <c r="C12" i="108"/>
  <c r="AE10" i="126"/>
  <c r="C12" i="109"/>
  <c r="C12" i="110"/>
  <c r="C12" i="111"/>
  <c r="T12" i="111"/>
  <c r="C47" i="106"/>
  <c r="C47" i="107"/>
  <c r="C47" i="108"/>
  <c r="C47" i="109"/>
  <c r="C47" i="110"/>
  <c r="T47" i="110"/>
  <c r="C47" i="111"/>
  <c r="D12" i="106"/>
  <c r="D10" i="126"/>
  <c r="D12" i="107"/>
  <c r="R10" i="126"/>
  <c r="D12" i="108"/>
  <c r="AF10" i="126"/>
  <c r="D12" i="109"/>
  <c r="D12" i="110"/>
  <c r="D12" i="111"/>
  <c r="V12" i="122"/>
  <c r="D47" i="106"/>
  <c r="D47" i="107"/>
  <c r="D47" i="108"/>
  <c r="D47" i="109"/>
  <c r="D47" i="110"/>
  <c r="U47" i="110"/>
  <c r="D47" i="111"/>
  <c r="E12" i="106"/>
  <c r="E10" i="126"/>
  <c r="E12" i="107"/>
  <c r="S10" i="126"/>
  <c r="E12" i="108"/>
  <c r="AG10" i="126"/>
  <c r="E12" i="109"/>
  <c r="E12" i="110"/>
  <c r="E12" i="111"/>
  <c r="E47" i="106"/>
  <c r="E47" i="107"/>
  <c r="E47" i="108"/>
  <c r="E47" i="109"/>
  <c r="E47" i="110"/>
  <c r="V47" i="110"/>
  <c r="E47" i="111"/>
  <c r="F12" i="106"/>
  <c r="F12" i="107"/>
  <c r="F12" i="108"/>
  <c r="F12" i="109"/>
  <c r="F12" i="110"/>
  <c r="F12" i="111"/>
  <c r="F47" i="106"/>
  <c r="F47" i="107"/>
  <c r="F47" i="108"/>
  <c r="F47" i="109"/>
  <c r="F47" i="110"/>
  <c r="F47" i="111"/>
  <c r="G12" i="106"/>
  <c r="G12" i="107"/>
  <c r="G12" i="108"/>
  <c r="G12" i="109"/>
  <c r="G12" i="110"/>
  <c r="G12" i="111"/>
  <c r="G47" i="106"/>
  <c r="G47" i="107"/>
  <c r="G47" i="108"/>
  <c r="G47" i="109"/>
  <c r="G47" i="110"/>
  <c r="G47" i="111"/>
  <c r="H12" i="106"/>
  <c r="H12" i="107"/>
  <c r="H12" i="108"/>
  <c r="H12" i="109"/>
  <c r="H12" i="110"/>
  <c r="H12" i="111"/>
  <c r="X12" i="111"/>
  <c r="H47" i="106"/>
  <c r="H47" i="107"/>
  <c r="H47" i="108"/>
  <c r="H47" i="109"/>
  <c r="H47" i="110"/>
  <c r="H47" i="111"/>
  <c r="I12" i="106"/>
  <c r="I12" i="107"/>
  <c r="I12" i="108"/>
  <c r="I12" i="109"/>
  <c r="I12" i="110"/>
  <c r="I12" i="111"/>
  <c r="I47" i="106"/>
  <c r="I47" i="107"/>
  <c r="I47" i="108"/>
  <c r="I47" i="109"/>
  <c r="I47" i="110"/>
  <c r="I47" i="111"/>
  <c r="J12" i="106"/>
  <c r="J12" i="107"/>
  <c r="J12" i="108"/>
  <c r="J12" i="109"/>
  <c r="J12" i="110"/>
  <c r="J12" i="111"/>
  <c r="J47" i="106"/>
  <c r="J47" i="107"/>
  <c r="J47" i="108"/>
  <c r="J47" i="109"/>
  <c r="J47" i="110"/>
  <c r="J47" i="111"/>
  <c r="K12" i="106"/>
  <c r="K12" i="107"/>
  <c r="K12" i="108"/>
  <c r="K12" i="109"/>
  <c r="K12" i="110"/>
  <c r="K12" i="111"/>
  <c r="K47" i="106"/>
  <c r="K47" i="107"/>
  <c r="K47" i="108"/>
  <c r="K47" i="109"/>
  <c r="K47" i="110"/>
  <c r="K47" i="111"/>
  <c r="L12" i="106"/>
  <c r="L12" i="107"/>
  <c r="L12" i="108"/>
  <c r="L12" i="109"/>
  <c r="L12" i="110"/>
  <c r="L12" i="111"/>
  <c r="L47" i="106"/>
  <c r="L47" i="107"/>
  <c r="L47" i="108"/>
  <c r="L47" i="109"/>
  <c r="L47" i="110"/>
  <c r="L47" i="111"/>
  <c r="M12" i="106"/>
  <c r="M12" i="107"/>
  <c r="M12" i="108"/>
  <c r="M12" i="109"/>
  <c r="M12" i="110"/>
  <c r="M12" i="111"/>
  <c r="M47" i="106"/>
  <c r="M47" i="107"/>
  <c r="M47" i="108"/>
  <c r="M47" i="109"/>
  <c r="M47" i="110"/>
  <c r="M47" i="111"/>
  <c r="N12" i="106"/>
  <c r="N12" i="107"/>
  <c r="N12" i="108"/>
  <c r="N12" i="109"/>
  <c r="N12" i="110"/>
  <c r="N47" i="106"/>
  <c r="N47" i="107"/>
  <c r="N47" i="108"/>
  <c r="N47" i="109"/>
  <c r="N47" i="110"/>
  <c r="O12" i="106"/>
  <c r="O12" i="108"/>
  <c r="O12" i="109"/>
  <c r="O12" i="110"/>
  <c r="O47" i="106"/>
  <c r="O47" i="108"/>
  <c r="O47" i="109"/>
  <c r="O47" i="110"/>
  <c r="P12" i="106"/>
  <c r="P12" i="107"/>
  <c r="P12" i="108"/>
  <c r="P12" i="109"/>
  <c r="P12" i="110"/>
  <c r="P47" i="106"/>
  <c r="P47" i="107"/>
  <c r="P47" i="108"/>
  <c r="P47" i="109"/>
  <c r="P47" i="110"/>
  <c r="Q12" i="106"/>
  <c r="Q12" i="107"/>
  <c r="Q12" i="108"/>
  <c r="Q12" i="109"/>
  <c r="Q12" i="110"/>
  <c r="Q47" i="106"/>
  <c r="Q47" i="107"/>
  <c r="Q47" i="108"/>
  <c r="Q47" i="109"/>
  <c r="Q47" i="110"/>
  <c r="B13" i="106"/>
  <c r="B11" i="126"/>
  <c r="B13" i="107"/>
  <c r="P11" i="126"/>
  <c r="B13" i="108"/>
  <c r="AD11" i="126"/>
  <c r="B13" i="109"/>
  <c r="B13" i="110"/>
  <c r="S13" i="110"/>
  <c r="AJ13" i="73"/>
  <c r="B13" i="111"/>
  <c r="B48" i="106"/>
  <c r="B48" i="107"/>
  <c r="B48" i="108"/>
  <c r="B48" i="109"/>
  <c r="B48" i="110"/>
  <c r="B48" i="111"/>
  <c r="C13" i="106"/>
  <c r="C11" i="126"/>
  <c r="C13" i="107"/>
  <c r="Q11" i="126"/>
  <c r="C13" i="108"/>
  <c r="AE11" i="126"/>
  <c r="C13" i="109"/>
  <c r="C13" i="110"/>
  <c r="T13" i="110"/>
  <c r="AJ47" i="73"/>
  <c r="F333" i="73" s="1"/>
  <c r="C13" i="111"/>
  <c r="C48" i="106"/>
  <c r="C48" i="107"/>
  <c r="C48" i="108"/>
  <c r="C48" i="109"/>
  <c r="C48" i="110"/>
  <c r="C48" i="111"/>
  <c r="T48" i="111"/>
  <c r="D13" i="106"/>
  <c r="D11" i="126"/>
  <c r="D13" i="107"/>
  <c r="R11" i="126"/>
  <c r="D13" i="108"/>
  <c r="AF11" i="126"/>
  <c r="D13" i="109"/>
  <c r="D13" i="110"/>
  <c r="T13" i="122"/>
  <c r="D13" i="111"/>
  <c r="D48" i="106"/>
  <c r="D48" i="107"/>
  <c r="D48" i="108"/>
  <c r="D48" i="109"/>
  <c r="D48" i="110"/>
  <c r="D48" i="111"/>
  <c r="U48" i="111"/>
  <c r="E13" i="106"/>
  <c r="E11" i="126"/>
  <c r="E13" i="107"/>
  <c r="S11" i="126"/>
  <c r="E13" i="108"/>
  <c r="AG11" i="126"/>
  <c r="E13" i="109"/>
  <c r="E13" i="110"/>
  <c r="V13" i="110"/>
  <c r="AJ115" i="73"/>
  <c r="E13" i="111"/>
  <c r="E48" i="106"/>
  <c r="E48" i="107"/>
  <c r="E48" i="108"/>
  <c r="E48" i="109"/>
  <c r="E48" i="110"/>
  <c r="E48" i="111"/>
  <c r="V48" i="111"/>
  <c r="F13" i="106"/>
  <c r="F13" i="107"/>
  <c r="F13" i="108"/>
  <c r="F13" i="109"/>
  <c r="F13" i="110"/>
  <c r="F13" i="111"/>
  <c r="F48" i="106"/>
  <c r="F48" i="107"/>
  <c r="F48" i="108"/>
  <c r="F48" i="109"/>
  <c r="F48" i="110"/>
  <c r="F48" i="111"/>
  <c r="W48" i="111"/>
  <c r="G13" i="106"/>
  <c r="G13" i="107"/>
  <c r="G13" i="108"/>
  <c r="G13" i="109"/>
  <c r="G13" i="110"/>
  <c r="G13" i="111"/>
  <c r="G48" i="106"/>
  <c r="G48" i="107"/>
  <c r="G48" i="108"/>
  <c r="G48" i="109"/>
  <c r="G48" i="110"/>
  <c r="G48" i="111"/>
  <c r="H13" i="106"/>
  <c r="H13" i="107"/>
  <c r="H13" i="108"/>
  <c r="H13" i="109"/>
  <c r="H13" i="110"/>
  <c r="H13" i="111"/>
  <c r="H48" i="106"/>
  <c r="H48" i="107"/>
  <c r="H48" i="108"/>
  <c r="H48" i="109"/>
  <c r="H48" i="110"/>
  <c r="H48" i="111"/>
  <c r="I13" i="106"/>
  <c r="I13" i="107"/>
  <c r="I13" i="108"/>
  <c r="I13" i="109"/>
  <c r="I13" i="110"/>
  <c r="I13" i="111"/>
  <c r="I48" i="106"/>
  <c r="I48" i="107"/>
  <c r="I48" i="108"/>
  <c r="I48" i="109"/>
  <c r="I48" i="110"/>
  <c r="I48" i="111"/>
  <c r="J13" i="106"/>
  <c r="J13" i="107"/>
  <c r="J13" i="108"/>
  <c r="J13" i="109"/>
  <c r="J13" i="110"/>
  <c r="J13" i="111"/>
  <c r="J48" i="106"/>
  <c r="J48" i="107"/>
  <c r="J48" i="108"/>
  <c r="J48" i="109"/>
  <c r="J48" i="110"/>
  <c r="J48" i="111"/>
  <c r="K13" i="106"/>
  <c r="K13" i="107"/>
  <c r="K13" i="108"/>
  <c r="K13" i="109"/>
  <c r="K13" i="110"/>
  <c r="K13" i="111"/>
  <c r="K48" i="106"/>
  <c r="K48" i="107"/>
  <c r="K48" i="108"/>
  <c r="K48" i="109"/>
  <c r="K48" i="110"/>
  <c r="K48" i="111"/>
  <c r="L13" i="106"/>
  <c r="L13" i="107"/>
  <c r="L13" i="108"/>
  <c r="L13" i="109"/>
  <c r="L13" i="110"/>
  <c r="L13" i="111"/>
  <c r="L48" i="106"/>
  <c r="L48" i="107"/>
  <c r="L48" i="108"/>
  <c r="L48" i="109"/>
  <c r="L48" i="110"/>
  <c r="L48" i="111"/>
  <c r="M13" i="106"/>
  <c r="M13" i="107"/>
  <c r="M13" i="108"/>
  <c r="M13" i="109"/>
  <c r="M13" i="110"/>
  <c r="M13" i="111"/>
  <c r="M48" i="106"/>
  <c r="M48" i="107"/>
  <c r="M48" i="108"/>
  <c r="M48" i="109"/>
  <c r="M48" i="110"/>
  <c r="M48" i="111"/>
  <c r="N13" i="106"/>
  <c r="N13" i="107"/>
  <c r="N13" i="108"/>
  <c r="N13" i="109"/>
  <c r="N13" i="110"/>
  <c r="N48" i="106"/>
  <c r="N48" i="107"/>
  <c r="N48" i="108"/>
  <c r="N48" i="109"/>
  <c r="N48" i="110"/>
  <c r="O13" i="106"/>
  <c r="O13" i="107"/>
  <c r="O13" i="108"/>
  <c r="O13" i="109"/>
  <c r="O48" i="106"/>
  <c r="O48" i="107"/>
  <c r="O48" i="108"/>
  <c r="O48" i="109"/>
  <c r="P13" i="106"/>
  <c r="P13" i="107"/>
  <c r="P13" i="108"/>
  <c r="P13" i="109"/>
  <c r="P13" i="110"/>
  <c r="P48" i="106"/>
  <c r="P48" i="107"/>
  <c r="P48" i="108"/>
  <c r="P48" i="109"/>
  <c r="R48" i="109"/>
  <c r="P48" i="110"/>
  <c r="Q13" i="106"/>
  <c r="Q13" i="107"/>
  <c r="Q13" i="108"/>
  <c r="Q13" i="109"/>
  <c r="Q13" i="110"/>
  <c r="Q48" i="106"/>
  <c r="Q48" i="107"/>
  <c r="Q48" i="108"/>
  <c r="Q48" i="109"/>
  <c r="Q48" i="110"/>
  <c r="B14" i="106"/>
  <c r="B12" i="126"/>
  <c r="B14" i="107"/>
  <c r="P12" i="126"/>
  <c r="B14" i="108"/>
  <c r="AD12" i="126"/>
  <c r="B14" i="109"/>
  <c r="B14" i="110"/>
  <c r="B14" i="111"/>
  <c r="Y14" i="121"/>
  <c r="B49" i="106"/>
  <c r="B49" i="107"/>
  <c r="B49" i="108"/>
  <c r="B49" i="109"/>
  <c r="B49" i="110"/>
  <c r="B49" i="111"/>
  <c r="C14" i="106"/>
  <c r="C12" i="126"/>
  <c r="C14" i="107"/>
  <c r="Q12" i="126"/>
  <c r="C14" i="108"/>
  <c r="AE12" i="126"/>
  <c r="C14" i="109"/>
  <c r="C14" i="110"/>
  <c r="C14" i="111"/>
  <c r="T14" i="111"/>
  <c r="C49" i="106"/>
  <c r="C49" i="107"/>
  <c r="C49" i="108"/>
  <c r="C49" i="109"/>
  <c r="C49" i="110"/>
  <c r="T49" i="110"/>
  <c r="C49" i="111"/>
  <c r="D14" i="106"/>
  <c r="D12" i="126"/>
  <c r="D14" i="107"/>
  <c r="R12" i="126"/>
  <c r="D14" i="108"/>
  <c r="AF12" i="126"/>
  <c r="D14" i="109"/>
  <c r="D14" i="110"/>
  <c r="D14" i="111"/>
  <c r="V14" i="122"/>
  <c r="H15" i="125" s="1"/>
  <c r="D49" i="106"/>
  <c r="D49" i="107"/>
  <c r="D49" i="108"/>
  <c r="D49" i="109"/>
  <c r="D49" i="110"/>
  <c r="U49" i="110"/>
  <c r="D49" i="111"/>
  <c r="E14" i="106"/>
  <c r="E12" i="126"/>
  <c r="E14" i="107"/>
  <c r="S12" i="126"/>
  <c r="E14" i="108"/>
  <c r="AG12" i="126"/>
  <c r="E14" i="109"/>
  <c r="E14" i="110"/>
  <c r="E14" i="111"/>
  <c r="E49" i="106"/>
  <c r="E49" i="107"/>
  <c r="E49" i="108"/>
  <c r="E49" i="109"/>
  <c r="E49" i="110"/>
  <c r="V49" i="110"/>
  <c r="E49" i="111"/>
  <c r="F14" i="106"/>
  <c r="F14" i="107"/>
  <c r="F14" i="108"/>
  <c r="F14" i="109"/>
  <c r="F14" i="110"/>
  <c r="F14" i="111"/>
  <c r="F49" i="106"/>
  <c r="F49" i="107"/>
  <c r="F49" i="108"/>
  <c r="F49" i="109"/>
  <c r="F49" i="110"/>
  <c r="F49" i="111"/>
  <c r="G14" i="106"/>
  <c r="G14" i="107"/>
  <c r="G14" i="108"/>
  <c r="G14" i="109"/>
  <c r="G14" i="110"/>
  <c r="G14" i="111"/>
  <c r="G49" i="106"/>
  <c r="G49" i="107"/>
  <c r="G49" i="108"/>
  <c r="G49" i="109"/>
  <c r="G49" i="110"/>
  <c r="G49" i="111"/>
  <c r="H14" i="106"/>
  <c r="H14" i="107"/>
  <c r="H14" i="108"/>
  <c r="H14" i="109"/>
  <c r="H14" i="110"/>
  <c r="H14" i="111"/>
  <c r="H49" i="106"/>
  <c r="H49" i="107"/>
  <c r="H49" i="108"/>
  <c r="H49" i="109"/>
  <c r="H49" i="110"/>
  <c r="H49" i="111"/>
  <c r="I14" i="106"/>
  <c r="I14" i="107"/>
  <c r="I14" i="108"/>
  <c r="I14" i="109"/>
  <c r="I14" i="110"/>
  <c r="I14" i="111"/>
  <c r="I49" i="106"/>
  <c r="I49" i="107"/>
  <c r="I49" i="108"/>
  <c r="I49" i="109"/>
  <c r="I49" i="110"/>
  <c r="I49" i="111"/>
  <c r="J14" i="106"/>
  <c r="J14" i="107"/>
  <c r="J14" i="108"/>
  <c r="J14" i="109"/>
  <c r="J14" i="110"/>
  <c r="J14" i="111"/>
  <c r="J49" i="106"/>
  <c r="J49" i="107"/>
  <c r="J49" i="108"/>
  <c r="J49" i="109"/>
  <c r="J49" i="110"/>
  <c r="J49" i="111"/>
  <c r="K14" i="106"/>
  <c r="K14" i="107"/>
  <c r="K14" i="108"/>
  <c r="K14" i="109"/>
  <c r="K14" i="110"/>
  <c r="K14" i="111"/>
  <c r="K49" i="106"/>
  <c r="K49" i="107"/>
  <c r="K49" i="108"/>
  <c r="K49" i="109"/>
  <c r="K49" i="110"/>
  <c r="K49" i="111"/>
  <c r="L14" i="106"/>
  <c r="L14" i="107"/>
  <c r="L14" i="108"/>
  <c r="L14" i="109"/>
  <c r="L14" i="110"/>
  <c r="L14" i="111"/>
  <c r="L49" i="106"/>
  <c r="L49" i="107"/>
  <c r="L49" i="108"/>
  <c r="L49" i="109"/>
  <c r="L49" i="110"/>
  <c r="L49" i="111"/>
  <c r="M14" i="106"/>
  <c r="M14" i="107"/>
  <c r="M14" i="108"/>
  <c r="M14" i="109"/>
  <c r="M14" i="110"/>
  <c r="M14" i="111"/>
  <c r="M49" i="106"/>
  <c r="M49" i="107"/>
  <c r="M49" i="108"/>
  <c r="M49" i="109"/>
  <c r="M49" i="110"/>
  <c r="M49" i="111"/>
  <c r="N14" i="106"/>
  <c r="N14" i="107"/>
  <c r="N14" i="108"/>
  <c r="N14" i="109"/>
  <c r="N14" i="110"/>
  <c r="N49" i="106"/>
  <c r="N49" i="107"/>
  <c r="N49" i="108"/>
  <c r="N49" i="109"/>
  <c r="N49" i="110"/>
  <c r="O14" i="106"/>
  <c r="O14" i="107"/>
  <c r="O14" i="108"/>
  <c r="O14" i="110"/>
  <c r="O49" i="106"/>
  <c r="O49" i="107"/>
  <c r="O49" i="108"/>
  <c r="O49" i="110"/>
  <c r="P14" i="106"/>
  <c r="P14" i="107"/>
  <c r="P14" i="108"/>
  <c r="P14" i="109"/>
  <c r="P14" i="110"/>
  <c r="P49" i="106"/>
  <c r="P49" i="107"/>
  <c r="P49" i="108"/>
  <c r="P49" i="109"/>
  <c r="P49" i="110"/>
  <c r="Q14" i="106"/>
  <c r="Q14" i="107"/>
  <c r="Q14" i="108"/>
  <c r="Q14" i="109"/>
  <c r="Q14" i="110"/>
  <c r="Q49" i="106"/>
  <c r="Q49" i="107"/>
  <c r="Q49" i="108"/>
  <c r="Q49" i="109"/>
  <c r="Q49" i="110"/>
  <c r="B15" i="106"/>
  <c r="B15" i="126"/>
  <c r="B15" i="107"/>
  <c r="P15" i="126"/>
  <c r="B15" i="108"/>
  <c r="AD15" i="126"/>
  <c r="B15" i="109"/>
  <c r="B15" i="110"/>
  <c r="S15" i="110"/>
  <c r="AJ15" i="73"/>
  <c r="B15" i="111"/>
  <c r="B50" i="106"/>
  <c r="B50" i="107"/>
  <c r="B50" i="108"/>
  <c r="B50" i="109"/>
  <c r="B50" i="110"/>
  <c r="B50" i="111"/>
  <c r="C15" i="106"/>
  <c r="C15" i="126"/>
  <c r="C15" i="107"/>
  <c r="Q15" i="126"/>
  <c r="C15" i="108"/>
  <c r="AE15" i="126"/>
  <c r="C15" i="109"/>
  <c r="C15" i="110"/>
  <c r="L14" i="65"/>
  <c r="C15" i="111"/>
  <c r="C50" i="106"/>
  <c r="C50" i="107"/>
  <c r="C50" i="108"/>
  <c r="C50" i="109"/>
  <c r="C50" i="110"/>
  <c r="C50" i="111"/>
  <c r="T50" i="111"/>
  <c r="D15" i="106"/>
  <c r="D15" i="126"/>
  <c r="D15" i="107"/>
  <c r="R15" i="126"/>
  <c r="D15" i="108"/>
  <c r="AF15" i="126"/>
  <c r="D15" i="109"/>
  <c r="D15" i="110"/>
  <c r="U15" i="110"/>
  <c r="AJ83" i="73"/>
  <c r="D15" i="111"/>
  <c r="D50" i="106"/>
  <c r="D50" i="107"/>
  <c r="D50" i="108"/>
  <c r="D50" i="109"/>
  <c r="D50" i="110"/>
  <c r="D50" i="111"/>
  <c r="U50" i="111"/>
  <c r="E15" i="106"/>
  <c r="E15" i="126"/>
  <c r="E15" i="107"/>
  <c r="S15" i="126"/>
  <c r="E15" i="108"/>
  <c r="AG15" i="126"/>
  <c r="E15" i="109"/>
  <c r="E15" i="110"/>
  <c r="M14" i="65"/>
  <c r="E15" i="111"/>
  <c r="E50" i="106"/>
  <c r="E50" i="107"/>
  <c r="E50" i="108"/>
  <c r="E50" i="109"/>
  <c r="E50" i="110"/>
  <c r="E50" i="111"/>
  <c r="V50" i="111"/>
  <c r="F15" i="106"/>
  <c r="F15" i="107"/>
  <c r="F15" i="108"/>
  <c r="F15" i="109"/>
  <c r="F15" i="110"/>
  <c r="F15" i="111"/>
  <c r="F50" i="106"/>
  <c r="F50" i="107"/>
  <c r="F50" i="108"/>
  <c r="F50" i="109"/>
  <c r="F50" i="110"/>
  <c r="F50" i="111"/>
  <c r="W50" i="111"/>
  <c r="G15" i="106"/>
  <c r="G15" i="107"/>
  <c r="G15" i="108"/>
  <c r="G15" i="109"/>
  <c r="G15" i="110"/>
  <c r="G15" i="111"/>
  <c r="G50" i="106"/>
  <c r="G50" i="107"/>
  <c r="G50" i="108"/>
  <c r="G50" i="109"/>
  <c r="G50" i="110"/>
  <c r="G50" i="111"/>
  <c r="H15" i="106"/>
  <c r="H15" i="107"/>
  <c r="H15" i="108"/>
  <c r="H15" i="109"/>
  <c r="H15" i="110"/>
  <c r="H15" i="111"/>
  <c r="H50" i="106"/>
  <c r="H50" i="107"/>
  <c r="H50" i="108"/>
  <c r="H50" i="109"/>
  <c r="H50" i="110"/>
  <c r="H50" i="111"/>
  <c r="X50" i="111"/>
  <c r="I15" i="106"/>
  <c r="I15" i="107"/>
  <c r="I15" i="108"/>
  <c r="I15" i="109"/>
  <c r="I15" i="110"/>
  <c r="I15" i="111"/>
  <c r="I50" i="106"/>
  <c r="I50" i="107"/>
  <c r="I50" i="108"/>
  <c r="I50" i="109"/>
  <c r="I50" i="110"/>
  <c r="I50" i="111"/>
  <c r="J15" i="106"/>
  <c r="J15" i="107"/>
  <c r="J15" i="108"/>
  <c r="J15" i="109"/>
  <c r="J15" i="110"/>
  <c r="J15" i="111"/>
  <c r="J50" i="106"/>
  <c r="J50" i="107"/>
  <c r="J50" i="108"/>
  <c r="J50" i="109"/>
  <c r="J50" i="110"/>
  <c r="J50" i="111"/>
  <c r="K15" i="106"/>
  <c r="K15" i="107"/>
  <c r="K15" i="108"/>
  <c r="K15" i="109"/>
  <c r="K15" i="110"/>
  <c r="K15" i="111"/>
  <c r="K50" i="106"/>
  <c r="K50" i="107"/>
  <c r="K50" i="108"/>
  <c r="K50" i="109"/>
  <c r="K50" i="110"/>
  <c r="K50" i="111"/>
  <c r="L15" i="106"/>
  <c r="L15" i="107"/>
  <c r="L15" i="108"/>
  <c r="L15" i="109"/>
  <c r="L15" i="110"/>
  <c r="L15" i="111"/>
  <c r="L50" i="106"/>
  <c r="L50" i="107"/>
  <c r="L50" i="108"/>
  <c r="L50" i="109"/>
  <c r="L50" i="110"/>
  <c r="L50" i="111"/>
  <c r="M15" i="106"/>
  <c r="M15" i="107"/>
  <c r="M15" i="108"/>
  <c r="M15" i="109"/>
  <c r="M15" i="110"/>
  <c r="M15" i="111"/>
  <c r="M50" i="106"/>
  <c r="M50" i="107"/>
  <c r="M50" i="108"/>
  <c r="M50" i="109"/>
  <c r="M50" i="110"/>
  <c r="M50" i="111"/>
  <c r="N15" i="106"/>
  <c r="N15" i="107"/>
  <c r="N15" i="108"/>
  <c r="N15" i="109"/>
  <c r="N15" i="110"/>
  <c r="N50" i="106"/>
  <c r="N50" i="107"/>
  <c r="N50" i="108"/>
  <c r="N50" i="109"/>
  <c r="N50" i="110"/>
  <c r="O15" i="106"/>
  <c r="O15" i="107"/>
  <c r="O15" i="109"/>
  <c r="O15" i="110"/>
  <c r="O50" i="106"/>
  <c r="O50" i="107"/>
  <c r="O50" i="109"/>
  <c r="O50" i="110"/>
  <c r="P15" i="106"/>
  <c r="P15" i="107"/>
  <c r="P15" i="108"/>
  <c r="P15" i="109"/>
  <c r="P15" i="110"/>
  <c r="P50" i="106"/>
  <c r="P50" i="107"/>
  <c r="P50" i="108"/>
  <c r="P50" i="109"/>
  <c r="P50" i="110"/>
  <c r="Q15" i="106"/>
  <c r="Q15" i="107"/>
  <c r="Q15" i="108"/>
  <c r="Q15" i="109"/>
  <c r="Q15" i="110"/>
  <c r="Q50" i="106"/>
  <c r="Q50" i="107"/>
  <c r="Q50" i="108"/>
  <c r="Q50" i="109"/>
  <c r="Q50" i="110"/>
  <c r="B16" i="106"/>
  <c r="B14" i="126"/>
  <c r="B16" i="107"/>
  <c r="P14" i="126"/>
  <c r="B16" i="108"/>
  <c r="AD14" i="126"/>
  <c r="B16" i="109"/>
  <c r="B16" i="110"/>
  <c r="B16" i="111"/>
  <c r="S16" i="111"/>
  <c r="B51" i="106"/>
  <c r="B51" i="107"/>
  <c r="B51" i="108"/>
  <c r="B51" i="109"/>
  <c r="B51" i="110"/>
  <c r="S51" i="110"/>
  <c r="B51" i="111"/>
  <c r="C16" i="106"/>
  <c r="C14" i="126"/>
  <c r="C16" i="107"/>
  <c r="Q14" i="126"/>
  <c r="C16" i="108"/>
  <c r="AE14" i="126"/>
  <c r="C16" i="109"/>
  <c r="C16" i="110"/>
  <c r="C16" i="111"/>
  <c r="T16" i="111"/>
  <c r="C51" i="106"/>
  <c r="C51" i="107"/>
  <c r="C51" i="108"/>
  <c r="C51" i="109"/>
  <c r="C51" i="110"/>
  <c r="T51" i="110"/>
  <c r="C51" i="111"/>
  <c r="D16" i="106"/>
  <c r="D14" i="126"/>
  <c r="D16" i="107"/>
  <c r="R14" i="126"/>
  <c r="D16" i="108"/>
  <c r="AF14" i="126"/>
  <c r="D16" i="109"/>
  <c r="D16" i="110"/>
  <c r="D16" i="111"/>
  <c r="V16" i="122"/>
  <c r="D51" i="106"/>
  <c r="D51" i="107"/>
  <c r="D51" i="108"/>
  <c r="D51" i="109"/>
  <c r="D51" i="110"/>
  <c r="U51" i="110"/>
  <c r="D51" i="111"/>
  <c r="E16" i="106"/>
  <c r="E14" i="126"/>
  <c r="E16" i="107"/>
  <c r="S14" i="126"/>
  <c r="E16" i="108"/>
  <c r="AG14" i="126"/>
  <c r="E16" i="109"/>
  <c r="E16" i="110"/>
  <c r="E16" i="111"/>
  <c r="E51" i="106"/>
  <c r="E51" i="107"/>
  <c r="E51" i="108"/>
  <c r="E51" i="109"/>
  <c r="E51" i="110"/>
  <c r="V51" i="110"/>
  <c r="E51" i="111"/>
  <c r="F16" i="106"/>
  <c r="F16" i="107"/>
  <c r="F16" i="108"/>
  <c r="F16" i="109"/>
  <c r="F16" i="110"/>
  <c r="F16" i="111"/>
  <c r="W16" i="111"/>
  <c r="F51" i="106"/>
  <c r="F51" i="107"/>
  <c r="F51" i="108"/>
  <c r="F51" i="109"/>
  <c r="F51" i="110"/>
  <c r="F51" i="111"/>
  <c r="G16" i="106"/>
  <c r="G16" i="107"/>
  <c r="G16" i="108"/>
  <c r="G16" i="109"/>
  <c r="G16" i="110"/>
  <c r="G16" i="111"/>
  <c r="G51" i="106"/>
  <c r="G51" i="107"/>
  <c r="G51" i="108"/>
  <c r="G51" i="109"/>
  <c r="G51" i="110"/>
  <c r="G51" i="111"/>
  <c r="H16" i="106"/>
  <c r="H16" i="107"/>
  <c r="H16" i="108"/>
  <c r="H16" i="109"/>
  <c r="H16" i="110"/>
  <c r="H16" i="111"/>
  <c r="X16" i="111"/>
  <c r="H51" i="106"/>
  <c r="H51" i="107"/>
  <c r="H51" i="108"/>
  <c r="H51" i="109"/>
  <c r="H51" i="110"/>
  <c r="H51" i="111"/>
  <c r="I16" i="106"/>
  <c r="I16" i="107"/>
  <c r="I16" i="108"/>
  <c r="I16" i="109"/>
  <c r="I16" i="110"/>
  <c r="I16" i="111"/>
  <c r="I51" i="106"/>
  <c r="I51" i="107"/>
  <c r="I51" i="108"/>
  <c r="I51" i="109"/>
  <c r="I51" i="110"/>
  <c r="I51" i="111"/>
  <c r="J16" i="106"/>
  <c r="J16" i="107"/>
  <c r="J16" i="108"/>
  <c r="J16" i="109"/>
  <c r="J16" i="110"/>
  <c r="J16" i="111"/>
  <c r="J51" i="106"/>
  <c r="J51" i="107"/>
  <c r="J51" i="108"/>
  <c r="J51" i="109"/>
  <c r="J51" i="110"/>
  <c r="J51" i="111"/>
  <c r="K16" i="106"/>
  <c r="K16" i="107"/>
  <c r="K16" i="108"/>
  <c r="K16" i="109"/>
  <c r="K16" i="110"/>
  <c r="K16" i="111"/>
  <c r="K51" i="106"/>
  <c r="K51" i="107"/>
  <c r="K51" i="108"/>
  <c r="K51" i="109"/>
  <c r="K51" i="110"/>
  <c r="K51" i="111"/>
  <c r="L16" i="106"/>
  <c r="L16" i="107"/>
  <c r="L16" i="108"/>
  <c r="L16" i="109"/>
  <c r="L16" i="110"/>
  <c r="L16" i="111"/>
  <c r="L51" i="106"/>
  <c r="L51" i="107"/>
  <c r="L51" i="108"/>
  <c r="L51" i="109"/>
  <c r="L51" i="110"/>
  <c r="L51" i="111"/>
  <c r="M16" i="106"/>
  <c r="M16" i="107"/>
  <c r="M16" i="108"/>
  <c r="M16" i="109"/>
  <c r="M16" i="110"/>
  <c r="M16" i="111"/>
  <c r="M51" i="106"/>
  <c r="M51" i="107"/>
  <c r="M51" i="108"/>
  <c r="M51" i="109"/>
  <c r="M51" i="110"/>
  <c r="M51" i="111"/>
  <c r="N16" i="106"/>
  <c r="N16" i="107"/>
  <c r="N16" i="108"/>
  <c r="N16" i="109"/>
  <c r="N16" i="110"/>
  <c r="N51" i="106"/>
  <c r="N51" i="107"/>
  <c r="N51" i="108"/>
  <c r="N51" i="109"/>
  <c r="N51" i="110"/>
  <c r="O16" i="106"/>
  <c r="O16" i="108"/>
  <c r="O16" i="109"/>
  <c r="O16" i="110"/>
  <c r="O51" i="106"/>
  <c r="O51" i="108"/>
  <c r="O51" i="109"/>
  <c r="O51" i="110"/>
  <c r="P16" i="106"/>
  <c r="P16" i="107"/>
  <c r="P16" i="108"/>
  <c r="P16" i="109"/>
  <c r="P16" i="110"/>
  <c r="P51" i="106"/>
  <c r="P51" i="107"/>
  <c r="P51" i="108"/>
  <c r="P51" i="109"/>
  <c r="P51" i="110"/>
  <c r="Q16" i="106"/>
  <c r="Q16" i="107"/>
  <c r="Q16" i="108"/>
  <c r="Q16" i="109"/>
  <c r="Q16" i="110"/>
  <c r="Q51" i="106"/>
  <c r="Q51" i="107"/>
  <c r="Q51" i="108"/>
  <c r="Q51" i="109"/>
  <c r="Q51" i="110"/>
  <c r="B17" i="106"/>
  <c r="B13" i="126"/>
  <c r="B17" i="107"/>
  <c r="P13" i="126"/>
  <c r="B17" i="108"/>
  <c r="AD13" i="126"/>
  <c r="B17" i="109"/>
  <c r="B17" i="110"/>
  <c r="S17" i="110"/>
  <c r="AJ17" i="73"/>
  <c r="B17" i="111"/>
  <c r="B52" i="106"/>
  <c r="B52" i="107"/>
  <c r="B52" i="108"/>
  <c r="B52" i="109"/>
  <c r="B52" i="110"/>
  <c r="B52" i="111"/>
  <c r="C17" i="106"/>
  <c r="C13" i="126"/>
  <c r="C17" i="107"/>
  <c r="Q13" i="126"/>
  <c r="C17" i="108"/>
  <c r="AE13" i="126"/>
  <c r="C17" i="109"/>
  <c r="C17" i="110"/>
  <c r="L16" i="65"/>
  <c r="C17" i="111"/>
  <c r="C52" i="106"/>
  <c r="C52" i="107"/>
  <c r="C52" i="108"/>
  <c r="C52" i="109"/>
  <c r="C52" i="110"/>
  <c r="C52" i="111"/>
  <c r="T52" i="111"/>
  <c r="D17" i="106"/>
  <c r="D13" i="126"/>
  <c r="D17" i="107"/>
  <c r="R13" i="126"/>
  <c r="D17" i="108"/>
  <c r="AF13" i="126"/>
  <c r="D17" i="109"/>
  <c r="D17" i="110"/>
  <c r="T15" i="122"/>
  <c r="D17" i="111"/>
  <c r="D52" i="106"/>
  <c r="D52" i="107"/>
  <c r="D52" i="108"/>
  <c r="D52" i="109"/>
  <c r="D52" i="110"/>
  <c r="D52" i="111"/>
  <c r="U52" i="111"/>
  <c r="E17" i="106"/>
  <c r="E13" i="126"/>
  <c r="E17" i="107"/>
  <c r="S13" i="126"/>
  <c r="E17" i="108"/>
  <c r="AG13" i="126"/>
  <c r="E17" i="109"/>
  <c r="E17" i="110"/>
  <c r="M16" i="65"/>
  <c r="E17" i="111"/>
  <c r="E52" i="106"/>
  <c r="E52" i="107"/>
  <c r="E52" i="108"/>
  <c r="E52" i="109"/>
  <c r="E52" i="110"/>
  <c r="E52" i="111"/>
  <c r="V52" i="111"/>
  <c r="F17" i="106"/>
  <c r="F17" i="107"/>
  <c r="F17" i="108"/>
  <c r="F17" i="109"/>
  <c r="F17" i="110"/>
  <c r="F17" i="111"/>
  <c r="F52" i="106"/>
  <c r="F52" i="107"/>
  <c r="F52" i="108"/>
  <c r="F52" i="109"/>
  <c r="F52" i="110"/>
  <c r="F52" i="111"/>
  <c r="G17" i="106"/>
  <c r="G17" i="107"/>
  <c r="G17" i="108"/>
  <c r="G17" i="109"/>
  <c r="G17" i="110"/>
  <c r="G17" i="111"/>
  <c r="G52" i="106"/>
  <c r="G52" i="107"/>
  <c r="G52" i="108"/>
  <c r="G52" i="109"/>
  <c r="G52" i="110"/>
  <c r="G52" i="111"/>
  <c r="H17" i="106"/>
  <c r="H17" i="107"/>
  <c r="H17" i="108"/>
  <c r="H17" i="109"/>
  <c r="H17" i="110"/>
  <c r="H17" i="111"/>
  <c r="H52" i="106"/>
  <c r="H52" i="107"/>
  <c r="H52" i="108"/>
  <c r="H52" i="109"/>
  <c r="H52" i="110"/>
  <c r="H52" i="111"/>
  <c r="X52" i="111"/>
  <c r="I17" i="106"/>
  <c r="I17" i="107"/>
  <c r="I17" i="108"/>
  <c r="I17" i="109"/>
  <c r="I17" i="110"/>
  <c r="I17" i="111"/>
  <c r="I52" i="106"/>
  <c r="I52" i="107"/>
  <c r="I52" i="108"/>
  <c r="I52" i="109"/>
  <c r="I52" i="110"/>
  <c r="I52" i="111"/>
  <c r="J17" i="106"/>
  <c r="J17" i="107"/>
  <c r="J17" i="108"/>
  <c r="J17" i="109"/>
  <c r="J17" i="110"/>
  <c r="J17" i="111"/>
  <c r="J52" i="106"/>
  <c r="J52" i="107"/>
  <c r="J52" i="108"/>
  <c r="J52" i="109"/>
  <c r="J52" i="110"/>
  <c r="J52" i="111"/>
  <c r="K17" i="106"/>
  <c r="K17" i="107"/>
  <c r="K17" i="108"/>
  <c r="K17" i="109"/>
  <c r="K17" i="110"/>
  <c r="K17" i="111"/>
  <c r="K52" i="106"/>
  <c r="K52" i="107"/>
  <c r="K52" i="108"/>
  <c r="K52" i="109"/>
  <c r="K52" i="110"/>
  <c r="K52" i="111"/>
  <c r="L17" i="106"/>
  <c r="L17" i="107"/>
  <c r="L17" i="108"/>
  <c r="L17" i="109"/>
  <c r="L17" i="110"/>
  <c r="L17" i="111"/>
  <c r="L52" i="106"/>
  <c r="L52" i="107"/>
  <c r="L52" i="108"/>
  <c r="L52" i="109"/>
  <c r="L52" i="110"/>
  <c r="L52" i="111"/>
  <c r="M17" i="106"/>
  <c r="M17" i="107"/>
  <c r="M17" i="108"/>
  <c r="M17" i="109"/>
  <c r="M17" i="110"/>
  <c r="M17" i="111"/>
  <c r="M52" i="106"/>
  <c r="M52" i="107"/>
  <c r="M52" i="108"/>
  <c r="M52" i="109"/>
  <c r="M52" i="110"/>
  <c r="M52" i="111"/>
  <c r="N17" i="106"/>
  <c r="N17" i="107"/>
  <c r="N17" i="108"/>
  <c r="N17" i="109"/>
  <c r="N17" i="110"/>
  <c r="N52" i="106"/>
  <c r="N52" i="107"/>
  <c r="N52" i="108"/>
  <c r="N52" i="109"/>
  <c r="N52" i="110"/>
  <c r="O17" i="106"/>
  <c r="O17" i="107"/>
  <c r="O17" i="108"/>
  <c r="O17" i="109"/>
  <c r="O52" i="106"/>
  <c r="O52" i="107"/>
  <c r="O52" i="108"/>
  <c r="O52" i="109"/>
  <c r="P17" i="106"/>
  <c r="P17" i="107"/>
  <c r="P17" i="108"/>
  <c r="P17" i="109"/>
  <c r="P17" i="110"/>
  <c r="P52" i="106"/>
  <c r="P52" i="107"/>
  <c r="P52" i="108"/>
  <c r="P52" i="109"/>
  <c r="X52" i="109"/>
  <c r="P52" i="110"/>
  <c r="Q17" i="106"/>
  <c r="Q17" i="107"/>
  <c r="Q17" i="108"/>
  <c r="Q17" i="109"/>
  <c r="Q17" i="110"/>
  <c r="Q52" i="106"/>
  <c r="Q52" i="107"/>
  <c r="Q52" i="108"/>
  <c r="Q52" i="109"/>
  <c r="Q52" i="110"/>
  <c r="B18" i="106"/>
  <c r="B16" i="126"/>
  <c r="B18" i="107"/>
  <c r="P16" i="126"/>
  <c r="B18" i="108"/>
  <c r="AD16" i="126"/>
  <c r="B18" i="109"/>
  <c r="B18" i="110"/>
  <c r="B18" i="111"/>
  <c r="Y18" i="121"/>
  <c r="B53" i="106"/>
  <c r="B53" i="107"/>
  <c r="B53" i="108"/>
  <c r="B53" i="109"/>
  <c r="B53" i="110"/>
  <c r="B53" i="111"/>
  <c r="C18" i="106"/>
  <c r="C16" i="126"/>
  <c r="C18" i="107"/>
  <c r="Q16" i="126"/>
  <c r="C18" i="108"/>
  <c r="AE16" i="126"/>
  <c r="C18" i="109"/>
  <c r="C18" i="110"/>
  <c r="C18" i="111"/>
  <c r="T18" i="111"/>
  <c r="C53" i="106"/>
  <c r="C53" i="107"/>
  <c r="C53" i="108"/>
  <c r="C53" i="109"/>
  <c r="C53" i="110"/>
  <c r="T53" i="110"/>
  <c r="C53" i="111"/>
  <c r="D18" i="106"/>
  <c r="D16" i="126"/>
  <c r="D18" i="107"/>
  <c r="R16" i="126"/>
  <c r="D18" i="108"/>
  <c r="AF16" i="126"/>
  <c r="D18" i="109"/>
  <c r="D18" i="110"/>
  <c r="D18" i="111"/>
  <c r="V18" i="122"/>
  <c r="D53" i="106"/>
  <c r="D53" i="107"/>
  <c r="D53" i="108"/>
  <c r="D53" i="109"/>
  <c r="D53" i="110"/>
  <c r="U53" i="110"/>
  <c r="D53" i="111"/>
  <c r="E18" i="106"/>
  <c r="E16" i="126"/>
  <c r="E18" i="107"/>
  <c r="S16" i="126"/>
  <c r="E18" i="108"/>
  <c r="AG16" i="126"/>
  <c r="E18" i="109"/>
  <c r="E18" i="110"/>
  <c r="E18" i="111"/>
  <c r="E53" i="106"/>
  <c r="E53" i="107"/>
  <c r="E53" i="108"/>
  <c r="E53" i="109"/>
  <c r="E53" i="110"/>
  <c r="V53" i="110"/>
  <c r="E53" i="111"/>
  <c r="F18" i="106"/>
  <c r="F18" i="107"/>
  <c r="F18" i="108"/>
  <c r="F18" i="109"/>
  <c r="F18" i="110"/>
  <c r="F18" i="111"/>
  <c r="F53" i="106"/>
  <c r="F53" i="107"/>
  <c r="F53" i="108"/>
  <c r="F53" i="109"/>
  <c r="F53" i="110"/>
  <c r="F53" i="111"/>
  <c r="G18" i="106"/>
  <c r="G18" i="107"/>
  <c r="G18" i="108"/>
  <c r="G18" i="109"/>
  <c r="G18" i="110"/>
  <c r="G18" i="111"/>
  <c r="G53" i="106"/>
  <c r="G53" i="107"/>
  <c r="G53" i="108"/>
  <c r="G53" i="109"/>
  <c r="G53" i="110"/>
  <c r="G53" i="111"/>
  <c r="H18" i="106"/>
  <c r="H18" i="107"/>
  <c r="H18" i="108"/>
  <c r="H18" i="109"/>
  <c r="H18" i="110"/>
  <c r="H18" i="111"/>
  <c r="H53" i="106"/>
  <c r="H53" i="107"/>
  <c r="H53" i="108"/>
  <c r="H53" i="109"/>
  <c r="H53" i="110"/>
  <c r="H53" i="111"/>
  <c r="I18" i="106"/>
  <c r="I18" i="107"/>
  <c r="I18" i="108"/>
  <c r="I18" i="109"/>
  <c r="I18" i="110"/>
  <c r="I18" i="111"/>
  <c r="I53" i="106"/>
  <c r="I53" i="107"/>
  <c r="I53" i="108"/>
  <c r="I53" i="109"/>
  <c r="I53" i="110"/>
  <c r="I53" i="111"/>
  <c r="J18" i="106"/>
  <c r="J18" i="107"/>
  <c r="J18" i="108"/>
  <c r="J18" i="109"/>
  <c r="J18" i="110"/>
  <c r="J18" i="111"/>
  <c r="J53" i="106"/>
  <c r="J53" i="107"/>
  <c r="J53" i="108"/>
  <c r="J53" i="109"/>
  <c r="J53" i="110"/>
  <c r="J53" i="111"/>
  <c r="K18" i="106"/>
  <c r="K18" i="107"/>
  <c r="K18" i="108"/>
  <c r="K18" i="109"/>
  <c r="K18" i="110"/>
  <c r="K18" i="111"/>
  <c r="K53" i="106"/>
  <c r="K53" i="107"/>
  <c r="K53" i="108"/>
  <c r="K53" i="109"/>
  <c r="K53" i="110"/>
  <c r="K53" i="111"/>
  <c r="L18" i="106"/>
  <c r="L18" i="107"/>
  <c r="L18" i="108"/>
  <c r="L18" i="109"/>
  <c r="L18" i="110"/>
  <c r="L18" i="111"/>
  <c r="L53" i="106"/>
  <c r="L53" i="107"/>
  <c r="L53" i="108"/>
  <c r="L53" i="109"/>
  <c r="L53" i="110"/>
  <c r="L53" i="111"/>
  <c r="M18" i="106"/>
  <c r="M18" i="107"/>
  <c r="M18" i="108"/>
  <c r="M18" i="109"/>
  <c r="M18" i="110"/>
  <c r="M18" i="111"/>
  <c r="M53" i="106"/>
  <c r="M53" i="107"/>
  <c r="M53" i="108"/>
  <c r="M53" i="109"/>
  <c r="M53" i="110"/>
  <c r="M53" i="111"/>
  <c r="N18" i="106"/>
  <c r="N18" i="107"/>
  <c r="N18" i="108"/>
  <c r="N18" i="109"/>
  <c r="N18" i="110"/>
  <c r="N53" i="106"/>
  <c r="N53" i="107"/>
  <c r="N53" i="108"/>
  <c r="N53" i="109"/>
  <c r="N53" i="110"/>
  <c r="O18" i="106"/>
  <c r="O18" i="107"/>
  <c r="O18" i="108"/>
  <c r="O18" i="110"/>
  <c r="O53" i="106"/>
  <c r="O53" i="107"/>
  <c r="O53" i="108"/>
  <c r="O53" i="110"/>
  <c r="P18" i="106"/>
  <c r="P18" i="107"/>
  <c r="P18" i="108"/>
  <c r="P18" i="109"/>
  <c r="P18" i="110"/>
  <c r="P53" i="107"/>
  <c r="P53" i="108"/>
  <c r="P53" i="109"/>
  <c r="P53" i="110"/>
  <c r="Q18" i="106"/>
  <c r="Q18" i="107"/>
  <c r="Q18" i="108"/>
  <c r="Q18" i="109"/>
  <c r="Q18" i="110"/>
  <c r="Q53" i="106"/>
  <c r="Q53" i="107"/>
  <c r="Q53" i="108"/>
  <c r="Q53" i="109"/>
  <c r="Q53" i="110"/>
  <c r="B19" i="106"/>
  <c r="B19" i="107"/>
  <c r="P17" i="126"/>
  <c r="B19" i="108"/>
  <c r="AD17" i="126"/>
  <c r="B19" i="109"/>
  <c r="B19" i="110"/>
  <c r="B19" i="111"/>
  <c r="B54" i="106"/>
  <c r="B54" i="107"/>
  <c r="S54" i="107"/>
  <c r="B54" i="108"/>
  <c r="B54" i="109"/>
  <c r="B54" i="110"/>
  <c r="B54" i="111"/>
  <c r="C19" i="106"/>
  <c r="C19" i="107"/>
  <c r="Q17" i="126"/>
  <c r="C19" i="108"/>
  <c r="AE17" i="126"/>
  <c r="C19" i="109"/>
  <c r="J18" i="65"/>
  <c r="C19" i="110"/>
  <c r="C19" i="111"/>
  <c r="C54" i="106"/>
  <c r="C54" i="107"/>
  <c r="C54" i="108"/>
  <c r="C54" i="109"/>
  <c r="C54" i="110"/>
  <c r="C54" i="111"/>
  <c r="D19" i="106"/>
  <c r="D19" i="107"/>
  <c r="R17" i="126"/>
  <c r="D19" i="108"/>
  <c r="AF17" i="126"/>
  <c r="D19" i="109"/>
  <c r="D19" i="110"/>
  <c r="D19" i="111"/>
  <c r="D54" i="106"/>
  <c r="D54" i="107"/>
  <c r="U54" i="107"/>
  <c r="D54" i="108"/>
  <c r="D54" i="109"/>
  <c r="D54" i="110"/>
  <c r="D54" i="111"/>
  <c r="E19" i="106"/>
  <c r="E19" i="107"/>
  <c r="S17" i="126"/>
  <c r="E19" i="108"/>
  <c r="AG17" i="126"/>
  <c r="E19" i="109"/>
  <c r="K18" i="65"/>
  <c r="E19" i="110"/>
  <c r="E19" i="111"/>
  <c r="E54" i="106"/>
  <c r="E54" i="107"/>
  <c r="E54" i="108"/>
  <c r="E54" i="109"/>
  <c r="E54" i="110"/>
  <c r="E54" i="111"/>
  <c r="F19" i="106"/>
  <c r="F19" i="107"/>
  <c r="F19" i="108"/>
  <c r="F19" i="109"/>
  <c r="F19" i="110"/>
  <c r="F19" i="111"/>
  <c r="F54" i="106"/>
  <c r="F54" i="107"/>
  <c r="F54" i="108"/>
  <c r="F54" i="109"/>
  <c r="F54" i="110"/>
  <c r="F54" i="111"/>
  <c r="G19" i="106"/>
  <c r="G19" i="107"/>
  <c r="G19" i="108"/>
  <c r="G19" i="109"/>
  <c r="W19" i="109"/>
  <c r="AI157" i="73"/>
  <c r="G19" i="110"/>
  <c r="G19" i="111"/>
  <c r="G54" i="106"/>
  <c r="G54" i="107"/>
  <c r="G54" i="108"/>
  <c r="G54" i="109"/>
  <c r="G54" i="110"/>
  <c r="G54" i="111"/>
  <c r="H19" i="106"/>
  <c r="H19" i="107"/>
  <c r="H19" i="108"/>
  <c r="H19" i="109"/>
  <c r="H19" i="110"/>
  <c r="H19" i="111"/>
  <c r="H54" i="106"/>
  <c r="H54" i="107"/>
  <c r="H54" i="108"/>
  <c r="H54" i="109"/>
  <c r="H54" i="110"/>
  <c r="H54" i="111"/>
  <c r="I19" i="106"/>
  <c r="I19" i="107"/>
  <c r="I19" i="108"/>
  <c r="I19" i="109"/>
  <c r="I19" i="110"/>
  <c r="I19" i="111"/>
  <c r="I54" i="106"/>
  <c r="I54" i="107"/>
  <c r="I54" i="108"/>
  <c r="I54" i="109"/>
  <c r="I54" i="110"/>
  <c r="I54" i="111"/>
  <c r="J19" i="106"/>
  <c r="J19" i="107"/>
  <c r="J19" i="108"/>
  <c r="J19" i="109"/>
  <c r="J19" i="110"/>
  <c r="J19" i="111"/>
  <c r="J54" i="106"/>
  <c r="J54" i="107"/>
  <c r="J54" i="108"/>
  <c r="J54" i="109"/>
  <c r="J54" i="110"/>
  <c r="J54" i="111"/>
  <c r="K19" i="106"/>
  <c r="K19" i="107"/>
  <c r="K19" i="108"/>
  <c r="K19" i="109"/>
  <c r="K19" i="110"/>
  <c r="K19" i="111"/>
  <c r="K54" i="106"/>
  <c r="K54" i="107"/>
  <c r="K54" i="108"/>
  <c r="K54" i="109"/>
  <c r="K54" i="110"/>
  <c r="K54" i="111"/>
  <c r="L19" i="106"/>
  <c r="L19" i="107"/>
  <c r="L19" i="108"/>
  <c r="L19" i="109"/>
  <c r="L19" i="111"/>
  <c r="L54" i="106"/>
  <c r="L54" i="107"/>
  <c r="L54" i="108"/>
  <c r="L54" i="109"/>
  <c r="L54" i="110"/>
  <c r="L54" i="111"/>
  <c r="M19" i="106"/>
  <c r="M19" i="107"/>
  <c r="M19" i="108"/>
  <c r="M19" i="109"/>
  <c r="M19" i="110"/>
  <c r="M19" i="111"/>
  <c r="M54" i="106"/>
  <c r="M54" i="107"/>
  <c r="M54" i="108"/>
  <c r="M54" i="109"/>
  <c r="M54" i="110"/>
  <c r="M54" i="111"/>
  <c r="N19" i="106"/>
  <c r="N19" i="107"/>
  <c r="N19" i="108"/>
  <c r="N19" i="109"/>
  <c r="N19" i="110"/>
  <c r="N54" i="106"/>
  <c r="N54" i="107"/>
  <c r="N54" i="108"/>
  <c r="N54" i="109"/>
  <c r="N54" i="110"/>
  <c r="O19" i="106"/>
  <c r="O19" i="107"/>
  <c r="O19" i="109"/>
  <c r="O19" i="110"/>
  <c r="O54" i="106"/>
  <c r="O54" i="107"/>
  <c r="O54" i="109"/>
  <c r="O54" i="110"/>
  <c r="P19" i="106"/>
  <c r="P19" i="107"/>
  <c r="P19" i="108"/>
  <c r="P19" i="109"/>
  <c r="P19" i="110"/>
  <c r="P54" i="107"/>
  <c r="P54" i="108"/>
  <c r="P54" i="109"/>
  <c r="P54" i="110"/>
  <c r="Q19" i="106"/>
  <c r="Q19" i="107"/>
  <c r="Q19" i="108"/>
  <c r="Q19" i="109"/>
  <c r="Q19" i="110"/>
  <c r="Q54" i="106"/>
  <c r="Q54" i="107"/>
  <c r="Q54" i="108"/>
  <c r="Q54" i="109"/>
  <c r="Q54" i="110"/>
  <c r="B20" i="106"/>
  <c r="B20" i="126"/>
  <c r="B20" i="107"/>
  <c r="P20" i="126"/>
  <c r="B20" i="108"/>
  <c r="AD20" i="126"/>
  <c r="B20" i="109"/>
  <c r="B20" i="110"/>
  <c r="S20" i="110"/>
  <c r="AJ20" i="73"/>
  <c r="F259" i="73" s="1"/>
  <c r="B20" i="111"/>
  <c r="B55" i="106"/>
  <c r="B55" i="107"/>
  <c r="B55" i="108"/>
  <c r="B55" i="109"/>
  <c r="B55" i="110"/>
  <c r="B55" i="111"/>
  <c r="C20" i="106"/>
  <c r="C20" i="107"/>
  <c r="Q20" i="126"/>
  <c r="C20" i="108"/>
  <c r="AE20" i="126"/>
  <c r="C20" i="109"/>
  <c r="C20" i="110"/>
  <c r="T20" i="110"/>
  <c r="AJ54" i="73"/>
  <c r="C20" i="111"/>
  <c r="C55" i="106"/>
  <c r="C55" i="107"/>
  <c r="C55" i="108"/>
  <c r="C55" i="109"/>
  <c r="C55" i="110"/>
  <c r="C55" i="111"/>
  <c r="D20" i="106"/>
  <c r="D20" i="126"/>
  <c r="D20" i="107"/>
  <c r="R20" i="126"/>
  <c r="D20" i="108"/>
  <c r="AF20" i="126"/>
  <c r="D20" i="109"/>
  <c r="D20" i="110"/>
  <c r="U20" i="110"/>
  <c r="AJ88" i="73"/>
  <c r="D20" i="111"/>
  <c r="D55" i="106"/>
  <c r="D55" i="107"/>
  <c r="D55" i="108"/>
  <c r="D55" i="109"/>
  <c r="D55" i="110"/>
  <c r="D55" i="111"/>
  <c r="E20" i="106"/>
  <c r="E20" i="126"/>
  <c r="E20" i="107"/>
  <c r="S20" i="126"/>
  <c r="E20" i="108"/>
  <c r="AG20" i="126"/>
  <c r="E20" i="109"/>
  <c r="E20" i="110"/>
  <c r="V20" i="110"/>
  <c r="AJ122" i="73"/>
  <c r="E20" i="111"/>
  <c r="E55" i="106"/>
  <c r="E55" i="107"/>
  <c r="E55" i="108"/>
  <c r="E55" i="109"/>
  <c r="E55" i="110"/>
  <c r="E55" i="111"/>
  <c r="F20" i="106"/>
  <c r="F20" i="107"/>
  <c r="F20" i="108"/>
  <c r="F20" i="109"/>
  <c r="F20" i="110"/>
  <c r="F20" i="111"/>
  <c r="F55" i="106"/>
  <c r="F55" i="107"/>
  <c r="F55" i="108"/>
  <c r="F55" i="109"/>
  <c r="F55" i="110"/>
  <c r="F55" i="111"/>
  <c r="G20" i="106"/>
  <c r="G20" i="107"/>
  <c r="G20" i="108"/>
  <c r="G20" i="109"/>
  <c r="G20" i="110"/>
  <c r="G20" i="111"/>
  <c r="G55" i="106"/>
  <c r="G55" i="107"/>
  <c r="G55" i="108"/>
  <c r="G55" i="109"/>
  <c r="G55" i="110"/>
  <c r="G55" i="111"/>
  <c r="H20" i="106"/>
  <c r="H20" i="107"/>
  <c r="H20" i="108"/>
  <c r="H20" i="109"/>
  <c r="H20" i="110"/>
  <c r="H20" i="111"/>
  <c r="H55" i="106"/>
  <c r="H55" i="107"/>
  <c r="H55" i="108"/>
  <c r="H55" i="109"/>
  <c r="H55" i="110"/>
  <c r="H55" i="111"/>
  <c r="I20" i="106"/>
  <c r="I20" i="107"/>
  <c r="I20" i="108"/>
  <c r="I20" i="109"/>
  <c r="I20" i="110"/>
  <c r="I20" i="111"/>
  <c r="I55" i="106"/>
  <c r="I55" i="107"/>
  <c r="I55" i="108"/>
  <c r="I55" i="109"/>
  <c r="I55" i="110"/>
  <c r="I55" i="111"/>
  <c r="J20" i="106"/>
  <c r="J20" i="107"/>
  <c r="J20" i="108"/>
  <c r="J20" i="109"/>
  <c r="J20" i="110"/>
  <c r="J20" i="111"/>
  <c r="J55" i="106"/>
  <c r="J55" i="107"/>
  <c r="J55" i="108"/>
  <c r="J55" i="109"/>
  <c r="J55" i="110"/>
  <c r="J55" i="111"/>
  <c r="K20" i="106"/>
  <c r="K20" i="107"/>
  <c r="K20" i="108"/>
  <c r="K20" i="109"/>
  <c r="K20" i="110"/>
  <c r="K20" i="111"/>
  <c r="K55" i="106"/>
  <c r="K55" i="107"/>
  <c r="K55" i="108"/>
  <c r="K55" i="109"/>
  <c r="K55" i="110"/>
  <c r="K55" i="111"/>
  <c r="L20" i="106"/>
  <c r="L20" i="107"/>
  <c r="L20" i="108"/>
  <c r="L20" i="109"/>
  <c r="L20" i="110"/>
  <c r="L20" i="111"/>
  <c r="L55" i="106"/>
  <c r="L55" i="107"/>
  <c r="L55" i="108"/>
  <c r="L55" i="109"/>
  <c r="L55" i="110"/>
  <c r="L55" i="111"/>
  <c r="M20" i="106"/>
  <c r="M20" i="107"/>
  <c r="M20" i="108"/>
  <c r="M20" i="109"/>
  <c r="M20" i="110"/>
  <c r="M20" i="111"/>
  <c r="M55" i="106"/>
  <c r="M55" i="107"/>
  <c r="M55" i="108"/>
  <c r="M55" i="109"/>
  <c r="M55" i="110"/>
  <c r="M55" i="111"/>
  <c r="N20" i="106"/>
  <c r="N20" i="107"/>
  <c r="N20" i="108"/>
  <c r="N20" i="109"/>
  <c r="N20" i="110"/>
  <c r="N55" i="106"/>
  <c r="N55" i="107"/>
  <c r="N55" i="108"/>
  <c r="N55" i="109"/>
  <c r="N55" i="110"/>
  <c r="O20" i="106"/>
  <c r="O20" i="108"/>
  <c r="O20" i="109"/>
  <c r="O20" i="110"/>
  <c r="O55" i="106"/>
  <c r="O55" i="108"/>
  <c r="O55" i="109"/>
  <c r="O55" i="110"/>
  <c r="P20" i="106"/>
  <c r="P20" i="107"/>
  <c r="P20" i="108"/>
  <c r="P20" i="109"/>
  <c r="P20" i="110"/>
  <c r="P55" i="107"/>
  <c r="P55" i="108"/>
  <c r="P55" i="109"/>
  <c r="P55" i="110"/>
  <c r="Q20" i="106"/>
  <c r="Q20" i="107"/>
  <c r="Q20" i="108"/>
  <c r="Q20" i="109"/>
  <c r="Q20" i="110"/>
  <c r="Q55" i="106"/>
  <c r="Q55" i="107"/>
  <c r="Q55" i="108"/>
  <c r="Q55" i="109"/>
  <c r="Q55" i="110"/>
  <c r="B21" i="106"/>
  <c r="B18" i="126"/>
  <c r="B21" i="107"/>
  <c r="P18" i="126"/>
  <c r="B21" i="108"/>
  <c r="AD18" i="126"/>
  <c r="B21" i="109"/>
  <c r="B21" i="110"/>
  <c r="B21" i="111"/>
  <c r="B56" i="106"/>
  <c r="S56" i="106"/>
  <c r="B56" i="107"/>
  <c r="B56" i="108"/>
  <c r="B56" i="109"/>
  <c r="B56" i="110"/>
  <c r="B56" i="111"/>
  <c r="S56" i="111"/>
  <c r="C21" i="106"/>
  <c r="C21" i="107"/>
  <c r="C21" i="108"/>
  <c r="AE18" i="126"/>
  <c r="C21" i="109"/>
  <c r="C21" i="110"/>
  <c r="C21" i="111"/>
  <c r="C56" i="106"/>
  <c r="T56" i="106"/>
  <c r="C56" i="107"/>
  <c r="C56" i="108"/>
  <c r="C56" i="109"/>
  <c r="T56" i="109"/>
  <c r="C56" i="110"/>
  <c r="C56" i="111"/>
  <c r="T56" i="111"/>
  <c r="D21" i="106"/>
  <c r="D21" i="107"/>
  <c r="R18" i="126"/>
  <c r="D21" i="108"/>
  <c r="AF18" i="126"/>
  <c r="D21" i="109"/>
  <c r="D21" i="110"/>
  <c r="D21" i="111"/>
  <c r="D56" i="106"/>
  <c r="U56" i="106"/>
  <c r="D56" i="107"/>
  <c r="D56" i="108"/>
  <c r="D56" i="109"/>
  <c r="D56" i="110"/>
  <c r="D56" i="111"/>
  <c r="U56" i="111"/>
  <c r="E21" i="106"/>
  <c r="E18" i="126"/>
  <c r="E21" i="107"/>
  <c r="E21" i="108"/>
  <c r="AG18" i="126"/>
  <c r="E21" i="109"/>
  <c r="E21" i="110"/>
  <c r="E21" i="111"/>
  <c r="E56" i="106"/>
  <c r="E56" i="107"/>
  <c r="E56" i="108"/>
  <c r="E56" i="109"/>
  <c r="V56" i="109"/>
  <c r="E56" i="110"/>
  <c r="E56" i="111"/>
  <c r="F21" i="106"/>
  <c r="F21" i="107"/>
  <c r="F21" i="108"/>
  <c r="F21" i="109"/>
  <c r="F21" i="110"/>
  <c r="F21" i="111"/>
  <c r="F56" i="106"/>
  <c r="F56" i="107"/>
  <c r="F56" i="108"/>
  <c r="F56" i="109"/>
  <c r="F56" i="110"/>
  <c r="F56" i="111"/>
  <c r="G21" i="106"/>
  <c r="G21" i="107"/>
  <c r="W21" i="107"/>
  <c r="T18" i="126"/>
  <c r="G21" i="108"/>
  <c r="G21" i="109"/>
  <c r="G21" i="110"/>
  <c r="G21" i="111"/>
  <c r="G56" i="106"/>
  <c r="G56" i="107"/>
  <c r="G56" i="108"/>
  <c r="G56" i="109"/>
  <c r="W56" i="109"/>
  <c r="G56" i="110"/>
  <c r="G56" i="111"/>
  <c r="H21" i="106"/>
  <c r="H21" i="107"/>
  <c r="H21" i="108"/>
  <c r="H21" i="109"/>
  <c r="H21" i="110"/>
  <c r="H21" i="111"/>
  <c r="H56" i="106"/>
  <c r="H56" i="107"/>
  <c r="H56" i="108"/>
  <c r="H56" i="109"/>
  <c r="H56" i="110"/>
  <c r="H56" i="111"/>
  <c r="I21" i="106"/>
  <c r="I21" i="107"/>
  <c r="I21" i="108"/>
  <c r="I21" i="109"/>
  <c r="I21" i="110"/>
  <c r="I21" i="111"/>
  <c r="I56" i="106"/>
  <c r="I56" i="107"/>
  <c r="I56" i="108"/>
  <c r="I56" i="109"/>
  <c r="I56" i="110"/>
  <c r="I56" i="111"/>
  <c r="J21" i="106"/>
  <c r="J21" i="107"/>
  <c r="J21" i="108"/>
  <c r="J21" i="109"/>
  <c r="J21" i="110"/>
  <c r="J21" i="111"/>
  <c r="J56" i="106"/>
  <c r="J56" i="107"/>
  <c r="J56" i="108"/>
  <c r="J56" i="109"/>
  <c r="J56" i="110"/>
  <c r="J56" i="111"/>
  <c r="K21" i="106"/>
  <c r="K21" i="107"/>
  <c r="K21" i="108"/>
  <c r="K21" i="109"/>
  <c r="K21" i="110"/>
  <c r="K21" i="111"/>
  <c r="K56" i="106"/>
  <c r="K56" i="107"/>
  <c r="K56" i="108"/>
  <c r="K56" i="109"/>
  <c r="K56" i="110"/>
  <c r="K56" i="111"/>
  <c r="L21" i="106"/>
  <c r="L21" i="107"/>
  <c r="L21" i="108"/>
  <c r="L21" i="109"/>
  <c r="L21" i="110"/>
  <c r="L21" i="111"/>
  <c r="L56" i="106"/>
  <c r="L56" i="107"/>
  <c r="L56" i="108"/>
  <c r="L56" i="109"/>
  <c r="L56" i="110"/>
  <c r="L56" i="111"/>
  <c r="M21" i="106"/>
  <c r="M21" i="107"/>
  <c r="M21" i="108"/>
  <c r="M21" i="109"/>
  <c r="M21" i="110"/>
  <c r="M21" i="111"/>
  <c r="M56" i="106"/>
  <c r="M56" i="107"/>
  <c r="M56" i="108"/>
  <c r="M56" i="109"/>
  <c r="M56" i="110"/>
  <c r="M56" i="111"/>
  <c r="N21" i="106"/>
  <c r="N21" i="107"/>
  <c r="N21" i="108"/>
  <c r="N21" i="109"/>
  <c r="N21" i="110"/>
  <c r="N56" i="106"/>
  <c r="N56" i="107"/>
  <c r="N56" i="108"/>
  <c r="N56" i="109"/>
  <c r="N56" i="110"/>
  <c r="O21" i="106"/>
  <c r="O21" i="107"/>
  <c r="O21" i="108"/>
  <c r="O21" i="109"/>
  <c r="O56" i="106"/>
  <c r="O56" i="107"/>
  <c r="O56" i="108"/>
  <c r="O56" i="109"/>
  <c r="P21" i="106"/>
  <c r="P21" i="107"/>
  <c r="P21" i="108"/>
  <c r="P21" i="109"/>
  <c r="P21" i="110"/>
  <c r="P56" i="107"/>
  <c r="P56" i="108"/>
  <c r="P56" i="109"/>
  <c r="P56" i="110"/>
  <c r="Q21" i="106"/>
  <c r="Q21" i="107"/>
  <c r="Q21" i="108"/>
  <c r="Q21" i="109"/>
  <c r="Q21" i="110"/>
  <c r="Q56" i="106"/>
  <c r="Q56" i="107"/>
  <c r="Q56" i="108"/>
  <c r="Q56" i="109"/>
  <c r="Q56" i="110"/>
  <c r="B22" i="106"/>
  <c r="B19" i="126"/>
  <c r="B22" i="107"/>
  <c r="P19" i="126"/>
  <c r="B22" i="108"/>
  <c r="AD19" i="126"/>
  <c r="B22" i="109"/>
  <c r="B22" i="110"/>
  <c r="B22" i="111"/>
  <c r="B57" i="106"/>
  <c r="B57" i="107"/>
  <c r="B57" i="108"/>
  <c r="B57" i="109"/>
  <c r="B57" i="110"/>
  <c r="S57" i="110"/>
  <c r="B57" i="111"/>
  <c r="C22" i="106"/>
  <c r="C19" i="126"/>
  <c r="C22" i="107"/>
  <c r="Q19" i="126"/>
  <c r="C22" i="108"/>
  <c r="AE19" i="126"/>
  <c r="C22" i="109"/>
  <c r="C22" i="110"/>
  <c r="C22" i="111"/>
  <c r="C57" i="106"/>
  <c r="C57" i="107"/>
  <c r="C57" i="108"/>
  <c r="C57" i="109"/>
  <c r="C57" i="110"/>
  <c r="T57" i="110"/>
  <c r="C57" i="111"/>
  <c r="D22" i="106"/>
  <c r="D22" i="107"/>
  <c r="R19" i="126"/>
  <c r="D22" i="108"/>
  <c r="AF19" i="126"/>
  <c r="D22" i="109"/>
  <c r="D22" i="110"/>
  <c r="D22" i="111"/>
  <c r="D57" i="106"/>
  <c r="D57" i="107"/>
  <c r="D57" i="108"/>
  <c r="D57" i="109"/>
  <c r="D57" i="110"/>
  <c r="U57" i="110"/>
  <c r="D57" i="111"/>
  <c r="E22" i="106"/>
  <c r="E19" i="126"/>
  <c r="E22" i="107"/>
  <c r="S19" i="126"/>
  <c r="E22" i="108"/>
  <c r="AG19" i="126"/>
  <c r="E22" i="109"/>
  <c r="E22" i="110"/>
  <c r="E22" i="111"/>
  <c r="E57" i="106"/>
  <c r="E57" i="107"/>
  <c r="E57" i="108"/>
  <c r="E57" i="109"/>
  <c r="E57" i="110"/>
  <c r="V57" i="110"/>
  <c r="E57" i="111"/>
  <c r="F22" i="106"/>
  <c r="F22" i="107"/>
  <c r="F22" i="108"/>
  <c r="F22" i="109"/>
  <c r="F22" i="110"/>
  <c r="F22" i="111"/>
  <c r="F57" i="106"/>
  <c r="F57" i="107"/>
  <c r="F57" i="108"/>
  <c r="F57" i="109"/>
  <c r="F57" i="110"/>
  <c r="F57" i="111"/>
  <c r="G22" i="106"/>
  <c r="G22" i="107"/>
  <c r="G22" i="108"/>
  <c r="G22" i="109"/>
  <c r="G22" i="110"/>
  <c r="G22" i="111"/>
  <c r="G57" i="106"/>
  <c r="G57" i="107"/>
  <c r="G57" i="108"/>
  <c r="G57" i="109"/>
  <c r="G57" i="110"/>
  <c r="G57" i="111"/>
  <c r="H22" i="106"/>
  <c r="H22" i="107"/>
  <c r="H22" i="108"/>
  <c r="H22" i="109"/>
  <c r="H22" i="110"/>
  <c r="H22" i="111"/>
  <c r="H57" i="106"/>
  <c r="H57" i="107"/>
  <c r="H57" i="108"/>
  <c r="H57" i="109"/>
  <c r="H57" i="110"/>
  <c r="H57" i="111"/>
  <c r="I22" i="106"/>
  <c r="I22" i="107"/>
  <c r="I22" i="108"/>
  <c r="I22" i="109"/>
  <c r="I22" i="110"/>
  <c r="I22" i="111"/>
  <c r="I57" i="106"/>
  <c r="I57" i="107"/>
  <c r="I57" i="108"/>
  <c r="I57" i="109"/>
  <c r="I57" i="110"/>
  <c r="I57" i="111"/>
  <c r="J22" i="106"/>
  <c r="J22" i="107"/>
  <c r="J22" i="108"/>
  <c r="J22" i="109"/>
  <c r="J22" i="110"/>
  <c r="J22" i="111"/>
  <c r="J57" i="106"/>
  <c r="J57" i="107"/>
  <c r="J57" i="108"/>
  <c r="J57" i="109"/>
  <c r="J57" i="110"/>
  <c r="J57" i="111"/>
  <c r="K22" i="106"/>
  <c r="K22" i="107"/>
  <c r="K22" i="108"/>
  <c r="K22" i="109"/>
  <c r="K22" i="110"/>
  <c r="K22" i="111"/>
  <c r="K57" i="106"/>
  <c r="K57" i="107"/>
  <c r="K57" i="108"/>
  <c r="K57" i="109"/>
  <c r="K57" i="110"/>
  <c r="K57" i="111"/>
  <c r="L22" i="106"/>
  <c r="L22" i="107"/>
  <c r="L22" i="108"/>
  <c r="L22" i="109"/>
  <c r="L22" i="110"/>
  <c r="L22" i="111"/>
  <c r="L57" i="106"/>
  <c r="L57" i="107"/>
  <c r="L57" i="108"/>
  <c r="L57" i="109"/>
  <c r="L57" i="110"/>
  <c r="L57" i="111"/>
  <c r="M22" i="106"/>
  <c r="M22" i="107"/>
  <c r="M22" i="108"/>
  <c r="M22" i="109"/>
  <c r="M22" i="110"/>
  <c r="M22" i="111"/>
  <c r="M57" i="106"/>
  <c r="M57" i="107"/>
  <c r="M57" i="108"/>
  <c r="M57" i="109"/>
  <c r="M57" i="110"/>
  <c r="M57" i="111"/>
  <c r="N22" i="106"/>
  <c r="N22" i="107"/>
  <c r="N22" i="108"/>
  <c r="N22" i="109"/>
  <c r="N22" i="110"/>
  <c r="N57" i="106"/>
  <c r="N57" i="107"/>
  <c r="N57" i="108"/>
  <c r="N57" i="109"/>
  <c r="N57" i="110"/>
  <c r="O22" i="106"/>
  <c r="O22" i="107"/>
  <c r="O22" i="108"/>
  <c r="O22" i="110"/>
  <c r="O57" i="106"/>
  <c r="O57" i="107"/>
  <c r="O57" i="108"/>
  <c r="O57" i="110"/>
  <c r="P22" i="106"/>
  <c r="P22" i="107"/>
  <c r="P22" i="108"/>
  <c r="P22" i="109"/>
  <c r="P22" i="110"/>
  <c r="Q22" i="106"/>
  <c r="Q22" i="107"/>
  <c r="Q22" i="108"/>
  <c r="Q22" i="109"/>
  <c r="Q22" i="110"/>
  <c r="Q57" i="106"/>
  <c r="B23" i="106"/>
  <c r="B21" i="126"/>
  <c r="B23" i="107"/>
  <c r="P21" i="126"/>
  <c r="B23" i="108"/>
  <c r="AD21" i="126"/>
  <c r="B23" i="109"/>
  <c r="S23" i="109"/>
  <c r="AI23" i="73"/>
  <c r="B23" i="110"/>
  <c r="B23" i="111"/>
  <c r="B58" i="106"/>
  <c r="B58" i="107"/>
  <c r="B58" i="108"/>
  <c r="B58" i="109"/>
  <c r="B58" i="110"/>
  <c r="B58" i="111"/>
  <c r="C23" i="106"/>
  <c r="C21" i="126"/>
  <c r="C23" i="107"/>
  <c r="Q21" i="126"/>
  <c r="C23" i="108"/>
  <c r="AE21" i="126"/>
  <c r="C23" i="109"/>
  <c r="C23" i="110"/>
  <c r="C23" i="111"/>
  <c r="T23" i="111"/>
  <c r="C58" i="106"/>
  <c r="C58" i="107"/>
  <c r="C58" i="108"/>
  <c r="C58" i="109"/>
  <c r="C58" i="110"/>
  <c r="C58" i="111"/>
  <c r="D23" i="106"/>
  <c r="D21" i="126"/>
  <c r="D23" i="107"/>
  <c r="R21" i="126"/>
  <c r="D23" i="108"/>
  <c r="AF21" i="126"/>
  <c r="D23" i="109"/>
  <c r="D23" i="110"/>
  <c r="D23" i="111"/>
  <c r="V23" i="122"/>
  <c r="D58" i="106"/>
  <c r="D58" i="107"/>
  <c r="D58" i="108"/>
  <c r="D58" i="109"/>
  <c r="D58" i="110"/>
  <c r="D58" i="111"/>
  <c r="E23" i="106"/>
  <c r="E21" i="126"/>
  <c r="E23" i="107"/>
  <c r="S21" i="126"/>
  <c r="E23" i="108"/>
  <c r="AG21" i="126"/>
  <c r="E23" i="109"/>
  <c r="E23" i="110"/>
  <c r="E23" i="111"/>
  <c r="V23" i="111"/>
  <c r="E58" i="106"/>
  <c r="E58" i="107"/>
  <c r="E58" i="108"/>
  <c r="E58" i="109"/>
  <c r="E58" i="110"/>
  <c r="E58" i="111"/>
  <c r="F23" i="106"/>
  <c r="F23" i="107"/>
  <c r="F23" i="108"/>
  <c r="F23" i="109"/>
  <c r="F23" i="110"/>
  <c r="F23" i="111"/>
  <c r="W23" i="111"/>
  <c r="F58" i="106"/>
  <c r="F58" i="107"/>
  <c r="F58" i="108"/>
  <c r="F58" i="109"/>
  <c r="F58" i="110"/>
  <c r="F58" i="111"/>
  <c r="G23" i="106"/>
  <c r="G23" i="107"/>
  <c r="G23" i="108"/>
  <c r="G23" i="109"/>
  <c r="G23" i="110"/>
  <c r="G23" i="111"/>
  <c r="G58" i="106"/>
  <c r="G58" i="107"/>
  <c r="G58" i="108"/>
  <c r="G58" i="109"/>
  <c r="G58" i="110"/>
  <c r="G58" i="111"/>
  <c r="H23" i="106"/>
  <c r="H23" i="107"/>
  <c r="H23" i="108"/>
  <c r="H23" i="109"/>
  <c r="H23" i="110"/>
  <c r="H23" i="111"/>
  <c r="H58" i="106"/>
  <c r="H58" i="107"/>
  <c r="H58" i="108"/>
  <c r="H58" i="109"/>
  <c r="H58" i="110"/>
  <c r="H58" i="111"/>
  <c r="I23" i="106"/>
  <c r="I23" i="107"/>
  <c r="I23" i="108"/>
  <c r="I23" i="109"/>
  <c r="I23" i="110"/>
  <c r="I23" i="111"/>
  <c r="I58" i="106"/>
  <c r="I58" i="107"/>
  <c r="I58" i="108"/>
  <c r="I58" i="109"/>
  <c r="I58" i="110"/>
  <c r="I58" i="111"/>
  <c r="J23" i="106"/>
  <c r="J23" i="107"/>
  <c r="J23" i="108"/>
  <c r="J23" i="109"/>
  <c r="J23" i="110"/>
  <c r="J23" i="111"/>
  <c r="J58" i="106"/>
  <c r="J58" i="107"/>
  <c r="J58" i="108"/>
  <c r="J58" i="109"/>
  <c r="J58" i="110"/>
  <c r="J58" i="111"/>
  <c r="K23" i="106"/>
  <c r="K23" i="107"/>
  <c r="K23" i="108"/>
  <c r="K23" i="109"/>
  <c r="K23" i="110"/>
  <c r="K23" i="111"/>
  <c r="K58" i="106"/>
  <c r="K58" i="107"/>
  <c r="K58" i="108"/>
  <c r="K58" i="109"/>
  <c r="K58" i="110"/>
  <c r="K58" i="111"/>
  <c r="L23" i="106"/>
  <c r="L23" i="107"/>
  <c r="L23" i="108"/>
  <c r="L23" i="109"/>
  <c r="L23" i="110"/>
  <c r="L23" i="111"/>
  <c r="L58" i="106"/>
  <c r="L58" i="107"/>
  <c r="L58" i="108"/>
  <c r="L58" i="109"/>
  <c r="L58" i="110"/>
  <c r="L58" i="111"/>
  <c r="M23" i="106"/>
  <c r="M23" i="107"/>
  <c r="M23" i="108"/>
  <c r="M23" i="109"/>
  <c r="M23" i="110"/>
  <c r="M23" i="111"/>
  <c r="M58" i="106"/>
  <c r="M58" i="107"/>
  <c r="M58" i="108"/>
  <c r="M58" i="109"/>
  <c r="M58" i="110"/>
  <c r="M58" i="111"/>
  <c r="N23" i="106"/>
  <c r="N23" i="107"/>
  <c r="N23" i="108"/>
  <c r="N23" i="109"/>
  <c r="N23" i="110"/>
  <c r="N58" i="106"/>
  <c r="N58" i="107"/>
  <c r="N58" i="108"/>
  <c r="N58" i="109"/>
  <c r="N58" i="110"/>
  <c r="O23" i="106"/>
  <c r="O23" i="107"/>
  <c r="O23" i="109"/>
  <c r="O23" i="110"/>
  <c r="O58" i="106"/>
  <c r="O58" i="107"/>
  <c r="O58" i="108"/>
  <c r="O58" i="109"/>
  <c r="O58" i="110"/>
  <c r="P23" i="106"/>
  <c r="P23" i="107"/>
  <c r="P23" i="108"/>
  <c r="P23" i="109"/>
  <c r="P23" i="110"/>
  <c r="P58" i="107"/>
  <c r="P58" i="108"/>
  <c r="P58" i="109"/>
  <c r="P58" i="110"/>
  <c r="Q23" i="106"/>
  <c r="Q23" i="107"/>
  <c r="Q23" i="108"/>
  <c r="Q23" i="109"/>
  <c r="Q23" i="110"/>
  <c r="Q58" i="106"/>
  <c r="Q58" i="107"/>
  <c r="Q58" i="108"/>
  <c r="Q58" i="109"/>
  <c r="Q58" i="110"/>
  <c r="B24" i="106"/>
  <c r="B22" i="126"/>
  <c r="B24" i="107"/>
  <c r="P22" i="126"/>
  <c r="B24" i="108"/>
  <c r="AD22" i="126"/>
  <c r="B24" i="109"/>
  <c r="B24" i="110"/>
  <c r="B24" i="111"/>
  <c r="B59" i="106"/>
  <c r="B59" i="107"/>
  <c r="B59" i="108"/>
  <c r="B59" i="109"/>
  <c r="B59" i="110"/>
  <c r="B59" i="111"/>
  <c r="S59" i="111"/>
  <c r="C24" i="106"/>
  <c r="C22" i="126"/>
  <c r="C24" i="107"/>
  <c r="Q22" i="126"/>
  <c r="C24" i="108"/>
  <c r="AE22" i="126"/>
  <c r="C24" i="109"/>
  <c r="C24" i="110"/>
  <c r="C24" i="111"/>
  <c r="C59" i="106"/>
  <c r="C59" i="107"/>
  <c r="C59" i="108"/>
  <c r="C59" i="109"/>
  <c r="C59" i="110"/>
  <c r="C59" i="111"/>
  <c r="T59" i="111"/>
  <c r="D24" i="106"/>
  <c r="D22" i="126"/>
  <c r="D24" i="107"/>
  <c r="R22" i="126"/>
  <c r="D24" i="108"/>
  <c r="AF22" i="126"/>
  <c r="D24" i="109"/>
  <c r="D24" i="110"/>
  <c r="D24" i="111"/>
  <c r="D59" i="106"/>
  <c r="D59" i="107"/>
  <c r="D59" i="108"/>
  <c r="D59" i="109"/>
  <c r="D59" i="110"/>
  <c r="D59" i="111"/>
  <c r="U59" i="111"/>
  <c r="E24" i="106"/>
  <c r="E22" i="126"/>
  <c r="E24" i="107"/>
  <c r="S22" i="126"/>
  <c r="E24" i="108"/>
  <c r="AG22" i="126"/>
  <c r="E24" i="109"/>
  <c r="E24" i="110"/>
  <c r="E24" i="111"/>
  <c r="E59" i="106"/>
  <c r="E59" i="107"/>
  <c r="E59" i="108"/>
  <c r="E59" i="109"/>
  <c r="V59" i="109"/>
  <c r="E59" i="110"/>
  <c r="E59" i="111"/>
  <c r="F24" i="106"/>
  <c r="F24" i="107"/>
  <c r="F24" i="108"/>
  <c r="F24" i="109"/>
  <c r="F24" i="110"/>
  <c r="F24" i="111"/>
  <c r="F59" i="106"/>
  <c r="F59" i="107"/>
  <c r="F59" i="108"/>
  <c r="F59" i="109"/>
  <c r="F59" i="110"/>
  <c r="F59" i="111"/>
  <c r="G24" i="106"/>
  <c r="G24" i="107"/>
  <c r="G24" i="108"/>
  <c r="G24" i="109"/>
  <c r="G24" i="110"/>
  <c r="G24" i="111"/>
  <c r="G59" i="106"/>
  <c r="G59" i="107"/>
  <c r="G59" i="108"/>
  <c r="G59" i="109"/>
  <c r="W59" i="109"/>
  <c r="G59" i="110"/>
  <c r="G59" i="111"/>
  <c r="H24" i="106"/>
  <c r="H24" i="107"/>
  <c r="H24" i="108"/>
  <c r="H24" i="109"/>
  <c r="H24" i="110"/>
  <c r="H24" i="111"/>
  <c r="H59" i="106"/>
  <c r="H59" i="107"/>
  <c r="H59" i="108"/>
  <c r="H59" i="109"/>
  <c r="H59" i="110"/>
  <c r="H59" i="111"/>
  <c r="X59" i="111"/>
  <c r="I24" i="106"/>
  <c r="I24" i="107"/>
  <c r="I24" i="108"/>
  <c r="I24" i="109"/>
  <c r="I24" i="110"/>
  <c r="I24" i="111"/>
  <c r="I59" i="106"/>
  <c r="I59" i="107"/>
  <c r="I59" i="108"/>
  <c r="I59" i="109"/>
  <c r="I59" i="110"/>
  <c r="I59" i="111"/>
  <c r="J24" i="106"/>
  <c r="J24" i="107"/>
  <c r="J24" i="108"/>
  <c r="J24" i="109"/>
  <c r="J24" i="110"/>
  <c r="J24" i="111"/>
  <c r="J59" i="106"/>
  <c r="J59" i="107"/>
  <c r="J59" i="108"/>
  <c r="J59" i="109"/>
  <c r="J59" i="110"/>
  <c r="J59" i="111"/>
  <c r="K24" i="106"/>
  <c r="K24" i="107"/>
  <c r="K24" i="108"/>
  <c r="K24" i="109"/>
  <c r="K24" i="110"/>
  <c r="K24" i="111"/>
  <c r="K59" i="106"/>
  <c r="K59" i="107"/>
  <c r="K59" i="108"/>
  <c r="K59" i="109"/>
  <c r="K59" i="110"/>
  <c r="K59" i="111"/>
  <c r="L24" i="106"/>
  <c r="L24" i="107"/>
  <c r="L24" i="108"/>
  <c r="L24" i="109"/>
  <c r="L24" i="110"/>
  <c r="L24" i="111"/>
  <c r="L59" i="106"/>
  <c r="L59" i="107"/>
  <c r="L59" i="108"/>
  <c r="L59" i="109"/>
  <c r="L59" i="110"/>
  <c r="L59" i="111"/>
  <c r="M24" i="106"/>
  <c r="M24" i="107"/>
  <c r="M24" i="108"/>
  <c r="M24" i="109"/>
  <c r="M24" i="110"/>
  <c r="M24" i="111"/>
  <c r="M59" i="106"/>
  <c r="M59" i="107"/>
  <c r="M59" i="108"/>
  <c r="M59" i="109"/>
  <c r="M59" i="110"/>
  <c r="M59" i="111"/>
  <c r="N24" i="106"/>
  <c r="N24" i="107"/>
  <c r="N24" i="108"/>
  <c r="N24" i="109"/>
  <c r="N24" i="110"/>
  <c r="N59" i="106"/>
  <c r="N59" i="107"/>
  <c r="N59" i="108"/>
  <c r="N59" i="109"/>
  <c r="N59" i="110"/>
  <c r="O24" i="106"/>
  <c r="O24" i="108"/>
  <c r="O24" i="109"/>
  <c r="O24" i="110"/>
  <c r="O59" i="106"/>
  <c r="O59" i="108"/>
  <c r="O59" i="109"/>
  <c r="O59" i="110"/>
  <c r="P24" i="106"/>
  <c r="P24" i="107"/>
  <c r="P24" i="108"/>
  <c r="P24" i="109"/>
  <c r="P24" i="110"/>
  <c r="P59" i="107"/>
  <c r="P59" i="108"/>
  <c r="P59" i="109"/>
  <c r="P59" i="110"/>
  <c r="Q24" i="106"/>
  <c r="Q24" i="107"/>
  <c r="Q24" i="108"/>
  <c r="Q24" i="109"/>
  <c r="Q24" i="110"/>
  <c r="Q59" i="106"/>
  <c r="Q59" i="107"/>
  <c r="Q59" i="108"/>
  <c r="Q59" i="109"/>
  <c r="Q59" i="110"/>
  <c r="B25" i="106"/>
  <c r="B25" i="126"/>
  <c r="B25" i="107"/>
  <c r="P25" i="126"/>
  <c r="B25" i="108"/>
  <c r="AD25" i="126"/>
  <c r="B25" i="109"/>
  <c r="B25" i="110"/>
  <c r="B25" i="111"/>
  <c r="B60" i="106"/>
  <c r="B60" i="107"/>
  <c r="S60" i="107"/>
  <c r="B60" i="108"/>
  <c r="B60" i="109"/>
  <c r="B60" i="110"/>
  <c r="S60" i="110"/>
  <c r="B60" i="111"/>
  <c r="C25" i="106"/>
  <c r="C25" i="107"/>
  <c r="Q25" i="126"/>
  <c r="C25" i="108"/>
  <c r="AE25" i="126"/>
  <c r="C25" i="109"/>
  <c r="C25" i="110"/>
  <c r="C25" i="111"/>
  <c r="C60" i="106"/>
  <c r="C60" i="107"/>
  <c r="C60" i="108"/>
  <c r="C60" i="109"/>
  <c r="C60" i="110"/>
  <c r="T60" i="110"/>
  <c r="C60" i="111"/>
  <c r="D25" i="106"/>
  <c r="D25" i="107"/>
  <c r="R25" i="126"/>
  <c r="D25" i="108"/>
  <c r="AF25" i="126"/>
  <c r="D25" i="109"/>
  <c r="D25" i="110"/>
  <c r="D25" i="111"/>
  <c r="D60" i="106"/>
  <c r="D60" i="107"/>
  <c r="D60" i="108"/>
  <c r="D60" i="109"/>
  <c r="D60" i="110"/>
  <c r="U60" i="110"/>
  <c r="D60" i="111"/>
  <c r="E25" i="106"/>
  <c r="E25" i="107"/>
  <c r="S25" i="126"/>
  <c r="E25" i="108"/>
  <c r="AG25" i="126"/>
  <c r="E25" i="109"/>
  <c r="E25" i="110"/>
  <c r="E25" i="111"/>
  <c r="E60" i="106"/>
  <c r="E60" i="107"/>
  <c r="E60" i="108"/>
  <c r="E60" i="109"/>
  <c r="E60" i="110"/>
  <c r="V60" i="110"/>
  <c r="E60" i="111"/>
  <c r="F25" i="106"/>
  <c r="F25" i="107"/>
  <c r="F25" i="108"/>
  <c r="F25" i="109"/>
  <c r="F25" i="110"/>
  <c r="F25" i="111"/>
  <c r="F60" i="106"/>
  <c r="F60" i="107"/>
  <c r="F60" i="108"/>
  <c r="F60" i="109"/>
  <c r="F60" i="110"/>
  <c r="F60" i="111"/>
  <c r="G25" i="106"/>
  <c r="G25" i="107"/>
  <c r="G25" i="108"/>
  <c r="G25" i="109"/>
  <c r="G25" i="110"/>
  <c r="G25" i="111"/>
  <c r="G60" i="106"/>
  <c r="G60" i="107"/>
  <c r="G60" i="108"/>
  <c r="G60" i="109"/>
  <c r="G60" i="110"/>
  <c r="G60" i="111"/>
  <c r="H25" i="106"/>
  <c r="H25" i="107"/>
  <c r="H25" i="108"/>
  <c r="H25" i="109"/>
  <c r="H25" i="110"/>
  <c r="H25" i="111"/>
  <c r="H60" i="106"/>
  <c r="H60" i="107"/>
  <c r="H60" i="108"/>
  <c r="H60" i="109"/>
  <c r="H60" i="110"/>
  <c r="H60" i="111"/>
  <c r="I25" i="106"/>
  <c r="I25" i="107"/>
  <c r="I25" i="108"/>
  <c r="I25" i="109"/>
  <c r="I25" i="110"/>
  <c r="I25" i="111"/>
  <c r="I60" i="106"/>
  <c r="I60" i="107"/>
  <c r="I60" i="108"/>
  <c r="I60" i="109"/>
  <c r="I60" i="110"/>
  <c r="I60" i="111"/>
  <c r="J25" i="106"/>
  <c r="J25" i="107"/>
  <c r="J25" i="108"/>
  <c r="J25" i="109"/>
  <c r="J25" i="110"/>
  <c r="J25" i="111"/>
  <c r="J60" i="106"/>
  <c r="J60" i="107"/>
  <c r="J60" i="108"/>
  <c r="J60" i="109"/>
  <c r="J60" i="110"/>
  <c r="J60" i="111"/>
  <c r="K25" i="106"/>
  <c r="K25" i="107"/>
  <c r="K25" i="108"/>
  <c r="K25" i="109"/>
  <c r="K25" i="110"/>
  <c r="K25" i="111"/>
  <c r="K60" i="106"/>
  <c r="K60" i="107"/>
  <c r="K60" i="108"/>
  <c r="K60" i="109"/>
  <c r="K60" i="110"/>
  <c r="K60" i="111"/>
  <c r="L25" i="106"/>
  <c r="L25" i="107"/>
  <c r="L25" i="108"/>
  <c r="L25" i="109"/>
  <c r="L25" i="110"/>
  <c r="L25" i="111"/>
  <c r="L60" i="106"/>
  <c r="L60" i="107"/>
  <c r="L60" i="108"/>
  <c r="L60" i="109"/>
  <c r="L60" i="110"/>
  <c r="L60" i="111"/>
  <c r="M25" i="106"/>
  <c r="M25" i="107"/>
  <c r="M25" i="108"/>
  <c r="M25" i="109"/>
  <c r="M25" i="110"/>
  <c r="M25" i="111"/>
  <c r="M60" i="106"/>
  <c r="M60" i="107"/>
  <c r="M60" i="108"/>
  <c r="M60" i="109"/>
  <c r="M60" i="110"/>
  <c r="M60" i="111"/>
  <c r="N25" i="106"/>
  <c r="N25" i="107"/>
  <c r="N25" i="108"/>
  <c r="N25" i="109"/>
  <c r="N25" i="110"/>
  <c r="N60" i="106"/>
  <c r="N60" i="107"/>
  <c r="N60" i="108"/>
  <c r="N60" i="109"/>
  <c r="N60" i="110"/>
  <c r="O25" i="106"/>
  <c r="O25" i="107"/>
  <c r="O25" i="108"/>
  <c r="O25" i="109"/>
  <c r="O60" i="106"/>
  <c r="O60" i="107"/>
  <c r="O60" i="108"/>
  <c r="O60" i="109"/>
  <c r="P25" i="106"/>
  <c r="P25" i="107"/>
  <c r="P25" i="108"/>
  <c r="P25" i="109"/>
  <c r="P25" i="110"/>
  <c r="P60" i="107"/>
  <c r="P60" i="108"/>
  <c r="P60" i="109"/>
  <c r="P60" i="110"/>
  <c r="Q25" i="106"/>
  <c r="Q25" i="107"/>
  <c r="Q25" i="108"/>
  <c r="Q25" i="109"/>
  <c r="Q25" i="110"/>
  <c r="Q60" i="106"/>
  <c r="Q60" i="107"/>
  <c r="Q60" i="108"/>
  <c r="Q60" i="109"/>
  <c r="Q60" i="110"/>
  <c r="B26" i="106"/>
  <c r="B23" i="126"/>
  <c r="B26" i="107"/>
  <c r="P23" i="126"/>
  <c r="B26" i="108"/>
  <c r="AD23" i="126"/>
  <c r="B26" i="109"/>
  <c r="U25" i="121"/>
  <c r="B26" i="110"/>
  <c r="B26" i="111"/>
  <c r="S26" i="111"/>
  <c r="B61" i="106"/>
  <c r="S61" i="106"/>
  <c r="B61" i="107"/>
  <c r="B61" i="108"/>
  <c r="B61" i="109"/>
  <c r="B61" i="110"/>
  <c r="B61" i="111"/>
  <c r="C26" i="106"/>
  <c r="C23" i="126"/>
  <c r="C26" i="107"/>
  <c r="Q23" i="126"/>
  <c r="C26" i="108"/>
  <c r="AE23" i="126"/>
  <c r="C26" i="109"/>
  <c r="C26" i="110"/>
  <c r="C26" i="111"/>
  <c r="T26" i="111"/>
  <c r="C61" i="106"/>
  <c r="T61" i="106"/>
  <c r="C61" i="107"/>
  <c r="C61" i="108"/>
  <c r="C61" i="109"/>
  <c r="C61" i="110"/>
  <c r="C61" i="111"/>
  <c r="D26" i="106"/>
  <c r="D23" i="126"/>
  <c r="D26" i="107"/>
  <c r="R23" i="126"/>
  <c r="D26" i="108"/>
  <c r="AF23" i="126"/>
  <c r="D26" i="109"/>
  <c r="U26" i="109"/>
  <c r="AI94" i="73"/>
  <c r="D26" i="110"/>
  <c r="D26" i="111"/>
  <c r="V25" i="122"/>
  <c r="D61" i="106"/>
  <c r="U61" i="106"/>
  <c r="D61" i="107"/>
  <c r="D61" i="108"/>
  <c r="D61" i="109"/>
  <c r="D61" i="110"/>
  <c r="D61" i="111"/>
  <c r="E26" i="106"/>
  <c r="E23" i="126"/>
  <c r="E26" i="107"/>
  <c r="S23" i="126"/>
  <c r="E26" i="108"/>
  <c r="AG23" i="126"/>
  <c r="E26" i="109"/>
  <c r="E26" i="110"/>
  <c r="E26" i="111"/>
  <c r="V26" i="111"/>
  <c r="E61" i="106"/>
  <c r="V61" i="106"/>
  <c r="E61" i="107"/>
  <c r="E61" i="108"/>
  <c r="E61" i="109"/>
  <c r="E61" i="110"/>
  <c r="E61" i="111"/>
  <c r="F26" i="106"/>
  <c r="F26" i="107"/>
  <c r="F26" i="108"/>
  <c r="F26" i="109"/>
  <c r="F26" i="110"/>
  <c r="F26" i="111"/>
  <c r="W26" i="111"/>
  <c r="F61" i="106"/>
  <c r="F61" i="107"/>
  <c r="F61" i="108"/>
  <c r="F61" i="109"/>
  <c r="F61" i="110"/>
  <c r="F61" i="111"/>
  <c r="G26" i="106"/>
  <c r="G26" i="107"/>
  <c r="G26" i="108"/>
  <c r="G26" i="109"/>
  <c r="G26" i="110"/>
  <c r="G26" i="111"/>
  <c r="G61" i="106"/>
  <c r="G61" i="107"/>
  <c r="G61" i="108"/>
  <c r="G61" i="109"/>
  <c r="G61" i="110"/>
  <c r="G61" i="111"/>
  <c r="H26" i="106"/>
  <c r="H26" i="107"/>
  <c r="H26" i="108"/>
  <c r="H26" i="109"/>
  <c r="H26" i="110"/>
  <c r="H26" i="111"/>
  <c r="H61" i="106"/>
  <c r="H61" i="107"/>
  <c r="H61" i="108"/>
  <c r="H61" i="109"/>
  <c r="H61" i="110"/>
  <c r="H61" i="111"/>
  <c r="I26" i="106"/>
  <c r="I26" i="107"/>
  <c r="I26" i="108"/>
  <c r="I26" i="109"/>
  <c r="I26" i="110"/>
  <c r="I26" i="111"/>
  <c r="I61" i="106"/>
  <c r="I61" i="107"/>
  <c r="I61" i="108"/>
  <c r="I61" i="109"/>
  <c r="I61" i="110"/>
  <c r="I61" i="111"/>
  <c r="J26" i="106"/>
  <c r="J26" i="107"/>
  <c r="J26" i="108"/>
  <c r="J26" i="109"/>
  <c r="J26" i="110"/>
  <c r="J26" i="111"/>
  <c r="J61" i="106"/>
  <c r="J61" i="107"/>
  <c r="J61" i="108"/>
  <c r="J61" i="109"/>
  <c r="J61" i="110"/>
  <c r="J61" i="111"/>
  <c r="K26" i="106"/>
  <c r="K26" i="107"/>
  <c r="K26" i="108"/>
  <c r="K26" i="109"/>
  <c r="K26" i="110"/>
  <c r="K26" i="111"/>
  <c r="K61" i="106"/>
  <c r="K61" i="107"/>
  <c r="K61" i="108"/>
  <c r="K61" i="109"/>
  <c r="K61" i="110"/>
  <c r="K61" i="111"/>
  <c r="L26" i="106"/>
  <c r="L26" i="107"/>
  <c r="L26" i="108"/>
  <c r="L26" i="109"/>
  <c r="L26" i="110"/>
  <c r="L26" i="111"/>
  <c r="L61" i="106"/>
  <c r="L61" i="107"/>
  <c r="L61" i="108"/>
  <c r="L61" i="109"/>
  <c r="L61" i="110"/>
  <c r="L61" i="111"/>
  <c r="M26" i="106"/>
  <c r="M26" i="107"/>
  <c r="M26" i="108"/>
  <c r="M26" i="109"/>
  <c r="M26" i="110"/>
  <c r="M26" i="111"/>
  <c r="M61" i="106"/>
  <c r="M61" i="107"/>
  <c r="M61" i="108"/>
  <c r="M61" i="109"/>
  <c r="M61" i="110"/>
  <c r="M61" i="111"/>
  <c r="N26" i="106"/>
  <c r="N26" i="107"/>
  <c r="N26" i="108"/>
  <c r="N26" i="109"/>
  <c r="N26" i="110"/>
  <c r="N61" i="106"/>
  <c r="N61" i="107"/>
  <c r="N61" i="108"/>
  <c r="N61" i="109"/>
  <c r="N61" i="110"/>
  <c r="O26" i="106"/>
  <c r="O26" i="107"/>
  <c r="O26" i="108"/>
  <c r="O26" i="110"/>
  <c r="O61" i="106"/>
  <c r="O61" i="107"/>
  <c r="O61" i="108"/>
  <c r="O61" i="109"/>
  <c r="O61" i="110"/>
  <c r="P26" i="106"/>
  <c r="P26" i="107"/>
  <c r="P26" i="109"/>
  <c r="P26" i="110"/>
  <c r="P61" i="107"/>
  <c r="P61" i="109"/>
  <c r="Q26" i="106"/>
  <c r="Q26" i="107"/>
  <c r="Q26" i="109"/>
  <c r="Q26" i="110"/>
  <c r="Q61" i="106"/>
  <c r="Q61" i="107"/>
  <c r="Q61" i="109"/>
  <c r="B27" i="106"/>
  <c r="B24" i="126"/>
  <c r="B27" i="107"/>
  <c r="P24" i="126"/>
  <c r="B27" i="108"/>
  <c r="AD24" i="126"/>
  <c r="B27" i="109"/>
  <c r="S27" i="109"/>
  <c r="AI27" i="73"/>
  <c r="B27" i="110"/>
  <c r="B27" i="111"/>
  <c r="B62" i="106"/>
  <c r="B62" i="107"/>
  <c r="B62" i="108"/>
  <c r="B62" i="109"/>
  <c r="B62" i="110"/>
  <c r="S62" i="110"/>
  <c r="B62" i="111"/>
  <c r="C27" i="106"/>
  <c r="C27" i="107"/>
  <c r="Q24" i="126"/>
  <c r="C27" i="108"/>
  <c r="AE24" i="126"/>
  <c r="C27" i="109"/>
  <c r="C27" i="110"/>
  <c r="C27" i="111"/>
  <c r="T27" i="111"/>
  <c r="C62" i="106"/>
  <c r="C62" i="107"/>
  <c r="C62" i="108"/>
  <c r="C62" i="109"/>
  <c r="C62" i="110"/>
  <c r="T62" i="110"/>
  <c r="C62" i="111"/>
  <c r="D27" i="106"/>
  <c r="D24" i="126"/>
  <c r="D27" i="107"/>
  <c r="R24" i="126"/>
  <c r="D27" i="108"/>
  <c r="AF24" i="126"/>
  <c r="D27" i="109"/>
  <c r="R26" i="122"/>
  <c r="D27" i="110"/>
  <c r="D27" i="111"/>
  <c r="V26" i="122"/>
  <c r="D62" i="106"/>
  <c r="D62" i="107"/>
  <c r="D62" i="108"/>
  <c r="D62" i="109"/>
  <c r="D62" i="110"/>
  <c r="U62" i="110"/>
  <c r="D62" i="111"/>
  <c r="E27" i="106"/>
  <c r="E24" i="126"/>
  <c r="E27" i="107"/>
  <c r="S24" i="126"/>
  <c r="E27" i="108"/>
  <c r="AG24" i="126"/>
  <c r="E27" i="109"/>
  <c r="E27" i="110"/>
  <c r="E27" i="111"/>
  <c r="V27" i="111"/>
  <c r="E62" i="106"/>
  <c r="E62" i="107"/>
  <c r="E62" i="108"/>
  <c r="E62" i="109"/>
  <c r="E62" i="110"/>
  <c r="E62" i="111"/>
  <c r="F27" i="106"/>
  <c r="F27" i="107"/>
  <c r="F27" i="108"/>
  <c r="F27" i="109"/>
  <c r="F27" i="110"/>
  <c r="F27" i="111"/>
  <c r="W27" i="111"/>
  <c r="F62" i="106"/>
  <c r="F62" i="107"/>
  <c r="F62" i="108"/>
  <c r="F62" i="109"/>
  <c r="F62" i="110"/>
  <c r="F62" i="111"/>
  <c r="G27" i="106"/>
  <c r="G27" i="107"/>
  <c r="G27" i="108"/>
  <c r="G27" i="109"/>
  <c r="G27" i="110"/>
  <c r="G27" i="111"/>
  <c r="G62" i="106"/>
  <c r="G62" i="107"/>
  <c r="G62" i="108"/>
  <c r="G62" i="109"/>
  <c r="G62" i="110"/>
  <c r="G62" i="111"/>
  <c r="H27" i="106"/>
  <c r="H27" i="107"/>
  <c r="H27" i="108"/>
  <c r="H27" i="109"/>
  <c r="H27" i="110"/>
  <c r="H27" i="111"/>
  <c r="H62" i="106"/>
  <c r="H62" i="107"/>
  <c r="H62" i="108"/>
  <c r="H62" i="109"/>
  <c r="H62" i="110"/>
  <c r="H62" i="111"/>
  <c r="I27" i="106"/>
  <c r="I27" i="107"/>
  <c r="I27" i="108"/>
  <c r="I27" i="109"/>
  <c r="I27" i="110"/>
  <c r="I27" i="111"/>
  <c r="I62" i="106"/>
  <c r="I62" i="107"/>
  <c r="I62" i="108"/>
  <c r="I62" i="109"/>
  <c r="I62" i="110"/>
  <c r="I62" i="111"/>
  <c r="J27" i="106"/>
  <c r="J27" i="107"/>
  <c r="J27" i="108"/>
  <c r="J27" i="109"/>
  <c r="J27" i="110"/>
  <c r="J27" i="111"/>
  <c r="J62" i="106"/>
  <c r="J62" i="107"/>
  <c r="J62" i="108"/>
  <c r="J62" i="109"/>
  <c r="J62" i="110"/>
  <c r="J62" i="111"/>
  <c r="K27" i="106"/>
  <c r="K27" i="107"/>
  <c r="K27" i="108"/>
  <c r="K27" i="109"/>
  <c r="K27" i="110"/>
  <c r="K27" i="111"/>
  <c r="K62" i="106"/>
  <c r="K62" i="107"/>
  <c r="K62" i="108"/>
  <c r="K62" i="109"/>
  <c r="K62" i="110"/>
  <c r="K62" i="111"/>
  <c r="L27" i="106"/>
  <c r="L27" i="107"/>
  <c r="L27" i="108"/>
  <c r="L27" i="109"/>
  <c r="L27" i="110"/>
  <c r="L27" i="111"/>
  <c r="L62" i="106"/>
  <c r="L62" i="107"/>
  <c r="L62" i="108"/>
  <c r="L62" i="109"/>
  <c r="L62" i="110"/>
  <c r="L62" i="111"/>
  <c r="M27" i="106"/>
  <c r="M27" i="107"/>
  <c r="M27" i="108"/>
  <c r="M27" i="109"/>
  <c r="M27" i="110"/>
  <c r="M27" i="111"/>
  <c r="M62" i="106"/>
  <c r="M62" i="107"/>
  <c r="M62" i="108"/>
  <c r="M62" i="109"/>
  <c r="M62" i="110"/>
  <c r="M62" i="111"/>
  <c r="N27" i="106"/>
  <c r="N27" i="107"/>
  <c r="N27" i="108"/>
  <c r="N27" i="109"/>
  <c r="N27" i="110"/>
  <c r="N62" i="106"/>
  <c r="N62" i="107"/>
  <c r="N62" i="108"/>
  <c r="N62" i="109"/>
  <c r="N62" i="110"/>
  <c r="O27" i="106"/>
  <c r="O27" i="107"/>
  <c r="O27" i="109"/>
  <c r="O27" i="110"/>
  <c r="O62" i="106"/>
  <c r="O62" i="107"/>
  <c r="O62" i="109"/>
  <c r="O62" i="110"/>
  <c r="P27" i="106"/>
  <c r="P27" i="107"/>
  <c r="P27" i="108"/>
  <c r="P27" i="109"/>
  <c r="P27" i="110"/>
  <c r="P62" i="107"/>
  <c r="P62" i="108"/>
  <c r="P62" i="109"/>
  <c r="P62" i="110"/>
  <c r="Q27" i="106"/>
  <c r="Q27" i="107"/>
  <c r="Q27" i="108"/>
  <c r="Q27" i="109"/>
  <c r="Q27" i="110"/>
  <c r="Q62" i="106"/>
  <c r="Q62" i="107"/>
  <c r="Q62" i="108"/>
  <c r="Q62" i="109"/>
  <c r="Q62" i="110"/>
  <c r="B28" i="106"/>
  <c r="B26" i="126"/>
  <c r="B28" i="107"/>
  <c r="B28" i="108"/>
  <c r="AD26" i="126"/>
  <c r="B28" i="109"/>
  <c r="B28" i="110"/>
  <c r="S28" i="110"/>
  <c r="AJ28" i="73"/>
  <c r="B28" i="111"/>
  <c r="B63" i="106"/>
  <c r="S63" i="106"/>
  <c r="B63" i="107"/>
  <c r="B63" i="108"/>
  <c r="B63" i="109"/>
  <c r="B63" i="110"/>
  <c r="B63" i="111"/>
  <c r="C28" i="106"/>
  <c r="C26" i="126"/>
  <c r="C28" i="107"/>
  <c r="Q26" i="126"/>
  <c r="C28" i="108"/>
  <c r="AE26" i="126"/>
  <c r="C28" i="109"/>
  <c r="C28" i="110"/>
  <c r="L27" i="65"/>
  <c r="C28" i="111"/>
  <c r="C63" i="106"/>
  <c r="T63" i="106"/>
  <c r="C63" i="107"/>
  <c r="C63" i="108"/>
  <c r="C63" i="109"/>
  <c r="C63" i="110"/>
  <c r="C63" i="111"/>
  <c r="D28" i="106"/>
  <c r="D28" i="107"/>
  <c r="D28" i="108"/>
  <c r="AF26" i="126"/>
  <c r="D28" i="109"/>
  <c r="D28" i="110"/>
  <c r="U28" i="110"/>
  <c r="AJ96" i="73"/>
  <c r="F429" i="73" s="1"/>
  <c r="D28" i="111"/>
  <c r="D63" i="106"/>
  <c r="U63" i="106"/>
  <c r="D63" i="107"/>
  <c r="D63" i="108"/>
  <c r="D63" i="109"/>
  <c r="D63" i="110"/>
  <c r="D63" i="111"/>
  <c r="E28" i="106"/>
  <c r="E26" i="126"/>
  <c r="E28" i="107"/>
  <c r="S26" i="126"/>
  <c r="E28" i="108"/>
  <c r="AG26" i="126"/>
  <c r="E28" i="109"/>
  <c r="E28" i="110"/>
  <c r="M27" i="65"/>
  <c r="E28" i="111"/>
  <c r="E63" i="106"/>
  <c r="E63" i="107"/>
  <c r="E63" i="108"/>
  <c r="E63" i="109"/>
  <c r="E63" i="110"/>
  <c r="E63" i="111"/>
  <c r="F28" i="106"/>
  <c r="F28" i="107"/>
  <c r="F28" i="108"/>
  <c r="F28" i="109"/>
  <c r="F28" i="110"/>
  <c r="F28" i="111"/>
  <c r="F63" i="106"/>
  <c r="F63" i="107"/>
  <c r="F63" i="108"/>
  <c r="F63" i="109"/>
  <c r="F63" i="110"/>
  <c r="F63" i="111"/>
  <c r="G28" i="106"/>
  <c r="G28" i="107"/>
  <c r="G28" i="108"/>
  <c r="G28" i="109"/>
  <c r="G28" i="110"/>
  <c r="G28" i="111"/>
  <c r="G63" i="106"/>
  <c r="G63" i="107"/>
  <c r="G63" i="108"/>
  <c r="G63" i="109"/>
  <c r="G63" i="110"/>
  <c r="G63" i="111"/>
  <c r="H28" i="106"/>
  <c r="H28" i="107"/>
  <c r="H28" i="108"/>
  <c r="H28" i="109"/>
  <c r="H28" i="110"/>
  <c r="H28" i="111"/>
  <c r="H63" i="106"/>
  <c r="H63" i="107"/>
  <c r="H63" i="108"/>
  <c r="H63" i="109"/>
  <c r="H63" i="110"/>
  <c r="H63" i="111"/>
  <c r="I28" i="106"/>
  <c r="I28" i="107"/>
  <c r="I28" i="108"/>
  <c r="I28" i="109"/>
  <c r="I28" i="110"/>
  <c r="I28" i="111"/>
  <c r="I63" i="106"/>
  <c r="I63" i="107"/>
  <c r="I63" i="108"/>
  <c r="I63" i="109"/>
  <c r="I63" i="110"/>
  <c r="I63" i="111"/>
  <c r="J28" i="106"/>
  <c r="J28" i="107"/>
  <c r="J28" i="108"/>
  <c r="J28" i="109"/>
  <c r="J28" i="110"/>
  <c r="J28" i="111"/>
  <c r="J63" i="106"/>
  <c r="J63" i="107"/>
  <c r="J63" i="108"/>
  <c r="J63" i="109"/>
  <c r="J63" i="110"/>
  <c r="J63" i="111"/>
  <c r="K28" i="106"/>
  <c r="K28" i="107"/>
  <c r="K28" i="108"/>
  <c r="K28" i="109"/>
  <c r="K28" i="110"/>
  <c r="K28" i="111"/>
  <c r="K63" i="106"/>
  <c r="K63" i="107"/>
  <c r="K63" i="108"/>
  <c r="K63" i="109"/>
  <c r="K63" i="110"/>
  <c r="K63" i="111"/>
  <c r="L28" i="106"/>
  <c r="L28" i="107"/>
  <c r="L28" i="108"/>
  <c r="L28" i="109"/>
  <c r="L28" i="110"/>
  <c r="L28" i="111"/>
  <c r="L63" i="106"/>
  <c r="L63" i="107"/>
  <c r="L63" i="108"/>
  <c r="L63" i="109"/>
  <c r="L63" i="110"/>
  <c r="L63" i="111"/>
  <c r="M28" i="106"/>
  <c r="M28" i="107"/>
  <c r="M28" i="108"/>
  <c r="M28" i="109"/>
  <c r="M28" i="110"/>
  <c r="M28" i="111"/>
  <c r="M63" i="106"/>
  <c r="M63" i="107"/>
  <c r="M63" i="108"/>
  <c r="M63" i="109"/>
  <c r="M63" i="110"/>
  <c r="M63" i="111"/>
  <c r="N28" i="106"/>
  <c r="N28" i="107"/>
  <c r="N28" i="108"/>
  <c r="N28" i="109"/>
  <c r="N28" i="110"/>
  <c r="N63" i="106"/>
  <c r="N63" i="107"/>
  <c r="N63" i="108"/>
  <c r="N63" i="109"/>
  <c r="N63" i="110"/>
  <c r="O28" i="106"/>
  <c r="O28" i="108"/>
  <c r="O28" i="109"/>
  <c r="O28" i="110"/>
  <c r="O63" i="106"/>
  <c r="O63" i="108"/>
  <c r="O63" i="109"/>
  <c r="O63" i="110"/>
  <c r="P28" i="106"/>
  <c r="P28" i="107"/>
  <c r="P28" i="108"/>
  <c r="P28" i="109"/>
  <c r="P28" i="110"/>
  <c r="P63" i="107"/>
  <c r="P63" i="108"/>
  <c r="P63" i="109"/>
  <c r="P63" i="110"/>
  <c r="Q28" i="106"/>
  <c r="Q28" i="107"/>
  <c r="Q28" i="108"/>
  <c r="Q28" i="109"/>
  <c r="Q28" i="110"/>
  <c r="Q63" i="106"/>
  <c r="Q63" i="107"/>
  <c r="Q63" i="108"/>
  <c r="Q63" i="109"/>
  <c r="Q63" i="110"/>
  <c r="B29" i="106"/>
  <c r="B28" i="126"/>
  <c r="B29" i="107"/>
  <c r="P28" i="126"/>
  <c r="B29" i="108"/>
  <c r="AD28" i="126"/>
  <c r="B29" i="109"/>
  <c r="B29" i="110"/>
  <c r="S29" i="110"/>
  <c r="AJ29" i="73"/>
  <c r="B29" i="111"/>
  <c r="B64" i="106"/>
  <c r="B64" i="107"/>
  <c r="B64" i="108"/>
  <c r="B64" i="109"/>
  <c r="S64" i="109"/>
  <c r="B64" i="110"/>
  <c r="B64" i="111"/>
  <c r="S64" i="111"/>
  <c r="C29" i="106"/>
  <c r="C28" i="126"/>
  <c r="C29" i="107"/>
  <c r="Q28" i="126"/>
  <c r="C29" i="108"/>
  <c r="AE28" i="126"/>
  <c r="C29" i="109"/>
  <c r="C29" i="110"/>
  <c r="X30" i="121"/>
  <c r="C29" i="111"/>
  <c r="C64" i="106"/>
  <c r="C64" i="107"/>
  <c r="C64" i="108"/>
  <c r="C64" i="109"/>
  <c r="C64" i="110"/>
  <c r="C64" i="111"/>
  <c r="T64" i="111"/>
  <c r="D29" i="106"/>
  <c r="D28" i="126"/>
  <c r="D29" i="107"/>
  <c r="R28" i="126"/>
  <c r="D29" i="108"/>
  <c r="AF28" i="126"/>
  <c r="D29" i="109"/>
  <c r="D29" i="110"/>
  <c r="U29" i="110"/>
  <c r="AJ97" i="73"/>
  <c r="D29" i="111"/>
  <c r="D64" i="106"/>
  <c r="D64" i="107"/>
  <c r="D64" i="108"/>
  <c r="D64" i="109"/>
  <c r="U64" i="109"/>
  <c r="D64" i="110"/>
  <c r="D64" i="111"/>
  <c r="U64" i="111"/>
  <c r="E29" i="106"/>
  <c r="E28" i="126"/>
  <c r="E29" i="107"/>
  <c r="S28" i="126"/>
  <c r="E29" i="108"/>
  <c r="AG28" i="126"/>
  <c r="E29" i="109"/>
  <c r="E29" i="110"/>
  <c r="M28" i="65"/>
  <c r="E29" i="111"/>
  <c r="E64" i="106"/>
  <c r="E64" i="107"/>
  <c r="E64" i="108"/>
  <c r="E64" i="109"/>
  <c r="E64" i="110"/>
  <c r="E64" i="111"/>
  <c r="F29" i="106"/>
  <c r="F29" i="107"/>
  <c r="F29" i="108"/>
  <c r="F29" i="109"/>
  <c r="F29" i="110"/>
  <c r="F29" i="111"/>
  <c r="F64" i="106"/>
  <c r="F64" i="107"/>
  <c r="F64" i="108"/>
  <c r="F64" i="109"/>
  <c r="F64" i="110"/>
  <c r="F64" i="111"/>
  <c r="G29" i="106"/>
  <c r="G29" i="107"/>
  <c r="G29" i="108"/>
  <c r="G29" i="109"/>
  <c r="G29" i="110"/>
  <c r="G29" i="111"/>
  <c r="G64" i="106"/>
  <c r="G64" i="107"/>
  <c r="G64" i="108"/>
  <c r="G64" i="109"/>
  <c r="G64" i="110"/>
  <c r="G64" i="111"/>
  <c r="H29" i="106"/>
  <c r="H29" i="107"/>
  <c r="H29" i="108"/>
  <c r="H29" i="109"/>
  <c r="H29" i="110"/>
  <c r="H29" i="111"/>
  <c r="H64" i="106"/>
  <c r="H64" i="107"/>
  <c r="H64" i="108"/>
  <c r="H64" i="109"/>
  <c r="H64" i="110"/>
  <c r="H64" i="111"/>
  <c r="I29" i="106"/>
  <c r="I29" i="107"/>
  <c r="I29" i="108"/>
  <c r="I29" i="109"/>
  <c r="I29" i="110"/>
  <c r="I29" i="111"/>
  <c r="I64" i="106"/>
  <c r="I64" i="107"/>
  <c r="I64" i="108"/>
  <c r="I64" i="109"/>
  <c r="I64" i="110"/>
  <c r="I64" i="111"/>
  <c r="J29" i="106"/>
  <c r="J29" i="107"/>
  <c r="J29" i="108"/>
  <c r="J29" i="109"/>
  <c r="J29" i="110"/>
  <c r="J29" i="111"/>
  <c r="J64" i="106"/>
  <c r="J64" i="107"/>
  <c r="J64" i="108"/>
  <c r="J64" i="109"/>
  <c r="J64" i="110"/>
  <c r="J64" i="111"/>
  <c r="K29" i="106"/>
  <c r="K29" i="107"/>
  <c r="K29" i="108"/>
  <c r="K29" i="109"/>
  <c r="K29" i="110"/>
  <c r="K29" i="111"/>
  <c r="K64" i="106"/>
  <c r="K64" i="107"/>
  <c r="K64" i="108"/>
  <c r="K64" i="109"/>
  <c r="K64" i="110"/>
  <c r="K64" i="111"/>
  <c r="L29" i="106"/>
  <c r="L29" i="107"/>
  <c r="L29" i="108"/>
  <c r="L29" i="109"/>
  <c r="L29" i="110"/>
  <c r="L29" i="111"/>
  <c r="L64" i="106"/>
  <c r="L64" i="107"/>
  <c r="L64" i="108"/>
  <c r="L64" i="109"/>
  <c r="L64" i="110"/>
  <c r="L64" i="111"/>
  <c r="M29" i="106"/>
  <c r="M29" i="107"/>
  <c r="M29" i="108"/>
  <c r="M29" i="109"/>
  <c r="M29" i="110"/>
  <c r="M29" i="111"/>
  <c r="M64" i="106"/>
  <c r="M64" i="107"/>
  <c r="M64" i="108"/>
  <c r="M64" i="109"/>
  <c r="M64" i="110"/>
  <c r="M64" i="111"/>
  <c r="N29" i="106"/>
  <c r="N29" i="107"/>
  <c r="N29" i="108"/>
  <c r="N29" i="109"/>
  <c r="N29" i="110"/>
  <c r="N64" i="106"/>
  <c r="N64" i="107"/>
  <c r="N64" i="108"/>
  <c r="N64" i="109"/>
  <c r="N64" i="110"/>
  <c r="O29" i="106"/>
  <c r="R29" i="106"/>
  <c r="O29" i="107"/>
  <c r="O29" i="108"/>
  <c r="O29" i="109"/>
  <c r="O64" i="106"/>
  <c r="O64" i="107"/>
  <c r="O64" i="108"/>
  <c r="O64" i="109"/>
  <c r="O64" i="110"/>
  <c r="R64" i="110"/>
  <c r="P29" i="107"/>
  <c r="P29" i="108"/>
  <c r="P29" i="109"/>
  <c r="P29" i="110"/>
  <c r="P62" i="119"/>
  <c r="Q29" i="107"/>
  <c r="Q29" i="108"/>
  <c r="Q29" i="109"/>
  <c r="Q29" i="110"/>
  <c r="Q62" i="119"/>
  <c r="B30" i="106"/>
  <c r="B27" i="126"/>
  <c r="B30" i="107"/>
  <c r="P27" i="126"/>
  <c r="B30" i="108"/>
  <c r="AD27" i="126"/>
  <c r="B30" i="109"/>
  <c r="S30" i="109"/>
  <c r="AI30" i="73"/>
  <c r="B30" i="110"/>
  <c r="B30" i="111"/>
  <c r="B65" i="106"/>
  <c r="B65" i="107"/>
  <c r="B65" i="108"/>
  <c r="B65" i="109"/>
  <c r="B65" i="110"/>
  <c r="B65" i="111"/>
  <c r="C30" i="106"/>
  <c r="C27" i="126"/>
  <c r="C30" i="107"/>
  <c r="Q27" i="126"/>
  <c r="C30" i="108"/>
  <c r="AE27" i="126"/>
  <c r="C30" i="109"/>
  <c r="C30" i="110"/>
  <c r="C30" i="111"/>
  <c r="C65" i="106"/>
  <c r="T65" i="106"/>
  <c r="C65" i="107"/>
  <c r="C65" i="108"/>
  <c r="C65" i="109"/>
  <c r="C65" i="110"/>
  <c r="T65" i="110"/>
  <c r="C65" i="111"/>
  <c r="D30" i="106"/>
  <c r="D27" i="126"/>
  <c r="D30" i="107"/>
  <c r="R27" i="126"/>
  <c r="D30" i="108"/>
  <c r="AF27" i="126"/>
  <c r="D30" i="109"/>
  <c r="U30" i="109"/>
  <c r="AI98" i="73"/>
  <c r="D30" i="110"/>
  <c r="D30" i="111"/>
  <c r="D65" i="106"/>
  <c r="D65" i="107"/>
  <c r="D65" i="108"/>
  <c r="D65" i="109"/>
  <c r="D65" i="110"/>
  <c r="U65" i="110"/>
  <c r="D65" i="111"/>
  <c r="E30" i="106"/>
  <c r="E27" i="126"/>
  <c r="E30" i="107"/>
  <c r="S27" i="126"/>
  <c r="E30" i="108"/>
  <c r="AG27" i="126"/>
  <c r="E30" i="109"/>
  <c r="E30" i="110"/>
  <c r="E30" i="111"/>
  <c r="E65" i="106"/>
  <c r="V65" i="106"/>
  <c r="E65" i="107"/>
  <c r="E65" i="108"/>
  <c r="E65" i="109"/>
  <c r="E65" i="110"/>
  <c r="V65" i="110"/>
  <c r="E65" i="111"/>
  <c r="F30" i="106"/>
  <c r="F30" i="107"/>
  <c r="F30" i="108"/>
  <c r="F30" i="109"/>
  <c r="F30" i="110"/>
  <c r="F30" i="111"/>
  <c r="F65" i="106"/>
  <c r="F65" i="107"/>
  <c r="F65" i="108"/>
  <c r="F65" i="109"/>
  <c r="F65" i="110"/>
  <c r="F65" i="111"/>
  <c r="G30" i="106"/>
  <c r="G30" i="107"/>
  <c r="G30" i="108"/>
  <c r="G30" i="109"/>
  <c r="G30" i="110"/>
  <c r="G30" i="111"/>
  <c r="G65" i="106"/>
  <c r="G65" i="107"/>
  <c r="G65" i="108"/>
  <c r="G65" i="109"/>
  <c r="G65" i="110"/>
  <c r="G65" i="111"/>
  <c r="H30" i="106"/>
  <c r="H30" i="107"/>
  <c r="H30" i="108"/>
  <c r="H30" i="109"/>
  <c r="H30" i="110"/>
  <c r="H30" i="111"/>
  <c r="H65" i="106"/>
  <c r="H65" i="107"/>
  <c r="H65" i="108"/>
  <c r="H65" i="109"/>
  <c r="H65" i="110"/>
  <c r="H65" i="111"/>
  <c r="I30" i="106"/>
  <c r="I30" i="107"/>
  <c r="I30" i="108"/>
  <c r="I30" i="109"/>
  <c r="I30" i="110"/>
  <c r="I30" i="111"/>
  <c r="I65" i="106"/>
  <c r="I65" i="107"/>
  <c r="I65" i="108"/>
  <c r="I65" i="109"/>
  <c r="I65" i="110"/>
  <c r="I65" i="111"/>
  <c r="J30" i="106"/>
  <c r="J30" i="107"/>
  <c r="J30" i="108"/>
  <c r="J30" i="109"/>
  <c r="J30" i="110"/>
  <c r="J30" i="111"/>
  <c r="J65" i="106"/>
  <c r="J65" i="107"/>
  <c r="J65" i="108"/>
  <c r="J65" i="109"/>
  <c r="J65" i="110"/>
  <c r="J65" i="111"/>
  <c r="K30" i="106"/>
  <c r="K30" i="107"/>
  <c r="K30" i="108"/>
  <c r="K30" i="109"/>
  <c r="K30" i="110"/>
  <c r="K30" i="111"/>
  <c r="K65" i="106"/>
  <c r="K65" i="107"/>
  <c r="K65" i="108"/>
  <c r="K65" i="109"/>
  <c r="K65" i="110"/>
  <c r="K65" i="111"/>
  <c r="L30" i="106"/>
  <c r="L30" i="107"/>
  <c r="L30" i="108"/>
  <c r="L30" i="109"/>
  <c r="L30" i="110"/>
  <c r="L30" i="111"/>
  <c r="L65" i="106"/>
  <c r="L65" i="107"/>
  <c r="L65" i="108"/>
  <c r="L65" i="109"/>
  <c r="L65" i="110"/>
  <c r="L65" i="111"/>
  <c r="M30" i="106"/>
  <c r="M30" i="107"/>
  <c r="M30" i="108"/>
  <c r="M30" i="109"/>
  <c r="M30" i="110"/>
  <c r="M30" i="111"/>
  <c r="M65" i="106"/>
  <c r="M65" i="107"/>
  <c r="M65" i="108"/>
  <c r="M65" i="109"/>
  <c r="M65" i="110"/>
  <c r="M65" i="111"/>
  <c r="N30" i="106"/>
  <c r="N30" i="107"/>
  <c r="N30" i="108"/>
  <c r="N30" i="109"/>
  <c r="N30" i="110"/>
  <c r="N65" i="106"/>
  <c r="N65" i="107"/>
  <c r="N65" i="108"/>
  <c r="N65" i="109"/>
  <c r="N65" i="110"/>
  <c r="O30" i="106"/>
  <c r="O30" i="107"/>
  <c r="O30" i="108"/>
  <c r="O30" i="109"/>
  <c r="O30" i="110"/>
  <c r="O65" i="106"/>
  <c r="O65" i="107"/>
  <c r="O65" i="108"/>
  <c r="O65" i="110"/>
  <c r="P30" i="106"/>
  <c r="P30" i="107"/>
  <c r="P30" i="108"/>
  <c r="P30" i="109"/>
  <c r="P30" i="110"/>
  <c r="P65" i="107"/>
  <c r="P65" i="108"/>
  <c r="P65" i="109"/>
  <c r="P65" i="110"/>
  <c r="Q30" i="106"/>
  <c r="Q30" i="107"/>
  <c r="Q30" i="108"/>
  <c r="Q30" i="109"/>
  <c r="Q30" i="110"/>
  <c r="Q65" i="106"/>
  <c r="Q65" i="107"/>
  <c r="Q65" i="108"/>
  <c r="Q65" i="109"/>
  <c r="Q65" i="110"/>
  <c r="B31" i="106"/>
  <c r="B31" i="107"/>
  <c r="P29" i="126"/>
  <c r="B31" i="108"/>
  <c r="AD29" i="126"/>
  <c r="B31" i="109"/>
  <c r="B31" i="110"/>
  <c r="S31" i="110"/>
  <c r="AJ31" i="73"/>
  <c r="B31" i="111"/>
  <c r="B66" i="106"/>
  <c r="B66" i="107"/>
  <c r="B66" i="108"/>
  <c r="B66" i="109"/>
  <c r="B66" i="110"/>
  <c r="B66" i="111"/>
  <c r="C31" i="106"/>
  <c r="C31" i="107"/>
  <c r="Q29" i="126"/>
  <c r="C31" i="108"/>
  <c r="AE29" i="126"/>
  <c r="C31" i="109"/>
  <c r="C31" i="110"/>
  <c r="T31" i="110"/>
  <c r="AJ65" i="73"/>
  <c r="C31" i="111"/>
  <c r="C66" i="106"/>
  <c r="C66" i="107"/>
  <c r="C66" i="108"/>
  <c r="C66" i="109"/>
  <c r="T66" i="109"/>
  <c r="C66" i="110"/>
  <c r="C66" i="111"/>
  <c r="D31" i="106"/>
  <c r="D31" i="107"/>
  <c r="R29" i="126"/>
  <c r="D31" i="108"/>
  <c r="AF29" i="126"/>
  <c r="D31" i="109"/>
  <c r="D31" i="110"/>
  <c r="U31" i="110"/>
  <c r="AJ99" i="73"/>
  <c r="F432" i="73" s="1"/>
  <c r="D31" i="111"/>
  <c r="D66" i="106"/>
  <c r="U66" i="106"/>
  <c r="D66" i="107"/>
  <c r="D66" i="108"/>
  <c r="D66" i="109"/>
  <c r="D66" i="110"/>
  <c r="D66" i="111"/>
  <c r="E31" i="106"/>
  <c r="E31" i="107"/>
  <c r="S29" i="126"/>
  <c r="E31" i="108"/>
  <c r="AG29" i="126"/>
  <c r="E31" i="109"/>
  <c r="E31" i="110"/>
  <c r="V31" i="110"/>
  <c r="AJ133" i="73"/>
  <c r="E31" i="111"/>
  <c r="E66" i="106"/>
  <c r="V66" i="106"/>
  <c r="E66" i="107"/>
  <c r="E66" i="108"/>
  <c r="E66" i="109"/>
  <c r="V66" i="109"/>
  <c r="E66" i="110"/>
  <c r="E66" i="111"/>
  <c r="F31" i="106"/>
  <c r="F31" i="107"/>
  <c r="F31" i="108"/>
  <c r="F31" i="109"/>
  <c r="F31" i="110"/>
  <c r="F31" i="111"/>
  <c r="F66" i="106"/>
  <c r="F66" i="107"/>
  <c r="F66" i="108"/>
  <c r="F66" i="109"/>
  <c r="F66" i="110"/>
  <c r="F66" i="111"/>
  <c r="G31" i="106"/>
  <c r="G31" i="107"/>
  <c r="G31" i="108"/>
  <c r="G31" i="109"/>
  <c r="G31" i="110"/>
  <c r="G31" i="111"/>
  <c r="G66" i="106"/>
  <c r="G66" i="107"/>
  <c r="G66" i="108"/>
  <c r="G66" i="109"/>
  <c r="G66" i="110"/>
  <c r="G66" i="111"/>
  <c r="H31" i="106"/>
  <c r="H31" i="107"/>
  <c r="H31" i="108"/>
  <c r="H31" i="109"/>
  <c r="H31" i="110"/>
  <c r="H31" i="111"/>
  <c r="H66" i="106"/>
  <c r="H66" i="107"/>
  <c r="H66" i="108"/>
  <c r="H66" i="109"/>
  <c r="H66" i="110"/>
  <c r="H66" i="111"/>
  <c r="I31" i="106"/>
  <c r="I31" i="107"/>
  <c r="I31" i="108"/>
  <c r="I31" i="109"/>
  <c r="I31" i="110"/>
  <c r="I31" i="111"/>
  <c r="I66" i="106"/>
  <c r="I66" i="107"/>
  <c r="I66" i="108"/>
  <c r="I66" i="109"/>
  <c r="I66" i="110"/>
  <c r="I66" i="111"/>
  <c r="J31" i="106"/>
  <c r="J31" i="107"/>
  <c r="J31" i="108"/>
  <c r="J31" i="109"/>
  <c r="J31" i="110"/>
  <c r="J31" i="111"/>
  <c r="J66" i="106"/>
  <c r="J66" i="107"/>
  <c r="J66" i="108"/>
  <c r="J66" i="109"/>
  <c r="J66" i="110"/>
  <c r="J66" i="111"/>
  <c r="K31" i="106"/>
  <c r="K31" i="107"/>
  <c r="K31" i="108"/>
  <c r="K31" i="109"/>
  <c r="K31" i="110"/>
  <c r="K31" i="111"/>
  <c r="K66" i="106"/>
  <c r="K66" i="107"/>
  <c r="K66" i="108"/>
  <c r="K66" i="109"/>
  <c r="K66" i="110"/>
  <c r="K66" i="111"/>
  <c r="L31" i="106"/>
  <c r="L31" i="107"/>
  <c r="L31" i="108"/>
  <c r="L31" i="109"/>
  <c r="L31" i="110"/>
  <c r="L31" i="111"/>
  <c r="L66" i="106"/>
  <c r="L66" i="107"/>
  <c r="L66" i="108"/>
  <c r="L66" i="109"/>
  <c r="L66" i="110"/>
  <c r="L66" i="111"/>
  <c r="M31" i="106"/>
  <c r="M31" i="107"/>
  <c r="M31" i="108"/>
  <c r="M31" i="109"/>
  <c r="M31" i="110"/>
  <c r="M31" i="111"/>
  <c r="M66" i="106"/>
  <c r="M66" i="107"/>
  <c r="M66" i="108"/>
  <c r="M66" i="109"/>
  <c r="M66" i="110"/>
  <c r="M66" i="111"/>
  <c r="N31" i="106"/>
  <c r="N31" i="107"/>
  <c r="N31" i="108"/>
  <c r="N31" i="109"/>
  <c r="N31" i="110"/>
  <c r="N66" i="106"/>
  <c r="N66" i="107"/>
  <c r="N66" i="108"/>
  <c r="N66" i="109"/>
  <c r="N66" i="110"/>
  <c r="O31" i="106"/>
  <c r="O31" i="107"/>
  <c r="O31" i="109"/>
  <c r="O31" i="110"/>
  <c r="O66" i="106"/>
  <c r="O66" i="107"/>
  <c r="O66" i="109"/>
  <c r="O66" i="110"/>
  <c r="P31" i="106"/>
  <c r="P31" i="107"/>
  <c r="P31" i="108"/>
  <c r="P31" i="109"/>
  <c r="P31" i="110"/>
  <c r="P66" i="107"/>
  <c r="P66" i="108"/>
  <c r="P66" i="109"/>
  <c r="P66" i="110"/>
  <c r="Q31" i="106"/>
  <c r="Q31" i="107"/>
  <c r="Q31" i="108"/>
  <c r="Q31" i="109"/>
  <c r="Q31" i="110"/>
  <c r="Q66" i="106"/>
  <c r="Q66" i="107"/>
  <c r="Q66" i="108"/>
  <c r="Q66" i="109"/>
  <c r="Q66" i="110"/>
  <c r="J4" i="141"/>
  <c r="AA5" i="66" s="1"/>
  <c r="J5" i="141"/>
  <c r="AA6" i="66"/>
  <c r="J6" i="141"/>
  <c r="AA7" i="66" s="1"/>
  <c r="J7" i="141"/>
  <c r="AA8" i="66"/>
  <c r="J8" i="141"/>
  <c r="AA9" i="66" s="1"/>
  <c r="J9" i="141"/>
  <c r="AA10" i="66" s="1"/>
  <c r="J10" i="141"/>
  <c r="J11" i="141"/>
  <c r="AA12" i="66" s="1"/>
  <c r="J12" i="141"/>
  <c r="AA13" i="66" s="1"/>
  <c r="J13" i="141"/>
  <c r="AA14" i="66" s="1"/>
  <c r="J14" i="141"/>
  <c r="AA15" i="66"/>
  <c r="J15" i="141"/>
  <c r="AA16" i="66" s="1"/>
  <c r="J16" i="141"/>
  <c r="AA17" i="66"/>
  <c r="J17" i="141"/>
  <c r="J18" i="141"/>
  <c r="AA19" i="66"/>
  <c r="J19" i="141"/>
  <c r="AA20" i="66" s="1"/>
  <c r="J20" i="141"/>
  <c r="AA21" i="66" s="1"/>
  <c r="J21" i="141"/>
  <c r="AA22" i="66" s="1"/>
  <c r="J22" i="141"/>
  <c r="AA23" i="66"/>
  <c r="J23" i="141"/>
  <c r="AA24" i="66" s="1"/>
  <c r="J24" i="141"/>
  <c r="AA25" i="66"/>
  <c r="J25" i="141"/>
  <c r="AA26" i="66" s="1"/>
  <c r="J26" i="141"/>
  <c r="J27" i="141"/>
  <c r="AA28" i="66"/>
  <c r="J28" i="141"/>
  <c r="AA29" i="66"/>
  <c r="J29" i="141"/>
  <c r="AA30" i="66"/>
  <c r="E4" i="141"/>
  <c r="W5" i="66"/>
  <c r="E5" i="141"/>
  <c r="W6" i="66" s="1"/>
  <c r="E6" i="141"/>
  <c r="W7" i="66"/>
  <c r="E7" i="141"/>
  <c r="W8" i="66" s="1"/>
  <c r="E8" i="141"/>
  <c r="E9" i="141"/>
  <c r="W10" i="66" s="1"/>
  <c r="E10" i="141"/>
  <c r="W11" i="66" s="1"/>
  <c r="E11" i="141"/>
  <c r="W12" i="66" s="1"/>
  <c r="E12" i="141"/>
  <c r="W13" i="66"/>
  <c r="E13" i="141"/>
  <c r="W14" i="66" s="1"/>
  <c r="E14" i="141"/>
  <c r="W15" i="66"/>
  <c r="E15" i="141"/>
  <c r="W16" i="66" s="1"/>
  <c r="E16" i="141"/>
  <c r="E17" i="141"/>
  <c r="W18" i="66"/>
  <c r="E18" i="141"/>
  <c r="W19" i="66" s="1"/>
  <c r="E19" i="141"/>
  <c r="W20" i="66" s="1"/>
  <c r="E20" i="141"/>
  <c r="W21" i="66" s="1"/>
  <c r="E21" i="141"/>
  <c r="W22" i="66" s="1"/>
  <c r="E22" i="141"/>
  <c r="W23" i="66"/>
  <c r="E23" i="141"/>
  <c r="W24" i="66" s="1"/>
  <c r="E24" i="141"/>
  <c r="E25" i="141"/>
  <c r="W26" i="66" s="1"/>
  <c r="E26" i="141"/>
  <c r="W27" i="66" s="1"/>
  <c r="E27" i="141"/>
  <c r="W28" i="66" s="1"/>
  <c r="E29" i="141"/>
  <c r="W30" i="66" s="1"/>
  <c r="X75" i="111"/>
  <c r="X102" i="111"/>
  <c r="H33" i="124"/>
  <c r="R76" i="111"/>
  <c r="R77" i="111"/>
  <c r="R78" i="111"/>
  <c r="R79" i="111"/>
  <c r="R80" i="111"/>
  <c r="R81" i="111"/>
  <c r="R82" i="111"/>
  <c r="R83" i="111"/>
  <c r="R84" i="111"/>
  <c r="R85" i="111"/>
  <c r="R86" i="111"/>
  <c r="R87" i="111"/>
  <c r="R88" i="111"/>
  <c r="R89" i="111"/>
  <c r="R90" i="111"/>
  <c r="R91" i="111"/>
  <c r="R92" i="111"/>
  <c r="R93" i="111"/>
  <c r="R94" i="111"/>
  <c r="R95" i="111"/>
  <c r="R96" i="111"/>
  <c r="R97" i="111"/>
  <c r="R98" i="111"/>
  <c r="R99" i="111"/>
  <c r="R100" i="111"/>
  <c r="R101" i="111"/>
  <c r="R75" i="111"/>
  <c r="P3" i="128"/>
  <c r="O3" i="128"/>
  <c r="N3" i="128"/>
  <c r="I4" i="127"/>
  <c r="AI11" i="66" s="1"/>
  <c r="S3" i="127"/>
  <c r="V3" i="127"/>
  <c r="R3" i="127"/>
  <c r="Q3" i="127"/>
  <c r="U3" i="127"/>
  <c r="EG32" i="66"/>
  <c r="BT91" i="66" s="1"/>
  <c r="EJ32" i="66"/>
  <c r="EE32" i="66"/>
  <c r="BT89" i="66" s="1"/>
  <c r="ED32" i="66"/>
  <c r="EB32" i="66"/>
  <c r="EA32" i="66"/>
  <c r="BT85" i="66" s="1"/>
  <c r="BW82" i="66" s="1"/>
  <c r="DX32" i="66"/>
  <c r="X75" i="109"/>
  <c r="X75" i="108"/>
  <c r="X79" i="108"/>
  <c r="X83" i="108"/>
  <c r="X87" i="108"/>
  <c r="X91" i="108"/>
  <c r="X95" i="108"/>
  <c r="X99" i="108"/>
  <c r="X76" i="108"/>
  <c r="X78" i="108"/>
  <c r="X80" i="108"/>
  <c r="X82" i="108"/>
  <c r="X84" i="108"/>
  <c r="X86" i="108"/>
  <c r="X88" i="108"/>
  <c r="X90" i="108"/>
  <c r="X92" i="108"/>
  <c r="X94" i="108"/>
  <c r="X96" i="108"/>
  <c r="X98" i="108"/>
  <c r="X100" i="108"/>
  <c r="A160" i="62"/>
  <c r="A125" i="62"/>
  <c r="A90" i="62"/>
  <c r="S90" i="62"/>
  <c r="S55" i="62"/>
  <c r="A55" i="62"/>
  <c r="B162" i="62"/>
  <c r="B127" i="62"/>
  <c r="T92" i="62"/>
  <c r="B92" i="62"/>
  <c r="T57" i="62"/>
  <c r="B57" i="62"/>
  <c r="FZ97" i="126"/>
  <c r="GG97" i="126"/>
  <c r="FY97" i="126"/>
  <c r="FX97" i="126"/>
  <c r="FW97" i="126"/>
  <c r="FV97" i="126"/>
  <c r="FU97" i="126"/>
  <c r="FZ95" i="126"/>
  <c r="FY95" i="126"/>
  <c r="GF95" i="126"/>
  <c r="FX95" i="126"/>
  <c r="FW95" i="126"/>
  <c r="FV95" i="126"/>
  <c r="FU95" i="126"/>
  <c r="FZ94" i="126"/>
  <c r="FY94" i="126"/>
  <c r="FX94" i="126"/>
  <c r="FW94" i="126"/>
  <c r="FV94" i="126"/>
  <c r="FU94" i="126"/>
  <c r="FZ93" i="126"/>
  <c r="FY93" i="126"/>
  <c r="FX93" i="126"/>
  <c r="FW93" i="126"/>
  <c r="FV93" i="126"/>
  <c r="FU93" i="126"/>
  <c r="FZ92" i="126"/>
  <c r="FY92" i="126"/>
  <c r="FX92" i="126"/>
  <c r="FW92" i="126"/>
  <c r="FV92" i="126"/>
  <c r="FU92" i="126"/>
  <c r="FZ91" i="126"/>
  <c r="FY91" i="126"/>
  <c r="GF91" i="126"/>
  <c r="FX91" i="126"/>
  <c r="FW91" i="126"/>
  <c r="FV91" i="126"/>
  <c r="FU91" i="126"/>
  <c r="FZ90" i="126"/>
  <c r="FY90" i="126"/>
  <c r="FX90" i="126"/>
  <c r="FW90" i="126"/>
  <c r="FV90" i="126"/>
  <c r="FU90" i="126"/>
  <c r="FZ89" i="126"/>
  <c r="FY89" i="126"/>
  <c r="FX89" i="126"/>
  <c r="FW89" i="126"/>
  <c r="FV89" i="126"/>
  <c r="FU89" i="126"/>
  <c r="FZ88" i="126"/>
  <c r="FY88" i="126"/>
  <c r="FX88" i="126"/>
  <c r="FW88" i="126"/>
  <c r="FV88" i="126"/>
  <c r="FU88" i="126"/>
  <c r="FZ87" i="126"/>
  <c r="FY87" i="126"/>
  <c r="FX87" i="126"/>
  <c r="FW87" i="126"/>
  <c r="FV87" i="126"/>
  <c r="FU87" i="126"/>
  <c r="FZ86" i="126"/>
  <c r="FY86" i="126"/>
  <c r="FX86" i="126"/>
  <c r="FW86" i="126"/>
  <c r="FV86" i="126"/>
  <c r="GA86" i="126"/>
  <c r="FU86" i="126"/>
  <c r="FZ85" i="126"/>
  <c r="FY85" i="126"/>
  <c r="GF85" i="126"/>
  <c r="FX85" i="126"/>
  <c r="FW85" i="126"/>
  <c r="FV85" i="126"/>
  <c r="FU85" i="126"/>
  <c r="FZ84" i="126"/>
  <c r="FY84" i="126"/>
  <c r="FX84" i="126"/>
  <c r="FW84" i="126"/>
  <c r="FV84" i="126"/>
  <c r="FU84" i="126"/>
  <c r="FZ83" i="126"/>
  <c r="FY83" i="126"/>
  <c r="FX83" i="126"/>
  <c r="FW83" i="126"/>
  <c r="FV83" i="126"/>
  <c r="FU83" i="126"/>
  <c r="GA83" i="126"/>
  <c r="FZ82" i="126"/>
  <c r="FY82" i="126"/>
  <c r="FX82" i="126"/>
  <c r="FW82" i="126"/>
  <c r="FV82" i="126"/>
  <c r="FU82" i="126"/>
  <c r="FZ81" i="126"/>
  <c r="FY81" i="126"/>
  <c r="FX81" i="126"/>
  <c r="FW81" i="126"/>
  <c r="FV81" i="126"/>
  <c r="FU81" i="126"/>
  <c r="FZ80" i="126"/>
  <c r="FY80" i="126"/>
  <c r="FX80" i="126"/>
  <c r="FW80" i="126"/>
  <c r="FV80" i="126"/>
  <c r="GA80" i="126"/>
  <c r="FU80" i="126"/>
  <c r="FZ79" i="126"/>
  <c r="FY79" i="126"/>
  <c r="FX79" i="126"/>
  <c r="FW79" i="126"/>
  <c r="FV79" i="126"/>
  <c r="FU79" i="126"/>
  <c r="FZ78" i="126"/>
  <c r="FY78" i="126"/>
  <c r="FX78" i="126"/>
  <c r="FW78" i="126"/>
  <c r="FV78" i="126"/>
  <c r="FU78" i="126"/>
  <c r="FZ77" i="126"/>
  <c r="FY77" i="126"/>
  <c r="FX77" i="126"/>
  <c r="FW77" i="126"/>
  <c r="FV77" i="126"/>
  <c r="FU77" i="126"/>
  <c r="FZ76" i="126"/>
  <c r="FY76" i="126"/>
  <c r="FX76" i="126"/>
  <c r="FW76" i="126"/>
  <c r="FV76" i="126"/>
  <c r="FU76" i="126"/>
  <c r="FZ75" i="126"/>
  <c r="FY75" i="126"/>
  <c r="FX75" i="126"/>
  <c r="FW75" i="126"/>
  <c r="FV75" i="126"/>
  <c r="FU75" i="126"/>
  <c r="FZ74" i="126"/>
  <c r="FY74" i="126"/>
  <c r="FX74" i="126"/>
  <c r="FW74" i="126"/>
  <c r="FV74" i="126"/>
  <c r="FU74" i="126"/>
  <c r="FZ73" i="126"/>
  <c r="FY73" i="126"/>
  <c r="FX73" i="126"/>
  <c r="FW73" i="126"/>
  <c r="FV73" i="126"/>
  <c r="FU73" i="126"/>
  <c r="FZ72" i="126"/>
  <c r="FY72" i="126"/>
  <c r="FX72" i="126"/>
  <c r="FW72" i="126"/>
  <c r="FV72" i="126"/>
  <c r="FU72" i="126"/>
  <c r="FZ71" i="126"/>
  <c r="FY71" i="126"/>
  <c r="FX71" i="126"/>
  <c r="FW71" i="126"/>
  <c r="FV71" i="126"/>
  <c r="FU71" i="126"/>
  <c r="FZ70" i="126"/>
  <c r="FY70" i="126"/>
  <c r="FX70" i="126"/>
  <c r="FW70" i="126"/>
  <c r="FV70" i="126"/>
  <c r="FU70" i="126"/>
  <c r="FZ69" i="126"/>
  <c r="FY69" i="126"/>
  <c r="FX69" i="126"/>
  <c r="FW69" i="126"/>
  <c r="FV69" i="126"/>
  <c r="FU69" i="126"/>
  <c r="FS95" i="126"/>
  <c r="FR95" i="126"/>
  <c r="FS94" i="126"/>
  <c r="FR94" i="126"/>
  <c r="FS93" i="126"/>
  <c r="GG93" i="126"/>
  <c r="FR93" i="126"/>
  <c r="FS92" i="126"/>
  <c r="FR92" i="126"/>
  <c r="GF92" i="126"/>
  <c r="FS91" i="126"/>
  <c r="FR91" i="126"/>
  <c r="FS90" i="126"/>
  <c r="FR90" i="126"/>
  <c r="GF90" i="126"/>
  <c r="FS89" i="126"/>
  <c r="FR89" i="126"/>
  <c r="FS88" i="126"/>
  <c r="FR88" i="126"/>
  <c r="GF88" i="126"/>
  <c r="FS87" i="126"/>
  <c r="FR87" i="126"/>
  <c r="FS86" i="126"/>
  <c r="FR86" i="126"/>
  <c r="GF86" i="126"/>
  <c r="FS85" i="126"/>
  <c r="FR85" i="126"/>
  <c r="FS84" i="126"/>
  <c r="FR84" i="126"/>
  <c r="GF84" i="126"/>
  <c r="FS83" i="126"/>
  <c r="FR83" i="126"/>
  <c r="FS82" i="126"/>
  <c r="FR82" i="126"/>
  <c r="FS81" i="126"/>
  <c r="FR81" i="126"/>
  <c r="FS80" i="126"/>
  <c r="FR80" i="126"/>
  <c r="FS79" i="126"/>
  <c r="FR79" i="126"/>
  <c r="FS78" i="126"/>
  <c r="GG78" i="126"/>
  <c r="FR78" i="126"/>
  <c r="FS77" i="126"/>
  <c r="FR77" i="126"/>
  <c r="GF77" i="126"/>
  <c r="FS76" i="126"/>
  <c r="GG76" i="126"/>
  <c r="FR76" i="126"/>
  <c r="GF76" i="126"/>
  <c r="FS75" i="126"/>
  <c r="FR75" i="126"/>
  <c r="GF75" i="126"/>
  <c r="FS74" i="126"/>
  <c r="GG74" i="126"/>
  <c r="FR74" i="126"/>
  <c r="FS73" i="126"/>
  <c r="GG73" i="126"/>
  <c r="FR73" i="126"/>
  <c r="GF73" i="126"/>
  <c r="FS72" i="126"/>
  <c r="FR72" i="126"/>
  <c r="GF72" i="126"/>
  <c r="FS71" i="126"/>
  <c r="FR71" i="126"/>
  <c r="GF71" i="126"/>
  <c r="FS70" i="126"/>
  <c r="FR70" i="126"/>
  <c r="FS69" i="126"/>
  <c r="FR69" i="126"/>
  <c r="GF69" i="126"/>
  <c r="FF97" i="126"/>
  <c r="FF72" i="126"/>
  <c r="FF76" i="126"/>
  <c r="FF78" i="126"/>
  <c r="FF81" i="126"/>
  <c r="FF82" i="126"/>
  <c r="FF85" i="126"/>
  <c r="FF86" i="126"/>
  <c r="FF89" i="126"/>
  <c r="FF90" i="126"/>
  <c r="FF93" i="126"/>
  <c r="FF94" i="126"/>
  <c r="FC96" i="126"/>
  <c r="FC98" i="126"/>
  <c r="FA96" i="126"/>
  <c r="ER82" i="126"/>
  <c r="ER83" i="126"/>
  <c r="ER85" i="126"/>
  <c r="ER86" i="126"/>
  <c r="ER87" i="126"/>
  <c r="ER89" i="126"/>
  <c r="ER90" i="126"/>
  <c r="ER91" i="126"/>
  <c r="ER93" i="126"/>
  <c r="ER94" i="126"/>
  <c r="ER95" i="126"/>
  <c r="EN96" i="126"/>
  <c r="EN98" i="126"/>
  <c r="EL96" i="126"/>
  <c r="EL98" i="126"/>
  <c r="ED97" i="126"/>
  <c r="EA96" i="126"/>
  <c r="DZ96" i="126"/>
  <c r="DZ98" i="126"/>
  <c r="DP72" i="126"/>
  <c r="DP73" i="126"/>
  <c r="DP74" i="126"/>
  <c r="DP76" i="126"/>
  <c r="DP77" i="126"/>
  <c r="DP78" i="126"/>
  <c r="DP80" i="126"/>
  <c r="DP81" i="126"/>
  <c r="DP82" i="126"/>
  <c r="DP84" i="126"/>
  <c r="DP85" i="126"/>
  <c r="DP86" i="126"/>
  <c r="DP88" i="126"/>
  <c r="DP89" i="126"/>
  <c r="DP90" i="126"/>
  <c r="DP92" i="126"/>
  <c r="DP93" i="126"/>
  <c r="DP94" i="126"/>
  <c r="DK96" i="126"/>
  <c r="DK98" i="126"/>
  <c r="DB97" i="126"/>
  <c r="CN70" i="126"/>
  <c r="CN72" i="126"/>
  <c r="CN73" i="126"/>
  <c r="CN74" i="126"/>
  <c r="CN76" i="126"/>
  <c r="CJ96" i="126"/>
  <c r="CJ98" i="126"/>
  <c r="BL73" i="126"/>
  <c r="BL74" i="126"/>
  <c r="BL75" i="126"/>
  <c r="BL77" i="126"/>
  <c r="BL78" i="126"/>
  <c r="BL79" i="126"/>
  <c r="BL81" i="126"/>
  <c r="BL82" i="126"/>
  <c r="BL83" i="126"/>
  <c r="BL85" i="126"/>
  <c r="BL86" i="126"/>
  <c r="BL87" i="126"/>
  <c r="BL89" i="126"/>
  <c r="BL90" i="126"/>
  <c r="BL91" i="126"/>
  <c r="BL93" i="126"/>
  <c r="BL94" i="126"/>
  <c r="BL95" i="126"/>
  <c r="AX75" i="126"/>
  <c r="AX77" i="126"/>
  <c r="AX78" i="126"/>
  <c r="AX79" i="126"/>
  <c r="AX81" i="126"/>
  <c r="AX82" i="126"/>
  <c r="AX83" i="126"/>
  <c r="AX85" i="126"/>
  <c r="AX86" i="126"/>
  <c r="AX87" i="126"/>
  <c r="AX89" i="126"/>
  <c r="AX90" i="126"/>
  <c r="AX91" i="126"/>
  <c r="AX93" i="126"/>
  <c r="AX94" i="126"/>
  <c r="AX95" i="126"/>
  <c r="AT96" i="126"/>
  <c r="AT98" i="126"/>
  <c r="AJ71" i="126"/>
  <c r="AJ72" i="126"/>
  <c r="AJ73" i="126"/>
  <c r="AJ74" i="126"/>
  <c r="AJ77" i="126"/>
  <c r="AJ78" i="126"/>
  <c r="AJ79" i="126"/>
  <c r="AJ80" i="126"/>
  <c r="AJ81" i="126"/>
  <c r="AJ83" i="126"/>
  <c r="AJ84" i="126"/>
  <c r="AJ85" i="126"/>
  <c r="AJ86" i="126"/>
  <c r="AJ87" i="126"/>
  <c r="AJ88" i="126"/>
  <c r="AJ89" i="126"/>
  <c r="AJ90" i="126"/>
  <c r="AJ91" i="126"/>
  <c r="AJ92" i="126"/>
  <c r="AJ93" i="126"/>
  <c r="AJ94" i="126"/>
  <c r="AD96" i="126"/>
  <c r="AD98" i="126"/>
  <c r="AJ95" i="126"/>
  <c r="AJ82" i="126"/>
  <c r="AJ76" i="126"/>
  <c r="AJ75" i="126"/>
  <c r="FR97" i="126"/>
  <c r="FS97" i="126"/>
  <c r="Q96" i="126"/>
  <c r="Q98" i="126"/>
  <c r="FE96" i="126"/>
  <c r="FE98" i="126"/>
  <c r="FD96" i="126"/>
  <c r="FD98" i="126"/>
  <c r="EZ96" i="126"/>
  <c r="EZ98" i="126"/>
  <c r="EQ96" i="126"/>
  <c r="EQ98" i="126"/>
  <c r="EP96" i="126"/>
  <c r="EP98" i="126"/>
  <c r="EM96" i="126"/>
  <c r="EM98" i="126"/>
  <c r="EC96" i="126"/>
  <c r="EC98" i="126"/>
  <c r="EB96" i="126"/>
  <c r="EB98" i="126"/>
  <c r="DY96" i="126"/>
  <c r="DY98" i="126"/>
  <c r="DX96" i="126"/>
  <c r="DP97" i="126"/>
  <c r="DO96" i="126"/>
  <c r="DO98" i="126"/>
  <c r="DN96" i="126"/>
  <c r="DN98" i="126"/>
  <c r="DJ96" i="126"/>
  <c r="DJ98" i="126"/>
  <c r="DA96" i="126"/>
  <c r="DA98" i="126"/>
  <c r="CZ96" i="126"/>
  <c r="CZ98" i="126"/>
  <c r="CM96" i="126"/>
  <c r="CM98" i="126"/>
  <c r="CL96" i="126"/>
  <c r="CL98" i="126"/>
  <c r="CI96" i="126"/>
  <c r="CI98" i="126"/>
  <c r="BY96" i="126"/>
  <c r="BY98" i="126"/>
  <c r="BX96" i="126"/>
  <c r="BX98" i="126"/>
  <c r="BV96" i="126"/>
  <c r="BV98" i="126"/>
  <c r="BU96" i="126"/>
  <c r="BU98" i="126"/>
  <c r="BK96" i="126"/>
  <c r="BK98" i="126"/>
  <c r="BJ96" i="126"/>
  <c r="BJ98" i="126"/>
  <c r="BH96" i="126"/>
  <c r="BH98" i="126"/>
  <c r="BF96" i="126"/>
  <c r="AW96" i="126"/>
  <c r="AW98" i="126"/>
  <c r="AV96" i="126"/>
  <c r="AV98" i="126"/>
  <c r="AS96" i="126"/>
  <c r="AS98" i="126"/>
  <c r="AR96" i="126"/>
  <c r="AR98" i="126"/>
  <c r="AI96" i="126"/>
  <c r="AI98" i="126"/>
  <c r="AH96" i="126"/>
  <c r="U96" i="126"/>
  <c r="U98" i="126"/>
  <c r="T96" i="126"/>
  <c r="T98" i="126"/>
  <c r="GG90" i="126"/>
  <c r="GG72" i="126"/>
  <c r="FM98" i="126"/>
  <c r="FM97" i="126"/>
  <c r="FM96" i="126"/>
  <c r="FM95" i="126"/>
  <c r="FM94" i="126"/>
  <c r="FM93" i="126"/>
  <c r="FM92" i="126"/>
  <c r="FM91" i="126"/>
  <c r="FM90" i="126"/>
  <c r="FM89" i="126"/>
  <c r="FM88" i="126"/>
  <c r="FM87" i="126"/>
  <c r="FM86" i="126"/>
  <c r="FM85" i="126"/>
  <c r="FM84" i="126"/>
  <c r="FM83" i="126"/>
  <c r="FM82" i="126"/>
  <c r="FM81" i="126"/>
  <c r="FM80" i="126"/>
  <c r="FM79" i="126"/>
  <c r="FM78" i="126"/>
  <c r="FM77" i="126"/>
  <c r="FM76" i="126"/>
  <c r="FM75" i="126"/>
  <c r="FM74" i="126"/>
  <c r="FM73" i="126"/>
  <c r="FM72" i="126"/>
  <c r="FM71" i="126"/>
  <c r="FM70" i="126"/>
  <c r="FM69" i="126"/>
  <c r="FF91" i="126"/>
  <c r="FF87" i="126"/>
  <c r="FF83" i="126"/>
  <c r="FF79" i="126"/>
  <c r="FF75" i="126"/>
  <c r="FF71" i="126"/>
  <c r="FF69" i="126"/>
  <c r="EY98" i="126"/>
  <c r="EY97" i="126"/>
  <c r="EY96" i="126"/>
  <c r="EY95" i="126"/>
  <c r="EY94" i="126"/>
  <c r="EY93" i="126"/>
  <c r="EY92" i="126"/>
  <c r="EY91" i="126"/>
  <c r="EY90" i="126"/>
  <c r="EY89" i="126"/>
  <c r="EY88" i="126"/>
  <c r="EY87" i="126"/>
  <c r="EY86" i="126"/>
  <c r="EY85" i="126"/>
  <c r="EY84" i="126"/>
  <c r="EY83" i="126"/>
  <c r="EY82" i="126"/>
  <c r="EY81" i="126"/>
  <c r="EY80" i="126"/>
  <c r="EY79" i="126"/>
  <c r="EY78" i="126"/>
  <c r="EY77" i="126"/>
  <c r="EY76" i="126"/>
  <c r="EY75" i="126"/>
  <c r="EY74" i="126"/>
  <c r="EY73" i="126"/>
  <c r="EY72" i="126"/>
  <c r="EY71" i="126"/>
  <c r="EY70" i="126"/>
  <c r="EY69" i="126"/>
  <c r="ER92" i="126"/>
  <c r="ER88" i="126"/>
  <c r="ER84" i="126"/>
  <c r="ER80" i="126"/>
  <c r="ER76" i="126"/>
  <c r="ER72" i="126"/>
  <c r="ER69" i="126"/>
  <c r="EK98" i="126"/>
  <c r="EK97" i="126"/>
  <c r="EK96" i="126"/>
  <c r="EK95" i="126"/>
  <c r="EK94" i="126"/>
  <c r="EK93" i="126"/>
  <c r="EK92" i="126"/>
  <c r="EK91" i="126"/>
  <c r="EK90" i="126"/>
  <c r="EK89" i="126"/>
  <c r="EK88" i="126"/>
  <c r="EK87" i="126"/>
  <c r="EK86" i="126"/>
  <c r="EK85" i="126"/>
  <c r="EK84" i="126"/>
  <c r="EK83" i="126"/>
  <c r="EK82" i="126"/>
  <c r="EK81" i="126"/>
  <c r="EK80" i="126"/>
  <c r="EK79" i="126"/>
  <c r="EK78" i="126"/>
  <c r="EK77" i="126"/>
  <c r="EK76" i="126"/>
  <c r="EK75" i="126"/>
  <c r="EK74" i="126"/>
  <c r="EK73" i="126"/>
  <c r="EK72" i="126"/>
  <c r="EK71" i="126"/>
  <c r="EK70" i="126"/>
  <c r="EK69" i="126"/>
  <c r="ED95" i="126"/>
  <c r="ED92" i="126"/>
  <c r="ED91" i="126"/>
  <c r="ED88" i="126"/>
  <c r="ED87" i="126"/>
  <c r="ED86" i="126"/>
  <c r="ED84" i="126"/>
  <c r="ED83" i="126"/>
  <c r="ED82" i="126"/>
  <c r="ED80" i="126"/>
  <c r="ED79" i="126"/>
  <c r="ED78" i="126"/>
  <c r="ED76" i="126"/>
  <c r="ED75" i="126"/>
  <c r="ED74" i="126"/>
  <c r="ED72" i="126"/>
  <c r="ED71" i="126"/>
  <c r="ED70" i="126"/>
  <c r="DW98" i="126"/>
  <c r="DW97" i="126"/>
  <c r="DW96" i="126"/>
  <c r="DW95" i="126"/>
  <c r="DW94" i="126"/>
  <c r="DW93" i="126"/>
  <c r="DW92" i="126"/>
  <c r="DW91" i="126"/>
  <c r="DW90" i="126"/>
  <c r="DW89" i="126"/>
  <c r="DW88" i="126"/>
  <c r="DW87" i="126"/>
  <c r="DW86" i="126"/>
  <c r="DW85" i="126"/>
  <c r="DW84" i="126"/>
  <c r="DW83" i="126"/>
  <c r="DW82" i="126"/>
  <c r="DW81" i="126"/>
  <c r="DW80" i="126"/>
  <c r="DW79" i="126"/>
  <c r="DW78" i="126"/>
  <c r="DW77" i="126"/>
  <c r="DW76" i="126"/>
  <c r="DW75" i="126"/>
  <c r="DW74" i="126"/>
  <c r="DW73" i="126"/>
  <c r="DW72" i="126"/>
  <c r="DW71" i="126"/>
  <c r="DW70" i="126"/>
  <c r="DW69" i="126"/>
  <c r="DP95" i="126"/>
  <c r="DP91" i="126"/>
  <c r="DP87" i="126"/>
  <c r="DP83" i="126"/>
  <c r="DP79" i="126"/>
  <c r="DP75" i="126"/>
  <c r="DP71" i="126"/>
  <c r="DP69" i="126"/>
  <c r="DI98" i="126"/>
  <c r="DI97" i="126"/>
  <c r="DI96" i="126"/>
  <c r="DI95" i="126"/>
  <c r="DI94" i="126"/>
  <c r="DI93" i="126"/>
  <c r="DI92" i="126"/>
  <c r="DI91" i="126"/>
  <c r="DI90" i="126"/>
  <c r="DI89" i="126"/>
  <c r="DI88" i="126"/>
  <c r="DI87" i="126"/>
  <c r="DI86" i="126"/>
  <c r="DI85" i="126"/>
  <c r="DI84" i="126"/>
  <c r="DI83" i="126"/>
  <c r="DI82" i="126"/>
  <c r="DI81" i="126"/>
  <c r="DI80" i="126"/>
  <c r="DI79" i="126"/>
  <c r="DI78" i="126"/>
  <c r="DI77" i="126"/>
  <c r="DI76" i="126"/>
  <c r="DI75" i="126"/>
  <c r="DI74" i="126"/>
  <c r="DI73" i="126"/>
  <c r="DI72" i="126"/>
  <c r="DI71" i="126"/>
  <c r="DI70" i="126"/>
  <c r="DI69" i="126"/>
  <c r="DB94" i="126"/>
  <c r="DB86" i="126"/>
  <c r="DB78" i="126"/>
  <c r="DB70" i="126"/>
  <c r="DB69" i="126"/>
  <c r="CU98" i="126"/>
  <c r="CU97" i="126"/>
  <c r="CU96" i="126"/>
  <c r="CU95" i="126"/>
  <c r="CU94" i="126"/>
  <c r="CU93" i="126"/>
  <c r="CU92" i="126"/>
  <c r="CU91" i="126"/>
  <c r="CU90" i="126"/>
  <c r="CU89" i="126"/>
  <c r="CU88" i="126"/>
  <c r="CU87" i="126"/>
  <c r="CU86" i="126"/>
  <c r="CU85" i="126"/>
  <c r="CU84" i="126"/>
  <c r="CU83" i="126"/>
  <c r="CU82" i="126"/>
  <c r="CU81" i="126"/>
  <c r="CU80" i="126"/>
  <c r="CU79" i="126"/>
  <c r="CU78" i="126"/>
  <c r="CU77" i="126"/>
  <c r="CU76" i="126"/>
  <c r="CU75" i="126"/>
  <c r="CU74" i="126"/>
  <c r="CU73" i="126"/>
  <c r="CU72" i="126"/>
  <c r="CU71" i="126"/>
  <c r="CU70" i="126"/>
  <c r="CU69" i="126"/>
  <c r="CN95" i="126"/>
  <c r="CN91" i="126"/>
  <c r="CN87" i="126"/>
  <c r="CN83" i="126"/>
  <c r="CN79" i="126"/>
  <c r="CN75" i="126"/>
  <c r="CN71" i="126"/>
  <c r="CN69" i="126"/>
  <c r="CG98" i="126"/>
  <c r="CG97" i="126"/>
  <c r="CG96" i="126"/>
  <c r="CG95" i="126"/>
  <c r="CG94" i="126"/>
  <c r="CG93" i="126"/>
  <c r="CG92" i="126"/>
  <c r="CG91" i="126"/>
  <c r="CG90" i="126"/>
  <c r="CG89" i="126"/>
  <c r="CG88" i="126"/>
  <c r="CG87" i="126"/>
  <c r="CG86" i="126"/>
  <c r="CG85" i="126"/>
  <c r="CG84" i="126"/>
  <c r="CG83" i="126"/>
  <c r="CG82" i="126"/>
  <c r="CG81" i="126"/>
  <c r="CG80" i="126"/>
  <c r="CG79" i="126"/>
  <c r="CG78" i="126"/>
  <c r="CG77" i="126"/>
  <c r="CG76" i="126"/>
  <c r="CG75" i="126"/>
  <c r="CG74" i="126"/>
  <c r="CG73" i="126"/>
  <c r="CG72" i="126"/>
  <c r="CG71" i="126"/>
  <c r="CG70" i="126"/>
  <c r="CG69" i="126"/>
  <c r="BZ93" i="126"/>
  <c r="BZ89" i="126"/>
  <c r="BZ85" i="126"/>
  <c r="BZ81" i="126"/>
  <c r="BZ77" i="126"/>
  <c r="BZ73" i="126"/>
  <c r="BS98" i="126"/>
  <c r="BS97" i="126"/>
  <c r="BS96" i="126"/>
  <c r="BS95" i="126"/>
  <c r="BS94" i="126"/>
  <c r="BS93" i="126"/>
  <c r="BS92" i="126"/>
  <c r="BS91" i="126"/>
  <c r="BS90" i="126"/>
  <c r="BS89" i="126"/>
  <c r="BS88" i="126"/>
  <c r="BS87" i="126"/>
  <c r="BS86" i="126"/>
  <c r="BS85" i="126"/>
  <c r="BS84" i="126"/>
  <c r="BS83" i="126"/>
  <c r="BS82" i="126"/>
  <c r="BS81" i="126"/>
  <c r="BS80" i="126"/>
  <c r="BS79" i="126"/>
  <c r="BS78" i="126"/>
  <c r="BS77" i="126"/>
  <c r="BS76" i="126"/>
  <c r="BS75" i="126"/>
  <c r="BS74" i="126"/>
  <c r="BS73" i="126"/>
  <c r="BS72" i="126"/>
  <c r="BS71" i="126"/>
  <c r="BS70" i="126"/>
  <c r="BS69" i="126"/>
  <c r="BL92" i="126"/>
  <c r="BL88" i="126"/>
  <c r="BL84" i="126"/>
  <c r="BL80" i="126"/>
  <c r="BL76" i="126"/>
  <c r="BL72" i="126"/>
  <c r="BE98" i="126"/>
  <c r="BE97" i="126"/>
  <c r="BE96" i="126"/>
  <c r="BE95" i="126"/>
  <c r="BE94" i="126"/>
  <c r="BE93" i="126"/>
  <c r="BE92" i="126"/>
  <c r="BE91" i="126"/>
  <c r="BE90" i="126"/>
  <c r="BE89" i="126"/>
  <c r="BE88" i="126"/>
  <c r="BE87" i="126"/>
  <c r="BE86" i="126"/>
  <c r="BE85" i="126"/>
  <c r="BE84" i="126"/>
  <c r="BE83" i="126"/>
  <c r="BE82" i="126"/>
  <c r="BE81" i="126"/>
  <c r="BE80" i="126"/>
  <c r="BE79" i="126"/>
  <c r="BE78" i="126"/>
  <c r="BE77" i="126"/>
  <c r="BE76" i="126"/>
  <c r="BE75" i="126"/>
  <c r="BE74" i="126"/>
  <c r="BE73" i="126"/>
  <c r="BE72" i="126"/>
  <c r="BE71" i="126"/>
  <c r="BE70" i="126"/>
  <c r="BE69" i="126"/>
  <c r="AX92" i="126"/>
  <c r="AX88" i="126"/>
  <c r="AX84" i="126"/>
  <c r="AX80" i="126"/>
  <c r="AX76" i="126"/>
  <c r="AX72" i="126"/>
  <c r="AX69" i="126"/>
  <c r="AQ98" i="126"/>
  <c r="AQ97" i="126"/>
  <c r="AQ96" i="126"/>
  <c r="AQ95" i="126"/>
  <c r="AQ94" i="126"/>
  <c r="AQ93" i="126"/>
  <c r="AQ92" i="126"/>
  <c r="AQ91" i="126"/>
  <c r="AQ90" i="126"/>
  <c r="AQ89" i="126"/>
  <c r="AQ88" i="126"/>
  <c r="AQ87" i="126"/>
  <c r="AQ86" i="126"/>
  <c r="AQ85" i="126"/>
  <c r="AQ84" i="126"/>
  <c r="AQ83" i="126"/>
  <c r="AQ82" i="126"/>
  <c r="AQ81" i="126"/>
  <c r="AQ80" i="126"/>
  <c r="AQ79" i="126"/>
  <c r="AQ78" i="126"/>
  <c r="AQ77" i="126"/>
  <c r="AQ76" i="126"/>
  <c r="AQ75" i="126"/>
  <c r="AQ74" i="126"/>
  <c r="AQ73" i="126"/>
  <c r="AQ72" i="126"/>
  <c r="AQ71" i="126"/>
  <c r="AQ70" i="126"/>
  <c r="AQ69" i="126"/>
  <c r="AJ70" i="126"/>
  <c r="AC98" i="126"/>
  <c r="AC97" i="126"/>
  <c r="AC96" i="126"/>
  <c r="AC95" i="126"/>
  <c r="AC94" i="126"/>
  <c r="AC93" i="126"/>
  <c r="AC92" i="126"/>
  <c r="AC91" i="126"/>
  <c r="AC90" i="126"/>
  <c r="AC89" i="126"/>
  <c r="AC88" i="126"/>
  <c r="AC87" i="126"/>
  <c r="AC86" i="126"/>
  <c r="AC85" i="126"/>
  <c r="AC84" i="126"/>
  <c r="AC83" i="126"/>
  <c r="AC82" i="126"/>
  <c r="AC81" i="126"/>
  <c r="AC80" i="126"/>
  <c r="AC79" i="126"/>
  <c r="AC78" i="126"/>
  <c r="AC77" i="126"/>
  <c r="AC76" i="126"/>
  <c r="AC75" i="126"/>
  <c r="AC74" i="126"/>
  <c r="AC73" i="126"/>
  <c r="AC72" i="126"/>
  <c r="AC71" i="126"/>
  <c r="AC70" i="126"/>
  <c r="AC69" i="126"/>
  <c r="V94" i="126"/>
  <c r="V93" i="126"/>
  <c r="V92" i="126"/>
  <c r="V91" i="126"/>
  <c r="V90" i="126"/>
  <c r="V89" i="126"/>
  <c r="V88" i="126"/>
  <c r="V87" i="126"/>
  <c r="V86" i="126"/>
  <c r="V85" i="126"/>
  <c r="V84" i="126"/>
  <c r="V83" i="126"/>
  <c r="V82" i="126"/>
  <c r="V81" i="126"/>
  <c r="V80" i="126"/>
  <c r="V79" i="126"/>
  <c r="V78" i="126"/>
  <c r="V77" i="126"/>
  <c r="V76" i="126"/>
  <c r="V75" i="126"/>
  <c r="V74" i="126"/>
  <c r="V73" i="126"/>
  <c r="V72" i="126"/>
  <c r="V71" i="126"/>
  <c r="V70" i="126"/>
  <c r="O98" i="126"/>
  <c r="O97" i="126"/>
  <c r="O96" i="126"/>
  <c r="O95" i="126"/>
  <c r="O94" i="126"/>
  <c r="O93" i="126"/>
  <c r="O92" i="126"/>
  <c r="O91" i="126"/>
  <c r="O90" i="126"/>
  <c r="O89" i="126"/>
  <c r="O88" i="126"/>
  <c r="O87" i="126"/>
  <c r="O86" i="126"/>
  <c r="O85" i="126"/>
  <c r="O84" i="126"/>
  <c r="O83" i="126"/>
  <c r="O82" i="126"/>
  <c r="O81" i="126"/>
  <c r="O80" i="126"/>
  <c r="O79" i="126"/>
  <c r="O78" i="126"/>
  <c r="O77" i="126"/>
  <c r="O76" i="126"/>
  <c r="O75" i="126"/>
  <c r="O74" i="126"/>
  <c r="O73" i="126"/>
  <c r="O72" i="126"/>
  <c r="O71" i="126"/>
  <c r="O70" i="126"/>
  <c r="O69" i="126"/>
  <c r="F96" i="126"/>
  <c r="F98" i="126"/>
  <c r="G96" i="126"/>
  <c r="G98" i="126"/>
  <c r="GG79" i="126"/>
  <c r="GG91" i="126"/>
  <c r="GG89" i="126"/>
  <c r="GF74" i="126"/>
  <c r="GF78" i="126"/>
  <c r="GA91" i="126"/>
  <c r="GF79" i="126"/>
  <c r="R96" i="126"/>
  <c r="R98" i="126"/>
  <c r="ED94" i="126"/>
  <c r="ED93" i="126"/>
  <c r="AX74" i="126"/>
  <c r="AX73" i="126"/>
  <c r="AX71" i="126"/>
  <c r="AX70" i="126"/>
  <c r="BZ95" i="126"/>
  <c r="BZ94" i="126"/>
  <c r="BZ92" i="126"/>
  <c r="BZ91" i="126"/>
  <c r="BZ90" i="126"/>
  <c r="BZ88" i="126"/>
  <c r="BZ87" i="126"/>
  <c r="BZ86" i="126"/>
  <c r="BZ84" i="126"/>
  <c r="BZ83" i="126"/>
  <c r="BZ82" i="126"/>
  <c r="BZ80" i="126"/>
  <c r="BZ79" i="126"/>
  <c r="BZ78" i="126"/>
  <c r="BZ76" i="126"/>
  <c r="BZ75" i="126"/>
  <c r="BZ74" i="126"/>
  <c r="BZ72" i="126"/>
  <c r="BZ71" i="126"/>
  <c r="BZ70" i="126"/>
  <c r="CN97" i="126"/>
  <c r="DB88" i="126"/>
  <c r="DB80" i="126"/>
  <c r="CX96" i="126"/>
  <c r="CX98" i="126"/>
  <c r="CW96" i="126"/>
  <c r="CW98" i="126"/>
  <c r="DL96" i="126"/>
  <c r="DL98" i="126"/>
  <c r="ED90" i="126"/>
  <c r="ED89" i="126"/>
  <c r="ED85" i="126"/>
  <c r="ED81" i="126"/>
  <c r="ED77" i="126"/>
  <c r="ED73" i="126"/>
  <c r="ER97" i="126"/>
  <c r="FF92" i="126"/>
  <c r="FF88" i="126"/>
  <c r="FF84" i="126"/>
  <c r="FF80" i="126"/>
  <c r="DB92" i="126"/>
  <c r="DB90" i="126"/>
  <c r="DB84" i="126"/>
  <c r="DB82" i="126"/>
  <c r="DB76" i="126"/>
  <c r="DB74" i="126"/>
  <c r="FF77" i="126"/>
  <c r="FF74" i="126"/>
  <c r="FF73" i="126"/>
  <c r="FB96" i="126"/>
  <c r="FB98" i="126"/>
  <c r="V95" i="126"/>
  <c r="AJ97" i="126"/>
  <c r="AF96" i="126"/>
  <c r="AF98" i="126"/>
  <c r="BL71" i="126"/>
  <c r="BL70" i="126"/>
  <c r="BZ97" i="126"/>
  <c r="CH96" i="126"/>
  <c r="CH98" i="126"/>
  <c r="CN94" i="126"/>
  <c r="CN93" i="126"/>
  <c r="CN92" i="126"/>
  <c r="CN90" i="126"/>
  <c r="CN89" i="126"/>
  <c r="CN88" i="126"/>
  <c r="CN86" i="126"/>
  <c r="CN85" i="126"/>
  <c r="CN84" i="126"/>
  <c r="CN82" i="126"/>
  <c r="CN81" i="126"/>
  <c r="CN80" i="126"/>
  <c r="CN78" i="126"/>
  <c r="CN77" i="126"/>
  <c r="DM96" i="126"/>
  <c r="ER81" i="126"/>
  <c r="ER79" i="126"/>
  <c r="ER78" i="126"/>
  <c r="ER77" i="126"/>
  <c r="ER75" i="126"/>
  <c r="ER74" i="126"/>
  <c r="ER73" i="126"/>
  <c r="ER71" i="126"/>
  <c r="ER70" i="126"/>
  <c r="FW96" i="126"/>
  <c r="FW98" i="126"/>
  <c r="GF97" i="126"/>
  <c r="FF95" i="126"/>
  <c r="FF70" i="126"/>
  <c r="EO96" i="126"/>
  <c r="ED69" i="126"/>
  <c r="DP70" i="126"/>
  <c r="DB91" i="126"/>
  <c r="DB71" i="126"/>
  <c r="DB72" i="126"/>
  <c r="DB95" i="126"/>
  <c r="DB87" i="126"/>
  <c r="DB83" i="126"/>
  <c r="DB79" i="126"/>
  <c r="DB75" i="126"/>
  <c r="CY96" i="126"/>
  <c r="CY98" i="126"/>
  <c r="DB93" i="126"/>
  <c r="DB89" i="126"/>
  <c r="DB85" i="126"/>
  <c r="DB81" i="126"/>
  <c r="DB77" i="126"/>
  <c r="DB73" i="126"/>
  <c r="CV96" i="126"/>
  <c r="CK96" i="126"/>
  <c r="CK98" i="126"/>
  <c r="BW96" i="126"/>
  <c r="BW98" i="126"/>
  <c r="BZ69" i="126"/>
  <c r="BT96" i="126"/>
  <c r="BG96" i="126"/>
  <c r="BG98" i="126"/>
  <c r="BI96" i="126"/>
  <c r="BI98" i="126"/>
  <c r="BL69" i="126"/>
  <c r="AX97" i="126"/>
  <c r="AU96" i="126"/>
  <c r="AU98" i="126"/>
  <c r="AE96" i="126"/>
  <c r="AE98" i="126"/>
  <c r="AH98" i="126"/>
  <c r="AG96" i="126"/>
  <c r="AG98" i="126"/>
  <c r="AJ69" i="126"/>
  <c r="S96" i="126"/>
  <c r="S98" i="126"/>
  <c r="P96" i="126"/>
  <c r="P98" i="126"/>
  <c r="V69" i="126"/>
  <c r="DX98" i="126"/>
  <c r="BL97" i="126"/>
  <c r="V97" i="126"/>
  <c r="FO97" i="126"/>
  <c r="FP97" i="126"/>
  <c r="GD97" i="126"/>
  <c r="FQ97" i="126"/>
  <c r="GE97" i="126"/>
  <c r="FO70" i="126"/>
  <c r="FP70" i="126"/>
  <c r="GD70" i="126"/>
  <c r="FQ70" i="126"/>
  <c r="GE70" i="126"/>
  <c r="FO71" i="126"/>
  <c r="FP71" i="126"/>
  <c r="GD71" i="126"/>
  <c r="FQ71" i="126"/>
  <c r="FO72" i="126"/>
  <c r="FP72" i="126"/>
  <c r="FQ72" i="126"/>
  <c r="GE72" i="126"/>
  <c r="FO73" i="126"/>
  <c r="GC73" i="126"/>
  <c r="FP73" i="126"/>
  <c r="GD73" i="126"/>
  <c r="FQ73" i="126"/>
  <c r="FO74" i="126"/>
  <c r="FP74" i="126"/>
  <c r="FQ74" i="126"/>
  <c r="GE74" i="126"/>
  <c r="FO75" i="126"/>
  <c r="GC75" i="126"/>
  <c r="FP75" i="126"/>
  <c r="FQ75" i="126"/>
  <c r="FO76" i="126"/>
  <c r="FP76" i="126"/>
  <c r="FQ76" i="126"/>
  <c r="GE76" i="126"/>
  <c r="FO77" i="126"/>
  <c r="GC77" i="126"/>
  <c r="FP77" i="126"/>
  <c r="FQ77" i="126"/>
  <c r="FO78" i="126"/>
  <c r="GC78" i="126"/>
  <c r="FP78" i="126"/>
  <c r="FQ78" i="126"/>
  <c r="GE78" i="126"/>
  <c r="FO79" i="126"/>
  <c r="GC79" i="126"/>
  <c r="FP79" i="126"/>
  <c r="FQ79" i="126"/>
  <c r="FO80" i="126"/>
  <c r="FP80" i="126"/>
  <c r="GD80" i="126"/>
  <c r="FQ80" i="126"/>
  <c r="GE80" i="126"/>
  <c r="FO81" i="126"/>
  <c r="GC81" i="126"/>
  <c r="FP81" i="126"/>
  <c r="GD81" i="126"/>
  <c r="FQ81" i="126"/>
  <c r="FO82" i="126"/>
  <c r="GC82" i="126"/>
  <c r="FP82" i="126"/>
  <c r="FQ82" i="126"/>
  <c r="GE82" i="126"/>
  <c r="FO83" i="126"/>
  <c r="FP83" i="126"/>
  <c r="GD83" i="126"/>
  <c r="FQ83" i="126"/>
  <c r="FO84" i="126"/>
  <c r="FP84" i="126"/>
  <c r="GD84" i="126"/>
  <c r="FQ84" i="126"/>
  <c r="FO85" i="126"/>
  <c r="GC85" i="126"/>
  <c r="FP85" i="126"/>
  <c r="GD85" i="126"/>
  <c r="FQ85" i="126"/>
  <c r="FO86" i="126"/>
  <c r="GC86" i="126"/>
  <c r="FP86" i="126"/>
  <c r="FQ86" i="126"/>
  <c r="GE86" i="126"/>
  <c r="FO87" i="126"/>
  <c r="GC87" i="126"/>
  <c r="FP87" i="126"/>
  <c r="GD87" i="126"/>
  <c r="FQ87" i="126"/>
  <c r="FO88" i="126"/>
  <c r="FP88" i="126"/>
  <c r="FQ88" i="126"/>
  <c r="GE88" i="126"/>
  <c r="FO89" i="126"/>
  <c r="GC89" i="126"/>
  <c r="FP89" i="126"/>
  <c r="GD89" i="126"/>
  <c r="FQ89" i="126"/>
  <c r="GE89" i="126"/>
  <c r="FO90" i="126"/>
  <c r="FP90" i="126"/>
  <c r="FQ90" i="126"/>
  <c r="GE90" i="126"/>
  <c r="FO91" i="126"/>
  <c r="GC91" i="126"/>
  <c r="FP91" i="126"/>
  <c r="GD91" i="126"/>
  <c r="FQ91" i="126"/>
  <c r="FO92" i="126"/>
  <c r="FP92" i="126"/>
  <c r="GD92" i="126"/>
  <c r="FQ92" i="126"/>
  <c r="GE92" i="126"/>
  <c r="FO93" i="126"/>
  <c r="GC93" i="126"/>
  <c r="FP93" i="126"/>
  <c r="GD93" i="126"/>
  <c r="FQ93" i="126"/>
  <c r="GE93" i="126"/>
  <c r="FO94" i="126"/>
  <c r="FP94" i="126"/>
  <c r="FQ94" i="126"/>
  <c r="GE94" i="126"/>
  <c r="FO95" i="126"/>
  <c r="GC95" i="126"/>
  <c r="FP95" i="126"/>
  <c r="GD95" i="126"/>
  <c r="FQ95" i="126"/>
  <c r="FQ69" i="126"/>
  <c r="E96" i="126"/>
  <c r="E98" i="126"/>
  <c r="FN95" i="126"/>
  <c r="H95" i="126"/>
  <c r="FN94" i="126"/>
  <c r="GB94" i="126"/>
  <c r="H94" i="126"/>
  <c r="FN93" i="126"/>
  <c r="H93" i="126"/>
  <c r="FN92" i="126"/>
  <c r="GB92" i="126"/>
  <c r="H92" i="126"/>
  <c r="FN91" i="126"/>
  <c r="H91" i="126"/>
  <c r="FN90" i="126"/>
  <c r="GB90" i="126"/>
  <c r="H90" i="126"/>
  <c r="FN89" i="126"/>
  <c r="H89" i="126"/>
  <c r="FN88" i="126"/>
  <c r="GB88" i="126"/>
  <c r="H88" i="126"/>
  <c r="FN87" i="126"/>
  <c r="H87" i="126"/>
  <c r="FN86" i="126"/>
  <c r="GB86" i="126"/>
  <c r="H86" i="126"/>
  <c r="FN85" i="126"/>
  <c r="H85" i="126"/>
  <c r="FN84" i="126"/>
  <c r="H84" i="126"/>
  <c r="FN83" i="126"/>
  <c r="H83" i="126"/>
  <c r="FN82" i="126"/>
  <c r="GB82" i="126"/>
  <c r="H82" i="126"/>
  <c r="FN81" i="126"/>
  <c r="H81" i="126"/>
  <c r="FN80" i="126"/>
  <c r="GB80" i="126"/>
  <c r="H80" i="126"/>
  <c r="FN79" i="126"/>
  <c r="H79" i="126"/>
  <c r="FN78" i="126"/>
  <c r="H78" i="126"/>
  <c r="FN77" i="126"/>
  <c r="H77" i="126"/>
  <c r="FN76" i="126"/>
  <c r="H76" i="126"/>
  <c r="FN75" i="126"/>
  <c r="H75" i="126"/>
  <c r="FN74" i="126"/>
  <c r="H74" i="126"/>
  <c r="FN73" i="126"/>
  <c r="H73" i="126"/>
  <c r="FN72" i="126"/>
  <c r="GB72" i="126"/>
  <c r="H72" i="126"/>
  <c r="FN71" i="126"/>
  <c r="H71" i="126"/>
  <c r="FN70" i="126"/>
  <c r="GB70" i="126"/>
  <c r="H70" i="126"/>
  <c r="FN97" i="126"/>
  <c r="H97" i="126"/>
  <c r="FO69" i="126"/>
  <c r="GC69" i="126"/>
  <c r="C96" i="126"/>
  <c r="C98" i="126"/>
  <c r="FN69" i="126"/>
  <c r="B96" i="126"/>
  <c r="B98" i="126"/>
  <c r="H69" i="126"/>
  <c r="FP69" i="126"/>
  <c r="GD69" i="126"/>
  <c r="D96" i="126"/>
  <c r="D98" i="126"/>
  <c r="GD76" i="126"/>
  <c r="DY32" i="66"/>
  <c r="DZ32" i="66" s="1"/>
  <c r="DV32" i="66"/>
  <c r="BT83" i="66" s="1"/>
  <c r="BW81" i="66" s="1"/>
  <c r="DU32" i="66"/>
  <c r="BT82" i="66" s="1"/>
  <c r="DS32" i="66"/>
  <c r="DR32" i="66"/>
  <c r="DP32" i="66"/>
  <c r="BT80" i="66" s="1"/>
  <c r="BV82" i="66" s="1"/>
  <c r="DO32" i="66"/>
  <c r="DM32" i="66"/>
  <c r="BT77" i="66" s="1"/>
  <c r="DL32" i="66"/>
  <c r="DK32" i="66"/>
  <c r="BT75" i="66" s="1"/>
  <c r="DH32" i="66"/>
  <c r="BT72" i="66" s="1"/>
  <c r="DA32" i="66"/>
  <c r="BT65" i="66" s="1"/>
  <c r="CZ32" i="66"/>
  <c r="BT64" i="66" s="1"/>
  <c r="DC32" i="66"/>
  <c r="BT67" i="66" s="1"/>
  <c r="DJ32" i="66"/>
  <c r="BT74" i="66" s="1"/>
  <c r="AU31" i="66"/>
  <c r="AE30" i="66"/>
  <c r="AB30" i="66"/>
  <c r="X30" i="66"/>
  <c r="X76" i="106"/>
  <c r="X77" i="106"/>
  <c r="X78" i="106"/>
  <c r="X79" i="106"/>
  <c r="X80" i="106"/>
  <c r="X81" i="106"/>
  <c r="X82" i="106"/>
  <c r="X83" i="106"/>
  <c r="X84" i="106"/>
  <c r="X85" i="106"/>
  <c r="X86" i="106"/>
  <c r="X87" i="106"/>
  <c r="X88" i="106"/>
  <c r="X89" i="106"/>
  <c r="X90" i="106"/>
  <c r="X91" i="106"/>
  <c r="X92" i="106"/>
  <c r="X93" i="106"/>
  <c r="X94" i="106"/>
  <c r="X95" i="106"/>
  <c r="X96" i="106"/>
  <c r="X97" i="106"/>
  <c r="X98" i="106"/>
  <c r="X99" i="106"/>
  <c r="X100" i="106"/>
  <c r="X101" i="106"/>
  <c r="X75" i="106"/>
  <c r="H31" i="66"/>
  <c r="BX38" i="66" s="1"/>
  <c r="C7" i="65"/>
  <c r="C8" i="65"/>
  <c r="C10" i="65"/>
  <c r="C12" i="65"/>
  <c r="C16" i="65"/>
  <c r="C14" i="65"/>
  <c r="C18" i="65"/>
  <c r="C22" i="65"/>
  <c r="C24" i="65"/>
  <c r="C30" i="65"/>
  <c r="C32" i="65"/>
  <c r="C5" i="65"/>
  <c r="C6" i="65"/>
  <c r="C9" i="65"/>
  <c r="C11" i="65"/>
  <c r="C13" i="65"/>
  <c r="C15" i="65"/>
  <c r="C17" i="65"/>
  <c r="C19" i="65"/>
  <c r="C20" i="65"/>
  <c r="C21" i="65"/>
  <c r="C23" i="65"/>
  <c r="C25" i="65"/>
  <c r="C26" i="65"/>
  <c r="C27" i="65"/>
  <c r="C28" i="65"/>
  <c r="C29" i="65"/>
  <c r="C4" i="65"/>
  <c r="B32" i="65"/>
  <c r="B5" i="65"/>
  <c r="B6" i="65"/>
  <c r="B7" i="65"/>
  <c r="B8" i="65"/>
  <c r="B9" i="65"/>
  <c r="B10" i="65"/>
  <c r="B11" i="65"/>
  <c r="B12" i="65"/>
  <c r="B13" i="65"/>
  <c r="B14" i="65"/>
  <c r="B15" i="65"/>
  <c r="B16" i="65"/>
  <c r="B17" i="65"/>
  <c r="B18" i="65"/>
  <c r="B19" i="65"/>
  <c r="B20" i="65"/>
  <c r="B21" i="65"/>
  <c r="B22" i="65"/>
  <c r="B23" i="65"/>
  <c r="B24" i="65"/>
  <c r="B25" i="65"/>
  <c r="B26" i="65"/>
  <c r="B27" i="65"/>
  <c r="B28" i="65"/>
  <c r="B29" i="65"/>
  <c r="B30" i="65"/>
  <c r="B4" i="65"/>
  <c r="AC30" i="63"/>
  <c r="AC179" i="63"/>
  <c r="AC178" i="63"/>
  <c r="CT178" i="63"/>
  <c r="AC177" i="63"/>
  <c r="CT177" i="63"/>
  <c r="AC176" i="63"/>
  <c r="AC175" i="63"/>
  <c r="AC174" i="63"/>
  <c r="CO174" i="63"/>
  <c r="AC173" i="63"/>
  <c r="CS173" i="63"/>
  <c r="AC172" i="63"/>
  <c r="AC171" i="63"/>
  <c r="AC170" i="63"/>
  <c r="CT170" i="63"/>
  <c r="AC169" i="63"/>
  <c r="CS169" i="63"/>
  <c r="AC168" i="63"/>
  <c r="AC167" i="63"/>
  <c r="AC166" i="63"/>
  <c r="CO166" i="63"/>
  <c r="AC165" i="63"/>
  <c r="CO165" i="63"/>
  <c r="AC164" i="63"/>
  <c r="AC163" i="63"/>
  <c r="AC162" i="63"/>
  <c r="CT162" i="63"/>
  <c r="AC161" i="63"/>
  <c r="CR161" i="63"/>
  <c r="AC160" i="63"/>
  <c r="AC159" i="63"/>
  <c r="AC158" i="63"/>
  <c r="CO158" i="63"/>
  <c r="AC157" i="63"/>
  <c r="CR157" i="63"/>
  <c r="AC156" i="63"/>
  <c r="AC155" i="63"/>
  <c r="AC154" i="63"/>
  <c r="CT154" i="63"/>
  <c r="AC153" i="63"/>
  <c r="AC151" i="63"/>
  <c r="AC150" i="63"/>
  <c r="AC149" i="63"/>
  <c r="CO149" i="63"/>
  <c r="AC148" i="63"/>
  <c r="CM148" i="63"/>
  <c r="AC147" i="63"/>
  <c r="AC146" i="63"/>
  <c r="AC145" i="63"/>
  <c r="CT145" i="63"/>
  <c r="AC144" i="63"/>
  <c r="CT144" i="63"/>
  <c r="AC143" i="63"/>
  <c r="AC142" i="63"/>
  <c r="AC141" i="63"/>
  <c r="CO141" i="63"/>
  <c r="AC140" i="63"/>
  <c r="CS140" i="63"/>
  <c r="AC139" i="63"/>
  <c r="AC138" i="63"/>
  <c r="AC137" i="63"/>
  <c r="CT137" i="63"/>
  <c r="AC136" i="63"/>
  <c r="CS136" i="63"/>
  <c r="AC135" i="63"/>
  <c r="AC134" i="63"/>
  <c r="AC133" i="63"/>
  <c r="CO133" i="63"/>
  <c r="AC132" i="63"/>
  <c r="CO132" i="63"/>
  <c r="AC131" i="63"/>
  <c r="AC130" i="63"/>
  <c r="AC129" i="63"/>
  <c r="CT129" i="63"/>
  <c r="AC128" i="63"/>
  <c r="CR128" i="63"/>
  <c r="AC127" i="63"/>
  <c r="AC126" i="63"/>
  <c r="AC125" i="63"/>
  <c r="CO125" i="63"/>
  <c r="AC124" i="63"/>
  <c r="CR124" i="63"/>
  <c r="AC123" i="63"/>
  <c r="AC121" i="63"/>
  <c r="AC120" i="63"/>
  <c r="AC119" i="63"/>
  <c r="AC118" i="63"/>
  <c r="AC117" i="63"/>
  <c r="AC116" i="63"/>
  <c r="CT116" i="63"/>
  <c r="AC115" i="63"/>
  <c r="CM115" i="63"/>
  <c r="AC114" i="63"/>
  <c r="AC113" i="63"/>
  <c r="AC112" i="63"/>
  <c r="CO112" i="63"/>
  <c r="AC111" i="63"/>
  <c r="CT111" i="63"/>
  <c r="AC110" i="63"/>
  <c r="AC109" i="63"/>
  <c r="AC108" i="63"/>
  <c r="AC107" i="63"/>
  <c r="CS107" i="63"/>
  <c r="AC106" i="63"/>
  <c r="AC105" i="63"/>
  <c r="CM105" i="63"/>
  <c r="AC104" i="63"/>
  <c r="CS104" i="63"/>
  <c r="AC103" i="63"/>
  <c r="CS103" i="63"/>
  <c r="AC102" i="63"/>
  <c r="AC101" i="63"/>
  <c r="CM101" i="63"/>
  <c r="AC100" i="63"/>
  <c r="AC99" i="63"/>
  <c r="CO99" i="63"/>
  <c r="AC98" i="63"/>
  <c r="AC97" i="63"/>
  <c r="CM97" i="63"/>
  <c r="AC96" i="63"/>
  <c r="AC95" i="63"/>
  <c r="CR95" i="63"/>
  <c r="AC94" i="63"/>
  <c r="AC93" i="63"/>
  <c r="CM93" i="63"/>
  <c r="AC91" i="63"/>
  <c r="AC90" i="63"/>
  <c r="AC89" i="63"/>
  <c r="AC88" i="63"/>
  <c r="AC87" i="63"/>
  <c r="AC86" i="63"/>
  <c r="AC85" i="63"/>
  <c r="AC84" i="63"/>
  <c r="AC83" i="63"/>
  <c r="AC82" i="63"/>
  <c r="AC81" i="63"/>
  <c r="AC80" i="63"/>
  <c r="AC79" i="63"/>
  <c r="AC78" i="63"/>
  <c r="CM78" i="63"/>
  <c r="AC77" i="63"/>
  <c r="CV77" i="63"/>
  <c r="AC76" i="63"/>
  <c r="AC75" i="63"/>
  <c r="AC74" i="63"/>
  <c r="AC73" i="63"/>
  <c r="AC72" i="63"/>
  <c r="AC71" i="63"/>
  <c r="AC70" i="63"/>
  <c r="CS70" i="63"/>
  <c r="AC69" i="63"/>
  <c r="AC68" i="63"/>
  <c r="AC67" i="63"/>
  <c r="AC66" i="63"/>
  <c r="AC65" i="63"/>
  <c r="AC64" i="63"/>
  <c r="AC63" i="63"/>
  <c r="AC61" i="63"/>
  <c r="AC60" i="63"/>
  <c r="AC59" i="63"/>
  <c r="AC58" i="63"/>
  <c r="AC57" i="63"/>
  <c r="AC56" i="63"/>
  <c r="AC55" i="63"/>
  <c r="AC54" i="63"/>
  <c r="AC53" i="63"/>
  <c r="CO53" i="63"/>
  <c r="AC52" i="63"/>
  <c r="CM52" i="63"/>
  <c r="AC51" i="63"/>
  <c r="AC50" i="63"/>
  <c r="AC49" i="63"/>
  <c r="AC48" i="63"/>
  <c r="AC47" i="63"/>
  <c r="AC46" i="63"/>
  <c r="AC45" i="63"/>
  <c r="CN45" i="63"/>
  <c r="AC44" i="63"/>
  <c r="AC43" i="63"/>
  <c r="AC42" i="63"/>
  <c r="AC41" i="63"/>
  <c r="AC40" i="63"/>
  <c r="CP40" i="63"/>
  <c r="AC39" i="63"/>
  <c r="AC38" i="63"/>
  <c r="AC37" i="63"/>
  <c r="CU37" i="63"/>
  <c r="AC36" i="63"/>
  <c r="AC35" i="63"/>
  <c r="AC34" i="63"/>
  <c r="AC33" i="63"/>
  <c r="AC31" i="63"/>
  <c r="AC29" i="63"/>
  <c r="AC28" i="63"/>
  <c r="AC27" i="63"/>
  <c r="CP27" i="63"/>
  <c r="AC26" i="63"/>
  <c r="CN26" i="63"/>
  <c r="AC25" i="63"/>
  <c r="AC24" i="63"/>
  <c r="AC23" i="63"/>
  <c r="AC22" i="63"/>
  <c r="CK22" i="63"/>
  <c r="AC21" i="63"/>
  <c r="AC20" i="63"/>
  <c r="AC19" i="63"/>
  <c r="CM19" i="63"/>
  <c r="AC18" i="63"/>
  <c r="AC17" i="63"/>
  <c r="AC16" i="63"/>
  <c r="AC15" i="63"/>
  <c r="CS15" i="63"/>
  <c r="AC14" i="63"/>
  <c r="CN14" i="63"/>
  <c r="AC13" i="63"/>
  <c r="AC12" i="63"/>
  <c r="CL12" i="63"/>
  <c r="AC11" i="63"/>
  <c r="CS11" i="63"/>
  <c r="AC10" i="63"/>
  <c r="AC9" i="63"/>
  <c r="AC8" i="63"/>
  <c r="AC7" i="63"/>
  <c r="CM7" i="63"/>
  <c r="AC6" i="63"/>
  <c r="CK6" i="63"/>
  <c r="AC5" i="63"/>
  <c r="AC4" i="63"/>
  <c r="CQ4" i="63"/>
  <c r="CM40" i="63"/>
  <c r="CQ73" i="63"/>
  <c r="CL94" i="63"/>
  <c r="CL98" i="63"/>
  <c r="CN106" i="63"/>
  <c r="CQ114" i="63"/>
  <c r="CL123" i="63"/>
  <c r="CO127" i="63"/>
  <c r="CQ139" i="63"/>
  <c r="CQ143" i="63"/>
  <c r="CO156" i="63"/>
  <c r="CV160" i="63"/>
  <c r="CV168" i="63"/>
  <c r="CP172" i="63"/>
  <c r="CO176" i="63"/>
  <c r="CQ6" i="63"/>
  <c r="CT14" i="63"/>
  <c r="CQ3" i="63"/>
  <c r="CR3" i="63"/>
  <c r="CR11" i="63"/>
  <c r="CQ23" i="63"/>
  <c r="CQ27" i="63"/>
  <c r="CO37" i="63"/>
  <c r="CK37" i="63"/>
  <c r="CO45" i="63"/>
  <c r="CP49" i="63"/>
  <c r="CO57" i="63"/>
  <c r="CM66" i="63"/>
  <c r="CR70" i="63"/>
  <c r="CM74" i="63"/>
  <c r="CR78" i="63"/>
  <c r="CR82" i="63"/>
  <c r="CM95" i="63"/>
  <c r="CT95" i="63"/>
  <c r="CM99" i="63"/>
  <c r="CS99" i="63"/>
  <c r="CT103" i="63"/>
  <c r="CR103" i="63"/>
  <c r="CO107" i="63"/>
  <c r="CR107" i="63"/>
  <c r="CR111" i="63"/>
  <c r="CN111" i="63"/>
  <c r="CR115" i="63"/>
  <c r="CT119" i="63"/>
  <c r="CM124" i="63"/>
  <c r="CS124" i="63"/>
  <c r="CT128" i="63"/>
  <c r="CS128" i="63"/>
  <c r="CS132" i="63"/>
  <c r="CR132" i="63"/>
  <c r="CR136" i="63"/>
  <c r="CN136" i="63"/>
  <c r="CR140" i="63"/>
  <c r="CM144" i="63"/>
  <c r="CN144" i="63"/>
  <c r="CS148" i="63"/>
  <c r="CT153" i="63"/>
  <c r="CS153" i="63"/>
  <c r="CS157" i="63"/>
  <c r="CO157" i="63"/>
  <c r="CS161" i="63"/>
  <c r="CN161" i="63"/>
  <c r="CR165" i="63"/>
  <c r="CM169" i="63"/>
  <c r="CN169" i="63"/>
  <c r="CM173" i="63"/>
  <c r="CM177" i="63"/>
  <c r="CS177" i="63"/>
  <c r="CM8" i="63"/>
  <c r="CQ8" i="63"/>
  <c r="CL16" i="63"/>
  <c r="CM16" i="63"/>
  <c r="CR16" i="63"/>
  <c r="CM20" i="63"/>
  <c r="CQ20" i="63"/>
  <c r="CP24" i="63"/>
  <c r="CM24" i="63"/>
  <c r="CS24" i="63"/>
  <c r="CL28" i="63"/>
  <c r="CV28" i="63"/>
  <c r="CN34" i="63"/>
  <c r="CU34" i="63"/>
  <c r="CK34" i="63"/>
  <c r="CN38" i="63"/>
  <c r="CP38" i="63"/>
  <c r="CN42" i="63"/>
  <c r="CT42" i="63"/>
  <c r="CO42" i="63"/>
  <c r="CT46" i="63"/>
  <c r="CP46" i="63"/>
  <c r="CO46" i="63"/>
  <c r="CT50" i="63"/>
  <c r="CO50" i="63"/>
  <c r="CS54" i="63"/>
  <c r="CP54" i="63"/>
  <c r="CM58" i="63"/>
  <c r="CT58" i="63"/>
  <c r="CN58" i="63"/>
  <c r="CM63" i="63"/>
  <c r="CS63" i="63"/>
  <c r="CM67" i="63"/>
  <c r="CT67" i="63"/>
  <c r="CR67" i="63"/>
  <c r="CM71" i="63"/>
  <c r="CO71" i="63"/>
  <c r="CR71" i="63"/>
  <c r="CS75" i="63"/>
  <c r="CR75" i="63"/>
  <c r="CN75" i="63"/>
  <c r="CO79" i="63"/>
  <c r="CR79" i="63"/>
  <c r="CT83" i="63"/>
  <c r="CR83" i="63"/>
  <c r="CM87" i="63"/>
  <c r="CS87" i="63"/>
  <c r="CM96" i="63"/>
  <c r="CT96" i="63"/>
  <c r="CS96" i="63"/>
  <c r="CM100" i="63"/>
  <c r="CS100" i="63"/>
  <c r="CR100" i="63"/>
  <c r="CT104" i="63"/>
  <c r="CO104" i="63"/>
  <c r="CR104" i="63"/>
  <c r="CT108" i="63"/>
  <c r="CS108" i="63"/>
  <c r="CO108" i="63"/>
  <c r="CM112" i="63"/>
  <c r="CT112" i="63"/>
  <c r="CS112" i="63"/>
  <c r="CR112" i="63"/>
  <c r="CN112" i="63"/>
  <c r="CM116" i="63"/>
  <c r="CS116" i="63"/>
  <c r="CO116" i="63"/>
  <c r="CR116" i="63"/>
  <c r="CM125" i="63"/>
  <c r="CT125" i="63"/>
  <c r="CS125" i="63"/>
  <c r="CR125" i="63"/>
  <c r="CN125" i="63"/>
  <c r="CM129" i="63"/>
  <c r="CS129" i="63"/>
  <c r="CO129" i="63"/>
  <c r="CR129" i="63"/>
  <c r="CM133" i="63"/>
  <c r="CT133" i="63"/>
  <c r="CS133" i="63"/>
  <c r="CR133" i="63"/>
  <c r="CN133" i="63"/>
  <c r="CM137" i="63"/>
  <c r="CS137" i="63"/>
  <c r="CO137" i="63"/>
  <c r="CR137" i="63"/>
  <c r="CM141" i="63"/>
  <c r="CT141" i="63"/>
  <c r="CS141" i="63"/>
  <c r="CR141" i="63"/>
  <c r="CN141" i="63"/>
  <c r="CM145" i="63"/>
  <c r="CS145" i="63"/>
  <c r="CO145" i="63"/>
  <c r="CR145" i="63"/>
  <c r="CM149" i="63"/>
  <c r="CT149" i="63"/>
  <c r="CS149" i="63"/>
  <c r="CR149" i="63"/>
  <c r="CN149" i="63"/>
  <c r="CM154" i="63"/>
  <c r="CS154" i="63"/>
  <c r="CO154" i="63"/>
  <c r="CR154" i="63"/>
  <c r="CM158" i="63"/>
  <c r="CT158" i="63"/>
  <c r="CS158" i="63"/>
  <c r="CR158" i="63"/>
  <c r="CN158" i="63"/>
  <c r="CM162" i="63"/>
  <c r="CS162" i="63"/>
  <c r="CO162" i="63"/>
  <c r="CR162" i="63"/>
  <c r="CM166" i="63"/>
  <c r="CT166" i="63"/>
  <c r="CS166" i="63"/>
  <c r="CR166" i="63"/>
  <c r="CN166" i="63"/>
  <c r="CM170" i="63"/>
  <c r="CS170" i="63"/>
  <c r="CO170" i="63"/>
  <c r="CR170" i="63"/>
  <c r="CM174" i="63"/>
  <c r="CT174" i="63"/>
  <c r="CS174" i="63"/>
  <c r="CR174" i="63"/>
  <c r="CN174" i="63"/>
  <c r="CM178" i="63"/>
  <c r="CS178" i="63"/>
  <c r="CO178" i="63"/>
  <c r="CR178" i="63"/>
  <c r="CS4" i="63"/>
  <c r="CL4" i="63"/>
  <c r="CM4" i="63"/>
  <c r="CR4" i="63"/>
  <c r="CV4" i="63"/>
  <c r="CS12" i="63"/>
  <c r="CM12" i="63"/>
  <c r="CQ12" i="63"/>
  <c r="CR12" i="63"/>
  <c r="CP5" i="63"/>
  <c r="CQ5" i="63"/>
  <c r="CK9" i="63"/>
  <c r="CL9" i="63"/>
  <c r="CU9" i="63"/>
  <c r="CV9" i="63"/>
  <c r="CP13" i="63"/>
  <c r="CQ13" i="63"/>
  <c r="CK17" i="63"/>
  <c r="CL17" i="63"/>
  <c r="CU17" i="63"/>
  <c r="CV17" i="63"/>
  <c r="CK21" i="63"/>
  <c r="CT21" i="63"/>
  <c r="CU21" i="63"/>
  <c r="CN21" i="63"/>
  <c r="CK25" i="63"/>
  <c r="CP25" i="63"/>
  <c r="CT25" i="63"/>
  <c r="CN25" i="63"/>
  <c r="CO25" i="63"/>
  <c r="CO29" i="63"/>
  <c r="CQ29" i="63"/>
  <c r="CN29" i="63"/>
  <c r="CR29" i="63"/>
  <c r="CV35" i="63"/>
  <c r="CU35" i="63"/>
  <c r="CQ35" i="63"/>
  <c r="CL35" i="63"/>
  <c r="CK35" i="63"/>
  <c r="CV39" i="63"/>
  <c r="CQ39" i="63"/>
  <c r="CP39" i="63"/>
  <c r="CL39" i="63"/>
  <c r="CV43" i="63"/>
  <c r="CU43" i="63"/>
  <c r="CQ43" i="63"/>
  <c r="CL43" i="63"/>
  <c r="CK43" i="63"/>
  <c r="CV47" i="63"/>
  <c r="CQ47" i="63"/>
  <c r="CP47" i="63"/>
  <c r="CL47" i="63"/>
  <c r="CV51" i="63"/>
  <c r="CU51" i="63"/>
  <c r="CQ51" i="63"/>
  <c r="CL51" i="63"/>
  <c r="CS51" i="63"/>
  <c r="CK51" i="63"/>
  <c r="CQ55" i="63"/>
  <c r="CS55" i="63"/>
  <c r="CO55" i="63"/>
  <c r="CV55" i="63"/>
  <c r="CN55" i="63"/>
  <c r="CT55" i="63"/>
  <c r="CU59" i="63"/>
  <c r="CQ59" i="63"/>
  <c r="CT59" i="63"/>
  <c r="CL59" i="63"/>
  <c r="CO59" i="63"/>
  <c r="CK59" i="63"/>
  <c r="CN59" i="63"/>
  <c r="CU64" i="63"/>
  <c r="CQ64" i="63"/>
  <c r="CP64" i="63"/>
  <c r="CL64" i="63"/>
  <c r="CO64" i="63"/>
  <c r="CV64" i="63"/>
  <c r="CN64" i="63"/>
  <c r="CU68" i="63"/>
  <c r="CT68" i="63"/>
  <c r="CP68" i="63"/>
  <c r="CL68" i="63"/>
  <c r="CK68" i="63"/>
  <c r="CV68" i="63"/>
  <c r="CN68" i="63"/>
  <c r="CQ72" i="63"/>
  <c r="CT72" i="63"/>
  <c r="CP72" i="63"/>
  <c r="CO72" i="63"/>
  <c r="CK72" i="63"/>
  <c r="CV72" i="63"/>
  <c r="CU76" i="63"/>
  <c r="CQ76" i="63"/>
  <c r="CT76" i="63"/>
  <c r="CL76" i="63"/>
  <c r="CO76" i="63"/>
  <c r="CK76" i="63"/>
  <c r="CN76" i="63"/>
  <c r="CU80" i="63"/>
  <c r="CQ80" i="63"/>
  <c r="CP80" i="63"/>
  <c r="CL80" i="63"/>
  <c r="CO80" i="63"/>
  <c r="CV80" i="63"/>
  <c r="CN80" i="63"/>
  <c r="CU84" i="63"/>
  <c r="CT84" i="63"/>
  <c r="CP84" i="63"/>
  <c r="CL84" i="63"/>
  <c r="CK84" i="63"/>
  <c r="CV84" i="63"/>
  <c r="CN84" i="63"/>
  <c r="CQ88" i="63"/>
  <c r="CT88" i="63"/>
  <c r="CP88" i="63"/>
  <c r="CO88" i="63"/>
  <c r="CK88" i="63"/>
  <c r="CV88" i="63"/>
  <c r="CN88" i="63"/>
  <c r="CU93" i="63"/>
  <c r="CQ93" i="63"/>
  <c r="CT93" i="63"/>
  <c r="CP93" i="63"/>
  <c r="CL93" i="63"/>
  <c r="CO93" i="63"/>
  <c r="CK93" i="63"/>
  <c r="CV93" i="63"/>
  <c r="CN93" i="63"/>
  <c r="CU97" i="63"/>
  <c r="CQ97" i="63"/>
  <c r="CT97" i="63"/>
  <c r="CP97" i="63"/>
  <c r="CL97" i="63"/>
  <c r="CO97" i="63"/>
  <c r="CK97" i="63"/>
  <c r="CV97" i="63"/>
  <c r="CN97" i="63"/>
  <c r="CU101" i="63"/>
  <c r="CQ101" i="63"/>
  <c r="CT101" i="63"/>
  <c r="CP101" i="63"/>
  <c r="CL101" i="63"/>
  <c r="CO101" i="63"/>
  <c r="CK101" i="63"/>
  <c r="CV101" i="63"/>
  <c r="CN101" i="63"/>
  <c r="CU105" i="63"/>
  <c r="CQ105" i="63"/>
  <c r="CT105" i="63"/>
  <c r="CP105" i="63"/>
  <c r="CL105" i="63"/>
  <c r="CO105" i="63"/>
  <c r="CK105" i="63"/>
  <c r="CV105" i="63"/>
  <c r="CN105" i="63"/>
  <c r="CU109" i="63"/>
  <c r="CQ109" i="63"/>
  <c r="CM109" i="63"/>
  <c r="CT109" i="63"/>
  <c r="CP109" i="63"/>
  <c r="CL109" i="63"/>
  <c r="CS109" i="63"/>
  <c r="CO109" i="63"/>
  <c r="CK109" i="63"/>
  <c r="CV109" i="63"/>
  <c r="CR109" i="63"/>
  <c r="CN109" i="63"/>
  <c r="CU113" i="63"/>
  <c r="CQ113" i="63"/>
  <c r="CM113" i="63"/>
  <c r="CT113" i="63"/>
  <c r="CP113" i="63"/>
  <c r="CL113" i="63"/>
  <c r="CS113" i="63"/>
  <c r="CO113" i="63"/>
  <c r="CK113" i="63"/>
  <c r="CV113" i="63"/>
  <c r="CR113" i="63"/>
  <c r="CN113" i="63"/>
  <c r="CU117" i="63"/>
  <c r="CQ117" i="63"/>
  <c r="CM117" i="63"/>
  <c r="CT117" i="63"/>
  <c r="CP117" i="63"/>
  <c r="CL117" i="63"/>
  <c r="CS117" i="63"/>
  <c r="CO117" i="63"/>
  <c r="CK117" i="63"/>
  <c r="CV117" i="63"/>
  <c r="CR117" i="63"/>
  <c r="CN117" i="63"/>
  <c r="CU126" i="63"/>
  <c r="CQ126" i="63"/>
  <c r="CM126" i="63"/>
  <c r="CT126" i="63"/>
  <c r="CP126" i="63"/>
  <c r="CL126" i="63"/>
  <c r="CS126" i="63"/>
  <c r="CO126" i="63"/>
  <c r="CK126" i="63"/>
  <c r="CV126" i="63"/>
  <c r="CR126" i="63"/>
  <c r="CN126" i="63"/>
  <c r="CU130" i="63"/>
  <c r="CQ130" i="63"/>
  <c r="CM130" i="63"/>
  <c r="CT130" i="63"/>
  <c r="CP130" i="63"/>
  <c r="CL130" i="63"/>
  <c r="CS130" i="63"/>
  <c r="CO130" i="63"/>
  <c r="CK130" i="63"/>
  <c r="CV130" i="63"/>
  <c r="CR130" i="63"/>
  <c r="CN130" i="63"/>
  <c r="CU134" i="63"/>
  <c r="CQ134" i="63"/>
  <c r="CM134" i="63"/>
  <c r="CT134" i="63"/>
  <c r="CP134" i="63"/>
  <c r="CL134" i="63"/>
  <c r="CS134" i="63"/>
  <c r="CO134" i="63"/>
  <c r="CK134" i="63"/>
  <c r="CV134" i="63"/>
  <c r="CR134" i="63"/>
  <c r="CN134" i="63"/>
  <c r="CU138" i="63"/>
  <c r="CQ138" i="63"/>
  <c r="CM138" i="63"/>
  <c r="CT138" i="63"/>
  <c r="CP138" i="63"/>
  <c r="CL138" i="63"/>
  <c r="CS138" i="63"/>
  <c r="CO138" i="63"/>
  <c r="CK138" i="63"/>
  <c r="CV138" i="63"/>
  <c r="CR138" i="63"/>
  <c r="CN138" i="63"/>
  <c r="CU142" i="63"/>
  <c r="CQ142" i="63"/>
  <c r="CM142" i="63"/>
  <c r="CT142" i="63"/>
  <c r="CP142" i="63"/>
  <c r="CL142" i="63"/>
  <c r="CS142" i="63"/>
  <c r="CO142" i="63"/>
  <c r="CK142" i="63"/>
  <c r="CV142" i="63"/>
  <c r="CR142" i="63"/>
  <c r="CN142" i="63"/>
  <c r="CU146" i="63"/>
  <c r="CQ146" i="63"/>
  <c r="CM146" i="63"/>
  <c r="CT146" i="63"/>
  <c r="CP146" i="63"/>
  <c r="CL146" i="63"/>
  <c r="CS146" i="63"/>
  <c r="CO146" i="63"/>
  <c r="CK146" i="63"/>
  <c r="CV146" i="63"/>
  <c r="CR146" i="63"/>
  <c r="CN146" i="63"/>
  <c r="CU155" i="63"/>
  <c r="CQ155" i="63"/>
  <c r="CM155" i="63"/>
  <c r="CT155" i="63"/>
  <c r="CP155" i="63"/>
  <c r="CL155" i="63"/>
  <c r="CS155" i="63"/>
  <c r="CO155" i="63"/>
  <c r="CK155" i="63"/>
  <c r="CV155" i="63"/>
  <c r="CR155" i="63"/>
  <c r="CN155" i="63"/>
  <c r="CU159" i="63"/>
  <c r="CQ159" i="63"/>
  <c r="CM159" i="63"/>
  <c r="CT159" i="63"/>
  <c r="CP159" i="63"/>
  <c r="CL159" i="63"/>
  <c r="CS159" i="63"/>
  <c r="CO159" i="63"/>
  <c r="CK159" i="63"/>
  <c r="CV159" i="63"/>
  <c r="CR159" i="63"/>
  <c r="CN159" i="63"/>
  <c r="CU163" i="63"/>
  <c r="CQ163" i="63"/>
  <c r="CM163" i="63"/>
  <c r="CT163" i="63"/>
  <c r="CP163" i="63"/>
  <c r="CL163" i="63"/>
  <c r="CS163" i="63"/>
  <c r="CO163" i="63"/>
  <c r="CK163" i="63"/>
  <c r="CV163" i="63"/>
  <c r="CR163" i="63"/>
  <c r="CN163" i="63"/>
  <c r="CU167" i="63"/>
  <c r="CQ167" i="63"/>
  <c r="CM167" i="63"/>
  <c r="CT167" i="63"/>
  <c r="CP167" i="63"/>
  <c r="CL167" i="63"/>
  <c r="CS167" i="63"/>
  <c r="CO167" i="63"/>
  <c r="CK167" i="63"/>
  <c r="CV167" i="63"/>
  <c r="CR167" i="63"/>
  <c r="CN167" i="63"/>
  <c r="CU171" i="63"/>
  <c r="CQ171" i="63"/>
  <c r="CM171" i="63"/>
  <c r="CT171" i="63"/>
  <c r="CP171" i="63"/>
  <c r="CL171" i="63"/>
  <c r="CS171" i="63"/>
  <c r="CO171" i="63"/>
  <c r="CK171" i="63"/>
  <c r="CV171" i="63"/>
  <c r="CR171" i="63"/>
  <c r="CN171" i="63"/>
  <c r="CU175" i="63"/>
  <c r="CQ175" i="63"/>
  <c r="CM175" i="63"/>
  <c r="CT175" i="63"/>
  <c r="CP175" i="63"/>
  <c r="CL175" i="63"/>
  <c r="CS175" i="63"/>
  <c r="CO175" i="63"/>
  <c r="CK175" i="63"/>
  <c r="CV175" i="63"/>
  <c r="CR175" i="63"/>
  <c r="CN175" i="63"/>
  <c r="CU179" i="63"/>
  <c r="CQ179" i="63"/>
  <c r="CM179" i="63"/>
  <c r="CT179" i="63"/>
  <c r="CP179" i="63"/>
  <c r="CL179" i="63"/>
  <c r="CS179" i="63"/>
  <c r="CO179" i="63"/>
  <c r="CK179" i="63"/>
  <c r="CV179" i="63"/>
  <c r="CR179" i="63"/>
  <c r="CN179" i="63"/>
  <c r="O102" i="117"/>
  <c r="O102" i="116"/>
  <c r="O102" i="115"/>
  <c r="O14" i="118"/>
  <c r="O102" i="114"/>
  <c r="O13" i="118" s="1"/>
  <c r="O17" i="118" s="1"/>
  <c r="X101" i="117"/>
  <c r="W101" i="117"/>
  <c r="V101" i="117"/>
  <c r="U101" i="117"/>
  <c r="T101" i="117"/>
  <c r="S101" i="117"/>
  <c r="X100" i="117"/>
  <c r="W100" i="117"/>
  <c r="V100" i="117"/>
  <c r="U100" i="117"/>
  <c r="T100" i="117"/>
  <c r="S100" i="117"/>
  <c r="X99" i="117"/>
  <c r="W99" i="117"/>
  <c r="V99" i="117"/>
  <c r="U99" i="117"/>
  <c r="T99" i="117"/>
  <c r="S99" i="117"/>
  <c r="X98" i="117"/>
  <c r="W98" i="117"/>
  <c r="V98" i="117"/>
  <c r="U98" i="117"/>
  <c r="T98" i="117"/>
  <c r="S98" i="117"/>
  <c r="X97" i="117"/>
  <c r="W97" i="117"/>
  <c r="V97" i="117"/>
  <c r="U97" i="117"/>
  <c r="T97" i="117"/>
  <c r="S97" i="117"/>
  <c r="X96" i="117"/>
  <c r="W96" i="117"/>
  <c r="V96" i="117"/>
  <c r="U96" i="117"/>
  <c r="T96" i="117"/>
  <c r="S96" i="117"/>
  <c r="X95" i="117"/>
  <c r="W95" i="117"/>
  <c r="V95" i="117"/>
  <c r="U95" i="117"/>
  <c r="T95" i="117"/>
  <c r="S95" i="117"/>
  <c r="X94" i="117"/>
  <c r="W94" i="117"/>
  <c r="V94" i="117"/>
  <c r="U94" i="117"/>
  <c r="T94" i="117"/>
  <c r="S94" i="117"/>
  <c r="X93" i="117"/>
  <c r="W93" i="117"/>
  <c r="V93" i="117"/>
  <c r="U93" i="117"/>
  <c r="T93" i="117"/>
  <c r="S93" i="117"/>
  <c r="X92" i="117"/>
  <c r="W92" i="117"/>
  <c r="V92" i="117"/>
  <c r="U92" i="117"/>
  <c r="T92" i="117"/>
  <c r="S92" i="117"/>
  <c r="X91" i="117"/>
  <c r="W91" i="117"/>
  <c r="V91" i="117"/>
  <c r="U91" i="117"/>
  <c r="T91" i="117"/>
  <c r="S91" i="117"/>
  <c r="X90" i="117"/>
  <c r="W90" i="117"/>
  <c r="V90" i="117"/>
  <c r="U90" i="117"/>
  <c r="T90" i="117"/>
  <c r="S90" i="117"/>
  <c r="X89" i="117"/>
  <c r="W89" i="117"/>
  <c r="V89" i="117"/>
  <c r="U89" i="117"/>
  <c r="T89" i="117"/>
  <c r="S89" i="117"/>
  <c r="X88" i="117"/>
  <c r="W88" i="117"/>
  <c r="V88" i="117"/>
  <c r="U88" i="117"/>
  <c r="T88" i="117"/>
  <c r="S88" i="117"/>
  <c r="X87" i="117"/>
  <c r="W87" i="117"/>
  <c r="V87" i="117"/>
  <c r="U87" i="117"/>
  <c r="T87" i="117"/>
  <c r="S87" i="117"/>
  <c r="X86" i="117"/>
  <c r="W86" i="117"/>
  <c r="V86" i="117"/>
  <c r="U86" i="117"/>
  <c r="T86" i="117"/>
  <c r="S86" i="117"/>
  <c r="X85" i="117"/>
  <c r="W85" i="117"/>
  <c r="V85" i="117"/>
  <c r="U85" i="117"/>
  <c r="T85" i="117"/>
  <c r="S85" i="117"/>
  <c r="X84" i="117"/>
  <c r="W84" i="117"/>
  <c r="V84" i="117"/>
  <c r="U84" i="117"/>
  <c r="T84" i="117"/>
  <c r="S84" i="117"/>
  <c r="X83" i="117"/>
  <c r="W83" i="117"/>
  <c r="V83" i="117"/>
  <c r="U83" i="117"/>
  <c r="T83" i="117"/>
  <c r="S83" i="117"/>
  <c r="X82" i="117"/>
  <c r="W82" i="117"/>
  <c r="V82" i="117"/>
  <c r="U82" i="117"/>
  <c r="T82" i="117"/>
  <c r="S82" i="117"/>
  <c r="X81" i="117"/>
  <c r="W81" i="117"/>
  <c r="V81" i="117"/>
  <c r="U81" i="117"/>
  <c r="T81" i="117"/>
  <c r="S81" i="117"/>
  <c r="X80" i="117"/>
  <c r="W80" i="117"/>
  <c r="V80" i="117"/>
  <c r="U80" i="117"/>
  <c r="T80" i="117"/>
  <c r="S80" i="117"/>
  <c r="X79" i="117"/>
  <c r="W79" i="117"/>
  <c r="V79" i="117"/>
  <c r="U79" i="117"/>
  <c r="T79" i="117"/>
  <c r="S79" i="117"/>
  <c r="X78" i="117"/>
  <c r="W78" i="117"/>
  <c r="V78" i="117"/>
  <c r="U78" i="117"/>
  <c r="T78" i="117"/>
  <c r="S78" i="117"/>
  <c r="X77" i="117"/>
  <c r="W77" i="117"/>
  <c r="V77" i="117"/>
  <c r="U77" i="117"/>
  <c r="T77" i="117"/>
  <c r="S77" i="117"/>
  <c r="X76" i="117"/>
  <c r="W76" i="117"/>
  <c r="V76" i="117"/>
  <c r="U76" i="117"/>
  <c r="T76" i="117"/>
  <c r="S76" i="117"/>
  <c r="X75" i="117"/>
  <c r="W75" i="117"/>
  <c r="V75" i="117"/>
  <c r="U75" i="117"/>
  <c r="T75" i="117"/>
  <c r="S75" i="117"/>
  <c r="X101" i="116"/>
  <c r="W101" i="116"/>
  <c r="V101" i="116"/>
  <c r="U101" i="116"/>
  <c r="T101" i="116"/>
  <c r="S101" i="116"/>
  <c r="X100" i="116"/>
  <c r="W100" i="116"/>
  <c r="V100" i="116"/>
  <c r="U100" i="116"/>
  <c r="T100" i="116"/>
  <c r="S100" i="116"/>
  <c r="X99" i="116"/>
  <c r="W99" i="116"/>
  <c r="V99" i="116"/>
  <c r="U99" i="116"/>
  <c r="T99" i="116"/>
  <c r="S99" i="116"/>
  <c r="X98" i="116"/>
  <c r="W98" i="116"/>
  <c r="V98" i="116"/>
  <c r="U98" i="116"/>
  <c r="T98" i="116"/>
  <c r="S98" i="116"/>
  <c r="X97" i="116"/>
  <c r="W97" i="116"/>
  <c r="V97" i="116"/>
  <c r="U97" i="116"/>
  <c r="T97" i="116"/>
  <c r="S97" i="116"/>
  <c r="X96" i="116"/>
  <c r="W96" i="116"/>
  <c r="V96" i="116"/>
  <c r="U96" i="116"/>
  <c r="T96" i="116"/>
  <c r="S96" i="116"/>
  <c r="X95" i="116"/>
  <c r="W95" i="116"/>
  <c r="V95" i="116"/>
  <c r="U95" i="116"/>
  <c r="T95" i="116"/>
  <c r="S95" i="116"/>
  <c r="X94" i="116"/>
  <c r="W94" i="116"/>
  <c r="V94" i="116"/>
  <c r="U94" i="116"/>
  <c r="T94" i="116"/>
  <c r="S94" i="116"/>
  <c r="X93" i="116"/>
  <c r="W93" i="116"/>
  <c r="V93" i="116"/>
  <c r="U93" i="116"/>
  <c r="T93" i="116"/>
  <c r="S93" i="116"/>
  <c r="X92" i="116"/>
  <c r="W92" i="116"/>
  <c r="V92" i="116"/>
  <c r="U92" i="116"/>
  <c r="T92" i="116"/>
  <c r="S92" i="116"/>
  <c r="X91" i="116"/>
  <c r="W91" i="116"/>
  <c r="V91" i="116"/>
  <c r="U91" i="116"/>
  <c r="T91" i="116"/>
  <c r="S91" i="116"/>
  <c r="X90" i="116"/>
  <c r="W90" i="116"/>
  <c r="V90" i="116"/>
  <c r="U90" i="116"/>
  <c r="T90" i="116"/>
  <c r="S90" i="116"/>
  <c r="X89" i="116"/>
  <c r="W89" i="116"/>
  <c r="V89" i="116"/>
  <c r="U89" i="116"/>
  <c r="T89" i="116"/>
  <c r="S89" i="116"/>
  <c r="X88" i="116"/>
  <c r="W88" i="116"/>
  <c r="V88" i="116"/>
  <c r="U88" i="116"/>
  <c r="T88" i="116"/>
  <c r="S88" i="116"/>
  <c r="X87" i="116"/>
  <c r="W87" i="116"/>
  <c r="V87" i="116"/>
  <c r="U87" i="116"/>
  <c r="T87" i="116"/>
  <c r="S87" i="116"/>
  <c r="X86" i="116"/>
  <c r="W86" i="116"/>
  <c r="V86" i="116"/>
  <c r="U86" i="116"/>
  <c r="T86" i="116"/>
  <c r="S86" i="116"/>
  <c r="X85" i="116"/>
  <c r="W85" i="116"/>
  <c r="V85" i="116"/>
  <c r="U85" i="116"/>
  <c r="T85" i="116"/>
  <c r="S85" i="116"/>
  <c r="X84" i="116"/>
  <c r="W84" i="116"/>
  <c r="V84" i="116"/>
  <c r="U84" i="116"/>
  <c r="T84" i="116"/>
  <c r="S84" i="116"/>
  <c r="X83" i="116"/>
  <c r="W83" i="116"/>
  <c r="V83" i="116"/>
  <c r="U83" i="116"/>
  <c r="T83" i="116"/>
  <c r="S83" i="116"/>
  <c r="X82" i="116"/>
  <c r="W82" i="116"/>
  <c r="V82" i="116"/>
  <c r="U82" i="116"/>
  <c r="T82" i="116"/>
  <c r="S82" i="116"/>
  <c r="X81" i="116"/>
  <c r="W81" i="116"/>
  <c r="V81" i="116"/>
  <c r="U81" i="116"/>
  <c r="T81" i="116"/>
  <c r="S81" i="116"/>
  <c r="X80" i="116"/>
  <c r="W80" i="116"/>
  <c r="V80" i="116"/>
  <c r="U80" i="116"/>
  <c r="T80" i="116"/>
  <c r="S80" i="116"/>
  <c r="X79" i="116"/>
  <c r="W79" i="116"/>
  <c r="V79" i="116"/>
  <c r="U79" i="116"/>
  <c r="T79" i="116"/>
  <c r="S79" i="116"/>
  <c r="X78" i="116"/>
  <c r="W78" i="116"/>
  <c r="V78" i="116"/>
  <c r="U78" i="116"/>
  <c r="T78" i="116"/>
  <c r="S78" i="116"/>
  <c r="X77" i="116"/>
  <c r="W77" i="116"/>
  <c r="V77" i="116"/>
  <c r="U77" i="116"/>
  <c r="T77" i="116"/>
  <c r="S77" i="116"/>
  <c r="X76" i="116"/>
  <c r="W76" i="116"/>
  <c r="V76" i="116"/>
  <c r="U76" i="116"/>
  <c r="T76" i="116"/>
  <c r="S76" i="116"/>
  <c r="X75" i="116"/>
  <c r="W75" i="116"/>
  <c r="V75" i="116"/>
  <c r="U75" i="116"/>
  <c r="T75" i="116"/>
  <c r="S75" i="116"/>
  <c r="X101" i="115"/>
  <c r="W101" i="115"/>
  <c r="V101" i="115"/>
  <c r="U101" i="115"/>
  <c r="T101" i="115"/>
  <c r="S101" i="115"/>
  <c r="X100" i="115"/>
  <c r="W100" i="115"/>
  <c r="V100" i="115"/>
  <c r="U100" i="115"/>
  <c r="T100" i="115"/>
  <c r="S100" i="115"/>
  <c r="X99" i="115"/>
  <c r="W99" i="115"/>
  <c r="V99" i="115"/>
  <c r="U99" i="115"/>
  <c r="T99" i="115"/>
  <c r="S99" i="115"/>
  <c r="X98" i="115"/>
  <c r="W98" i="115"/>
  <c r="V98" i="115"/>
  <c r="U98" i="115"/>
  <c r="T98" i="115"/>
  <c r="S98" i="115"/>
  <c r="X97" i="115"/>
  <c r="W97" i="115"/>
  <c r="V97" i="115"/>
  <c r="U97" i="115"/>
  <c r="T97" i="115"/>
  <c r="S97" i="115"/>
  <c r="X96" i="115"/>
  <c r="W96" i="115"/>
  <c r="V96" i="115"/>
  <c r="U96" i="115"/>
  <c r="T96" i="115"/>
  <c r="S96" i="115"/>
  <c r="X95" i="115"/>
  <c r="W95" i="115"/>
  <c r="V95" i="115"/>
  <c r="U95" i="115"/>
  <c r="T95" i="115"/>
  <c r="S95" i="115"/>
  <c r="X94" i="115"/>
  <c r="W94" i="115"/>
  <c r="V94" i="115"/>
  <c r="U94" i="115"/>
  <c r="T94" i="115"/>
  <c r="S94" i="115"/>
  <c r="X93" i="115"/>
  <c r="W93" i="115"/>
  <c r="V93" i="115"/>
  <c r="U93" i="115"/>
  <c r="T93" i="115"/>
  <c r="S93" i="115"/>
  <c r="X92" i="115"/>
  <c r="W92" i="115"/>
  <c r="V92" i="115"/>
  <c r="U92" i="115"/>
  <c r="T92" i="115"/>
  <c r="S92" i="115"/>
  <c r="X91" i="115"/>
  <c r="W91" i="115"/>
  <c r="V91" i="115"/>
  <c r="U91" i="115"/>
  <c r="T91" i="115"/>
  <c r="S91" i="115"/>
  <c r="X90" i="115"/>
  <c r="W90" i="115"/>
  <c r="V90" i="115"/>
  <c r="U90" i="115"/>
  <c r="T90" i="115"/>
  <c r="S90" i="115"/>
  <c r="X89" i="115"/>
  <c r="W89" i="115"/>
  <c r="V89" i="115"/>
  <c r="U89" i="115"/>
  <c r="T89" i="115"/>
  <c r="S89" i="115"/>
  <c r="X88" i="115"/>
  <c r="W88" i="115"/>
  <c r="V88" i="115"/>
  <c r="U88" i="115"/>
  <c r="T88" i="115"/>
  <c r="S88" i="115"/>
  <c r="X87" i="115"/>
  <c r="W87" i="115"/>
  <c r="V87" i="115"/>
  <c r="U87" i="115"/>
  <c r="T87" i="115"/>
  <c r="S87" i="115"/>
  <c r="X86" i="115"/>
  <c r="W86" i="115"/>
  <c r="V86" i="115"/>
  <c r="U86" i="115"/>
  <c r="T86" i="115"/>
  <c r="S86" i="115"/>
  <c r="X85" i="115"/>
  <c r="W85" i="115"/>
  <c r="V85" i="115"/>
  <c r="U85" i="115"/>
  <c r="T85" i="115"/>
  <c r="S85" i="115"/>
  <c r="X84" i="115"/>
  <c r="W84" i="115"/>
  <c r="V84" i="115"/>
  <c r="U84" i="115"/>
  <c r="T84" i="115"/>
  <c r="S84" i="115"/>
  <c r="X83" i="115"/>
  <c r="W83" i="115"/>
  <c r="V83" i="115"/>
  <c r="U83" i="115"/>
  <c r="T83" i="115"/>
  <c r="S83" i="115"/>
  <c r="X82" i="115"/>
  <c r="W82" i="115"/>
  <c r="V82" i="115"/>
  <c r="U82" i="115"/>
  <c r="T82" i="115"/>
  <c r="S82" i="115"/>
  <c r="X81" i="115"/>
  <c r="W81" i="115"/>
  <c r="V81" i="115"/>
  <c r="U81" i="115"/>
  <c r="T81" i="115"/>
  <c r="S81" i="115"/>
  <c r="X80" i="115"/>
  <c r="W80" i="115"/>
  <c r="V80" i="115"/>
  <c r="U80" i="115"/>
  <c r="T80" i="115"/>
  <c r="S80" i="115"/>
  <c r="X79" i="115"/>
  <c r="W79" i="115"/>
  <c r="V79" i="115"/>
  <c r="U79" i="115"/>
  <c r="T79" i="115"/>
  <c r="S79" i="115"/>
  <c r="X78" i="115"/>
  <c r="W78" i="115"/>
  <c r="V78" i="115"/>
  <c r="U78" i="115"/>
  <c r="T78" i="115"/>
  <c r="S78" i="115"/>
  <c r="X77" i="115"/>
  <c r="W77" i="115"/>
  <c r="V77" i="115"/>
  <c r="U77" i="115"/>
  <c r="T77" i="115"/>
  <c r="S77" i="115"/>
  <c r="X76" i="115"/>
  <c r="W76" i="115"/>
  <c r="V76" i="115"/>
  <c r="U76" i="115"/>
  <c r="T76" i="115"/>
  <c r="S76" i="115"/>
  <c r="X75" i="115"/>
  <c r="W75" i="115"/>
  <c r="V75" i="115"/>
  <c r="U75" i="115"/>
  <c r="T75" i="115"/>
  <c r="S75" i="115"/>
  <c r="X101" i="114"/>
  <c r="W101" i="114"/>
  <c r="V101" i="114"/>
  <c r="U101" i="114"/>
  <c r="T101" i="114"/>
  <c r="S101" i="114"/>
  <c r="X100" i="114"/>
  <c r="W100" i="114"/>
  <c r="V100" i="114"/>
  <c r="U100" i="114"/>
  <c r="T100" i="114"/>
  <c r="S100" i="114"/>
  <c r="X99" i="114"/>
  <c r="W99" i="114"/>
  <c r="V99" i="114"/>
  <c r="U99" i="114"/>
  <c r="T99" i="114"/>
  <c r="S99" i="114"/>
  <c r="X98" i="114"/>
  <c r="W98" i="114"/>
  <c r="V98" i="114"/>
  <c r="U98" i="114"/>
  <c r="T98" i="114"/>
  <c r="S98" i="114"/>
  <c r="X97" i="114"/>
  <c r="W97" i="114"/>
  <c r="V97" i="114"/>
  <c r="U97" i="114"/>
  <c r="T97" i="114"/>
  <c r="S97" i="114"/>
  <c r="X96" i="114"/>
  <c r="W96" i="114"/>
  <c r="V96" i="114"/>
  <c r="U96" i="114"/>
  <c r="T96" i="114"/>
  <c r="S96" i="114"/>
  <c r="X95" i="114"/>
  <c r="W95" i="114"/>
  <c r="V95" i="114"/>
  <c r="U95" i="114"/>
  <c r="T95" i="114"/>
  <c r="S95" i="114"/>
  <c r="X94" i="114"/>
  <c r="W94" i="114"/>
  <c r="V94" i="114"/>
  <c r="U94" i="114"/>
  <c r="T94" i="114"/>
  <c r="S94" i="114"/>
  <c r="X93" i="114"/>
  <c r="W93" i="114"/>
  <c r="V93" i="114"/>
  <c r="U93" i="114"/>
  <c r="T93" i="114"/>
  <c r="S93" i="114"/>
  <c r="X92" i="114"/>
  <c r="W92" i="114"/>
  <c r="V92" i="114"/>
  <c r="U92" i="114"/>
  <c r="T92" i="114"/>
  <c r="S92" i="114"/>
  <c r="X91" i="114"/>
  <c r="W91" i="114"/>
  <c r="V91" i="114"/>
  <c r="U91" i="114"/>
  <c r="T91" i="114"/>
  <c r="S91" i="114"/>
  <c r="X90" i="114"/>
  <c r="W90" i="114"/>
  <c r="V90" i="114"/>
  <c r="U90" i="114"/>
  <c r="T90" i="114"/>
  <c r="S90" i="114"/>
  <c r="X89" i="114"/>
  <c r="W89" i="114"/>
  <c r="V89" i="114"/>
  <c r="U89" i="114"/>
  <c r="T89" i="114"/>
  <c r="S89" i="114"/>
  <c r="X88" i="114"/>
  <c r="W88" i="114"/>
  <c r="V88" i="114"/>
  <c r="U88" i="114"/>
  <c r="T88" i="114"/>
  <c r="S88" i="114"/>
  <c r="X87" i="114"/>
  <c r="W87" i="114"/>
  <c r="V87" i="114"/>
  <c r="U87" i="114"/>
  <c r="T87" i="114"/>
  <c r="S87" i="114"/>
  <c r="X86" i="114"/>
  <c r="W86" i="114"/>
  <c r="V86" i="114"/>
  <c r="U86" i="114"/>
  <c r="T86" i="114"/>
  <c r="S86" i="114"/>
  <c r="X85" i="114"/>
  <c r="W85" i="114"/>
  <c r="V85" i="114"/>
  <c r="U85" i="114"/>
  <c r="T85" i="114"/>
  <c r="S85" i="114"/>
  <c r="X84" i="114"/>
  <c r="W84" i="114"/>
  <c r="V84" i="114"/>
  <c r="U84" i="114"/>
  <c r="T84" i="114"/>
  <c r="S84" i="114"/>
  <c r="X83" i="114"/>
  <c r="W83" i="114"/>
  <c r="V83" i="114"/>
  <c r="U83" i="114"/>
  <c r="T83" i="114"/>
  <c r="S83" i="114"/>
  <c r="X82" i="114"/>
  <c r="W82" i="114"/>
  <c r="V82" i="114"/>
  <c r="U82" i="114"/>
  <c r="T82" i="114"/>
  <c r="S82" i="114"/>
  <c r="X81" i="114"/>
  <c r="W81" i="114"/>
  <c r="V81" i="114"/>
  <c r="U81" i="114"/>
  <c r="T81" i="114"/>
  <c r="S81" i="114"/>
  <c r="X80" i="114"/>
  <c r="W80" i="114"/>
  <c r="V80" i="114"/>
  <c r="U80" i="114"/>
  <c r="T80" i="114"/>
  <c r="S80" i="114"/>
  <c r="X79" i="114"/>
  <c r="W79" i="114"/>
  <c r="V79" i="114"/>
  <c r="U79" i="114"/>
  <c r="T79" i="114"/>
  <c r="S79" i="114"/>
  <c r="X78" i="114"/>
  <c r="W78" i="114"/>
  <c r="V78" i="114"/>
  <c r="U78" i="114"/>
  <c r="T78" i="114"/>
  <c r="S78" i="114"/>
  <c r="X77" i="114"/>
  <c r="W77" i="114"/>
  <c r="V77" i="114"/>
  <c r="U77" i="114"/>
  <c r="T77" i="114"/>
  <c r="S77" i="114"/>
  <c r="X76" i="114"/>
  <c r="W76" i="114"/>
  <c r="V76" i="114"/>
  <c r="U76" i="114"/>
  <c r="T76" i="114"/>
  <c r="S76" i="114"/>
  <c r="X75" i="114"/>
  <c r="W75" i="114"/>
  <c r="V75" i="114"/>
  <c r="U75" i="114"/>
  <c r="T75" i="114"/>
  <c r="S75" i="114"/>
  <c r="X101" i="113"/>
  <c r="W101" i="113"/>
  <c r="V101" i="113"/>
  <c r="U101" i="113"/>
  <c r="T101" i="113"/>
  <c r="S101" i="113"/>
  <c r="W100" i="113"/>
  <c r="V100" i="113"/>
  <c r="U100" i="113"/>
  <c r="T100" i="113"/>
  <c r="S100" i="113"/>
  <c r="X99" i="113"/>
  <c r="W99" i="113"/>
  <c r="V99" i="113"/>
  <c r="U99" i="113"/>
  <c r="T99" i="113"/>
  <c r="S99" i="113"/>
  <c r="X98" i="113"/>
  <c r="W98" i="113"/>
  <c r="V98" i="113"/>
  <c r="U98" i="113"/>
  <c r="T98" i="113"/>
  <c r="S98" i="113"/>
  <c r="X97" i="113"/>
  <c r="W97" i="113"/>
  <c r="V97" i="113"/>
  <c r="U97" i="113"/>
  <c r="T97" i="113"/>
  <c r="S97" i="113"/>
  <c r="W96" i="113"/>
  <c r="V96" i="113"/>
  <c r="U96" i="113"/>
  <c r="T96" i="113"/>
  <c r="S96" i="113"/>
  <c r="X95" i="113"/>
  <c r="W95" i="113"/>
  <c r="V95" i="113"/>
  <c r="U95" i="113"/>
  <c r="T95" i="113"/>
  <c r="S95" i="113"/>
  <c r="X94" i="113"/>
  <c r="W94" i="113"/>
  <c r="V94" i="113"/>
  <c r="U94" i="113"/>
  <c r="T94" i="113"/>
  <c r="S94" i="113"/>
  <c r="X93" i="113"/>
  <c r="W93" i="113"/>
  <c r="V93" i="113"/>
  <c r="U93" i="113"/>
  <c r="T93" i="113"/>
  <c r="S93" i="113"/>
  <c r="W92" i="113"/>
  <c r="V92" i="113"/>
  <c r="U92" i="113"/>
  <c r="T92" i="113"/>
  <c r="S92" i="113"/>
  <c r="X91" i="113"/>
  <c r="W91" i="113"/>
  <c r="V91" i="113"/>
  <c r="U91" i="113"/>
  <c r="T91" i="113"/>
  <c r="S91" i="113"/>
  <c r="X90" i="113"/>
  <c r="W90" i="113"/>
  <c r="V90" i="113"/>
  <c r="U90" i="113"/>
  <c r="T90" i="113"/>
  <c r="S90" i="113"/>
  <c r="X89" i="113"/>
  <c r="W89" i="113"/>
  <c r="V89" i="113"/>
  <c r="U89" i="113"/>
  <c r="T89" i="113"/>
  <c r="S89" i="113"/>
  <c r="W88" i="113"/>
  <c r="V88" i="113"/>
  <c r="U88" i="113"/>
  <c r="T88" i="113"/>
  <c r="S88" i="113"/>
  <c r="X87" i="113"/>
  <c r="W87" i="113"/>
  <c r="V87" i="113"/>
  <c r="U87" i="113"/>
  <c r="T87" i="113"/>
  <c r="S87" i="113"/>
  <c r="X86" i="113"/>
  <c r="W86" i="113"/>
  <c r="V86" i="113"/>
  <c r="U86" i="113"/>
  <c r="T86" i="113"/>
  <c r="S86" i="113"/>
  <c r="X85" i="113"/>
  <c r="W85" i="113"/>
  <c r="V85" i="113"/>
  <c r="U85" i="113"/>
  <c r="T85" i="113"/>
  <c r="S85" i="113"/>
  <c r="W84" i="113"/>
  <c r="V84" i="113"/>
  <c r="U84" i="113"/>
  <c r="T84" i="113"/>
  <c r="S84" i="113"/>
  <c r="X83" i="113"/>
  <c r="W83" i="113"/>
  <c r="V83" i="113"/>
  <c r="U83" i="113"/>
  <c r="T83" i="113"/>
  <c r="S83" i="113"/>
  <c r="X82" i="113"/>
  <c r="W82" i="113"/>
  <c r="V82" i="113"/>
  <c r="U82" i="113"/>
  <c r="T82" i="113"/>
  <c r="S82" i="113"/>
  <c r="X81" i="113"/>
  <c r="W81" i="113"/>
  <c r="V81" i="113"/>
  <c r="U81" i="113"/>
  <c r="T81" i="113"/>
  <c r="S81" i="113"/>
  <c r="W80" i="113"/>
  <c r="V80" i="113"/>
  <c r="U80" i="113"/>
  <c r="T80" i="113"/>
  <c r="S80" i="113"/>
  <c r="X79" i="113"/>
  <c r="W79" i="113"/>
  <c r="V79" i="113"/>
  <c r="U79" i="113"/>
  <c r="T79" i="113"/>
  <c r="S79" i="113"/>
  <c r="X78" i="113"/>
  <c r="W78" i="113"/>
  <c r="V78" i="113"/>
  <c r="U78" i="113"/>
  <c r="T78" i="113"/>
  <c r="S78" i="113"/>
  <c r="X77" i="113"/>
  <c r="W77" i="113"/>
  <c r="V77" i="113"/>
  <c r="U77" i="113"/>
  <c r="T77" i="113"/>
  <c r="S77" i="113"/>
  <c r="W76" i="113"/>
  <c r="V76" i="113"/>
  <c r="U76" i="113"/>
  <c r="T76" i="113"/>
  <c r="S76" i="113"/>
  <c r="X75" i="113"/>
  <c r="W75" i="113"/>
  <c r="V75" i="113"/>
  <c r="U75" i="113"/>
  <c r="T75" i="113"/>
  <c r="S75" i="113"/>
  <c r="X101" i="112"/>
  <c r="W101" i="112"/>
  <c r="V101" i="112"/>
  <c r="U101" i="112"/>
  <c r="T101" i="112"/>
  <c r="S101" i="112"/>
  <c r="X100" i="112"/>
  <c r="W100" i="112"/>
  <c r="V100" i="112"/>
  <c r="U100" i="112"/>
  <c r="T100" i="112"/>
  <c r="S100" i="112"/>
  <c r="X99" i="112"/>
  <c r="W99" i="112"/>
  <c r="V99" i="112"/>
  <c r="U99" i="112"/>
  <c r="T99" i="112"/>
  <c r="S99" i="112"/>
  <c r="X98" i="112"/>
  <c r="W98" i="112"/>
  <c r="V98" i="112"/>
  <c r="U98" i="112"/>
  <c r="T98" i="112"/>
  <c r="S98" i="112"/>
  <c r="X97" i="112"/>
  <c r="W97" i="112"/>
  <c r="V97" i="112"/>
  <c r="U97" i="112"/>
  <c r="T97" i="112"/>
  <c r="S97" i="112"/>
  <c r="X96" i="112"/>
  <c r="W96" i="112"/>
  <c r="V96" i="112"/>
  <c r="U96" i="112"/>
  <c r="T96" i="112"/>
  <c r="S96" i="112"/>
  <c r="X95" i="112"/>
  <c r="W95" i="112"/>
  <c r="V95" i="112"/>
  <c r="U95" i="112"/>
  <c r="T95" i="112"/>
  <c r="S95" i="112"/>
  <c r="X94" i="112"/>
  <c r="W94" i="112"/>
  <c r="V94" i="112"/>
  <c r="U94" i="112"/>
  <c r="T94" i="112"/>
  <c r="S94" i="112"/>
  <c r="X93" i="112"/>
  <c r="W93" i="112"/>
  <c r="V93" i="112"/>
  <c r="U93" i="112"/>
  <c r="T93" i="112"/>
  <c r="S93" i="112"/>
  <c r="X92" i="112"/>
  <c r="W92" i="112"/>
  <c r="V92" i="112"/>
  <c r="U92" i="112"/>
  <c r="T92" i="112"/>
  <c r="S92" i="112"/>
  <c r="X91" i="112"/>
  <c r="W91" i="112"/>
  <c r="V91" i="112"/>
  <c r="U91" i="112"/>
  <c r="T91" i="112"/>
  <c r="S91" i="112"/>
  <c r="X90" i="112"/>
  <c r="W90" i="112"/>
  <c r="V90" i="112"/>
  <c r="U90" i="112"/>
  <c r="T90" i="112"/>
  <c r="S90" i="112"/>
  <c r="X89" i="112"/>
  <c r="W89" i="112"/>
  <c r="V89" i="112"/>
  <c r="U89" i="112"/>
  <c r="T89" i="112"/>
  <c r="S89" i="112"/>
  <c r="X88" i="112"/>
  <c r="W88" i="112"/>
  <c r="V88" i="112"/>
  <c r="U88" i="112"/>
  <c r="T88" i="112"/>
  <c r="S88" i="112"/>
  <c r="X87" i="112"/>
  <c r="W87" i="112"/>
  <c r="V87" i="112"/>
  <c r="U87" i="112"/>
  <c r="T87" i="112"/>
  <c r="S87" i="112"/>
  <c r="X86" i="112"/>
  <c r="W86" i="112"/>
  <c r="V86" i="112"/>
  <c r="U86" i="112"/>
  <c r="T86" i="112"/>
  <c r="S86" i="112"/>
  <c r="X85" i="112"/>
  <c r="W85" i="112"/>
  <c r="V85" i="112"/>
  <c r="U85" i="112"/>
  <c r="T85" i="112"/>
  <c r="S85" i="112"/>
  <c r="X84" i="112"/>
  <c r="W84" i="112"/>
  <c r="V84" i="112"/>
  <c r="U84" i="112"/>
  <c r="T84" i="112"/>
  <c r="S84" i="112"/>
  <c r="X83" i="112"/>
  <c r="W83" i="112"/>
  <c r="V83" i="112"/>
  <c r="U83" i="112"/>
  <c r="T83" i="112"/>
  <c r="S83" i="112"/>
  <c r="X82" i="112"/>
  <c r="W82" i="112"/>
  <c r="V82" i="112"/>
  <c r="U82" i="112"/>
  <c r="T82" i="112"/>
  <c r="S82" i="112"/>
  <c r="X81" i="112"/>
  <c r="W81" i="112"/>
  <c r="V81" i="112"/>
  <c r="U81" i="112"/>
  <c r="T81" i="112"/>
  <c r="S81" i="112"/>
  <c r="X80" i="112"/>
  <c r="W80" i="112"/>
  <c r="V80" i="112"/>
  <c r="U80" i="112"/>
  <c r="T80" i="112"/>
  <c r="S80" i="112"/>
  <c r="X79" i="112"/>
  <c r="W79" i="112"/>
  <c r="V79" i="112"/>
  <c r="U79" i="112"/>
  <c r="T79" i="112"/>
  <c r="S79" i="112"/>
  <c r="X78" i="112"/>
  <c r="W78" i="112"/>
  <c r="V78" i="112"/>
  <c r="U78" i="112"/>
  <c r="T78" i="112"/>
  <c r="S78" i="112"/>
  <c r="X77" i="112"/>
  <c r="W77" i="112"/>
  <c r="V77" i="112"/>
  <c r="U77" i="112"/>
  <c r="T77" i="112"/>
  <c r="S77" i="112"/>
  <c r="X76" i="112"/>
  <c r="W76" i="112"/>
  <c r="V76" i="112"/>
  <c r="U76" i="112"/>
  <c r="T76" i="112"/>
  <c r="S76" i="112"/>
  <c r="W75" i="112"/>
  <c r="V75" i="112"/>
  <c r="U75" i="112"/>
  <c r="T75" i="112"/>
  <c r="S75" i="112"/>
  <c r="X101" i="111"/>
  <c r="W101" i="111"/>
  <c r="V101" i="111"/>
  <c r="U101" i="111"/>
  <c r="T101" i="111"/>
  <c r="S101" i="111"/>
  <c r="X100" i="111"/>
  <c r="W100" i="111"/>
  <c r="V100" i="111"/>
  <c r="U100" i="111"/>
  <c r="T100" i="111"/>
  <c r="S100" i="111"/>
  <c r="X99" i="111"/>
  <c r="W99" i="111"/>
  <c r="V99" i="111"/>
  <c r="U99" i="111"/>
  <c r="T99" i="111"/>
  <c r="S99" i="111"/>
  <c r="X98" i="111"/>
  <c r="W98" i="111"/>
  <c r="V98" i="111"/>
  <c r="U98" i="111"/>
  <c r="T98" i="111"/>
  <c r="S98" i="111"/>
  <c r="X97" i="111"/>
  <c r="W97" i="111"/>
  <c r="V97" i="111"/>
  <c r="U97" i="111"/>
  <c r="T97" i="111"/>
  <c r="S97" i="111"/>
  <c r="X96" i="111"/>
  <c r="W96" i="111"/>
  <c r="V96" i="111"/>
  <c r="U96" i="111"/>
  <c r="T96" i="111"/>
  <c r="S96" i="111"/>
  <c r="X95" i="111"/>
  <c r="W95" i="111"/>
  <c r="V95" i="111"/>
  <c r="U95" i="111"/>
  <c r="T95" i="111"/>
  <c r="S95" i="111"/>
  <c r="X94" i="111"/>
  <c r="W94" i="111"/>
  <c r="V94" i="111"/>
  <c r="U94" i="111"/>
  <c r="T94" i="111"/>
  <c r="S94" i="111"/>
  <c r="X93" i="111"/>
  <c r="W93" i="111"/>
  <c r="V93" i="111"/>
  <c r="U93" i="111"/>
  <c r="T93" i="111"/>
  <c r="S93" i="111"/>
  <c r="X92" i="111"/>
  <c r="W92" i="111"/>
  <c r="V92" i="111"/>
  <c r="U92" i="111"/>
  <c r="T92" i="111"/>
  <c r="S92" i="111"/>
  <c r="X91" i="111"/>
  <c r="W91" i="111"/>
  <c r="V91" i="111"/>
  <c r="U91" i="111"/>
  <c r="T91" i="111"/>
  <c r="S91" i="111"/>
  <c r="X90" i="111"/>
  <c r="W90" i="111"/>
  <c r="V90" i="111"/>
  <c r="U90" i="111"/>
  <c r="T90" i="111"/>
  <c r="S90" i="111"/>
  <c r="X89" i="111"/>
  <c r="W89" i="111"/>
  <c r="V89" i="111"/>
  <c r="U89" i="111"/>
  <c r="T89" i="111"/>
  <c r="S89" i="111"/>
  <c r="X88" i="111"/>
  <c r="W88" i="111"/>
  <c r="V88" i="111"/>
  <c r="U88" i="111"/>
  <c r="T88" i="111"/>
  <c r="S88" i="111"/>
  <c r="X87" i="111"/>
  <c r="W87" i="111"/>
  <c r="V87" i="111"/>
  <c r="U87" i="111"/>
  <c r="T87" i="111"/>
  <c r="S87" i="111"/>
  <c r="X86" i="111"/>
  <c r="W86" i="111"/>
  <c r="V86" i="111"/>
  <c r="U86" i="111"/>
  <c r="T86" i="111"/>
  <c r="S86" i="111"/>
  <c r="X85" i="111"/>
  <c r="W85" i="111"/>
  <c r="V85" i="111"/>
  <c r="U85" i="111"/>
  <c r="T85" i="111"/>
  <c r="S85" i="111"/>
  <c r="X84" i="111"/>
  <c r="W84" i="111"/>
  <c r="V84" i="111"/>
  <c r="U84" i="111"/>
  <c r="T84" i="111"/>
  <c r="S84" i="111"/>
  <c r="X83" i="111"/>
  <c r="W83" i="111"/>
  <c r="V83" i="111"/>
  <c r="U83" i="111"/>
  <c r="T83" i="111"/>
  <c r="S83" i="111"/>
  <c r="X82" i="111"/>
  <c r="W82" i="111"/>
  <c r="V82" i="111"/>
  <c r="U82" i="111"/>
  <c r="T82" i="111"/>
  <c r="S82" i="111"/>
  <c r="X81" i="111"/>
  <c r="W81" i="111"/>
  <c r="V81" i="111"/>
  <c r="U81" i="111"/>
  <c r="T81" i="111"/>
  <c r="S81" i="111"/>
  <c r="X80" i="111"/>
  <c r="W80" i="111"/>
  <c r="V80" i="111"/>
  <c r="U80" i="111"/>
  <c r="T80" i="111"/>
  <c r="S80" i="111"/>
  <c r="X79" i="111"/>
  <c r="W79" i="111"/>
  <c r="V79" i="111"/>
  <c r="U79" i="111"/>
  <c r="T79" i="111"/>
  <c r="S79" i="111"/>
  <c r="X78" i="111"/>
  <c r="W78" i="111"/>
  <c r="V78" i="111"/>
  <c r="U78" i="111"/>
  <c r="T78" i="111"/>
  <c r="S78" i="111"/>
  <c r="X77" i="111"/>
  <c r="W77" i="111"/>
  <c r="V77" i="111"/>
  <c r="U77" i="111"/>
  <c r="T77" i="111"/>
  <c r="S77" i="111"/>
  <c r="X76" i="111"/>
  <c r="W76" i="111"/>
  <c r="V76" i="111"/>
  <c r="U76" i="111"/>
  <c r="T76" i="111"/>
  <c r="S76" i="111"/>
  <c r="W75" i="111"/>
  <c r="V75" i="111"/>
  <c r="U75" i="111"/>
  <c r="T75" i="111"/>
  <c r="S75" i="111"/>
  <c r="X101" i="110"/>
  <c r="W101" i="110"/>
  <c r="V101" i="110"/>
  <c r="U101" i="110"/>
  <c r="T101" i="110"/>
  <c r="S101" i="110"/>
  <c r="X100" i="110"/>
  <c r="W100" i="110"/>
  <c r="V100" i="110"/>
  <c r="U100" i="110"/>
  <c r="T100" i="110"/>
  <c r="S100" i="110"/>
  <c r="W99" i="110"/>
  <c r="V99" i="110"/>
  <c r="U99" i="110"/>
  <c r="T99" i="110"/>
  <c r="S99" i="110"/>
  <c r="X98" i="110"/>
  <c r="W98" i="110"/>
  <c r="V98" i="110"/>
  <c r="U98" i="110"/>
  <c r="T98" i="110"/>
  <c r="S98" i="110"/>
  <c r="X97" i="110"/>
  <c r="W97" i="110"/>
  <c r="V97" i="110"/>
  <c r="U97" i="110"/>
  <c r="T97" i="110"/>
  <c r="S97" i="110"/>
  <c r="X96" i="110"/>
  <c r="W96" i="110"/>
  <c r="V96" i="110"/>
  <c r="U96" i="110"/>
  <c r="T96" i="110"/>
  <c r="S96" i="110"/>
  <c r="W95" i="110"/>
  <c r="V95" i="110"/>
  <c r="U95" i="110"/>
  <c r="T95" i="110"/>
  <c r="S95" i="110"/>
  <c r="X94" i="110"/>
  <c r="W94" i="110"/>
  <c r="V94" i="110"/>
  <c r="U94" i="110"/>
  <c r="T94" i="110"/>
  <c r="S94" i="110"/>
  <c r="X93" i="110"/>
  <c r="W93" i="110"/>
  <c r="V93" i="110"/>
  <c r="U93" i="110"/>
  <c r="T93" i="110"/>
  <c r="S93" i="110"/>
  <c r="X92" i="110"/>
  <c r="W92" i="110"/>
  <c r="V92" i="110"/>
  <c r="U92" i="110"/>
  <c r="T92" i="110"/>
  <c r="S92" i="110"/>
  <c r="W91" i="110"/>
  <c r="V91" i="110"/>
  <c r="U91" i="110"/>
  <c r="T91" i="110"/>
  <c r="S91" i="110"/>
  <c r="X90" i="110"/>
  <c r="W90" i="110"/>
  <c r="V90" i="110"/>
  <c r="U90" i="110"/>
  <c r="T90" i="110"/>
  <c r="S90" i="110"/>
  <c r="X89" i="110"/>
  <c r="W89" i="110"/>
  <c r="V89" i="110"/>
  <c r="U89" i="110"/>
  <c r="T89" i="110"/>
  <c r="S89" i="110"/>
  <c r="X88" i="110"/>
  <c r="W88" i="110"/>
  <c r="V88" i="110"/>
  <c r="U88" i="110"/>
  <c r="T88" i="110"/>
  <c r="S88" i="110"/>
  <c r="W87" i="110"/>
  <c r="V87" i="110"/>
  <c r="U87" i="110"/>
  <c r="T87" i="110"/>
  <c r="S87" i="110"/>
  <c r="X86" i="110"/>
  <c r="W86" i="110"/>
  <c r="V86" i="110"/>
  <c r="U86" i="110"/>
  <c r="T86" i="110"/>
  <c r="S86" i="110"/>
  <c r="X85" i="110"/>
  <c r="W85" i="110"/>
  <c r="V85" i="110"/>
  <c r="U85" i="110"/>
  <c r="T85" i="110"/>
  <c r="S85" i="110"/>
  <c r="X84" i="110"/>
  <c r="W84" i="110"/>
  <c r="V84" i="110"/>
  <c r="U84" i="110"/>
  <c r="T84" i="110"/>
  <c r="S84" i="110"/>
  <c r="W83" i="110"/>
  <c r="V83" i="110"/>
  <c r="U83" i="110"/>
  <c r="T83" i="110"/>
  <c r="S83" i="110"/>
  <c r="X82" i="110"/>
  <c r="W82" i="110"/>
  <c r="V82" i="110"/>
  <c r="U82" i="110"/>
  <c r="T82" i="110"/>
  <c r="S82" i="110"/>
  <c r="X81" i="110"/>
  <c r="W81" i="110"/>
  <c r="V81" i="110"/>
  <c r="U81" i="110"/>
  <c r="T81" i="110"/>
  <c r="S81" i="110"/>
  <c r="X80" i="110"/>
  <c r="W80" i="110"/>
  <c r="V80" i="110"/>
  <c r="U80" i="110"/>
  <c r="T80" i="110"/>
  <c r="S80" i="110"/>
  <c r="W79" i="110"/>
  <c r="V79" i="110"/>
  <c r="U79" i="110"/>
  <c r="T79" i="110"/>
  <c r="S79" i="110"/>
  <c r="X78" i="110"/>
  <c r="W78" i="110"/>
  <c r="V78" i="110"/>
  <c r="U78" i="110"/>
  <c r="T78" i="110"/>
  <c r="S78" i="110"/>
  <c r="X77" i="110"/>
  <c r="W77" i="110"/>
  <c r="V77" i="110"/>
  <c r="U77" i="110"/>
  <c r="T77" i="110"/>
  <c r="S77" i="110"/>
  <c r="X76" i="110"/>
  <c r="W76" i="110"/>
  <c r="V76" i="110"/>
  <c r="U76" i="110"/>
  <c r="T76" i="110"/>
  <c r="S76" i="110"/>
  <c r="X75" i="110"/>
  <c r="W75" i="110"/>
  <c r="V75" i="110"/>
  <c r="U75" i="110"/>
  <c r="T75" i="110"/>
  <c r="S75" i="110"/>
  <c r="X101" i="109"/>
  <c r="W101" i="109"/>
  <c r="V101" i="109"/>
  <c r="U101" i="109"/>
  <c r="T101" i="109"/>
  <c r="S101" i="109"/>
  <c r="W100" i="109"/>
  <c r="V100" i="109"/>
  <c r="U100" i="109"/>
  <c r="T100" i="109"/>
  <c r="S100" i="109"/>
  <c r="X99" i="109"/>
  <c r="W99" i="109"/>
  <c r="V99" i="109"/>
  <c r="U99" i="109"/>
  <c r="T99" i="109"/>
  <c r="S99" i="109"/>
  <c r="X98" i="109"/>
  <c r="W98" i="109"/>
  <c r="V98" i="109"/>
  <c r="U98" i="109"/>
  <c r="T98" i="109"/>
  <c r="S98" i="109"/>
  <c r="X97" i="109"/>
  <c r="W97" i="109"/>
  <c r="V97" i="109"/>
  <c r="U97" i="109"/>
  <c r="T97" i="109"/>
  <c r="S97" i="109"/>
  <c r="W96" i="109"/>
  <c r="V96" i="109"/>
  <c r="U96" i="109"/>
  <c r="T96" i="109"/>
  <c r="S96" i="109"/>
  <c r="X95" i="109"/>
  <c r="W95" i="109"/>
  <c r="V95" i="109"/>
  <c r="U95" i="109"/>
  <c r="T95" i="109"/>
  <c r="S95" i="109"/>
  <c r="X94" i="109"/>
  <c r="W94" i="109"/>
  <c r="V94" i="109"/>
  <c r="U94" i="109"/>
  <c r="T94" i="109"/>
  <c r="S94" i="109"/>
  <c r="X93" i="109"/>
  <c r="W93" i="109"/>
  <c r="V93" i="109"/>
  <c r="U93" i="109"/>
  <c r="T93" i="109"/>
  <c r="S93" i="109"/>
  <c r="W92" i="109"/>
  <c r="V92" i="109"/>
  <c r="U92" i="109"/>
  <c r="T92" i="109"/>
  <c r="S92" i="109"/>
  <c r="X91" i="109"/>
  <c r="W91" i="109"/>
  <c r="V91" i="109"/>
  <c r="U91" i="109"/>
  <c r="T91" i="109"/>
  <c r="S91" i="109"/>
  <c r="X90" i="109"/>
  <c r="W90" i="109"/>
  <c r="V90" i="109"/>
  <c r="U90" i="109"/>
  <c r="T90" i="109"/>
  <c r="S90" i="109"/>
  <c r="X89" i="109"/>
  <c r="W89" i="109"/>
  <c r="V89" i="109"/>
  <c r="U89" i="109"/>
  <c r="T89" i="109"/>
  <c r="S89" i="109"/>
  <c r="W88" i="109"/>
  <c r="V88" i="109"/>
  <c r="U88" i="109"/>
  <c r="T88" i="109"/>
  <c r="S88" i="109"/>
  <c r="X87" i="109"/>
  <c r="W87" i="109"/>
  <c r="V87" i="109"/>
  <c r="U87" i="109"/>
  <c r="T87" i="109"/>
  <c r="S87" i="109"/>
  <c r="X86" i="109"/>
  <c r="W86" i="109"/>
  <c r="V86" i="109"/>
  <c r="U86" i="109"/>
  <c r="T86" i="109"/>
  <c r="S86" i="109"/>
  <c r="X85" i="109"/>
  <c r="W85" i="109"/>
  <c r="V85" i="109"/>
  <c r="U85" i="109"/>
  <c r="T85" i="109"/>
  <c r="S85" i="109"/>
  <c r="W84" i="109"/>
  <c r="V84" i="109"/>
  <c r="U84" i="109"/>
  <c r="T84" i="109"/>
  <c r="S84" i="109"/>
  <c r="X83" i="109"/>
  <c r="W83" i="109"/>
  <c r="V83" i="109"/>
  <c r="U83" i="109"/>
  <c r="T83" i="109"/>
  <c r="S83" i="109"/>
  <c r="X82" i="109"/>
  <c r="W82" i="109"/>
  <c r="V82" i="109"/>
  <c r="U82" i="109"/>
  <c r="T82" i="109"/>
  <c r="S82" i="109"/>
  <c r="X81" i="109"/>
  <c r="W81" i="109"/>
  <c r="V81" i="109"/>
  <c r="U81" i="109"/>
  <c r="T81" i="109"/>
  <c r="S81" i="109"/>
  <c r="W80" i="109"/>
  <c r="V80" i="109"/>
  <c r="U80" i="109"/>
  <c r="T80" i="109"/>
  <c r="S80" i="109"/>
  <c r="X79" i="109"/>
  <c r="W79" i="109"/>
  <c r="V79" i="109"/>
  <c r="U79" i="109"/>
  <c r="T79" i="109"/>
  <c r="S79" i="109"/>
  <c r="X78" i="109"/>
  <c r="W78" i="109"/>
  <c r="V78" i="109"/>
  <c r="U78" i="109"/>
  <c r="T78" i="109"/>
  <c r="S78" i="109"/>
  <c r="X77" i="109"/>
  <c r="W77" i="109"/>
  <c r="V77" i="109"/>
  <c r="U77" i="109"/>
  <c r="T77" i="109"/>
  <c r="S77" i="109"/>
  <c r="W76" i="109"/>
  <c r="V76" i="109"/>
  <c r="U76" i="109"/>
  <c r="T76" i="109"/>
  <c r="S76" i="109"/>
  <c r="W75" i="109"/>
  <c r="V75" i="109"/>
  <c r="U75" i="109"/>
  <c r="T75" i="109"/>
  <c r="S75" i="109"/>
  <c r="W101" i="108"/>
  <c r="V101" i="108"/>
  <c r="U101" i="108"/>
  <c r="T101" i="108"/>
  <c r="S101" i="108"/>
  <c r="W100" i="108"/>
  <c r="V100" i="108"/>
  <c r="U100" i="108"/>
  <c r="T100" i="108"/>
  <c r="S100" i="108"/>
  <c r="W99" i="108"/>
  <c r="V99" i="108"/>
  <c r="U99" i="108"/>
  <c r="T99" i="108"/>
  <c r="S99" i="108"/>
  <c r="W98" i="108"/>
  <c r="V98" i="108"/>
  <c r="U98" i="108"/>
  <c r="T98" i="108"/>
  <c r="S98" i="108"/>
  <c r="W97" i="108"/>
  <c r="V97" i="108"/>
  <c r="U97" i="108"/>
  <c r="T97" i="108"/>
  <c r="S97" i="108"/>
  <c r="W96" i="108"/>
  <c r="V96" i="108"/>
  <c r="U96" i="108"/>
  <c r="T96" i="108"/>
  <c r="S96" i="108"/>
  <c r="W95" i="108"/>
  <c r="V95" i="108"/>
  <c r="U95" i="108"/>
  <c r="T95" i="108"/>
  <c r="S95" i="108"/>
  <c r="W94" i="108"/>
  <c r="V94" i="108"/>
  <c r="U94" i="108"/>
  <c r="T94" i="108"/>
  <c r="S94" i="108"/>
  <c r="W93" i="108"/>
  <c r="V93" i="108"/>
  <c r="U93" i="108"/>
  <c r="T93" i="108"/>
  <c r="S93" i="108"/>
  <c r="W92" i="108"/>
  <c r="V92" i="108"/>
  <c r="U92" i="108"/>
  <c r="T92" i="108"/>
  <c r="S92" i="108"/>
  <c r="W91" i="108"/>
  <c r="V91" i="108"/>
  <c r="U91" i="108"/>
  <c r="T91" i="108"/>
  <c r="S91" i="108"/>
  <c r="W90" i="108"/>
  <c r="V90" i="108"/>
  <c r="U90" i="108"/>
  <c r="T90" i="108"/>
  <c r="S90" i="108"/>
  <c r="W89" i="108"/>
  <c r="V89" i="108"/>
  <c r="U89" i="108"/>
  <c r="T89" i="108"/>
  <c r="S89" i="108"/>
  <c r="W88" i="108"/>
  <c r="V88" i="108"/>
  <c r="U88" i="108"/>
  <c r="T88" i="108"/>
  <c r="S88" i="108"/>
  <c r="W87" i="108"/>
  <c r="V87" i="108"/>
  <c r="U87" i="108"/>
  <c r="T87" i="108"/>
  <c r="S87" i="108"/>
  <c r="W86" i="108"/>
  <c r="V86" i="108"/>
  <c r="U86" i="108"/>
  <c r="T86" i="108"/>
  <c r="S86" i="108"/>
  <c r="W85" i="108"/>
  <c r="V85" i="108"/>
  <c r="U85" i="108"/>
  <c r="T85" i="108"/>
  <c r="S85" i="108"/>
  <c r="W84" i="108"/>
  <c r="V84" i="108"/>
  <c r="U84" i="108"/>
  <c r="T84" i="108"/>
  <c r="S84" i="108"/>
  <c r="W83" i="108"/>
  <c r="V83" i="108"/>
  <c r="U83" i="108"/>
  <c r="T83" i="108"/>
  <c r="S83" i="108"/>
  <c r="W82" i="108"/>
  <c r="V82" i="108"/>
  <c r="U82" i="108"/>
  <c r="T82" i="108"/>
  <c r="S82" i="108"/>
  <c r="W81" i="108"/>
  <c r="V81" i="108"/>
  <c r="U81" i="108"/>
  <c r="T81" i="108"/>
  <c r="S81" i="108"/>
  <c r="W80" i="108"/>
  <c r="V80" i="108"/>
  <c r="U80" i="108"/>
  <c r="T80" i="108"/>
  <c r="S80" i="108"/>
  <c r="W79" i="108"/>
  <c r="V79" i="108"/>
  <c r="U79" i="108"/>
  <c r="T79" i="108"/>
  <c r="S79" i="108"/>
  <c r="W78" i="108"/>
  <c r="V78" i="108"/>
  <c r="U78" i="108"/>
  <c r="T78" i="108"/>
  <c r="S78" i="108"/>
  <c r="W77" i="108"/>
  <c r="V77" i="108"/>
  <c r="U77" i="108"/>
  <c r="T77" i="108"/>
  <c r="S77" i="108"/>
  <c r="W76" i="108"/>
  <c r="V76" i="108"/>
  <c r="U76" i="108"/>
  <c r="T76" i="108"/>
  <c r="S76" i="108"/>
  <c r="W75" i="108"/>
  <c r="V75" i="108"/>
  <c r="U75" i="108"/>
  <c r="T75" i="108"/>
  <c r="S75" i="108"/>
  <c r="X101" i="107"/>
  <c r="W101" i="107"/>
  <c r="V101" i="107"/>
  <c r="U101" i="107"/>
  <c r="T101" i="107"/>
  <c r="S101" i="107"/>
  <c r="X100" i="107"/>
  <c r="W100" i="107"/>
  <c r="V100" i="107"/>
  <c r="U100" i="107"/>
  <c r="T100" i="107"/>
  <c r="S100" i="107"/>
  <c r="X99" i="107"/>
  <c r="W99" i="107"/>
  <c r="V99" i="107"/>
  <c r="U99" i="107"/>
  <c r="T99" i="107"/>
  <c r="S99" i="107"/>
  <c r="W98" i="107"/>
  <c r="V98" i="107"/>
  <c r="U98" i="107"/>
  <c r="T98" i="107"/>
  <c r="S98" i="107"/>
  <c r="X97" i="107"/>
  <c r="W97" i="107"/>
  <c r="V97" i="107"/>
  <c r="U97" i="107"/>
  <c r="T97" i="107"/>
  <c r="S97" i="107"/>
  <c r="X96" i="107"/>
  <c r="W96" i="107"/>
  <c r="V96" i="107"/>
  <c r="U96" i="107"/>
  <c r="T96" i="107"/>
  <c r="S96" i="107"/>
  <c r="X95" i="107"/>
  <c r="W95" i="107"/>
  <c r="V95" i="107"/>
  <c r="U95" i="107"/>
  <c r="T95" i="107"/>
  <c r="S95" i="107"/>
  <c r="W94" i="107"/>
  <c r="V94" i="107"/>
  <c r="U94" i="107"/>
  <c r="T94" i="107"/>
  <c r="S94" i="107"/>
  <c r="X93" i="107"/>
  <c r="W93" i="107"/>
  <c r="V93" i="107"/>
  <c r="U93" i="107"/>
  <c r="T93" i="107"/>
  <c r="S93" i="107"/>
  <c r="X92" i="107"/>
  <c r="W92" i="107"/>
  <c r="V92" i="107"/>
  <c r="U92" i="107"/>
  <c r="T92" i="107"/>
  <c r="S92" i="107"/>
  <c r="X91" i="107"/>
  <c r="W91" i="107"/>
  <c r="V91" i="107"/>
  <c r="U91" i="107"/>
  <c r="T91" i="107"/>
  <c r="S91" i="107"/>
  <c r="W90" i="107"/>
  <c r="V90" i="107"/>
  <c r="U90" i="107"/>
  <c r="T90" i="107"/>
  <c r="S90" i="107"/>
  <c r="X89" i="107"/>
  <c r="W89" i="107"/>
  <c r="V89" i="107"/>
  <c r="U89" i="107"/>
  <c r="T89" i="107"/>
  <c r="S89" i="107"/>
  <c r="X88" i="107"/>
  <c r="W88" i="107"/>
  <c r="V88" i="107"/>
  <c r="U88" i="107"/>
  <c r="T88" i="107"/>
  <c r="S88" i="107"/>
  <c r="X87" i="107"/>
  <c r="W87" i="107"/>
  <c r="V87" i="107"/>
  <c r="U87" i="107"/>
  <c r="T87" i="107"/>
  <c r="S87" i="107"/>
  <c r="W86" i="107"/>
  <c r="V86" i="107"/>
  <c r="U86" i="107"/>
  <c r="T86" i="107"/>
  <c r="S86" i="107"/>
  <c r="X85" i="107"/>
  <c r="W85" i="107"/>
  <c r="V85" i="107"/>
  <c r="U85" i="107"/>
  <c r="T85" i="107"/>
  <c r="S85" i="107"/>
  <c r="X84" i="107"/>
  <c r="W84" i="107"/>
  <c r="V84" i="107"/>
  <c r="U84" i="107"/>
  <c r="T84" i="107"/>
  <c r="S84" i="107"/>
  <c r="X83" i="107"/>
  <c r="W83" i="107"/>
  <c r="V83" i="107"/>
  <c r="U83" i="107"/>
  <c r="T83" i="107"/>
  <c r="S83" i="107"/>
  <c r="W82" i="107"/>
  <c r="V82" i="107"/>
  <c r="U82" i="107"/>
  <c r="T82" i="107"/>
  <c r="S82" i="107"/>
  <c r="X81" i="107"/>
  <c r="W81" i="107"/>
  <c r="V81" i="107"/>
  <c r="U81" i="107"/>
  <c r="T81" i="107"/>
  <c r="S81" i="107"/>
  <c r="X80" i="107"/>
  <c r="W80" i="107"/>
  <c r="V80" i="107"/>
  <c r="U80" i="107"/>
  <c r="T80" i="107"/>
  <c r="S80" i="107"/>
  <c r="X79" i="107"/>
  <c r="W79" i="107"/>
  <c r="V79" i="107"/>
  <c r="U79" i="107"/>
  <c r="T79" i="107"/>
  <c r="S79" i="107"/>
  <c r="W78" i="107"/>
  <c r="V78" i="107"/>
  <c r="U78" i="107"/>
  <c r="T78" i="107"/>
  <c r="S78" i="107"/>
  <c r="X77" i="107"/>
  <c r="W77" i="107"/>
  <c r="V77" i="107"/>
  <c r="U77" i="107"/>
  <c r="T77" i="107"/>
  <c r="S77" i="107"/>
  <c r="X76" i="107"/>
  <c r="W76" i="107"/>
  <c r="V76" i="107"/>
  <c r="U76" i="107"/>
  <c r="T76" i="107"/>
  <c r="S76" i="107"/>
  <c r="W75" i="107"/>
  <c r="V75" i="107"/>
  <c r="U75" i="107"/>
  <c r="T75" i="107"/>
  <c r="S75" i="107"/>
  <c r="W101" i="106"/>
  <c r="W100" i="106"/>
  <c r="W99" i="106"/>
  <c r="W98" i="106"/>
  <c r="W97" i="106"/>
  <c r="W96" i="106"/>
  <c r="W95" i="106"/>
  <c r="W94" i="106"/>
  <c r="W93" i="106"/>
  <c r="W92" i="106"/>
  <c r="W91" i="106"/>
  <c r="W90" i="106"/>
  <c r="W89" i="106"/>
  <c r="W88" i="106"/>
  <c r="W87" i="106"/>
  <c r="W86" i="106"/>
  <c r="W85" i="106"/>
  <c r="W84" i="106"/>
  <c r="W83" i="106"/>
  <c r="W82" i="106"/>
  <c r="W81" i="106"/>
  <c r="W80" i="106"/>
  <c r="W79" i="106"/>
  <c r="W78" i="106"/>
  <c r="W77" i="106"/>
  <c r="W76" i="106"/>
  <c r="W75" i="106"/>
  <c r="S102" i="114"/>
  <c r="S102" i="117"/>
  <c r="W102" i="116"/>
  <c r="Q34" i="123"/>
  <c r="U102" i="116"/>
  <c r="S102" i="112"/>
  <c r="C13" i="129"/>
  <c r="C14" i="129"/>
  <c r="C15" i="129"/>
  <c r="C16" i="129"/>
  <c r="C17" i="129"/>
  <c r="C18" i="129"/>
  <c r="C19" i="129"/>
  <c r="B13" i="129"/>
  <c r="B14" i="129"/>
  <c r="B15" i="129"/>
  <c r="B16" i="129"/>
  <c r="B17" i="129"/>
  <c r="B18" i="129"/>
  <c r="B19" i="129"/>
  <c r="B20" i="129"/>
  <c r="B7" i="129"/>
  <c r="C7" i="129"/>
  <c r="AE6" i="66"/>
  <c r="AE7" i="66"/>
  <c r="AE17" i="66"/>
  <c r="AE24" i="66"/>
  <c r="AE25" i="66"/>
  <c r="AE5" i="66"/>
  <c r="AE8" i="66"/>
  <c r="AE9" i="66"/>
  <c r="AE13" i="66"/>
  <c r="AE18" i="66"/>
  <c r="AE19" i="66"/>
  <c r="AE20" i="66"/>
  <c r="AE23" i="66"/>
  <c r="AE28" i="66"/>
  <c r="AE10" i="66"/>
  <c r="AE12" i="66"/>
  <c r="AE15" i="66"/>
  <c r="AE16" i="66"/>
  <c r="AE11" i="66"/>
  <c r="AE14" i="66"/>
  <c r="AE22" i="66"/>
  <c r="AE29" i="66"/>
  <c r="AE21" i="66"/>
  <c r="AE26" i="66"/>
  <c r="AE27" i="66"/>
  <c r="AE4" i="66"/>
  <c r="AB6" i="66"/>
  <c r="AB7" i="66"/>
  <c r="AB17" i="66"/>
  <c r="AB24" i="66"/>
  <c r="AB25" i="66"/>
  <c r="AB5" i="66"/>
  <c r="AB8" i="66"/>
  <c r="AB9" i="66"/>
  <c r="AB13" i="66"/>
  <c r="AB18" i="66"/>
  <c r="AB19" i="66"/>
  <c r="AB20" i="66"/>
  <c r="AB23" i="66"/>
  <c r="AB28" i="66"/>
  <c r="AB10" i="66"/>
  <c r="AB12" i="66"/>
  <c r="AB15" i="66"/>
  <c r="AB16" i="66"/>
  <c r="AB11" i="66"/>
  <c r="AB14" i="66"/>
  <c r="AB22" i="66"/>
  <c r="AB29" i="66"/>
  <c r="AB21" i="66"/>
  <c r="AB26" i="66"/>
  <c r="AB27" i="66"/>
  <c r="AB4" i="66"/>
  <c r="X6" i="66"/>
  <c r="X7" i="66"/>
  <c r="AG7" i="66" s="1"/>
  <c r="X17" i="66"/>
  <c r="AG17" i="66" s="1"/>
  <c r="X24" i="66"/>
  <c r="X25" i="66"/>
  <c r="X5" i="66"/>
  <c r="X8" i="66"/>
  <c r="X9" i="66"/>
  <c r="X13" i="66"/>
  <c r="X18" i="66"/>
  <c r="AG18" i="66" s="1"/>
  <c r="X19" i="66"/>
  <c r="AG19" i="66" s="1"/>
  <c r="X20" i="66"/>
  <c r="X23" i="66"/>
  <c r="X28" i="66"/>
  <c r="X10" i="66"/>
  <c r="X12" i="66"/>
  <c r="X15" i="66"/>
  <c r="X16" i="66"/>
  <c r="AG16" i="66" s="1"/>
  <c r="X11" i="66"/>
  <c r="AG11" i="66" s="1"/>
  <c r="X14" i="66"/>
  <c r="X22" i="66"/>
  <c r="X29" i="66"/>
  <c r="X21" i="66"/>
  <c r="X26" i="66"/>
  <c r="X27" i="66"/>
  <c r="X4" i="66"/>
  <c r="AG4" i="66" s="1"/>
  <c r="E32" i="121"/>
  <c r="R99" i="112"/>
  <c r="AV7" i="66"/>
  <c r="AV17" i="66"/>
  <c r="AV24" i="66"/>
  <c r="AV25" i="66"/>
  <c r="AV5" i="66"/>
  <c r="AV8" i="66"/>
  <c r="AV9" i="66"/>
  <c r="AV13" i="66"/>
  <c r="AV18" i="66"/>
  <c r="AV19" i="66"/>
  <c r="AV20" i="66"/>
  <c r="AV23" i="66"/>
  <c r="AV28" i="66"/>
  <c r="AV10" i="66"/>
  <c r="AV12" i="66"/>
  <c r="AV15" i="66"/>
  <c r="AV16" i="66"/>
  <c r="AV11" i="66"/>
  <c r="AV29" i="66"/>
  <c r="AV21" i="66"/>
  <c r="AV26" i="66"/>
  <c r="AV27" i="66"/>
  <c r="AV4" i="66"/>
  <c r="W17" i="66"/>
  <c r="W9" i="66"/>
  <c r="C30" i="141"/>
  <c r="D30" i="141"/>
  <c r="W25" i="66"/>
  <c r="W29" i="66"/>
  <c r="I30" i="141"/>
  <c r="F7" i="122"/>
  <c r="F11" i="122"/>
  <c r="E13" i="128" s="1"/>
  <c r="F23" i="122"/>
  <c r="F31" i="122"/>
  <c r="J31" i="122" s="1"/>
  <c r="F8" i="122"/>
  <c r="F20" i="122"/>
  <c r="AA27" i="66"/>
  <c r="F28" i="122"/>
  <c r="F13" i="122"/>
  <c r="E16" i="128" s="1"/>
  <c r="F15" i="122"/>
  <c r="Z14" i="66" s="1"/>
  <c r="AA18" i="66"/>
  <c r="F19" i="122"/>
  <c r="J19" i="122" s="1"/>
  <c r="F27" i="122"/>
  <c r="AA11" i="66"/>
  <c r="F12" i="122"/>
  <c r="J12" i="122" s="1"/>
  <c r="F16" i="122"/>
  <c r="F24" i="122"/>
  <c r="Z23" i="66" s="1"/>
  <c r="AA4" i="66"/>
  <c r="F5" i="122"/>
  <c r="F9" i="122"/>
  <c r="E19" i="128" s="1"/>
  <c r="F17" i="122"/>
  <c r="Z16" i="66" s="1"/>
  <c r="F21" i="122"/>
  <c r="F25" i="122"/>
  <c r="J25" i="122" s="1"/>
  <c r="F29" i="122"/>
  <c r="E12" i="128" s="1"/>
  <c r="F6" i="122"/>
  <c r="E18" i="128" s="1"/>
  <c r="F10" i="122"/>
  <c r="J10" i="122" s="1"/>
  <c r="F14" i="122"/>
  <c r="F18" i="122"/>
  <c r="E22" i="128" s="1"/>
  <c r="F22" i="122"/>
  <c r="F26" i="122"/>
  <c r="J26" i="122" s="1"/>
  <c r="F30" i="122"/>
  <c r="J30" i="122" s="1"/>
  <c r="F30" i="141"/>
  <c r="H6" i="121"/>
  <c r="H7" i="121"/>
  <c r="G30" i="127" s="1"/>
  <c r="H8" i="121"/>
  <c r="G29" i="127" s="1"/>
  <c r="H9" i="121"/>
  <c r="G18" i="127" s="1"/>
  <c r="H10" i="121"/>
  <c r="H11" i="121"/>
  <c r="G8" i="127" s="1"/>
  <c r="H12" i="121"/>
  <c r="G4" i="127"/>
  <c r="H13" i="121"/>
  <c r="G15" i="127" s="1"/>
  <c r="H14" i="121"/>
  <c r="G27" i="127" s="1"/>
  <c r="H15" i="121"/>
  <c r="G7" i="127" s="1"/>
  <c r="H16" i="121"/>
  <c r="G26" i="127" s="1"/>
  <c r="H17" i="121"/>
  <c r="G11" i="127" s="1"/>
  <c r="H18" i="121"/>
  <c r="G28" i="127" s="1"/>
  <c r="H19" i="121"/>
  <c r="H20" i="121"/>
  <c r="H21" i="121"/>
  <c r="G19" i="127"/>
  <c r="H22" i="121"/>
  <c r="G9" i="127" s="1"/>
  <c r="H23" i="121"/>
  <c r="G17" i="127" s="1"/>
  <c r="H24" i="121"/>
  <c r="G23" i="127" s="1"/>
  <c r="H25" i="121"/>
  <c r="G16" i="127" s="1"/>
  <c r="H26" i="121"/>
  <c r="G24" i="127" s="1"/>
  <c r="H27" i="121"/>
  <c r="H28" i="121"/>
  <c r="G12" i="127"/>
  <c r="H29" i="121"/>
  <c r="G20" i="127" s="1"/>
  <c r="H30" i="121"/>
  <c r="G13" i="127" s="1"/>
  <c r="H31" i="121"/>
  <c r="G22" i="127" s="1"/>
  <c r="H5" i="121"/>
  <c r="B30" i="141"/>
  <c r="BV32" i="66"/>
  <c r="BT34" i="66" s="1"/>
  <c r="P34" i="128"/>
  <c r="P35" i="128"/>
  <c r="N4" i="128"/>
  <c r="N5" i="128"/>
  <c r="N9" i="128"/>
  <c r="N6" i="128"/>
  <c r="N10" i="128"/>
  <c r="N11" i="128"/>
  <c r="N8" i="128"/>
  <c r="N15" i="128"/>
  <c r="N7" i="128"/>
  <c r="N16" i="128"/>
  <c r="N12" i="128"/>
  <c r="N13" i="128"/>
  <c r="N14" i="128"/>
  <c r="N17" i="128"/>
  <c r="N23" i="128"/>
  <c r="N18" i="128"/>
  <c r="N22" i="128"/>
  <c r="N21" i="128"/>
  <c r="N25" i="128"/>
  <c r="N19" i="128"/>
  <c r="N20" i="128"/>
  <c r="N24" i="128"/>
  <c r="N28" i="128"/>
  <c r="N27" i="128"/>
  <c r="N30" i="128"/>
  <c r="N29" i="128"/>
  <c r="N31" i="128"/>
  <c r="N26" i="128"/>
  <c r="Q5" i="127"/>
  <c r="U5" i="127" s="1"/>
  <c r="Q7" i="127"/>
  <c r="U7" i="127" s="1"/>
  <c r="Q8" i="127"/>
  <c r="U8" i="127" s="1"/>
  <c r="Q6" i="127"/>
  <c r="U6" i="127" s="1"/>
  <c r="Q10" i="127"/>
  <c r="U10" i="127"/>
  <c r="Q14" i="127"/>
  <c r="U14" i="127" s="1"/>
  <c r="Q9" i="127"/>
  <c r="U9" i="127" s="1"/>
  <c r="Q15" i="127"/>
  <c r="Q11" i="127"/>
  <c r="Q18" i="127"/>
  <c r="Q16" i="127"/>
  <c r="U16" i="127" s="1"/>
  <c r="Q13" i="127"/>
  <c r="Q17" i="127"/>
  <c r="U17" i="127" s="1"/>
  <c r="Q21" i="127"/>
  <c r="Q12" i="127"/>
  <c r="Q19" i="127"/>
  <c r="Q22" i="127"/>
  <c r="Q20" i="127"/>
  <c r="Q23" i="127"/>
  <c r="Q25" i="127"/>
  <c r="U25" i="127" s="1"/>
  <c r="Q24" i="127"/>
  <c r="U24" i="127" s="1"/>
  <c r="Q26" i="127"/>
  <c r="U26" i="127" s="1"/>
  <c r="Q29" i="127"/>
  <c r="U29" i="127" s="1"/>
  <c r="Q27" i="127"/>
  <c r="U27" i="127" s="1"/>
  <c r="Q28" i="127"/>
  <c r="U28" i="127"/>
  <c r="Q30" i="127"/>
  <c r="U30" i="127" s="1"/>
  <c r="Q4" i="127"/>
  <c r="U4" i="127" s="1"/>
  <c r="R77" i="109"/>
  <c r="Y77" i="109"/>
  <c r="R78" i="109"/>
  <c r="Y78" i="109"/>
  <c r="R79" i="109"/>
  <c r="Y79" i="109"/>
  <c r="R81" i="109"/>
  <c r="Y81" i="109"/>
  <c r="R82" i="109"/>
  <c r="Y82" i="109"/>
  <c r="R83" i="109"/>
  <c r="Y83" i="109"/>
  <c r="R85" i="109"/>
  <c r="Y85" i="109"/>
  <c r="R86" i="109"/>
  <c r="Y86" i="109"/>
  <c r="R87" i="109"/>
  <c r="Y87" i="109"/>
  <c r="R89" i="109"/>
  <c r="Y89" i="109"/>
  <c r="R90" i="109"/>
  <c r="Y90" i="109"/>
  <c r="R91" i="109"/>
  <c r="Y91" i="109"/>
  <c r="R93" i="109"/>
  <c r="Y93" i="109"/>
  <c r="R94" i="109"/>
  <c r="Y94" i="109"/>
  <c r="R95" i="109"/>
  <c r="Y95" i="109"/>
  <c r="R97" i="109"/>
  <c r="Y97" i="109"/>
  <c r="R98" i="109"/>
  <c r="Y98" i="109"/>
  <c r="R99" i="109"/>
  <c r="Y99" i="109"/>
  <c r="R101" i="109"/>
  <c r="Y101" i="109"/>
  <c r="R75" i="109"/>
  <c r="Y75" i="109"/>
  <c r="O67" i="111"/>
  <c r="O32" i="111"/>
  <c r="D27" i="140"/>
  <c r="D26" i="140"/>
  <c r="E26" i="140" s="1"/>
  <c r="D24" i="140"/>
  <c r="D22" i="140"/>
  <c r="D20" i="140"/>
  <c r="D19" i="140"/>
  <c r="D18" i="140"/>
  <c r="D16" i="140"/>
  <c r="D15" i="140"/>
  <c r="D14" i="140"/>
  <c r="D12" i="140"/>
  <c r="D11" i="140"/>
  <c r="D10" i="140"/>
  <c r="D8" i="140"/>
  <c r="D7" i="140"/>
  <c r="D6" i="140"/>
  <c r="D3" i="140"/>
  <c r="AR23" i="66"/>
  <c r="D28" i="140"/>
  <c r="D23" i="140"/>
  <c r="D5" i="140"/>
  <c r="D9" i="140"/>
  <c r="D13" i="140"/>
  <c r="D17" i="140"/>
  <c r="D21" i="140"/>
  <c r="D25" i="140"/>
  <c r="G28" i="121" s="1"/>
  <c r="B29" i="140"/>
  <c r="C29" i="140"/>
  <c r="I3" i="129"/>
  <c r="H3" i="129"/>
  <c r="G3" i="129"/>
  <c r="J3" i="129"/>
  <c r="C16" i="128"/>
  <c r="AP12" i="66" s="1"/>
  <c r="AQ12" i="66" s="1"/>
  <c r="D32" i="128"/>
  <c r="H32" i="128"/>
  <c r="I32" i="128"/>
  <c r="J32" i="128"/>
  <c r="K32" i="128"/>
  <c r="D33" i="128"/>
  <c r="H33" i="128"/>
  <c r="I33" i="128"/>
  <c r="P33" i="128"/>
  <c r="J33" i="128"/>
  <c r="K33" i="128"/>
  <c r="BJ34" i="66"/>
  <c r="B4" i="129"/>
  <c r="B5" i="129"/>
  <c r="B6" i="129"/>
  <c r="B22" i="129"/>
  <c r="B27" i="129"/>
  <c r="B23" i="129"/>
  <c r="B28" i="129"/>
  <c r="B24" i="129"/>
  <c r="B25" i="129"/>
  <c r="B32" i="129"/>
  <c r="B29" i="129"/>
  <c r="B8" i="129"/>
  <c r="B9" i="129"/>
  <c r="B33" i="129"/>
  <c r="B34" i="129"/>
  <c r="B30" i="129"/>
  <c r="B10" i="129"/>
  <c r="D10" i="129" s="1"/>
  <c r="B21" i="128"/>
  <c r="C21" i="128"/>
  <c r="B18" i="128"/>
  <c r="D18" i="128" s="1"/>
  <c r="C18" i="128"/>
  <c r="I6" i="122"/>
  <c r="B27" i="128"/>
  <c r="C27" i="128"/>
  <c r="AP6" i="66" s="1"/>
  <c r="AQ6" i="66" s="1"/>
  <c r="B28" i="128"/>
  <c r="C28" i="128"/>
  <c r="B19" i="128"/>
  <c r="C19" i="128"/>
  <c r="B14" i="128"/>
  <c r="C14" i="128"/>
  <c r="B13" i="128"/>
  <c r="C13" i="128"/>
  <c r="AP10" i="66" s="1"/>
  <c r="B4" i="128"/>
  <c r="C4" i="128"/>
  <c r="AP11" i="66" s="1"/>
  <c r="AQ11" i="66" s="1"/>
  <c r="B16" i="128"/>
  <c r="B23" i="128"/>
  <c r="C23" i="128"/>
  <c r="AP24" i="66" s="1"/>
  <c r="B7" i="128"/>
  <c r="C7" i="128"/>
  <c r="B20" i="128"/>
  <c r="C20" i="128"/>
  <c r="AP15" i="66" s="1"/>
  <c r="AQ15" i="66" s="1"/>
  <c r="B15" i="128"/>
  <c r="C15" i="128"/>
  <c r="AP16" i="66" s="1"/>
  <c r="AQ16" i="66" s="1"/>
  <c r="B22" i="128"/>
  <c r="C22" i="128"/>
  <c r="AP17" i="66" s="1"/>
  <c r="AQ17" i="66" s="1"/>
  <c r="B30" i="128"/>
  <c r="C30" i="128"/>
  <c r="B5" i="128"/>
  <c r="C5" i="128"/>
  <c r="B11" i="128"/>
  <c r="C11" i="128"/>
  <c r="I21" i="122"/>
  <c r="B6" i="128"/>
  <c r="C6" i="128"/>
  <c r="B17" i="128"/>
  <c r="C17" i="128"/>
  <c r="B26" i="128"/>
  <c r="C26" i="128"/>
  <c r="AP30" i="66" s="1"/>
  <c r="AQ30" i="66" s="1"/>
  <c r="B24" i="128"/>
  <c r="C24" i="128"/>
  <c r="B29" i="128"/>
  <c r="C29" i="128"/>
  <c r="B8" i="128"/>
  <c r="C8" i="128"/>
  <c r="AP26" i="66" s="1"/>
  <c r="AQ26" i="66" s="1"/>
  <c r="B9" i="128"/>
  <c r="C9" i="128"/>
  <c r="AP27" i="66" s="1"/>
  <c r="B12" i="128"/>
  <c r="C12" i="128"/>
  <c r="AP28" i="66" s="1"/>
  <c r="AQ28" i="66" s="1"/>
  <c r="B10" i="128"/>
  <c r="C10" i="128"/>
  <c r="B25" i="128"/>
  <c r="C25" i="128"/>
  <c r="C25" i="127"/>
  <c r="AK4" i="66" s="1"/>
  <c r="D25" i="127"/>
  <c r="J25" i="127"/>
  <c r="C6" i="127"/>
  <c r="D6" i="127"/>
  <c r="I6" i="127"/>
  <c r="L6" i="121"/>
  <c r="C5" i="129"/>
  <c r="C30" i="127"/>
  <c r="AK6" i="66" s="1"/>
  <c r="D30" i="127"/>
  <c r="AL6" i="66" s="1"/>
  <c r="I30" i="127"/>
  <c r="AI6" i="66" s="1"/>
  <c r="I24" i="127"/>
  <c r="B29" i="127"/>
  <c r="C29" i="127"/>
  <c r="AK7" i="66" s="1"/>
  <c r="D29" i="127"/>
  <c r="I29" i="127"/>
  <c r="C21" i="127"/>
  <c r="D21" i="127"/>
  <c r="I21" i="127"/>
  <c r="J21" i="127"/>
  <c r="C18" i="127"/>
  <c r="D18" i="127"/>
  <c r="I18" i="127"/>
  <c r="AI8" i="66" s="1"/>
  <c r="J18" i="127"/>
  <c r="C14" i="127"/>
  <c r="AK18" i="66" s="1"/>
  <c r="D14" i="127"/>
  <c r="I14" i="127"/>
  <c r="C4" i="127"/>
  <c r="AK11" i="66" s="1"/>
  <c r="D4" i="127"/>
  <c r="AL11" i="66" s="1"/>
  <c r="B15" i="127"/>
  <c r="C15" i="127"/>
  <c r="AK12" i="66" s="1"/>
  <c r="D15" i="127"/>
  <c r="I15" i="127"/>
  <c r="AI12" i="66" s="1"/>
  <c r="J15" i="127"/>
  <c r="C27" i="127"/>
  <c r="AK13" i="66" s="1"/>
  <c r="D27" i="127"/>
  <c r="I27" i="127"/>
  <c r="AI13" i="66" s="1"/>
  <c r="C7" i="127"/>
  <c r="D7" i="127"/>
  <c r="AL14" i="66" s="1"/>
  <c r="J7" i="127"/>
  <c r="C26" i="127"/>
  <c r="D26" i="127"/>
  <c r="AL15" i="66" s="1"/>
  <c r="J26" i="127"/>
  <c r="B11" i="127"/>
  <c r="C11" i="127"/>
  <c r="AK16" i="66" s="1"/>
  <c r="D11" i="127"/>
  <c r="J11" i="127"/>
  <c r="C28" i="127"/>
  <c r="AK17" i="66" s="1"/>
  <c r="D28" i="127"/>
  <c r="AL17" i="66" s="1"/>
  <c r="I28" i="127"/>
  <c r="AI17" i="66" s="1"/>
  <c r="C8" i="127"/>
  <c r="AK10" i="66" s="1"/>
  <c r="D8" i="127"/>
  <c r="I8" i="127"/>
  <c r="C5" i="127"/>
  <c r="D5" i="127"/>
  <c r="I5" i="127"/>
  <c r="AI27" i="66" s="1"/>
  <c r="J5" i="127"/>
  <c r="C19" i="127"/>
  <c r="D19" i="127"/>
  <c r="AL20" i="66" s="1"/>
  <c r="I19" i="127"/>
  <c r="C32" i="129"/>
  <c r="C9" i="127"/>
  <c r="AK21" i="66" s="1"/>
  <c r="I9" i="127"/>
  <c r="AI21" i="66" s="1"/>
  <c r="C29" i="129"/>
  <c r="C31" i="129" s="1"/>
  <c r="C17" i="127"/>
  <c r="AK22" i="66" s="1"/>
  <c r="D17" i="127"/>
  <c r="AL22" i="66" s="1"/>
  <c r="I17" i="127"/>
  <c r="B23" i="127"/>
  <c r="C23" i="127"/>
  <c r="D23" i="127"/>
  <c r="AL23" i="66" s="1"/>
  <c r="I23" i="127"/>
  <c r="AI23" i="66" s="1"/>
  <c r="C8" i="129"/>
  <c r="C16" i="127"/>
  <c r="AK24" i="66" s="1"/>
  <c r="D16" i="127"/>
  <c r="I16" i="127"/>
  <c r="AI24" i="66" s="1"/>
  <c r="J16" i="127"/>
  <c r="C24" i="127"/>
  <c r="AK25" i="66" s="1"/>
  <c r="D24" i="127"/>
  <c r="AL25" i="66" s="1"/>
  <c r="C10" i="127"/>
  <c r="D10" i="127"/>
  <c r="I10" i="127"/>
  <c r="R10" i="127" s="1"/>
  <c r="C12" i="127"/>
  <c r="D12" i="127"/>
  <c r="AL19" i="66" s="1"/>
  <c r="J12" i="127"/>
  <c r="C20" i="129"/>
  <c r="C20" i="127"/>
  <c r="AK28" i="66" s="1"/>
  <c r="D20" i="127"/>
  <c r="AL28" i="66" s="1"/>
  <c r="J20" i="127"/>
  <c r="C13" i="127"/>
  <c r="AK29" i="66" s="1"/>
  <c r="D13" i="127"/>
  <c r="J13" i="127"/>
  <c r="B22" i="127"/>
  <c r="C22" i="127"/>
  <c r="AK30" i="66" s="1"/>
  <c r="D22" i="127"/>
  <c r="J22" i="127"/>
  <c r="I26" i="127"/>
  <c r="AI15" i="66" s="1"/>
  <c r="L33" i="128"/>
  <c r="I10" i="122"/>
  <c r="I29" i="122"/>
  <c r="I22" i="122"/>
  <c r="L28" i="121"/>
  <c r="L15" i="121"/>
  <c r="I7" i="127"/>
  <c r="R7" i="127" s="1"/>
  <c r="I25" i="122"/>
  <c r="I13" i="122"/>
  <c r="L27" i="121"/>
  <c r="I31" i="122"/>
  <c r="I18" i="122"/>
  <c r="I14" i="122"/>
  <c r="L19" i="121"/>
  <c r="J8" i="127"/>
  <c r="L18" i="121"/>
  <c r="J28" i="127"/>
  <c r="L20" i="121"/>
  <c r="L17" i="121"/>
  <c r="I11" i="127"/>
  <c r="AI16" i="66" s="1"/>
  <c r="L16" i="121"/>
  <c r="L14" i="121"/>
  <c r="J27" i="127"/>
  <c r="L13" i="121"/>
  <c r="B12" i="125"/>
  <c r="L12" i="121"/>
  <c r="J4" i="127"/>
  <c r="I9" i="122"/>
  <c r="I12" i="127"/>
  <c r="L26" i="121"/>
  <c r="J24" i="127"/>
  <c r="L29" i="121"/>
  <c r="I20" i="127"/>
  <c r="N20" i="127" s="1"/>
  <c r="J6" i="127"/>
  <c r="J10" i="127"/>
  <c r="L5" i="121"/>
  <c r="I25" i="127"/>
  <c r="L30" i="121"/>
  <c r="I13" i="127"/>
  <c r="N13" i="127" s="1"/>
  <c r="L24" i="121"/>
  <c r="J23" i="127"/>
  <c r="L23" i="121"/>
  <c r="J17" i="127"/>
  <c r="L22" i="121"/>
  <c r="J9" i="127"/>
  <c r="L21" i="121"/>
  <c r="J19" i="127"/>
  <c r="L31" i="121"/>
  <c r="I22" i="127"/>
  <c r="AI30" i="66" s="1"/>
  <c r="L11" i="121"/>
  <c r="J14" i="127"/>
  <c r="L8" i="121"/>
  <c r="J29" i="127"/>
  <c r="L7" i="121"/>
  <c r="J30" i="127"/>
  <c r="I28" i="122"/>
  <c r="I24" i="122"/>
  <c r="I7" i="122"/>
  <c r="I16" i="122"/>
  <c r="I11" i="122"/>
  <c r="L10" i="121"/>
  <c r="L9" i="121"/>
  <c r="I17" i="122"/>
  <c r="B30" i="125"/>
  <c r="B30" i="124"/>
  <c r="B32" i="124" s="1"/>
  <c r="B32" i="121"/>
  <c r="B34" i="121" s="1"/>
  <c r="B9" i="127"/>
  <c r="B7" i="125"/>
  <c r="B6" i="125"/>
  <c r="B17" i="125"/>
  <c r="B21" i="125"/>
  <c r="B19" i="125"/>
  <c r="F32" i="121"/>
  <c r="F34" i="121" s="1"/>
  <c r="B32" i="125"/>
  <c r="B9" i="125"/>
  <c r="B16" i="125"/>
  <c r="B20" i="125"/>
  <c r="B13" i="125"/>
  <c r="B18" i="125"/>
  <c r="B24" i="125"/>
  <c r="B6" i="127"/>
  <c r="C12" i="129"/>
  <c r="B15" i="125"/>
  <c r="B27" i="125"/>
  <c r="B7" i="127"/>
  <c r="C28" i="129"/>
  <c r="B14" i="125"/>
  <c r="B14" i="127"/>
  <c r="C22" i="129"/>
  <c r="B11" i="125"/>
  <c r="B31" i="123"/>
  <c r="B33" i="123" s="1"/>
  <c r="AE31" i="66" s="1"/>
  <c r="B12" i="129"/>
  <c r="B18" i="127"/>
  <c r="C23" i="129"/>
  <c r="B19" i="127"/>
  <c r="B13" i="127"/>
  <c r="C30" i="129"/>
  <c r="B25" i="125"/>
  <c r="B8" i="127"/>
  <c r="C34" i="129"/>
  <c r="B12" i="127"/>
  <c r="C33" i="129"/>
  <c r="B10" i="127"/>
  <c r="B26" i="125"/>
  <c r="B8" i="125"/>
  <c r="B25" i="127"/>
  <c r="C4" i="129"/>
  <c r="E32" i="122"/>
  <c r="B17" i="127"/>
  <c r="C6" i="129"/>
  <c r="B27" i="127"/>
  <c r="B5" i="127"/>
  <c r="C10" i="129"/>
  <c r="B24" i="127"/>
  <c r="C9" i="129"/>
  <c r="D9" i="129" s="1"/>
  <c r="B23" i="125"/>
  <c r="B10" i="125"/>
  <c r="B30" i="127"/>
  <c r="D32" i="121"/>
  <c r="D34" i="121" s="1"/>
  <c r="D34" i="127" s="1"/>
  <c r="B22" i="125"/>
  <c r="B28" i="127"/>
  <c r="C25" i="129"/>
  <c r="C27" i="129"/>
  <c r="B4" i="127"/>
  <c r="B20" i="127"/>
  <c r="B34" i="125"/>
  <c r="B31" i="125"/>
  <c r="C32" i="121"/>
  <c r="C34" i="121" s="1"/>
  <c r="C34" i="127" s="1"/>
  <c r="B29" i="125"/>
  <c r="B28" i="125"/>
  <c r="C24" i="129"/>
  <c r="B26" i="127"/>
  <c r="B21" i="127"/>
  <c r="B16" i="127"/>
  <c r="D9" i="127"/>
  <c r="AL21" i="66" s="1"/>
  <c r="AM21" i="66" s="1"/>
  <c r="C31" i="123"/>
  <c r="C33" i="123" s="1"/>
  <c r="I20" i="122"/>
  <c r="D32" i="122"/>
  <c r="D34" i="122" s="1"/>
  <c r="K20" i="122"/>
  <c r="C32" i="122"/>
  <c r="C34" i="122" s="1"/>
  <c r="I26" i="122"/>
  <c r="I30" i="122"/>
  <c r="I27" i="122"/>
  <c r="I15" i="122"/>
  <c r="I12" i="122"/>
  <c r="I8" i="122"/>
  <c r="B32" i="122"/>
  <c r="B34" i="122" s="1"/>
  <c r="I19" i="122"/>
  <c r="I23" i="122"/>
  <c r="L25" i="121"/>
  <c r="K21" i="122"/>
  <c r="K17" i="122"/>
  <c r="K31" i="122"/>
  <c r="K13" i="122"/>
  <c r="K16" i="122"/>
  <c r="K32" i="122"/>
  <c r="K14" i="122"/>
  <c r="H218" i="73"/>
  <c r="H238" i="73"/>
  <c r="AA85" i="62"/>
  <c r="AE85" i="62"/>
  <c r="AB85" i="62"/>
  <c r="AC85" i="62"/>
  <c r="AD85" i="62"/>
  <c r="I85" i="62"/>
  <c r="M85" i="62"/>
  <c r="J85" i="62"/>
  <c r="K85" i="62"/>
  <c r="L85" i="62"/>
  <c r="R75" i="106"/>
  <c r="R76" i="106"/>
  <c r="R77" i="106"/>
  <c r="R78" i="106"/>
  <c r="R79" i="106"/>
  <c r="R80" i="106"/>
  <c r="R81" i="106"/>
  <c r="R82" i="106"/>
  <c r="R83" i="106"/>
  <c r="R84" i="106"/>
  <c r="R85" i="106"/>
  <c r="R86" i="106"/>
  <c r="R87" i="106"/>
  <c r="R88" i="106"/>
  <c r="R89" i="106"/>
  <c r="R90" i="106"/>
  <c r="R91" i="106"/>
  <c r="R92" i="106"/>
  <c r="R93" i="106"/>
  <c r="R94" i="106"/>
  <c r="R95" i="106"/>
  <c r="R96" i="106"/>
  <c r="R97" i="106"/>
  <c r="R98" i="106"/>
  <c r="R99" i="106"/>
  <c r="R100" i="106"/>
  <c r="R101" i="106"/>
  <c r="AR60" i="63"/>
  <c r="V101" i="106"/>
  <c r="U101" i="106"/>
  <c r="T101" i="106"/>
  <c r="S101" i="106"/>
  <c r="V100" i="106"/>
  <c r="U100" i="106"/>
  <c r="T100" i="106"/>
  <c r="S100" i="106"/>
  <c r="V99" i="106"/>
  <c r="U99" i="106"/>
  <c r="T99" i="106"/>
  <c r="S99" i="106"/>
  <c r="V98" i="106"/>
  <c r="U98" i="106"/>
  <c r="T98" i="106"/>
  <c r="S98" i="106"/>
  <c r="V97" i="106"/>
  <c r="U97" i="106"/>
  <c r="T97" i="106"/>
  <c r="S97" i="106"/>
  <c r="V96" i="106"/>
  <c r="U96" i="106"/>
  <c r="T96" i="106"/>
  <c r="S96" i="106"/>
  <c r="V95" i="106"/>
  <c r="U95" i="106"/>
  <c r="T95" i="106"/>
  <c r="S95" i="106"/>
  <c r="V94" i="106"/>
  <c r="U94" i="106"/>
  <c r="T94" i="106"/>
  <c r="S94" i="106"/>
  <c r="V93" i="106"/>
  <c r="U93" i="106"/>
  <c r="T93" i="106"/>
  <c r="S93" i="106"/>
  <c r="V92" i="106"/>
  <c r="U92" i="106"/>
  <c r="T92" i="106"/>
  <c r="S92" i="106"/>
  <c r="V91" i="106"/>
  <c r="U91" i="106"/>
  <c r="T91" i="106"/>
  <c r="S91" i="106"/>
  <c r="V90" i="106"/>
  <c r="U90" i="106"/>
  <c r="T90" i="106"/>
  <c r="S90" i="106"/>
  <c r="V89" i="106"/>
  <c r="U89" i="106"/>
  <c r="T89" i="106"/>
  <c r="S89" i="106"/>
  <c r="V88" i="106"/>
  <c r="U88" i="106"/>
  <c r="T88" i="106"/>
  <c r="S88" i="106"/>
  <c r="V87" i="106"/>
  <c r="U87" i="106"/>
  <c r="T87" i="106"/>
  <c r="S87" i="106"/>
  <c r="V86" i="106"/>
  <c r="U86" i="106"/>
  <c r="T86" i="106"/>
  <c r="S86" i="106"/>
  <c r="V85" i="106"/>
  <c r="U85" i="106"/>
  <c r="T85" i="106"/>
  <c r="S85" i="106"/>
  <c r="V84" i="106"/>
  <c r="U84" i="106"/>
  <c r="T84" i="106"/>
  <c r="S84" i="106"/>
  <c r="V83" i="106"/>
  <c r="U83" i="106"/>
  <c r="T83" i="106"/>
  <c r="S83" i="106"/>
  <c r="V82" i="106"/>
  <c r="U82" i="106"/>
  <c r="T82" i="106"/>
  <c r="S82" i="106"/>
  <c r="V81" i="106"/>
  <c r="U81" i="106"/>
  <c r="T81" i="106"/>
  <c r="S81" i="106"/>
  <c r="V80" i="106"/>
  <c r="U80" i="106"/>
  <c r="T80" i="106"/>
  <c r="S80" i="106"/>
  <c r="V79" i="106"/>
  <c r="U79" i="106"/>
  <c r="T79" i="106"/>
  <c r="S79" i="106"/>
  <c r="V78" i="106"/>
  <c r="U78" i="106"/>
  <c r="T78" i="106"/>
  <c r="S78" i="106"/>
  <c r="V77" i="106"/>
  <c r="U77" i="106"/>
  <c r="T77" i="106"/>
  <c r="S77" i="106"/>
  <c r="V76" i="106"/>
  <c r="U76" i="106"/>
  <c r="T76" i="106"/>
  <c r="S76" i="106"/>
  <c r="V75" i="106"/>
  <c r="U75" i="106"/>
  <c r="U102" i="106"/>
  <c r="T75" i="106"/>
  <c r="T102" i="106"/>
  <c r="S75" i="106"/>
  <c r="S5" i="107"/>
  <c r="AG5" i="73"/>
  <c r="U5" i="107"/>
  <c r="AG73" i="73"/>
  <c r="S6" i="107"/>
  <c r="AG6" i="73"/>
  <c r="U6" i="107"/>
  <c r="AG74" i="73"/>
  <c r="C407" i="73" s="1"/>
  <c r="S7" i="107"/>
  <c r="AG7" i="73"/>
  <c r="U7" i="107"/>
  <c r="AG75" i="73"/>
  <c r="S8" i="107"/>
  <c r="AG8" i="73"/>
  <c r="S9" i="107"/>
  <c r="AG9" i="73"/>
  <c r="U9" i="107"/>
  <c r="AG77" i="73"/>
  <c r="S10" i="107"/>
  <c r="AG10" i="73"/>
  <c r="U10" i="107"/>
  <c r="AG78" i="73"/>
  <c r="V10" i="107"/>
  <c r="AG112" i="73"/>
  <c r="C492" i="73" s="1"/>
  <c r="S11" i="107"/>
  <c r="AG11" i="73"/>
  <c r="U11" i="107"/>
  <c r="AG79" i="73"/>
  <c r="S12" i="107"/>
  <c r="AG12" i="73"/>
  <c r="U12" i="107"/>
  <c r="AG80" i="73"/>
  <c r="C413" i="73" s="1"/>
  <c r="S13" i="107"/>
  <c r="AG13" i="73"/>
  <c r="U13" i="107"/>
  <c r="AG81" i="73"/>
  <c r="S14" i="107"/>
  <c r="AG14" i="73"/>
  <c r="U14" i="107"/>
  <c r="AG82" i="73"/>
  <c r="C415" i="73" s="1"/>
  <c r="S15" i="107"/>
  <c r="AG15" i="73"/>
  <c r="U15" i="107"/>
  <c r="AG83" i="73"/>
  <c r="S16" i="107"/>
  <c r="AG16" i="73"/>
  <c r="U16" i="107"/>
  <c r="AG84" i="73"/>
  <c r="C417" i="73" s="1"/>
  <c r="S17" i="107"/>
  <c r="AG17" i="73"/>
  <c r="U17" i="107"/>
  <c r="AG85" i="73"/>
  <c r="S18" i="107"/>
  <c r="AG18" i="73"/>
  <c r="U18" i="107"/>
  <c r="AG86" i="73"/>
  <c r="C419" i="73" s="1"/>
  <c r="S19" i="107"/>
  <c r="AG19" i="73"/>
  <c r="U19" i="107"/>
  <c r="AG87" i="73"/>
  <c r="S20" i="107"/>
  <c r="AG20" i="73"/>
  <c r="T20" i="107"/>
  <c r="AG54" i="73"/>
  <c r="C340" i="73" s="1"/>
  <c r="U20" i="107"/>
  <c r="AG88" i="73"/>
  <c r="S21" i="107"/>
  <c r="AG21" i="73"/>
  <c r="U21" i="107"/>
  <c r="AG89" i="73"/>
  <c r="S22" i="107"/>
  <c r="AG22" i="73"/>
  <c r="C261" i="73" s="1"/>
  <c r="U22" i="107"/>
  <c r="AG90" i="73"/>
  <c r="S23" i="107"/>
  <c r="AG23" i="73"/>
  <c r="U23" i="107"/>
  <c r="AG91" i="73"/>
  <c r="S24" i="107"/>
  <c r="AG24" i="73"/>
  <c r="C263" i="73" s="1"/>
  <c r="U24" i="107"/>
  <c r="AG92" i="73"/>
  <c r="S25" i="107"/>
  <c r="AG25" i="73"/>
  <c r="U25" i="107"/>
  <c r="AG93" i="73"/>
  <c r="S26" i="107"/>
  <c r="AG26" i="73"/>
  <c r="U26" i="107"/>
  <c r="AG94" i="73"/>
  <c r="S27" i="107"/>
  <c r="AG27" i="73"/>
  <c r="U27" i="107"/>
  <c r="AG95" i="73"/>
  <c r="S29" i="107"/>
  <c r="AG29" i="73"/>
  <c r="C268" i="73" s="1"/>
  <c r="U29" i="107"/>
  <c r="AG97" i="73"/>
  <c r="S30" i="107"/>
  <c r="AG30" i="73"/>
  <c r="U30" i="107"/>
  <c r="AG98" i="73"/>
  <c r="S31" i="107"/>
  <c r="AG31" i="73"/>
  <c r="U31" i="107"/>
  <c r="AG99" i="73"/>
  <c r="S40" i="107"/>
  <c r="T40" i="107"/>
  <c r="U40" i="107"/>
  <c r="V40" i="107"/>
  <c r="S41" i="107"/>
  <c r="T41" i="107"/>
  <c r="U41" i="107"/>
  <c r="V41" i="107"/>
  <c r="T42" i="107"/>
  <c r="V42" i="107"/>
  <c r="S43" i="107"/>
  <c r="T43" i="107"/>
  <c r="U43" i="107"/>
  <c r="V43" i="107"/>
  <c r="S44" i="107"/>
  <c r="U44" i="107"/>
  <c r="S45" i="107"/>
  <c r="T45" i="107"/>
  <c r="U45" i="107"/>
  <c r="V45" i="107"/>
  <c r="S46" i="107"/>
  <c r="T46" i="107"/>
  <c r="U46" i="107"/>
  <c r="V46" i="107"/>
  <c r="S47" i="107"/>
  <c r="T47" i="107"/>
  <c r="U47" i="107"/>
  <c r="V47" i="107"/>
  <c r="S48" i="107"/>
  <c r="T48" i="107"/>
  <c r="U48" i="107"/>
  <c r="V48" i="107"/>
  <c r="S49" i="107"/>
  <c r="T49" i="107"/>
  <c r="U49" i="107"/>
  <c r="V49" i="107"/>
  <c r="S50" i="107"/>
  <c r="T50" i="107"/>
  <c r="U50" i="107"/>
  <c r="V50" i="107"/>
  <c r="S51" i="107"/>
  <c r="T51" i="107"/>
  <c r="U51" i="107"/>
  <c r="V51" i="107"/>
  <c r="S52" i="107"/>
  <c r="T52" i="107"/>
  <c r="U52" i="107"/>
  <c r="V52" i="107"/>
  <c r="S53" i="107"/>
  <c r="T53" i="107"/>
  <c r="U53" i="107"/>
  <c r="V53" i="107"/>
  <c r="T54" i="107"/>
  <c r="V54" i="107"/>
  <c r="S55" i="107"/>
  <c r="T55" i="107"/>
  <c r="U55" i="107"/>
  <c r="V55" i="107"/>
  <c r="S56" i="107"/>
  <c r="T56" i="107"/>
  <c r="U56" i="107"/>
  <c r="V56" i="107"/>
  <c r="S57" i="107"/>
  <c r="T57" i="107"/>
  <c r="U57" i="107"/>
  <c r="V57" i="107"/>
  <c r="S58" i="107"/>
  <c r="T58" i="107"/>
  <c r="U58" i="107"/>
  <c r="V58" i="107"/>
  <c r="S59" i="107"/>
  <c r="T59" i="107"/>
  <c r="U59" i="107"/>
  <c r="V59" i="107"/>
  <c r="T60" i="107"/>
  <c r="U60" i="107"/>
  <c r="V60" i="107"/>
  <c r="S61" i="107"/>
  <c r="T61" i="107"/>
  <c r="U61" i="107"/>
  <c r="V61" i="107"/>
  <c r="S62" i="107"/>
  <c r="T62" i="107"/>
  <c r="U62" i="107"/>
  <c r="V62" i="107"/>
  <c r="S63" i="107"/>
  <c r="T63" i="107"/>
  <c r="U63" i="107"/>
  <c r="V63" i="107"/>
  <c r="S64" i="107"/>
  <c r="T64" i="107"/>
  <c r="U64" i="107"/>
  <c r="V64" i="107"/>
  <c r="S65" i="107"/>
  <c r="T65" i="107"/>
  <c r="U65" i="107"/>
  <c r="V65" i="107"/>
  <c r="S66" i="107"/>
  <c r="T66" i="107"/>
  <c r="U66" i="107"/>
  <c r="V66" i="107"/>
  <c r="T40" i="117"/>
  <c r="U40" i="117"/>
  <c r="V40" i="117"/>
  <c r="S41" i="117"/>
  <c r="T41" i="117"/>
  <c r="U41" i="117"/>
  <c r="V41" i="117"/>
  <c r="S42" i="117"/>
  <c r="T42" i="117"/>
  <c r="U42" i="117"/>
  <c r="V42" i="117"/>
  <c r="S43" i="117"/>
  <c r="T43" i="117"/>
  <c r="T44" i="117"/>
  <c r="U44" i="117"/>
  <c r="V44" i="117"/>
  <c r="S45" i="117"/>
  <c r="T45" i="117"/>
  <c r="U45" i="117"/>
  <c r="V45" i="117"/>
  <c r="S46" i="117"/>
  <c r="T46" i="117"/>
  <c r="U46" i="117"/>
  <c r="V46" i="117"/>
  <c r="S47" i="117"/>
  <c r="T47" i="117"/>
  <c r="T48" i="117"/>
  <c r="U48" i="117"/>
  <c r="V48" i="117"/>
  <c r="S49" i="117"/>
  <c r="T49" i="117"/>
  <c r="U49" i="117"/>
  <c r="V49" i="117"/>
  <c r="S50" i="117"/>
  <c r="T50" i="117"/>
  <c r="U50" i="117"/>
  <c r="V50" i="117"/>
  <c r="S51" i="117"/>
  <c r="T51" i="117"/>
  <c r="S52" i="117"/>
  <c r="T52" i="117"/>
  <c r="U52" i="117"/>
  <c r="V52" i="117"/>
  <c r="S53" i="117"/>
  <c r="T53" i="117"/>
  <c r="U53" i="117"/>
  <c r="V53" i="117"/>
  <c r="S54" i="117"/>
  <c r="T54" i="117"/>
  <c r="U54" i="117"/>
  <c r="V54" i="117"/>
  <c r="S55" i="117"/>
  <c r="T55" i="117"/>
  <c r="T56" i="117"/>
  <c r="U56" i="117"/>
  <c r="V56" i="117"/>
  <c r="S57" i="117"/>
  <c r="T57" i="117"/>
  <c r="U57" i="117"/>
  <c r="V57" i="117"/>
  <c r="S58" i="117"/>
  <c r="T58" i="117"/>
  <c r="U58" i="117"/>
  <c r="V58" i="117"/>
  <c r="S59" i="117"/>
  <c r="T59" i="117"/>
  <c r="S60" i="117"/>
  <c r="T60" i="117"/>
  <c r="U60" i="117"/>
  <c r="V60" i="117"/>
  <c r="S61" i="117"/>
  <c r="T61" i="117"/>
  <c r="U61" i="117"/>
  <c r="V61" i="117"/>
  <c r="S62" i="117"/>
  <c r="T62" i="117"/>
  <c r="U62" i="117"/>
  <c r="V62" i="117"/>
  <c r="S63" i="117"/>
  <c r="T63" i="117"/>
  <c r="T64" i="117"/>
  <c r="U64" i="117"/>
  <c r="V64" i="117"/>
  <c r="S65" i="117"/>
  <c r="T65" i="117"/>
  <c r="U65" i="117"/>
  <c r="V65" i="117"/>
  <c r="S66" i="117"/>
  <c r="T66" i="117"/>
  <c r="U66" i="117"/>
  <c r="V66" i="117"/>
  <c r="R75" i="117"/>
  <c r="R76" i="117"/>
  <c r="R77" i="117"/>
  <c r="R78" i="117"/>
  <c r="R79" i="117"/>
  <c r="R80" i="117"/>
  <c r="R81" i="117"/>
  <c r="R82" i="117"/>
  <c r="R83" i="117"/>
  <c r="R84" i="117"/>
  <c r="R85" i="117"/>
  <c r="R86" i="117"/>
  <c r="R87" i="117"/>
  <c r="R88" i="117"/>
  <c r="R89" i="117"/>
  <c r="R90" i="117"/>
  <c r="R91" i="117"/>
  <c r="R92" i="117"/>
  <c r="R93" i="117"/>
  <c r="R94" i="117"/>
  <c r="R95" i="117"/>
  <c r="R96" i="117"/>
  <c r="R97" i="117"/>
  <c r="R98" i="117"/>
  <c r="R99" i="117"/>
  <c r="R100" i="117"/>
  <c r="R101" i="117"/>
  <c r="B102" i="117"/>
  <c r="C102" i="117"/>
  <c r="D102" i="117"/>
  <c r="AH35" i="122"/>
  <c r="E102" i="117"/>
  <c r="F102" i="117"/>
  <c r="G102" i="117"/>
  <c r="F16" i="118"/>
  <c r="M108" i="62"/>
  <c r="H102" i="117"/>
  <c r="H16" i="118"/>
  <c r="I102" i="117"/>
  <c r="I16" i="118"/>
  <c r="J102" i="117"/>
  <c r="J16" i="118"/>
  <c r="K102" i="117"/>
  <c r="K16" i="118"/>
  <c r="L102" i="117"/>
  <c r="L16" i="118"/>
  <c r="M102" i="117"/>
  <c r="M16" i="118"/>
  <c r="N102" i="117"/>
  <c r="N16" i="118"/>
  <c r="O16" i="118"/>
  <c r="P102" i="117"/>
  <c r="P16" i="118"/>
  <c r="Q102" i="117"/>
  <c r="Q16" i="118"/>
  <c r="S5" i="116"/>
  <c r="T5" i="116"/>
  <c r="U5" i="116"/>
  <c r="V5" i="116"/>
  <c r="T6" i="116"/>
  <c r="U6" i="116"/>
  <c r="V6" i="116"/>
  <c r="S7" i="116"/>
  <c r="T7" i="116"/>
  <c r="U7" i="116"/>
  <c r="V7" i="116"/>
  <c r="S8" i="116"/>
  <c r="T8" i="116"/>
  <c r="U8" i="116"/>
  <c r="V8" i="116"/>
  <c r="S9" i="116"/>
  <c r="T9" i="116"/>
  <c r="U9" i="116"/>
  <c r="V9" i="116"/>
  <c r="S10" i="116"/>
  <c r="T10" i="116"/>
  <c r="U10" i="116"/>
  <c r="V10" i="116"/>
  <c r="S11" i="116"/>
  <c r="T11" i="116"/>
  <c r="U11" i="116"/>
  <c r="V11" i="116"/>
  <c r="S12" i="116"/>
  <c r="T12" i="116"/>
  <c r="U12" i="116"/>
  <c r="V12" i="116"/>
  <c r="S13" i="116"/>
  <c r="T13" i="116"/>
  <c r="V13" i="116"/>
  <c r="S14" i="116"/>
  <c r="T14" i="116"/>
  <c r="U14" i="116"/>
  <c r="V14" i="116"/>
  <c r="S15" i="116"/>
  <c r="T15" i="116"/>
  <c r="U15" i="116"/>
  <c r="V15" i="116"/>
  <c r="S16" i="116"/>
  <c r="T16" i="116"/>
  <c r="V16" i="116"/>
  <c r="S17" i="116"/>
  <c r="T17" i="116"/>
  <c r="U17" i="116"/>
  <c r="V17" i="116"/>
  <c r="S18" i="116"/>
  <c r="T18" i="116"/>
  <c r="U18" i="116"/>
  <c r="V18" i="116"/>
  <c r="S19" i="116"/>
  <c r="T19" i="116"/>
  <c r="U19" i="116"/>
  <c r="V19" i="116"/>
  <c r="S20" i="116"/>
  <c r="T20" i="116"/>
  <c r="U20" i="116"/>
  <c r="V20" i="116"/>
  <c r="S21" i="116"/>
  <c r="T21" i="116"/>
  <c r="U21" i="116"/>
  <c r="V21" i="116"/>
  <c r="S22" i="116"/>
  <c r="T22" i="116"/>
  <c r="U22" i="116"/>
  <c r="V22" i="116"/>
  <c r="S23" i="116"/>
  <c r="T23" i="116"/>
  <c r="U23" i="116"/>
  <c r="V23" i="116"/>
  <c r="S24" i="116"/>
  <c r="T24" i="116"/>
  <c r="U24" i="116"/>
  <c r="V24" i="116"/>
  <c r="S25" i="116"/>
  <c r="T25" i="116"/>
  <c r="U25" i="116"/>
  <c r="V25" i="116"/>
  <c r="S26" i="116"/>
  <c r="T26" i="116"/>
  <c r="U26" i="116"/>
  <c r="V26" i="116"/>
  <c r="S27" i="116"/>
  <c r="T27" i="116"/>
  <c r="U27" i="116"/>
  <c r="V27" i="116"/>
  <c r="S28" i="116"/>
  <c r="T28" i="116"/>
  <c r="U28" i="116"/>
  <c r="V28" i="116"/>
  <c r="S29" i="116"/>
  <c r="T29" i="116"/>
  <c r="U29" i="116"/>
  <c r="V29" i="116"/>
  <c r="S30" i="116"/>
  <c r="T30" i="116"/>
  <c r="U30" i="116"/>
  <c r="V30" i="116"/>
  <c r="S31" i="116"/>
  <c r="T31" i="116"/>
  <c r="U31" i="116"/>
  <c r="V31" i="116"/>
  <c r="S40" i="116"/>
  <c r="T40" i="116"/>
  <c r="U40" i="116"/>
  <c r="V40" i="116"/>
  <c r="S41" i="116"/>
  <c r="T41" i="116"/>
  <c r="U41" i="116"/>
  <c r="V41" i="116"/>
  <c r="S42" i="116"/>
  <c r="T42" i="116"/>
  <c r="U42" i="116"/>
  <c r="V42" i="116"/>
  <c r="S43" i="116"/>
  <c r="T43" i="116"/>
  <c r="U43" i="116"/>
  <c r="V43" i="116"/>
  <c r="S44" i="116"/>
  <c r="T44" i="116"/>
  <c r="U44" i="116"/>
  <c r="V44" i="116"/>
  <c r="S45" i="116"/>
  <c r="T45" i="116"/>
  <c r="U45" i="116"/>
  <c r="V45" i="116"/>
  <c r="S46" i="116"/>
  <c r="T46" i="116"/>
  <c r="U46" i="116"/>
  <c r="V46" i="116"/>
  <c r="S47" i="116"/>
  <c r="T47" i="116"/>
  <c r="U47" i="116"/>
  <c r="V47" i="116"/>
  <c r="S48" i="116"/>
  <c r="T48" i="116"/>
  <c r="U48" i="116"/>
  <c r="V48" i="116"/>
  <c r="S49" i="116"/>
  <c r="T49" i="116"/>
  <c r="U49" i="116"/>
  <c r="V49" i="116"/>
  <c r="S50" i="116"/>
  <c r="T50" i="116"/>
  <c r="U50" i="116"/>
  <c r="V50" i="116"/>
  <c r="S51" i="116"/>
  <c r="T51" i="116"/>
  <c r="U51" i="116"/>
  <c r="V51" i="116"/>
  <c r="S52" i="116"/>
  <c r="T52" i="116"/>
  <c r="U52" i="116"/>
  <c r="V52" i="116"/>
  <c r="S53" i="116"/>
  <c r="T53" i="116"/>
  <c r="U53" i="116"/>
  <c r="V53" i="116"/>
  <c r="S54" i="116"/>
  <c r="T54" i="116"/>
  <c r="U54" i="116"/>
  <c r="V54" i="116"/>
  <c r="S55" i="116"/>
  <c r="T55" i="116"/>
  <c r="U55" i="116"/>
  <c r="V55" i="116"/>
  <c r="S56" i="116"/>
  <c r="T56" i="116"/>
  <c r="U56" i="116"/>
  <c r="V56" i="116"/>
  <c r="S57" i="116"/>
  <c r="T57" i="116"/>
  <c r="U57" i="116"/>
  <c r="V57" i="116"/>
  <c r="S58" i="116"/>
  <c r="T58" i="116"/>
  <c r="U58" i="116"/>
  <c r="V58" i="116"/>
  <c r="S59" i="116"/>
  <c r="T59" i="116"/>
  <c r="U59" i="116"/>
  <c r="V59" i="116"/>
  <c r="S60" i="116"/>
  <c r="T60" i="116"/>
  <c r="U60" i="116"/>
  <c r="V60" i="116"/>
  <c r="S61" i="116"/>
  <c r="T61" i="116"/>
  <c r="U61" i="116"/>
  <c r="V61" i="116"/>
  <c r="S62" i="116"/>
  <c r="T62" i="116"/>
  <c r="U62" i="116"/>
  <c r="V62" i="116"/>
  <c r="S63" i="116"/>
  <c r="T63" i="116"/>
  <c r="U63" i="116"/>
  <c r="V63" i="116"/>
  <c r="S64" i="116"/>
  <c r="T64" i="116"/>
  <c r="U64" i="116"/>
  <c r="V64" i="116"/>
  <c r="S65" i="116"/>
  <c r="T65" i="116"/>
  <c r="U65" i="116"/>
  <c r="V65" i="116"/>
  <c r="S66" i="116"/>
  <c r="T66" i="116"/>
  <c r="U66" i="116"/>
  <c r="V66" i="116"/>
  <c r="R75" i="116"/>
  <c r="R76" i="116"/>
  <c r="R77" i="116"/>
  <c r="R78" i="116"/>
  <c r="R79" i="116"/>
  <c r="R80" i="116"/>
  <c r="R81" i="116"/>
  <c r="R82" i="116"/>
  <c r="R83" i="116"/>
  <c r="R84" i="116"/>
  <c r="R85" i="116"/>
  <c r="R86" i="116"/>
  <c r="R87" i="116"/>
  <c r="R88" i="116"/>
  <c r="R89" i="116"/>
  <c r="R90" i="116"/>
  <c r="R91" i="116"/>
  <c r="R92" i="116"/>
  <c r="R93" i="116"/>
  <c r="R94" i="116"/>
  <c r="R95" i="116"/>
  <c r="R96" i="116"/>
  <c r="R97" i="116"/>
  <c r="R98" i="116"/>
  <c r="R99" i="116"/>
  <c r="R100" i="116"/>
  <c r="R101" i="116"/>
  <c r="B102" i="116"/>
  <c r="C102" i="116"/>
  <c r="D102" i="116"/>
  <c r="E102" i="116"/>
  <c r="F102" i="116"/>
  <c r="G102" i="116"/>
  <c r="F15" i="118"/>
  <c r="L108" i="62"/>
  <c r="H102" i="116"/>
  <c r="H15" i="118"/>
  <c r="I102" i="116"/>
  <c r="I15" i="118"/>
  <c r="J102" i="116"/>
  <c r="J15" i="118"/>
  <c r="K102" i="116"/>
  <c r="K15" i="118"/>
  <c r="L102" i="116"/>
  <c r="L15" i="118"/>
  <c r="M102" i="116"/>
  <c r="M15" i="118"/>
  <c r="N102" i="116"/>
  <c r="N15" i="118"/>
  <c r="O15" i="118"/>
  <c r="P102" i="116"/>
  <c r="P15" i="118"/>
  <c r="Q102" i="116"/>
  <c r="Q15" i="118"/>
  <c r="T5" i="115"/>
  <c r="U5" i="115"/>
  <c r="V5" i="115"/>
  <c r="S6" i="115"/>
  <c r="U6" i="115"/>
  <c r="V6" i="115"/>
  <c r="T7" i="115"/>
  <c r="U7" i="115"/>
  <c r="V7" i="115"/>
  <c r="T8" i="115"/>
  <c r="U8" i="115"/>
  <c r="V8" i="115"/>
  <c r="S9" i="115"/>
  <c r="T9" i="115"/>
  <c r="U9" i="115"/>
  <c r="V9" i="115"/>
  <c r="S10" i="115"/>
  <c r="U10" i="115"/>
  <c r="V10" i="115"/>
  <c r="S11" i="115"/>
  <c r="T11" i="115"/>
  <c r="V11" i="115"/>
  <c r="T12" i="115"/>
  <c r="U12" i="115"/>
  <c r="V12" i="115"/>
  <c r="S13" i="115"/>
  <c r="T13" i="115"/>
  <c r="U13" i="115"/>
  <c r="V13" i="115"/>
  <c r="S14" i="115"/>
  <c r="U14" i="115"/>
  <c r="V14" i="115"/>
  <c r="S15" i="115"/>
  <c r="U15" i="115"/>
  <c r="V15" i="115"/>
  <c r="T16" i="115"/>
  <c r="U16" i="115"/>
  <c r="V16" i="115"/>
  <c r="S17" i="115"/>
  <c r="T17" i="115"/>
  <c r="U17" i="115"/>
  <c r="V17" i="115"/>
  <c r="S18" i="115"/>
  <c r="T18" i="115"/>
  <c r="U18" i="115"/>
  <c r="V18" i="115"/>
  <c r="S19" i="115"/>
  <c r="T19" i="115"/>
  <c r="U19" i="115"/>
  <c r="V19" i="115"/>
  <c r="S20" i="115"/>
  <c r="T20" i="115"/>
  <c r="U20" i="115"/>
  <c r="V20" i="115"/>
  <c r="T21" i="115"/>
  <c r="U21" i="115"/>
  <c r="V21" i="115"/>
  <c r="S22" i="115"/>
  <c r="U22" i="115"/>
  <c r="V22" i="115"/>
  <c r="S23" i="115"/>
  <c r="T23" i="115"/>
  <c r="U23" i="115"/>
  <c r="V23" i="115"/>
  <c r="T24" i="115"/>
  <c r="U24" i="115"/>
  <c r="V24" i="115"/>
  <c r="S25" i="115"/>
  <c r="T25" i="115"/>
  <c r="U25" i="115"/>
  <c r="V25" i="115"/>
  <c r="S26" i="115"/>
  <c r="U26" i="115"/>
  <c r="V26" i="115"/>
  <c r="S27" i="115"/>
  <c r="T27" i="115"/>
  <c r="V27" i="115"/>
  <c r="T28" i="115"/>
  <c r="U28" i="115"/>
  <c r="V28" i="115"/>
  <c r="S29" i="115"/>
  <c r="T29" i="115"/>
  <c r="U29" i="115"/>
  <c r="V29" i="115"/>
  <c r="S30" i="115"/>
  <c r="T30" i="115"/>
  <c r="U30" i="115"/>
  <c r="V30" i="115"/>
  <c r="S31" i="115"/>
  <c r="T31" i="115"/>
  <c r="U31" i="115"/>
  <c r="V31" i="115"/>
  <c r="T40" i="115"/>
  <c r="U40" i="115"/>
  <c r="V40" i="115"/>
  <c r="S41" i="115"/>
  <c r="T41" i="115"/>
  <c r="U41" i="115"/>
  <c r="V41" i="115"/>
  <c r="S42" i="115"/>
  <c r="T42" i="115"/>
  <c r="U42" i="115"/>
  <c r="V42" i="115"/>
  <c r="S43" i="115"/>
  <c r="T43" i="115"/>
  <c r="U43" i="115"/>
  <c r="V43" i="115"/>
  <c r="T44" i="115"/>
  <c r="U44" i="115"/>
  <c r="V44" i="115"/>
  <c r="S45" i="115"/>
  <c r="T45" i="115"/>
  <c r="U45" i="115"/>
  <c r="V45" i="115"/>
  <c r="S46" i="115"/>
  <c r="T46" i="115"/>
  <c r="U46" i="115"/>
  <c r="V46" i="115"/>
  <c r="S47" i="115"/>
  <c r="T47" i="115"/>
  <c r="U47" i="115"/>
  <c r="V47" i="115"/>
  <c r="T48" i="115"/>
  <c r="U48" i="115"/>
  <c r="V48" i="115"/>
  <c r="S49" i="115"/>
  <c r="T49" i="115"/>
  <c r="U49" i="115"/>
  <c r="V49" i="115"/>
  <c r="S50" i="115"/>
  <c r="T50" i="115"/>
  <c r="U50" i="115"/>
  <c r="V50" i="115"/>
  <c r="S51" i="115"/>
  <c r="T51" i="115"/>
  <c r="U51" i="115"/>
  <c r="V51" i="115"/>
  <c r="T52" i="115"/>
  <c r="U52" i="115"/>
  <c r="V52" i="115"/>
  <c r="S53" i="115"/>
  <c r="T53" i="115"/>
  <c r="U53" i="115"/>
  <c r="V53" i="115"/>
  <c r="S54" i="115"/>
  <c r="T54" i="115"/>
  <c r="U54" i="115"/>
  <c r="V54" i="115"/>
  <c r="S55" i="115"/>
  <c r="T55" i="115"/>
  <c r="U55" i="115"/>
  <c r="V55" i="115"/>
  <c r="T56" i="115"/>
  <c r="U56" i="115"/>
  <c r="V56" i="115"/>
  <c r="S57" i="115"/>
  <c r="T57" i="115"/>
  <c r="U57" i="115"/>
  <c r="V57" i="115"/>
  <c r="S58" i="115"/>
  <c r="T58" i="115"/>
  <c r="U58" i="115"/>
  <c r="V58" i="115"/>
  <c r="S59" i="115"/>
  <c r="T59" i="115"/>
  <c r="U59" i="115"/>
  <c r="V59" i="115"/>
  <c r="T60" i="115"/>
  <c r="U60" i="115"/>
  <c r="V60" i="115"/>
  <c r="S61" i="115"/>
  <c r="T61" i="115"/>
  <c r="U61" i="115"/>
  <c r="V61" i="115"/>
  <c r="S62" i="115"/>
  <c r="T62" i="115"/>
  <c r="U62" i="115"/>
  <c r="V62" i="115"/>
  <c r="S63" i="115"/>
  <c r="T63" i="115"/>
  <c r="U63" i="115"/>
  <c r="V63" i="115"/>
  <c r="T64" i="115"/>
  <c r="U64" i="115"/>
  <c r="V64" i="115"/>
  <c r="S65" i="115"/>
  <c r="T65" i="115"/>
  <c r="U65" i="115"/>
  <c r="V65" i="115"/>
  <c r="S66" i="115"/>
  <c r="T66" i="115"/>
  <c r="U66" i="115"/>
  <c r="V66" i="115"/>
  <c r="R75" i="115"/>
  <c r="R76" i="115"/>
  <c r="R77" i="115"/>
  <c r="R78" i="115"/>
  <c r="R79" i="115"/>
  <c r="R80" i="115"/>
  <c r="R81" i="115"/>
  <c r="R82" i="115"/>
  <c r="R83" i="115"/>
  <c r="R84" i="115"/>
  <c r="R85" i="115"/>
  <c r="R86" i="115"/>
  <c r="R87" i="115"/>
  <c r="R88" i="115"/>
  <c r="R89" i="115"/>
  <c r="R90" i="115"/>
  <c r="R91" i="115"/>
  <c r="R92" i="115"/>
  <c r="R93" i="115"/>
  <c r="R94" i="115"/>
  <c r="R95" i="115"/>
  <c r="R96" i="115"/>
  <c r="R97" i="115"/>
  <c r="R98" i="115"/>
  <c r="R99" i="115"/>
  <c r="R100" i="115"/>
  <c r="R101" i="115"/>
  <c r="B102" i="115"/>
  <c r="AG35" i="121"/>
  <c r="C102" i="115"/>
  <c r="D102" i="115"/>
  <c r="E102" i="115"/>
  <c r="F102" i="115"/>
  <c r="F14" i="118"/>
  <c r="K108" i="62"/>
  <c r="G102" i="115"/>
  <c r="H102" i="115"/>
  <c r="H14" i="118"/>
  <c r="I102" i="115"/>
  <c r="I14" i="118"/>
  <c r="J102" i="115"/>
  <c r="J14" i="118"/>
  <c r="K102" i="115"/>
  <c r="K14" i="118"/>
  <c r="L102" i="115"/>
  <c r="L14" i="118"/>
  <c r="M102" i="115"/>
  <c r="M14" i="118"/>
  <c r="N102" i="115"/>
  <c r="N14" i="118"/>
  <c r="P102" i="115"/>
  <c r="P14" i="118"/>
  <c r="Q102" i="115"/>
  <c r="Q14" i="118"/>
  <c r="S5" i="114"/>
  <c r="AN5" i="73" s="1"/>
  <c r="T5" i="114"/>
  <c r="AN39" i="73" s="1"/>
  <c r="V5" i="114"/>
  <c r="AN107" i="73" s="1"/>
  <c r="S6" i="114"/>
  <c r="AN6" i="73" s="1"/>
  <c r="T6" i="114"/>
  <c r="AN40" i="73" s="1"/>
  <c r="U6" i="114"/>
  <c r="AN74" i="73" s="1"/>
  <c r="V6" i="114"/>
  <c r="AN108" i="73" s="1"/>
  <c r="S7" i="114"/>
  <c r="AN7" i="73" s="1"/>
  <c r="T7" i="114"/>
  <c r="AN41" i="73" s="1"/>
  <c r="U7" i="114"/>
  <c r="AN75" i="73" s="1"/>
  <c r="V7" i="114"/>
  <c r="AN109" i="73" s="1"/>
  <c r="S8" i="114"/>
  <c r="AN8" i="73" s="1"/>
  <c r="T8" i="114"/>
  <c r="AN42" i="73" s="1"/>
  <c r="U8" i="114"/>
  <c r="AN76" i="73" s="1"/>
  <c r="V8" i="114"/>
  <c r="AN110" i="73" s="1"/>
  <c r="S9" i="114"/>
  <c r="AN9" i="73" s="1"/>
  <c r="T9" i="114"/>
  <c r="AN43" i="73" s="1"/>
  <c r="U9" i="114"/>
  <c r="AN77" i="73" s="1"/>
  <c r="V9" i="114"/>
  <c r="AN111" i="73" s="1"/>
  <c r="S10" i="114"/>
  <c r="AN10" i="73" s="1"/>
  <c r="T10" i="114"/>
  <c r="AN44" i="73" s="1"/>
  <c r="U10" i="114"/>
  <c r="AN78" i="73" s="1"/>
  <c r="V10" i="114"/>
  <c r="AN112" i="73" s="1"/>
  <c r="S11" i="114"/>
  <c r="AN11" i="73" s="1"/>
  <c r="T11" i="114"/>
  <c r="AN45" i="73" s="1"/>
  <c r="U11" i="114"/>
  <c r="AN79" i="73" s="1"/>
  <c r="V11" i="114"/>
  <c r="AN113" i="73" s="1"/>
  <c r="S12" i="114"/>
  <c r="AN12" i="73" s="1"/>
  <c r="T12" i="114"/>
  <c r="AN46" i="73" s="1"/>
  <c r="U12" i="114"/>
  <c r="AN80" i="73" s="1"/>
  <c r="V12" i="114"/>
  <c r="AN114" i="73" s="1"/>
  <c r="S13" i="114"/>
  <c r="AN13" i="73" s="1"/>
  <c r="T13" i="114"/>
  <c r="AN47" i="73" s="1"/>
  <c r="U13" i="114"/>
  <c r="AN81" i="73" s="1"/>
  <c r="V13" i="114"/>
  <c r="AN115" i="73" s="1"/>
  <c r="S14" i="114"/>
  <c r="AN14" i="73" s="1"/>
  <c r="T14" i="114"/>
  <c r="AN48" i="73" s="1"/>
  <c r="U14" i="114"/>
  <c r="AN82" i="73" s="1"/>
  <c r="V14" i="114"/>
  <c r="AN116" i="73" s="1"/>
  <c r="S15" i="114"/>
  <c r="AN15" i="73" s="1"/>
  <c r="T15" i="114"/>
  <c r="AN49" i="73" s="1"/>
  <c r="U15" i="114"/>
  <c r="AN83" i="73" s="1"/>
  <c r="V15" i="114"/>
  <c r="AN117" i="73" s="1"/>
  <c r="S16" i="114"/>
  <c r="AN16" i="73" s="1"/>
  <c r="T16" i="114"/>
  <c r="AN50" i="73" s="1"/>
  <c r="U16" i="114"/>
  <c r="AN84" i="73" s="1"/>
  <c r="V16" i="114"/>
  <c r="AN118" i="73" s="1"/>
  <c r="S17" i="114"/>
  <c r="AN17" i="73" s="1"/>
  <c r="T17" i="114"/>
  <c r="AN51" i="73" s="1"/>
  <c r="U17" i="114"/>
  <c r="AN85" i="73" s="1"/>
  <c r="V17" i="114"/>
  <c r="AN119" i="73" s="1"/>
  <c r="S18" i="114"/>
  <c r="AN18" i="73" s="1"/>
  <c r="T18" i="114"/>
  <c r="AN52" i="73" s="1"/>
  <c r="U18" i="114"/>
  <c r="AN86" i="73" s="1"/>
  <c r="V18" i="114"/>
  <c r="AN120" i="73" s="1"/>
  <c r="S19" i="114"/>
  <c r="AN19" i="73" s="1"/>
  <c r="T19" i="114"/>
  <c r="AN53" i="73" s="1"/>
  <c r="U19" i="114"/>
  <c r="AN87" i="73" s="1"/>
  <c r="V19" i="114"/>
  <c r="AN121" i="73" s="1"/>
  <c r="S20" i="114"/>
  <c r="AN20" i="73" s="1"/>
  <c r="T20" i="114"/>
  <c r="AN54" i="73" s="1"/>
  <c r="U20" i="114"/>
  <c r="AN88" i="73" s="1"/>
  <c r="V20" i="114"/>
  <c r="AN122" i="73" s="1"/>
  <c r="S21" i="114"/>
  <c r="AN21" i="73" s="1"/>
  <c r="T21" i="114"/>
  <c r="AN55" i="73" s="1"/>
  <c r="S22" i="114"/>
  <c r="AN22" i="73" s="1"/>
  <c r="T22" i="114"/>
  <c r="AN56" i="73" s="1"/>
  <c r="U22" i="114"/>
  <c r="AN90" i="73" s="1"/>
  <c r="V22" i="114"/>
  <c r="AN124" i="73" s="1"/>
  <c r="S23" i="114"/>
  <c r="AN23" i="73" s="1"/>
  <c r="T23" i="114"/>
  <c r="AN57" i="73" s="1"/>
  <c r="U23" i="114"/>
  <c r="AN91" i="73" s="1"/>
  <c r="V23" i="114"/>
  <c r="AN125" i="73" s="1"/>
  <c r="S24" i="114"/>
  <c r="AN24" i="73" s="1"/>
  <c r="T24" i="114"/>
  <c r="AN58" i="73" s="1"/>
  <c r="U24" i="114"/>
  <c r="AN92" i="73" s="1"/>
  <c r="S25" i="114"/>
  <c r="AN25" i="73" s="1"/>
  <c r="T25" i="114"/>
  <c r="AN59" i="73" s="1"/>
  <c r="U25" i="114"/>
  <c r="AN93" i="73" s="1"/>
  <c r="V25" i="114"/>
  <c r="AN127" i="73" s="1"/>
  <c r="S26" i="114"/>
  <c r="AN26" i="73" s="1"/>
  <c r="T26" i="114"/>
  <c r="AN60" i="73" s="1"/>
  <c r="U26" i="114"/>
  <c r="AN94" i="73" s="1"/>
  <c r="V26" i="114"/>
  <c r="AN128" i="73" s="1"/>
  <c r="S27" i="114"/>
  <c r="AN27" i="73" s="1"/>
  <c r="T27" i="114"/>
  <c r="AN61" i="73" s="1"/>
  <c r="U27" i="114"/>
  <c r="AN95" i="73" s="1"/>
  <c r="V27" i="114"/>
  <c r="AN129" i="73" s="1"/>
  <c r="S28" i="114"/>
  <c r="AN28" i="73" s="1"/>
  <c r="T28" i="114"/>
  <c r="AN62" i="73" s="1"/>
  <c r="U28" i="114"/>
  <c r="AN96" i="73" s="1"/>
  <c r="S29" i="114"/>
  <c r="AN29" i="73" s="1"/>
  <c r="T29" i="114"/>
  <c r="AN63" i="73" s="1"/>
  <c r="U29" i="114"/>
  <c r="AN97" i="73" s="1"/>
  <c r="V29" i="114"/>
  <c r="AN131" i="73" s="1"/>
  <c r="S30" i="114"/>
  <c r="AN30" i="73" s="1"/>
  <c r="T30" i="114"/>
  <c r="AN64" i="73" s="1"/>
  <c r="U30" i="114"/>
  <c r="AN98" i="73" s="1"/>
  <c r="V30" i="114"/>
  <c r="AN132" i="73" s="1"/>
  <c r="S31" i="114"/>
  <c r="AN31" i="73" s="1"/>
  <c r="T31" i="114"/>
  <c r="AN65" i="73" s="1"/>
  <c r="U31" i="114"/>
  <c r="AN99" i="73" s="1"/>
  <c r="V31" i="114"/>
  <c r="AN133" i="73" s="1"/>
  <c r="S40" i="114"/>
  <c r="T40" i="114"/>
  <c r="U40" i="114"/>
  <c r="S41" i="114"/>
  <c r="T41" i="114"/>
  <c r="U41" i="114"/>
  <c r="V41" i="114"/>
  <c r="S42" i="114"/>
  <c r="T42" i="114"/>
  <c r="U42" i="114"/>
  <c r="V42" i="114"/>
  <c r="S43" i="114"/>
  <c r="T43" i="114"/>
  <c r="U43" i="114"/>
  <c r="V43" i="114"/>
  <c r="S44" i="114"/>
  <c r="T44" i="114"/>
  <c r="U44" i="114"/>
  <c r="S45" i="114"/>
  <c r="T45" i="114"/>
  <c r="U45" i="114"/>
  <c r="V45" i="114"/>
  <c r="S46" i="114"/>
  <c r="T46" i="114"/>
  <c r="U46" i="114"/>
  <c r="V46" i="114"/>
  <c r="S47" i="114"/>
  <c r="T47" i="114"/>
  <c r="U47" i="114"/>
  <c r="V47" i="114"/>
  <c r="S48" i="114"/>
  <c r="T48" i="114"/>
  <c r="U48" i="114"/>
  <c r="S49" i="114"/>
  <c r="T49" i="114"/>
  <c r="U49" i="114"/>
  <c r="V49" i="114"/>
  <c r="S50" i="114"/>
  <c r="T50" i="114"/>
  <c r="U50" i="114"/>
  <c r="V50" i="114"/>
  <c r="S51" i="114"/>
  <c r="T51" i="114"/>
  <c r="U51" i="114"/>
  <c r="V51" i="114"/>
  <c r="S52" i="114"/>
  <c r="T52" i="114"/>
  <c r="U52" i="114"/>
  <c r="S53" i="114"/>
  <c r="T53" i="114"/>
  <c r="U53" i="114"/>
  <c r="V53" i="114"/>
  <c r="S54" i="114"/>
  <c r="T54" i="114"/>
  <c r="U54" i="114"/>
  <c r="V54" i="114"/>
  <c r="S55" i="114"/>
  <c r="T55" i="114"/>
  <c r="U55" i="114"/>
  <c r="V55" i="114"/>
  <c r="S56" i="114"/>
  <c r="T56" i="114"/>
  <c r="U56" i="114"/>
  <c r="S57" i="114"/>
  <c r="T57" i="114"/>
  <c r="U57" i="114"/>
  <c r="V57" i="114"/>
  <c r="S58" i="114"/>
  <c r="T58" i="114"/>
  <c r="U58" i="114"/>
  <c r="V58" i="114"/>
  <c r="S59" i="114"/>
  <c r="T59" i="114"/>
  <c r="U59" i="114"/>
  <c r="V59" i="114"/>
  <c r="S60" i="114"/>
  <c r="T60" i="114"/>
  <c r="U60" i="114"/>
  <c r="S61" i="114"/>
  <c r="T61" i="114"/>
  <c r="U61" i="114"/>
  <c r="V61" i="114"/>
  <c r="S62" i="114"/>
  <c r="T62" i="114"/>
  <c r="U62" i="114"/>
  <c r="V62" i="114"/>
  <c r="S63" i="114"/>
  <c r="T63" i="114"/>
  <c r="U63" i="114"/>
  <c r="V63" i="114"/>
  <c r="S64" i="114"/>
  <c r="T64" i="114"/>
  <c r="U64" i="114"/>
  <c r="S65" i="114"/>
  <c r="T65" i="114"/>
  <c r="U65" i="114"/>
  <c r="V65" i="114"/>
  <c r="S66" i="114"/>
  <c r="T66" i="114"/>
  <c r="U66" i="114"/>
  <c r="V66" i="114"/>
  <c r="R75" i="114"/>
  <c r="R76" i="114"/>
  <c r="R77" i="114"/>
  <c r="R78" i="114"/>
  <c r="R79" i="114"/>
  <c r="R80" i="114"/>
  <c r="R81" i="114"/>
  <c r="R82" i="114"/>
  <c r="R83" i="114"/>
  <c r="R84" i="114"/>
  <c r="R85" i="114"/>
  <c r="R86" i="114"/>
  <c r="R87" i="114"/>
  <c r="R88" i="114"/>
  <c r="R89" i="114"/>
  <c r="R90" i="114"/>
  <c r="R91" i="114"/>
  <c r="R92" i="114"/>
  <c r="R93" i="114"/>
  <c r="R94" i="114"/>
  <c r="R95" i="114"/>
  <c r="R96" i="114"/>
  <c r="R97" i="114"/>
  <c r="R98" i="114"/>
  <c r="R99" i="114"/>
  <c r="R100" i="114"/>
  <c r="R101" i="114"/>
  <c r="B102" i="114"/>
  <c r="C102" i="114"/>
  <c r="D102" i="114"/>
  <c r="E102" i="114"/>
  <c r="AC35" i="122" s="1"/>
  <c r="F102" i="114"/>
  <c r="G102" i="114"/>
  <c r="H102" i="114"/>
  <c r="H13" i="118" s="1"/>
  <c r="I102" i="114"/>
  <c r="I13" i="118" s="1"/>
  <c r="J102" i="114"/>
  <c r="J13" i="118" s="1"/>
  <c r="K102" i="114"/>
  <c r="K13" i="118" s="1"/>
  <c r="K17" i="118" s="1"/>
  <c r="L102" i="114"/>
  <c r="L13" i="118" s="1"/>
  <c r="L17" i="118" s="1"/>
  <c r="M102" i="114"/>
  <c r="M13" i="118" s="1"/>
  <c r="N102" i="114"/>
  <c r="N13" i="118" s="1"/>
  <c r="P102" i="114"/>
  <c r="P13" i="118" s="1"/>
  <c r="Q102" i="114"/>
  <c r="Q13" i="118"/>
  <c r="S5" i="113"/>
  <c r="U5" i="113"/>
  <c r="V5" i="113"/>
  <c r="S6" i="113"/>
  <c r="T6" i="113"/>
  <c r="U6" i="113"/>
  <c r="V6" i="113"/>
  <c r="S7" i="113"/>
  <c r="T7" i="113"/>
  <c r="V7" i="113"/>
  <c r="S8" i="113"/>
  <c r="T8" i="113"/>
  <c r="U8" i="113"/>
  <c r="V8" i="113"/>
  <c r="CY6" i="126" s="1"/>
  <c r="S9" i="113"/>
  <c r="T9" i="113"/>
  <c r="U9" i="113"/>
  <c r="V9" i="113"/>
  <c r="S10" i="113"/>
  <c r="T10" i="113"/>
  <c r="U10" i="113"/>
  <c r="V10" i="113"/>
  <c r="S11" i="113"/>
  <c r="T11" i="113"/>
  <c r="V11" i="113"/>
  <c r="S12" i="113"/>
  <c r="T12" i="113"/>
  <c r="U12" i="113"/>
  <c r="V12" i="113"/>
  <c r="S13" i="113"/>
  <c r="T13" i="113"/>
  <c r="U13" i="113"/>
  <c r="V13" i="113"/>
  <c r="S14" i="113"/>
  <c r="T14" i="113"/>
  <c r="V14" i="113"/>
  <c r="CY12" i="126" s="1"/>
  <c r="S15" i="113"/>
  <c r="T15" i="113"/>
  <c r="CW13" i="126" s="1"/>
  <c r="U15" i="113"/>
  <c r="V15" i="113"/>
  <c r="S16" i="113"/>
  <c r="T16" i="113"/>
  <c r="U16" i="113"/>
  <c r="V16" i="113"/>
  <c r="CY14" i="126" s="1"/>
  <c r="S17" i="113"/>
  <c r="T17" i="113"/>
  <c r="U17" i="113"/>
  <c r="V17" i="113"/>
  <c r="S18" i="113"/>
  <c r="T18" i="113"/>
  <c r="V18" i="113"/>
  <c r="S19" i="113"/>
  <c r="T19" i="113"/>
  <c r="U19" i="113"/>
  <c r="CX17" i="126" s="1"/>
  <c r="V19" i="113"/>
  <c r="S20" i="113"/>
  <c r="T20" i="113"/>
  <c r="V20" i="113"/>
  <c r="S21" i="113"/>
  <c r="T21" i="113"/>
  <c r="U21" i="113"/>
  <c r="V21" i="113"/>
  <c r="S22" i="113"/>
  <c r="T22" i="113"/>
  <c r="V22" i="113"/>
  <c r="S23" i="113"/>
  <c r="T23" i="113"/>
  <c r="I343" i="73" s="1"/>
  <c r="U23" i="113"/>
  <c r="I424" i="73" s="1"/>
  <c r="V23" i="113"/>
  <c r="S24" i="113"/>
  <c r="T24" i="113"/>
  <c r="U24" i="113"/>
  <c r="V24" i="113"/>
  <c r="S25" i="113"/>
  <c r="T25" i="113"/>
  <c r="CW23" i="126" s="1"/>
  <c r="U25" i="113"/>
  <c r="CX23" i="126" s="1"/>
  <c r="V25" i="113"/>
  <c r="S26" i="113"/>
  <c r="T26" i="113"/>
  <c r="U26" i="113"/>
  <c r="V26" i="113"/>
  <c r="S27" i="113"/>
  <c r="T27" i="113"/>
  <c r="U27" i="113"/>
  <c r="I428" i="73" s="1"/>
  <c r="V27" i="113"/>
  <c r="S28" i="113"/>
  <c r="T28" i="113"/>
  <c r="U28" i="113"/>
  <c r="V28" i="113"/>
  <c r="S29" i="113"/>
  <c r="T29" i="113"/>
  <c r="U29" i="113"/>
  <c r="CX27" i="126" s="1"/>
  <c r="V29" i="113"/>
  <c r="S30" i="113"/>
  <c r="T30" i="113"/>
  <c r="U30" i="113"/>
  <c r="V30" i="113"/>
  <c r="S31" i="113"/>
  <c r="T31" i="113"/>
  <c r="I351" i="73" s="1"/>
  <c r="V31" i="113"/>
  <c r="S40" i="113"/>
  <c r="T40" i="113"/>
  <c r="U40" i="113"/>
  <c r="V40" i="113"/>
  <c r="T41" i="113"/>
  <c r="U41" i="113"/>
  <c r="V41" i="113"/>
  <c r="S42" i="113"/>
  <c r="U42" i="113"/>
  <c r="V42" i="113"/>
  <c r="S43" i="113"/>
  <c r="T43" i="113"/>
  <c r="U43" i="113"/>
  <c r="S44" i="113"/>
  <c r="T44" i="113"/>
  <c r="V44" i="113"/>
  <c r="S45" i="113"/>
  <c r="T45" i="113"/>
  <c r="U45" i="113"/>
  <c r="V45" i="113"/>
  <c r="S46" i="113"/>
  <c r="U46" i="113"/>
  <c r="V46" i="113"/>
  <c r="T47" i="113"/>
  <c r="U47" i="113"/>
  <c r="V47" i="113"/>
  <c r="S48" i="113"/>
  <c r="T48" i="113"/>
  <c r="U48" i="113"/>
  <c r="V48" i="113"/>
  <c r="T49" i="113"/>
  <c r="U49" i="113"/>
  <c r="V49" i="113"/>
  <c r="S50" i="113"/>
  <c r="U50" i="113"/>
  <c r="V50" i="113"/>
  <c r="S51" i="113"/>
  <c r="T51" i="113"/>
  <c r="U51" i="113"/>
  <c r="S52" i="113"/>
  <c r="T52" i="113"/>
  <c r="V52" i="113"/>
  <c r="S53" i="113"/>
  <c r="T53" i="113"/>
  <c r="U53" i="113"/>
  <c r="V53" i="113"/>
  <c r="S54" i="113"/>
  <c r="U54" i="113"/>
  <c r="V54" i="113"/>
  <c r="T55" i="113"/>
  <c r="U55" i="113"/>
  <c r="V55" i="113"/>
  <c r="S56" i="113"/>
  <c r="T56" i="113"/>
  <c r="U56" i="113"/>
  <c r="V56" i="113"/>
  <c r="T57" i="113"/>
  <c r="U57" i="113"/>
  <c r="V57" i="113"/>
  <c r="S58" i="113"/>
  <c r="U58" i="113"/>
  <c r="V58" i="113"/>
  <c r="S59" i="113"/>
  <c r="T59" i="113"/>
  <c r="U59" i="113"/>
  <c r="S60" i="113"/>
  <c r="T60" i="113"/>
  <c r="U60" i="113"/>
  <c r="V60" i="113"/>
  <c r="S61" i="113"/>
  <c r="T61" i="113"/>
  <c r="U61" i="113"/>
  <c r="V61" i="113"/>
  <c r="S62" i="113"/>
  <c r="U62" i="113"/>
  <c r="V62" i="113"/>
  <c r="T63" i="113"/>
  <c r="U63" i="113"/>
  <c r="V63" i="113"/>
  <c r="S64" i="113"/>
  <c r="T64" i="113"/>
  <c r="U64" i="113"/>
  <c r="V64" i="113"/>
  <c r="T65" i="113"/>
  <c r="U65" i="113"/>
  <c r="V65" i="113"/>
  <c r="S66" i="113"/>
  <c r="U66" i="113"/>
  <c r="V66" i="113"/>
  <c r="R75" i="113"/>
  <c r="R77" i="113"/>
  <c r="R78" i="113"/>
  <c r="R79" i="113"/>
  <c r="R81" i="113"/>
  <c r="R82" i="113"/>
  <c r="R83" i="113"/>
  <c r="R85" i="113"/>
  <c r="R86" i="113"/>
  <c r="R87" i="113"/>
  <c r="R89" i="113"/>
  <c r="R90" i="113"/>
  <c r="R91" i="113"/>
  <c r="R93" i="113"/>
  <c r="R94" i="113"/>
  <c r="R95" i="113"/>
  <c r="R97" i="113"/>
  <c r="R98" i="113"/>
  <c r="R99" i="113"/>
  <c r="R101" i="113"/>
  <c r="B102" i="113"/>
  <c r="C102" i="113"/>
  <c r="D102" i="113"/>
  <c r="E102" i="113"/>
  <c r="F102" i="113"/>
  <c r="F12" i="118" s="1"/>
  <c r="G102" i="113"/>
  <c r="H102" i="113"/>
  <c r="H12" i="118" s="1"/>
  <c r="I102" i="113"/>
  <c r="I12" i="118" s="1"/>
  <c r="J102" i="113"/>
  <c r="J12" i="118" s="1"/>
  <c r="K102" i="113"/>
  <c r="K12" i="118" s="1"/>
  <c r="L102" i="113"/>
  <c r="L12" i="118" s="1"/>
  <c r="M102" i="113"/>
  <c r="M12" i="118" s="1"/>
  <c r="N102" i="113"/>
  <c r="N12" i="118" s="1"/>
  <c r="P102" i="113"/>
  <c r="P12" i="118" s="1"/>
  <c r="Q102" i="113"/>
  <c r="Q12" i="118" s="1"/>
  <c r="Q17" i="118" s="1"/>
  <c r="R76" i="112"/>
  <c r="R77" i="112"/>
  <c r="R79" i="112"/>
  <c r="R80" i="112"/>
  <c r="R83" i="112"/>
  <c r="R84" i="112"/>
  <c r="R85" i="112"/>
  <c r="R88" i="112"/>
  <c r="R89" i="112"/>
  <c r="R90" i="112"/>
  <c r="R91" i="112"/>
  <c r="R92" i="112"/>
  <c r="R95" i="112"/>
  <c r="R96" i="112"/>
  <c r="R100" i="112"/>
  <c r="R101" i="112"/>
  <c r="T5" i="111"/>
  <c r="V5" i="111"/>
  <c r="T6" i="111"/>
  <c r="V6" i="111"/>
  <c r="T7" i="111"/>
  <c r="V7" i="111"/>
  <c r="T8" i="111"/>
  <c r="V8" i="111"/>
  <c r="T9" i="111"/>
  <c r="V9" i="111"/>
  <c r="V10" i="111"/>
  <c r="T11" i="111"/>
  <c r="V11" i="111"/>
  <c r="V12" i="111"/>
  <c r="T13" i="111"/>
  <c r="V13" i="111"/>
  <c r="V14" i="111"/>
  <c r="T15" i="111"/>
  <c r="V15" i="111"/>
  <c r="V16" i="111"/>
  <c r="T17" i="111"/>
  <c r="V17" i="111"/>
  <c r="V18" i="111"/>
  <c r="T19" i="111"/>
  <c r="V19" i="111"/>
  <c r="S20" i="111"/>
  <c r="T20" i="111"/>
  <c r="V20" i="111"/>
  <c r="S21" i="111"/>
  <c r="T21" i="111"/>
  <c r="V21" i="111"/>
  <c r="S22" i="111"/>
  <c r="T22" i="111"/>
  <c r="V22" i="111"/>
  <c r="S23" i="111"/>
  <c r="S24" i="111"/>
  <c r="T24" i="111"/>
  <c r="V24" i="111"/>
  <c r="S25" i="111"/>
  <c r="T25" i="111"/>
  <c r="V25" i="111"/>
  <c r="S27" i="111"/>
  <c r="S28" i="111"/>
  <c r="T28" i="111"/>
  <c r="V28" i="111"/>
  <c r="S29" i="111"/>
  <c r="T29" i="111"/>
  <c r="V29" i="111"/>
  <c r="S30" i="111"/>
  <c r="T30" i="111"/>
  <c r="V30" i="111"/>
  <c r="S31" i="111"/>
  <c r="T31" i="111"/>
  <c r="V31" i="111"/>
  <c r="T40" i="111"/>
  <c r="T41" i="111"/>
  <c r="S42" i="111"/>
  <c r="T42" i="111"/>
  <c r="U42" i="111"/>
  <c r="V42" i="111"/>
  <c r="S43" i="111"/>
  <c r="T43" i="111"/>
  <c r="U43" i="111"/>
  <c r="V43" i="111"/>
  <c r="S44" i="111"/>
  <c r="T44" i="111"/>
  <c r="U44" i="111"/>
  <c r="V44" i="111"/>
  <c r="W44" i="111"/>
  <c r="S45" i="111"/>
  <c r="T45" i="111"/>
  <c r="U45" i="111"/>
  <c r="V45" i="111"/>
  <c r="S46" i="111"/>
  <c r="S47" i="111"/>
  <c r="T47" i="111"/>
  <c r="U47" i="111"/>
  <c r="V47" i="111"/>
  <c r="S48" i="111"/>
  <c r="S49" i="111"/>
  <c r="T49" i="111"/>
  <c r="U49" i="111"/>
  <c r="V49" i="111"/>
  <c r="S50" i="111"/>
  <c r="S51" i="111"/>
  <c r="T51" i="111"/>
  <c r="U51" i="111"/>
  <c r="V51" i="111"/>
  <c r="S52" i="111"/>
  <c r="W52" i="111"/>
  <c r="S53" i="111"/>
  <c r="T53" i="111"/>
  <c r="U53" i="111"/>
  <c r="V53" i="111"/>
  <c r="S54" i="111"/>
  <c r="T54" i="111"/>
  <c r="U54" i="111"/>
  <c r="V54" i="111"/>
  <c r="S55" i="111"/>
  <c r="T55" i="111"/>
  <c r="U55" i="111"/>
  <c r="V55" i="111"/>
  <c r="V56" i="111"/>
  <c r="S57" i="111"/>
  <c r="T57" i="111"/>
  <c r="U57" i="111"/>
  <c r="V57" i="111"/>
  <c r="S58" i="111"/>
  <c r="T58" i="111"/>
  <c r="U58" i="111"/>
  <c r="V58" i="111"/>
  <c r="V59" i="111"/>
  <c r="S60" i="111"/>
  <c r="T60" i="111"/>
  <c r="U60" i="111"/>
  <c r="V60" i="111"/>
  <c r="S61" i="111"/>
  <c r="T61" i="111"/>
  <c r="U61" i="111"/>
  <c r="V61" i="111"/>
  <c r="S62" i="111"/>
  <c r="T62" i="111"/>
  <c r="U62" i="111"/>
  <c r="V62" i="111"/>
  <c r="S63" i="111"/>
  <c r="T63" i="111"/>
  <c r="U63" i="111"/>
  <c r="V63" i="111"/>
  <c r="V64" i="111"/>
  <c r="S65" i="111"/>
  <c r="T65" i="111"/>
  <c r="U65" i="111"/>
  <c r="V65" i="111"/>
  <c r="S66" i="111"/>
  <c r="T66" i="111"/>
  <c r="U66" i="111"/>
  <c r="V66" i="111"/>
  <c r="W66" i="111"/>
  <c r="S5" i="110"/>
  <c r="AJ5" i="73"/>
  <c r="S7" i="110"/>
  <c r="AJ7" i="73"/>
  <c r="F246" i="73" s="1"/>
  <c r="U7" i="110"/>
  <c r="AJ75" i="73"/>
  <c r="F408" i="73" s="1"/>
  <c r="S8" i="110"/>
  <c r="AJ8" i="73"/>
  <c r="U8" i="110"/>
  <c r="AJ76" i="73"/>
  <c r="W8" i="110"/>
  <c r="AJ146" i="73"/>
  <c r="F571" i="73" s="1"/>
  <c r="S9" i="110"/>
  <c r="AJ9" i="73"/>
  <c r="F248" i="73" s="1"/>
  <c r="U9" i="110"/>
  <c r="AJ77" i="73"/>
  <c r="S10" i="110"/>
  <c r="AJ10" i="73"/>
  <c r="U10" i="110"/>
  <c r="AJ78" i="73"/>
  <c r="AR78" i="73" s="1"/>
  <c r="W10" i="110"/>
  <c r="AJ148" i="73"/>
  <c r="F573" i="73" s="1"/>
  <c r="S12" i="110"/>
  <c r="AJ12" i="73"/>
  <c r="U12" i="110"/>
  <c r="AJ80" i="73"/>
  <c r="W12" i="110"/>
  <c r="AJ150" i="73"/>
  <c r="F575" i="73" s="1"/>
  <c r="S14" i="110"/>
  <c r="AJ14" i="73"/>
  <c r="F253" i="73" s="1"/>
  <c r="U14" i="110"/>
  <c r="AJ82" i="73"/>
  <c r="W14" i="110"/>
  <c r="AJ152" i="73"/>
  <c r="S16" i="110"/>
  <c r="AJ16" i="73"/>
  <c r="F255" i="73" s="1"/>
  <c r="U16" i="110"/>
  <c r="AJ84" i="73"/>
  <c r="F417" i="73" s="1"/>
  <c r="W16" i="110"/>
  <c r="AJ154" i="73"/>
  <c r="S18" i="110"/>
  <c r="AJ18" i="73"/>
  <c r="U18" i="110"/>
  <c r="AJ86" i="73"/>
  <c r="F419" i="73" s="1"/>
  <c r="W18" i="110"/>
  <c r="AJ156" i="73"/>
  <c r="F581" i="73" s="1"/>
  <c r="S19" i="110"/>
  <c r="AJ19" i="73"/>
  <c r="U19" i="110"/>
  <c r="S21" i="110"/>
  <c r="AJ21" i="73"/>
  <c r="F260" i="73" s="1"/>
  <c r="U21" i="110"/>
  <c r="AJ89" i="73"/>
  <c r="S22" i="110"/>
  <c r="AJ22" i="73"/>
  <c r="U22" i="110"/>
  <c r="AJ90" i="73"/>
  <c r="W22" i="110"/>
  <c r="AJ160" i="73"/>
  <c r="F585" i="73" s="1"/>
  <c r="S23" i="110"/>
  <c r="AJ23" i="73"/>
  <c r="U23" i="110"/>
  <c r="AJ91" i="73"/>
  <c r="S24" i="110"/>
  <c r="AJ24" i="73"/>
  <c r="U24" i="110"/>
  <c r="AJ92" i="73"/>
  <c r="W24" i="110"/>
  <c r="S25" i="110"/>
  <c r="AJ25" i="73"/>
  <c r="F264" i="73" s="1"/>
  <c r="U25" i="110"/>
  <c r="AJ93" i="73"/>
  <c r="S26" i="110"/>
  <c r="AJ26" i="73"/>
  <c r="U26" i="110"/>
  <c r="AJ94" i="73"/>
  <c r="F427" i="73" s="1"/>
  <c r="W26" i="110"/>
  <c r="AJ164" i="73"/>
  <c r="S27" i="110"/>
  <c r="AJ27" i="73"/>
  <c r="U27" i="110"/>
  <c r="AJ95" i="73"/>
  <c r="S30" i="110"/>
  <c r="AJ30" i="73"/>
  <c r="F269" i="73" s="1"/>
  <c r="U30" i="110"/>
  <c r="AJ98" i="73"/>
  <c r="F431" i="73" s="1"/>
  <c r="W30" i="110"/>
  <c r="AJ168" i="73"/>
  <c r="S40" i="110"/>
  <c r="T40" i="110"/>
  <c r="U40" i="110"/>
  <c r="V40" i="110"/>
  <c r="S41" i="110"/>
  <c r="T41" i="110"/>
  <c r="U41" i="110"/>
  <c r="V41" i="110"/>
  <c r="S42" i="110"/>
  <c r="T42" i="110"/>
  <c r="U42" i="110"/>
  <c r="V42" i="110"/>
  <c r="W42" i="110"/>
  <c r="S43" i="110"/>
  <c r="T43" i="110"/>
  <c r="U43" i="110"/>
  <c r="V43" i="110"/>
  <c r="S44" i="110"/>
  <c r="T44" i="110"/>
  <c r="U44" i="110"/>
  <c r="V44" i="110"/>
  <c r="W44" i="110"/>
  <c r="S46" i="110"/>
  <c r="T46" i="110"/>
  <c r="U46" i="110"/>
  <c r="V46" i="110"/>
  <c r="S48" i="110"/>
  <c r="T48" i="110"/>
  <c r="U48" i="110"/>
  <c r="V48" i="110"/>
  <c r="W48" i="110"/>
  <c r="S50" i="110"/>
  <c r="T50" i="110"/>
  <c r="U50" i="110"/>
  <c r="V50" i="110"/>
  <c r="S52" i="110"/>
  <c r="T52" i="110"/>
  <c r="U52" i="110"/>
  <c r="V52" i="110"/>
  <c r="W52" i="110"/>
  <c r="S54" i="110"/>
  <c r="T54" i="110"/>
  <c r="U54" i="110"/>
  <c r="V54" i="110"/>
  <c r="S55" i="110"/>
  <c r="T55" i="110"/>
  <c r="U55" i="110"/>
  <c r="V55" i="110"/>
  <c r="S56" i="110"/>
  <c r="T56" i="110"/>
  <c r="U56" i="110"/>
  <c r="V56" i="110"/>
  <c r="W56" i="110"/>
  <c r="S58" i="110"/>
  <c r="T58" i="110"/>
  <c r="U58" i="110"/>
  <c r="V58" i="110"/>
  <c r="W58" i="110"/>
  <c r="S59" i="110"/>
  <c r="T59" i="110"/>
  <c r="U59" i="110"/>
  <c r="V59" i="110"/>
  <c r="S61" i="110"/>
  <c r="T61" i="110"/>
  <c r="U61" i="110"/>
  <c r="V61" i="110"/>
  <c r="V62" i="110"/>
  <c r="S63" i="110"/>
  <c r="T63" i="110"/>
  <c r="U63" i="110"/>
  <c r="V63" i="110"/>
  <c r="S64" i="110"/>
  <c r="T64" i="110"/>
  <c r="U64" i="110"/>
  <c r="V64" i="110"/>
  <c r="S66" i="110"/>
  <c r="T66" i="110"/>
  <c r="U66" i="110"/>
  <c r="V66" i="110"/>
  <c r="S5" i="109"/>
  <c r="AI5" i="73"/>
  <c r="T5" i="109"/>
  <c r="AI39" i="73"/>
  <c r="E325" i="73" s="1"/>
  <c r="U5" i="109"/>
  <c r="AI73" i="73"/>
  <c r="V5" i="109"/>
  <c r="AI107" i="73"/>
  <c r="S6" i="109"/>
  <c r="AI6" i="73"/>
  <c r="T6" i="109"/>
  <c r="AI40" i="73"/>
  <c r="E326" i="73" s="1"/>
  <c r="U6" i="109"/>
  <c r="AI74" i="73"/>
  <c r="V6" i="109"/>
  <c r="AI108" i="73"/>
  <c r="W6" i="109"/>
  <c r="AI144" i="73"/>
  <c r="S7" i="109"/>
  <c r="AI7" i="73"/>
  <c r="E246" i="73" s="1"/>
  <c r="T7" i="109"/>
  <c r="AI41" i="73"/>
  <c r="U7" i="109"/>
  <c r="AI75" i="73"/>
  <c r="S8" i="109"/>
  <c r="AI8" i="73"/>
  <c r="T8" i="109"/>
  <c r="AI42" i="73"/>
  <c r="E328" i="73" s="1"/>
  <c r="U8" i="109"/>
  <c r="AI76" i="73"/>
  <c r="V8" i="109"/>
  <c r="AI110" i="73"/>
  <c r="T9" i="109"/>
  <c r="AI43" i="73"/>
  <c r="V9" i="109"/>
  <c r="AI111" i="73"/>
  <c r="S10" i="109"/>
  <c r="AI10" i="73"/>
  <c r="T10" i="109"/>
  <c r="AI44" i="73"/>
  <c r="U10" i="109"/>
  <c r="AI78" i="73"/>
  <c r="V10" i="109"/>
  <c r="AI112" i="73"/>
  <c r="E492" i="73" s="1"/>
  <c r="T11" i="109"/>
  <c r="AI45" i="73"/>
  <c r="U11" i="109"/>
  <c r="AI79" i="73"/>
  <c r="V11" i="109"/>
  <c r="AI113" i="73"/>
  <c r="S12" i="109"/>
  <c r="AI12" i="73"/>
  <c r="E251" i="73" s="1"/>
  <c r="T12" i="109"/>
  <c r="AI46" i="73"/>
  <c r="U12" i="109"/>
  <c r="AI80" i="73"/>
  <c r="V12" i="109"/>
  <c r="AI114" i="73"/>
  <c r="W12" i="109"/>
  <c r="AI150" i="73"/>
  <c r="E575" i="73" s="1"/>
  <c r="S13" i="109"/>
  <c r="AI13" i="73"/>
  <c r="T13" i="109"/>
  <c r="AI47" i="73"/>
  <c r="U13" i="109"/>
  <c r="AI81" i="73"/>
  <c r="V13" i="109"/>
  <c r="AI115" i="73"/>
  <c r="S14" i="109"/>
  <c r="AI14" i="73"/>
  <c r="T14" i="109"/>
  <c r="AI48" i="73"/>
  <c r="U14" i="109"/>
  <c r="AI82" i="73"/>
  <c r="V14" i="109"/>
  <c r="AI116" i="73"/>
  <c r="E496" i="73" s="1"/>
  <c r="S15" i="109"/>
  <c r="AI15" i="73"/>
  <c r="T15" i="109"/>
  <c r="AI49" i="73"/>
  <c r="U15" i="109"/>
  <c r="AI83" i="73"/>
  <c r="V15" i="109"/>
  <c r="AI117" i="73"/>
  <c r="E497" i="73" s="1"/>
  <c r="S16" i="109"/>
  <c r="AI16" i="73"/>
  <c r="T16" i="109"/>
  <c r="AI50" i="73"/>
  <c r="U16" i="109"/>
  <c r="AI84" i="73"/>
  <c r="V16" i="109"/>
  <c r="AI118" i="73"/>
  <c r="E498" i="73" s="1"/>
  <c r="S17" i="109"/>
  <c r="AI17" i="73"/>
  <c r="T17" i="109"/>
  <c r="AI51" i="73"/>
  <c r="U17" i="109"/>
  <c r="AI85" i="73"/>
  <c r="V17" i="109"/>
  <c r="AI119" i="73"/>
  <c r="S18" i="109"/>
  <c r="AI18" i="73"/>
  <c r="T18" i="109"/>
  <c r="AI52" i="73"/>
  <c r="U18" i="109"/>
  <c r="AI86" i="73"/>
  <c r="V18" i="109"/>
  <c r="AI120" i="73"/>
  <c r="E500" i="73" s="1"/>
  <c r="U19" i="109"/>
  <c r="AI87" i="73"/>
  <c r="S20" i="109"/>
  <c r="AI20" i="73"/>
  <c r="T20" i="109"/>
  <c r="AI54" i="73"/>
  <c r="U20" i="109"/>
  <c r="AI88" i="73"/>
  <c r="E421" i="73" s="1"/>
  <c r="V20" i="109"/>
  <c r="AI122" i="73"/>
  <c r="S21" i="109"/>
  <c r="AI21" i="73"/>
  <c r="T21" i="109"/>
  <c r="AI55" i="73"/>
  <c r="U21" i="109"/>
  <c r="AI89" i="73"/>
  <c r="E422" i="73" s="1"/>
  <c r="V21" i="109"/>
  <c r="AI123" i="73"/>
  <c r="S22" i="109"/>
  <c r="AI22" i="73"/>
  <c r="T22" i="109"/>
  <c r="AI56" i="73"/>
  <c r="U22" i="109"/>
  <c r="AI90" i="73"/>
  <c r="E423" i="73" s="1"/>
  <c r="V22" i="109"/>
  <c r="AI124" i="73"/>
  <c r="T23" i="109"/>
  <c r="AI57" i="73"/>
  <c r="U23" i="109"/>
  <c r="AI91" i="73"/>
  <c r="V23" i="109"/>
  <c r="AI125" i="73"/>
  <c r="E505" i="73" s="1"/>
  <c r="S24" i="109"/>
  <c r="AI24" i="73"/>
  <c r="T24" i="109"/>
  <c r="AI58" i="73"/>
  <c r="U24" i="109"/>
  <c r="AI92" i="73"/>
  <c r="V24" i="109"/>
  <c r="AI126" i="73"/>
  <c r="E506" i="73" s="1"/>
  <c r="S25" i="109"/>
  <c r="AI25" i="73"/>
  <c r="T25" i="109"/>
  <c r="AI59" i="73"/>
  <c r="U25" i="109"/>
  <c r="AI93" i="73"/>
  <c r="V25" i="109"/>
  <c r="AI127" i="73"/>
  <c r="E507" i="73" s="1"/>
  <c r="T26" i="109"/>
  <c r="AI60" i="73"/>
  <c r="V26" i="109"/>
  <c r="AI128" i="73"/>
  <c r="T27" i="109"/>
  <c r="AI61" i="73"/>
  <c r="V27" i="109"/>
  <c r="AI129" i="73"/>
  <c r="E509" i="73" s="1"/>
  <c r="S28" i="109"/>
  <c r="AI28" i="73"/>
  <c r="T28" i="109"/>
  <c r="AI62" i="73"/>
  <c r="U28" i="109"/>
  <c r="AI96" i="73"/>
  <c r="V28" i="109"/>
  <c r="AI130" i="73"/>
  <c r="E510" i="73" s="1"/>
  <c r="W28" i="109"/>
  <c r="AI166" i="73"/>
  <c r="S29" i="109"/>
  <c r="AI29" i="73"/>
  <c r="T29" i="109"/>
  <c r="AI63" i="73"/>
  <c r="U29" i="109"/>
  <c r="AI97" i="73"/>
  <c r="V29" i="109"/>
  <c r="AI131" i="73"/>
  <c r="T30" i="109"/>
  <c r="AI64" i="73"/>
  <c r="V30" i="109"/>
  <c r="AI132" i="73"/>
  <c r="S31" i="109"/>
  <c r="AI31" i="73"/>
  <c r="E270" i="73" s="1"/>
  <c r="T31" i="109"/>
  <c r="AI65" i="73"/>
  <c r="U31" i="109"/>
  <c r="AI99" i="73"/>
  <c r="V31" i="109"/>
  <c r="AI133" i="73"/>
  <c r="S40" i="109"/>
  <c r="T40" i="109"/>
  <c r="U40" i="109"/>
  <c r="V40" i="109"/>
  <c r="S41" i="109"/>
  <c r="T41" i="109"/>
  <c r="U41" i="109"/>
  <c r="V41" i="109"/>
  <c r="S42" i="109"/>
  <c r="T42" i="109"/>
  <c r="U42" i="109"/>
  <c r="V42" i="109"/>
  <c r="T43" i="109"/>
  <c r="U43" i="109"/>
  <c r="V43" i="109"/>
  <c r="S44" i="109"/>
  <c r="T44" i="109"/>
  <c r="U44" i="109"/>
  <c r="V44" i="109"/>
  <c r="S45" i="109"/>
  <c r="T45" i="109"/>
  <c r="U45" i="109"/>
  <c r="V45" i="109"/>
  <c r="S46" i="109"/>
  <c r="T46" i="109"/>
  <c r="U46" i="109"/>
  <c r="V46" i="109"/>
  <c r="S47" i="109"/>
  <c r="T47" i="109"/>
  <c r="U47" i="109"/>
  <c r="V47" i="109"/>
  <c r="S48" i="109"/>
  <c r="T48" i="109"/>
  <c r="U48" i="109"/>
  <c r="V48" i="109"/>
  <c r="S49" i="109"/>
  <c r="T49" i="109"/>
  <c r="U49" i="109"/>
  <c r="V49" i="109"/>
  <c r="S50" i="109"/>
  <c r="T50" i="109"/>
  <c r="U50" i="109"/>
  <c r="V50" i="109"/>
  <c r="S51" i="109"/>
  <c r="T51" i="109"/>
  <c r="U51" i="109"/>
  <c r="V51" i="109"/>
  <c r="S52" i="109"/>
  <c r="T52" i="109"/>
  <c r="U52" i="109"/>
  <c r="V52" i="109"/>
  <c r="S53" i="109"/>
  <c r="T53" i="109"/>
  <c r="U53" i="109"/>
  <c r="V53" i="109"/>
  <c r="S54" i="109"/>
  <c r="T54" i="109"/>
  <c r="U54" i="109"/>
  <c r="V54" i="109"/>
  <c r="W54" i="109"/>
  <c r="S55" i="109"/>
  <c r="T55" i="109"/>
  <c r="U55" i="109"/>
  <c r="V55" i="109"/>
  <c r="S56" i="109"/>
  <c r="U56" i="109"/>
  <c r="S57" i="109"/>
  <c r="T57" i="109"/>
  <c r="U57" i="109"/>
  <c r="V57" i="109"/>
  <c r="S58" i="109"/>
  <c r="T58" i="109"/>
  <c r="U58" i="109"/>
  <c r="V58" i="109"/>
  <c r="S59" i="109"/>
  <c r="T59" i="109"/>
  <c r="U59" i="109"/>
  <c r="S60" i="109"/>
  <c r="T60" i="109"/>
  <c r="U60" i="109"/>
  <c r="V60" i="109"/>
  <c r="W60" i="109"/>
  <c r="S61" i="109"/>
  <c r="T61" i="109"/>
  <c r="U61" i="109"/>
  <c r="V61" i="109"/>
  <c r="S62" i="109"/>
  <c r="T62" i="109"/>
  <c r="U62" i="109"/>
  <c r="V62" i="109"/>
  <c r="S63" i="109"/>
  <c r="T63" i="109"/>
  <c r="U63" i="109"/>
  <c r="V63" i="109"/>
  <c r="T64" i="109"/>
  <c r="V64" i="109"/>
  <c r="S65" i="109"/>
  <c r="T65" i="109"/>
  <c r="U65" i="109"/>
  <c r="V65" i="109"/>
  <c r="S66" i="109"/>
  <c r="U66" i="109"/>
  <c r="W66" i="109"/>
  <c r="W11" i="108"/>
  <c r="AH9" i="126"/>
  <c r="W15" i="108"/>
  <c r="AH15" i="126"/>
  <c r="W19" i="108"/>
  <c r="AH17" i="126"/>
  <c r="W23" i="108"/>
  <c r="AH21" i="126"/>
  <c r="W27" i="108"/>
  <c r="AH24" i="126"/>
  <c r="T29" i="121"/>
  <c r="S40" i="108"/>
  <c r="T40" i="108"/>
  <c r="U40" i="108"/>
  <c r="V40" i="108"/>
  <c r="S41" i="108"/>
  <c r="T41" i="108"/>
  <c r="U41" i="108"/>
  <c r="V41" i="108"/>
  <c r="S42" i="108"/>
  <c r="T42" i="108"/>
  <c r="U42" i="108"/>
  <c r="V42" i="108"/>
  <c r="S43" i="108"/>
  <c r="T43" i="108"/>
  <c r="U43" i="108"/>
  <c r="V43" i="108"/>
  <c r="S44" i="108"/>
  <c r="T44" i="108"/>
  <c r="U44" i="108"/>
  <c r="V44" i="108"/>
  <c r="S45" i="108"/>
  <c r="T45" i="108"/>
  <c r="U45" i="108"/>
  <c r="V45" i="108"/>
  <c r="S46" i="108"/>
  <c r="T46" i="108"/>
  <c r="U46" i="108"/>
  <c r="V46" i="108"/>
  <c r="S47" i="108"/>
  <c r="T47" i="108"/>
  <c r="U47" i="108"/>
  <c r="V47" i="108"/>
  <c r="S48" i="108"/>
  <c r="T48" i="108"/>
  <c r="U48" i="108"/>
  <c r="V48" i="108"/>
  <c r="W48" i="108"/>
  <c r="S49" i="108"/>
  <c r="T49" i="108"/>
  <c r="U49" i="108"/>
  <c r="V49" i="108"/>
  <c r="S50" i="108"/>
  <c r="T50" i="108"/>
  <c r="U50" i="108"/>
  <c r="V50" i="108"/>
  <c r="S51" i="108"/>
  <c r="T51" i="108"/>
  <c r="U51" i="108"/>
  <c r="V51" i="108"/>
  <c r="S52" i="108"/>
  <c r="T52" i="108"/>
  <c r="U52" i="108"/>
  <c r="V52" i="108"/>
  <c r="S53" i="108"/>
  <c r="T53" i="108"/>
  <c r="U53" i="108"/>
  <c r="V53" i="108"/>
  <c r="S54" i="108"/>
  <c r="T54" i="108"/>
  <c r="U54" i="108"/>
  <c r="V54" i="108"/>
  <c r="S55" i="108"/>
  <c r="T55" i="108"/>
  <c r="U55" i="108"/>
  <c r="V55" i="108"/>
  <c r="S56" i="108"/>
  <c r="T56" i="108"/>
  <c r="U56" i="108"/>
  <c r="V56" i="108"/>
  <c r="S57" i="108"/>
  <c r="T57" i="108"/>
  <c r="U57" i="108"/>
  <c r="V57" i="108"/>
  <c r="S58" i="108"/>
  <c r="T58" i="108"/>
  <c r="U58" i="108"/>
  <c r="V58" i="108"/>
  <c r="S59" i="108"/>
  <c r="T59" i="108"/>
  <c r="U59" i="108"/>
  <c r="V59" i="108"/>
  <c r="S60" i="108"/>
  <c r="T60" i="108"/>
  <c r="U60" i="108"/>
  <c r="V60" i="108"/>
  <c r="S61" i="108"/>
  <c r="T61" i="108"/>
  <c r="U61" i="108"/>
  <c r="V61" i="108"/>
  <c r="S62" i="108"/>
  <c r="T62" i="108"/>
  <c r="U62" i="108"/>
  <c r="V62" i="108"/>
  <c r="W62" i="108"/>
  <c r="S63" i="108"/>
  <c r="T63" i="108"/>
  <c r="U63" i="108"/>
  <c r="V63" i="108"/>
  <c r="S64" i="108"/>
  <c r="T64" i="108"/>
  <c r="U64" i="108"/>
  <c r="V64" i="108"/>
  <c r="S65" i="108"/>
  <c r="T65" i="108"/>
  <c r="U65" i="108"/>
  <c r="V65" i="108"/>
  <c r="S66" i="108"/>
  <c r="T66" i="108"/>
  <c r="U66" i="108"/>
  <c r="V66" i="108"/>
  <c r="R75" i="108"/>
  <c r="R76" i="108"/>
  <c r="R77" i="108"/>
  <c r="R78" i="108"/>
  <c r="R79" i="108"/>
  <c r="R80" i="108"/>
  <c r="R81" i="108"/>
  <c r="R82" i="108"/>
  <c r="R83" i="108"/>
  <c r="R84" i="108"/>
  <c r="R85" i="108"/>
  <c r="R86" i="108"/>
  <c r="R87" i="108"/>
  <c r="R88" i="108"/>
  <c r="R89" i="108"/>
  <c r="R90" i="108"/>
  <c r="R91" i="108"/>
  <c r="R92" i="108"/>
  <c r="R93" i="108"/>
  <c r="R94" i="108"/>
  <c r="R95" i="108"/>
  <c r="R96" i="108"/>
  <c r="R97" i="108"/>
  <c r="R98" i="108"/>
  <c r="R99" i="108"/>
  <c r="R100" i="108"/>
  <c r="R101" i="108"/>
  <c r="R76" i="107"/>
  <c r="R77" i="107"/>
  <c r="R78" i="107"/>
  <c r="R79" i="107"/>
  <c r="R80" i="107"/>
  <c r="R81" i="107"/>
  <c r="R82" i="107"/>
  <c r="R83" i="107"/>
  <c r="R84" i="107"/>
  <c r="R85" i="107"/>
  <c r="R86" i="107"/>
  <c r="R87" i="107"/>
  <c r="R88" i="107"/>
  <c r="R89" i="107"/>
  <c r="R90" i="107"/>
  <c r="R91" i="107"/>
  <c r="R92" i="107"/>
  <c r="R93" i="107"/>
  <c r="R94" i="107"/>
  <c r="R95" i="107"/>
  <c r="R96" i="107"/>
  <c r="R97" i="107"/>
  <c r="R98" i="107"/>
  <c r="R99" i="107"/>
  <c r="R100" i="107"/>
  <c r="R101" i="107"/>
  <c r="W5" i="106"/>
  <c r="F3" i="126"/>
  <c r="W64" i="111"/>
  <c r="W60" i="111"/>
  <c r="X5" i="111"/>
  <c r="BY3" i="126"/>
  <c r="W42" i="111"/>
  <c r="X64" i="108"/>
  <c r="X60" i="108"/>
  <c r="X25" i="108"/>
  <c r="W50" i="109"/>
  <c r="S31" i="108"/>
  <c r="AH31" i="73"/>
  <c r="D270" i="73" s="1"/>
  <c r="S31" i="121"/>
  <c r="V30" i="108"/>
  <c r="AH132" i="73"/>
  <c r="D512" i="73" s="1"/>
  <c r="Q29" i="122"/>
  <c r="T28" i="108"/>
  <c r="AH62" i="73"/>
  <c r="T28" i="121"/>
  <c r="T24" i="108"/>
  <c r="AH58" i="73"/>
  <c r="D344" i="73" s="1"/>
  <c r="T24" i="121"/>
  <c r="S23" i="108"/>
  <c r="AH23" i="73"/>
  <c r="S23" i="121"/>
  <c r="T20" i="108"/>
  <c r="AH54" i="73"/>
  <c r="T22" i="121"/>
  <c r="X9" i="108"/>
  <c r="T8" i="108"/>
  <c r="AH42" i="73"/>
  <c r="T7" i="121"/>
  <c r="S7" i="108"/>
  <c r="AH7" i="73"/>
  <c r="S8" i="121"/>
  <c r="U5" i="108"/>
  <c r="AH73" i="73"/>
  <c r="D406" i="73" s="1"/>
  <c r="P5" i="122"/>
  <c r="U29" i="108"/>
  <c r="AH97" i="73"/>
  <c r="P30" i="122"/>
  <c r="S19" i="108"/>
  <c r="AH19" i="73"/>
  <c r="S19" i="121"/>
  <c r="V18" i="108"/>
  <c r="AH120" i="73"/>
  <c r="Q18" i="122"/>
  <c r="Q32" i="122" s="1"/>
  <c r="Q34" i="122" s="1"/>
  <c r="Q36" i="122" s="1"/>
  <c r="U17" i="108"/>
  <c r="AH85" i="73"/>
  <c r="P15" i="122"/>
  <c r="T16" i="108"/>
  <c r="AH50" i="73"/>
  <c r="T16" i="121"/>
  <c r="V14" i="108"/>
  <c r="AH116" i="73"/>
  <c r="D496" i="73" s="1"/>
  <c r="Q14" i="122"/>
  <c r="U13" i="108"/>
  <c r="AH81" i="73"/>
  <c r="P13" i="122"/>
  <c r="S11" i="108"/>
  <c r="AH11" i="73"/>
  <c r="D250" i="73" s="1"/>
  <c r="S11" i="121"/>
  <c r="U9" i="108"/>
  <c r="AH77" i="73"/>
  <c r="P9" i="122"/>
  <c r="V6" i="108"/>
  <c r="AH108" i="73"/>
  <c r="Q6" i="122"/>
  <c r="X61" i="108"/>
  <c r="X55" i="108"/>
  <c r="X51" i="108"/>
  <c r="X47" i="108"/>
  <c r="X30" i="108"/>
  <c r="U30" i="108"/>
  <c r="AH98" i="73"/>
  <c r="P29" i="122"/>
  <c r="T29" i="108"/>
  <c r="AH63" i="73"/>
  <c r="T30" i="121"/>
  <c r="S28" i="108"/>
  <c r="AH28" i="73"/>
  <c r="S28" i="121"/>
  <c r="V27" i="108"/>
  <c r="AH129" i="73"/>
  <c r="D509" i="73" s="1"/>
  <c r="Q26" i="122"/>
  <c r="X26" i="108"/>
  <c r="U26" i="108"/>
  <c r="AH94" i="73"/>
  <c r="P25" i="122"/>
  <c r="T25" i="108"/>
  <c r="AH59" i="73"/>
  <c r="T27" i="121"/>
  <c r="S24" i="108"/>
  <c r="AH24" i="73"/>
  <c r="S24" i="121"/>
  <c r="V23" i="108"/>
  <c r="AH125" i="73"/>
  <c r="Q23" i="122"/>
  <c r="X22" i="108"/>
  <c r="U22" i="108"/>
  <c r="AH90" i="73"/>
  <c r="D423" i="73" s="1"/>
  <c r="P21" i="122"/>
  <c r="T21" i="108"/>
  <c r="AH55" i="73"/>
  <c r="T20" i="121"/>
  <c r="S20" i="108"/>
  <c r="AH20" i="73"/>
  <c r="S22" i="121"/>
  <c r="V19" i="108"/>
  <c r="AH121" i="73"/>
  <c r="Q19" i="122"/>
  <c r="X18" i="108"/>
  <c r="U18" i="108"/>
  <c r="AH86" i="73"/>
  <c r="P18" i="122"/>
  <c r="T17" i="108"/>
  <c r="AH51" i="73"/>
  <c r="D337" i="73" s="1"/>
  <c r="T15" i="121"/>
  <c r="S16" i="108"/>
  <c r="AH16" i="73"/>
  <c r="S16" i="121"/>
  <c r="V15" i="108"/>
  <c r="AH117" i="73"/>
  <c r="Q17" i="122"/>
  <c r="X14" i="108"/>
  <c r="U14" i="108"/>
  <c r="AH82" i="73"/>
  <c r="D415" i="73" s="1"/>
  <c r="P14" i="122"/>
  <c r="T13" i="108"/>
  <c r="AH47" i="73"/>
  <c r="T13" i="121"/>
  <c r="S12" i="108"/>
  <c r="AH12" i="73"/>
  <c r="S12" i="121"/>
  <c r="V11" i="108"/>
  <c r="AH113" i="73"/>
  <c r="Q11" i="122"/>
  <c r="X10" i="108"/>
  <c r="U10" i="108"/>
  <c r="AH78" i="73"/>
  <c r="D411" i="73" s="1"/>
  <c r="P10" i="122"/>
  <c r="T9" i="108"/>
  <c r="AH43" i="73"/>
  <c r="D329" i="73" s="1"/>
  <c r="T9" i="121"/>
  <c r="S8" i="108"/>
  <c r="AH8" i="73"/>
  <c r="S7" i="121"/>
  <c r="V7" i="108"/>
  <c r="AH109" i="73"/>
  <c r="D489" i="73" s="1"/>
  <c r="Q8" i="122"/>
  <c r="X6" i="108"/>
  <c r="U6" i="108"/>
  <c r="AH74" i="73"/>
  <c r="P6" i="122"/>
  <c r="T5" i="108"/>
  <c r="AH39" i="73"/>
  <c r="T5" i="121"/>
  <c r="X29" i="108"/>
  <c r="S27" i="108"/>
  <c r="AH27" i="73"/>
  <c r="S26" i="121"/>
  <c r="V26" i="108"/>
  <c r="AH128" i="73"/>
  <c r="Q25" i="122"/>
  <c r="U25" i="108"/>
  <c r="AH93" i="73"/>
  <c r="P27" i="122"/>
  <c r="V22" i="108"/>
  <c r="AH124" i="73"/>
  <c r="Q21" i="122"/>
  <c r="U21" i="108"/>
  <c r="AH89" i="73"/>
  <c r="P20" i="122"/>
  <c r="X17" i="108"/>
  <c r="S15" i="108"/>
  <c r="AH15" i="73"/>
  <c r="S17" i="121"/>
  <c r="X13" i="108"/>
  <c r="T12" i="108"/>
  <c r="AH46" i="73"/>
  <c r="D332" i="73" s="1"/>
  <c r="T12" i="121"/>
  <c r="V10" i="108"/>
  <c r="AH112" i="73"/>
  <c r="D492" i="73" s="1"/>
  <c r="Q10" i="122"/>
  <c r="X56" i="108"/>
  <c r="X52" i="108"/>
  <c r="X48" i="108"/>
  <c r="X44" i="108"/>
  <c r="U31" i="108"/>
  <c r="AH99" i="73"/>
  <c r="P31" i="122"/>
  <c r="S29" i="108"/>
  <c r="AH29" i="73"/>
  <c r="S30" i="121"/>
  <c r="V28" i="108"/>
  <c r="AH130" i="73"/>
  <c r="Q28" i="122"/>
  <c r="U27" i="108"/>
  <c r="AH95" i="73"/>
  <c r="D428" i="73" s="1"/>
  <c r="P26" i="122"/>
  <c r="T26" i="108"/>
  <c r="AH60" i="73"/>
  <c r="T25" i="121"/>
  <c r="S25" i="108"/>
  <c r="AH25" i="73"/>
  <c r="D264" i="73" s="1"/>
  <c r="S27" i="121"/>
  <c r="V24" i="108"/>
  <c r="AH126" i="73"/>
  <c r="Q24" i="122"/>
  <c r="U23" i="108"/>
  <c r="AH91" i="73"/>
  <c r="P23" i="122"/>
  <c r="T22" i="108"/>
  <c r="AH56" i="73"/>
  <c r="T21" i="121"/>
  <c r="S21" i="108"/>
  <c r="AH21" i="73"/>
  <c r="S20" i="121"/>
  <c r="V20" i="108"/>
  <c r="AH122" i="73"/>
  <c r="D502" i="73" s="1"/>
  <c r="Q22" i="122"/>
  <c r="U19" i="108"/>
  <c r="AH87" i="73"/>
  <c r="D420" i="73" s="1"/>
  <c r="P19" i="122"/>
  <c r="T18" i="108"/>
  <c r="AH52" i="73"/>
  <c r="T18" i="121"/>
  <c r="S17" i="108"/>
  <c r="AH17" i="73"/>
  <c r="D256" i="73" s="1"/>
  <c r="S15" i="121"/>
  <c r="V16" i="108"/>
  <c r="AH118" i="73"/>
  <c r="Q16" i="122"/>
  <c r="U15" i="108"/>
  <c r="AH83" i="73"/>
  <c r="D416" i="73" s="1"/>
  <c r="P17" i="122"/>
  <c r="T14" i="108"/>
  <c r="AH48" i="73"/>
  <c r="T14" i="121"/>
  <c r="S13" i="108"/>
  <c r="AH13" i="73"/>
  <c r="S13" i="121"/>
  <c r="V12" i="108"/>
  <c r="AH114" i="73"/>
  <c r="Q12" i="122"/>
  <c r="U11" i="108"/>
  <c r="AH79" i="73"/>
  <c r="D412" i="73" s="1"/>
  <c r="P11" i="122"/>
  <c r="T10" i="108"/>
  <c r="AH44" i="73"/>
  <c r="T10" i="121"/>
  <c r="S9" i="108"/>
  <c r="AH9" i="73"/>
  <c r="D248" i="73" s="1"/>
  <c r="S9" i="121"/>
  <c r="V8" i="108"/>
  <c r="AH110" i="73"/>
  <c r="Q7" i="122"/>
  <c r="X7" i="108"/>
  <c r="U7" i="108"/>
  <c r="AH75" i="73"/>
  <c r="P8" i="122"/>
  <c r="T6" i="108"/>
  <c r="AH40" i="73"/>
  <c r="D326" i="73" s="1"/>
  <c r="T6" i="121"/>
  <c r="S5" i="108"/>
  <c r="AH5" i="73"/>
  <c r="S5" i="121"/>
  <c r="X63" i="108"/>
  <c r="X53" i="108"/>
  <c r="X49" i="108"/>
  <c r="X45" i="108"/>
  <c r="X43" i="108"/>
  <c r="T31" i="108"/>
  <c r="AH65" i="73"/>
  <c r="T31" i="121"/>
  <c r="S30" i="108"/>
  <c r="AH30" i="73"/>
  <c r="D269" i="73" s="1"/>
  <c r="S29" i="121"/>
  <c r="V29" i="108"/>
  <c r="AH131" i="73"/>
  <c r="Q30" i="122"/>
  <c r="X28" i="108"/>
  <c r="U28" i="108"/>
  <c r="AH96" i="73"/>
  <c r="P28" i="122"/>
  <c r="T27" i="108"/>
  <c r="AH61" i="73"/>
  <c r="D347" i="73" s="1"/>
  <c r="T26" i="121"/>
  <c r="S26" i="108"/>
  <c r="AH26" i="73"/>
  <c r="S25" i="121"/>
  <c r="V25" i="108"/>
  <c r="AH127" i="73"/>
  <c r="D507" i="73" s="1"/>
  <c r="Q27" i="122"/>
  <c r="X24" i="108"/>
  <c r="U24" i="108"/>
  <c r="AH92" i="73"/>
  <c r="P24" i="122"/>
  <c r="T23" i="108"/>
  <c r="AH57" i="73"/>
  <c r="D343" i="73" s="1"/>
  <c r="T23" i="121"/>
  <c r="S22" i="108"/>
  <c r="AH22" i="73"/>
  <c r="D261" i="73" s="1"/>
  <c r="S21" i="121"/>
  <c r="V21" i="108"/>
  <c r="AH123" i="73"/>
  <c r="Q20" i="122"/>
  <c r="X20" i="108"/>
  <c r="U20" i="108"/>
  <c r="AH88" i="73"/>
  <c r="P22" i="122"/>
  <c r="T19" i="108"/>
  <c r="AH53" i="73"/>
  <c r="T19" i="121"/>
  <c r="S18" i="108"/>
  <c r="AH18" i="73"/>
  <c r="S18" i="121"/>
  <c r="V17" i="108"/>
  <c r="AH119" i="73"/>
  <c r="D499" i="73" s="1"/>
  <c r="Q15" i="122"/>
  <c r="X16" i="108"/>
  <c r="U16" i="108"/>
  <c r="AH84" i="73"/>
  <c r="P16" i="122"/>
  <c r="T15" i="108"/>
  <c r="AH49" i="73"/>
  <c r="T17" i="121"/>
  <c r="S14" i="108"/>
  <c r="AH14" i="73"/>
  <c r="S14" i="121"/>
  <c r="V13" i="108"/>
  <c r="AH115" i="73"/>
  <c r="D495" i="73" s="1"/>
  <c r="Q13" i="122"/>
  <c r="X12" i="108"/>
  <c r="U12" i="108"/>
  <c r="AH80" i="73"/>
  <c r="P12" i="122"/>
  <c r="T11" i="108"/>
  <c r="AH45" i="73"/>
  <c r="T11" i="121"/>
  <c r="S10" i="108"/>
  <c r="AH10" i="73"/>
  <c r="S10" i="121"/>
  <c r="V9" i="108"/>
  <c r="AH111" i="73"/>
  <c r="Q9" i="122"/>
  <c r="U8" i="108"/>
  <c r="AH76" i="73"/>
  <c r="P7" i="122"/>
  <c r="T7" i="108"/>
  <c r="AH41" i="73"/>
  <c r="D327" i="73" s="1"/>
  <c r="T8" i="121"/>
  <c r="S6" i="108"/>
  <c r="AH6" i="73"/>
  <c r="S6" i="121"/>
  <c r="V5" i="108"/>
  <c r="AH107" i="73"/>
  <c r="AR107" i="73" s="1"/>
  <c r="Q5" i="122"/>
  <c r="W5" i="107"/>
  <c r="T3" i="126"/>
  <c r="W56" i="111"/>
  <c r="W62" i="109"/>
  <c r="W58" i="109"/>
  <c r="W52" i="109"/>
  <c r="W44" i="109"/>
  <c r="W46" i="110"/>
  <c r="W66" i="110"/>
  <c r="W54" i="110"/>
  <c r="W50" i="110"/>
  <c r="W40" i="110"/>
  <c r="X55" i="106"/>
  <c r="X52" i="106"/>
  <c r="X18" i="106"/>
  <c r="G16" i="126"/>
  <c r="I22" i="123"/>
  <c r="I18" i="123"/>
  <c r="I16" i="123"/>
  <c r="J27" i="123"/>
  <c r="J11" i="123"/>
  <c r="J31" i="123" s="1"/>
  <c r="J33" i="123" s="1"/>
  <c r="J35" i="123" s="1"/>
  <c r="K20" i="123"/>
  <c r="K9" i="123"/>
  <c r="W62" i="107"/>
  <c r="W56" i="107"/>
  <c r="W48" i="107"/>
  <c r="W30" i="107"/>
  <c r="T27" i="126"/>
  <c r="W26" i="107"/>
  <c r="W22" i="107"/>
  <c r="W18" i="107"/>
  <c r="T16" i="126"/>
  <c r="W14" i="107"/>
  <c r="T12" i="126"/>
  <c r="W10" i="107"/>
  <c r="T8" i="126"/>
  <c r="X62" i="106"/>
  <c r="X58" i="106"/>
  <c r="X16" i="106"/>
  <c r="G14" i="126"/>
  <c r="X17" i="106"/>
  <c r="G13" i="126"/>
  <c r="J5" i="123"/>
  <c r="W50" i="107"/>
  <c r="W40" i="107"/>
  <c r="W24" i="107"/>
  <c r="W20" i="107"/>
  <c r="T20" i="126"/>
  <c r="W12" i="107"/>
  <c r="T10" i="126"/>
  <c r="X57" i="106"/>
  <c r="X21" i="106"/>
  <c r="G18" i="126"/>
  <c r="F13" i="118"/>
  <c r="J108" i="62"/>
  <c r="J37" i="64" s="1"/>
  <c r="W62" i="111"/>
  <c r="W58" i="111"/>
  <c r="W54" i="111"/>
  <c r="W40" i="111"/>
  <c r="W47" i="111"/>
  <c r="W61" i="110"/>
  <c r="W55" i="110"/>
  <c r="W41" i="110"/>
  <c r="W25" i="110"/>
  <c r="W21" i="110"/>
  <c r="AJ159" i="73"/>
  <c r="W9" i="110"/>
  <c r="S35" i="122"/>
  <c r="R35" i="122"/>
  <c r="W65" i="108"/>
  <c r="W53" i="108"/>
  <c r="W45" i="108"/>
  <c r="W43" i="108"/>
  <c r="W29" i="108"/>
  <c r="AH28" i="126"/>
  <c r="W21" i="108"/>
  <c r="AH18" i="126"/>
  <c r="W59" i="108"/>
  <c r="W57" i="108"/>
  <c r="W20" i="108"/>
  <c r="AH20" i="126"/>
  <c r="W8" i="108"/>
  <c r="AH5" i="126"/>
  <c r="W40" i="108"/>
  <c r="W25" i="108"/>
  <c r="AH25" i="126"/>
  <c r="W17" i="108"/>
  <c r="AH13" i="126"/>
  <c r="W13" i="108"/>
  <c r="AH11" i="126"/>
  <c r="W9" i="108"/>
  <c r="AH7" i="126"/>
  <c r="W5" i="108"/>
  <c r="AH3" i="126"/>
  <c r="W55" i="108"/>
  <c r="R35" i="121"/>
  <c r="Q35" i="121"/>
  <c r="N35" i="122"/>
  <c r="T60" i="106"/>
  <c r="U59" i="106"/>
  <c r="V58" i="106"/>
  <c r="V54" i="106"/>
  <c r="S48" i="106"/>
  <c r="V47" i="106"/>
  <c r="P16" i="121"/>
  <c r="M13" i="122"/>
  <c r="M7" i="122"/>
  <c r="S64" i="106"/>
  <c r="U62" i="106"/>
  <c r="S60" i="106"/>
  <c r="T59" i="106"/>
  <c r="U58" i="106"/>
  <c r="V57" i="106"/>
  <c r="T55" i="106"/>
  <c r="U54" i="106"/>
  <c r="V53" i="106"/>
  <c r="T52" i="106"/>
  <c r="T51" i="106"/>
  <c r="U50" i="106"/>
  <c r="W49" i="106"/>
  <c r="S49" i="106"/>
  <c r="V48" i="106"/>
  <c r="U47" i="106"/>
  <c r="S46" i="106"/>
  <c r="S44" i="106"/>
  <c r="U42" i="106"/>
  <c r="T41" i="106"/>
  <c r="T40" i="106"/>
  <c r="M29" i="122"/>
  <c r="P25" i="121"/>
  <c r="O27" i="121"/>
  <c r="M24" i="122"/>
  <c r="O20" i="121"/>
  <c r="M22" i="122"/>
  <c r="P18" i="121"/>
  <c r="P17" i="121"/>
  <c r="M14" i="122"/>
  <c r="AJ14" i="122" s="1"/>
  <c r="AK14" i="122" s="1"/>
  <c r="P12" i="121"/>
  <c r="M11" i="122"/>
  <c r="P10" i="121"/>
  <c r="S65" i="106"/>
  <c r="T64" i="106"/>
  <c r="U52" i="106"/>
  <c r="V50" i="106"/>
  <c r="T49" i="106"/>
  <c r="T46" i="106"/>
  <c r="V45" i="106"/>
  <c r="V42" i="106"/>
  <c r="P31" i="121"/>
  <c r="O24" i="121"/>
  <c r="M35" i="122"/>
  <c r="T66" i="106"/>
  <c r="U65" i="106"/>
  <c r="V64" i="106"/>
  <c r="T62" i="106"/>
  <c r="V60" i="106"/>
  <c r="S59" i="106"/>
  <c r="T58" i="106"/>
  <c r="U57" i="106"/>
  <c r="V56" i="106"/>
  <c r="S55" i="106"/>
  <c r="T54" i="106"/>
  <c r="U53" i="106"/>
  <c r="S52" i="106"/>
  <c r="T50" i="106"/>
  <c r="V49" i="106"/>
  <c r="U48" i="106"/>
  <c r="T47" i="106"/>
  <c r="V46" i="106"/>
  <c r="V44" i="106"/>
  <c r="T42" i="106"/>
  <c r="S41" i="106"/>
  <c r="L29" i="122"/>
  <c r="M30" i="122"/>
  <c r="O25" i="121"/>
  <c r="M15" i="122"/>
  <c r="P13" i="121"/>
  <c r="P5" i="121"/>
  <c r="P35" i="121"/>
  <c r="V62" i="106"/>
  <c r="S57" i="106"/>
  <c r="U55" i="106"/>
  <c r="S53" i="106"/>
  <c r="U51" i="106"/>
  <c r="U41" i="106"/>
  <c r="U40" i="106"/>
  <c r="P30" i="121"/>
  <c r="P20" i="121"/>
  <c r="M5" i="122"/>
  <c r="S66" i="106"/>
  <c r="U64" i="106"/>
  <c r="V63" i="106"/>
  <c r="S62" i="106"/>
  <c r="U60" i="106"/>
  <c r="V59" i="106"/>
  <c r="S58" i="106"/>
  <c r="T57" i="106"/>
  <c r="V55" i="106"/>
  <c r="S54" i="106"/>
  <c r="T53" i="106"/>
  <c r="V52" i="106"/>
  <c r="V51" i="106"/>
  <c r="U49" i="106"/>
  <c r="U46" i="106"/>
  <c r="U44" i="106"/>
  <c r="S42" i="106"/>
  <c r="V41" i="106"/>
  <c r="V40" i="106"/>
  <c r="P29" i="121"/>
  <c r="M25" i="122"/>
  <c r="P24" i="121"/>
  <c r="P22" i="121"/>
  <c r="M18" i="122"/>
  <c r="M17" i="122"/>
  <c r="P14" i="121"/>
  <c r="W13" i="106"/>
  <c r="F11" i="126"/>
  <c r="M12" i="122"/>
  <c r="P11" i="121"/>
  <c r="M10" i="122"/>
  <c r="B16" i="118"/>
  <c r="M38" i="62"/>
  <c r="AK35" i="121"/>
  <c r="V31" i="117"/>
  <c r="AA30" i="65"/>
  <c r="V30" i="117"/>
  <c r="AA29" i="65"/>
  <c r="V29" i="117"/>
  <c r="AA28" i="65"/>
  <c r="V28" i="117"/>
  <c r="AA27" i="65"/>
  <c r="V26" i="117"/>
  <c r="AA25" i="65"/>
  <c r="V25" i="117"/>
  <c r="AA24" i="65"/>
  <c r="V24" i="117"/>
  <c r="AA23" i="65"/>
  <c r="V23" i="117"/>
  <c r="AA22" i="65"/>
  <c r="V21" i="117"/>
  <c r="FC19" i="126"/>
  <c r="AA20" i="65"/>
  <c r="V20" i="117"/>
  <c r="AA19" i="65"/>
  <c r="V19" i="117"/>
  <c r="AA18" i="65"/>
  <c r="V18" i="117"/>
  <c r="AA17" i="65"/>
  <c r="V17" i="117"/>
  <c r="AA16" i="65"/>
  <c r="V16" i="117"/>
  <c r="AA15" i="65"/>
  <c r="AA14" i="65"/>
  <c r="V14" i="117"/>
  <c r="AA13" i="65"/>
  <c r="V11" i="117"/>
  <c r="AA10" i="65"/>
  <c r="V10" i="117"/>
  <c r="AA9" i="65"/>
  <c r="V8" i="117"/>
  <c r="AA7" i="65"/>
  <c r="V7" i="117"/>
  <c r="AA6" i="65"/>
  <c r="V6" i="117"/>
  <c r="AA5" i="65"/>
  <c r="E16" i="118"/>
  <c r="AE73" i="62"/>
  <c r="AI35" i="122"/>
  <c r="U30" i="117"/>
  <c r="U29" i="117"/>
  <c r="U28" i="117"/>
  <c r="U27" i="117"/>
  <c r="U26" i="117"/>
  <c r="U24" i="117"/>
  <c r="U22" i="117"/>
  <c r="U21" i="117"/>
  <c r="U20" i="117"/>
  <c r="U18" i="117"/>
  <c r="U17" i="117"/>
  <c r="U16" i="117"/>
  <c r="U15" i="117"/>
  <c r="U14" i="117"/>
  <c r="U13" i="117"/>
  <c r="U12" i="117"/>
  <c r="U11" i="117"/>
  <c r="U10" i="117"/>
  <c r="U9" i="117"/>
  <c r="U8" i="117"/>
  <c r="U7" i="117"/>
  <c r="U6" i="117"/>
  <c r="T30" i="117"/>
  <c r="Z29" i="65"/>
  <c r="T29" i="117"/>
  <c r="Z28" i="65"/>
  <c r="Z27" i="65"/>
  <c r="T27" i="117"/>
  <c r="Z26" i="65"/>
  <c r="T26" i="117"/>
  <c r="Z25" i="65"/>
  <c r="T25" i="117"/>
  <c r="Z24" i="65"/>
  <c r="T24" i="117"/>
  <c r="Z23" i="65"/>
  <c r="T23" i="117"/>
  <c r="Z22" i="65"/>
  <c r="T22" i="117"/>
  <c r="Z21" i="65"/>
  <c r="T21" i="117"/>
  <c r="Z20" i="65"/>
  <c r="T20" i="117"/>
  <c r="Z19" i="65"/>
  <c r="T19" i="117"/>
  <c r="Z18" i="65"/>
  <c r="T18" i="117"/>
  <c r="Z17" i="65"/>
  <c r="Z16" i="65"/>
  <c r="T16" i="117"/>
  <c r="Z15" i="65"/>
  <c r="T15" i="117"/>
  <c r="Z14" i="65"/>
  <c r="T14" i="117"/>
  <c r="Z13" i="65"/>
  <c r="T13" i="117"/>
  <c r="Z12" i="65"/>
  <c r="Z11" i="65"/>
  <c r="T11" i="117"/>
  <c r="Z10" i="65"/>
  <c r="T10" i="117"/>
  <c r="Z9" i="65"/>
  <c r="T9" i="117"/>
  <c r="Z8" i="65"/>
  <c r="T8" i="117"/>
  <c r="Z7" i="65"/>
  <c r="T7" i="117"/>
  <c r="Z6" i="65"/>
  <c r="T6" i="117"/>
  <c r="Z5" i="65"/>
  <c r="T5" i="117"/>
  <c r="Z4" i="65"/>
  <c r="S31" i="117"/>
  <c r="S29" i="117"/>
  <c r="S28" i="117"/>
  <c r="S27" i="117"/>
  <c r="S26" i="117"/>
  <c r="S25" i="117"/>
  <c r="S24" i="117"/>
  <c r="S23" i="117"/>
  <c r="S22" i="117"/>
  <c r="S21" i="117"/>
  <c r="S20" i="117"/>
  <c r="S19" i="117"/>
  <c r="S18" i="117"/>
  <c r="EZ16" i="126"/>
  <c r="S17" i="117"/>
  <c r="S15" i="117"/>
  <c r="S14" i="117"/>
  <c r="S12" i="117"/>
  <c r="S11" i="117"/>
  <c r="S10" i="117"/>
  <c r="S9" i="117"/>
  <c r="S8" i="117"/>
  <c r="S7" i="117"/>
  <c r="S6" i="117"/>
  <c r="S5" i="117"/>
  <c r="S6" i="116"/>
  <c r="V67" i="116"/>
  <c r="U67" i="116"/>
  <c r="U16" i="116"/>
  <c r="U13" i="116"/>
  <c r="S8" i="115"/>
  <c r="U27" i="115"/>
  <c r="U11" i="115"/>
  <c r="U21" i="114"/>
  <c r="AN89" i="73" s="1"/>
  <c r="U5" i="114"/>
  <c r="AN73" i="73" s="1"/>
  <c r="T67" i="114"/>
  <c r="AN68" i="73" s="1"/>
  <c r="R4" i="65"/>
  <c r="T5" i="113"/>
  <c r="V28" i="122"/>
  <c r="U28" i="111"/>
  <c r="V24" i="122"/>
  <c r="U24" i="111"/>
  <c r="V22" i="122"/>
  <c r="U20" i="111"/>
  <c r="S18" i="111"/>
  <c r="X8" i="111"/>
  <c r="W6" i="111"/>
  <c r="X65" i="111"/>
  <c r="X63" i="111"/>
  <c r="W61" i="111"/>
  <c r="W57" i="111"/>
  <c r="X55" i="111"/>
  <c r="W53" i="111"/>
  <c r="X51" i="111"/>
  <c r="W49" i="111"/>
  <c r="X47" i="111"/>
  <c r="W45" i="111"/>
  <c r="W43" i="111"/>
  <c r="W31" i="111"/>
  <c r="X29" i="111"/>
  <c r="V30" i="122"/>
  <c r="U29" i="111"/>
  <c r="X25" i="111"/>
  <c r="V27" i="122"/>
  <c r="U25" i="111"/>
  <c r="X21" i="111"/>
  <c r="V20" i="122"/>
  <c r="U21" i="111"/>
  <c r="W19" i="111"/>
  <c r="Y19" i="121"/>
  <c r="S19" i="111"/>
  <c r="X17" i="111"/>
  <c r="V15" i="122"/>
  <c r="U17" i="111"/>
  <c r="W15" i="111"/>
  <c r="Y17" i="121"/>
  <c r="S15" i="111"/>
  <c r="X13" i="111"/>
  <c r="V13" i="122"/>
  <c r="U13" i="111"/>
  <c r="W11" i="111"/>
  <c r="Y11" i="121"/>
  <c r="S11" i="111"/>
  <c r="X9" i="111"/>
  <c r="V9" i="122"/>
  <c r="U9" i="111"/>
  <c r="W7" i="111"/>
  <c r="Y8" i="121"/>
  <c r="S7" i="111"/>
  <c r="V5" i="122"/>
  <c r="U5" i="111"/>
  <c r="X54" i="111"/>
  <c r="X46" i="111"/>
  <c r="W30" i="111"/>
  <c r="X28" i="111"/>
  <c r="BY26" i="126"/>
  <c r="X24" i="111"/>
  <c r="W22" i="111"/>
  <c r="X20" i="111"/>
  <c r="W18" i="111"/>
  <c r="W14" i="111"/>
  <c r="S14" i="111"/>
  <c r="U12" i="111"/>
  <c r="Y10" i="121"/>
  <c r="S10" i="111"/>
  <c r="V7" i="122"/>
  <c r="U8" i="111"/>
  <c r="Y6" i="121"/>
  <c r="S6" i="111"/>
  <c r="X66" i="111"/>
  <c r="X64" i="111"/>
  <c r="X60" i="111"/>
  <c r="X56" i="111"/>
  <c r="X48" i="111"/>
  <c r="X44" i="111"/>
  <c r="X42" i="111"/>
  <c r="X30" i="111"/>
  <c r="BY28" i="126"/>
  <c r="V29" i="122"/>
  <c r="U30" i="111"/>
  <c r="W28" i="111"/>
  <c r="X26" i="111"/>
  <c r="BY24" i="126"/>
  <c r="U26" i="111"/>
  <c r="W24" i="111"/>
  <c r="X22" i="111"/>
  <c r="V21" i="122"/>
  <c r="U22" i="111"/>
  <c r="W20" i="111"/>
  <c r="X18" i="111"/>
  <c r="U18" i="111"/>
  <c r="Y16" i="121"/>
  <c r="X14" i="111"/>
  <c r="BY12" i="126"/>
  <c r="U14" i="111"/>
  <c r="W12" i="111"/>
  <c r="Y12" i="121"/>
  <c r="X10" i="111"/>
  <c r="V10" i="122"/>
  <c r="U10" i="111"/>
  <c r="W8" i="111"/>
  <c r="Y7" i="121"/>
  <c r="S8" i="111"/>
  <c r="X6" i="111"/>
  <c r="V6" i="122"/>
  <c r="U6" i="111"/>
  <c r="X62" i="111"/>
  <c r="X58" i="111"/>
  <c r="W65" i="111"/>
  <c r="W63" i="111"/>
  <c r="X61" i="111"/>
  <c r="W59" i="111"/>
  <c r="X57" i="111"/>
  <c r="W55" i="111"/>
  <c r="X53" i="111"/>
  <c r="W51" i="111"/>
  <c r="X49" i="111"/>
  <c r="X45" i="111"/>
  <c r="X43" i="111"/>
  <c r="X31" i="111"/>
  <c r="BY29" i="126"/>
  <c r="V31" i="122"/>
  <c r="U31" i="111"/>
  <c r="W29" i="111"/>
  <c r="X27" i="111"/>
  <c r="U27" i="111"/>
  <c r="W25" i="111"/>
  <c r="X23" i="111"/>
  <c r="U23" i="111"/>
  <c r="W21" i="111"/>
  <c r="X19" i="111"/>
  <c r="V19" i="122"/>
  <c r="U19" i="111"/>
  <c r="BV17" i="126"/>
  <c r="W17" i="111"/>
  <c r="Y15" i="121"/>
  <c r="S17" i="111"/>
  <c r="X15" i="111"/>
  <c r="BY13" i="126"/>
  <c r="V17" i="122"/>
  <c r="U15" i="111"/>
  <c r="W13" i="111"/>
  <c r="Y13" i="121"/>
  <c r="S13" i="111"/>
  <c r="X11" i="111"/>
  <c r="V11" i="122"/>
  <c r="U11" i="111"/>
  <c r="W9" i="111"/>
  <c r="Y9" i="121"/>
  <c r="S9" i="111"/>
  <c r="X7" i="111"/>
  <c r="H6" i="124"/>
  <c r="V8" i="122"/>
  <c r="U7" i="111"/>
  <c r="W5" i="111"/>
  <c r="Y5" i="121"/>
  <c r="S5" i="111"/>
  <c r="X50" i="110"/>
  <c r="L26" i="65"/>
  <c r="T27" i="110"/>
  <c r="AJ61" i="73"/>
  <c r="W63" i="110"/>
  <c r="W59" i="110"/>
  <c r="W43" i="110"/>
  <c r="M29" i="65"/>
  <c r="V30" i="110"/>
  <c r="AJ132" i="73"/>
  <c r="W27" i="110"/>
  <c r="AJ165" i="73"/>
  <c r="M25" i="65"/>
  <c r="V26" i="110"/>
  <c r="AJ128" i="73"/>
  <c r="L23" i="65"/>
  <c r="T24" i="110"/>
  <c r="AJ58" i="73"/>
  <c r="W23" i="110"/>
  <c r="AJ161" i="73"/>
  <c r="M21" i="65"/>
  <c r="V22" i="110"/>
  <c r="AJ124" i="73"/>
  <c r="W19" i="110"/>
  <c r="AJ157" i="73"/>
  <c r="M17" i="65"/>
  <c r="V18" i="110"/>
  <c r="AJ120" i="73"/>
  <c r="L15" i="65"/>
  <c r="T16" i="110"/>
  <c r="AJ50" i="73"/>
  <c r="M13" i="65"/>
  <c r="V14" i="110"/>
  <c r="AJ116" i="73"/>
  <c r="L11" i="65"/>
  <c r="T12" i="110"/>
  <c r="AJ46" i="73"/>
  <c r="F332" i="73" s="1"/>
  <c r="W11" i="110"/>
  <c r="AJ149" i="73"/>
  <c r="M9" i="65"/>
  <c r="V10" i="110"/>
  <c r="AJ112" i="73"/>
  <c r="L7" i="65"/>
  <c r="T8" i="110"/>
  <c r="AJ42" i="73"/>
  <c r="F328" i="73" s="1"/>
  <c r="W7" i="110"/>
  <c r="AJ145" i="73"/>
  <c r="X46" i="110"/>
  <c r="L30" i="65"/>
  <c r="M24" i="65"/>
  <c r="V25" i="110"/>
  <c r="L22" i="65"/>
  <c r="T23" i="110"/>
  <c r="AJ57" i="73"/>
  <c r="F343" i="73" s="1"/>
  <c r="M20" i="65"/>
  <c r="V21" i="110"/>
  <c r="AJ123" i="73"/>
  <c r="L18" i="65"/>
  <c r="T19" i="110"/>
  <c r="AJ53" i="73"/>
  <c r="M8" i="65"/>
  <c r="V9" i="110"/>
  <c r="AJ111" i="73"/>
  <c r="X8" i="110"/>
  <c r="L6" i="65"/>
  <c r="T7" i="110"/>
  <c r="AJ41" i="73"/>
  <c r="W64" i="110"/>
  <c r="M30" i="65"/>
  <c r="T29" i="110"/>
  <c r="AJ63" i="73"/>
  <c r="M26" i="65"/>
  <c r="V27" i="110"/>
  <c r="AJ129" i="73"/>
  <c r="L24" i="65"/>
  <c r="T25" i="110"/>
  <c r="AJ59" i="73"/>
  <c r="F345" i="73" s="1"/>
  <c r="M22" i="65"/>
  <c r="V23" i="110"/>
  <c r="AJ125" i="73"/>
  <c r="F505" i="73" s="1"/>
  <c r="L20" i="65"/>
  <c r="T21" i="110"/>
  <c r="AJ55" i="73"/>
  <c r="M18" i="65"/>
  <c r="V19" i="110"/>
  <c r="AJ121" i="73"/>
  <c r="F501" i="73" s="1"/>
  <c r="L8" i="65"/>
  <c r="T9" i="110"/>
  <c r="AJ43" i="73"/>
  <c r="M6" i="65"/>
  <c r="V7" i="110"/>
  <c r="AJ109" i="73"/>
  <c r="X59" i="110"/>
  <c r="X43" i="110"/>
  <c r="L29" i="65"/>
  <c r="T30" i="110"/>
  <c r="AJ64" i="73"/>
  <c r="L25" i="65"/>
  <c r="T26" i="110"/>
  <c r="AJ60" i="73"/>
  <c r="M23" i="65"/>
  <c r="V24" i="110"/>
  <c r="AJ126" i="73"/>
  <c r="L21" i="65"/>
  <c r="T22" i="110"/>
  <c r="AJ56" i="73"/>
  <c r="L17" i="65"/>
  <c r="T18" i="110"/>
  <c r="AJ52" i="73"/>
  <c r="F338" i="73" s="1"/>
  <c r="M15" i="65"/>
  <c r="V16" i="110"/>
  <c r="AJ118" i="73"/>
  <c r="F498" i="73" s="1"/>
  <c r="L13" i="65"/>
  <c r="T14" i="110"/>
  <c r="AJ48" i="73"/>
  <c r="M11" i="65"/>
  <c r="V12" i="110"/>
  <c r="AJ114" i="73"/>
  <c r="F494" i="73" s="1"/>
  <c r="L9" i="65"/>
  <c r="T10" i="110"/>
  <c r="AJ44" i="73"/>
  <c r="M7" i="65"/>
  <c r="V8" i="110"/>
  <c r="AJ110" i="73"/>
  <c r="W46" i="109"/>
  <c r="W40" i="109"/>
  <c r="W24" i="109"/>
  <c r="AI162" i="73"/>
  <c r="E587" i="73" s="1"/>
  <c r="W20" i="109"/>
  <c r="AI158" i="73"/>
  <c r="W16" i="109"/>
  <c r="AI154" i="73"/>
  <c r="W8" i="109"/>
  <c r="AI146" i="73"/>
  <c r="E571" i="73" s="1"/>
  <c r="W48" i="109"/>
  <c r="W42" i="109"/>
  <c r="W22" i="109"/>
  <c r="AI160" i="73"/>
  <c r="W18" i="109"/>
  <c r="AI156" i="73"/>
  <c r="W14" i="109"/>
  <c r="AI152" i="73"/>
  <c r="E577" i="73" s="1"/>
  <c r="W10" i="109"/>
  <c r="AI148" i="73"/>
  <c r="X42" i="109"/>
  <c r="W61" i="109"/>
  <c r="W55" i="109"/>
  <c r="W51" i="109"/>
  <c r="W47" i="109"/>
  <c r="W41" i="109"/>
  <c r="W29" i="109"/>
  <c r="AI167" i="73"/>
  <c r="W25" i="109"/>
  <c r="AI163" i="73"/>
  <c r="W21" i="109"/>
  <c r="AI159" i="73"/>
  <c r="W17" i="109"/>
  <c r="AI155" i="73"/>
  <c r="E580" i="73" s="1"/>
  <c r="X15" i="109"/>
  <c r="W13" i="109"/>
  <c r="AI151" i="73"/>
  <c r="X11" i="109"/>
  <c r="AI183" i="73"/>
  <c r="W5" i="109"/>
  <c r="AI143" i="73"/>
  <c r="X64" i="109"/>
  <c r="X20" i="109"/>
  <c r="AI192" i="73"/>
  <c r="E664" i="73" s="1"/>
  <c r="X16" i="109"/>
  <c r="AI188" i="73"/>
  <c r="X8" i="109"/>
  <c r="AI180" i="73"/>
  <c r="E652" i="73" s="1"/>
  <c r="X58" i="109"/>
  <c r="X44" i="109"/>
  <c r="X54" i="109"/>
  <c r="X12" i="109"/>
  <c r="AI184" i="73"/>
  <c r="W65" i="109"/>
  <c r="W63" i="109"/>
  <c r="W57" i="109"/>
  <c r="X55" i="109"/>
  <c r="W53" i="109"/>
  <c r="W49" i="109"/>
  <c r="W45" i="109"/>
  <c r="W31" i="109"/>
  <c r="AI169" i="73"/>
  <c r="X29" i="109"/>
  <c r="U26" i="121"/>
  <c r="X25" i="109"/>
  <c r="AI197" i="73"/>
  <c r="E669" i="73" s="1"/>
  <c r="U19" i="121"/>
  <c r="S19" i="109"/>
  <c r="AI19" i="73"/>
  <c r="X17" i="109"/>
  <c r="W15" i="109"/>
  <c r="AI153" i="73"/>
  <c r="X13" i="109"/>
  <c r="AI185" i="73"/>
  <c r="E657" i="73" s="1"/>
  <c r="W11" i="109"/>
  <c r="AI149" i="73"/>
  <c r="E574" i="73" s="1"/>
  <c r="U11" i="121"/>
  <c r="S11" i="109"/>
  <c r="AI11" i="73"/>
  <c r="W63" i="108"/>
  <c r="W49" i="108"/>
  <c r="W31" i="108"/>
  <c r="AH29" i="126"/>
  <c r="W28" i="108"/>
  <c r="AH26" i="126"/>
  <c r="W16" i="108"/>
  <c r="AH14" i="126"/>
  <c r="W12" i="108"/>
  <c r="AH10" i="126"/>
  <c r="W51" i="108"/>
  <c r="W58" i="108"/>
  <c r="W56" i="108"/>
  <c r="W52" i="108"/>
  <c r="W44" i="108"/>
  <c r="W42" i="108"/>
  <c r="W7" i="108"/>
  <c r="AH6" i="126"/>
  <c r="W24" i="108"/>
  <c r="AH22" i="126"/>
  <c r="U32" i="108"/>
  <c r="W66" i="108"/>
  <c r="W64" i="108"/>
  <c r="W60" i="108"/>
  <c r="W54" i="108"/>
  <c r="W50" i="108"/>
  <c r="W46" i="108"/>
  <c r="H29" i="65"/>
  <c r="T30" i="108"/>
  <c r="AH64" i="73"/>
  <c r="W61" i="108"/>
  <c r="W47" i="108"/>
  <c r="W41" i="108"/>
  <c r="V67" i="108"/>
  <c r="AH136" i="73"/>
  <c r="D739" i="73" s="1"/>
  <c r="W30" i="108"/>
  <c r="AH27" i="126"/>
  <c r="W26" i="108"/>
  <c r="AH23" i="126"/>
  <c r="W22" i="108"/>
  <c r="AH19" i="126"/>
  <c r="W18" i="108"/>
  <c r="AH16" i="126"/>
  <c r="W14" i="108"/>
  <c r="AH12" i="126"/>
  <c r="W10" i="108"/>
  <c r="AH8" i="126"/>
  <c r="W6" i="108"/>
  <c r="AH4" i="126"/>
  <c r="W65" i="107"/>
  <c r="W63" i="107"/>
  <c r="W59" i="107"/>
  <c r="W57" i="107"/>
  <c r="W53" i="107"/>
  <c r="W49" i="107"/>
  <c r="W45" i="107"/>
  <c r="W43" i="107"/>
  <c r="W31" i="107"/>
  <c r="T29" i="126"/>
  <c r="W27" i="107"/>
  <c r="T24" i="126"/>
  <c r="W23" i="107"/>
  <c r="T21" i="126"/>
  <c r="W19" i="107"/>
  <c r="T17" i="126"/>
  <c r="W7" i="107"/>
  <c r="T6" i="126"/>
  <c r="W17" i="107"/>
  <c r="T13" i="126"/>
  <c r="W13" i="107"/>
  <c r="T11" i="126"/>
  <c r="W9" i="107"/>
  <c r="T7" i="126"/>
  <c r="X66" i="107"/>
  <c r="X64" i="107"/>
  <c r="W58" i="107"/>
  <c r="W52" i="107"/>
  <c r="X50" i="107"/>
  <c r="X46" i="107"/>
  <c r="R31" i="121"/>
  <c r="T31" i="107"/>
  <c r="AG65" i="73"/>
  <c r="C351" i="73" s="1"/>
  <c r="O30" i="122"/>
  <c r="V29" i="107"/>
  <c r="AG131" i="73"/>
  <c r="C511" i="73" s="1"/>
  <c r="R26" i="121"/>
  <c r="T27" i="107"/>
  <c r="AG61" i="73"/>
  <c r="O27" i="122"/>
  <c r="V25" i="107"/>
  <c r="AG127" i="73"/>
  <c r="C507" i="73" s="1"/>
  <c r="R23" i="121"/>
  <c r="T23" i="107"/>
  <c r="AG57" i="73"/>
  <c r="R19" i="121"/>
  <c r="T19" i="107"/>
  <c r="AG53" i="73"/>
  <c r="O15" i="122"/>
  <c r="V17" i="107"/>
  <c r="AG119" i="73"/>
  <c r="R17" i="121"/>
  <c r="T15" i="107"/>
  <c r="AG49" i="73"/>
  <c r="O13" i="122"/>
  <c r="V13" i="107"/>
  <c r="AG115" i="73"/>
  <c r="C495" i="73" s="1"/>
  <c r="R11" i="121"/>
  <c r="T11" i="107"/>
  <c r="AG45" i="73"/>
  <c r="O9" i="122"/>
  <c r="V9" i="107"/>
  <c r="AG111" i="73"/>
  <c r="R8" i="121"/>
  <c r="T7" i="107"/>
  <c r="AG41" i="73"/>
  <c r="C327" i="73" s="1"/>
  <c r="W6" i="107"/>
  <c r="T4" i="126"/>
  <c r="O5" i="122"/>
  <c r="V5" i="107"/>
  <c r="AG107" i="73"/>
  <c r="X61" i="107"/>
  <c r="X41" i="107"/>
  <c r="O29" i="122"/>
  <c r="V30" i="107"/>
  <c r="AG132" i="73"/>
  <c r="C512" i="73" s="1"/>
  <c r="R28" i="121"/>
  <c r="T28" i="107"/>
  <c r="AG62" i="73"/>
  <c r="O25" i="122"/>
  <c r="V26" i="107"/>
  <c r="AG128" i="73"/>
  <c r="C508" i="73" s="1"/>
  <c r="X25" i="107"/>
  <c r="R24" i="121"/>
  <c r="T24" i="107"/>
  <c r="AG58" i="73"/>
  <c r="O21" i="122"/>
  <c r="V22" i="107"/>
  <c r="AG124" i="73"/>
  <c r="C504" i="73" s="1"/>
  <c r="O18" i="122"/>
  <c r="V18" i="107"/>
  <c r="AG120" i="73"/>
  <c r="C500" i="73" s="1"/>
  <c r="X17" i="107"/>
  <c r="R16" i="121"/>
  <c r="T16" i="107"/>
  <c r="AG50" i="73"/>
  <c r="W15" i="107"/>
  <c r="T15" i="126"/>
  <c r="O14" i="122"/>
  <c r="V14" i="107"/>
  <c r="AG116" i="73"/>
  <c r="X13" i="107"/>
  <c r="R12" i="121"/>
  <c r="T12" i="107"/>
  <c r="AG46" i="73"/>
  <c r="W11" i="107"/>
  <c r="T9" i="126"/>
  <c r="R7" i="121"/>
  <c r="T8" i="107"/>
  <c r="AG42" i="73"/>
  <c r="O6" i="122"/>
  <c r="V6" i="107"/>
  <c r="AG108" i="73"/>
  <c r="C488" i="73" s="1"/>
  <c r="W66" i="107"/>
  <c r="W64" i="107"/>
  <c r="X62" i="107"/>
  <c r="X58" i="107"/>
  <c r="W46" i="107"/>
  <c r="O31" i="122"/>
  <c r="V31" i="107"/>
  <c r="AG133" i="73"/>
  <c r="C513" i="73" s="1"/>
  <c r="X30" i="107"/>
  <c r="R30" i="121"/>
  <c r="T29" i="107"/>
  <c r="AG63" i="73"/>
  <c r="O26" i="122"/>
  <c r="V27" i="107"/>
  <c r="AG129" i="73"/>
  <c r="X26" i="107"/>
  <c r="R27" i="121"/>
  <c r="T25" i="107"/>
  <c r="AG59" i="73"/>
  <c r="C345" i="73" s="1"/>
  <c r="O23" i="122"/>
  <c r="V23" i="107"/>
  <c r="AG125" i="73"/>
  <c r="X22" i="107"/>
  <c r="R20" i="121"/>
  <c r="O19" i="122"/>
  <c r="V19" i="107"/>
  <c r="AG121" i="73"/>
  <c r="C501" i="73" s="1"/>
  <c r="R15" i="121"/>
  <c r="T17" i="107"/>
  <c r="AG51" i="73"/>
  <c r="W16" i="107"/>
  <c r="T14" i="126"/>
  <c r="O17" i="122"/>
  <c r="V15" i="107"/>
  <c r="AG117" i="73"/>
  <c r="C497" i="73" s="1"/>
  <c r="X14" i="107"/>
  <c r="R13" i="121"/>
  <c r="T13" i="107"/>
  <c r="AG47" i="73"/>
  <c r="O11" i="122"/>
  <c r="V11" i="107"/>
  <c r="AG113" i="73"/>
  <c r="X10" i="107"/>
  <c r="R9" i="121"/>
  <c r="T9" i="107"/>
  <c r="AG43" i="73"/>
  <c r="O8" i="122"/>
  <c r="V7" i="107"/>
  <c r="AG109" i="73"/>
  <c r="C489" i="73" s="1"/>
  <c r="R5" i="121"/>
  <c r="T5" i="107"/>
  <c r="AG39" i="73"/>
  <c r="X65" i="107"/>
  <c r="W61" i="107"/>
  <c r="X57" i="107"/>
  <c r="W55" i="107"/>
  <c r="X53" i="107"/>
  <c r="W51" i="107"/>
  <c r="X49" i="107"/>
  <c r="W47" i="107"/>
  <c r="X45" i="107"/>
  <c r="W41" i="107"/>
  <c r="X31" i="107"/>
  <c r="R29" i="121"/>
  <c r="T30" i="107"/>
  <c r="AG64" i="73"/>
  <c r="W29" i="107"/>
  <c r="O28" i="122"/>
  <c r="V28" i="107"/>
  <c r="AG130" i="73"/>
  <c r="X27" i="107"/>
  <c r="R25" i="121"/>
  <c r="T26" i="107"/>
  <c r="AG60" i="73"/>
  <c r="W25" i="107"/>
  <c r="T25" i="126"/>
  <c r="O24" i="122"/>
  <c r="V24" i="107"/>
  <c r="AG126" i="73"/>
  <c r="X23" i="107"/>
  <c r="R21" i="121"/>
  <c r="T22" i="107"/>
  <c r="AG56" i="73"/>
  <c r="C342" i="73" s="1"/>
  <c r="O22" i="122"/>
  <c r="V20" i="107"/>
  <c r="AG122" i="73"/>
  <c r="R18" i="121"/>
  <c r="T18" i="107"/>
  <c r="AG52" i="73"/>
  <c r="C338" i="73" s="1"/>
  <c r="O16" i="122"/>
  <c r="V16" i="107"/>
  <c r="AG118" i="73"/>
  <c r="X15" i="107"/>
  <c r="R14" i="121"/>
  <c r="T14" i="107"/>
  <c r="AG48" i="73"/>
  <c r="C334" i="73" s="1"/>
  <c r="O12" i="122"/>
  <c r="V12" i="107"/>
  <c r="AG114" i="73"/>
  <c r="C494" i="73" s="1"/>
  <c r="X11" i="107"/>
  <c r="R10" i="121"/>
  <c r="T10" i="107"/>
  <c r="AG44" i="73"/>
  <c r="O7" i="122"/>
  <c r="V8" i="107"/>
  <c r="AG110" i="73"/>
  <c r="X7" i="107"/>
  <c r="R6" i="121"/>
  <c r="T6" i="107"/>
  <c r="AG40" i="73"/>
  <c r="W47" i="106"/>
  <c r="W45" i="106"/>
  <c r="W8" i="106"/>
  <c r="F5" i="126"/>
  <c r="W65" i="106"/>
  <c r="W57" i="106"/>
  <c r="W48" i="106"/>
  <c r="W30" i="106"/>
  <c r="F27" i="126"/>
  <c r="W9" i="106"/>
  <c r="F7" i="126"/>
  <c r="W59" i="106"/>
  <c r="W52" i="106"/>
  <c r="W12" i="106"/>
  <c r="F10" i="126"/>
  <c r="W64" i="106"/>
  <c r="W62" i="106"/>
  <c r="W60" i="106"/>
  <c r="W58" i="106"/>
  <c r="W54" i="106"/>
  <c r="W50" i="106"/>
  <c r="W44" i="106"/>
  <c r="W42" i="106"/>
  <c r="W41" i="106"/>
  <c r="W29" i="106"/>
  <c r="F28" i="126"/>
  <c r="W26" i="106"/>
  <c r="F23" i="126"/>
  <c r="W24" i="106"/>
  <c r="F22" i="126"/>
  <c r="W21" i="106"/>
  <c r="F18" i="126"/>
  <c r="W20" i="106"/>
  <c r="F20" i="126"/>
  <c r="W18" i="106"/>
  <c r="F16" i="126"/>
  <c r="W17" i="106"/>
  <c r="F13" i="126"/>
  <c r="W10" i="106"/>
  <c r="F8" i="126"/>
  <c r="S40" i="106"/>
  <c r="W11" i="106"/>
  <c r="F9" i="126"/>
  <c r="W55" i="106"/>
  <c r="W53" i="106"/>
  <c r="W51" i="106"/>
  <c r="W46" i="106"/>
  <c r="W43" i="106"/>
  <c r="W14" i="106"/>
  <c r="F12" i="126"/>
  <c r="B15" i="118"/>
  <c r="L38" i="62"/>
  <c r="AI35" i="121"/>
  <c r="Y30" i="65"/>
  <c r="Y29" i="65"/>
  <c r="Y28" i="65"/>
  <c r="Y27" i="65"/>
  <c r="Y26" i="65"/>
  <c r="Y25" i="65"/>
  <c r="Y24" i="65"/>
  <c r="Y23" i="65"/>
  <c r="Y22" i="65"/>
  <c r="Y21" i="65"/>
  <c r="Y20" i="65"/>
  <c r="Y19" i="65"/>
  <c r="Y18" i="65"/>
  <c r="Y17" i="65"/>
  <c r="Y16" i="65"/>
  <c r="Y15" i="65"/>
  <c r="Y14" i="65"/>
  <c r="Y13" i="65"/>
  <c r="Y12" i="65"/>
  <c r="Y11" i="65"/>
  <c r="Y10" i="65"/>
  <c r="Y9" i="65"/>
  <c r="Y8" i="65"/>
  <c r="Y7" i="65"/>
  <c r="Y6" i="65"/>
  <c r="Y5" i="65"/>
  <c r="Y4" i="65"/>
  <c r="E15" i="118"/>
  <c r="AD73" i="62"/>
  <c r="AG35" i="122"/>
  <c r="D15" i="118"/>
  <c r="L73" i="62"/>
  <c r="AF35" i="122"/>
  <c r="X30" i="65"/>
  <c r="X29" i="65"/>
  <c r="X28" i="65"/>
  <c r="X27" i="65"/>
  <c r="X26" i="65"/>
  <c r="X25" i="65"/>
  <c r="X24" i="65"/>
  <c r="X23" i="65"/>
  <c r="X22" i="65"/>
  <c r="X21" i="65"/>
  <c r="X20" i="65"/>
  <c r="X19" i="65"/>
  <c r="X18" i="65"/>
  <c r="X17" i="65"/>
  <c r="X16" i="65"/>
  <c r="X15" i="65"/>
  <c r="X14" i="65"/>
  <c r="X13" i="65"/>
  <c r="X12" i="65"/>
  <c r="X11" i="65"/>
  <c r="X10" i="65"/>
  <c r="X9" i="65"/>
  <c r="X8" i="65"/>
  <c r="X7" i="65"/>
  <c r="X6" i="65"/>
  <c r="X5" i="65"/>
  <c r="X4" i="65"/>
  <c r="E14" i="118"/>
  <c r="AC73" i="62"/>
  <c r="AE35" i="122"/>
  <c r="D14" i="118"/>
  <c r="K73" i="62"/>
  <c r="AD35" i="122"/>
  <c r="W30" i="65"/>
  <c r="W29" i="65"/>
  <c r="W28" i="65"/>
  <c r="W27" i="65"/>
  <c r="W26" i="65"/>
  <c r="W25" i="65"/>
  <c r="W24" i="65"/>
  <c r="W23" i="65"/>
  <c r="W22" i="65"/>
  <c r="W21" i="65"/>
  <c r="W20" i="65"/>
  <c r="W19" i="65"/>
  <c r="W18" i="65"/>
  <c r="W17" i="65"/>
  <c r="W16" i="65"/>
  <c r="W15" i="65"/>
  <c r="W14" i="65"/>
  <c r="W13" i="65"/>
  <c r="W12" i="65"/>
  <c r="W11" i="65"/>
  <c r="W10" i="65"/>
  <c r="W9" i="65"/>
  <c r="W8" i="65"/>
  <c r="W7" i="65"/>
  <c r="W6" i="65"/>
  <c r="W5" i="65"/>
  <c r="W4" i="65"/>
  <c r="C14" i="118"/>
  <c r="AC38" i="62"/>
  <c r="AH35" i="121"/>
  <c r="B14" i="118"/>
  <c r="K38" i="62"/>
  <c r="V30" i="65"/>
  <c r="V29" i="65"/>
  <c r="V28" i="65"/>
  <c r="V27" i="65"/>
  <c r="V26" i="65"/>
  <c r="V24" i="65"/>
  <c r="V23" i="65"/>
  <c r="V22" i="65"/>
  <c r="V20" i="65"/>
  <c r="V19" i="65"/>
  <c r="V18" i="65"/>
  <c r="V17" i="65"/>
  <c r="V16" i="65"/>
  <c r="V15" i="65"/>
  <c r="V12" i="65"/>
  <c r="V11" i="65"/>
  <c r="V10" i="65"/>
  <c r="V8" i="65"/>
  <c r="V7" i="65"/>
  <c r="V6" i="65"/>
  <c r="V4" i="65"/>
  <c r="U30" i="65"/>
  <c r="U29" i="65"/>
  <c r="U28" i="65"/>
  <c r="U27" i="65"/>
  <c r="U26" i="65"/>
  <c r="U25" i="65"/>
  <c r="U24" i="65"/>
  <c r="U23" i="65"/>
  <c r="U22" i="65"/>
  <c r="U21" i="65"/>
  <c r="U20" i="65"/>
  <c r="U19" i="65"/>
  <c r="U18" i="65"/>
  <c r="U17" i="65"/>
  <c r="U16" i="65"/>
  <c r="U15" i="65"/>
  <c r="U14" i="65"/>
  <c r="U13" i="65"/>
  <c r="U12" i="65"/>
  <c r="U11" i="65"/>
  <c r="U10" i="65"/>
  <c r="U9" i="65"/>
  <c r="U8" i="65"/>
  <c r="U7" i="65"/>
  <c r="U6" i="65"/>
  <c r="U5" i="65"/>
  <c r="U4" i="65"/>
  <c r="C13" i="118"/>
  <c r="AB38" i="62"/>
  <c r="J18" i="64" s="1"/>
  <c r="AF35" i="121"/>
  <c r="B13" i="118"/>
  <c r="J38" i="62"/>
  <c r="J12" i="64" s="1"/>
  <c r="AE35" i="121"/>
  <c r="T30" i="65"/>
  <c r="T29" i="65"/>
  <c r="T28" i="65"/>
  <c r="T27" i="65"/>
  <c r="T26" i="65"/>
  <c r="T25" i="65"/>
  <c r="T24" i="65"/>
  <c r="T23" i="65"/>
  <c r="T22" i="65"/>
  <c r="T21" i="65"/>
  <c r="T20" i="65"/>
  <c r="T19" i="65"/>
  <c r="T18" i="65"/>
  <c r="T17" i="65"/>
  <c r="T16" i="65"/>
  <c r="T15" i="65"/>
  <c r="T14" i="65"/>
  <c r="T13" i="65"/>
  <c r="T12" i="65"/>
  <c r="T11" i="65"/>
  <c r="T10" i="65"/>
  <c r="T9" i="65"/>
  <c r="T8" i="65"/>
  <c r="T7" i="65"/>
  <c r="T6" i="65"/>
  <c r="T5" i="65"/>
  <c r="T4" i="65"/>
  <c r="E13" i="118"/>
  <c r="AB73" i="62"/>
  <c r="J31" i="64" s="1"/>
  <c r="E12" i="118"/>
  <c r="AA73" i="62" s="1"/>
  <c r="AA35" i="122"/>
  <c r="R30" i="65"/>
  <c r="R29" i="65"/>
  <c r="AB29" i="65" s="1"/>
  <c r="R28" i="65"/>
  <c r="R27" i="65"/>
  <c r="R26" i="65"/>
  <c r="R25" i="65"/>
  <c r="AB25" i="65" s="1"/>
  <c r="R24" i="65"/>
  <c r="R23" i="65"/>
  <c r="R22" i="65"/>
  <c r="R21" i="65"/>
  <c r="AB21" i="65" s="1"/>
  <c r="R20" i="65"/>
  <c r="R19" i="65"/>
  <c r="AB19" i="65" s="1"/>
  <c r="R18" i="65"/>
  <c r="R17" i="65"/>
  <c r="AB17" i="65" s="1"/>
  <c r="R16" i="65"/>
  <c r="R15" i="65"/>
  <c r="R14" i="65"/>
  <c r="R13" i="65"/>
  <c r="AB13" i="65" s="1"/>
  <c r="R12" i="65"/>
  <c r="R11" i="65"/>
  <c r="R10" i="65"/>
  <c r="R9" i="65"/>
  <c r="AB9" i="65" s="1"/>
  <c r="R8" i="65"/>
  <c r="R7" i="65"/>
  <c r="R6" i="65"/>
  <c r="R5" i="65"/>
  <c r="D12" i="118"/>
  <c r="I73" i="62" s="1"/>
  <c r="Z35" i="122"/>
  <c r="C12" i="118"/>
  <c r="AA38" i="62"/>
  <c r="AD35" i="121"/>
  <c r="S30" i="65"/>
  <c r="S29" i="65"/>
  <c r="AC29" i="65" s="1"/>
  <c r="S28" i="65"/>
  <c r="S27" i="65"/>
  <c r="S26" i="65"/>
  <c r="S25" i="65"/>
  <c r="S24" i="65"/>
  <c r="AC24" i="65" s="1"/>
  <c r="S23" i="65"/>
  <c r="S22" i="65"/>
  <c r="S21" i="65"/>
  <c r="AC21" i="65" s="1"/>
  <c r="S20" i="65"/>
  <c r="S19" i="65"/>
  <c r="S18" i="65"/>
  <c r="S17" i="65"/>
  <c r="S16" i="65"/>
  <c r="S15" i="65"/>
  <c r="S14" i="65"/>
  <c r="S13" i="65"/>
  <c r="AC13" i="65" s="1"/>
  <c r="S12" i="65"/>
  <c r="S11" i="65"/>
  <c r="S10" i="65"/>
  <c r="AC10" i="65" s="1"/>
  <c r="S9" i="65"/>
  <c r="S8" i="65"/>
  <c r="AC8" i="65" s="1"/>
  <c r="S7" i="65"/>
  <c r="S6" i="65"/>
  <c r="S5" i="65"/>
  <c r="S4" i="65"/>
  <c r="AB31" i="121"/>
  <c r="P30" i="65"/>
  <c r="Y30" i="122"/>
  <c r="Q28" i="65"/>
  <c r="P26" i="65"/>
  <c r="AB26" i="121"/>
  <c r="AA25" i="121"/>
  <c r="Q24" i="65"/>
  <c r="Y27" i="122"/>
  <c r="AA23" i="121"/>
  <c r="Y21" i="122"/>
  <c r="Q21" i="65"/>
  <c r="X20" i="122"/>
  <c r="AB22" i="121"/>
  <c r="P19" i="65"/>
  <c r="AA19" i="121"/>
  <c r="Y18" i="122"/>
  <c r="Q17" i="65"/>
  <c r="X15" i="122"/>
  <c r="AB16" i="121"/>
  <c r="P15" i="65"/>
  <c r="AA17" i="121"/>
  <c r="Y14" i="122"/>
  <c r="Q13" i="65"/>
  <c r="X13" i="122"/>
  <c r="AB12" i="121"/>
  <c r="P11" i="65"/>
  <c r="AA11" i="121"/>
  <c r="Y10" i="122"/>
  <c r="Q9" i="65"/>
  <c r="X9" i="122"/>
  <c r="X32" i="122" s="1"/>
  <c r="X34" i="122" s="1"/>
  <c r="X36" i="122" s="1"/>
  <c r="AB7" i="121"/>
  <c r="P7" i="65"/>
  <c r="AA8" i="121"/>
  <c r="Y6" i="122"/>
  <c r="Q5" i="65"/>
  <c r="X5" i="122"/>
  <c r="AB35" i="121"/>
  <c r="AA31" i="121"/>
  <c r="Y29" i="122"/>
  <c r="Q29" i="65"/>
  <c r="X30" i="122"/>
  <c r="AB28" i="121"/>
  <c r="P27" i="65"/>
  <c r="AA26" i="121"/>
  <c r="Y25" i="122"/>
  <c r="Q25" i="65"/>
  <c r="X27" i="122"/>
  <c r="AB24" i="121"/>
  <c r="P23" i="65"/>
  <c r="Q22" i="65"/>
  <c r="Y23" i="122"/>
  <c r="X21" i="122"/>
  <c r="P20" i="65"/>
  <c r="AB20" i="121"/>
  <c r="AA22" i="121"/>
  <c r="Q18" i="65"/>
  <c r="Y19" i="122"/>
  <c r="X18" i="122"/>
  <c r="AB15" i="121"/>
  <c r="P16" i="65"/>
  <c r="AA16" i="121"/>
  <c r="Q14" i="65"/>
  <c r="Y17" i="122"/>
  <c r="X14" i="122"/>
  <c r="AB13" i="121"/>
  <c r="P12" i="65"/>
  <c r="AA12" i="121"/>
  <c r="Q10" i="65"/>
  <c r="Y11" i="122"/>
  <c r="AB9" i="121"/>
  <c r="P8" i="65"/>
  <c r="AA7" i="121"/>
  <c r="Y8" i="122"/>
  <c r="Q6" i="65"/>
  <c r="X6" i="122"/>
  <c r="AA35" i="121"/>
  <c r="Q30" i="65"/>
  <c r="Y31" i="122"/>
  <c r="X29" i="122"/>
  <c r="P28" i="65"/>
  <c r="AB30" i="121"/>
  <c r="AA28" i="121"/>
  <c r="Y26" i="122"/>
  <c r="Q26" i="65"/>
  <c r="X25" i="122"/>
  <c r="AB27" i="121"/>
  <c r="P24" i="65"/>
  <c r="AA24" i="121"/>
  <c r="X23" i="122"/>
  <c r="AB21" i="121"/>
  <c r="P21" i="65"/>
  <c r="AA20" i="121"/>
  <c r="Y22" i="122"/>
  <c r="Q19" i="65"/>
  <c r="AB18" i="121"/>
  <c r="P17" i="65"/>
  <c r="AA15" i="121"/>
  <c r="Y16" i="122"/>
  <c r="Q15" i="65"/>
  <c r="AB14" i="121"/>
  <c r="P13" i="65"/>
  <c r="AA13" i="121"/>
  <c r="Y12" i="122"/>
  <c r="Q11" i="65"/>
  <c r="AB10" i="121"/>
  <c r="P9" i="65"/>
  <c r="AA9" i="121"/>
  <c r="Y7" i="122"/>
  <c r="Q7" i="65"/>
  <c r="AA5" i="121"/>
  <c r="Y35" i="122"/>
  <c r="X31" i="122"/>
  <c r="AB29" i="121"/>
  <c r="P29" i="65"/>
  <c r="AA30" i="121"/>
  <c r="Y28" i="122"/>
  <c r="Q27" i="65"/>
  <c r="X26" i="122"/>
  <c r="AJ26" i="122" s="1"/>
  <c r="AK26" i="122" s="1"/>
  <c r="AB25" i="121"/>
  <c r="P25" i="65"/>
  <c r="AA27" i="121"/>
  <c r="Y24" i="122"/>
  <c r="Q23" i="65"/>
  <c r="AA21" i="121"/>
  <c r="Y20" i="122"/>
  <c r="Q20" i="65"/>
  <c r="X22" i="122"/>
  <c r="AA18" i="121"/>
  <c r="Q16" i="65"/>
  <c r="Y15" i="122"/>
  <c r="X16" i="122"/>
  <c r="AA14" i="121"/>
  <c r="Q12" i="65"/>
  <c r="Y13" i="122"/>
  <c r="X12" i="122"/>
  <c r="AA10" i="121"/>
  <c r="Q8" i="65"/>
  <c r="Y9" i="122"/>
  <c r="X7" i="122"/>
  <c r="P6" i="65"/>
  <c r="AB8" i="121"/>
  <c r="AA6" i="121"/>
  <c r="Q4" i="65"/>
  <c r="Y5" i="122"/>
  <c r="AF143" i="73"/>
  <c r="S29" i="106"/>
  <c r="O30" i="121"/>
  <c r="O28" i="121"/>
  <c r="S23" i="106"/>
  <c r="O19" i="121"/>
  <c r="S18" i="106"/>
  <c r="O18" i="121"/>
  <c r="U14" i="106"/>
  <c r="L14" i="122"/>
  <c r="U13" i="106"/>
  <c r="L13" i="122"/>
  <c r="U12" i="106"/>
  <c r="L12" i="122"/>
  <c r="S10" i="106"/>
  <c r="O10" i="121"/>
  <c r="U5" i="106"/>
  <c r="L5" i="122"/>
  <c r="Z29" i="121"/>
  <c r="N29" i="65"/>
  <c r="Y30" i="121"/>
  <c r="O27" i="65"/>
  <c r="W28" i="122"/>
  <c r="Z25" i="121"/>
  <c r="Y27" i="121"/>
  <c r="W24" i="122"/>
  <c r="O23" i="65"/>
  <c r="Z21" i="121"/>
  <c r="N21" i="65"/>
  <c r="Y20" i="121"/>
  <c r="W22" i="122"/>
  <c r="O19" i="65"/>
  <c r="Z18" i="121"/>
  <c r="N17" i="65"/>
  <c r="W16" i="122"/>
  <c r="O15" i="65"/>
  <c r="N13" i="65"/>
  <c r="Z14" i="121"/>
  <c r="W12" i="122"/>
  <c r="O11" i="65"/>
  <c r="Z10" i="121"/>
  <c r="N9" i="65"/>
  <c r="W7" i="122"/>
  <c r="O7" i="65"/>
  <c r="Z6" i="121"/>
  <c r="N5" i="65"/>
  <c r="Q31" i="121"/>
  <c r="N30" i="122"/>
  <c r="Q26" i="121"/>
  <c r="N27" i="122"/>
  <c r="Q23" i="121"/>
  <c r="N20" i="122"/>
  <c r="F19" i="65"/>
  <c r="R22" i="121"/>
  <c r="Q19" i="121"/>
  <c r="N15" i="122"/>
  <c r="Q17" i="121"/>
  <c r="N13" i="122"/>
  <c r="Q11" i="121"/>
  <c r="R10" i="107"/>
  <c r="O10" i="122"/>
  <c r="N9" i="122"/>
  <c r="Q8" i="121"/>
  <c r="N5" i="122"/>
  <c r="U15" i="106"/>
  <c r="L17" i="122"/>
  <c r="S11" i="106"/>
  <c r="O11" i="121"/>
  <c r="L9" i="122"/>
  <c r="U8" i="106"/>
  <c r="L7" i="122"/>
  <c r="V35" i="122"/>
  <c r="N30" i="65"/>
  <c r="Z31" i="121"/>
  <c r="Y29" i="121"/>
  <c r="O28" i="65"/>
  <c r="W30" i="122"/>
  <c r="N26" i="65"/>
  <c r="Y25" i="121"/>
  <c r="W27" i="122"/>
  <c r="O24" i="65"/>
  <c r="N22" i="65"/>
  <c r="Z23" i="121"/>
  <c r="Y21" i="121"/>
  <c r="O20" i="65"/>
  <c r="W20" i="122"/>
  <c r="N18" i="65"/>
  <c r="Z19" i="121"/>
  <c r="W15" i="122"/>
  <c r="O16" i="65"/>
  <c r="N14" i="65"/>
  <c r="Z17" i="121"/>
  <c r="W13" i="122"/>
  <c r="O12" i="65"/>
  <c r="N10" i="65"/>
  <c r="Z11" i="121"/>
  <c r="W9" i="122"/>
  <c r="O8" i="65"/>
  <c r="N6" i="65"/>
  <c r="Z8" i="121"/>
  <c r="O4" i="65"/>
  <c r="W5" i="122"/>
  <c r="W32" i="122" s="1"/>
  <c r="W34" i="122" s="1"/>
  <c r="N29" i="122"/>
  <c r="N25" i="122"/>
  <c r="Q24" i="121"/>
  <c r="N21" i="122"/>
  <c r="Q22" i="121"/>
  <c r="N18" i="122"/>
  <c r="Q16" i="121"/>
  <c r="N14" i="122"/>
  <c r="AN14" i="122" s="1"/>
  <c r="AP14" i="122" s="1"/>
  <c r="Q12" i="121"/>
  <c r="N10" i="122"/>
  <c r="Q7" i="121"/>
  <c r="N6" i="122"/>
  <c r="S31" i="106"/>
  <c r="S30" i="106"/>
  <c r="O29" i="121"/>
  <c r="U29" i="106"/>
  <c r="L30" i="122"/>
  <c r="U28" i="106"/>
  <c r="U26" i="106"/>
  <c r="L25" i="122"/>
  <c r="L27" i="122"/>
  <c r="U24" i="106"/>
  <c r="L24" i="122"/>
  <c r="L20" i="122"/>
  <c r="AN20" i="122" s="1"/>
  <c r="AP20" i="122" s="1"/>
  <c r="U19" i="106"/>
  <c r="U18" i="106"/>
  <c r="L18" i="122"/>
  <c r="S14" i="106"/>
  <c r="O14" i="121"/>
  <c r="S13" i="106"/>
  <c r="O13" i="121"/>
  <c r="S12" i="106"/>
  <c r="O12" i="121"/>
  <c r="U10" i="106"/>
  <c r="L10" i="122"/>
  <c r="S5" i="106"/>
  <c r="O5" i="121"/>
  <c r="Z35" i="121"/>
  <c r="Y31" i="121"/>
  <c r="W29" i="122"/>
  <c r="O29" i="65"/>
  <c r="N27" i="65"/>
  <c r="Z28" i="121"/>
  <c r="Y26" i="121"/>
  <c r="W25" i="122"/>
  <c r="O25" i="65"/>
  <c r="N23" i="65"/>
  <c r="Z24" i="121"/>
  <c r="Y23" i="121"/>
  <c r="W21" i="122"/>
  <c r="O21" i="65"/>
  <c r="Z22" i="121"/>
  <c r="N19" i="65"/>
  <c r="O17" i="65"/>
  <c r="W18" i="122"/>
  <c r="N15" i="65"/>
  <c r="Z16" i="121"/>
  <c r="O13" i="65"/>
  <c r="W14" i="122"/>
  <c r="Z12" i="121"/>
  <c r="N11" i="65"/>
  <c r="O9" i="65"/>
  <c r="W10" i="122"/>
  <c r="Z7" i="121"/>
  <c r="N7" i="65"/>
  <c r="O5" i="65"/>
  <c r="W6" i="122"/>
  <c r="N31" i="122"/>
  <c r="Q30" i="121"/>
  <c r="N26" i="122"/>
  <c r="Q27" i="121"/>
  <c r="N23" i="122"/>
  <c r="Q20" i="121"/>
  <c r="N19" i="122"/>
  <c r="Q15" i="121"/>
  <c r="N17" i="122"/>
  <c r="Q13" i="121"/>
  <c r="N11" i="122"/>
  <c r="Q9" i="121"/>
  <c r="N8" i="122"/>
  <c r="Q5" i="121"/>
  <c r="S15" i="106"/>
  <c r="O17" i="121"/>
  <c r="U11" i="106"/>
  <c r="L11" i="122"/>
  <c r="S9" i="106"/>
  <c r="Y35" i="121"/>
  <c r="W31" i="122"/>
  <c r="O30" i="65"/>
  <c r="N28" i="65"/>
  <c r="Z30" i="121"/>
  <c r="Y28" i="121"/>
  <c r="W26" i="122"/>
  <c r="O26" i="65"/>
  <c r="N24" i="65"/>
  <c r="Z27" i="121"/>
  <c r="Y24" i="121"/>
  <c r="W23" i="122"/>
  <c r="O22" i="65"/>
  <c r="N20" i="65"/>
  <c r="Z20" i="121"/>
  <c r="Y22" i="121"/>
  <c r="W19" i="122"/>
  <c r="O18" i="65"/>
  <c r="N16" i="65"/>
  <c r="Z15" i="121"/>
  <c r="W17" i="122"/>
  <c r="O14" i="65"/>
  <c r="N12" i="65"/>
  <c r="Z13" i="121"/>
  <c r="W11" i="122"/>
  <c r="O10" i="65"/>
  <c r="N8" i="65"/>
  <c r="Z9" i="121"/>
  <c r="W8" i="122"/>
  <c r="O6" i="65"/>
  <c r="Z5" i="121"/>
  <c r="N4" i="65"/>
  <c r="Q29" i="121"/>
  <c r="Q25" i="121"/>
  <c r="N24" i="122"/>
  <c r="Q21" i="121"/>
  <c r="N22" i="122"/>
  <c r="Q18" i="121"/>
  <c r="N16" i="122"/>
  <c r="Q14" i="121"/>
  <c r="N12" i="122"/>
  <c r="Q10" i="121"/>
  <c r="Q6" i="121"/>
  <c r="X31" i="121"/>
  <c r="W29" i="121"/>
  <c r="X26" i="121"/>
  <c r="W25" i="121"/>
  <c r="U27" i="122"/>
  <c r="T24" i="122"/>
  <c r="AN24" i="122" s="1"/>
  <c r="AP24" i="122" s="1"/>
  <c r="X23" i="121"/>
  <c r="W21" i="121"/>
  <c r="U20" i="122"/>
  <c r="X19" i="121"/>
  <c r="W18" i="121"/>
  <c r="T16" i="122"/>
  <c r="W14" i="121"/>
  <c r="T12" i="122"/>
  <c r="W10" i="121"/>
  <c r="U9" i="122"/>
  <c r="T7" i="122"/>
  <c r="X8" i="121"/>
  <c r="X29" i="121"/>
  <c r="W20" i="121"/>
  <c r="T19" i="122"/>
  <c r="W9" i="121"/>
  <c r="U7" i="122"/>
  <c r="T8" i="122"/>
  <c r="U35" i="122"/>
  <c r="W31" i="121"/>
  <c r="U29" i="122"/>
  <c r="W26" i="121"/>
  <c r="U25" i="122"/>
  <c r="T27" i="122"/>
  <c r="X24" i="121"/>
  <c r="W23" i="121"/>
  <c r="U21" i="122"/>
  <c r="T20" i="122"/>
  <c r="W19" i="121"/>
  <c r="U18" i="122"/>
  <c r="X16" i="121"/>
  <c r="U14" i="122"/>
  <c r="X12" i="121"/>
  <c r="U10" i="122"/>
  <c r="T9" i="122"/>
  <c r="X7" i="121"/>
  <c r="W8" i="121"/>
  <c r="T31" i="122"/>
  <c r="T26" i="122"/>
  <c r="X25" i="121"/>
  <c r="W27" i="121"/>
  <c r="U24" i="122"/>
  <c r="T23" i="122"/>
  <c r="X21" i="121"/>
  <c r="X18" i="121"/>
  <c r="U16" i="122"/>
  <c r="X14" i="121"/>
  <c r="U12" i="122"/>
  <c r="AO12" i="122" s="1"/>
  <c r="AQ12" i="122" s="1"/>
  <c r="X10" i="121"/>
  <c r="T35" i="122"/>
  <c r="T29" i="122"/>
  <c r="U26" i="122"/>
  <c r="T25" i="122"/>
  <c r="X27" i="121"/>
  <c r="W24" i="121"/>
  <c r="U23" i="122"/>
  <c r="T21" i="122"/>
  <c r="X20" i="121"/>
  <c r="U19" i="122"/>
  <c r="T18" i="122"/>
  <c r="W16" i="121"/>
  <c r="T14" i="122"/>
  <c r="W12" i="121"/>
  <c r="T10" i="122"/>
  <c r="T32" i="122" s="1"/>
  <c r="T34" i="122" s="1"/>
  <c r="T36" i="122" s="1"/>
  <c r="X9" i="121"/>
  <c r="W7" i="121"/>
  <c r="U8" i="122"/>
  <c r="I32" i="108"/>
  <c r="S31" i="122"/>
  <c r="K30" i="65"/>
  <c r="S29" i="122"/>
  <c r="K29" i="65"/>
  <c r="S30" i="122"/>
  <c r="K28" i="65"/>
  <c r="S28" i="122"/>
  <c r="K27" i="65"/>
  <c r="S26" i="122"/>
  <c r="K26" i="65"/>
  <c r="S25" i="122"/>
  <c r="K25" i="65"/>
  <c r="S27" i="122"/>
  <c r="K24" i="65"/>
  <c r="S24" i="122"/>
  <c r="K23" i="65"/>
  <c r="S23" i="122"/>
  <c r="K22" i="65"/>
  <c r="S21" i="122"/>
  <c r="K21" i="65"/>
  <c r="S20" i="122"/>
  <c r="K20" i="65"/>
  <c r="S22" i="122"/>
  <c r="K19" i="65"/>
  <c r="S18" i="122"/>
  <c r="K17" i="65"/>
  <c r="S15" i="122"/>
  <c r="K16" i="65"/>
  <c r="S16" i="122"/>
  <c r="K15" i="65"/>
  <c r="S17" i="122"/>
  <c r="K14" i="65"/>
  <c r="S14" i="122"/>
  <c r="K13" i="65"/>
  <c r="S13" i="122"/>
  <c r="K12" i="65"/>
  <c r="S12" i="122"/>
  <c r="K11" i="65"/>
  <c r="S11" i="122"/>
  <c r="K10" i="65"/>
  <c r="S10" i="122"/>
  <c r="K9" i="65"/>
  <c r="S9" i="122"/>
  <c r="K8" i="65"/>
  <c r="S7" i="122"/>
  <c r="K7" i="65"/>
  <c r="S6" i="122"/>
  <c r="K5" i="65"/>
  <c r="S5" i="122"/>
  <c r="K4" i="65"/>
  <c r="R31" i="122"/>
  <c r="R30" i="122"/>
  <c r="AN30" i="122" s="1"/>
  <c r="AP30" i="122" s="1"/>
  <c r="R28" i="122"/>
  <c r="R27" i="122"/>
  <c r="R24" i="122"/>
  <c r="R23" i="122"/>
  <c r="R21" i="122"/>
  <c r="R20" i="122"/>
  <c r="R22" i="122"/>
  <c r="R19" i="122"/>
  <c r="R18" i="122"/>
  <c r="R15" i="122"/>
  <c r="R16" i="122"/>
  <c r="R17" i="122"/>
  <c r="R14" i="122"/>
  <c r="R13" i="122"/>
  <c r="R12" i="122"/>
  <c r="R11" i="122"/>
  <c r="R10" i="122"/>
  <c r="R7" i="122"/>
  <c r="R8" i="122"/>
  <c r="R6" i="122"/>
  <c r="R5" i="122"/>
  <c r="J30" i="65"/>
  <c r="V31" i="121"/>
  <c r="J29" i="65"/>
  <c r="V29" i="121"/>
  <c r="V30" i="121"/>
  <c r="J28" i="65"/>
  <c r="V28" i="121"/>
  <c r="J27" i="65"/>
  <c r="J26" i="65"/>
  <c r="V26" i="121"/>
  <c r="J25" i="65"/>
  <c r="V25" i="121"/>
  <c r="V27" i="121"/>
  <c r="J24" i="65"/>
  <c r="V24" i="121"/>
  <c r="J23" i="65"/>
  <c r="J22" i="65"/>
  <c r="V23" i="121"/>
  <c r="J21" i="65"/>
  <c r="V21" i="121"/>
  <c r="V20" i="121"/>
  <c r="J20" i="65"/>
  <c r="V22" i="121"/>
  <c r="J19" i="65"/>
  <c r="J17" i="65"/>
  <c r="V18" i="121"/>
  <c r="V15" i="121"/>
  <c r="J16" i="65"/>
  <c r="V16" i="121"/>
  <c r="J15" i="65"/>
  <c r="V17" i="121"/>
  <c r="J14" i="65"/>
  <c r="J13" i="65"/>
  <c r="V14" i="121"/>
  <c r="V13" i="121"/>
  <c r="J12" i="65"/>
  <c r="V12" i="121"/>
  <c r="J11" i="65"/>
  <c r="J10" i="65"/>
  <c r="V11" i="121"/>
  <c r="J9" i="65"/>
  <c r="V10" i="121"/>
  <c r="V9" i="121"/>
  <c r="J8" i="65"/>
  <c r="J7" i="65"/>
  <c r="V7" i="121"/>
  <c r="J5" i="65"/>
  <c r="V6" i="121"/>
  <c r="V5" i="121"/>
  <c r="J4" i="65"/>
  <c r="U31" i="121"/>
  <c r="U30" i="121"/>
  <c r="U28" i="121"/>
  <c r="U27" i="121"/>
  <c r="U24" i="121"/>
  <c r="U23" i="121"/>
  <c r="U21" i="121"/>
  <c r="U20" i="121"/>
  <c r="U22" i="121"/>
  <c r="U18" i="121"/>
  <c r="U15" i="121"/>
  <c r="U16" i="121"/>
  <c r="U17" i="121"/>
  <c r="U14" i="121"/>
  <c r="U13" i="121"/>
  <c r="U12" i="121"/>
  <c r="U10" i="121"/>
  <c r="U7" i="121"/>
  <c r="U8" i="121"/>
  <c r="U6" i="121"/>
  <c r="U5" i="121"/>
  <c r="I32" i="111"/>
  <c r="M32" i="111"/>
  <c r="R61" i="117"/>
  <c r="Q32" i="111"/>
  <c r="L32" i="111"/>
  <c r="H32" i="111"/>
  <c r="N32" i="111"/>
  <c r="J32" i="111"/>
  <c r="J32" i="112"/>
  <c r="G30" i="65"/>
  <c r="F28" i="65"/>
  <c r="G26" i="65"/>
  <c r="F24" i="65"/>
  <c r="G22" i="65"/>
  <c r="F20" i="65"/>
  <c r="G18" i="65"/>
  <c r="F16" i="65"/>
  <c r="G14" i="65"/>
  <c r="F12" i="65"/>
  <c r="G10" i="65"/>
  <c r="F8" i="65"/>
  <c r="G6" i="65"/>
  <c r="F4" i="65"/>
  <c r="H30" i="65"/>
  <c r="H28" i="65"/>
  <c r="H27" i="65"/>
  <c r="H26" i="65"/>
  <c r="H25" i="65"/>
  <c r="H24" i="65"/>
  <c r="H23" i="65"/>
  <c r="H22" i="65"/>
  <c r="H21" i="65"/>
  <c r="H20" i="6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H5" i="65"/>
  <c r="H4" i="65"/>
  <c r="R58" i="115"/>
  <c r="R24" i="116"/>
  <c r="F29" i="65"/>
  <c r="G27" i="65"/>
  <c r="F25" i="65"/>
  <c r="G23" i="65"/>
  <c r="F21" i="65"/>
  <c r="G19" i="65"/>
  <c r="F17" i="65"/>
  <c r="G15" i="65"/>
  <c r="F13" i="65"/>
  <c r="G11" i="65"/>
  <c r="F9" i="65"/>
  <c r="G7" i="65"/>
  <c r="F5" i="65"/>
  <c r="AF148" i="73"/>
  <c r="B573" i="73" s="1"/>
  <c r="R29" i="114"/>
  <c r="R42" i="115"/>
  <c r="F30" i="65"/>
  <c r="G28" i="65"/>
  <c r="F26" i="65"/>
  <c r="G24" i="65"/>
  <c r="F22" i="65"/>
  <c r="G20" i="65"/>
  <c r="F18" i="65"/>
  <c r="G16" i="65"/>
  <c r="F14" i="65"/>
  <c r="G12" i="65"/>
  <c r="F10" i="65"/>
  <c r="G8" i="65"/>
  <c r="F6" i="65"/>
  <c r="G4" i="65"/>
  <c r="I29" i="65"/>
  <c r="I28" i="65"/>
  <c r="I27" i="65"/>
  <c r="I26" i="65"/>
  <c r="I25" i="65"/>
  <c r="I24" i="65"/>
  <c r="I23" i="65"/>
  <c r="I22" i="65"/>
  <c r="I21" i="65"/>
  <c r="I20" i="65"/>
  <c r="I19" i="65"/>
  <c r="I18" i="65"/>
  <c r="I17" i="65"/>
  <c r="I16" i="65"/>
  <c r="I15" i="65"/>
  <c r="I14" i="65"/>
  <c r="I13" i="65"/>
  <c r="I12" i="65"/>
  <c r="I11" i="65"/>
  <c r="I10" i="65"/>
  <c r="I9" i="65"/>
  <c r="I8" i="65"/>
  <c r="I7" i="65"/>
  <c r="I6" i="65"/>
  <c r="I5" i="65"/>
  <c r="I4" i="65"/>
  <c r="E32" i="111"/>
  <c r="P32" i="111"/>
  <c r="K32" i="111"/>
  <c r="R13" i="114"/>
  <c r="R19" i="115"/>
  <c r="G29" i="65"/>
  <c r="F27" i="65"/>
  <c r="G25" i="65"/>
  <c r="F23" i="65"/>
  <c r="G21" i="65"/>
  <c r="G17" i="65"/>
  <c r="F15" i="65"/>
  <c r="G13" i="65"/>
  <c r="F11" i="65"/>
  <c r="G9" i="65"/>
  <c r="F7" i="65"/>
  <c r="G5" i="65"/>
  <c r="R102" i="108"/>
  <c r="S7" i="118"/>
  <c r="R15" i="107"/>
  <c r="R21" i="107"/>
  <c r="T29" i="106"/>
  <c r="D28" i="65"/>
  <c r="T24" i="106"/>
  <c r="D23" i="65"/>
  <c r="T21" i="106"/>
  <c r="D16" i="65"/>
  <c r="B67" i="108"/>
  <c r="R8" i="109"/>
  <c r="Y8" i="109"/>
  <c r="R25" i="111"/>
  <c r="D15" i="65"/>
  <c r="E14" i="65"/>
  <c r="T11" i="106"/>
  <c r="D10" i="65"/>
  <c r="E7" i="65"/>
  <c r="R17" i="108"/>
  <c r="N32" i="108"/>
  <c r="F32" i="108"/>
  <c r="R14" i="108"/>
  <c r="R58" i="109"/>
  <c r="Y58" i="109"/>
  <c r="R11" i="109"/>
  <c r="Y11" i="109"/>
  <c r="R41" i="111"/>
  <c r="D32" i="111"/>
  <c r="R30" i="111"/>
  <c r="R26" i="111"/>
  <c r="R22" i="111"/>
  <c r="R19" i="111"/>
  <c r="R15" i="111"/>
  <c r="R11" i="111"/>
  <c r="R7" i="111"/>
  <c r="E30" i="65"/>
  <c r="V30" i="106"/>
  <c r="AF132" i="73"/>
  <c r="E29" i="65"/>
  <c r="D27" i="65"/>
  <c r="T26" i="106"/>
  <c r="D25" i="65"/>
  <c r="D24" i="65"/>
  <c r="T20" i="106"/>
  <c r="T18" i="106"/>
  <c r="D17" i="65"/>
  <c r="V14" i="106"/>
  <c r="E13" i="65"/>
  <c r="V13" i="106"/>
  <c r="E12" i="65"/>
  <c r="V12" i="106"/>
  <c r="E11" i="65"/>
  <c r="T10" i="106"/>
  <c r="D9" i="65"/>
  <c r="V5" i="106"/>
  <c r="E4" i="65"/>
  <c r="J67" i="108"/>
  <c r="R40" i="111"/>
  <c r="R29" i="111"/>
  <c r="T31" i="106"/>
  <c r="T30" i="106"/>
  <c r="D29" i="65"/>
  <c r="V29" i="106"/>
  <c r="E28" i="65"/>
  <c r="V27" i="106"/>
  <c r="V26" i="106"/>
  <c r="E25" i="65"/>
  <c r="V24" i="106"/>
  <c r="E23" i="65"/>
  <c r="E21" i="65"/>
  <c r="V20" i="106"/>
  <c r="E19" i="65"/>
  <c r="V19" i="106"/>
  <c r="V18" i="106"/>
  <c r="E17" i="65"/>
  <c r="V17" i="106"/>
  <c r="E16" i="65"/>
  <c r="T14" i="106"/>
  <c r="D13" i="65"/>
  <c r="T13" i="106"/>
  <c r="D12" i="65"/>
  <c r="T12" i="106"/>
  <c r="D11" i="65"/>
  <c r="V10" i="106"/>
  <c r="E9" i="65"/>
  <c r="T5" i="106"/>
  <c r="D4" i="65"/>
  <c r="R59" i="108"/>
  <c r="R45" i="108"/>
  <c r="R25" i="108"/>
  <c r="R22" i="108"/>
  <c r="N67" i="111"/>
  <c r="E67" i="111"/>
  <c r="R42" i="111"/>
  <c r="G32" i="111"/>
  <c r="C32" i="111"/>
  <c r="R31" i="111"/>
  <c r="R27" i="111"/>
  <c r="L67" i="112"/>
  <c r="T15" i="106"/>
  <c r="D14" i="65"/>
  <c r="E10" i="65"/>
  <c r="V11" i="106"/>
  <c r="R53" i="108"/>
  <c r="R30" i="108"/>
  <c r="R7" i="108"/>
  <c r="R50" i="110"/>
  <c r="R46" i="110"/>
  <c r="R43" i="110"/>
  <c r="F67" i="111"/>
  <c r="F32" i="111"/>
  <c r="B32" i="111"/>
  <c r="R28" i="111"/>
  <c r="R24" i="111"/>
  <c r="R20" i="111"/>
  <c r="R17" i="111"/>
  <c r="R13" i="111"/>
  <c r="R21" i="111"/>
  <c r="R18" i="111"/>
  <c r="R14" i="111"/>
  <c r="R10" i="111"/>
  <c r="R6" i="111"/>
  <c r="R54" i="112"/>
  <c r="R44" i="112"/>
  <c r="M32" i="112"/>
  <c r="E32" i="112"/>
  <c r="R19" i="113"/>
  <c r="R26" i="114"/>
  <c r="R55" i="115"/>
  <c r="O67" i="115"/>
  <c r="R46" i="115"/>
  <c r="G67" i="115"/>
  <c r="R27" i="115"/>
  <c r="R61" i="116"/>
  <c r="R50" i="116"/>
  <c r="R21" i="116"/>
  <c r="R8" i="117"/>
  <c r="R45" i="112"/>
  <c r="R44" i="114"/>
  <c r="O32" i="114"/>
  <c r="G32" i="114"/>
  <c r="R23" i="115"/>
  <c r="R11" i="115"/>
  <c r="R53" i="116"/>
  <c r="R45" i="116"/>
  <c r="R5" i="116"/>
  <c r="R45" i="117"/>
  <c r="R23" i="111"/>
  <c r="R16" i="111"/>
  <c r="R12" i="111"/>
  <c r="R8" i="111"/>
  <c r="R56" i="112"/>
  <c r="R58" i="116"/>
  <c r="R8" i="116"/>
  <c r="B32" i="116"/>
  <c r="R62" i="107"/>
  <c r="N67" i="107"/>
  <c r="M67" i="107"/>
  <c r="R14" i="107"/>
  <c r="R11" i="107"/>
  <c r="E32" i="107"/>
  <c r="R9" i="111"/>
  <c r="R5" i="111"/>
  <c r="R62" i="112"/>
  <c r="R53" i="112"/>
  <c r="I32" i="112"/>
  <c r="N32" i="112"/>
  <c r="F32" i="112"/>
  <c r="R11" i="113"/>
  <c r="R21" i="114"/>
  <c r="R62" i="115"/>
  <c r="R50" i="115"/>
  <c r="R64" i="116"/>
  <c r="O67" i="116"/>
  <c r="G67" i="116"/>
  <c r="R29" i="116"/>
  <c r="R16" i="116"/>
  <c r="R13" i="116"/>
  <c r="R58" i="117"/>
  <c r="K67" i="117"/>
  <c r="R49" i="117"/>
  <c r="R24" i="117"/>
  <c r="R20" i="117"/>
  <c r="V15" i="106"/>
  <c r="S50" i="106"/>
  <c r="S47" i="106"/>
  <c r="T44" i="106"/>
  <c r="U30" i="106"/>
  <c r="AF98" i="73"/>
  <c r="B431" i="73"/>
  <c r="V102" i="106"/>
  <c r="S26" i="106"/>
  <c r="S24" i="106"/>
  <c r="S20" i="106"/>
  <c r="T48" i="106"/>
  <c r="V8" i="106"/>
  <c r="S102" i="106"/>
  <c r="R62" i="117"/>
  <c r="R57" i="117"/>
  <c r="R46" i="117"/>
  <c r="F32" i="117"/>
  <c r="N67" i="117"/>
  <c r="R54" i="117"/>
  <c r="R21" i="117"/>
  <c r="Q32" i="117"/>
  <c r="M32" i="117"/>
  <c r="I32" i="117"/>
  <c r="F67" i="117"/>
  <c r="R28" i="117"/>
  <c r="N67" i="116"/>
  <c r="F67" i="116"/>
  <c r="J32" i="116"/>
  <c r="R51" i="115"/>
  <c r="R47" i="115"/>
  <c r="J32" i="115"/>
  <c r="R8" i="115"/>
  <c r="R59" i="115"/>
  <c r="R54" i="115"/>
  <c r="R43" i="115"/>
  <c r="R20" i="115"/>
  <c r="Q67" i="115"/>
  <c r="M67" i="115"/>
  <c r="I67" i="115"/>
  <c r="D32" i="114"/>
  <c r="Q67" i="114"/>
  <c r="R60" i="112"/>
  <c r="Q67" i="112"/>
  <c r="H67" i="112"/>
  <c r="P67" i="112"/>
  <c r="K67" i="112"/>
  <c r="R48" i="112"/>
  <c r="R13" i="112"/>
  <c r="R9" i="112"/>
  <c r="R49" i="111"/>
  <c r="R45" i="111"/>
  <c r="M67" i="111"/>
  <c r="R54" i="109"/>
  <c r="Y54" i="109"/>
  <c r="R16" i="109"/>
  <c r="Y16" i="109"/>
  <c r="K32" i="109"/>
  <c r="K67" i="108"/>
  <c r="R64" i="108"/>
  <c r="R63" i="108"/>
  <c r="N67" i="108"/>
  <c r="F67" i="108"/>
  <c r="R29" i="108"/>
  <c r="R18" i="108"/>
  <c r="R13" i="108"/>
  <c r="J32" i="108"/>
  <c r="P67" i="108"/>
  <c r="R49" i="108"/>
  <c r="G67" i="108"/>
  <c r="R60" i="108"/>
  <c r="R26" i="108"/>
  <c r="M32" i="108"/>
  <c r="R66" i="107"/>
  <c r="R65" i="107"/>
  <c r="R64" i="107"/>
  <c r="R56" i="107"/>
  <c r="R53" i="107"/>
  <c r="R49" i="107"/>
  <c r="R45" i="107"/>
  <c r="E67" i="107"/>
  <c r="G32" i="65"/>
  <c r="R26" i="107"/>
  <c r="R23" i="107"/>
  <c r="R7" i="107"/>
  <c r="M32" i="107"/>
  <c r="R25" i="107"/>
  <c r="R17" i="107"/>
  <c r="L32" i="107"/>
  <c r="R62" i="106"/>
  <c r="R58" i="106"/>
  <c r="R18" i="106"/>
  <c r="R30" i="107"/>
  <c r="R55" i="108"/>
  <c r="R47" i="108"/>
  <c r="R41" i="108"/>
  <c r="L67" i="108"/>
  <c r="D67" i="108"/>
  <c r="K32" i="108"/>
  <c r="R9" i="108"/>
  <c r="C32" i="108"/>
  <c r="L32" i="108"/>
  <c r="D32" i="108"/>
  <c r="R55" i="109"/>
  <c r="Y55" i="109"/>
  <c r="R57" i="111"/>
  <c r="R21" i="112"/>
  <c r="R17" i="112"/>
  <c r="Q32" i="112"/>
  <c r="H32" i="112"/>
  <c r="K32" i="112"/>
  <c r="R55" i="106"/>
  <c r="R57" i="108"/>
  <c r="R48" i="108"/>
  <c r="F32" i="109"/>
  <c r="R28" i="116"/>
  <c r="O32" i="116"/>
  <c r="G32" i="116"/>
  <c r="R56" i="106"/>
  <c r="R61" i="107"/>
  <c r="R46" i="107"/>
  <c r="L67" i="107"/>
  <c r="H67" i="107"/>
  <c r="R27" i="107"/>
  <c r="R19" i="107"/>
  <c r="K32" i="107"/>
  <c r="R51" i="108"/>
  <c r="R63" i="109"/>
  <c r="R52" i="109"/>
  <c r="Y52" i="109"/>
  <c r="R46" i="109"/>
  <c r="R29" i="109"/>
  <c r="Y29" i="109"/>
  <c r="R13" i="109"/>
  <c r="Y13" i="109"/>
  <c r="R66" i="115"/>
  <c r="R31" i="115"/>
  <c r="R30" i="115"/>
  <c r="R25" i="115"/>
  <c r="R65" i="117"/>
  <c r="K32" i="117"/>
  <c r="R11" i="117"/>
  <c r="C32" i="117"/>
  <c r="R6" i="117"/>
  <c r="R57" i="107"/>
  <c r="R41" i="107"/>
  <c r="R61" i="108"/>
  <c r="Q67" i="108"/>
  <c r="H67" i="108"/>
  <c r="P32" i="108"/>
  <c r="G32" i="108"/>
  <c r="Q32" i="108"/>
  <c r="H32" i="108"/>
  <c r="R66" i="111"/>
  <c r="R61" i="111"/>
  <c r="R53" i="111"/>
  <c r="L32" i="112"/>
  <c r="R59" i="106"/>
  <c r="R50" i="107"/>
  <c r="R31" i="107"/>
  <c r="R9" i="107"/>
  <c r="R56" i="108"/>
  <c r="R43" i="108"/>
  <c r="R28" i="108"/>
  <c r="R20" i="108"/>
  <c r="R12" i="108"/>
  <c r="R12" i="109"/>
  <c r="Y12" i="109"/>
  <c r="R27" i="116"/>
  <c r="R17" i="116"/>
  <c r="R12" i="116"/>
  <c r="K32" i="116"/>
  <c r="R11" i="116"/>
  <c r="C32" i="116"/>
  <c r="P67" i="107"/>
  <c r="K67" i="107"/>
  <c r="R22" i="107"/>
  <c r="R13" i="107"/>
  <c r="N32" i="107"/>
  <c r="C67" i="108"/>
  <c r="H32" i="65"/>
  <c r="R52" i="108"/>
  <c r="R44" i="108"/>
  <c r="R40" i="108"/>
  <c r="M67" i="108"/>
  <c r="I67" i="108"/>
  <c r="E67" i="108"/>
  <c r="I32" i="65"/>
  <c r="B32" i="108"/>
  <c r="R24" i="108"/>
  <c r="R16" i="108"/>
  <c r="R8" i="108"/>
  <c r="R6" i="108"/>
  <c r="R42" i="109"/>
  <c r="Y42" i="109"/>
  <c r="C32" i="109"/>
  <c r="R20" i="109"/>
  <c r="Y20" i="109"/>
  <c r="R15" i="109"/>
  <c r="Y15" i="109"/>
  <c r="J67" i="111"/>
  <c r="R65" i="111"/>
  <c r="B67" i="111"/>
  <c r="Y33" i="121"/>
  <c r="R87" i="112"/>
  <c r="R50" i="109"/>
  <c r="B67" i="109"/>
  <c r="R59" i="110"/>
  <c r="R30" i="110"/>
  <c r="R64" i="111"/>
  <c r="R63" i="111"/>
  <c r="R59" i="111"/>
  <c r="R55" i="111"/>
  <c r="R51" i="111"/>
  <c r="R47" i="111"/>
  <c r="Q67" i="111"/>
  <c r="L67" i="111"/>
  <c r="H67" i="111"/>
  <c r="D67" i="111"/>
  <c r="I67" i="111"/>
  <c r="R50" i="112"/>
  <c r="R46" i="112"/>
  <c r="M67" i="112"/>
  <c r="I67" i="112"/>
  <c r="R46" i="114"/>
  <c r="F67" i="114"/>
  <c r="R65" i="115"/>
  <c r="P67" i="115"/>
  <c r="H67" i="115"/>
  <c r="I32" i="115"/>
  <c r="R55" i="116"/>
  <c r="Q67" i="116"/>
  <c r="M67" i="116"/>
  <c r="I67" i="116"/>
  <c r="R40" i="116"/>
  <c r="O67" i="117"/>
  <c r="G67" i="117"/>
  <c r="R42" i="117"/>
  <c r="R10" i="108"/>
  <c r="R25" i="109"/>
  <c r="Y25" i="109"/>
  <c r="R17" i="109"/>
  <c r="Y17" i="109"/>
  <c r="R62" i="111"/>
  <c r="R58" i="111"/>
  <c r="R49" i="112"/>
  <c r="R29" i="112"/>
  <c r="R25" i="112"/>
  <c r="G67" i="113"/>
  <c r="E32" i="113"/>
  <c r="N32" i="113"/>
  <c r="B32" i="113"/>
  <c r="R23" i="114"/>
  <c r="P32" i="114"/>
  <c r="R63" i="115"/>
  <c r="R8" i="110"/>
  <c r="R60" i="111"/>
  <c r="R56" i="111"/>
  <c r="R52" i="111"/>
  <c r="R48" i="111"/>
  <c r="P67" i="111"/>
  <c r="K67" i="111"/>
  <c r="G67" i="111"/>
  <c r="R44" i="111"/>
  <c r="C67" i="111"/>
  <c r="N32" i="65"/>
  <c r="R64" i="112"/>
  <c r="R66" i="112"/>
  <c r="N67" i="112"/>
  <c r="J67" i="112"/>
  <c r="E67" i="112"/>
  <c r="R28" i="113"/>
  <c r="G32" i="113"/>
  <c r="C32" i="113"/>
  <c r="R45" i="114"/>
  <c r="G67" i="114"/>
  <c r="R40" i="114"/>
  <c r="R22" i="114"/>
  <c r="R17" i="114"/>
  <c r="Q32" i="114"/>
  <c r="E32" i="114"/>
  <c r="R6" i="114"/>
  <c r="F32" i="114"/>
  <c r="B32" i="114"/>
  <c r="R61" i="115"/>
  <c r="R17" i="115"/>
  <c r="R65" i="116"/>
  <c r="R54" i="116"/>
  <c r="R49" i="116"/>
  <c r="R48" i="116"/>
  <c r="R26" i="116"/>
  <c r="R10" i="116"/>
  <c r="N32" i="116"/>
  <c r="F32" i="116"/>
  <c r="J32" i="117"/>
  <c r="R54" i="111"/>
  <c r="R50" i="111"/>
  <c r="R46" i="111"/>
  <c r="R43" i="111"/>
  <c r="R93" i="112"/>
  <c r="R41" i="112"/>
  <c r="R26" i="112"/>
  <c r="R22" i="112"/>
  <c r="R18" i="112"/>
  <c r="R14" i="112"/>
  <c r="R30" i="114"/>
  <c r="R25" i="114"/>
  <c r="R24" i="114"/>
  <c r="R9" i="114"/>
  <c r="R8" i="114"/>
  <c r="C32" i="114"/>
  <c r="K67" i="115"/>
  <c r="R45" i="115"/>
  <c r="L67" i="115"/>
  <c r="K32" i="115"/>
  <c r="G32" i="115"/>
  <c r="R62" i="116"/>
  <c r="R57" i="116"/>
  <c r="R56" i="116"/>
  <c r="R46" i="116"/>
  <c r="J67" i="116"/>
  <c r="P67" i="116"/>
  <c r="L67" i="116"/>
  <c r="H67" i="116"/>
  <c r="R41" i="116"/>
  <c r="R18" i="116"/>
  <c r="R66" i="117"/>
  <c r="J67" i="117"/>
  <c r="R14" i="117"/>
  <c r="F67" i="112"/>
  <c r="B67" i="112"/>
  <c r="AA33" i="121"/>
  <c r="R42" i="112"/>
  <c r="R31" i="112"/>
  <c r="R5" i="113"/>
  <c r="R31" i="114"/>
  <c r="R15" i="114"/>
  <c r="R53" i="115"/>
  <c r="R9" i="115"/>
  <c r="M32" i="115"/>
  <c r="E32" i="115"/>
  <c r="N32" i="115"/>
  <c r="F32" i="115"/>
  <c r="R63" i="116"/>
  <c r="R47" i="116"/>
  <c r="K67" i="116"/>
  <c r="R42" i="116"/>
  <c r="R25" i="116"/>
  <c r="R20" i="116"/>
  <c r="R19" i="116"/>
  <c r="R9" i="116"/>
  <c r="R22" i="117"/>
  <c r="R97" i="112"/>
  <c r="R81" i="112"/>
  <c r="R25" i="113"/>
  <c r="P67" i="114"/>
  <c r="R42" i="114"/>
  <c r="R27" i="114"/>
  <c r="R19" i="114"/>
  <c r="R11" i="114"/>
  <c r="R57" i="115"/>
  <c r="R49" i="115"/>
  <c r="R41" i="115"/>
  <c r="R18" i="115"/>
  <c r="R66" i="116"/>
  <c r="R59" i="116"/>
  <c r="R51" i="116"/>
  <c r="R43" i="116"/>
  <c r="R30" i="116"/>
  <c r="R22" i="116"/>
  <c r="R14" i="116"/>
  <c r="P32" i="116"/>
  <c r="L32" i="116"/>
  <c r="H32" i="116"/>
  <c r="R6" i="116"/>
  <c r="D32" i="116"/>
  <c r="Q32" i="116"/>
  <c r="M32" i="116"/>
  <c r="I32" i="116"/>
  <c r="E32" i="116"/>
  <c r="R52" i="117"/>
  <c r="R43" i="114"/>
  <c r="R28" i="114"/>
  <c r="R20" i="114"/>
  <c r="N67" i="115"/>
  <c r="J67" i="115"/>
  <c r="F67" i="115"/>
  <c r="R13" i="115"/>
  <c r="P32" i="115"/>
  <c r="L32" i="115"/>
  <c r="H32" i="115"/>
  <c r="D32" i="115"/>
  <c r="R60" i="116"/>
  <c r="R52" i="116"/>
  <c r="R44" i="116"/>
  <c r="R31" i="116"/>
  <c r="R23" i="116"/>
  <c r="R15" i="116"/>
  <c r="R7" i="116"/>
  <c r="P67" i="117"/>
  <c r="L67" i="117"/>
  <c r="H67" i="117"/>
  <c r="R41" i="117"/>
  <c r="Q67" i="117"/>
  <c r="M67" i="117"/>
  <c r="I67" i="117"/>
  <c r="R26" i="117"/>
  <c r="R18" i="117"/>
  <c r="AR151" i="63"/>
  <c r="AR150" i="63"/>
  <c r="AR121" i="63"/>
  <c r="AR120" i="63"/>
  <c r="AR91" i="63"/>
  <c r="AR90" i="63"/>
  <c r="AR61" i="63"/>
  <c r="AR31" i="63"/>
  <c r="AR30" i="63"/>
  <c r="V33" i="122"/>
  <c r="AF162" i="73"/>
  <c r="B587" i="73" s="1"/>
  <c r="Q31" i="122"/>
  <c r="D27" i="124"/>
  <c r="E16" i="124"/>
  <c r="E7" i="124"/>
  <c r="E25" i="124"/>
  <c r="AG148" i="73"/>
  <c r="AG145" i="73"/>
  <c r="C570" i="73" s="1"/>
  <c r="AG169" i="73"/>
  <c r="C594" i="73" s="1"/>
  <c r="E10" i="124"/>
  <c r="E26" i="124"/>
  <c r="E19" i="124"/>
  <c r="E11" i="124"/>
  <c r="AG163" i="73"/>
  <c r="C588" i="73"/>
  <c r="D8" i="124"/>
  <c r="E6" i="124"/>
  <c r="E9" i="125" s="1"/>
  <c r="E8" i="124"/>
  <c r="E13" i="124"/>
  <c r="AG156" i="73"/>
  <c r="D21" i="124"/>
  <c r="D29" i="124"/>
  <c r="AG161" i="73"/>
  <c r="C586" i="73" s="1"/>
  <c r="E14" i="124"/>
  <c r="E23" i="124"/>
  <c r="H14" i="123"/>
  <c r="H22" i="123"/>
  <c r="I30" i="123"/>
  <c r="J26" i="123"/>
  <c r="K18" i="123"/>
  <c r="L19" i="123"/>
  <c r="L27" i="123"/>
  <c r="L13" i="123"/>
  <c r="L7" i="123"/>
  <c r="I12" i="123"/>
  <c r="H26" i="123"/>
  <c r="H25" i="123"/>
  <c r="I9" i="123"/>
  <c r="I17" i="123"/>
  <c r="T32" i="108"/>
  <c r="I11" i="123"/>
  <c r="I31" i="123" s="1"/>
  <c r="I33" i="123" s="1"/>
  <c r="I35" i="123" s="1"/>
  <c r="L8" i="123"/>
  <c r="L26" i="123"/>
  <c r="L18" i="123"/>
  <c r="I14" i="123"/>
  <c r="I21" i="123"/>
  <c r="M14" i="123"/>
  <c r="H21" i="123"/>
  <c r="X12" i="106"/>
  <c r="G10" i="126"/>
  <c r="H13" i="123"/>
  <c r="H28" i="123"/>
  <c r="H8" i="123"/>
  <c r="I15" i="123"/>
  <c r="J4" i="123"/>
  <c r="J12" i="123"/>
  <c r="J19" i="123"/>
  <c r="J20" i="123"/>
  <c r="J6" i="123"/>
  <c r="L29" i="123"/>
  <c r="L11" i="123"/>
  <c r="L21" i="123"/>
  <c r="L20" i="123"/>
  <c r="L28" i="123"/>
  <c r="L16" i="123"/>
  <c r="H18" i="125" s="1"/>
  <c r="L5" i="123"/>
  <c r="I4" i="123"/>
  <c r="I26" i="123"/>
  <c r="I19" i="123"/>
  <c r="H17" i="123"/>
  <c r="M11" i="123"/>
  <c r="H16" i="123"/>
  <c r="H5" i="123"/>
  <c r="H12" i="123"/>
  <c r="H18" i="123"/>
  <c r="I5" i="123"/>
  <c r="I13" i="123"/>
  <c r="I20" i="123"/>
  <c r="I27" i="123"/>
  <c r="J16" i="123"/>
  <c r="J30" i="123"/>
  <c r="F32" i="125" s="1"/>
  <c r="J9" i="123"/>
  <c r="J15" i="123"/>
  <c r="L4" i="123"/>
  <c r="L14" i="123"/>
  <c r="L6" i="123"/>
  <c r="L23" i="123"/>
  <c r="L17" i="123"/>
  <c r="I29" i="123"/>
  <c r="E31" i="125" s="1"/>
  <c r="M23" i="123"/>
  <c r="M9" i="123"/>
  <c r="X15" i="106"/>
  <c r="G15" i="126"/>
  <c r="X40" i="106"/>
  <c r="S51" i="106"/>
  <c r="W40" i="106"/>
  <c r="I30" i="65"/>
  <c r="V31" i="108"/>
  <c r="AH133" i="73"/>
  <c r="D513" i="73" s="1"/>
  <c r="R40" i="106"/>
  <c r="AE32" i="121"/>
  <c r="Y33" i="122"/>
  <c r="Q32" i="65"/>
  <c r="W33" i="122"/>
  <c r="O32" i="65"/>
  <c r="H13" i="124"/>
  <c r="H15" i="124"/>
  <c r="H16" i="124"/>
  <c r="Z33" i="121"/>
  <c r="H3" i="124"/>
  <c r="H7" i="124"/>
  <c r="H4" i="124"/>
  <c r="H7" i="125" s="1"/>
  <c r="F25" i="124"/>
  <c r="F28" i="125" s="1"/>
  <c r="F28" i="124"/>
  <c r="F10" i="124"/>
  <c r="F20" i="124"/>
  <c r="F15" i="124"/>
  <c r="Q33" i="122"/>
  <c r="CX3" i="63"/>
  <c r="AF64" i="73"/>
  <c r="B350" i="73" s="1"/>
  <c r="R52" i="112"/>
  <c r="R15" i="106"/>
  <c r="CZ6" i="63"/>
  <c r="DD6" i="63"/>
  <c r="GD6" i="63"/>
  <c r="H8" i="73"/>
  <c r="H301" i="73" s="1"/>
  <c r="DH6" i="63"/>
  <c r="DA6" i="63"/>
  <c r="DE6" i="63"/>
  <c r="CY6" i="63"/>
  <c r="DC6" i="63"/>
  <c r="DG6" i="63"/>
  <c r="CX6" i="63"/>
  <c r="FX6" i="63"/>
  <c r="B8" i="73"/>
  <c r="B301" i="73" s="1"/>
  <c r="DF6" i="63"/>
  <c r="DB6" i="63"/>
  <c r="CZ10" i="63"/>
  <c r="DD10" i="63"/>
  <c r="DA10" i="63"/>
  <c r="DE10" i="63"/>
  <c r="CY10" i="63"/>
  <c r="DC10" i="63"/>
  <c r="DG10" i="63"/>
  <c r="DH10" i="63"/>
  <c r="CX10" i="63"/>
  <c r="DB10" i="63"/>
  <c r="DF10" i="63"/>
  <c r="DA18" i="63"/>
  <c r="DE18" i="63"/>
  <c r="CY18" i="63"/>
  <c r="DC18" i="63"/>
  <c r="DG18" i="63"/>
  <c r="DD18" i="63"/>
  <c r="CZ18" i="63"/>
  <c r="DH18" i="63"/>
  <c r="DB18" i="63"/>
  <c r="CX18" i="63"/>
  <c r="DF18" i="63"/>
  <c r="CY26" i="63"/>
  <c r="DC26" i="63"/>
  <c r="DG26" i="63"/>
  <c r="DE26" i="63"/>
  <c r="DA26" i="63"/>
  <c r="GA26" i="63"/>
  <c r="E28" i="73"/>
  <c r="E321" i="73" s="1"/>
  <c r="DB26" i="63"/>
  <c r="DH26" i="63"/>
  <c r="CX26" i="63"/>
  <c r="DD26" i="63"/>
  <c r="CZ26" i="63"/>
  <c r="DF26" i="63"/>
  <c r="CX4" i="63"/>
  <c r="DB4" i="63"/>
  <c r="DF4" i="63"/>
  <c r="GF4" i="63"/>
  <c r="J6" i="73"/>
  <c r="CY4" i="63"/>
  <c r="FY4" i="63"/>
  <c r="C6" i="73"/>
  <c r="C299" i="73" s="1"/>
  <c r="DC4" i="63"/>
  <c r="DG4" i="63"/>
  <c r="DA4" i="63"/>
  <c r="DE4" i="63"/>
  <c r="GE4" i="63"/>
  <c r="I6" i="73"/>
  <c r="I299" i="73" s="1"/>
  <c r="DD4" i="63"/>
  <c r="DH4" i="63"/>
  <c r="CZ4" i="63"/>
  <c r="FZ4" i="63"/>
  <c r="D6" i="73"/>
  <c r="D299" i="73" s="1"/>
  <c r="CY5" i="63"/>
  <c r="DC5" i="63"/>
  <c r="GC5" i="63"/>
  <c r="G7" i="73"/>
  <c r="G300" i="73" s="1"/>
  <c r="DG5" i="63"/>
  <c r="CZ5" i="63"/>
  <c r="DD5" i="63"/>
  <c r="GD5" i="63"/>
  <c r="H7" i="73"/>
  <c r="DH5" i="63"/>
  <c r="CX5" i="63"/>
  <c r="DB5" i="63"/>
  <c r="DF5" i="63"/>
  <c r="DA5" i="63"/>
  <c r="DE5" i="63"/>
  <c r="DC9" i="63"/>
  <c r="DG9" i="63"/>
  <c r="CZ9" i="63"/>
  <c r="DD9" i="63"/>
  <c r="DH9" i="63"/>
  <c r="GH9" i="63"/>
  <c r="L11" i="73"/>
  <c r="CX9" i="63"/>
  <c r="FX9" i="63"/>
  <c r="B11" i="73"/>
  <c r="B304" i="73" s="1"/>
  <c r="DB9" i="63"/>
  <c r="DF9" i="63"/>
  <c r="CY9" i="63"/>
  <c r="FY9" i="63"/>
  <c r="C11" i="73"/>
  <c r="DA9" i="63"/>
  <c r="DE9" i="63"/>
  <c r="CZ13" i="63"/>
  <c r="DD13" i="63"/>
  <c r="GD13" i="63"/>
  <c r="H15" i="73"/>
  <c r="H308" i="73" s="1"/>
  <c r="DH13" i="63"/>
  <c r="CX13" i="63"/>
  <c r="DB13" i="63"/>
  <c r="DF13" i="63"/>
  <c r="DE13" i="63"/>
  <c r="CY13" i="63"/>
  <c r="DG13" i="63"/>
  <c r="DA13" i="63"/>
  <c r="DC13" i="63"/>
  <c r="GC13" i="63"/>
  <c r="G15" i="73"/>
  <c r="CZ17" i="63"/>
  <c r="DD17" i="63"/>
  <c r="DH17" i="63"/>
  <c r="GH17" i="63"/>
  <c r="L19" i="73"/>
  <c r="L312" i="73" s="1"/>
  <c r="CX17" i="63"/>
  <c r="FX17" i="63"/>
  <c r="B19" i="73"/>
  <c r="B312" i="73" s="1"/>
  <c r="DB17" i="63"/>
  <c r="DF17" i="63"/>
  <c r="DA17" i="63"/>
  <c r="DC17" i="63"/>
  <c r="DE17" i="63"/>
  <c r="CY17" i="63"/>
  <c r="FY17" i="63"/>
  <c r="C19" i="73"/>
  <c r="DG17" i="63"/>
  <c r="CX21" i="63"/>
  <c r="FX21" i="63"/>
  <c r="B23" i="73"/>
  <c r="B316" i="73" s="1"/>
  <c r="DB21" i="63"/>
  <c r="DF21" i="63"/>
  <c r="DA21" i="63"/>
  <c r="GA21" i="63"/>
  <c r="E23" i="73"/>
  <c r="E316" i="73" s="1"/>
  <c r="DH21" i="63"/>
  <c r="GH21" i="63"/>
  <c r="L23" i="73"/>
  <c r="L316" i="73" s="1"/>
  <c r="CY21" i="63"/>
  <c r="DD21" i="63"/>
  <c r="CZ21" i="63"/>
  <c r="DE21" i="63"/>
  <c r="DG21" i="63"/>
  <c r="GG21" i="63"/>
  <c r="K23" i="73"/>
  <c r="DC21" i="63"/>
  <c r="CX25" i="63"/>
  <c r="FX25" i="63"/>
  <c r="B27" i="73"/>
  <c r="DB25" i="63"/>
  <c r="GB25" i="63"/>
  <c r="F27" i="73"/>
  <c r="DF25" i="63"/>
  <c r="DG25" i="63"/>
  <c r="GG25" i="63"/>
  <c r="K27" i="73"/>
  <c r="K320" i="73" s="1"/>
  <c r="CZ25" i="63"/>
  <c r="DC25" i="63"/>
  <c r="GC25" i="63"/>
  <c r="G27" i="73"/>
  <c r="DH25" i="63"/>
  <c r="CY25" i="63"/>
  <c r="DD25" i="63"/>
  <c r="DE25" i="63"/>
  <c r="DA25" i="63"/>
  <c r="GA25" i="63"/>
  <c r="E27" i="73"/>
  <c r="E320" i="73" s="1"/>
  <c r="CX29" i="63"/>
  <c r="DB29" i="63"/>
  <c r="GB29" i="63"/>
  <c r="F31" i="73"/>
  <c r="F324" i="73" s="1"/>
  <c r="DF29" i="63"/>
  <c r="DE29" i="63"/>
  <c r="GE29" i="63"/>
  <c r="I31" i="73"/>
  <c r="I324" i="73" s="1"/>
  <c r="CY29" i="63"/>
  <c r="CZ29" i="63"/>
  <c r="DA29" i="63"/>
  <c r="GA29" i="63"/>
  <c r="E31" i="73"/>
  <c r="E324" i="73" s="1"/>
  <c r="DG29" i="63"/>
  <c r="DC29" i="63"/>
  <c r="DH29" i="63"/>
  <c r="DD29" i="63"/>
  <c r="GD29" i="63"/>
  <c r="H31" i="73"/>
  <c r="DA14" i="63"/>
  <c r="GA14" i="63"/>
  <c r="E16" i="73"/>
  <c r="DE14" i="63"/>
  <c r="CY14" i="63"/>
  <c r="DC14" i="63"/>
  <c r="DG14" i="63"/>
  <c r="GG14" i="63"/>
  <c r="K16" i="73"/>
  <c r="CZ14" i="63"/>
  <c r="DD14" i="63"/>
  <c r="CX14" i="63"/>
  <c r="DF14" i="63"/>
  <c r="DH14" i="63"/>
  <c r="DB14" i="63"/>
  <c r="DG3" i="63"/>
  <c r="DC3" i="63"/>
  <c r="CY3" i="63"/>
  <c r="DH3" i="63"/>
  <c r="DA3" i="63"/>
  <c r="DE3" i="63"/>
  <c r="GE3" i="63"/>
  <c r="I5" i="73"/>
  <c r="CZ3" i="63"/>
  <c r="DD3" i="63"/>
  <c r="GD3" i="63"/>
  <c r="H5" i="73"/>
  <c r="H298" i="73" s="1"/>
  <c r="DB3" i="63"/>
  <c r="DF3" i="63"/>
  <c r="DA7" i="63"/>
  <c r="DE7" i="63"/>
  <c r="CX7" i="63"/>
  <c r="DB7" i="63"/>
  <c r="DF7" i="63"/>
  <c r="CZ7" i="63"/>
  <c r="DD7" i="63"/>
  <c r="DH7" i="63"/>
  <c r="CY7" i="63"/>
  <c r="DC7" i="63"/>
  <c r="DG7" i="63"/>
  <c r="DA11" i="63"/>
  <c r="CX11" i="63"/>
  <c r="DB11" i="63"/>
  <c r="DF11" i="63"/>
  <c r="GF11" i="63"/>
  <c r="J13" i="73"/>
  <c r="J306" i="73" s="1"/>
  <c r="CZ11" i="63"/>
  <c r="DD11" i="63"/>
  <c r="DH11" i="63"/>
  <c r="DE11" i="63"/>
  <c r="GE11" i="63"/>
  <c r="I13" i="73"/>
  <c r="I306" i="73" s="1"/>
  <c r="DG11" i="63"/>
  <c r="CY11" i="63"/>
  <c r="DC11" i="63"/>
  <c r="CX15" i="63"/>
  <c r="DB15" i="63"/>
  <c r="DF15" i="63"/>
  <c r="CZ15" i="63"/>
  <c r="DD15" i="63"/>
  <c r="DH15" i="63"/>
  <c r="DG15" i="63"/>
  <c r="DA15" i="63"/>
  <c r="DC15" i="63"/>
  <c r="DE15" i="63"/>
  <c r="CY15" i="63"/>
  <c r="CX19" i="63"/>
  <c r="DB19" i="63"/>
  <c r="CZ19" i="63"/>
  <c r="DD19" i="63"/>
  <c r="DH19" i="63"/>
  <c r="DG19" i="63"/>
  <c r="DC19" i="63"/>
  <c r="DE19" i="63"/>
  <c r="CY19" i="63"/>
  <c r="DF19" i="63"/>
  <c r="DA19" i="63"/>
  <c r="CZ23" i="63"/>
  <c r="DD23" i="63"/>
  <c r="GD23" i="63"/>
  <c r="H25" i="73"/>
  <c r="DH23" i="63"/>
  <c r="DA23" i="63"/>
  <c r="DB23" i="63"/>
  <c r="CX23" i="63"/>
  <c r="DC23" i="63"/>
  <c r="CY23" i="63"/>
  <c r="DE23" i="63"/>
  <c r="DF23" i="63"/>
  <c r="DG23" i="63"/>
  <c r="CZ27" i="63"/>
  <c r="DD27" i="63"/>
  <c r="GD27" i="63"/>
  <c r="H29" i="73"/>
  <c r="DH27" i="63"/>
  <c r="DA27" i="63"/>
  <c r="DB27" i="63"/>
  <c r="DG27" i="63"/>
  <c r="CX27" i="63"/>
  <c r="DC27" i="63"/>
  <c r="CY27" i="63"/>
  <c r="DE27" i="63"/>
  <c r="DF27" i="63"/>
  <c r="CY22" i="63"/>
  <c r="DC22" i="63"/>
  <c r="DG22" i="63"/>
  <c r="DH22" i="63"/>
  <c r="DA22" i="63"/>
  <c r="CX22" i="63"/>
  <c r="FX22" i="63"/>
  <c r="B24" i="73"/>
  <c r="B317" i="73" s="1"/>
  <c r="DD22" i="63"/>
  <c r="CZ22" i="63"/>
  <c r="DE22" i="63"/>
  <c r="DF22" i="63"/>
  <c r="DB22" i="63"/>
  <c r="CX8" i="63"/>
  <c r="DB8" i="63"/>
  <c r="DF8" i="63"/>
  <c r="CY8" i="63"/>
  <c r="DC8" i="63"/>
  <c r="DG8" i="63"/>
  <c r="DA8" i="63"/>
  <c r="DE8" i="63"/>
  <c r="DH8" i="63"/>
  <c r="CZ8" i="63"/>
  <c r="FZ8" i="63"/>
  <c r="D10" i="73"/>
  <c r="D303" i="73" s="1"/>
  <c r="DD8" i="63"/>
  <c r="CX12" i="63"/>
  <c r="CY12" i="63"/>
  <c r="FY12" i="63"/>
  <c r="C14" i="73"/>
  <c r="DC12" i="63"/>
  <c r="DG12" i="63"/>
  <c r="DA12" i="63"/>
  <c r="DE12" i="63"/>
  <c r="GE12" i="63"/>
  <c r="I14" i="73"/>
  <c r="CZ12" i="63"/>
  <c r="FZ12" i="63"/>
  <c r="D14" i="73"/>
  <c r="DB12" i="63"/>
  <c r="DD12" i="63"/>
  <c r="GD12" i="63"/>
  <c r="H14" i="73"/>
  <c r="H307" i="73" s="1"/>
  <c r="DF12" i="63"/>
  <c r="GF12" i="63"/>
  <c r="J14" i="73"/>
  <c r="DH12" i="63"/>
  <c r="CY16" i="63"/>
  <c r="FY16" i="63"/>
  <c r="C18" i="73"/>
  <c r="DC16" i="63"/>
  <c r="DG16" i="63"/>
  <c r="DA16" i="63"/>
  <c r="DE16" i="63"/>
  <c r="GE16" i="63"/>
  <c r="I18" i="73"/>
  <c r="I311" i="73" s="1"/>
  <c r="DB16" i="63"/>
  <c r="CX16" i="63"/>
  <c r="DF16" i="63"/>
  <c r="CZ16" i="63"/>
  <c r="FZ16" i="63"/>
  <c r="D18" i="73"/>
  <c r="DH16" i="63"/>
  <c r="DD16" i="63"/>
  <c r="DA20" i="63"/>
  <c r="DE20" i="63"/>
  <c r="DC20" i="63"/>
  <c r="DH20" i="63"/>
  <c r="CY20" i="63"/>
  <c r="DD20" i="63"/>
  <c r="GD20" i="63"/>
  <c r="H22" i="73"/>
  <c r="H315" i="73" s="1"/>
  <c r="CZ20" i="63"/>
  <c r="FZ20" i="63"/>
  <c r="D22" i="73"/>
  <c r="D315" i="73" s="1"/>
  <c r="DF20" i="63"/>
  <c r="DB20" i="63"/>
  <c r="DG20" i="63"/>
  <c r="CX20" i="63"/>
  <c r="DA24" i="63"/>
  <c r="DE24" i="63"/>
  <c r="DB24" i="63"/>
  <c r="CZ24" i="63"/>
  <c r="FZ24" i="63"/>
  <c r="D26" i="73"/>
  <c r="D319" i="73" s="1"/>
  <c r="DG24" i="63"/>
  <c r="CX24" i="63"/>
  <c r="DC24" i="63"/>
  <c r="GC24" i="63"/>
  <c r="G26" i="73"/>
  <c r="DH24" i="63"/>
  <c r="CY24" i="63"/>
  <c r="DD24" i="63"/>
  <c r="DF24" i="63"/>
  <c r="GF24" i="63"/>
  <c r="J26" i="73"/>
  <c r="DA28" i="63"/>
  <c r="DE28" i="63"/>
  <c r="CZ28" i="63"/>
  <c r="CY28" i="63"/>
  <c r="DB28" i="63"/>
  <c r="DG28" i="63"/>
  <c r="CX28" i="63"/>
  <c r="DC28" i="63"/>
  <c r="DH28" i="63"/>
  <c r="DD28" i="63"/>
  <c r="DF28" i="63"/>
  <c r="CX164" i="63"/>
  <c r="DC164" i="63"/>
  <c r="DG164" i="63"/>
  <c r="CY164" i="63"/>
  <c r="DA164" i="63"/>
  <c r="DE164" i="63"/>
  <c r="DF164" i="63"/>
  <c r="CZ164" i="63"/>
  <c r="DD164" i="63"/>
  <c r="DB164" i="63"/>
  <c r="DH164" i="63"/>
  <c r="CY176" i="63"/>
  <c r="DG176" i="63"/>
  <c r="CX176" i="63"/>
  <c r="DC176" i="63"/>
  <c r="CZ176" i="63"/>
  <c r="DE176" i="63"/>
  <c r="DH176" i="63"/>
  <c r="DF176" i="63"/>
  <c r="DA176" i="63"/>
  <c r="DD176" i="63"/>
  <c r="DB176" i="63"/>
  <c r="GB176" i="63"/>
  <c r="F200" i="73"/>
  <c r="F726" i="73" s="1"/>
  <c r="CX155" i="63"/>
  <c r="FX155" i="63"/>
  <c r="B179" i="73"/>
  <c r="DC155" i="63"/>
  <c r="GC155" i="63"/>
  <c r="G179" i="73"/>
  <c r="G705" i="73" s="1"/>
  <c r="CY155" i="63"/>
  <c r="FY155" i="63"/>
  <c r="C179" i="73"/>
  <c r="C705" i="73" s="1"/>
  <c r="DG155" i="63"/>
  <c r="GG155" i="63"/>
  <c r="K179" i="73"/>
  <c r="DD155" i="63"/>
  <c r="GD155" i="63"/>
  <c r="H179" i="73"/>
  <c r="DF155" i="63"/>
  <c r="CZ155" i="63"/>
  <c r="DH155" i="63"/>
  <c r="GH155" i="63"/>
  <c r="L179" i="73"/>
  <c r="L705" i="73" s="1"/>
  <c r="DE155" i="63"/>
  <c r="DB155" i="63"/>
  <c r="GB155" i="63"/>
  <c r="F179" i="73"/>
  <c r="F705" i="73" s="1"/>
  <c r="DA155" i="63"/>
  <c r="GA155" i="63"/>
  <c r="E179" i="73"/>
  <c r="CX159" i="63"/>
  <c r="FX159" i="63"/>
  <c r="B183" i="73"/>
  <c r="B709" i="73" s="1"/>
  <c r="DC159" i="63"/>
  <c r="GC159" i="63"/>
  <c r="G183" i="73"/>
  <c r="CY159" i="63"/>
  <c r="FY159" i="63"/>
  <c r="C183" i="73"/>
  <c r="C709" i="73" s="1"/>
  <c r="DG159" i="63"/>
  <c r="GG159" i="63"/>
  <c r="K183" i="73"/>
  <c r="K709" i="73" s="1"/>
  <c r="DB159" i="63"/>
  <c r="GB159" i="63"/>
  <c r="F183" i="73"/>
  <c r="F709" i="73" s="1"/>
  <c r="DD159" i="63"/>
  <c r="GD159" i="63"/>
  <c r="H183" i="73"/>
  <c r="DF159" i="63"/>
  <c r="DH159" i="63"/>
  <c r="GH159" i="63"/>
  <c r="L183" i="73"/>
  <c r="L709" i="73" s="1"/>
  <c r="DE159" i="63"/>
  <c r="CZ159" i="63"/>
  <c r="DA159" i="63"/>
  <c r="GA159" i="63"/>
  <c r="E183" i="73"/>
  <c r="E709" i="73" s="1"/>
  <c r="CX163" i="63"/>
  <c r="FX163" i="63"/>
  <c r="B187" i="73"/>
  <c r="B713" i="73" s="1"/>
  <c r="CY163" i="63"/>
  <c r="FY163" i="63"/>
  <c r="C187" i="73"/>
  <c r="DG163" i="63"/>
  <c r="GG163" i="63"/>
  <c r="K187" i="73"/>
  <c r="K713" i="73" s="1"/>
  <c r="DC163" i="63"/>
  <c r="GC163" i="63"/>
  <c r="G187" i="73"/>
  <c r="G713" i="73" s="1"/>
  <c r="CZ163" i="63"/>
  <c r="DD163" i="63"/>
  <c r="GD163" i="63"/>
  <c r="H187" i="73"/>
  <c r="H713" i="73" s="1"/>
  <c r="DA163" i="63"/>
  <c r="GA163" i="63"/>
  <c r="E187" i="73"/>
  <c r="DF163" i="63"/>
  <c r="DH163" i="63"/>
  <c r="GH163" i="63"/>
  <c r="L187" i="73"/>
  <c r="DE163" i="63"/>
  <c r="DB163" i="63"/>
  <c r="GB163" i="63"/>
  <c r="F187" i="73"/>
  <c r="CX167" i="63"/>
  <c r="FX167" i="63"/>
  <c r="B191" i="73"/>
  <c r="DC167" i="63"/>
  <c r="GC167" i="63"/>
  <c r="G191" i="73"/>
  <c r="G717" i="73" s="1"/>
  <c r="CY167" i="63"/>
  <c r="FY167" i="63"/>
  <c r="C191" i="73"/>
  <c r="C717" i="73" s="1"/>
  <c r="DG167" i="63"/>
  <c r="GG167" i="63"/>
  <c r="K191" i="73"/>
  <c r="CZ167" i="63"/>
  <c r="DA167" i="63"/>
  <c r="GA167" i="63"/>
  <c r="E191" i="73"/>
  <c r="DF167" i="63"/>
  <c r="DD167" i="63"/>
  <c r="GD167" i="63"/>
  <c r="H191" i="73"/>
  <c r="DH167" i="63"/>
  <c r="GH167" i="63"/>
  <c r="L191" i="73"/>
  <c r="L717" i="73" s="1"/>
  <c r="DE167" i="63"/>
  <c r="DB167" i="63"/>
  <c r="GB167" i="63"/>
  <c r="F191" i="73"/>
  <c r="CX171" i="63"/>
  <c r="FX171" i="63"/>
  <c r="B195" i="73"/>
  <c r="CY171" i="63"/>
  <c r="FY171" i="63"/>
  <c r="C195" i="73"/>
  <c r="C721" i="73" s="1"/>
  <c r="DG171" i="63"/>
  <c r="GG171" i="63"/>
  <c r="K195" i="73"/>
  <c r="K721" i="73" s="1"/>
  <c r="DC171" i="63"/>
  <c r="GC171" i="63"/>
  <c r="G195" i="73"/>
  <c r="G721" i="73" s="1"/>
  <c r="DF171" i="63"/>
  <c r="CZ171" i="63"/>
  <c r="DD171" i="63"/>
  <c r="GD171" i="63"/>
  <c r="H195" i="73"/>
  <c r="DH171" i="63"/>
  <c r="GH171" i="63"/>
  <c r="L195" i="73"/>
  <c r="L721" i="73" s="1"/>
  <c r="DE171" i="63"/>
  <c r="DB171" i="63"/>
  <c r="GB171" i="63"/>
  <c r="F195" i="73"/>
  <c r="DA171" i="63"/>
  <c r="GA171" i="63"/>
  <c r="E195" i="73"/>
  <c r="E721" i="73" s="1"/>
  <c r="DC175" i="63"/>
  <c r="GC175" i="63"/>
  <c r="G199" i="73"/>
  <c r="G725" i="73" s="1"/>
  <c r="CY175" i="63"/>
  <c r="FY175" i="63"/>
  <c r="C199" i="73"/>
  <c r="C725" i="73" s="1"/>
  <c r="CX175" i="63"/>
  <c r="FX175" i="63"/>
  <c r="B199" i="73"/>
  <c r="B725" i="73" s="1"/>
  <c r="DG175" i="63"/>
  <c r="GG175" i="63"/>
  <c r="K199" i="73"/>
  <c r="DF175" i="63"/>
  <c r="CZ175" i="63"/>
  <c r="DD175" i="63"/>
  <c r="GD175" i="63"/>
  <c r="H199" i="73"/>
  <c r="H725" i="73" s="1"/>
  <c r="DA175" i="63"/>
  <c r="GA175" i="63"/>
  <c r="E199" i="73"/>
  <c r="E725" i="73" s="1"/>
  <c r="DH175" i="63"/>
  <c r="GH175" i="63"/>
  <c r="L199" i="73"/>
  <c r="L725" i="73" s="1"/>
  <c r="DE175" i="63"/>
  <c r="DB175" i="63"/>
  <c r="GB175" i="63"/>
  <c r="F199" i="73"/>
  <c r="F725" i="73" s="1"/>
  <c r="DG179" i="63"/>
  <c r="GG179" i="63"/>
  <c r="K203" i="73"/>
  <c r="CY179" i="63"/>
  <c r="FY179" i="63"/>
  <c r="C203" i="73"/>
  <c r="C729" i="73" s="1"/>
  <c r="CX179" i="63"/>
  <c r="FX179" i="63"/>
  <c r="B203" i="73"/>
  <c r="DC179" i="63"/>
  <c r="GC179" i="63"/>
  <c r="G203" i="73"/>
  <c r="G729" i="73" s="1"/>
  <c r="DB179" i="63"/>
  <c r="GB179" i="63"/>
  <c r="F203" i="73"/>
  <c r="F729" i="73" s="1"/>
  <c r="DA179" i="63"/>
  <c r="GA179" i="63"/>
  <c r="E203" i="73"/>
  <c r="E729" i="73" s="1"/>
  <c r="DD179" i="63"/>
  <c r="GD179" i="63"/>
  <c r="H203" i="73"/>
  <c r="H729" i="73" s="1"/>
  <c r="DH179" i="63"/>
  <c r="GH179" i="63"/>
  <c r="L203" i="73"/>
  <c r="L729" i="73" s="1"/>
  <c r="DE179" i="63"/>
  <c r="DF179" i="63"/>
  <c r="CZ179" i="63"/>
  <c r="CX156" i="63"/>
  <c r="CY156" i="63"/>
  <c r="DC156" i="63"/>
  <c r="DG156" i="63"/>
  <c r="DD156" i="63"/>
  <c r="DF156" i="63"/>
  <c r="CZ156" i="63"/>
  <c r="DA156" i="63"/>
  <c r="DE156" i="63"/>
  <c r="DB156" i="63"/>
  <c r="GB156" i="63"/>
  <c r="F180" i="73"/>
  <c r="DH156" i="63"/>
  <c r="CX172" i="63"/>
  <c r="DG172" i="63"/>
  <c r="DC172" i="63"/>
  <c r="GC172" i="63"/>
  <c r="G196" i="73"/>
  <c r="G722" i="73" s="1"/>
  <c r="CY172" i="63"/>
  <c r="CZ172" i="63"/>
  <c r="DA172" i="63"/>
  <c r="DB172" i="63"/>
  <c r="DF172" i="63"/>
  <c r="DD172" i="63"/>
  <c r="DE172" i="63"/>
  <c r="DH172" i="63"/>
  <c r="CX157" i="63"/>
  <c r="DG157" i="63"/>
  <c r="CY157" i="63"/>
  <c r="DC157" i="63"/>
  <c r="DA157" i="63"/>
  <c r="DF157" i="63"/>
  <c r="GF157" i="63"/>
  <c r="J181" i="73"/>
  <c r="J707" i="73" s="1"/>
  <c r="DH157" i="63"/>
  <c r="CZ157" i="63"/>
  <c r="DE157" i="63"/>
  <c r="GE157" i="63"/>
  <c r="I181" i="73"/>
  <c r="I707" i="73" s="1"/>
  <c r="DB157" i="63"/>
  <c r="GB157" i="63"/>
  <c r="F181" i="73"/>
  <c r="F707" i="73" s="1"/>
  <c r="DD157" i="63"/>
  <c r="CX161" i="63"/>
  <c r="DC161" i="63"/>
  <c r="DG161" i="63"/>
  <c r="CY161" i="63"/>
  <c r="DD161" i="63"/>
  <c r="DF161" i="63"/>
  <c r="GF161" i="63"/>
  <c r="J185" i="73"/>
  <c r="J711" i="73" s="1"/>
  <c r="DH161" i="63"/>
  <c r="DA161" i="63"/>
  <c r="CZ161" i="63"/>
  <c r="DE161" i="63"/>
  <c r="GE161" i="63"/>
  <c r="I185" i="73"/>
  <c r="I711" i="73" s="1"/>
  <c r="DB161" i="63"/>
  <c r="CX165" i="63"/>
  <c r="DG165" i="63"/>
  <c r="CY165" i="63"/>
  <c r="DC165" i="63"/>
  <c r="DD165" i="63"/>
  <c r="DF165" i="63"/>
  <c r="DH165" i="63"/>
  <c r="CZ165" i="63"/>
  <c r="DE165" i="63"/>
  <c r="GE165" i="63"/>
  <c r="I189" i="73"/>
  <c r="I715" i="73" s="1"/>
  <c r="DB165" i="63"/>
  <c r="GB165" i="63"/>
  <c r="F189" i="73"/>
  <c r="F715" i="73" s="1"/>
  <c r="DA165" i="63"/>
  <c r="CX169" i="63"/>
  <c r="DG169" i="63"/>
  <c r="CY169" i="63"/>
  <c r="DC169" i="63"/>
  <c r="DH169" i="63"/>
  <c r="DF169" i="63"/>
  <c r="GF169" i="63"/>
  <c r="J193" i="73"/>
  <c r="J719" i="73" s="1"/>
  <c r="DA169" i="63"/>
  <c r="GA169" i="63"/>
  <c r="E193" i="73"/>
  <c r="E719" i="73" s="1"/>
  <c r="CZ169" i="63"/>
  <c r="FZ169" i="63"/>
  <c r="D193" i="73"/>
  <c r="DE169" i="63"/>
  <c r="DB169" i="63"/>
  <c r="DD169" i="63"/>
  <c r="DC173" i="63"/>
  <c r="CY173" i="63"/>
  <c r="CX173" i="63"/>
  <c r="DG173" i="63"/>
  <c r="DH173" i="63"/>
  <c r="DA173" i="63"/>
  <c r="DF173" i="63"/>
  <c r="GF173" i="63"/>
  <c r="J197" i="73"/>
  <c r="J723" i="73" s="1"/>
  <c r="CZ173" i="63"/>
  <c r="DE173" i="63"/>
  <c r="DB173" i="63"/>
  <c r="DD173" i="63"/>
  <c r="CY177" i="63"/>
  <c r="DG177" i="63"/>
  <c r="CX177" i="63"/>
  <c r="DC177" i="63"/>
  <c r="DH177" i="63"/>
  <c r="DF177" i="63"/>
  <c r="CZ177" i="63"/>
  <c r="FZ177" i="63"/>
  <c r="D201" i="73"/>
  <c r="D727" i="73" s="1"/>
  <c r="DE177" i="63"/>
  <c r="DB177" i="63"/>
  <c r="DD177" i="63"/>
  <c r="DA177" i="63"/>
  <c r="CX160" i="63"/>
  <c r="DC160" i="63"/>
  <c r="DG160" i="63"/>
  <c r="CY160" i="63"/>
  <c r="DE160" i="63"/>
  <c r="DB160" i="63"/>
  <c r="DF160" i="63"/>
  <c r="CZ160" i="63"/>
  <c r="DA160" i="63"/>
  <c r="DD160" i="63"/>
  <c r="DH160" i="63"/>
  <c r="CX168" i="63"/>
  <c r="DC168" i="63"/>
  <c r="CY168" i="63"/>
  <c r="DG168" i="63"/>
  <c r="CZ168" i="63"/>
  <c r="DA168" i="63"/>
  <c r="DB168" i="63"/>
  <c r="DF168" i="63"/>
  <c r="DD168" i="63"/>
  <c r="DE168" i="63"/>
  <c r="DH168" i="63"/>
  <c r="CX154" i="63"/>
  <c r="DC154" i="63"/>
  <c r="CY154" i="63"/>
  <c r="DG154" i="63"/>
  <c r="DB154" i="63"/>
  <c r="DE154" i="63"/>
  <c r="GE154" i="63"/>
  <c r="I178" i="73"/>
  <c r="I704" i="73" s="1"/>
  <c r="DF154" i="63"/>
  <c r="GF154" i="63"/>
  <c r="J178" i="73"/>
  <c r="J704" i="73" s="1"/>
  <c r="DD154" i="63"/>
  <c r="DH154" i="63"/>
  <c r="DA154" i="63"/>
  <c r="CZ154" i="63"/>
  <c r="FZ154" i="63"/>
  <c r="D178" i="73"/>
  <c r="D704" i="73" s="1"/>
  <c r="CX158" i="63"/>
  <c r="DG158" i="63"/>
  <c r="DC158" i="63"/>
  <c r="CY158" i="63"/>
  <c r="DA158" i="63"/>
  <c r="GA158" i="63"/>
  <c r="E182" i="73"/>
  <c r="E708" i="73" s="1"/>
  <c r="DE158" i="63"/>
  <c r="GE158" i="63"/>
  <c r="I182" i="73"/>
  <c r="I708" i="73" s="1"/>
  <c r="CZ158" i="63"/>
  <c r="FZ158" i="63"/>
  <c r="D182" i="73"/>
  <c r="DF158" i="63"/>
  <c r="DD158" i="63"/>
  <c r="DH158" i="63"/>
  <c r="DB158" i="63"/>
  <c r="GB158" i="63"/>
  <c r="F182" i="73"/>
  <c r="F708" i="73" s="1"/>
  <c r="CX162" i="63"/>
  <c r="CY162" i="63"/>
  <c r="DG162" i="63"/>
  <c r="DC162" i="63"/>
  <c r="DB162" i="63"/>
  <c r="GB162" i="63"/>
  <c r="F186" i="73"/>
  <c r="F712" i="73" s="1"/>
  <c r="CZ162" i="63"/>
  <c r="DF162" i="63"/>
  <c r="DD162" i="63"/>
  <c r="DH162" i="63"/>
  <c r="DA162" i="63"/>
  <c r="DE162" i="63"/>
  <c r="CX166" i="63"/>
  <c r="DC166" i="63"/>
  <c r="CY166" i="63"/>
  <c r="DG166" i="63"/>
  <c r="GG166" i="63"/>
  <c r="K190" i="73"/>
  <c r="CZ166" i="63"/>
  <c r="FZ166" i="63"/>
  <c r="D190" i="73"/>
  <c r="D716" i="73" s="1"/>
  <c r="DE166" i="63"/>
  <c r="GE166" i="63"/>
  <c r="I190" i="73"/>
  <c r="DB166" i="63"/>
  <c r="DF166" i="63"/>
  <c r="DD166" i="63"/>
  <c r="DH166" i="63"/>
  <c r="DA166" i="63"/>
  <c r="GA166" i="63"/>
  <c r="E190" i="73"/>
  <c r="CX170" i="63"/>
  <c r="DG170" i="63"/>
  <c r="GG170" i="63"/>
  <c r="K194" i="73"/>
  <c r="K720" i="73" s="1"/>
  <c r="DC170" i="63"/>
  <c r="CY170" i="63"/>
  <c r="DE170" i="63"/>
  <c r="CZ170" i="63"/>
  <c r="DF170" i="63"/>
  <c r="GF170" i="63"/>
  <c r="J194" i="73"/>
  <c r="J720" i="73" s="1"/>
  <c r="DD170" i="63"/>
  <c r="DH170" i="63"/>
  <c r="DA170" i="63"/>
  <c r="DB170" i="63"/>
  <c r="GB170" i="63"/>
  <c r="F194" i="73"/>
  <c r="DC174" i="63"/>
  <c r="CY174" i="63"/>
  <c r="CX174" i="63"/>
  <c r="DG174" i="63"/>
  <c r="GG174" i="63"/>
  <c r="K198" i="73"/>
  <c r="K724" i="73" s="1"/>
  <c r="DB174" i="63"/>
  <c r="CZ174" i="63"/>
  <c r="DE174" i="63"/>
  <c r="GE174" i="63"/>
  <c r="I198" i="73"/>
  <c r="DF174" i="63"/>
  <c r="GF174" i="63"/>
  <c r="J198" i="73"/>
  <c r="J724" i="73" s="1"/>
  <c r="DD174" i="63"/>
  <c r="DH174" i="63"/>
  <c r="DA174" i="63"/>
  <c r="GA174" i="63"/>
  <c r="E198" i="73"/>
  <c r="E724" i="73" s="1"/>
  <c r="CY178" i="63"/>
  <c r="DC178" i="63"/>
  <c r="CX178" i="63"/>
  <c r="DG178" i="63"/>
  <c r="GG178" i="63"/>
  <c r="K202" i="73"/>
  <c r="K728" i="73" s="1"/>
  <c r="DH178" i="63"/>
  <c r="DA178" i="63"/>
  <c r="DB178" i="63"/>
  <c r="DF178" i="63"/>
  <c r="GF178" i="63"/>
  <c r="J202" i="73"/>
  <c r="J728" i="73" s="1"/>
  <c r="DD178" i="63"/>
  <c r="DE178" i="63"/>
  <c r="CZ178" i="63"/>
  <c r="DG153" i="63"/>
  <c r="GG153" i="63"/>
  <c r="K177" i="73"/>
  <c r="K703" i="73" s="1"/>
  <c r="DC153" i="63"/>
  <c r="CY153" i="63"/>
  <c r="AR181" i="63"/>
  <c r="DF153" i="63"/>
  <c r="GF153" i="63"/>
  <c r="J177" i="73"/>
  <c r="DB153" i="63"/>
  <c r="CX153" i="63"/>
  <c r="DE153" i="63"/>
  <c r="DH153" i="63"/>
  <c r="DD153" i="63"/>
  <c r="CZ153" i="63"/>
  <c r="DA153" i="63"/>
  <c r="DF40" i="63"/>
  <c r="DB40" i="63"/>
  <c r="CX40" i="63"/>
  <c r="DE40" i="63"/>
  <c r="DA40" i="63"/>
  <c r="DH40" i="63"/>
  <c r="DD40" i="63"/>
  <c r="CZ40" i="63"/>
  <c r="CY40" i="63"/>
  <c r="DG40" i="63"/>
  <c r="DC40" i="63"/>
  <c r="GC40" i="63"/>
  <c r="G46" i="73"/>
  <c r="DF56" i="63"/>
  <c r="DB56" i="63"/>
  <c r="CX56" i="63"/>
  <c r="DE56" i="63"/>
  <c r="DA56" i="63"/>
  <c r="DH56" i="63"/>
  <c r="DD56" i="63"/>
  <c r="CZ56" i="63"/>
  <c r="DC56" i="63"/>
  <c r="CY56" i="63"/>
  <c r="DG56" i="63"/>
  <c r="DF34" i="63"/>
  <c r="DB34" i="63"/>
  <c r="CX34" i="63"/>
  <c r="FX34" i="63"/>
  <c r="B40" i="73"/>
  <c r="B380" i="73" s="1"/>
  <c r="DE34" i="63"/>
  <c r="DA34" i="63"/>
  <c r="GA34" i="63"/>
  <c r="E40" i="73"/>
  <c r="DH34" i="63"/>
  <c r="DD34" i="63"/>
  <c r="CZ34" i="63"/>
  <c r="DG34" i="63"/>
  <c r="CY34" i="63"/>
  <c r="DC34" i="63"/>
  <c r="DF38" i="63"/>
  <c r="DB38" i="63"/>
  <c r="CX38" i="63"/>
  <c r="DE38" i="63"/>
  <c r="DA38" i="63"/>
  <c r="GA38" i="63"/>
  <c r="E44" i="73"/>
  <c r="DH38" i="63"/>
  <c r="DD38" i="63"/>
  <c r="CZ38" i="63"/>
  <c r="DC38" i="63"/>
  <c r="GC38" i="63"/>
  <c r="G44" i="73"/>
  <c r="G384" i="73" s="1"/>
  <c r="DG38" i="63"/>
  <c r="CY38" i="63"/>
  <c r="DF42" i="63"/>
  <c r="DB42" i="63"/>
  <c r="GB42" i="63"/>
  <c r="F48" i="73"/>
  <c r="F388" i="73" s="1"/>
  <c r="CX42" i="63"/>
  <c r="DE42" i="63"/>
  <c r="DA42" i="63"/>
  <c r="GA42" i="63"/>
  <c r="E48" i="73"/>
  <c r="E388" i="73" s="1"/>
  <c r="DH42" i="63"/>
  <c r="DD42" i="63"/>
  <c r="CZ42" i="63"/>
  <c r="DG42" i="63"/>
  <c r="GG42" i="63"/>
  <c r="K48" i="73"/>
  <c r="K388" i="73" s="1"/>
  <c r="CY42" i="63"/>
  <c r="DC42" i="63"/>
  <c r="DF46" i="63"/>
  <c r="DB46" i="63"/>
  <c r="CX46" i="63"/>
  <c r="DE46" i="63"/>
  <c r="DA46" i="63"/>
  <c r="DH46" i="63"/>
  <c r="DD46" i="63"/>
  <c r="CZ46" i="63"/>
  <c r="DG46" i="63"/>
  <c r="DC46" i="63"/>
  <c r="GC46" i="63"/>
  <c r="G52" i="73"/>
  <c r="CY46" i="63"/>
  <c r="DF50" i="63"/>
  <c r="DB50" i="63"/>
  <c r="CX50" i="63"/>
  <c r="DE50" i="63"/>
  <c r="DA50" i="63"/>
  <c r="DH50" i="63"/>
  <c r="DD50" i="63"/>
  <c r="CZ50" i="63"/>
  <c r="DG50" i="63"/>
  <c r="GG50" i="63"/>
  <c r="K56" i="73"/>
  <c r="K396" i="73" s="1"/>
  <c r="CY50" i="63"/>
  <c r="DC50" i="63"/>
  <c r="DF54" i="63"/>
  <c r="DB54" i="63"/>
  <c r="CX54" i="63"/>
  <c r="DE54" i="63"/>
  <c r="DA54" i="63"/>
  <c r="DH54" i="63"/>
  <c r="DD54" i="63"/>
  <c r="CZ54" i="63"/>
  <c r="DG54" i="63"/>
  <c r="DC54" i="63"/>
  <c r="GC54" i="63"/>
  <c r="G60" i="73"/>
  <c r="CY54" i="63"/>
  <c r="DF58" i="63"/>
  <c r="DB58" i="63"/>
  <c r="CX58" i="63"/>
  <c r="DE58" i="63"/>
  <c r="DA58" i="63"/>
  <c r="GA58" i="63"/>
  <c r="DH58" i="63"/>
  <c r="DD58" i="63"/>
  <c r="CZ58" i="63"/>
  <c r="DG58" i="63"/>
  <c r="GG58" i="63"/>
  <c r="K64" i="73"/>
  <c r="K404" i="73" s="1"/>
  <c r="DC58" i="63"/>
  <c r="CY58" i="63"/>
  <c r="DF48" i="63"/>
  <c r="DB48" i="63"/>
  <c r="CX48" i="63"/>
  <c r="DE48" i="63"/>
  <c r="DA48" i="63"/>
  <c r="DH48" i="63"/>
  <c r="DD48" i="63"/>
  <c r="CZ48" i="63"/>
  <c r="DC48" i="63"/>
  <c r="CY48" i="63"/>
  <c r="DG48" i="63"/>
  <c r="DF35" i="63"/>
  <c r="DB35" i="63"/>
  <c r="CX35" i="63"/>
  <c r="FX35" i="63"/>
  <c r="B41" i="73"/>
  <c r="B381" i="73" s="1"/>
  <c r="DE35" i="63"/>
  <c r="DA35" i="63"/>
  <c r="DH35" i="63"/>
  <c r="GH35" i="63"/>
  <c r="L41" i="73"/>
  <c r="DD35" i="63"/>
  <c r="GD35" i="63"/>
  <c r="H41" i="73"/>
  <c r="H381" i="73" s="1"/>
  <c r="CZ35" i="63"/>
  <c r="CY35" i="63"/>
  <c r="FY35" i="63"/>
  <c r="C41" i="73"/>
  <c r="DG35" i="63"/>
  <c r="DC35" i="63"/>
  <c r="DF39" i="63"/>
  <c r="DB39" i="63"/>
  <c r="CX39" i="63"/>
  <c r="DE39" i="63"/>
  <c r="DA39" i="63"/>
  <c r="DH39" i="63"/>
  <c r="DD39" i="63"/>
  <c r="GD39" i="63"/>
  <c r="H45" i="73"/>
  <c r="CZ39" i="63"/>
  <c r="DG39" i="63"/>
  <c r="DC39" i="63"/>
  <c r="GC39" i="63"/>
  <c r="G45" i="73"/>
  <c r="G385" i="73" s="1"/>
  <c r="CY39" i="63"/>
  <c r="DF43" i="63"/>
  <c r="DB43" i="63"/>
  <c r="CX43" i="63"/>
  <c r="FX43" i="63"/>
  <c r="B49" i="73"/>
  <c r="DE43" i="63"/>
  <c r="DA43" i="63"/>
  <c r="DH43" i="63"/>
  <c r="GH43" i="63"/>
  <c r="L49" i="73"/>
  <c r="DD43" i="63"/>
  <c r="GD43" i="63"/>
  <c r="H49" i="73"/>
  <c r="CZ43" i="63"/>
  <c r="DG43" i="63"/>
  <c r="DC43" i="63"/>
  <c r="CY43" i="63"/>
  <c r="FY43" i="63"/>
  <c r="C49" i="73"/>
  <c r="C389" i="73" s="1"/>
  <c r="DF47" i="63"/>
  <c r="DB47" i="63"/>
  <c r="CX47" i="63"/>
  <c r="DE47" i="63"/>
  <c r="DA47" i="63"/>
  <c r="DH47" i="63"/>
  <c r="DD47" i="63"/>
  <c r="GD47" i="63"/>
  <c r="H53" i="73"/>
  <c r="CZ47" i="63"/>
  <c r="DC47" i="63"/>
  <c r="CY47" i="63"/>
  <c r="FY47" i="63"/>
  <c r="C53" i="73"/>
  <c r="C393" i="73" s="1"/>
  <c r="DG47" i="63"/>
  <c r="DF51" i="63"/>
  <c r="GF51" i="63"/>
  <c r="J57" i="73"/>
  <c r="DB51" i="63"/>
  <c r="CX51" i="63"/>
  <c r="FX51" i="63"/>
  <c r="B57" i="73"/>
  <c r="B397" i="73" s="1"/>
  <c r="DE51" i="63"/>
  <c r="DA51" i="63"/>
  <c r="DH51" i="63"/>
  <c r="DD51" i="63"/>
  <c r="GD51" i="63"/>
  <c r="H57" i="73"/>
  <c r="CZ51" i="63"/>
  <c r="CY51" i="63"/>
  <c r="FY51" i="63"/>
  <c r="C57" i="73"/>
  <c r="C397" i="73" s="1"/>
  <c r="DG51" i="63"/>
  <c r="DC51" i="63"/>
  <c r="DF55" i="63"/>
  <c r="GF55" i="63"/>
  <c r="J61" i="73"/>
  <c r="DB55" i="63"/>
  <c r="GB55" i="63"/>
  <c r="F61" i="73"/>
  <c r="F401" i="73" s="1"/>
  <c r="CX55" i="63"/>
  <c r="DE55" i="63"/>
  <c r="DA55" i="63"/>
  <c r="GA55" i="63"/>
  <c r="E61" i="73"/>
  <c r="DH55" i="63"/>
  <c r="DD55" i="63"/>
  <c r="CZ55" i="63"/>
  <c r="DC55" i="63"/>
  <c r="CY55" i="63"/>
  <c r="DG55" i="63"/>
  <c r="DF59" i="63"/>
  <c r="DB59" i="63"/>
  <c r="GB59" i="63"/>
  <c r="F65" i="73"/>
  <c r="F405" i="73" s="1"/>
  <c r="CX59" i="63"/>
  <c r="FX59" i="63"/>
  <c r="B65" i="73"/>
  <c r="B405" i="73" s="1"/>
  <c r="DE59" i="63"/>
  <c r="DA59" i="63"/>
  <c r="GA59" i="63"/>
  <c r="E65" i="73"/>
  <c r="E405" i="73" s="1"/>
  <c r="DH59" i="63"/>
  <c r="GH59" i="63"/>
  <c r="L65" i="73"/>
  <c r="DD59" i="63"/>
  <c r="GD59" i="63"/>
  <c r="H65" i="73"/>
  <c r="H405" i="73" s="1"/>
  <c r="CZ59" i="63"/>
  <c r="DG59" i="63"/>
  <c r="GG59" i="63"/>
  <c r="K65" i="73"/>
  <c r="K405" i="73" s="1"/>
  <c r="DC59" i="63"/>
  <c r="CY59" i="63"/>
  <c r="FY59" i="63"/>
  <c r="C65" i="73"/>
  <c r="DF36" i="63"/>
  <c r="DB36" i="63"/>
  <c r="CX36" i="63"/>
  <c r="DE36" i="63"/>
  <c r="DA36" i="63"/>
  <c r="DH36" i="63"/>
  <c r="DD36" i="63"/>
  <c r="CZ36" i="63"/>
  <c r="CY36" i="63"/>
  <c r="DG36" i="63"/>
  <c r="DC36" i="63"/>
  <c r="DF44" i="63"/>
  <c r="DB44" i="63"/>
  <c r="CX44" i="63"/>
  <c r="DE44" i="63"/>
  <c r="DA44" i="63"/>
  <c r="DH44" i="63"/>
  <c r="DD44" i="63"/>
  <c r="CZ44" i="63"/>
  <c r="DC44" i="63"/>
  <c r="CY44" i="63"/>
  <c r="DG44" i="63"/>
  <c r="DF52" i="63"/>
  <c r="DB52" i="63"/>
  <c r="CX52" i="63"/>
  <c r="DE52" i="63"/>
  <c r="DA52" i="63"/>
  <c r="DH52" i="63"/>
  <c r="DD52" i="63"/>
  <c r="CZ52" i="63"/>
  <c r="FZ52" i="63"/>
  <c r="CY52" i="63"/>
  <c r="DG52" i="63"/>
  <c r="DC52" i="63"/>
  <c r="DB37" i="63"/>
  <c r="GB37" i="63"/>
  <c r="CX37" i="63"/>
  <c r="FX37" i="63"/>
  <c r="DA37" i="63"/>
  <c r="DD37" i="63"/>
  <c r="CZ37" i="63"/>
  <c r="DG37" i="63"/>
  <c r="DC37" i="63"/>
  <c r="CY37" i="63"/>
  <c r="DE37" i="63"/>
  <c r="DF37" i="63"/>
  <c r="DH37" i="63"/>
  <c r="DB41" i="63"/>
  <c r="CX41" i="63"/>
  <c r="DA41" i="63"/>
  <c r="DD41" i="63"/>
  <c r="CZ41" i="63"/>
  <c r="DG41" i="63"/>
  <c r="DC41" i="63"/>
  <c r="CY41" i="63"/>
  <c r="DH41" i="63"/>
  <c r="DF41" i="63"/>
  <c r="DE41" i="63"/>
  <c r="DB45" i="63"/>
  <c r="GB45" i="63"/>
  <c r="CX45" i="63"/>
  <c r="DA45" i="63"/>
  <c r="DD45" i="63"/>
  <c r="CZ45" i="63"/>
  <c r="DC45" i="63"/>
  <c r="DC60" i="63"/>
  <c r="DG45" i="63"/>
  <c r="CY45" i="63"/>
  <c r="DF45" i="63"/>
  <c r="DH45" i="63"/>
  <c r="DE45" i="63"/>
  <c r="DB49" i="63"/>
  <c r="CX49" i="63"/>
  <c r="DA49" i="63"/>
  <c r="DD49" i="63"/>
  <c r="CZ49" i="63"/>
  <c r="DC49" i="63"/>
  <c r="CY49" i="63"/>
  <c r="DG49" i="63"/>
  <c r="DH49" i="63"/>
  <c r="DF49" i="63"/>
  <c r="DE49" i="63"/>
  <c r="DB53" i="63"/>
  <c r="CX53" i="63"/>
  <c r="DA53" i="63"/>
  <c r="DD53" i="63"/>
  <c r="CZ53" i="63"/>
  <c r="DG53" i="63"/>
  <c r="DC53" i="63"/>
  <c r="CY53" i="63"/>
  <c r="DE53" i="63"/>
  <c r="DF53" i="63"/>
  <c r="DH53" i="63"/>
  <c r="DB57" i="63"/>
  <c r="GB57" i="63"/>
  <c r="F63" i="73"/>
  <c r="CX57" i="63"/>
  <c r="DA57" i="63"/>
  <c r="DD57" i="63"/>
  <c r="CZ57" i="63"/>
  <c r="DG57" i="63"/>
  <c r="DC57" i="63"/>
  <c r="CY57" i="63"/>
  <c r="DH57" i="63"/>
  <c r="DF57" i="63"/>
  <c r="DE57" i="63"/>
  <c r="DC33" i="63"/>
  <c r="CY33" i="63"/>
  <c r="CY60" i="63"/>
  <c r="CZ33" i="63"/>
  <c r="DB33" i="63"/>
  <c r="CX33" i="63"/>
  <c r="DH33" i="63"/>
  <c r="DA33" i="63"/>
  <c r="DD33" i="63"/>
  <c r="DF33" i="63"/>
  <c r="DG33" i="63"/>
  <c r="DE33" i="63"/>
  <c r="CX126" i="63"/>
  <c r="FX126" i="63"/>
  <c r="CY126" i="63"/>
  <c r="FY126" i="63"/>
  <c r="DH126" i="63"/>
  <c r="CZ126" i="63"/>
  <c r="DD126" i="63"/>
  <c r="GD126" i="63"/>
  <c r="DA126" i="63"/>
  <c r="GA126" i="63"/>
  <c r="DB126" i="63"/>
  <c r="DF126" i="63"/>
  <c r="DC126" i="63"/>
  <c r="GC126" i="63"/>
  <c r="DG126" i="63"/>
  <c r="GG126" i="63"/>
  <c r="DE126" i="63"/>
  <c r="CX130" i="63"/>
  <c r="FX130" i="63"/>
  <c r="B150" i="73"/>
  <c r="B629" i="73"/>
  <c r="CY130" i="63"/>
  <c r="FY130" i="63"/>
  <c r="C150" i="73"/>
  <c r="DD130" i="63"/>
  <c r="GD130" i="63"/>
  <c r="H150" i="73"/>
  <c r="H629" i="73" s="1"/>
  <c r="DH130" i="63"/>
  <c r="CZ130" i="63"/>
  <c r="DF130" i="63"/>
  <c r="DG130" i="63"/>
  <c r="GG130" i="63"/>
  <c r="K150" i="73"/>
  <c r="DA130" i="63"/>
  <c r="DE130" i="63"/>
  <c r="DC130" i="63"/>
  <c r="GC130" i="63"/>
  <c r="G150" i="73"/>
  <c r="DB130" i="63"/>
  <c r="GB130" i="63"/>
  <c r="F150" i="73"/>
  <c r="F629" i="73" s="1"/>
  <c r="CX134" i="63"/>
  <c r="CY134" i="63"/>
  <c r="FY134" i="63"/>
  <c r="DH134" i="63"/>
  <c r="GH134" i="63"/>
  <c r="DD134" i="63"/>
  <c r="GD134" i="63"/>
  <c r="CZ134" i="63"/>
  <c r="DB134" i="63"/>
  <c r="GB134" i="63"/>
  <c r="DF134" i="63"/>
  <c r="DG134" i="63"/>
  <c r="GG134" i="63"/>
  <c r="DA134" i="63"/>
  <c r="DE134" i="63"/>
  <c r="DC134" i="63"/>
  <c r="GC134" i="63"/>
  <c r="CX138" i="63"/>
  <c r="FX138" i="63"/>
  <c r="B158" i="73"/>
  <c r="B637" i="73" s="1"/>
  <c r="CY138" i="63"/>
  <c r="DH138" i="63"/>
  <c r="GH138" i="63"/>
  <c r="L158" i="73"/>
  <c r="L637" i="73" s="1"/>
  <c r="CZ138" i="63"/>
  <c r="DD138" i="63"/>
  <c r="GD138" i="63"/>
  <c r="H158" i="73"/>
  <c r="DF138" i="63"/>
  <c r="DE138" i="63"/>
  <c r="DC138" i="63"/>
  <c r="GC138" i="63"/>
  <c r="G158" i="73"/>
  <c r="DB138" i="63"/>
  <c r="GB138" i="63"/>
  <c r="F158" i="73"/>
  <c r="DG138" i="63"/>
  <c r="DA138" i="63"/>
  <c r="GA138" i="63"/>
  <c r="E158" i="73"/>
  <c r="E637" i="73" s="1"/>
  <c r="CX142" i="63"/>
  <c r="FX142" i="63"/>
  <c r="CY142" i="63"/>
  <c r="FY142" i="63"/>
  <c r="DD142" i="63"/>
  <c r="DH142" i="63"/>
  <c r="GH142" i="63"/>
  <c r="CZ142" i="63"/>
  <c r="DC142" i="63"/>
  <c r="GC142" i="63"/>
  <c r="DF142" i="63"/>
  <c r="DE142" i="63"/>
  <c r="DG142" i="63"/>
  <c r="GG142" i="63"/>
  <c r="DA142" i="63"/>
  <c r="GA142" i="63"/>
  <c r="DB142" i="63"/>
  <c r="CX146" i="63"/>
  <c r="FX146" i="63"/>
  <c r="B166" i="73"/>
  <c r="B645" i="73" s="1"/>
  <c r="DD146" i="63"/>
  <c r="GD146" i="63"/>
  <c r="H166" i="73"/>
  <c r="H645" i="73" s="1"/>
  <c r="CZ146" i="63"/>
  <c r="CY146" i="63"/>
  <c r="DH146" i="63"/>
  <c r="GH146" i="63"/>
  <c r="L166" i="73"/>
  <c r="L645" i="73" s="1"/>
  <c r="DB146" i="63"/>
  <c r="GB146" i="63"/>
  <c r="F166" i="73"/>
  <c r="F645" i="73" s="1"/>
  <c r="DF146" i="63"/>
  <c r="DE146" i="63"/>
  <c r="DG146" i="63"/>
  <c r="GG146" i="63"/>
  <c r="K166" i="73"/>
  <c r="K645" i="73" s="1"/>
  <c r="DA146" i="63"/>
  <c r="GA146" i="63"/>
  <c r="E166" i="73"/>
  <c r="E645" i="73" s="1"/>
  <c r="DC146" i="63"/>
  <c r="GC146" i="63"/>
  <c r="G166" i="73"/>
  <c r="G645" i="73" s="1"/>
  <c r="CX127" i="63"/>
  <c r="CY127" i="63"/>
  <c r="CZ127" i="63"/>
  <c r="DH127" i="63"/>
  <c r="DD127" i="63"/>
  <c r="DG127" i="63"/>
  <c r="DA127" i="63"/>
  <c r="DB127" i="63"/>
  <c r="GB127" i="63"/>
  <c r="DF127" i="63"/>
  <c r="DC127" i="63"/>
  <c r="DE127" i="63"/>
  <c r="CX131" i="63"/>
  <c r="CY131" i="63"/>
  <c r="DD131" i="63"/>
  <c r="CZ131" i="63"/>
  <c r="DH131" i="63"/>
  <c r="DG131" i="63"/>
  <c r="DA131" i="63"/>
  <c r="DB131" i="63"/>
  <c r="DF131" i="63"/>
  <c r="DC131" i="63"/>
  <c r="DE131" i="63"/>
  <c r="CX135" i="63"/>
  <c r="CY135" i="63"/>
  <c r="DD135" i="63"/>
  <c r="CZ135" i="63"/>
  <c r="DH135" i="63"/>
  <c r="DG135" i="63"/>
  <c r="DA135" i="63"/>
  <c r="DB135" i="63"/>
  <c r="DF135" i="63"/>
  <c r="DC135" i="63"/>
  <c r="DE135" i="63"/>
  <c r="CX139" i="63"/>
  <c r="CY139" i="63"/>
  <c r="DD139" i="63"/>
  <c r="GD139" i="63"/>
  <c r="H159" i="73"/>
  <c r="H638" i="73" s="1"/>
  <c r="CZ139" i="63"/>
  <c r="DH139" i="63"/>
  <c r="DG139" i="63"/>
  <c r="DA139" i="63"/>
  <c r="DB139" i="63"/>
  <c r="DF139" i="63"/>
  <c r="DC139" i="63"/>
  <c r="DE139" i="63"/>
  <c r="CX143" i="63"/>
  <c r="DD143" i="63"/>
  <c r="GD143" i="63"/>
  <c r="CZ143" i="63"/>
  <c r="CY143" i="63"/>
  <c r="DH143" i="63"/>
  <c r="DG143" i="63"/>
  <c r="DA143" i="63"/>
  <c r="DB143" i="63"/>
  <c r="DF143" i="63"/>
  <c r="DC143" i="63"/>
  <c r="DE143" i="63"/>
  <c r="CX147" i="63"/>
  <c r="DD147" i="63"/>
  <c r="CZ147" i="63"/>
  <c r="CY147" i="63"/>
  <c r="DH147" i="63"/>
  <c r="DE147" i="63"/>
  <c r="DG147" i="63"/>
  <c r="DF147" i="63"/>
  <c r="DA147" i="63"/>
  <c r="DB147" i="63"/>
  <c r="DC147" i="63"/>
  <c r="CX124" i="63"/>
  <c r="CY124" i="63"/>
  <c r="CZ124" i="63"/>
  <c r="DH124" i="63"/>
  <c r="DD124" i="63"/>
  <c r="DA124" i="63"/>
  <c r="DF124" i="63"/>
  <c r="DG124" i="63"/>
  <c r="DE124" i="63"/>
  <c r="GE124" i="63"/>
  <c r="I144" i="73"/>
  <c r="DB124" i="63"/>
  <c r="DC124" i="63"/>
  <c r="CX128" i="63"/>
  <c r="CY128" i="63"/>
  <c r="CZ128" i="63"/>
  <c r="DH128" i="63"/>
  <c r="DD128" i="63"/>
  <c r="DC128" i="63"/>
  <c r="DF128" i="63"/>
  <c r="GF128" i="63"/>
  <c r="DG128" i="63"/>
  <c r="DE128" i="63"/>
  <c r="GE128" i="63"/>
  <c r="DB128" i="63"/>
  <c r="DA128" i="63"/>
  <c r="CX132" i="63"/>
  <c r="CY132" i="63"/>
  <c r="CZ132" i="63"/>
  <c r="DH132" i="63"/>
  <c r="DD132" i="63"/>
  <c r="DC132" i="63"/>
  <c r="DF132" i="63"/>
  <c r="GF132" i="63"/>
  <c r="J152" i="73"/>
  <c r="J631" i="73" s="1"/>
  <c r="DG132" i="63"/>
  <c r="DE132" i="63"/>
  <c r="DB132" i="63"/>
  <c r="GB132" i="63"/>
  <c r="F152" i="73"/>
  <c r="DA132" i="63"/>
  <c r="CX136" i="63"/>
  <c r="CY136" i="63"/>
  <c r="CZ136" i="63"/>
  <c r="DH136" i="63"/>
  <c r="DD136" i="63"/>
  <c r="DC136" i="63"/>
  <c r="DA136" i="63"/>
  <c r="GA136" i="63"/>
  <c r="DF136" i="63"/>
  <c r="GF136" i="63"/>
  <c r="DG136" i="63"/>
  <c r="DE136" i="63"/>
  <c r="DB136" i="63"/>
  <c r="CX140" i="63"/>
  <c r="CY140" i="63"/>
  <c r="CZ140" i="63"/>
  <c r="DH140" i="63"/>
  <c r="DD140" i="63"/>
  <c r="DB140" i="63"/>
  <c r="DA140" i="63"/>
  <c r="DF140" i="63"/>
  <c r="GF140" i="63"/>
  <c r="J160" i="73"/>
  <c r="J639" i="73" s="1"/>
  <c r="DG140" i="63"/>
  <c r="DE140" i="63"/>
  <c r="GE140" i="63"/>
  <c r="I160" i="73"/>
  <c r="DC140" i="63"/>
  <c r="CX144" i="63"/>
  <c r="DD144" i="63"/>
  <c r="CZ144" i="63"/>
  <c r="CY144" i="63"/>
  <c r="DH144" i="63"/>
  <c r="DC144" i="63"/>
  <c r="DF144" i="63"/>
  <c r="DG144" i="63"/>
  <c r="DE144" i="63"/>
  <c r="DB144" i="63"/>
  <c r="DA144" i="63"/>
  <c r="GA144" i="63"/>
  <c r="E164" i="73"/>
  <c r="E643" i="73" s="1"/>
  <c r="CX148" i="63"/>
  <c r="CZ148" i="63"/>
  <c r="FZ148" i="63"/>
  <c r="D168" i="73"/>
  <c r="D647" i="73" s="1"/>
  <c r="DD148" i="63"/>
  <c r="CY148" i="63"/>
  <c r="DH148" i="63"/>
  <c r="DC148" i="63"/>
  <c r="DA148" i="63"/>
  <c r="DG148" i="63"/>
  <c r="DE148" i="63"/>
  <c r="DF148" i="63"/>
  <c r="GF148" i="63"/>
  <c r="J168" i="73"/>
  <c r="DB148" i="63"/>
  <c r="CX125" i="63"/>
  <c r="CY125" i="63"/>
  <c r="CZ125" i="63"/>
  <c r="FZ125" i="63"/>
  <c r="D145" i="73"/>
  <c r="D624" i="73" s="1"/>
  <c r="DD125" i="63"/>
  <c r="DH125" i="63"/>
  <c r="DF125" i="63"/>
  <c r="DG125" i="63"/>
  <c r="GG125" i="63"/>
  <c r="K145" i="73"/>
  <c r="DC125" i="63"/>
  <c r="DA125" i="63"/>
  <c r="GA125" i="63"/>
  <c r="E145" i="73"/>
  <c r="E624" i="73" s="1"/>
  <c r="DB125" i="63"/>
  <c r="DE125" i="63"/>
  <c r="GE125" i="63"/>
  <c r="I145" i="73"/>
  <c r="I624" i="73" s="1"/>
  <c r="CX129" i="63"/>
  <c r="CY129" i="63"/>
  <c r="DD129" i="63"/>
  <c r="DH129" i="63"/>
  <c r="CZ129" i="63"/>
  <c r="DG129" i="63"/>
  <c r="DA129" i="63"/>
  <c r="DB129" i="63"/>
  <c r="GB129" i="63"/>
  <c r="F149" i="73"/>
  <c r="F628" i="73" s="1"/>
  <c r="DE129" i="63"/>
  <c r="GE129" i="63"/>
  <c r="I149" i="73"/>
  <c r="I628" i="73" s="1"/>
  <c r="DC129" i="63"/>
  <c r="DF129" i="63"/>
  <c r="CX133" i="63"/>
  <c r="CY133" i="63"/>
  <c r="DD133" i="63"/>
  <c r="DH133" i="63"/>
  <c r="CZ133" i="63"/>
  <c r="FZ133" i="63"/>
  <c r="D153" i="73"/>
  <c r="D632" i="73" s="1"/>
  <c r="DB133" i="63"/>
  <c r="DF133" i="63"/>
  <c r="GF133" i="63"/>
  <c r="J153" i="73"/>
  <c r="J632" i="73" s="1"/>
  <c r="DG133" i="63"/>
  <c r="DA133" i="63"/>
  <c r="GA133" i="63"/>
  <c r="E153" i="73"/>
  <c r="E632" i="73" s="1"/>
  <c r="DE133" i="63"/>
  <c r="GE133" i="63"/>
  <c r="I153" i="73"/>
  <c r="DC133" i="63"/>
  <c r="CX137" i="63"/>
  <c r="CY137" i="63"/>
  <c r="DD137" i="63"/>
  <c r="DH137" i="63"/>
  <c r="CZ137" i="63"/>
  <c r="DF137" i="63"/>
  <c r="GF137" i="63"/>
  <c r="J157" i="73"/>
  <c r="J636" i="73" s="1"/>
  <c r="DE137" i="63"/>
  <c r="DC137" i="63"/>
  <c r="DG137" i="63"/>
  <c r="DA137" i="63"/>
  <c r="DB137" i="63"/>
  <c r="GB137" i="63"/>
  <c r="F157" i="73"/>
  <c r="CX141" i="63"/>
  <c r="CY141" i="63"/>
  <c r="DD141" i="63"/>
  <c r="DH141" i="63"/>
  <c r="CZ141" i="63"/>
  <c r="FZ141" i="63"/>
  <c r="D161" i="73"/>
  <c r="DG141" i="63"/>
  <c r="DA141" i="63"/>
  <c r="GA141" i="63"/>
  <c r="E161" i="73"/>
  <c r="E640" i="73" s="1"/>
  <c r="DB141" i="63"/>
  <c r="DE141" i="63"/>
  <c r="GE141" i="63"/>
  <c r="I161" i="73"/>
  <c r="DC141" i="63"/>
  <c r="DF141" i="63"/>
  <c r="GF141" i="63"/>
  <c r="J161" i="73"/>
  <c r="CX145" i="63"/>
  <c r="DD145" i="63"/>
  <c r="CZ145" i="63"/>
  <c r="CY145" i="63"/>
  <c r="DH145" i="63"/>
  <c r="DA145" i="63"/>
  <c r="DF145" i="63"/>
  <c r="DB145" i="63"/>
  <c r="GB145" i="63"/>
  <c r="F165" i="73"/>
  <c r="F644" i="73" s="1"/>
  <c r="DE145" i="63"/>
  <c r="DC145" i="63"/>
  <c r="DG145" i="63"/>
  <c r="DG123" i="63"/>
  <c r="DC123" i="63"/>
  <c r="CY123" i="63"/>
  <c r="FY123" i="63"/>
  <c r="C143" i="73"/>
  <c r="C622" i="73" s="1"/>
  <c r="DE123" i="63"/>
  <c r="DA123" i="63"/>
  <c r="DF123" i="63"/>
  <c r="DB123" i="63"/>
  <c r="CX123" i="63"/>
  <c r="DH123" i="63"/>
  <c r="DD123" i="63"/>
  <c r="CZ123" i="63"/>
  <c r="CX101" i="63"/>
  <c r="FX101" i="63"/>
  <c r="CY101" i="63"/>
  <c r="FY101" i="63"/>
  <c r="DH101" i="63"/>
  <c r="GH101" i="63"/>
  <c r="DD101" i="63"/>
  <c r="GD101" i="63"/>
  <c r="CZ101" i="63"/>
  <c r="DC101" i="63"/>
  <c r="GC101" i="63"/>
  <c r="DE101" i="63"/>
  <c r="DG101" i="63"/>
  <c r="GG101" i="63"/>
  <c r="DF101" i="63"/>
  <c r="DA101" i="63"/>
  <c r="GA101" i="63"/>
  <c r="DB101" i="63"/>
  <c r="GB101" i="63"/>
  <c r="CX98" i="63"/>
  <c r="CY98" i="63"/>
  <c r="FY98" i="63"/>
  <c r="C112" i="73"/>
  <c r="C546" i="73" s="1"/>
  <c r="DH98" i="63"/>
  <c r="DD98" i="63"/>
  <c r="CZ98" i="63"/>
  <c r="DF98" i="63"/>
  <c r="DC98" i="63"/>
  <c r="DA98" i="63"/>
  <c r="DG98" i="63"/>
  <c r="DE98" i="63"/>
  <c r="DB98" i="63"/>
  <c r="CX102" i="63"/>
  <c r="CY102" i="63"/>
  <c r="DH102" i="63"/>
  <c r="DD102" i="63"/>
  <c r="CZ102" i="63"/>
  <c r="DB102" i="63"/>
  <c r="DF102" i="63"/>
  <c r="DC102" i="63"/>
  <c r="DA102" i="63"/>
  <c r="DG102" i="63"/>
  <c r="DE102" i="63"/>
  <c r="CX106" i="63"/>
  <c r="CY106" i="63"/>
  <c r="DH106" i="63"/>
  <c r="DD106" i="63"/>
  <c r="CZ106" i="63"/>
  <c r="DF106" i="63"/>
  <c r="DC106" i="63"/>
  <c r="DA106" i="63"/>
  <c r="GA106" i="63"/>
  <c r="E120" i="73"/>
  <c r="E554" i="73" s="1"/>
  <c r="DG106" i="63"/>
  <c r="DE106" i="63"/>
  <c r="DB106" i="63"/>
  <c r="CX110" i="63"/>
  <c r="CY110" i="63"/>
  <c r="DH110" i="63"/>
  <c r="DD110" i="63"/>
  <c r="CZ110" i="63"/>
  <c r="DB110" i="63"/>
  <c r="DF110" i="63"/>
  <c r="DC110" i="63"/>
  <c r="DA110" i="63"/>
  <c r="DG110" i="63"/>
  <c r="DE110" i="63"/>
  <c r="CX114" i="63"/>
  <c r="DH114" i="63"/>
  <c r="CZ114" i="63"/>
  <c r="CY114" i="63"/>
  <c r="DD114" i="63"/>
  <c r="GD114" i="63"/>
  <c r="H128" i="73"/>
  <c r="H562" i="73" s="1"/>
  <c r="DA114" i="63"/>
  <c r="DF114" i="63"/>
  <c r="DC114" i="63"/>
  <c r="DG114" i="63"/>
  <c r="DE114" i="63"/>
  <c r="DB114" i="63"/>
  <c r="CX118" i="63"/>
  <c r="CZ118" i="63"/>
  <c r="DD118" i="63"/>
  <c r="CY118" i="63"/>
  <c r="DH118" i="63"/>
  <c r="DB118" i="63"/>
  <c r="DF118" i="63"/>
  <c r="DC118" i="63"/>
  <c r="DA118" i="63"/>
  <c r="DG118" i="63"/>
  <c r="DE118" i="63"/>
  <c r="CX97" i="63"/>
  <c r="FX97" i="63"/>
  <c r="B111" i="73"/>
  <c r="B545" i="73" s="1"/>
  <c r="CY97" i="63"/>
  <c r="FY97" i="63"/>
  <c r="C111" i="73"/>
  <c r="DD97" i="63"/>
  <c r="GD97" i="63"/>
  <c r="H111" i="73"/>
  <c r="CZ97" i="63"/>
  <c r="DH97" i="63"/>
  <c r="GH97" i="63"/>
  <c r="L111" i="73"/>
  <c r="DC97" i="63"/>
  <c r="GC97" i="63"/>
  <c r="G111" i="73"/>
  <c r="DG97" i="63"/>
  <c r="GG97" i="63"/>
  <c r="K111" i="73"/>
  <c r="K545" i="73" s="1"/>
  <c r="DF97" i="63"/>
  <c r="DA97" i="63"/>
  <c r="GA97" i="63"/>
  <c r="E111" i="73"/>
  <c r="E545" i="73" s="1"/>
  <c r="DB97" i="63"/>
  <c r="GB97" i="63"/>
  <c r="F111" i="73"/>
  <c r="F545" i="73" s="1"/>
  <c r="DE97" i="63"/>
  <c r="CX109" i="63"/>
  <c r="FX109" i="63"/>
  <c r="CY109" i="63"/>
  <c r="FY109" i="63"/>
  <c r="DH109" i="63"/>
  <c r="GH109" i="63"/>
  <c r="DD109" i="63"/>
  <c r="GD109" i="63"/>
  <c r="CZ109" i="63"/>
  <c r="DG109" i="63"/>
  <c r="GG109" i="63"/>
  <c r="DF109" i="63"/>
  <c r="DA109" i="63"/>
  <c r="GA109" i="63"/>
  <c r="DB109" i="63"/>
  <c r="GB109" i="63"/>
  <c r="F123" i="73"/>
  <c r="F557" i="73" s="1"/>
  <c r="DC109" i="63"/>
  <c r="GC109" i="63"/>
  <c r="DE109" i="63"/>
  <c r="CX95" i="63"/>
  <c r="CY95" i="63"/>
  <c r="DH95" i="63"/>
  <c r="DD95" i="63"/>
  <c r="CZ95" i="63"/>
  <c r="FZ95" i="63"/>
  <c r="D109" i="73"/>
  <c r="D543" i="73" s="1"/>
  <c r="DG95" i="63"/>
  <c r="GG95" i="63"/>
  <c r="K109" i="73"/>
  <c r="K543" i="73" s="1"/>
  <c r="DA95" i="63"/>
  <c r="DB95" i="63"/>
  <c r="DE95" i="63"/>
  <c r="GE95" i="63"/>
  <c r="I109" i="73"/>
  <c r="DF95" i="63"/>
  <c r="DC95" i="63"/>
  <c r="CX99" i="63"/>
  <c r="CY99" i="63"/>
  <c r="CZ99" i="63"/>
  <c r="FZ99" i="63"/>
  <c r="D113" i="73"/>
  <c r="D547" i="73" s="1"/>
  <c r="DH99" i="63"/>
  <c r="DD99" i="63"/>
  <c r="DF99" i="63"/>
  <c r="GF99" i="63"/>
  <c r="J113" i="73"/>
  <c r="J547" i="73" s="1"/>
  <c r="DG99" i="63"/>
  <c r="DA99" i="63"/>
  <c r="DB99" i="63"/>
  <c r="GB99" i="63"/>
  <c r="F113" i="73"/>
  <c r="F547" i="73" s="1"/>
  <c r="DE99" i="63"/>
  <c r="DC99" i="63"/>
  <c r="CX103" i="63"/>
  <c r="CY103" i="63"/>
  <c r="DH103" i="63"/>
  <c r="DD103" i="63"/>
  <c r="CZ103" i="63"/>
  <c r="DG103" i="63"/>
  <c r="GG103" i="63"/>
  <c r="K117" i="73"/>
  <c r="DA103" i="63"/>
  <c r="DB103" i="63"/>
  <c r="DE103" i="63"/>
  <c r="DF103" i="63"/>
  <c r="GF103" i="63"/>
  <c r="J117" i="73"/>
  <c r="J551" i="73" s="1"/>
  <c r="DC103" i="63"/>
  <c r="CX107" i="63"/>
  <c r="CY107" i="63"/>
  <c r="CZ107" i="63"/>
  <c r="DH107" i="63"/>
  <c r="DD107" i="63"/>
  <c r="DF107" i="63"/>
  <c r="GF107" i="63"/>
  <c r="J121" i="73"/>
  <c r="DC107" i="63"/>
  <c r="DG107" i="63"/>
  <c r="DA107" i="63"/>
  <c r="DB107" i="63"/>
  <c r="GB107" i="63"/>
  <c r="F121" i="73"/>
  <c r="F555" i="73" s="1"/>
  <c r="DE107" i="63"/>
  <c r="GE107" i="63"/>
  <c r="I121" i="73"/>
  <c r="CX111" i="63"/>
  <c r="CY111" i="63"/>
  <c r="CZ111" i="63"/>
  <c r="DH111" i="63"/>
  <c r="DD111" i="63"/>
  <c r="DF111" i="63"/>
  <c r="DC111" i="63"/>
  <c r="DG111" i="63"/>
  <c r="GG111" i="63"/>
  <c r="K125" i="73"/>
  <c r="K559" i="73" s="1"/>
  <c r="DA111" i="63"/>
  <c r="GA111" i="63"/>
  <c r="E125" i="73"/>
  <c r="E559" i="73" s="1"/>
  <c r="DB111" i="63"/>
  <c r="DE111" i="63"/>
  <c r="CX115" i="63"/>
  <c r="DH115" i="63"/>
  <c r="CZ115" i="63"/>
  <c r="FZ115" i="63"/>
  <c r="D129" i="73"/>
  <c r="D563" i="73" s="1"/>
  <c r="CY115" i="63"/>
  <c r="DD115" i="63"/>
  <c r="DC115" i="63"/>
  <c r="DG115" i="63"/>
  <c r="DA115" i="63"/>
  <c r="DB115" i="63"/>
  <c r="DE115" i="63"/>
  <c r="GE115" i="63"/>
  <c r="I129" i="73"/>
  <c r="I563" i="73" s="1"/>
  <c r="DF115" i="63"/>
  <c r="CX119" i="63"/>
  <c r="DD119" i="63"/>
  <c r="CZ119" i="63"/>
  <c r="CY119" i="63"/>
  <c r="DH119" i="63"/>
  <c r="DF119" i="63"/>
  <c r="DG119" i="63"/>
  <c r="GG119" i="63"/>
  <c r="K133" i="73"/>
  <c r="DA119" i="63"/>
  <c r="DB119" i="63"/>
  <c r="DC119" i="63"/>
  <c r="DE119" i="63"/>
  <c r="CX105" i="63"/>
  <c r="FX105" i="63"/>
  <c r="B119" i="73"/>
  <c r="CY105" i="63"/>
  <c r="DH105" i="63"/>
  <c r="GH105" i="63"/>
  <c r="L119" i="73"/>
  <c r="L553" i="73" s="1"/>
  <c r="DD105" i="63"/>
  <c r="GD105" i="63"/>
  <c r="H119" i="73"/>
  <c r="CZ105" i="63"/>
  <c r="DG105" i="63"/>
  <c r="DF105" i="63"/>
  <c r="DA105" i="63"/>
  <c r="GA105" i="63"/>
  <c r="E119" i="73"/>
  <c r="E553" i="73" s="1"/>
  <c r="DB105" i="63"/>
  <c r="GB105" i="63"/>
  <c r="F119" i="73"/>
  <c r="DC105" i="63"/>
  <c r="GC105" i="63"/>
  <c r="G119" i="73"/>
  <c r="G553" i="73" s="1"/>
  <c r="DE105" i="63"/>
  <c r="CX117" i="63"/>
  <c r="FX117" i="63"/>
  <c r="CZ117" i="63"/>
  <c r="DD117" i="63"/>
  <c r="CY117" i="63"/>
  <c r="FY117" i="63"/>
  <c r="C131" i="73"/>
  <c r="C565" i="73" s="1"/>
  <c r="DH117" i="63"/>
  <c r="GH117" i="63"/>
  <c r="DE117" i="63"/>
  <c r="DG117" i="63"/>
  <c r="GG117" i="63"/>
  <c r="DF117" i="63"/>
  <c r="DA117" i="63"/>
  <c r="GA117" i="63"/>
  <c r="DB117" i="63"/>
  <c r="GB117" i="63"/>
  <c r="DC117" i="63"/>
  <c r="GC117" i="63"/>
  <c r="CX96" i="63"/>
  <c r="CY96" i="63"/>
  <c r="DD96" i="63"/>
  <c r="CZ96" i="63"/>
  <c r="DH96" i="63"/>
  <c r="DB96" i="63"/>
  <c r="DE96" i="63"/>
  <c r="DC96" i="63"/>
  <c r="DF96" i="63"/>
  <c r="GF96" i="63"/>
  <c r="J110" i="73"/>
  <c r="DG96" i="63"/>
  <c r="GG96" i="63"/>
  <c r="K110" i="73"/>
  <c r="DA96" i="63"/>
  <c r="CX100" i="63"/>
  <c r="CY100" i="63"/>
  <c r="DD100" i="63"/>
  <c r="CZ100" i="63"/>
  <c r="FZ100" i="63"/>
  <c r="DH100" i="63"/>
  <c r="DE100" i="63"/>
  <c r="GE100" i="63"/>
  <c r="DC100" i="63"/>
  <c r="DB100" i="63"/>
  <c r="DF100" i="63"/>
  <c r="GF100" i="63"/>
  <c r="DG100" i="63"/>
  <c r="DA100" i="63"/>
  <c r="CX104" i="63"/>
  <c r="CY104" i="63"/>
  <c r="DD104" i="63"/>
  <c r="CZ104" i="63"/>
  <c r="DH104" i="63"/>
  <c r="DA104" i="63"/>
  <c r="DE104" i="63"/>
  <c r="GE104" i="63"/>
  <c r="I118" i="73"/>
  <c r="I552" i="73" s="1"/>
  <c r="DC104" i="63"/>
  <c r="DF104" i="63"/>
  <c r="GF104" i="63"/>
  <c r="J118" i="73"/>
  <c r="DG104" i="63"/>
  <c r="DB104" i="63"/>
  <c r="GB104" i="63"/>
  <c r="F118" i="73"/>
  <c r="F552" i="73" s="1"/>
  <c r="CX108" i="63"/>
  <c r="CY108" i="63"/>
  <c r="DD108" i="63"/>
  <c r="CZ108" i="63"/>
  <c r="DH108" i="63"/>
  <c r="DA108" i="63"/>
  <c r="DB108" i="63"/>
  <c r="DE108" i="63"/>
  <c r="DC108" i="63"/>
  <c r="DF108" i="63"/>
  <c r="GF108" i="63"/>
  <c r="DG108" i="63"/>
  <c r="GG108" i="63"/>
  <c r="CX112" i="63"/>
  <c r="CY112" i="63"/>
  <c r="DD112" i="63"/>
  <c r="CZ112" i="63"/>
  <c r="DH112" i="63"/>
  <c r="DE112" i="63"/>
  <c r="GE112" i="63"/>
  <c r="I126" i="73"/>
  <c r="I560" i="73" s="1"/>
  <c r="DC112" i="63"/>
  <c r="DF112" i="63"/>
  <c r="DG112" i="63"/>
  <c r="GG112" i="63"/>
  <c r="K126" i="73"/>
  <c r="K560" i="73" s="1"/>
  <c r="DA112" i="63"/>
  <c r="GA112" i="63"/>
  <c r="E126" i="73"/>
  <c r="E560" i="73" s="1"/>
  <c r="DB112" i="63"/>
  <c r="GB112" i="63"/>
  <c r="F126" i="73"/>
  <c r="F560" i="73" s="1"/>
  <c r="CX116" i="63"/>
  <c r="CZ116" i="63"/>
  <c r="FZ116" i="63"/>
  <c r="CY116" i="63"/>
  <c r="DH116" i="63"/>
  <c r="DD116" i="63"/>
  <c r="DE116" i="63"/>
  <c r="GE116" i="63"/>
  <c r="DC116" i="63"/>
  <c r="DB116" i="63"/>
  <c r="GB116" i="63"/>
  <c r="DF116" i="63"/>
  <c r="GF116" i="63"/>
  <c r="DG116" i="63"/>
  <c r="GG116" i="63"/>
  <c r="DA116" i="63"/>
  <c r="CZ69" i="63"/>
  <c r="CY69" i="63"/>
  <c r="DB69" i="63"/>
  <c r="DF69" i="63"/>
  <c r="CX69" i="63"/>
  <c r="DC69" i="63"/>
  <c r="DD69" i="63"/>
  <c r="DA69" i="63"/>
  <c r="DG69" i="63"/>
  <c r="DH69" i="63"/>
  <c r="DE69" i="63"/>
  <c r="CZ81" i="63"/>
  <c r="CY81" i="63"/>
  <c r="DF81" i="63"/>
  <c r="DB81" i="63"/>
  <c r="CX81" i="63"/>
  <c r="DC81" i="63"/>
  <c r="DD81" i="63"/>
  <c r="DA81" i="63"/>
  <c r="DE81" i="63"/>
  <c r="DG81" i="63"/>
  <c r="DH81" i="63"/>
  <c r="CZ64" i="63"/>
  <c r="CY64" i="63"/>
  <c r="FY64" i="63"/>
  <c r="C74" i="73"/>
  <c r="C461" i="73" s="1"/>
  <c r="DB64" i="63"/>
  <c r="GB64" i="63"/>
  <c r="F74" i="73"/>
  <c r="CX64" i="63"/>
  <c r="DF64" i="63"/>
  <c r="DC64" i="63"/>
  <c r="GC64" i="63"/>
  <c r="G74" i="73"/>
  <c r="G461" i="73" s="1"/>
  <c r="DD64" i="63"/>
  <c r="GD64" i="63"/>
  <c r="H74" i="73"/>
  <c r="H461" i="73" s="1"/>
  <c r="DA64" i="63"/>
  <c r="DG64" i="63"/>
  <c r="DH64" i="63"/>
  <c r="GH64" i="63"/>
  <c r="L74" i="73"/>
  <c r="L461" i="73" s="1"/>
  <c r="DE64" i="63"/>
  <c r="CZ68" i="63"/>
  <c r="CY68" i="63"/>
  <c r="FY68" i="63"/>
  <c r="C78" i="73"/>
  <c r="C465" i="73" s="1"/>
  <c r="DB68" i="63"/>
  <c r="CX68" i="63"/>
  <c r="FX68" i="63"/>
  <c r="B78" i="73"/>
  <c r="B465" i="73" s="1"/>
  <c r="DF68" i="63"/>
  <c r="DC68" i="63"/>
  <c r="GC68" i="63"/>
  <c r="G78" i="73"/>
  <c r="DG68" i="63"/>
  <c r="GG68" i="63"/>
  <c r="K78" i="73"/>
  <c r="DH68" i="63"/>
  <c r="GH68" i="63"/>
  <c r="L78" i="73"/>
  <c r="L465" i="73" s="1"/>
  <c r="DE68" i="63"/>
  <c r="DD68" i="63"/>
  <c r="DA68" i="63"/>
  <c r="GA68" i="63"/>
  <c r="E78" i="73"/>
  <c r="CZ72" i="63"/>
  <c r="CY72" i="63"/>
  <c r="CX72" i="63"/>
  <c r="FX72" i="63"/>
  <c r="B82" i="73"/>
  <c r="DF72" i="63"/>
  <c r="DB72" i="63"/>
  <c r="GB72" i="63"/>
  <c r="F82" i="73"/>
  <c r="F469" i="73" s="1"/>
  <c r="DA72" i="63"/>
  <c r="DC72" i="63"/>
  <c r="GC72" i="63"/>
  <c r="G82" i="73"/>
  <c r="DG72" i="63"/>
  <c r="GG72" i="63"/>
  <c r="K82" i="73"/>
  <c r="K469" i="73" s="1"/>
  <c r="DH72" i="63"/>
  <c r="DE72" i="63"/>
  <c r="DD72" i="63"/>
  <c r="GD72" i="63"/>
  <c r="H82" i="73"/>
  <c r="H469" i="73" s="1"/>
  <c r="CZ76" i="63"/>
  <c r="CY76" i="63"/>
  <c r="FY76" i="63"/>
  <c r="C86" i="73"/>
  <c r="C473" i="73" s="1"/>
  <c r="DB76" i="63"/>
  <c r="GB76" i="63"/>
  <c r="F86" i="73"/>
  <c r="F473" i="73" s="1"/>
  <c r="CX76" i="63"/>
  <c r="FX76" i="63"/>
  <c r="B86" i="73"/>
  <c r="B473" i="73" s="1"/>
  <c r="DF76" i="63"/>
  <c r="DD76" i="63"/>
  <c r="GD76" i="63"/>
  <c r="H86" i="73"/>
  <c r="DA76" i="63"/>
  <c r="DG76" i="63"/>
  <c r="GG76" i="63"/>
  <c r="K86" i="73"/>
  <c r="K473" i="73" s="1"/>
  <c r="DH76" i="63"/>
  <c r="GH76" i="63"/>
  <c r="L86" i="73"/>
  <c r="DE76" i="63"/>
  <c r="DC76" i="63"/>
  <c r="CZ80" i="63"/>
  <c r="CY80" i="63"/>
  <c r="FY80" i="63"/>
  <c r="C90" i="73"/>
  <c r="C477" i="73" s="1"/>
  <c r="CX80" i="63"/>
  <c r="DF80" i="63"/>
  <c r="DB80" i="63"/>
  <c r="GB80" i="63"/>
  <c r="F90" i="73"/>
  <c r="DC80" i="63"/>
  <c r="GC80" i="63"/>
  <c r="G90" i="73"/>
  <c r="G477" i="73" s="1"/>
  <c r="DD80" i="63"/>
  <c r="GD80" i="63"/>
  <c r="H90" i="73"/>
  <c r="DG80" i="63"/>
  <c r="DH80" i="63"/>
  <c r="GH80" i="63"/>
  <c r="L90" i="73"/>
  <c r="DE80" i="63"/>
  <c r="DA80" i="63"/>
  <c r="GA80" i="63"/>
  <c r="E90" i="73"/>
  <c r="DB84" i="63"/>
  <c r="CZ84" i="63"/>
  <c r="CX84" i="63"/>
  <c r="FX84" i="63"/>
  <c r="B94" i="73"/>
  <c r="B481" i="73" s="1"/>
  <c r="CY84" i="63"/>
  <c r="FY84" i="63"/>
  <c r="C94" i="73"/>
  <c r="DF84" i="63"/>
  <c r="DC84" i="63"/>
  <c r="GC84" i="63"/>
  <c r="G94" i="73"/>
  <c r="G481" i="73" s="1"/>
  <c r="DD84" i="63"/>
  <c r="DG84" i="63"/>
  <c r="GG84" i="63"/>
  <c r="K94" i="73"/>
  <c r="K481" i="73" s="1"/>
  <c r="DH84" i="63"/>
  <c r="GH84" i="63"/>
  <c r="L94" i="73"/>
  <c r="L481" i="73" s="1"/>
  <c r="DE84" i="63"/>
  <c r="DA84" i="63"/>
  <c r="GA84" i="63"/>
  <c r="E94" i="73"/>
  <c r="CZ88" i="63"/>
  <c r="DF88" i="63"/>
  <c r="CX88" i="63"/>
  <c r="FX88" i="63"/>
  <c r="B98" i="73"/>
  <c r="B485" i="73" s="1"/>
  <c r="CY88" i="63"/>
  <c r="DB88" i="63"/>
  <c r="GB88" i="63"/>
  <c r="F98" i="73"/>
  <c r="F485" i="73" s="1"/>
  <c r="DA88" i="63"/>
  <c r="GA88" i="63"/>
  <c r="E98" i="73"/>
  <c r="E485" i="73" s="1"/>
  <c r="DG88" i="63"/>
  <c r="GG88" i="63"/>
  <c r="K98" i="73"/>
  <c r="K485" i="73" s="1"/>
  <c r="DH88" i="63"/>
  <c r="DE88" i="63"/>
  <c r="DC88" i="63"/>
  <c r="GC88" i="63"/>
  <c r="G98" i="73"/>
  <c r="G485" i="73" s="1"/>
  <c r="DD88" i="63"/>
  <c r="GD88" i="63"/>
  <c r="H98" i="73"/>
  <c r="H485" i="73" s="1"/>
  <c r="CZ65" i="63"/>
  <c r="CY65" i="63"/>
  <c r="DB65" i="63"/>
  <c r="DF65" i="63"/>
  <c r="CX65" i="63"/>
  <c r="DC65" i="63"/>
  <c r="DD65" i="63"/>
  <c r="DA65" i="63"/>
  <c r="DG65" i="63"/>
  <c r="DH65" i="63"/>
  <c r="DE65" i="63"/>
  <c r="CZ77" i="63"/>
  <c r="CY77" i="63"/>
  <c r="DF77" i="63"/>
  <c r="DB77" i="63"/>
  <c r="CX77" i="63"/>
  <c r="DC77" i="63"/>
  <c r="DD77" i="63"/>
  <c r="DA77" i="63"/>
  <c r="DG77" i="63"/>
  <c r="DH77" i="63"/>
  <c r="DE77" i="63"/>
  <c r="DF89" i="63"/>
  <c r="CZ89" i="63"/>
  <c r="DB89" i="63"/>
  <c r="CY89" i="63"/>
  <c r="CX89" i="63"/>
  <c r="DC89" i="63"/>
  <c r="DD89" i="63"/>
  <c r="DA89" i="63"/>
  <c r="DG89" i="63"/>
  <c r="DH89" i="63"/>
  <c r="DE89" i="63"/>
  <c r="CZ66" i="63"/>
  <c r="FZ66" i="63"/>
  <c r="D76" i="73"/>
  <c r="D463" i="73" s="1"/>
  <c r="CY66" i="63"/>
  <c r="DF66" i="63"/>
  <c r="CX66" i="63"/>
  <c r="DB66" i="63"/>
  <c r="DD66" i="63"/>
  <c r="DA66" i="63"/>
  <c r="DG66" i="63"/>
  <c r="DH66" i="63"/>
  <c r="DE66" i="63"/>
  <c r="DC66" i="63"/>
  <c r="CZ70" i="63"/>
  <c r="CY70" i="63"/>
  <c r="DF70" i="63"/>
  <c r="CX70" i="63"/>
  <c r="DB70" i="63"/>
  <c r="DD70" i="63"/>
  <c r="DA70" i="63"/>
  <c r="DG70" i="63"/>
  <c r="DH70" i="63"/>
  <c r="DE70" i="63"/>
  <c r="GE70" i="63"/>
  <c r="I80" i="73"/>
  <c r="DC70" i="63"/>
  <c r="CZ74" i="63"/>
  <c r="FZ74" i="63"/>
  <c r="D84" i="73"/>
  <c r="CY74" i="63"/>
  <c r="DF74" i="63"/>
  <c r="CX74" i="63"/>
  <c r="DB74" i="63"/>
  <c r="DC74" i="63"/>
  <c r="DD74" i="63"/>
  <c r="DG74" i="63"/>
  <c r="DH74" i="63"/>
  <c r="DE74" i="63"/>
  <c r="DA74" i="63"/>
  <c r="CZ78" i="63"/>
  <c r="CY78" i="63"/>
  <c r="DF78" i="63"/>
  <c r="CX78" i="63"/>
  <c r="DB78" i="63"/>
  <c r="DA78" i="63"/>
  <c r="DC78" i="63"/>
  <c r="DG78" i="63"/>
  <c r="DH78" i="63"/>
  <c r="DE78" i="63"/>
  <c r="GE78" i="63"/>
  <c r="I88" i="73"/>
  <c r="DD78" i="63"/>
  <c r="CZ82" i="63"/>
  <c r="CY82" i="63"/>
  <c r="DF82" i="63"/>
  <c r="CX82" i="63"/>
  <c r="DB82" i="63"/>
  <c r="DA82" i="63"/>
  <c r="DG82" i="63"/>
  <c r="DH82" i="63"/>
  <c r="DE82" i="63"/>
  <c r="GE82" i="63"/>
  <c r="I92" i="73"/>
  <c r="I479" i="73" s="1"/>
  <c r="DC82" i="63"/>
  <c r="DD82" i="63"/>
  <c r="DB86" i="63"/>
  <c r="CZ86" i="63"/>
  <c r="DF86" i="63"/>
  <c r="CY86" i="63"/>
  <c r="CX86" i="63"/>
  <c r="DC86" i="63"/>
  <c r="DD86" i="63"/>
  <c r="DA86" i="63"/>
  <c r="DG86" i="63"/>
  <c r="DH86" i="63"/>
  <c r="DE86" i="63"/>
  <c r="CZ73" i="63"/>
  <c r="CY73" i="63"/>
  <c r="DF73" i="63"/>
  <c r="DB73" i="63"/>
  <c r="CX73" i="63"/>
  <c r="DC73" i="63"/>
  <c r="DD73" i="63"/>
  <c r="GD73" i="63"/>
  <c r="H83" i="73"/>
  <c r="H470" i="73" s="1"/>
  <c r="DA73" i="63"/>
  <c r="DG73" i="63"/>
  <c r="DH73" i="63"/>
  <c r="DE73" i="63"/>
  <c r="CX85" i="63"/>
  <c r="CZ85" i="63"/>
  <c r="DB85" i="63"/>
  <c r="CY85" i="63"/>
  <c r="DF85" i="63"/>
  <c r="DC85" i="63"/>
  <c r="DD85" i="63"/>
  <c r="DA85" i="63"/>
  <c r="DG85" i="63"/>
  <c r="DH85" i="63"/>
  <c r="DE85" i="63"/>
  <c r="CZ67" i="63"/>
  <c r="FZ67" i="63"/>
  <c r="D77" i="73"/>
  <c r="D464" i="73" s="1"/>
  <c r="CY67" i="63"/>
  <c r="DB67" i="63"/>
  <c r="CX67" i="63"/>
  <c r="DF67" i="63"/>
  <c r="DC67" i="63"/>
  <c r="DD67" i="63"/>
  <c r="DA67" i="63"/>
  <c r="DG67" i="63"/>
  <c r="GG67" i="63"/>
  <c r="K77" i="73"/>
  <c r="DH67" i="63"/>
  <c r="DE67" i="63"/>
  <c r="CZ71" i="63"/>
  <c r="FZ71" i="63"/>
  <c r="D81" i="73"/>
  <c r="D468" i="73" s="1"/>
  <c r="CY71" i="63"/>
  <c r="DB71" i="63"/>
  <c r="GB71" i="63"/>
  <c r="F81" i="73"/>
  <c r="CX71" i="63"/>
  <c r="DF71" i="63"/>
  <c r="DC71" i="63"/>
  <c r="DD71" i="63"/>
  <c r="DA71" i="63"/>
  <c r="DG71" i="63"/>
  <c r="DH71" i="63"/>
  <c r="DE71" i="63"/>
  <c r="GE71" i="63"/>
  <c r="I81" i="73"/>
  <c r="I468" i="73" s="1"/>
  <c r="CZ75" i="63"/>
  <c r="CY75" i="63"/>
  <c r="DB75" i="63"/>
  <c r="CX75" i="63"/>
  <c r="DF75" i="63"/>
  <c r="GF75" i="63"/>
  <c r="J85" i="73"/>
  <c r="DC75" i="63"/>
  <c r="DD75" i="63"/>
  <c r="DG75" i="63"/>
  <c r="DH75" i="63"/>
  <c r="DA75" i="63"/>
  <c r="GA75" i="63"/>
  <c r="E85" i="73"/>
  <c r="E472" i="73" s="1"/>
  <c r="DE75" i="63"/>
  <c r="GE75" i="63"/>
  <c r="I85" i="73"/>
  <c r="I472" i="73" s="1"/>
  <c r="CZ79" i="63"/>
  <c r="CY79" i="63"/>
  <c r="CX79" i="63"/>
  <c r="DB79" i="63"/>
  <c r="GB79" i="63"/>
  <c r="F89" i="73"/>
  <c r="F476" i="73" s="1"/>
  <c r="DF79" i="63"/>
  <c r="DC79" i="63"/>
  <c r="DD79" i="63"/>
  <c r="DG79" i="63"/>
  <c r="DH79" i="63"/>
  <c r="DA79" i="63"/>
  <c r="DE79" i="63"/>
  <c r="GE79" i="63"/>
  <c r="I89" i="73"/>
  <c r="I476" i="73" s="1"/>
  <c r="DB83" i="63"/>
  <c r="CZ83" i="63"/>
  <c r="CY83" i="63"/>
  <c r="DF83" i="63"/>
  <c r="CX83" i="63"/>
  <c r="DC83" i="63"/>
  <c r="DD83" i="63"/>
  <c r="DG83" i="63"/>
  <c r="GG83" i="63"/>
  <c r="K93" i="73"/>
  <c r="K480" i="73" s="1"/>
  <c r="DH83" i="63"/>
  <c r="DE83" i="63"/>
  <c r="GE83" i="63"/>
  <c r="I93" i="73"/>
  <c r="I480" i="73" s="1"/>
  <c r="DA83" i="63"/>
  <c r="DF87" i="63"/>
  <c r="CZ87" i="63"/>
  <c r="FZ87" i="63"/>
  <c r="D97" i="73"/>
  <c r="D484" i="73" s="1"/>
  <c r="CX87" i="63"/>
  <c r="CY87" i="63"/>
  <c r="DB87" i="63"/>
  <c r="DC87" i="63"/>
  <c r="DD87" i="63"/>
  <c r="DE87" i="63"/>
  <c r="DG87" i="63"/>
  <c r="DH87" i="63"/>
  <c r="DA87" i="63"/>
  <c r="DF63" i="63"/>
  <c r="GF63" i="63"/>
  <c r="J73" i="73"/>
  <c r="DB63" i="63"/>
  <c r="CX63" i="63"/>
  <c r="DE63" i="63"/>
  <c r="DA63" i="63"/>
  <c r="DG63" i="63"/>
  <c r="DC63" i="63"/>
  <c r="CY63" i="63"/>
  <c r="DH63" i="63"/>
  <c r="DD63" i="63"/>
  <c r="CZ63" i="63"/>
  <c r="FZ63" i="63"/>
  <c r="D73" i="73"/>
  <c r="D460" i="73" s="1"/>
  <c r="E32" i="108"/>
  <c r="G17" i="118"/>
  <c r="G67" i="112"/>
  <c r="R58" i="112"/>
  <c r="R50" i="106"/>
  <c r="R23" i="112"/>
  <c r="R12" i="106"/>
  <c r="R16" i="106"/>
  <c r="G32" i="112"/>
  <c r="V32" i="108"/>
  <c r="AF187" i="73"/>
  <c r="B659" i="73" s="1"/>
  <c r="T87" i="64"/>
  <c r="CY30" i="63"/>
  <c r="DE30" i="63"/>
  <c r="DH30" i="63"/>
  <c r="DG30" i="63"/>
  <c r="DC180" i="63"/>
  <c r="L119" i="62"/>
  <c r="I119" i="62"/>
  <c r="J119" i="62"/>
  <c r="M119" i="62"/>
  <c r="K119" i="62"/>
  <c r="I49" i="62"/>
  <c r="J49" i="62"/>
  <c r="E58" i="62"/>
  <c r="L49" i="62"/>
  <c r="K49" i="62"/>
  <c r="M49" i="62"/>
  <c r="AB49" i="62"/>
  <c r="AD49" i="62"/>
  <c r="AC49" i="62"/>
  <c r="AA49" i="62"/>
  <c r="AE49" i="62"/>
  <c r="M84" i="62"/>
  <c r="I84" i="62"/>
  <c r="J84" i="62"/>
  <c r="L84" i="62"/>
  <c r="K84" i="62"/>
  <c r="W58" i="62"/>
  <c r="E23" i="62"/>
  <c r="E93" i="62"/>
  <c r="M14" i="62"/>
  <c r="J14" i="62"/>
  <c r="L14" i="62"/>
  <c r="K14" i="62"/>
  <c r="I14" i="62"/>
  <c r="CI32" i="66"/>
  <c r="BT47" i="66" s="1"/>
  <c r="CL32" i="66"/>
  <c r="BT50" i="66" s="1"/>
  <c r="CO32" i="66"/>
  <c r="BT53" i="66" s="1"/>
  <c r="DF32" i="66"/>
  <c r="BT70" i="66" s="1"/>
  <c r="DD32" i="66"/>
  <c r="DE32" i="66" s="1"/>
  <c r="BT69" i="66" s="1"/>
  <c r="CW32" i="66"/>
  <c r="BT61" i="66" s="1"/>
  <c r="CV32" i="66"/>
  <c r="BT60" i="66" s="1"/>
  <c r="BT58" i="66"/>
  <c r="CF32" i="66"/>
  <c r="CE32" i="66"/>
  <c r="BT43" i="66" s="1"/>
  <c r="CC32" i="66"/>
  <c r="CB32" i="66"/>
  <c r="BT40" i="66" s="1"/>
  <c r="BZ32" i="66"/>
  <c r="BY32" i="66"/>
  <c r="BT37" i="66" s="1"/>
  <c r="BW32" i="66"/>
  <c r="H233" i="73"/>
  <c r="H225" i="73"/>
  <c r="H221" i="73"/>
  <c r="H213" i="73"/>
  <c r="H229" i="73"/>
  <c r="H234" i="73"/>
  <c r="H230" i="73"/>
  <c r="H226" i="73"/>
  <c r="H222" i="73"/>
  <c r="H214" i="73"/>
  <c r="CS32" i="66"/>
  <c r="BT57" i="66" s="1"/>
  <c r="BT56" i="66"/>
  <c r="CH32" i="66"/>
  <c r="BT46" i="66" s="1"/>
  <c r="CK32" i="66"/>
  <c r="CN32" i="66"/>
  <c r="CP32" i="66"/>
  <c r="BT54" i="66" s="1"/>
  <c r="AF43" i="62"/>
  <c r="AF44" i="62"/>
  <c r="T53" i="62"/>
  <c r="AF45" i="62"/>
  <c r="AF78" i="62"/>
  <c r="AF79" i="62"/>
  <c r="AF80" i="62"/>
  <c r="V89" i="62"/>
  <c r="N148" i="62"/>
  <c r="N149" i="62"/>
  <c r="N150" i="62"/>
  <c r="N9" i="62"/>
  <c r="K18" i="62"/>
  <c r="N10" i="62"/>
  <c r="C19" i="62"/>
  <c r="N43" i="62"/>
  <c r="N44" i="62"/>
  <c r="N45" i="62"/>
  <c r="I54" i="62"/>
  <c r="N78" i="62"/>
  <c r="N79" i="62"/>
  <c r="N80" i="62"/>
  <c r="L121" i="62"/>
  <c r="N113" i="62"/>
  <c r="F122" i="62"/>
  <c r="N114" i="62"/>
  <c r="G123" i="62"/>
  <c r="N115" i="62"/>
  <c r="M124" i="62"/>
  <c r="K16" i="62"/>
  <c r="E122" i="62"/>
  <c r="H124" i="62"/>
  <c r="I121" i="62"/>
  <c r="J16" i="62"/>
  <c r="G23" i="62"/>
  <c r="F19" i="62"/>
  <c r="F18" i="62"/>
  <c r="E19" i="62"/>
  <c r="J121" i="62"/>
  <c r="K121" i="62"/>
  <c r="B19" i="62"/>
  <c r="J23" i="62"/>
  <c r="B124" i="62"/>
  <c r="J128" i="62"/>
  <c r="N8" i="62"/>
  <c r="L16" i="62"/>
  <c r="I16" i="62"/>
  <c r="M16" i="62"/>
  <c r="K159" i="62"/>
  <c r="B159" i="62"/>
  <c r="J163" i="62"/>
  <c r="L19" i="62"/>
  <c r="M121" i="62"/>
  <c r="C122" i="62"/>
  <c r="W31" i="65"/>
  <c r="A40" i="64"/>
  <c r="AM10" i="64"/>
  <c r="A34" i="64"/>
  <c r="AM9" i="64"/>
  <c r="A28" i="64"/>
  <c r="AM8" i="64"/>
  <c r="A21" i="64"/>
  <c r="AM7" i="64"/>
  <c r="A15" i="64"/>
  <c r="AM6" i="64"/>
  <c r="A8" i="64"/>
  <c r="AM5" i="64"/>
  <c r="A1" i="64"/>
  <c r="BV152" i="63"/>
  <c r="BV151" i="63"/>
  <c r="BG151" i="63"/>
  <c r="BV150" i="63"/>
  <c r="BG150" i="63"/>
  <c r="BV122" i="63"/>
  <c r="BV121" i="63"/>
  <c r="BG121" i="63"/>
  <c r="BV120" i="63"/>
  <c r="BG120" i="63"/>
  <c r="BV92" i="63"/>
  <c r="BV91" i="63"/>
  <c r="BG91" i="63"/>
  <c r="BV90" i="63"/>
  <c r="BG90" i="63"/>
  <c r="BV62" i="63"/>
  <c r="BV61" i="63"/>
  <c r="BG61" i="63"/>
  <c r="BV60" i="63"/>
  <c r="BG60" i="63"/>
  <c r="BV32" i="63"/>
  <c r="BV31" i="63"/>
  <c r="BG31" i="63"/>
  <c r="BV30" i="63"/>
  <c r="BG30" i="63"/>
  <c r="J156" i="62"/>
  <c r="M156" i="62"/>
  <c r="I156" i="62"/>
  <c r="K156" i="62"/>
  <c r="L156" i="62"/>
  <c r="EF3" i="63"/>
  <c r="DL4" i="63"/>
  <c r="FL4" i="63"/>
  <c r="DX4" i="63"/>
  <c r="DR5" i="63"/>
  <c r="EB5" i="63"/>
  <c r="DM6" i="63"/>
  <c r="EC6" i="63"/>
  <c r="DU7" i="63"/>
  <c r="EF7" i="63"/>
  <c r="DK8" i="63"/>
  <c r="EB8" i="63"/>
  <c r="DO9" i="63"/>
  <c r="EB9" i="63"/>
  <c r="DO10" i="63"/>
  <c r="DP13" i="63"/>
  <c r="FP13" i="63"/>
  <c r="EE13" i="63"/>
  <c r="DZ15" i="63"/>
  <c r="DR17" i="63"/>
  <c r="EA17" i="63"/>
  <c r="DP19" i="63"/>
  <c r="EF19" i="63"/>
  <c r="DP21" i="63"/>
  <c r="DR23" i="63"/>
  <c r="EF23" i="63"/>
  <c r="DM25" i="63"/>
  <c r="EE25" i="63"/>
  <c r="DP27" i="63"/>
  <c r="FP27" i="63"/>
  <c r="DZ27" i="63"/>
  <c r="DP29" i="63"/>
  <c r="EH29" i="63"/>
  <c r="DK63" i="63"/>
  <c r="DL64" i="63"/>
  <c r="FL64" i="63"/>
  <c r="EB64" i="63"/>
  <c r="DU65" i="63"/>
  <c r="DK66" i="63"/>
  <c r="EB66" i="63"/>
  <c r="DS67" i="63"/>
  <c r="DU68" i="63"/>
  <c r="FU68" i="63"/>
  <c r="DX68" i="63"/>
  <c r="DO69" i="63"/>
  <c r="DQ70" i="63"/>
  <c r="EB70" i="63"/>
  <c r="EE72" i="63"/>
  <c r="DP73" i="63"/>
  <c r="ED74" i="63"/>
  <c r="DL75" i="63"/>
  <c r="DK76" i="63"/>
  <c r="DR77" i="63"/>
  <c r="DK78" i="63"/>
  <c r="DX78" i="63"/>
  <c r="DU79" i="63"/>
  <c r="DY80" i="63"/>
  <c r="DS81" i="63"/>
  <c r="EA82" i="63"/>
  <c r="DU83" i="63"/>
  <c r="EF84" i="63"/>
  <c r="DM86" i="63"/>
  <c r="DQ88" i="63"/>
  <c r="EG132" i="63"/>
  <c r="EE133" i="63"/>
  <c r="DM106" i="63"/>
  <c r="DX106" i="63"/>
  <c r="EH112" i="63"/>
  <c r="EE175" i="63"/>
  <c r="DX159" i="63"/>
  <c r="DZ167" i="63"/>
  <c r="DX169" i="63"/>
  <c r="DU116" i="63"/>
  <c r="DL135" i="63"/>
  <c r="DN33" i="63"/>
  <c r="EH33" i="63"/>
  <c r="DU35" i="63"/>
  <c r="EC35" i="63"/>
  <c r="DQ37" i="63"/>
  <c r="EH37" i="63"/>
  <c r="DU39" i="63"/>
  <c r="EC39" i="63"/>
  <c r="DM41" i="63"/>
  <c r="EH41" i="63"/>
  <c r="DU43" i="63"/>
  <c r="DR45" i="63"/>
  <c r="EH45" i="63"/>
  <c r="DU47" i="63"/>
  <c r="ED47" i="63"/>
  <c r="EE48" i="63"/>
  <c r="DX50" i="63"/>
  <c r="DT51" i="63"/>
  <c r="DR52" i="63"/>
  <c r="DS53" i="63"/>
  <c r="EE54" i="63"/>
  <c r="DM55" i="63"/>
  <c r="DQ56" i="63"/>
  <c r="EB56" i="63"/>
  <c r="DQ57" i="63"/>
  <c r="DX58" i="63"/>
  <c r="EG140" i="63"/>
  <c r="DR141" i="63"/>
  <c r="DS142" i="63"/>
  <c r="EB142" i="63"/>
  <c r="DX153" i="63"/>
  <c r="ED154" i="63"/>
  <c r="DR161" i="63"/>
  <c r="FR161" i="63"/>
  <c r="EB161" i="63"/>
  <c r="DS171" i="63"/>
  <c r="EB171" i="63"/>
  <c r="DU178" i="63"/>
  <c r="EA178" i="63"/>
  <c r="DU114" i="63"/>
  <c r="DX135" i="63"/>
  <c r="DX139" i="63"/>
  <c r="EB146" i="63"/>
  <c r="DU124" i="63"/>
  <c r="EA124" i="63"/>
  <c r="DY126" i="63"/>
  <c r="DN130" i="63"/>
  <c r="EG130" i="63"/>
  <c r="DK144" i="63"/>
  <c r="ED144" i="63"/>
  <c r="DO155" i="63"/>
  <c r="FO155" i="63"/>
  <c r="DS157" i="63"/>
  <c r="EG157" i="63"/>
  <c r="DY163" i="63"/>
  <c r="EB166" i="63"/>
  <c r="DP173" i="63"/>
  <c r="DZ173" i="63"/>
  <c r="DO58" i="63"/>
  <c r="DM59" i="63"/>
  <c r="DU166" i="63"/>
  <c r="DO169" i="63"/>
  <c r="DS5" i="63"/>
  <c r="DX10" i="63"/>
  <c r="DK11" i="63"/>
  <c r="DX11" i="63"/>
  <c r="DK18" i="63"/>
  <c r="DK26" i="63"/>
  <c r="DK34" i="63"/>
  <c r="DK40" i="63"/>
  <c r="DK42" i="63"/>
  <c r="DK48" i="63"/>
  <c r="DX12" i="63"/>
  <c r="DX14" i="63"/>
  <c r="DX20" i="63"/>
  <c r="DX22" i="63"/>
  <c r="DX28" i="63"/>
  <c r="DX34" i="63"/>
  <c r="DX36" i="63"/>
  <c r="DX40" i="63"/>
  <c r="DX42" i="63"/>
  <c r="DX44" i="63"/>
  <c r="DL77" i="63"/>
  <c r="DK49" i="63"/>
  <c r="DX49" i="63"/>
  <c r="DX51" i="63"/>
  <c r="DX53" i="63"/>
  <c r="DX57" i="63"/>
  <c r="DX59" i="63"/>
  <c r="DX65" i="63"/>
  <c r="DX67" i="63"/>
  <c r="DX73" i="63"/>
  <c r="DX75" i="63"/>
  <c r="DX81" i="63"/>
  <c r="DX83" i="63"/>
  <c r="DX88" i="63"/>
  <c r="DX86" i="63"/>
  <c r="DK94" i="63"/>
  <c r="DX94" i="63"/>
  <c r="DK87" i="63"/>
  <c r="DK89" i="63"/>
  <c r="DK93" i="63"/>
  <c r="DK95" i="63"/>
  <c r="DK99" i="63"/>
  <c r="DK103" i="63"/>
  <c r="DK107" i="63"/>
  <c r="DK115" i="63"/>
  <c r="DX85" i="63"/>
  <c r="DX87" i="63"/>
  <c r="DX95" i="63"/>
  <c r="DX99" i="63"/>
  <c r="DX103" i="63"/>
  <c r="DK105" i="63"/>
  <c r="DK113" i="63"/>
  <c r="DK97" i="63"/>
  <c r="DK101" i="63"/>
  <c r="DK111" i="63"/>
  <c r="DK119" i="63"/>
  <c r="DK123" i="63"/>
  <c r="DX97" i="63"/>
  <c r="DX101" i="63"/>
  <c r="DK109" i="63"/>
  <c r="DK117" i="63"/>
  <c r="DK125" i="63"/>
  <c r="DK129" i="63"/>
  <c r="DK138" i="63"/>
  <c r="DK149" i="63"/>
  <c r="DX105" i="63"/>
  <c r="DX109" i="63"/>
  <c r="DX111" i="63"/>
  <c r="DX117" i="63"/>
  <c r="DX119" i="63"/>
  <c r="DK128" i="63"/>
  <c r="DK136" i="63"/>
  <c r="DK145" i="63"/>
  <c r="DK134" i="63"/>
  <c r="DK132" i="63"/>
  <c r="DK140" i="63"/>
  <c r="DK160" i="63"/>
  <c r="DK147" i="63"/>
  <c r="DK156" i="63"/>
  <c r="DK170" i="63"/>
  <c r="DX141" i="63"/>
  <c r="DK154" i="63"/>
  <c r="DK167" i="63"/>
  <c r="DK162" i="63"/>
  <c r="DK165" i="63"/>
  <c r="DK163" i="63"/>
  <c r="FK163" i="63"/>
  <c r="DK174" i="63"/>
  <c r="DK168" i="63"/>
  <c r="DK177" i="63"/>
  <c r="DX168" i="63"/>
  <c r="DK175" i="63"/>
  <c r="DK179" i="63"/>
  <c r="FK179" i="63"/>
  <c r="FK138" i="63"/>
  <c r="FV146" i="63"/>
  <c r="FK97" i="63"/>
  <c r="FV159" i="63"/>
  <c r="FV84" i="63"/>
  <c r="ED139" i="63"/>
  <c r="EB175" i="63"/>
  <c r="EH139" i="63"/>
  <c r="EF139" i="63"/>
  <c r="EF27" i="63"/>
  <c r="DY148" i="63"/>
  <c r="EB169" i="63"/>
  <c r="EA161" i="63"/>
  <c r="DQ146" i="63"/>
  <c r="EA54" i="63"/>
  <c r="DX178" i="63"/>
  <c r="DQ173" i="63"/>
  <c r="EE178" i="63"/>
  <c r="DZ148" i="63"/>
  <c r="DY139" i="63"/>
  <c r="EF133" i="63"/>
  <c r="EG133" i="63"/>
  <c r="EA66" i="63"/>
  <c r="DY169" i="63"/>
  <c r="DZ178" i="63"/>
  <c r="EC161" i="63"/>
  <c r="DL146" i="63"/>
  <c r="DS52" i="63"/>
  <c r="EF72" i="63"/>
  <c r="EC47" i="63"/>
  <c r="DZ169" i="63"/>
  <c r="DU173" i="63"/>
  <c r="DM169" i="63"/>
  <c r="DX161" i="63"/>
  <c r="EB148" i="63"/>
  <c r="DY146" i="63"/>
  <c r="EC139" i="63"/>
  <c r="EC131" i="63"/>
  <c r="DN59" i="63"/>
  <c r="DU78" i="63"/>
  <c r="DY178" i="63"/>
  <c r="EG161" i="63"/>
  <c r="DN146" i="63"/>
  <c r="DK57" i="63"/>
  <c r="DL70" i="63"/>
  <c r="EH43" i="63"/>
  <c r="DT141" i="63"/>
  <c r="EA169" i="63"/>
  <c r="EC169" i="63"/>
  <c r="EB178" i="63"/>
  <c r="EF175" i="63"/>
  <c r="ED178" i="63"/>
  <c r="EF161" i="63"/>
  <c r="EE161" i="63"/>
  <c r="ER161" i="63"/>
  <c r="EA148" i="63"/>
  <c r="EC148" i="63"/>
  <c r="DM146" i="63"/>
  <c r="DP146" i="63"/>
  <c r="DN141" i="63"/>
  <c r="EF54" i="63"/>
  <c r="EA64" i="63"/>
  <c r="DM17" i="63"/>
  <c r="EE173" i="63"/>
  <c r="EE169" i="63"/>
  <c r="EG169" i="63"/>
  <c r="EA175" i="63"/>
  <c r="EG175" i="63"/>
  <c r="DL173" i="63"/>
  <c r="EC178" i="63"/>
  <c r="EH178" i="63"/>
  <c r="EU178" i="63"/>
  <c r="EG167" i="63"/>
  <c r="ED148" i="63"/>
  <c r="DZ161" i="63"/>
  <c r="DT161" i="63"/>
  <c r="EE148" i="63"/>
  <c r="EG148" i="63"/>
  <c r="DS146" i="63"/>
  <c r="DU146" i="63"/>
  <c r="DR146" i="63"/>
  <c r="DT146" i="63"/>
  <c r="EG139" i="63"/>
  <c r="EA139" i="63"/>
  <c r="EE131" i="63"/>
  <c r="EH140" i="63"/>
  <c r="DM57" i="63"/>
  <c r="DL52" i="63"/>
  <c r="DP83" i="63"/>
  <c r="DR75" i="63"/>
  <c r="FR75" i="63"/>
  <c r="DT69" i="63"/>
  <c r="DR25" i="63"/>
  <c r="EF15" i="63"/>
  <c r="DR8" i="63"/>
  <c r="ED169" i="63"/>
  <c r="EF178" i="63"/>
  <c r="EG178" i="63"/>
  <c r="DO157" i="63"/>
  <c r="ED161" i="63"/>
  <c r="EH161" i="63"/>
  <c r="DY161" i="63"/>
  <c r="DS141" i="63"/>
  <c r="DK146" i="63"/>
  <c r="DO146" i="63"/>
  <c r="EB139" i="63"/>
  <c r="DZ139" i="63"/>
  <c r="EE139" i="63"/>
  <c r="DN144" i="63"/>
  <c r="FN144" i="63"/>
  <c r="DY54" i="63"/>
  <c r="DN52" i="63"/>
  <c r="EG82" i="63"/>
  <c r="DY74" i="63"/>
  <c r="DM67" i="63"/>
  <c r="EH4" i="63"/>
  <c r="DR4" i="63"/>
  <c r="DS3" i="63"/>
  <c r="ES3" i="63"/>
  <c r="DS59" i="63"/>
  <c r="DY35" i="63"/>
  <c r="DK45" i="63"/>
  <c r="DY48" i="63"/>
  <c r="DZ29" i="63"/>
  <c r="DP159" i="63"/>
  <c r="DM81" i="63"/>
  <c r="DZ58" i="63"/>
  <c r="ED17" i="63"/>
  <c r="DK7" i="63"/>
  <c r="DQ84" i="63"/>
  <c r="EG21" i="63"/>
  <c r="DP142" i="63"/>
  <c r="DY70" i="63"/>
  <c r="EH25" i="63"/>
  <c r="EC13" i="63"/>
  <c r="FC13" i="63"/>
  <c r="DZ37" i="63"/>
  <c r="DM171" i="63"/>
  <c r="EC153" i="63"/>
  <c r="DY132" i="63"/>
  <c r="EC106" i="63"/>
  <c r="DP171" i="63"/>
  <c r="EG163" i="63"/>
  <c r="DN159" i="63"/>
  <c r="DN142" i="63"/>
  <c r="DZ132" i="63"/>
  <c r="DP124" i="63"/>
  <c r="EF106" i="63"/>
  <c r="DN81" i="63"/>
  <c r="EF78" i="63"/>
  <c r="DK41" i="63"/>
  <c r="DM45" i="63"/>
  <c r="DY39" i="63"/>
  <c r="EF29" i="63"/>
  <c r="EC25" i="63"/>
  <c r="EB21" i="63"/>
  <c r="DY17" i="63"/>
  <c r="DP7" i="63"/>
  <c r="DM5" i="63"/>
  <c r="DZ78" i="63"/>
  <c r="ED70" i="63"/>
  <c r="DP68" i="63"/>
  <c r="DP65" i="63"/>
  <c r="DX48" i="63"/>
  <c r="DK33" i="63"/>
  <c r="EH48" i="63"/>
  <c r="DS41" i="63"/>
  <c r="EE29" i="63"/>
  <c r="EA21" i="63"/>
  <c r="EH13" i="63"/>
  <c r="DN3" i="63"/>
  <c r="EA163" i="63"/>
  <c r="DM130" i="63"/>
  <c r="EE58" i="63"/>
  <c r="DS55" i="63"/>
  <c r="FS55" i="63"/>
  <c r="DN171" i="63"/>
  <c r="EB163" i="63"/>
  <c r="EH153" i="63"/>
  <c r="DK159" i="63"/>
  <c r="DM142" i="63"/>
  <c r="EH106" i="63"/>
  <c r="DP130" i="63"/>
  <c r="FP130" i="63"/>
  <c r="EF58" i="63"/>
  <c r="EE78" i="63"/>
  <c r="DU76" i="63"/>
  <c r="DU73" i="63"/>
  <c r="DK68" i="63"/>
  <c r="DK37" i="63"/>
  <c r="DX21" i="63"/>
  <c r="DR41" i="63"/>
  <c r="DL37" i="63"/>
  <c r="DT33" i="63"/>
  <c r="DN9" i="63"/>
  <c r="DM166" i="63"/>
  <c r="ED146" i="63"/>
  <c r="DL141" i="63"/>
  <c r="DQ141" i="63"/>
  <c r="DR106" i="63"/>
  <c r="DL88" i="63"/>
  <c r="DN57" i="63"/>
  <c r="DL57" i="63"/>
  <c r="DU57" i="63"/>
  <c r="DZ54" i="63"/>
  <c r="DM52" i="63"/>
  <c r="ED80" i="63"/>
  <c r="DQ75" i="63"/>
  <c r="DZ72" i="63"/>
  <c r="DN67" i="63"/>
  <c r="DX47" i="63"/>
  <c r="DX43" i="63"/>
  <c r="DX39" i="63"/>
  <c r="DX35" i="63"/>
  <c r="EH47" i="63"/>
  <c r="EC43" i="63"/>
  <c r="ED39" i="63"/>
  <c r="ED35" i="63"/>
  <c r="DU29" i="63"/>
  <c r="DS25" i="63"/>
  <c r="DU21" i="63"/>
  <c r="DU13" i="63"/>
  <c r="DR166" i="63"/>
  <c r="EH146" i="63"/>
  <c r="DO141" i="63"/>
  <c r="DP141" i="63"/>
  <c r="DU141" i="63"/>
  <c r="DK75" i="63"/>
  <c r="DR57" i="63"/>
  <c r="DP57" i="63"/>
  <c r="ED54" i="63"/>
  <c r="EB54" i="63"/>
  <c r="DQ52" i="63"/>
  <c r="DO52" i="63"/>
  <c r="DP78" i="63"/>
  <c r="EG64" i="63"/>
  <c r="DK13" i="63"/>
  <c r="DY47" i="63"/>
  <c r="ED43" i="63"/>
  <c r="EH39" i="63"/>
  <c r="EH35" i="63"/>
  <c r="DS17" i="63"/>
  <c r="DS166" i="63"/>
  <c r="DK141" i="63"/>
  <c r="DM141" i="63"/>
  <c r="DS57" i="63"/>
  <c r="EG54" i="63"/>
  <c r="DT52" i="63"/>
  <c r="DK29" i="63"/>
  <c r="DY43" i="63"/>
  <c r="DK171" i="63"/>
  <c r="DQ171" i="63"/>
  <c r="DL171" i="63"/>
  <c r="EF153" i="63"/>
  <c r="DZ163" i="63"/>
  <c r="DX163" i="63"/>
  <c r="EC163" i="63"/>
  <c r="DY153" i="63"/>
  <c r="ED153" i="63"/>
  <c r="DQ159" i="63"/>
  <c r="DU159" i="63"/>
  <c r="DL159" i="63"/>
  <c r="DK142" i="63"/>
  <c r="DQ142" i="63"/>
  <c r="DL142" i="63"/>
  <c r="EE132" i="63"/>
  <c r="EF132" i="63"/>
  <c r="DK114" i="63"/>
  <c r="DY106" i="63"/>
  <c r="ED106" i="63"/>
  <c r="DR130" i="63"/>
  <c r="DO124" i="63"/>
  <c r="DN124" i="63"/>
  <c r="EG58" i="63"/>
  <c r="EA58" i="63"/>
  <c r="EB58" i="63"/>
  <c r="EO58" i="63"/>
  <c r="DO55" i="63"/>
  <c r="DM84" i="63"/>
  <c r="DS84" i="63"/>
  <c r="DL81" i="63"/>
  <c r="EG78" i="63"/>
  <c r="EA78" i="63"/>
  <c r="EB78" i="63"/>
  <c r="DQ76" i="63"/>
  <c r="DR73" i="63"/>
  <c r="DQ73" i="63"/>
  <c r="DZ70" i="63"/>
  <c r="EE70" i="63"/>
  <c r="EF70" i="63"/>
  <c r="DN68" i="63"/>
  <c r="DO65" i="63"/>
  <c r="DX17" i="63"/>
  <c r="EF48" i="63"/>
  <c r="ED48" i="63"/>
  <c r="DT45" i="63"/>
  <c r="DQ41" i="63"/>
  <c r="DU37" i="63"/>
  <c r="DP33" i="63"/>
  <c r="EB29" i="63"/>
  <c r="EG29" i="63"/>
  <c r="EA29" i="63"/>
  <c r="DY25" i="63"/>
  <c r="ED25" i="63"/>
  <c r="EC21" i="63"/>
  <c r="EH21" i="63"/>
  <c r="EF17" i="63"/>
  <c r="DZ17" i="63"/>
  <c r="EE17" i="63"/>
  <c r="ER17" i="63"/>
  <c r="DY13" i="63"/>
  <c r="ED13" i="63"/>
  <c r="DL7" i="63"/>
  <c r="DU3" i="63"/>
  <c r="DU9" i="63"/>
  <c r="FU9" i="63"/>
  <c r="DT5" i="63"/>
  <c r="DO5" i="63"/>
  <c r="DU171" i="63"/>
  <c r="DR171" i="63"/>
  <c r="DT171" i="63"/>
  <c r="EE163" i="63"/>
  <c r="EF163" i="63"/>
  <c r="EG153" i="63"/>
  <c r="EA153" i="63"/>
  <c r="DS159" i="63"/>
  <c r="DR159" i="63"/>
  <c r="DT159" i="63"/>
  <c r="FT159" i="63"/>
  <c r="DU142" i="63"/>
  <c r="DR142" i="63"/>
  <c r="DT142" i="63"/>
  <c r="ED132" i="63"/>
  <c r="DX132" i="63"/>
  <c r="EC132" i="63"/>
  <c r="EG106" i="63"/>
  <c r="EA106" i="63"/>
  <c r="DU130" i="63"/>
  <c r="DT130" i="63"/>
  <c r="FG130" i="63"/>
  <c r="DT124" i="63"/>
  <c r="DK73" i="63"/>
  <c r="DY58" i="63"/>
  <c r="ED58" i="63"/>
  <c r="DT55" i="63"/>
  <c r="DR84" i="63"/>
  <c r="DR81" i="63"/>
  <c r="DQ81" i="63"/>
  <c r="DY78" i="63"/>
  <c r="ED78" i="63"/>
  <c r="DL76" i="63"/>
  <c r="DL73" i="63"/>
  <c r="EC70" i="63"/>
  <c r="EH70" i="63"/>
  <c r="DX70" i="63"/>
  <c r="DT68" i="63"/>
  <c r="DO68" i="63"/>
  <c r="DT65" i="63"/>
  <c r="DX29" i="63"/>
  <c r="DX25" i="63"/>
  <c r="DZ48" i="63"/>
  <c r="EC48" i="63"/>
  <c r="EA48" i="63"/>
  <c r="DO45" i="63"/>
  <c r="DN45" i="63"/>
  <c r="DL41" i="63"/>
  <c r="DP37" i="63"/>
  <c r="DU33" i="63"/>
  <c r="DY29" i="63"/>
  <c r="ED29" i="63"/>
  <c r="EB25" i="63"/>
  <c r="EG25" i="63"/>
  <c r="EA25" i="63"/>
  <c r="EF21" i="63"/>
  <c r="DZ21" i="63"/>
  <c r="EE21" i="63"/>
  <c r="EC17" i="63"/>
  <c r="EH17" i="63"/>
  <c r="EB13" i="63"/>
  <c r="EG13" i="63"/>
  <c r="EA13" i="63"/>
  <c r="DQ7" i="63"/>
  <c r="DP3" i="63"/>
  <c r="DK3" i="63"/>
  <c r="DP9" i="63"/>
  <c r="DK9" i="63"/>
  <c r="DN5" i="63"/>
  <c r="DO171" i="63"/>
  <c r="ED163" i="63"/>
  <c r="EH163" i="63"/>
  <c r="EB153" i="63"/>
  <c r="DZ153" i="63"/>
  <c r="EE153" i="63"/>
  <c r="DO159" i="63"/>
  <c r="DM159" i="63"/>
  <c r="DO142" i="63"/>
  <c r="EH132" i="63"/>
  <c r="EA132" i="63"/>
  <c r="EB132" i="63"/>
  <c r="EB106" i="63"/>
  <c r="DZ106" i="63"/>
  <c r="EE106" i="63"/>
  <c r="DK124" i="63"/>
  <c r="EC58" i="63"/>
  <c r="EH58" i="63"/>
  <c r="DN55" i="63"/>
  <c r="DL84" i="63"/>
  <c r="EC78" i="63"/>
  <c r="EH78" i="63"/>
  <c r="DP76" i="63"/>
  <c r="EG70" i="63"/>
  <c r="EA70" i="63"/>
  <c r="DX13" i="63"/>
  <c r="EB48" i="63"/>
  <c r="EG48" i="63"/>
  <c r="DS45" i="63"/>
  <c r="DO33" i="63"/>
  <c r="EC29" i="63"/>
  <c r="EF25" i="63"/>
  <c r="DZ25" i="63"/>
  <c r="DY21" i="63"/>
  <c r="ED21" i="63"/>
  <c r="EB17" i="63"/>
  <c r="EG17" i="63"/>
  <c r="EF13" i="63"/>
  <c r="DZ13" i="63"/>
  <c r="DT3" i="63"/>
  <c r="DO3" i="63"/>
  <c r="DT9" i="63"/>
  <c r="DX142" i="63"/>
  <c r="DZ45" i="63"/>
  <c r="EC3" i="63"/>
  <c r="EF166" i="63"/>
  <c r="DY130" i="63"/>
  <c r="EC100" i="63"/>
  <c r="EE171" i="63"/>
  <c r="DY154" i="63"/>
  <c r="EC84" i="63"/>
  <c r="EB76" i="63"/>
  <c r="DZ68" i="63"/>
  <c r="EF33" i="63"/>
  <c r="DY9" i="63"/>
  <c r="DT153" i="63"/>
  <c r="DT58" i="63"/>
  <c r="EF171" i="63"/>
  <c r="DK153" i="63"/>
  <c r="DS133" i="63"/>
  <c r="EA130" i="63"/>
  <c r="EA76" i="63"/>
  <c r="EA50" i="63"/>
  <c r="EF45" i="63"/>
  <c r="EE41" i="63"/>
  <c r="EF37" i="63"/>
  <c r="ED5" i="63"/>
  <c r="DX7" i="63"/>
  <c r="EG171" i="63"/>
  <c r="EG166" i="63"/>
  <c r="DN153" i="63"/>
  <c r="EA142" i="63"/>
  <c r="DP108" i="63"/>
  <c r="DX100" i="63"/>
  <c r="EB124" i="63"/>
  <c r="EB100" i="63"/>
  <c r="DR58" i="63"/>
  <c r="DT53" i="63"/>
  <c r="EH84" i="63"/>
  <c r="EE68" i="63"/>
  <c r="DX45" i="63"/>
  <c r="EE45" i="63"/>
  <c r="EF41" i="63"/>
  <c r="EE37" i="63"/>
  <c r="DZ33" i="63"/>
  <c r="ED9" i="63"/>
  <c r="EH3" i="63"/>
  <c r="EC7" i="63"/>
  <c r="EA166" i="63"/>
  <c r="EC142" i="63"/>
  <c r="DZ130" i="63"/>
  <c r="EH154" i="63"/>
  <c r="DL116" i="63"/>
  <c r="ED124" i="63"/>
  <c r="EA100" i="63"/>
  <c r="DX84" i="63"/>
  <c r="EG76" i="63"/>
  <c r="EF68" i="63"/>
  <c r="EG50" i="63"/>
  <c r="DZ41" i="63"/>
  <c r="EE33" i="63"/>
  <c r="DY5" i="63"/>
  <c r="DX3" i="63"/>
  <c r="EH7" i="63"/>
  <c r="EU7" i="63"/>
  <c r="DS153" i="63"/>
  <c r="DP153" i="63"/>
  <c r="DU153" i="63"/>
  <c r="DM133" i="63"/>
  <c r="DP58" i="63"/>
  <c r="DN58" i="63"/>
  <c r="DS58" i="63"/>
  <c r="DO153" i="63"/>
  <c r="DM153" i="63"/>
  <c r="DR153" i="63"/>
  <c r="DM58" i="63"/>
  <c r="DK58" i="63"/>
  <c r="DR56" i="63"/>
  <c r="DT19" i="63"/>
  <c r="DM15" i="63"/>
  <c r="DL153" i="63"/>
  <c r="EL153" i="63"/>
  <c r="DQ153" i="63"/>
  <c r="DU58" i="63"/>
  <c r="DQ27" i="63"/>
  <c r="DT23" i="63"/>
  <c r="DM155" i="63"/>
  <c r="DR155" i="63"/>
  <c r="DL133" i="63"/>
  <c r="DL108" i="63"/>
  <c r="DS23" i="63"/>
  <c r="DL15" i="63"/>
  <c r="DK56" i="63"/>
  <c r="DU56" i="63"/>
  <c r="DP56" i="63"/>
  <c r="DO56" i="63"/>
  <c r="DN56" i="63"/>
  <c r="DT56" i="63"/>
  <c r="DQ53" i="63"/>
  <c r="DL53" i="63"/>
  <c r="DR53" i="63"/>
  <c r="DU53" i="63"/>
  <c r="DP53" i="63"/>
  <c r="DK53" i="63"/>
  <c r="DS116" i="63"/>
  <c r="DN116" i="63"/>
  <c r="DT116" i="63"/>
  <c r="DK116" i="63"/>
  <c r="DR116" i="63"/>
  <c r="FR116" i="63"/>
  <c r="DM116" i="63"/>
  <c r="DS108" i="63"/>
  <c r="DN108" i="63"/>
  <c r="DT108" i="63"/>
  <c r="DK108" i="63"/>
  <c r="DR108" i="63"/>
  <c r="DM108" i="63"/>
  <c r="DU133" i="63"/>
  <c r="DP133" i="63"/>
  <c r="DK133" i="63"/>
  <c r="DO133" i="63"/>
  <c r="DN133" i="63"/>
  <c r="DT133" i="63"/>
  <c r="DS82" i="63"/>
  <c r="DU82" i="63"/>
  <c r="DK82" i="63"/>
  <c r="DM79" i="63"/>
  <c r="DP79" i="63"/>
  <c r="DK79" i="63"/>
  <c r="DS74" i="63"/>
  <c r="DK74" i="63"/>
  <c r="DM71" i="63"/>
  <c r="DP71" i="63"/>
  <c r="DK71" i="63"/>
  <c r="DU71" i="63"/>
  <c r="DS66" i="63"/>
  <c r="DP66" i="63"/>
  <c r="DM63" i="63"/>
  <c r="DP63" i="63"/>
  <c r="DU63" i="63"/>
  <c r="DN27" i="63"/>
  <c r="DT27" i="63"/>
  <c r="DO27" i="63"/>
  <c r="DR27" i="63"/>
  <c r="DM27" i="63"/>
  <c r="DS27" i="63"/>
  <c r="DQ23" i="63"/>
  <c r="DL23" i="63"/>
  <c r="DU23" i="63"/>
  <c r="DP23" i="63"/>
  <c r="DR19" i="63"/>
  <c r="DM19" i="63"/>
  <c r="DS19" i="63"/>
  <c r="DQ19" i="63"/>
  <c r="DL19" i="63"/>
  <c r="DU15" i="63"/>
  <c r="DP15" i="63"/>
  <c r="DN15" i="63"/>
  <c r="DT15" i="63"/>
  <c r="DO15" i="63"/>
  <c r="DQ133" i="63"/>
  <c r="DP116" i="63"/>
  <c r="DQ108" i="63"/>
  <c r="DL56" i="63"/>
  <c r="DN53" i="63"/>
  <c r="DM53" i="63"/>
  <c r="DP82" i="63"/>
  <c r="DP74" i="63"/>
  <c r="DU27" i="63"/>
  <c r="DM23" i="63"/>
  <c r="DU19" i="63"/>
  <c r="DQ15" i="63"/>
  <c r="DO108" i="63"/>
  <c r="DO116" i="63"/>
  <c r="DO130" i="63"/>
  <c r="DK130" i="63"/>
  <c r="DL130" i="63"/>
  <c r="DQ130" i="63"/>
  <c r="DS130" i="63"/>
  <c r="DR124" i="63"/>
  <c r="DM124" i="63"/>
  <c r="DS124" i="63"/>
  <c r="DQ124" i="63"/>
  <c r="DL124" i="63"/>
  <c r="DQ55" i="63"/>
  <c r="DL55" i="63"/>
  <c r="DR55" i="63"/>
  <c r="DK55" i="63"/>
  <c r="DU55" i="63"/>
  <c r="DP55" i="63"/>
  <c r="DQ45" i="63"/>
  <c r="DL45" i="63"/>
  <c r="DU45" i="63"/>
  <c r="DP45" i="63"/>
  <c r="DU41" i="63"/>
  <c r="DP41" i="63"/>
  <c r="DN41" i="63"/>
  <c r="DT41" i="63"/>
  <c r="DO41" i="63"/>
  <c r="DN37" i="63"/>
  <c r="DT37" i="63"/>
  <c r="DO37" i="63"/>
  <c r="DR37" i="63"/>
  <c r="DM37" i="63"/>
  <c r="DS37" i="63"/>
  <c r="DR33" i="63"/>
  <c r="DM33" i="63"/>
  <c r="DS33" i="63"/>
  <c r="DQ33" i="63"/>
  <c r="DL33" i="63"/>
  <c r="DK84" i="63"/>
  <c r="DU84" i="63"/>
  <c r="DP84" i="63"/>
  <c r="DO84" i="63"/>
  <c r="DN84" i="63"/>
  <c r="DT84" i="63"/>
  <c r="FT84" i="63"/>
  <c r="DU81" i="63"/>
  <c r="DP81" i="63"/>
  <c r="DK81" i="63"/>
  <c r="DT81" i="63"/>
  <c r="DO81" i="63"/>
  <c r="DO76" i="63"/>
  <c r="DN76" i="63"/>
  <c r="FN76" i="63"/>
  <c r="DT76" i="63"/>
  <c r="DS76" i="63"/>
  <c r="DR76" i="63"/>
  <c r="DM76" i="63"/>
  <c r="DT73" i="63"/>
  <c r="DO73" i="63"/>
  <c r="DM73" i="63"/>
  <c r="DS73" i="63"/>
  <c r="DN73" i="63"/>
  <c r="DS68" i="63"/>
  <c r="DR68" i="63"/>
  <c r="DM68" i="63"/>
  <c r="DQ68" i="63"/>
  <c r="DL68" i="63"/>
  <c r="DM65" i="63"/>
  <c r="DS65" i="63"/>
  <c r="DN65" i="63"/>
  <c r="DQ65" i="63"/>
  <c r="DL65" i="63"/>
  <c r="DR65" i="63"/>
  <c r="DK65" i="63"/>
  <c r="DS9" i="63"/>
  <c r="DR9" i="63"/>
  <c r="DM9" i="63"/>
  <c r="DQ9" i="63"/>
  <c r="DL9" i="63"/>
  <c r="DO7" i="63"/>
  <c r="DN7" i="63"/>
  <c r="DT7" i="63"/>
  <c r="DS7" i="63"/>
  <c r="DR7" i="63"/>
  <c r="DM7" i="63"/>
  <c r="DQ5" i="63"/>
  <c r="DL5" i="63"/>
  <c r="DK5" i="63"/>
  <c r="DU5" i="63"/>
  <c r="DP5" i="63"/>
  <c r="DR133" i="63"/>
  <c r="DQ116" i="63"/>
  <c r="DU108" i="63"/>
  <c r="DM56" i="63"/>
  <c r="DS56" i="63"/>
  <c r="DO53" i="63"/>
  <c r="DU74" i="63"/>
  <c r="DU66" i="63"/>
  <c r="DK27" i="63"/>
  <c r="DK23" i="63"/>
  <c r="DK19" i="63"/>
  <c r="DK15" i="63"/>
  <c r="DL27" i="63"/>
  <c r="DO23" i="63"/>
  <c r="DN23" i="63"/>
  <c r="DO19" i="63"/>
  <c r="DN19" i="63"/>
  <c r="DS15" i="63"/>
  <c r="DR15" i="63"/>
  <c r="DL3" i="63"/>
  <c r="DQ3" i="63"/>
  <c r="DM3" i="63"/>
  <c r="DR3" i="63"/>
  <c r="AC86" i="62"/>
  <c r="AA86" i="62"/>
  <c r="AD86" i="62"/>
  <c r="AB86" i="62"/>
  <c r="AE86" i="62"/>
  <c r="T87" i="62"/>
  <c r="Y88" i="62"/>
  <c r="U88" i="62"/>
  <c r="AB88" i="62"/>
  <c r="X88" i="62"/>
  <c r="AA88" i="62"/>
  <c r="W88" i="62"/>
  <c r="Y54" i="62"/>
  <c r="U54" i="62"/>
  <c r="T54" i="62"/>
  <c r="V54" i="62"/>
  <c r="W54" i="62"/>
  <c r="AD54" i="62"/>
  <c r="U52" i="62"/>
  <c r="Z52" i="62"/>
  <c r="AD52" i="62"/>
  <c r="AE52" i="62"/>
  <c r="V52" i="62"/>
  <c r="AC51" i="62"/>
  <c r="AB51" i="62"/>
  <c r="AD51" i="62"/>
  <c r="AE51" i="62"/>
  <c r="AA51" i="62"/>
  <c r="Y53" i="62"/>
  <c r="AD53" i="62"/>
  <c r="E88" i="62"/>
  <c r="B88" i="62"/>
  <c r="C89" i="62"/>
  <c r="J86" i="62"/>
  <c r="M86" i="62"/>
  <c r="M90" i="62"/>
  <c r="I86" i="62"/>
  <c r="L86" i="62"/>
  <c r="K86" i="62"/>
  <c r="K90" i="62"/>
  <c r="J87" i="62"/>
  <c r="M87" i="62"/>
  <c r="I87" i="62"/>
  <c r="E87" i="62"/>
  <c r="L87" i="62"/>
  <c r="H87" i="62"/>
  <c r="D87" i="62"/>
  <c r="K87" i="62"/>
  <c r="G87" i="62"/>
  <c r="C87" i="62"/>
  <c r="F87" i="62"/>
  <c r="B87" i="62"/>
  <c r="K51" i="62"/>
  <c r="I51" i="62"/>
  <c r="L51" i="62"/>
  <c r="J51" i="62"/>
  <c r="M51" i="62"/>
  <c r="G54" i="62"/>
  <c r="M54" i="62"/>
  <c r="G53" i="62"/>
  <c r="G52" i="62"/>
  <c r="I52" i="62"/>
  <c r="EG173" i="63"/>
  <c r="DP178" i="63"/>
  <c r="DU161" i="63"/>
  <c r="DZ126" i="63"/>
  <c r="EF126" i="63"/>
  <c r="EH135" i="63"/>
  <c r="ED175" i="63"/>
  <c r="EC175" i="63"/>
  <c r="DX175" i="63"/>
  <c r="DZ175" i="63"/>
  <c r="DY175" i="63"/>
  <c r="EH175" i="63"/>
  <c r="DS106" i="63"/>
  <c r="DO106" i="63"/>
  <c r="DN106" i="63"/>
  <c r="DT106" i="63"/>
  <c r="DK106" i="63"/>
  <c r="DU106" i="63"/>
  <c r="DP106" i="63"/>
  <c r="DQ106" i="63"/>
  <c r="DL106" i="63"/>
  <c r="DM88" i="63"/>
  <c r="DS88" i="63"/>
  <c r="DN88" i="63"/>
  <c r="DT88" i="63"/>
  <c r="DO88" i="63"/>
  <c r="DR88" i="63"/>
  <c r="DU88" i="63"/>
  <c r="DP88" i="63"/>
  <c r="DK88" i="63"/>
  <c r="DQ83" i="63"/>
  <c r="DL83" i="63"/>
  <c r="DR83" i="63"/>
  <c r="FR83" i="63"/>
  <c r="DM83" i="63"/>
  <c r="DS83" i="63"/>
  <c r="DN83" i="63"/>
  <c r="DT83" i="63"/>
  <c r="DO83" i="63"/>
  <c r="DK83" i="63"/>
  <c r="EF80" i="63"/>
  <c r="EE80" i="63"/>
  <c r="DZ80" i="63"/>
  <c r="EB80" i="63"/>
  <c r="EA80" i="63"/>
  <c r="EG80" i="63"/>
  <c r="DX80" i="63"/>
  <c r="EH80" i="63"/>
  <c r="EC80" i="63"/>
  <c r="DQ78" i="63"/>
  <c r="DL78" i="63"/>
  <c r="DS78" i="63"/>
  <c r="DR78" i="63"/>
  <c r="DM78" i="63"/>
  <c r="DO78" i="63"/>
  <c r="DN78" i="63"/>
  <c r="DT78" i="63"/>
  <c r="DM75" i="63"/>
  <c r="DS75" i="63"/>
  <c r="DN75" i="63"/>
  <c r="DT75" i="63"/>
  <c r="DO75" i="63"/>
  <c r="DU75" i="63"/>
  <c r="DP75" i="63"/>
  <c r="EB72" i="63"/>
  <c r="EA72" i="63"/>
  <c r="EG72" i="63"/>
  <c r="DX72" i="63"/>
  <c r="EH72" i="63"/>
  <c r="EC72" i="63"/>
  <c r="ED72" i="63"/>
  <c r="DY72" i="63"/>
  <c r="DS70" i="63"/>
  <c r="DR70" i="63"/>
  <c r="DM70" i="63"/>
  <c r="DO70" i="63"/>
  <c r="DN70" i="63"/>
  <c r="DT70" i="63"/>
  <c r="DK70" i="63"/>
  <c r="DU70" i="63"/>
  <c r="DP70" i="63"/>
  <c r="DT67" i="63"/>
  <c r="DO67" i="63"/>
  <c r="DK67" i="63"/>
  <c r="DU67" i="63"/>
  <c r="DP67" i="63"/>
  <c r="DQ67" i="63"/>
  <c r="DL67" i="63"/>
  <c r="DR67" i="63"/>
  <c r="DX64" i="63"/>
  <c r="EH64" i="63"/>
  <c r="EC64" i="63"/>
  <c r="ED64" i="63"/>
  <c r="DY64" i="63"/>
  <c r="EF64" i="63"/>
  <c r="EE64" i="63"/>
  <c r="DZ64" i="63"/>
  <c r="DQ29" i="63"/>
  <c r="DL29" i="63"/>
  <c r="DR29" i="63"/>
  <c r="DM29" i="63"/>
  <c r="DS29" i="63"/>
  <c r="DN29" i="63"/>
  <c r="DT29" i="63"/>
  <c r="DO29" i="63"/>
  <c r="DN25" i="63"/>
  <c r="DT25" i="63"/>
  <c r="DO25" i="63"/>
  <c r="DU25" i="63"/>
  <c r="DP25" i="63"/>
  <c r="DQ25" i="63"/>
  <c r="DL25" i="63"/>
  <c r="DK25" i="63"/>
  <c r="DQ21" i="63"/>
  <c r="DL21" i="63"/>
  <c r="DR21" i="63"/>
  <c r="DM21" i="63"/>
  <c r="DS21" i="63"/>
  <c r="DK21" i="63"/>
  <c r="DN21" i="63"/>
  <c r="DT21" i="63"/>
  <c r="DO21" i="63"/>
  <c r="DN17" i="63"/>
  <c r="DT17" i="63"/>
  <c r="DO17" i="63"/>
  <c r="DK17" i="63"/>
  <c r="FK17" i="63"/>
  <c r="DU17" i="63"/>
  <c r="DP17" i="63"/>
  <c r="DQ17" i="63"/>
  <c r="DL17" i="63"/>
  <c r="DQ13" i="63"/>
  <c r="DL13" i="63"/>
  <c r="DR13" i="63"/>
  <c r="DM13" i="63"/>
  <c r="DS13" i="63"/>
  <c r="DN13" i="63"/>
  <c r="DT13" i="63"/>
  <c r="DO13" i="63"/>
  <c r="DZ8" i="63"/>
  <c r="ED8" i="63"/>
  <c r="EG8" i="63"/>
  <c r="EA8" i="63"/>
  <c r="DY8" i="63"/>
  <c r="ED6" i="63"/>
  <c r="EF6" i="63"/>
  <c r="EH6" i="63"/>
  <c r="DX6" i="63"/>
  <c r="DZ6" i="63"/>
  <c r="EM6" i="63"/>
  <c r="EE6" i="63"/>
  <c r="ED4" i="63"/>
  <c r="DZ4" i="63"/>
  <c r="EE4" i="63"/>
  <c r="FE4" i="63"/>
  <c r="EC4" i="63"/>
  <c r="EF4" i="63"/>
  <c r="EB157" i="63"/>
  <c r="EE157" i="63"/>
  <c r="EF157" i="63"/>
  <c r="ES157" i="63"/>
  <c r="DL144" i="63"/>
  <c r="DU144" i="63"/>
  <c r="DQ144" i="63"/>
  <c r="DM144" i="63"/>
  <c r="DO144" i="63"/>
  <c r="DT144" i="63"/>
  <c r="DR144" i="63"/>
  <c r="DS144" i="63"/>
  <c r="ED126" i="63"/>
  <c r="EH126" i="63"/>
  <c r="EG126" i="63"/>
  <c r="EE126" i="63"/>
  <c r="EC126" i="63"/>
  <c r="EA126" i="63"/>
  <c r="DX126" i="63"/>
  <c r="ED135" i="63"/>
  <c r="DY135" i="63"/>
  <c r="EL135" i="63"/>
  <c r="EF135" i="63"/>
  <c r="EE135" i="63"/>
  <c r="DZ135" i="63"/>
  <c r="EB135" i="63"/>
  <c r="EA135" i="63"/>
  <c r="EG135" i="63"/>
  <c r="DQ178" i="63"/>
  <c r="DL178" i="63"/>
  <c r="DR178" i="63"/>
  <c r="DM178" i="63"/>
  <c r="DS178" i="63"/>
  <c r="DN178" i="63"/>
  <c r="DT178" i="63"/>
  <c r="DO178" i="63"/>
  <c r="DK178" i="63"/>
  <c r="DP161" i="63"/>
  <c r="DN161" i="63"/>
  <c r="FN161" i="63"/>
  <c r="DM161" i="63"/>
  <c r="DK161" i="63"/>
  <c r="DL161" i="63"/>
  <c r="DQ161" i="63"/>
  <c r="DO161" i="63"/>
  <c r="DS161" i="63"/>
  <c r="DL148" i="63"/>
  <c r="DK148" i="63"/>
  <c r="DP148" i="63"/>
  <c r="DY140" i="63"/>
  <c r="EE140" i="63"/>
  <c r="DZ140" i="63"/>
  <c r="EF140" i="63"/>
  <c r="EA140" i="63"/>
  <c r="EB140" i="63"/>
  <c r="DM54" i="63"/>
  <c r="DR135" i="63"/>
  <c r="DQ135" i="63"/>
  <c r="DP144" i="63"/>
  <c r="DN148" i="63"/>
  <c r="EC135" i="63"/>
  <c r="EB126" i="63"/>
  <c r="DT169" i="63"/>
  <c r="DR169" i="63"/>
  <c r="DS169" i="63"/>
  <c r="DP169" i="63"/>
  <c r="DN169" i="63"/>
  <c r="DK169" i="63"/>
  <c r="DL169" i="63"/>
  <c r="DU169" i="63"/>
  <c r="DQ169" i="63"/>
  <c r="EH56" i="63"/>
  <c r="DP126" i="63"/>
  <c r="DU126" i="63"/>
  <c r="DS114" i="63"/>
  <c r="DR114" i="63"/>
  <c r="DM114" i="63"/>
  <c r="DO114" i="63"/>
  <c r="DQ114" i="63"/>
  <c r="DL114" i="63"/>
  <c r="ED133" i="63"/>
  <c r="DY133" i="63"/>
  <c r="DX133" i="63"/>
  <c r="DO80" i="63"/>
  <c r="DN80" i="63"/>
  <c r="DT80" i="63"/>
  <c r="DK80" i="63"/>
  <c r="DU80" i="63"/>
  <c r="DP80" i="63"/>
  <c r="DS80" i="63"/>
  <c r="DR80" i="63"/>
  <c r="DM80" i="63"/>
  <c r="DQ72" i="63"/>
  <c r="DL72" i="63"/>
  <c r="DS72" i="63"/>
  <c r="DR72" i="63"/>
  <c r="DM72" i="63"/>
  <c r="DK72" i="63"/>
  <c r="DU72" i="63"/>
  <c r="DP72" i="63"/>
  <c r="DO64" i="63"/>
  <c r="DN64" i="63"/>
  <c r="DT64" i="63"/>
  <c r="DK64" i="63"/>
  <c r="DU64" i="63"/>
  <c r="DP64" i="63"/>
  <c r="DS64" i="63"/>
  <c r="DR64" i="63"/>
  <c r="DM64" i="63"/>
  <c r="EH19" i="63"/>
  <c r="EC19" i="63"/>
  <c r="ED19" i="63"/>
  <c r="DY19" i="63"/>
  <c r="DX19" i="63"/>
  <c r="EA19" i="63"/>
  <c r="EG19" i="63"/>
  <c r="EB19" i="63"/>
  <c r="DT8" i="63"/>
  <c r="DO8" i="63"/>
  <c r="DU8" i="63"/>
  <c r="DP8" i="63"/>
  <c r="DM8" i="63"/>
  <c r="DS8" i="63"/>
  <c r="DN8" i="63"/>
  <c r="DS173" i="63"/>
  <c r="DR173" i="63"/>
  <c r="DT173" i="63"/>
  <c r="ET173" i="63"/>
  <c r="EA167" i="63"/>
  <c r="DM157" i="63"/>
  <c r="DP157" i="63"/>
  <c r="EE146" i="63"/>
  <c r="EG146" i="63"/>
  <c r="DO173" i="63"/>
  <c r="DM173" i="63"/>
  <c r="EB167" i="63"/>
  <c r="DU157" i="63"/>
  <c r="DR157" i="63"/>
  <c r="DT157" i="63"/>
  <c r="DZ146" i="63"/>
  <c r="DY131" i="63"/>
  <c r="EH131" i="63"/>
  <c r="EC133" i="63"/>
  <c r="EA133" i="63"/>
  <c r="DT114" i="63"/>
  <c r="DN86" i="63"/>
  <c r="DO72" i="63"/>
  <c r="EG66" i="63"/>
  <c r="EC140" i="63"/>
  <c r="DX140" i="63"/>
  <c r="ED140" i="63"/>
  <c r="EE56" i="63"/>
  <c r="EG56" i="63"/>
  <c r="EF56" i="63"/>
  <c r="EA56" i="63"/>
  <c r="EC56" i="63"/>
  <c r="DX56" i="63"/>
  <c r="DZ56" i="63"/>
  <c r="DS54" i="63"/>
  <c r="DN54" i="63"/>
  <c r="DL54" i="63"/>
  <c r="DO54" i="63"/>
  <c r="DQ54" i="63"/>
  <c r="DR54" i="63"/>
  <c r="DT54" i="63"/>
  <c r="DU51" i="63"/>
  <c r="DL51" i="63"/>
  <c r="DQ51" i="63"/>
  <c r="DO51" i="63"/>
  <c r="DP51" i="63"/>
  <c r="DR51" i="63"/>
  <c r="DP47" i="63"/>
  <c r="DN47" i="63"/>
  <c r="DO47" i="63"/>
  <c r="DT47" i="63"/>
  <c r="DP43" i="63"/>
  <c r="DK43" i="63"/>
  <c r="EX43" i="63"/>
  <c r="DN43" i="63"/>
  <c r="DO43" i="63"/>
  <c r="DT43" i="63"/>
  <c r="DP39" i="63"/>
  <c r="FC39" i="63"/>
  <c r="DN39" i="63"/>
  <c r="DO39" i="63"/>
  <c r="DT39" i="63"/>
  <c r="DP35" i="63"/>
  <c r="DN35" i="63"/>
  <c r="DO35" i="63"/>
  <c r="DT35" i="63"/>
  <c r="DK35" i="63"/>
  <c r="DR86" i="63"/>
  <c r="DU86" i="63"/>
  <c r="DP86" i="63"/>
  <c r="DQ86" i="63"/>
  <c r="DL86" i="63"/>
  <c r="DT86" i="63"/>
  <c r="DO86" i="63"/>
  <c r="DK86" i="63"/>
  <c r="EK86" i="63"/>
  <c r="DT77" i="63"/>
  <c r="DO77" i="63"/>
  <c r="DK77" i="63"/>
  <c r="DU77" i="63"/>
  <c r="DP77" i="63"/>
  <c r="DM77" i="63"/>
  <c r="DS77" i="63"/>
  <c r="DN77" i="63"/>
  <c r="DQ69" i="63"/>
  <c r="DL69" i="63"/>
  <c r="DR69" i="63"/>
  <c r="DK69" i="63"/>
  <c r="DM69" i="63"/>
  <c r="DS69" i="63"/>
  <c r="DN69" i="63"/>
  <c r="DU69" i="63"/>
  <c r="DP69" i="63"/>
  <c r="EH23" i="63"/>
  <c r="EC23" i="63"/>
  <c r="ED23" i="63"/>
  <c r="DY23" i="63"/>
  <c r="EA23" i="63"/>
  <c r="EG23" i="63"/>
  <c r="EB23" i="63"/>
  <c r="DX23" i="63"/>
  <c r="DU10" i="63"/>
  <c r="DP10" i="63"/>
  <c r="DS10" i="63"/>
  <c r="DQ10" i="63"/>
  <c r="DL10" i="63"/>
  <c r="DR10" i="63"/>
  <c r="DM10" i="63"/>
  <c r="DN10" i="63"/>
  <c r="DK10" i="63"/>
  <c r="DU6" i="63"/>
  <c r="DP6" i="63"/>
  <c r="EP6" i="63"/>
  <c r="DQ6" i="63"/>
  <c r="DL6" i="63"/>
  <c r="DR6" i="63"/>
  <c r="DK6" i="63"/>
  <c r="FK6" i="63"/>
  <c r="DT6" i="63"/>
  <c r="DO6" i="63"/>
  <c r="DK173" i="63"/>
  <c r="DN173" i="63"/>
  <c r="DQ157" i="63"/>
  <c r="DL157" i="63"/>
  <c r="DX146" i="63"/>
  <c r="EA146" i="63"/>
  <c r="EC146" i="63"/>
  <c r="DZ131" i="63"/>
  <c r="EB133" i="63"/>
  <c r="DZ133" i="63"/>
  <c r="DN114" i="63"/>
  <c r="DR126" i="63"/>
  <c r="DL80" i="63"/>
  <c r="DQ77" i="63"/>
  <c r="DT72" i="63"/>
  <c r="DQ64" i="63"/>
  <c r="DZ23" i="63"/>
  <c r="DZ19" i="63"/>
  <c r="DT10" i="63"/>
  <c r="DL8" i="63"/>
  <c r="DN6" i="63"/>
  <c r="DU59" i="63"/>
  <c r="FU59" i="63"/>
  <c r="DP59" i="63"/>
  <c r="DK59" i="63"/>
  <c r="DQ59" i="63"/>
  <c r="DL59" i="63"/>
  <c r="DR59" i="63"/>
  <c r="DT59" i="63"/>
  <c r="DO59" i="63"/>
  <c r="FO59" i="63"/>
  <c r="DX131" i="63"/>
  <c r="EA131" i="63"/>
  <c r="EG131" i="63"/>
  <c r="EE112" i="63"/>
  <c r="DZ112" i="63"/>
  <c r="EB112" i="63"/>
  <c r="DX112" i="63"/>
  <c r="EA112" i="63"/>
  <c r="EG112" i="63"/>
  <c r="EF112" i="63"/>
  <c r="ED112" i="63"/>
  <c r="DY112" i="63"/>
  <c r="ED82" i="63"/>
  <c r="DY82" i="63"/>
  <c r="EF82" i="63"/>
  <c r="EE82" i="63"/>
  <c r="DZ82" i="63"/>
  <c r="DX82" i="63"/>
  <c r="EH82" i="63"/>
  <c r="EC82" i="63"/>
  <c r="EB74" i="63"/>
  <c r="EA74" i="63"/>
  <c r="EG74" i="63"/>
  <c r="DX74" i="63"/>
  <c r="EH74" i="63"/>
  <c r="EC74" i="63"/>
  <c r="EF74" i="63"/>
  <c r="EE74" i="63"/>
  <c r="DZ74" i="63"/>
  <c r="ED66" i="63"/>
  <c r="DY66" i="63"/>
  <c r="EF66" i="63"/>
  <c r="EE66" i="63"/>
  <c r="DZ66" i="63"/>
  <c r="DX66" i="63"/>
  <c r="EH66" i="63"/>
  <c r="EC66" i="63"/>
  <c r="EH27" i="63"/>
  <c r="EC27" i="63"/>
  <c r="ED27" i="63"/>
  <c r="DY27" i="63"/>
  <c r="DX27" i="63"/>
  <c r="EA27" i="63"/>
  <c r="EG27" i="63"/>
  <c r="EB27" i="63"/>
  <c r="EH15" i="63"/>
  <c r="EC15" i="63"/>
  <c r="ED15" i="63"/>
  <c r="DY15" i="63"/>
  <c r="EA15" i="63"/>
  <c r="EG15" i="63"/>
  <c r="EB15" i="63"/>
  <c r="DX15" i="63"/>
  <c r="DT4" i="63"/>
  <c r="DO4" i="63"/>
  <c r="DK4" i="63"/>
  <c r="DU4" i="63"/>
  <c r="DP4" i="63"/>
  <c r="DM4" i="63"/>
  <c r="DS4" i="63"/>
  <c r="DN4" i="63"/>
  <c r="DK157" i="63"/>
  <c r="DN157" i="63"/>
  <c r="EF131" i="63"/>
  <c r="EF146" i="63"/>
  <c r="EB131" i="63"/>
  <c r="ED131" i="63"/>
  <c r="EH133" i="63"/>
  <c r="DP114" i="63"/>
  <c r="EC112" i="63"/>
  <c r="DS86" i="63"/>
  <c r="EB82" i="63"/>
  <c r="DQ80" i="63"/>
  <c r="DN72" i="63"/>
  <c r="EE27" i="63"/>
  <c r="EE23" i="63"/>
  <c r="ER23" i="63"/>
  <c r="EE19" i="63"/>
  <c r="EE15" i="63"/>
  <c r="DQ8" i="63"/>
  <c r="FQ8" i="63"/>
  <c r="DS6" i="63"/>
  <c r="DQ4" i="63"/>
  <c r="EA159" i="63"/>
  <c r="EC159" i="63"/>
  <c r="EH171" i="63"/>
  <c r="DY171" i="63"/>
  <c r="ED159" i="63"/>
  <c r="EE159" i="63"/>
  <c r="EG159" i="63"/>
  <c r="DX171" i="63"/>
  <c r="EA171" i="63"/>
  <c r="EC171" i="63"/>
  <c r="DZ159" i="63"/>
  <c r="EC166" i="63"/>
  <c r="EH166" i="63"/>
  <c r="EU166" i="63"/>
  <c r="ED142" i="63"/>
  <c r="EH142" i="63"/>
  <c r="DY142" i="63"/>
  <c r="DX130" i="63"/>
  <c r="EE154" i="63"/>
  <c r="EF154" i="63"/>
  <c r="ED130" i="63"/>
  <c r="EB130" i="63"/>
  <c r="EF130" i="63"/>
  <c r="EF100" i="63"/>
  <c r="DX124" i="63"/>
  <c r="EG124" i="63"/>
  <c r="EH100" i="63"/>
  <c r="DY84" i="63"/>
  <c r="ED84" i="63"/>
  <c r="EC76" i="63"/>
  <c r="EH76" i="63"/>
  <c r="DX76" i="63"/>
  <c r="EG68" i="63"/>
  <c r="EA68" i="63"/>
  <c r="EB68" i="63"/>
  <c r="EC50" i="63"/>
  <c r="EH50" i="63"/>
  <c r="DX37" i="63"/>
  <c r="EB45" i="63"/>
  <c r="EG45" i="63"/>
  <c r="EA45" i="63"/>
  <c r="EB41" i="63"/>
  <c r="EG41" i="63"/>
  <c r="EA41" i="63"/>
  <c r="EB37" i="63"/>
  <c r="EG37" i="63"/>
  <c r="EA37" i="63"/>
  <c r="EB33" i="63"/>
  <c r="EG33" i="63"/>
  <c r="EA33" i="63"/>
  <c r="DZ5" i="63"/>
  <c r="EE5" i="63"/>
  <c r="EF5" i="63"/>
  <c r="ES5" i="63"/>
  <c r="DZ9" i="63"/>
  <c r="EE9" i="63"/>
  <c r="EF9" i="63"/>
  <c r="DX8" i="63"/>
  <c r="EK8" i="63"/>
  <c r="EC8" i="63"/>
  <c r="EH8" i="63"/>
  <c r="EA6" i="63"/>
  <c r="EB6" i="63"/>
  <c r="EG6" i="63"/>
  <c r="EA4" i="63"/>
  <c r="EB4" i="63"/>
  <c r="EG4" i="63"/>
  <c r="DY3" i="63"/>
  <c r="ED3" i="63"/>
  <c r="DY7" i="63"/>
  <c r="ED7" i="63"/>
  <c r="EB159" i="63"/>
  <c r="DY159" i="63"/>
  <c r="DZ171" i="63"/>
  <c r="DX166" i="63"/>
  <c r="DZ166" i="63"/>
  <c r="EE166" i="63"/>
  <c r="EF142" i="63"/>
  <c r="EE142" i="63"/>
  <c r="EG142" i="63"/>
  <c r="DZ154" i="63"/>
  <c r="DX154" i="63"/>
  <c r="EC154" i="63"/>
  <c r="EE130" i="63"/>
  <c r="EC130" i="63"/>
  <c r="DY124" i="63"/>
  <c r="EH124" i="63"/>
  <c r="EU124" i="63"/>
  <c r="DZ100" i="63"/>
  <c r="EE100" i="63"/>
  <c r="EG84" i="63"/>
  <c r="EA84" i="63"/>
  <c r="EB84" i="63"/>
  <c r="DZ76" i="63"/>
  <c r="EE76" i="63"/>
  <c r="EF76" i="63"/>
  <c r="DY68" i="63"/>
  <c r="ED68" i="63"/>
  <c r="EB50" i="63"/>
  <c r="DZ50" i="63"/>
  <c r="EE50" i="63"/>
  <c r="DX33" i="63"/>
  <c r="DY45" i="63"/>
  <c r="ED45" i="63"/>
  <c r="DY41" i="63"/>
  <c r="ED41" i="63"/>
  <c r="DY37" i="63"/>
  <c r="ED37" i="63"/>
  <c r="DY33" i="63"/>
  <c r="ED33" i="63"/>
  <c r="EC5" i="63"/>
  <c r="EH5" i="63"/>
  <c r="DX5" i="63"/>
  <c r="EC9" i="63"/>
  <c r="EH9" i="63"/>
  <c r="DX9" i="63"/>
  <c r="EE8" i="63"/>
  <c r="EF8" i="63"/>
  <c r="DY6" i="63"/>
  <c r="DY4" i="63"/>
  <c r="EG3" i="63"/>
  <c r="EA3" i="63"/>
  <c r="EB3" i="63"/>
  <c r="EG7" i="63"/>
  <c r="EA7" i="63"/>
  <c r="EB7" i="63"/>
  <c r="ED171" i="63"/>
  <c r="DY166" i="63"/>
  <c r="ED166" i="63"/>
  <c r="DZ142" i="63"/>
  <c r="EH130" i="63"/>
  <c r="EA154" i="63"/>
  <c r="EB154" i="63"/>
  <c r="EG154" i="63"/>
  <c r="EC124" i="63"/>
  <c r="ED100" i="63"/>
  <c r="EF50" i="63"/>
  <c r="DZ84" i="63"/>
  <c r="EE84" i="63"/>
  <c r="DY76" i="63"/>
  <c r="ED76" i="63"/>
  <c r="EC68" i="63"/>
  <c r="EH68" i="63"/>
  <c r="DY50" i="63"/>
  <c r="ED50" i="63"/>
  <c r="DX41" i="63"/>
  <c r="EC45" i="63"/>
  <c r="EC41" i="63"/>
  <c r="EC37" i="63"/>
  <c r="EC33" i="63"/>
  <c r="EG5" i="63"/>
  <c r="EA5" i="63"/>
  <c r="EG9" i="63"/>
  <c r="EA9" i="63"/>
  <c r="DZ3" i="63"/>
  <c r="EE3" i="63"/>
  <c r="DZ7" i="63"/>
  <c r="EE7" i="63"/>
  <c r="DS155" i="63"/>
  <c r="DK166" i="63"/>
  <c r="DO166" i="63"/>
  <c r="DT166" i="63"/>
  <c r="DN166" i="63"/>
  <c r="DK155" i="63"/>
  <c r="DT155" i="63"/>
  <c r="DN155" i="63"/>
  <c r="DL166" i="63"/>
  <c r="DQ166" i="63"/>
  <c r="DL155" i="63"/>
  <c r="FL155" i="63"/>
  <c r="DQ155" i="63"/>
  <c r="DP166" i="63"/>
  <c r="DP155" i="63"/>
  <c r="DU155" i="63"/>
  <c r="DS135" i="63"/>
  <c r="DO135" i="63"/>
  <c r="DS148" i="63"/>
  <c r="FS148" i="63"/>
  <c r="DR148" i="63"/>
  <c r="DT148" i="63"/>
  <c r="DP135" i="63"/>
  <c r="DU135" i="63"/>
  <c r="DK126" i="63"/>
  <c r="EX126" i="63"/>
  <c r="DO126" i="63"/>
  <c r="DO148" i="63"/>
  <c r="DM148" i="63"/>
  <c r="DK135" i="63"/>
  <c r="EK135" i="63"/>
  <c r="DT135" i="63"/>
  <c r="DN135" i="63"/>
  <c r="DS126" i="63"/>
  <c r="DQ126" i="63"/>
  <c r="DL126" i="63"/>
  <c r="DQ148" i="63"/>
  <c r="DU148" i="63"/>
  <c r="DM135" i="63"/>
  <c r="DM126" i="63"/>
  <c r="DN126" i="63"/>
  <c r="DT126" i="63"/>
  <c r="DL82" i="63"/>
  <c r="DQ82" i="63"/>
  <c r="DR79" i="63"/>
  <c r="DL79" i="63"/>
  <c r="DQ79" i="63"/>
  <c r="DL74" i="63"/>
  <c r="DQ74" i="63"/>
  <c r="DR71" i="63"/>
  <c r="DL71" i="63"/>
  <c r="DQ71" i="63"/>
  <c r="DL66" i="63"/>
  <c r="DQ66" i="63"/>
  <c r="DR63" i="63"/>
  <c r="DL63" i="63"/>
  <c r="DQ63" i="63"/>
  <c r="DT82" i="63"/>
  <c r="DN82" i="63"/>
  <c r="DO82" i="63"/>
  <c r="DO79" i="63"/>
  <c r="DT79" i="63"/>
  <c r="DT74" i="63"/>
  <c r="DN74" i="63"/>
  <c r="DO74" i="63"/>
  <c r="DO71" i="63"/>
  <c r="DT71" i="63"/>
  <c r="DT66" i="63"/>
  <c r="DN66" i="63"/>
  <c r="DO66" i="63"/>
  <c r="DO63" i="63"/>
  <c r="DT63" i="63"/>
  <c r="DM82" i="63"/>
  <c r="DR82" i="63"/>
  <c r="DN79" i="63"/>
  <c r="DS79" i="63"/>
  <c r="DM74" i="63"/>
  <c r="DR74" i="63"/>
  <c r="DN71" i="63"/>
  <c r="DS71" i="63"/>
  <c r="DM66" i="63"/>
  <c r="FM66" i="63"/>
  <c r="DR66" i="63"/>
  <c r="DN63" i="63"/>
  <c r="DS63" i="63"/>
  <c r="EH144" i="63"/>
  <c r="EF144" i="63"/>
  <c r="EE167" i="63"/>
  <c r="EF167" i="63"/>
  <c r="DZ157" i="63"/>
  <c r="EB144" i="63"/>
  <c r="DY144" i="63"/>
  <c r="EH148" i="63"/>
  <c r="EF148" i="63"/>
  <c r="DX148" i="63"/>
  <c r="DT57" i="63"/>
  <c r="DO57" i="63"/>
  <c r="DX54" i="63"/>
  <c r="EH54" i="63"/>
  <c r="EC54" i="63"/>
  <c r="DK52" i="63"/>
  <c r="DU52" i="63"/>
  <c r="DP52" i="63"/>
  <c r="EE47" i="63"/>
  <c r="DZ47" i="63"/>
  <c r="EF47" i="63"/>
  <c r="EA47" i="63"/>
  <c r="EG47" i="63"/>
  <c r="EB47" i="63"/>
  <c r="EE43" i="63"/>
  <c r="DZ43" i="63"/>
  <c r="EF43" i="63"/>
  <c r="EA43" i="63"/>
  <c r="EG43" i="63"/>
  <c r="EB43" i="63"/>
  <c r="EE39" i="63"/>
  <c r="DZ39" i="63"/>
  <c r="EF39" i="63"/>
  <c r="EA39" i="63"/>
  <c r="EG39" i="63"/>
  <c r="EB39" i="63"/>
  <c r="EE35" i="63"/>
  <c r="DZ35" i="63"/>
  <c r="EF35" i="63"/>
  <c r="EA35" i="63"/>
  <c r="EG35" i="63"/>
  <c r="EB35" i="63"/>
  <c r="EH173" i="63"/>
  <c r="EF173" i="63"/>
  <c r="EA144" i="63"/>
  <c r="EC144" i="63"/>
  <c r="ED56" i="63"/>
  <c r="DY56" i="63"/>
  <c r="DK54" i="63"/>
  <c r="DU54" i="63"/>
  <c r="DP54" i="63"/>
  <c r="DM51" i="63"/>
  <c r="DS51" i="63"/>
  <c r="DN51" i="63"/>
  <c r="DK51" i="63"/>
  <c r="DQ47" i="63"/>
  <c r="DL47" i="63"/>
  <c r="DR47" i="63"/>
  <c r="DM47" i="63"/>
  <c r="DS47" i="63"/>
  <c r="DK47" i="63"/>
  <c r="DQ43" i="63"/>
  <c r="DL43" i="63"/>
  <c r="EY43" i="63"/>
  <c r="DR43" i="63"/>
  <c r="DM43" i="63"/>
  <c r="DS43" i="63"/>
  <c r="DQ39" i="63"/>
  <c r="DL39" i="63"/>
  <c r="DR39" i="63"/>
  <c r="DM39" i="63"/>
  <c r="DS39" i="63"/>
  <c r="DK39" i="63"/>
  <c r="DQ35" i="63"/>
  <c r="DL35" i="63"/>
  <c r="EY35" i="63"/>
  <c r="DR35" i="63"/>
  <c r="DM35" i="63"/>
  <c r="DS35" i="63"/>
  <c r="ED173" i="63"/>
  <c r="EH167" i="63"/>
  <c r="EB173" i="63"/>
  <c r="DY173" i="63"/>
  <c r="DY167" i="63"/>
  <c r="ED157" i="63"/>
  <c r="EH157" i="63"/>
  <c r="DY157" i="63"/>
  <c r="EA173" i="63"/>
  <c r="EC173" i="63"/>
  <c r="EP173" i="63"/>
  <c r="ED167" i="63"/>
  <c r="DX167" i="63"/>
  <c r="EC167" i="63"/>
  <c r="DX157" i="63"/>
  <c r="EA157" i="63"/>
  <c r="EC157" i="63"/>
  <c r="EE144" i="63"/>
  <c r="EG144" i="63"/>
  <c r="DZ144" i="63"/>
  <c r="DQ58" i="63"/>
  <c r="DL58" i="63"/>
  <c r="DX173" i="63"/>
  <c r="DX144" i="63"/>
  <c r="EE124" i="63"/>
  <c r="DZ124" i="63"/>
  <c r="EF124" i="63"/>
  <c r="EG100" i="63"/>
  <c r="DY100" i="63"/>
  <c r="EH159" i="63"/>
  <c r="EF159" i="63"/>
  <c r="EH169" i="63"/>
  <c r="EF169" i="63"/>
  <c r="FF169" i="63"/>
  <c r="EG177" i="63"/>
  <c r="EC177" i="63"/>
  <c r="DY177" i="63"/>
  <c r="EF177" i="63"/>
  <c r="EB177" i="63"/>
  <c r="DX177" i="63"/>
  <c r="EE177" i="63"/>
  <c r="EA177" i="63"/>
  <c r="ED177" i="63"/>
  <c r="DZ177" i="63"/>
  <c r="EH177" i="63"/>
  <c r="EE172" i="63"/>
  <c r="EA172" i="63"/>
  <c r="EG172" i="63"/>
  <c r="EC172" i="63"/>
  <c r="DY172" i="63"/>
  <c r="EB172" i="63"/>
  <c r="EH172" i="63"/>
  <c r="DZ172" i="63"/>
  <c r="EF172" i="63"/>
  <c r="DX172" i="63"/>
  <c r="ED172" i="63"/>
  <c r="DR172" i="63"/>
  <c r="DN172" i="63"/>
  <c r="DT172" i="63"/>
  <c r="DP172" i="63"/>
  <c r="DL172" i="63"/>
  <c r="DS172" i="63"/>
  <c r="DQ172" i="63"/>
  <c r="DO172" i="63"/>
  <c r="DU172" i="63"/>
  <c r="DM172" i="63"/>
  <c r="DR168" i="63"/>
  <c r="DN168" i="63"/>
  <c r="DT168" i="63"/>
  <c r="DP168" i="63"/>
  <c r="DL168" i="63"/>
  <c r="DS168" i="63"/>
  <c r="DQ168" i="63"/>
  <c r="DO168" i="63"/>
  <c r="DM168" i="63"/>
  <c r="DU168" i="63"/>
  <c r="EE176" i="63"/>
  <c r="EA176" i="63"/>
  <c r="EH176" i="63"/>
  <c r="ED176" i="63"/>
  <c r="DZ176" i="63"/>
  <c r="EG176" i="63"/>
  <c r="EC176" i="63"/>
  <c r="DY176" i="63"/>
  <c r="EF176" i="63"/>
  <c r="EB176" i="63"/>
  <c r="DX176" i="63"/>
  <c r="EE170" i="63"/>
  <c r="EA170" i="63"/>
  <c r="EG170" i="63"/>
  <c r="EC170" i="63"/>
  <c r="DY170" i="63"/>
  <c r="EF170" i="63"/>
  <c r="DX170" i="63"/>
  <c r="ED170" i="63"/>
  <c r="EB170" i="63"/>
  <c r="EH170" i="63"/>
  <c r="DZ170" i="63"/>
  <c r="DT163" i="63"/>
  <c r="DP163" i="63"/>
  <c r="DL163" i="63"/>
  <c r="FL163" i="63"/>
  <c r="DS163" i="63"/>
  <c r="DO163" i="63"/>
  <c r="DR163" i="63"/>
  <c r="DN163" i="63"/>
  <c r="DU163" i="63"/>
  <c r="DQ163" i="63"/>
  <c r="FQ163" i="63"/>
  <c r="DM163" i="63"/>
  <c r="EE158" i="63"/>
  <c r="EA158" i="63"/>
  <c r="EG158" i="63"/>
  <c r="EC158" i="63"/>
  <c r="DY158" i="63"/>
  <c r="EB158" i="63"/>
  <c r="EH158" i="63"/>
  <c r="DZ158" i="63"/>
  <c r="EF158" i="63"/>
  <c r="DX158" i="63"/>
  <c r="ED158" i="63"/>
  <c r="DK172" i="63"/>
  <c r="DT167" i="63"/>
  <c r="DP167" i="63"/>
  <c r="FP167" i="63"/>
  <c r="DL167" i="63"/>
  <c r="EY167" i="63"/>
  <c r="DS167" i="63"/>
  <c r="DO167" i="63"/>
  <c r="DR167" i="63"/>
  <c r="DN167" i="63"/>
  <c r="DQ167" i="63"/>
  <c r="DM167" i="63"/>
  <c r="DU167" i="63"/>
  <c r="EE160" i="63"/>
  <c r="EA160" i="63"/>
  <c r="EG160" i="63"/>
  <c r="EC160" i="63"/>
  <c r="DY160" i="63"/>
  <c r="EF160" i="63"/>
  <c r="DX160" i="63"/>
  <c r="ED160" i="63"/>
  <c r="EB160" i="63"/>
  <c r="DZ160" i="63"/>
  <c r="EH160" i="63"/>
  <c r="EE141" i="63"/>
  <c r="EA141" i="63"/>
  <c r="EG141" i="63"/>
  <c r="EC141" i="63"/>
  <c r="DY141" i="63"/>
  <c r="EF141" i="63"/>
  <c r="ED141" i="63"/>
  <c r="EB141" i="63"/>
  <c r="EH141" i="63"/>
  <c r="DZ141" i="63"/>
  <c r="DR170" i="63"/>
  <c r="DN170" i="63"/>
  <c r="DT170" i="63"/>
  <c r="FT170" i="63"/>
  <c r="DP170" i="63"/>
  <c r="DL170" i="63"/>
  <c r="DO170" i="63"/>
  <c r="DU170" i="63"/>
  <c r="DM170" i="63"/>
  <c r="DS170" i="63"/>
  <c r="DQ170" i="63"/>
  <c r="DR160" i="63"/>
  <c r="DN160" i="63"/>
  <c r="DT160" i="63"/>
  <c r="DP160" i="63"/>
  <c r="DL160" i="63"/>
  <c r="DO160" i="63"/>
  <c r="DU160" i="63"/>
  <c r="DM160" i="63"/>
  <c r="DS160" i="63"/>
  <c r="DQ160" i="63"/>
  <c r="DT132" i="63"/>
  <c r="DP132" i="63"/>
  <c r="DL132" i="63"/>
  <c r="DS132" i="63"/>
  <c r="DO132" i="63"/>
  <c r="DR132" i="63"/>
  <c r="DN132" i="63"/>
  <c r="DU132" i="63"/>
  <c r="DQ132" i="63"/>
  <c r="DM132" i="63"/>
  <c r="EE127" i="63"/>
  <c r="EA127" i="63"/>
  <c r="EG127" i="63"/>
  <c r="EC127" i="63"/>
  <c r="DY127" i="63"/>
  <c r="EB127" i="63"/>
  <c r="EH127" i="63"/>
  <c r="DZ127" i="63"/>
  <c r="EF127" i="63"/>
  <c r="DX127" i="63"/>
  <c r="ED127" i="63"/>
  <c r="DT134" i="63"/>
  <c r="DP134" i="63"/>
  <c r="DL134" i="63"/>
  <c r="DS134" i="63"/>
  <c r="DO134" i="63"/>
  <c r="DR134" i="63"/>
  <c r="DN134" i="63"/>
  <c r="DM134" i="63"/>
  <c r="DU134" i="63"/>
  <c r="DQ134" i="63"/>
  <c r="DR145" i="63"/>
  <c r="DN145" i="63"/>
  <c r="DT145" i="63"/>
  <c r="DP145" i="63"/>
  <c r="DL145" i="63"/>
  <c r="DO145" i="63"/>
  <c r="DU145" i="63"/>
  <c r="DM145" i="63"/>
  <c r="DS145" i="63"/>
  <c r="DQ145" i="63"/>
  <c r="DY125" i="63"/>
  <c r="EG115" i="63"/>
  <c r="EC115" i="63"/>
  <c r="DY115" i="63"/>
  <c r="EF115" i="63"/>
  <c r="EB115" i="63"/>
  <c r="EE115" i="63"/>
  <c r="EA115" i="63"/>
  <c r="EH115" i="63"/>
  <c r="ED115" i="63"/>
  <c r="DZ115" i="63"/>
  <c r="EG107" i="63"/>
  <c r="EC107" i="63"/>
  <c r="DY107" i="63"/>
  <c r="EF107" i="63"/>
  <c r="EB107" i="63"/>
  <c r="EE107" i="63"/>
  <c r="EA107" i="63"/>
  <c r="EH107" i="63"/>
  <c r="ED107" i="63"/>
  <c r="DZ107" i="63"/>
  <c r="DR149" i="63"/>
  <c r="DN149" i="63"/>
  <c r="DT149" i="63"/>
  <c r="DP149" i="63"/>
  <c r="DL149" i="63"/>
  <c r="DO149" i="63"/>
  <c r="DU149" i="63"/>
  <c r="DM149" i="63"/>
  <c r="DS149" i="63"/>
  <c r="DQ149" i="63"/>
  <c r="DT109" i="63"/>
  <c r="DP109" i="63"/>
  <c r="DL109" i="63"/>
  <c r="DS109" i="63"/>
  <c r="DO109" i="63"/>
  <c r="FO109" i="63"/>
  <c r="DR109" i="63"/>
  <c r="DN109" i="63"/>
  <c r="DU109" i="63"/>
  <c r="FU109" i="63"/>
  <c r="DQ109" i="63"/>
  <c r="DM109" i="63"/>
  <c r="EG97" i="63"/>
  <c r="EC97" i="63"/>
  <c r="DY97" i="63"/>
  <c r="EF97" i="63"/>
  <c r="EB97" i="63"/>
  <c r="EA97" i="63"/>
  <c r="EH97" i="63"/>
  <c r="DZ97" i="63"/>
  <c r="EE97" i="63"/>
  <c r="ED97" i="63"/>
  <c r="DT119" i="63"/>
  <c r="DP119" i="63"/>
  <c r="DL119" i="63"/>
  <c r="DS119" i="63"/>
  <c r="DO119" i="63"/>
  <c r="DR119" i="63"/>
  <c r="DN119" i="63"/>
  <c r="DM119" i="63"/>
  <c r="DU119" i="63"/>
  <c r="DQ119" i="63"/>
  <c r="EE102" i="63"/>
  <c r="EA102" i="63"/>
  <c r="EH102" i="63"/>
  <c r="ED102" i="63"/>
  <c r="DZ102" i="63"/>
  <c r="EC102" i="63"/>
  <c r="EB102" i="63"/>
  <c r="EG102" i="63"/>
  <c r="DY102" i="63"/>
  <c r="EF102" i="63"/>
  <c r="DX102" i="63"/>
  <c r="DT97" i="63"/>
  <c r="DP97" i="63"/>
  <c r="DL97" i="63"/>
  <c r="FL97" i="63"/>
  <c r="DS97" i="63"/>
  <c r="DO97" i="63"/>
  <c r="DR97" i="63"/>
  <c r="DQ97" i="63"/>
  <c r="FD97" i="63"/>
  <c r="DN97" i="63"/>
  <c r="DU97" i="63"/>
  <c r="DM97" i="63"/>
  <c r="DX115" i="63"/>
  <c r="EK115" i="63"/>
  <c r="EE110" i="63"/>
  <c r="EA110" i="63"/>
  <c r="EH110" i="63"/>
  <c r="ED110" i="63"/>
  <c r="DZ110" i="63"/>
  <c r="EG110" i="63"/>
  <c r="EC110" i="63"/>
  <c r="DY110" i="63"/>
  <c r="EF110" i="63"/>
  <c r="EB110" i="63"/>
  <c r="DX110" i="63"/>
  <c r="EG99" i="63"/>
  <c r="EC99" i="63"/>
  <c r="DY99" i="63"/>
  <c r="EF99" i="63"/>
  <c r="EB99" i="63"/>
  <c r="EE99" i="63"/>
  <c r="ED99" i="63"/>
  <c r="EA99" i="63"/>
  <c r="EH99" i="63"/>
  <c r="DZ99" i="63"/>
  <c r="EF93" i="63"/>
  <c r="EB93" i="63"/>
  <c r="EE93" i="63"/>
  <c r="EA93" i="63"/>
  <c r="EH93" i="63"/>
  <c r="ED93" i="63"/>
  <c r="DZ93" i="63"/>
  <c r="EG93" i="63"/>
  <c r="EC93" i="63"/>
  <c r="DY93" i="63"/>
  <c r="DR100" i="63"/>
  <c r="DN100" i="63"/>
  <c r="EN100" i="63"/>
  <c r="DU100" i="63"/>
  <c r="DQ100" i="63"/>
  <c r="DM100" i="63"/>
  <c r="EZ100" i="63"/>
  <c r="DP100" i="63"/>
  <c r="EP100" i="63"/>
  <c r="DO100" i="63"/>
  <c r="DT100" i="63"/>
  <c r="DL100" i="63"/>
  <c r="DS100" i="63"/>
  <c r="DK100" i="63"/>
  <c r="DR96" i="63"/>
  <c r="DN96" i="63"/>
  <c r="DU96" i="63"/>
  <c r="DQ96" i="63"/>
  <c r="DM96" i="63"/>
  <c r="DP96" i="63"/>
  <c r="DO96" i="63"/>
  <c r="DT96" i="63"/>
  <c r="DL96" i="63"/>
  <c r="DS96" i="63"/>
  <c r="DK96" i="63"/>
  <c r="DS93" i="63"/>
  <c r="DO93" i="63"/>
  <c r="DR93" i="63"/>
  <c r="DN93" i="63"/>
  <c r="DU93" i="63"/>
  <c r="DQ93" i="63"/>
  <c r="DM93" i="63"/>
  <c r="DT93" i="63"/>
  <c r="DP93" i="63"/>
  <c r="DL93" i="63"/>
  <c r="EH86" i="63"/>
  <c r="ED86" i="63"/>
  <c r="EQ86" i="63"/>
  <c r="DZ86" i="63"/>
  <c r="EG86" i="63"/>
  <c r="EC86" i="63"/>
  <c r="DY86" i="63"/>
  <c r="EF86" i="63"/>
  <c r="EB86" i="63"/>
  <c r="EE86" i="63"/>
  <c r="EA86" i="63"/>
  <c r="EN86" i="63"/>
  <c r="EH79" i="63"/>
  <c r="ED79" i="63"/>
  <c r="DZ79" i="63"/>
  <c r="EG79" i="63"/>
  <c r="EC79" i="63"/>
  <c r="DY79" i="63"/>
  <c r="EF79" i="63"/>
  <c r="EB79" i="63"/>
  <c r="EE79" i="63"/>
  <c r="EA79" i="63"/>
  <c r="EH71" i="63"/>
  <c r="ED71" i="63"/>
  <c r="EQ71" i="63"/>
  <c r="DZ71" i="63"/>
  <c r="EG71" i="63"/>
  <c r="EC71" i="63"/>
  <c r="DY71" i="63"/>
  <c r="EF71" i="63"/>
  <c r="EB71" i="63"/>
  <c r="EE71" i="63"/>
  <c r="EA71" i="63"/>
  <c r="EH63" i="63"/>
  <c r="ED63" i="63"/>
  <c r="DZ63" i="63"/>
  <c r="EG63" i="63"/>
  <c r="EC63" i="63"/>
  <c r="DY63" i="63"/>
  <c r="EF63" i="63"/>
  <c r="FF63" i="63"/>
  <c r="EB63" i="63"/>
  <c r="EE63" i="63"/>
  <c r="EA63" i="63"/>
  <c r="EH53" i="63"/>
  <c r="ED53" i="63"/>
  <c r="DZ53" i="63"/>
  <c r="EG53" i="63"/>
  <c r="EC53" i="63"/>
  <c r="DY53" i="63"/>
  <c r="EF53" i="63"/>
  <c r="EB53" i="63"/>
  <c r="EE53" i="63"/>
  <c r="EA53" i="63"/>
  <c r="EG46" i="63"/>
  <c r="EC46" i="63"/>
  <c r="DY46" i="63"/>
  <c r="EF46" i="63"/>
  <c r="EB46" i="63"/>
  <c r="EE46" i="63"/>
  <c r="EA46" i="63"/>
  <c r="EH46" i="63"/>
  <c r="ED46" i="63"/>
  <c r="DZ46" i="63"/>
  <c r="EG38" i="63"/>
  <c r="EC38" i="63"/>
  <c r="DY38" i="63"/>
  <c r="EF38" i="63"/>
  <c r="EB38" i="63"/>
  <c r="EE38" i="63"/>
  <c r="EA38" i="63"/>
  <c r="EH38" i="63"/>
  <c r="ED38" i="63"/>
  <c r="DZ38" i="63"/>
  <c r="EG26" i="63"/>
  <c r="EC26" i="63"/>
  <c r="DY26" i="63"/>
  <c r="EF26" i="63"/>
  <c r="EB26" i="63"/>
  <c r="EE26" i="63"/>
  <c r="EA26" i="63"/>
  <c r="EH26" i="63"/>
  <c r="ED26" i="63"/>
  <c r="DZ26" i="63"/>
  <c r="EG18" i="63"/>
  <c r="EC18" i="63"/>
  <c r="DY18" i="63"/>
  <c r="EF18" i="63"/>
  <c r="EB18" i="63"/>
  <c r="EE18" i="63"/>
  <c r="EA18" i="63"/>
  <c r="EH18" i="63"/>
  <c r="ED18" i="63"/>
  <c r="DZ18" i="63"/>
  <c r="DT44" i="63"/>
  <c r="DP44" i="63"/>
  <c r="DL44" i="63"/>
  <c r="DS44" i="63"/>
  <c r="DO44" i="63"/>
  <c r="DR44" i="63"/>
  <c r="DN44" i="63"/>
  <c r="DU44" i="63"/>
  <c r="DQ44" i="63"/>
  <c r="DM44" i="63"/>
  <c r="DT36" i="63"/>
  <c r="DP36" i="63"/>
  <c r="DL36" i="63"/>
  <c r="DS36" i="63"/>
  <c r="DO36" i="63"/>
  <c r="DR36" i="63"/>
  <c r="DN36" i="63"/>
  <c r="DU36" i="63"/>
  <c r="DQ36" i="63"/>
  <c r="DM36" i="63"/>
  <c r="DT28" i="63"/>
  <c r="DP28" i="63"/>
  <c r="DL28" i="63"/>
  <c r="DS28" i="63"/>
  <c r="DO28" i="63"/>
  <c r="DR28" i="63"/>
  <c r="DN28" i="63"/>
  <c r="DU28" i="63"/>
  <c r="DQ28" i="63"/>
  <c r="DM28" i="63"/>
  <c r="DT20" i="63"/>
  <c r="DP20" i="63"/>
  <c r="DL20" i="63"/>
  <c r="DS20" i="63"/>
  <c r="DO20" i="63"/>
  <c r="DR20" i="63"/>
  <c r="DN20" i="63"/>
  <c r="DU20" i="63"/>
  <c r="DQ20" i="63"/>
  <c r="DM20" i="63"/>
  <c r="DT12" i="63"/>
  <c r="DP12" i="63"/>
  <c r="DL12" i="63"/>
  <c r="DS12" i="63"/>
  <c r="DO12" i="63"/>
  <c r="DR12" i="63"/>
  <c r="DN12" i="63"/>
  <c r="DU12" i="63"/>
  <c r="DQ12" i="63"/>
  <c r="DM12" i="63"/>
  <c r="DX46" i="63"/>
  <c r="DX38" i="63"/>
  <c r="EE179" i="63"/>
  <c r="EA179" i="63"/>
  <c r="EG179" i="63"/>
  <c r="EC179" i="63"/>
  <c r="DY179" i="63"/>
  <c r="EB179" i="63"/>
  <c r="EH179" i="63"/>
  <c r="DZ179" i="63"/>
  <c r="EF179" i="63"/>
  <c r="DX179" i="63"/>
  <c r="EK179" i="63"/>
  <c r="ED179" i="63"/>
  <c r="DT175" i="63"/>
  <c r="DP175" i="63"/>
  <c r="DL175" i="63"/>
  <c r="FL175" i="63"/>
  <c r="DS175" i="63"/>
  <c r="DO175" i="63"/>
  <c r="DR175" i="63"/>
  <c r="DN175" i="63"/>
  <c r="FA175" i="63"/>
  <c r="DU175" i="63"/>
  <c r="EU175" i="63"/>
  <c r="DQ175" i="63"/>
  <c r="DM175" i="63"/>
  <c r="DR176" i="63"/>
  <c r="DN176" i="63"/>
  <c r="DU176" i="63"/>
  <c r="DQ176" i="63"/>
  <c r="DM176" i="63"/>
  <c r="DT176" i="63"/>
  <c r="DP176" i="63"/>
  <c r="DL176" i="63"/>
  <c r="DS176" i="63"/>
  <c r="DO176" i="63"/>
  <c r="FO176" i="63"/>
  <c r="DK176" i="63"/>
  <c r="DR162" i="63"/>
  <c r="DN162" i="63"/>
  <c r="DT162" i="63"/>
  <c r="DP162" i="63"/>
  <c r="DL162" i="63"/>
  <c r="DS162" i="63"/>
  <c r="DQ162" i="63"/>
  <c r="DO162" i="63"/>
  <c r="DM162" i="63"/>
  <c r="DU162" i="63"/>
  <c r="DR158" i="63"/>
  <c r="DN158" i="63"/>
  <c r="DT158" i="63"/>
  <c r="DP158" i="63"/>
  <c r="DL158" i="63"/>
  <c r="DS158" i="63"/>
  <c r="DQ158" i="63"/>
  <c r="DO158" i="63"/>
  <c r="DU158" i="63"/>
  <c r="DM158" i="63"/>
  <c r="DT154" i="63"/>
  <c r="DP154" i="63"/>
  <c r="DL154" i="63"/>
  <c r="EL154" i="63"/>
  <c r="DS154" i="63"/>
  <c r="DO154" i="63"/>
  <c r="DR154" i="63"/>
  <c r="FR154" i="63"/>
  <c r="DN154" i="63"/>
  <c r="EN154" i="63"/>
  <c r="DU154" i="63"/>
  <c r="DQ154" i="63"/>
  <c r="EQ154" i="63"/>
  <c r="DM154" i="63"/>
  <c r="EE147" i="63"/>
  <c r="EA147" i="63"/>
  <c r="EG147" i="63"/>
  <c r="EC147" i="63"/>
  <c r="DY147" i="63"/>
  <c r="EB147" i="63"/>
  <c r="EH147" i="63"/>
  <c r="DZ147" i="63"/>
  <c r="EF147" i="63"/>
  <c r="DX147" i="63"/>
  <c r="ED147" i="63"/>
  <c r="EE149" i="63"/>
  <c r="EA149" i="63"/>
  <c r="EG149" i="63"/>
  <c r="EC149" i="63"/>
  <c r="DY149" i="63"/>
  <c r="EF149" i="63"/>
  <c r="DX149" i="63"/>
  <c r="ED149" i="63"/>
  <c r="EB149" i="63"/>
  <c r="EH149" i="63"/>
  <c r="DZ149" i="63"/>
  <c r="EG134" i="63"/>
  <c r="EC134" i="63"/>
  <c r="FC134" i="63"/>
  <c r="DY134" i="63"/>
  <c r="EF134" i="63"/>
  <c r="EB134" i="63"/>
  <c r="DX134" i="63"/>
  <c r="EE134" i="63"/>
  <c r="EA134" i="63"/>
  <c r="ED134" i="63"/>
  <c r="FD134" i="63"/>
  <c r="DZ134" i="63"/>
  <c r="EH134" i="63"/>
  <c r="DR139" i="63"/>
  <c r="DN139" i="63"/>
  <c r="DU139" i="63"/>
  <c r="EU139" i="63"/>
  <c r="DQ139" i="63"/>
  <c r="DM139" i="63"/>
  <c r="DT139" i="63"/>
  <c r="DP139" i="63"/>
  <c r="DL139" i="63"/>
  <c r="DO139" i="63"/>
  <c r="DK139" i="63"/>
  <c r="EK139" i="63"/>
  <c r="DS139" i="63"/>
  <c r="EG128" i="63"/>
  <c r="EC128" i="63"/>
  <c r="DY128" i="63"/>
  <c r="EE128" i="63"/>
  <c r="EA128" i="63"/>
  <c r="ED128" i="63"/>
  <c r="EB128" i="63"/>
  <c r="EH128" i="63"/>
  <c r="DZ128" i="63"/>
  <c r="EF128" i="63"/>
  <c r="DX128" i="63"/>
  <c r="EE129" i="63"/>
  <c r="ER129" i="63"/>
  <c r="EA129" i="63"/>
  <c r="EG129" i="63"/>
  <c r="EC129" i="63"/>
  <c r="DY129" i="63"/>
  <c r="EL129" i="63"/>
  <c r="EF129" i="63"/>
  <c r="DX129" i="63"/>
  <c r="EK129" i="63"/>
  <c r="ED129" i="63"/>
  <c r="EB129" i="63"/>
  <c r="EH129" i="63"/>
  <c r="DZ129" i="63"/>
  <c r="EG113" i="63"/>
  <c r="EC113" i="63"/>
  <c r="DY113" i="63"/>
  <c r="EF113" i="63"/>
  <c r="EB113" i="63"/>
  <c r="EE113" i="63"/>
  <c r="EA113" i="63"/>
  <c r="EH113" i="63"/>
  <c r="ED113" i="63"/>
  <c r="DZ113" i="63"/>
  <c r="EG105" i="63"/>
  <c r="EC105" i="63"/>
  <c r="DY105" i="63"/>
  <c r="EF105" i="63"/>
  <c r="EB105" i="63"/>
  <c r="EE105" i="63"/>
  <c r="EA105" i="63"/>
  <c r="EH105" i="63"/>
  <c r="ED105" i="63"/>
  <c r="DZ105" i="63"/>
  <c r="DT138" i="63"/>
  <c r="DP138" i="63"/>
  <c r="DL138" i="63"/>
  <c r="DS138" i="63"/>
  <c r="DO138" i="63"/>
  <c r="DR138" i="63"/>
  <c r="DN138" i="63"/>
  <c r="DU138" i="63"/>
  <c r="DQ138" i="63"/>
  <c r="DM138" i="63"/>
  <c r="DR129" i="63"/>
  <c r="DN129" i="63"/>
  <c r="DT129" i="63"/>
  <c r="DP129" i="63"/>
  <c r="DL129" i="63"/>
  <c r="DO129" i="63"/>
  <c r="DU129" i="63"/>
  <c r="DM129" i="63"/>
  <c r="DS129" i="63"/>
  <c r="DQ129" i="63"/>
  <c r="DR125" i="63"/>
  <c r="DN125" i="63"/>
  <c r="DT125" i="63"/>
  <c r="DP125" i="63"/>
  <c r="DL125" i="63"/>
  <c r="DO125" i="63"/>
  <c r="DU125" i="63"/>
  <c r="DM125" i="63"/>
  <c r="FM125" i="63"/>
  <c r="DS125" i="63"/>
  <c r="DQ125" i="63"/>
  <c r="DT117" i="63"/>
  <c r="DP117" i="63"/>
  <c r="DL117" i="63"/>
  <c r="DS117" i="63"/>
  <c r="DO117" i="63"/>
  <c r="DR117" i="63"/>
  <c r="DN117" i="63"/>
  <c r="DU117" i="63"/>
  <c r="DQ117" i="63"/>
  <c r="DM117" i="63"/>
  <c r="DX113" i="63"/>
  <c r="EE108" i="63"/>
  <c r="EA108" i="63"/>
  <c r="EH108" i="63"/>
  <c r="ED108" i="63"/>
  <c r="DZ108" i="63"/>
  <c r="EG108" i="63"/>
  <c r="EC108" i="63"/>
  <c r="DY108" i="63"/>
  <c r="EF108" i="63"/>
  <c r="FF108" i="63"/>
  <c r="EB108" i="63"/>
  <c r="DX108" i="63"/>
  <c r="DR102" i="63"/>
  <c r="DN102" i="63"/>
  <c r="EN102" i="63"/>
  <c r="DU102" i="63"/>
  <c r="DQ102" i="63"/>
  <c r="DM102" i="63"/>
  <c r="DT102" i="63"/>
  <c r="DL102" i="63"/>
  <c r="DS102" i="63"/>
  <c r="DK102" i="63"/>
  <c r="DP102" i="63"/>
  <c r="EP102" i="63"/>
  <c r="DO102" i="63"/>
  <c r="DT113" i="63"/>
  <c r="DP113" i="63"/>
  <c r="DL113" i="63"/>
  <c r="DS113" i="63"/>
  <c r="DO113" i="63"/>
  <c r="DR113" i="63"/>
  <c r="DN113" i="63"/>
  <c r="DQ113" i="63"/>
  <c r="DM113" i="63"/>
  <c r="DU113" i="63"/>
  <c r="DR110" i="63"/>
  <c r="ER110" i="63"/>
  <c r="DN110" i="63"/>
  <c r="DU110" i="63"/>
  <c r="DQ110" i="63"/>
  <c r="DM110" i="63"/>
  <c r="DT110" i="63"/>
  <c r="DP110" i="63"/>
  <c r="DL110" i="63"/>
  <c r="DS110" i="63"/>
  <c r="ES110" i="63"/>
  <c r="DO110" i="63"/>
  <c r="DK110" i="63"/>
  <c r="EG103" i="63"/>
  <c r="EC103" i="63"/>
  <c r="DY103" i="63"/>
  <c r="EF103" i="63"/>
  <c r="EB103" i="63"/>
  <c r="EE103" i="63"/>
  <c r="ED103" i="63"/>
  <c r="EA103" i="63"/>
  <c r="EH103" i="63"/>
  <c r="DZ103" i="63"/>
  <c r="EF89" i="63"/>
  <c r="EB89" i="63"/>
  <c r="EE89" i="63"/>
  <c r="EA89" i="63"/>
  <c r="EN89" i="63"/>
  <c r="EH89" i="63"/>
  <c r="ED89" i="63"/>
  <c r="DZ89" i="63"/>
  <c r="EG89" i="63"/>
  <c r="EC89" i="63"/>
  <c r="DY89" i="63"/>
  <c r="DT115" i="63"/>
  <c r="DP115" i="63"/>
  <c r="DL115" i="63"/>
  <c r="DS115" i="63"/>
  <c r="DO115" i="63"/>
  <c r="DR115" i="63"/>
  <c r="DN115" i="63"/>
  <c r="DU115" i="63"/>
  <c r="DQ115" i="63"/>
  <c r="DM115" i="63"/>
  <c r="DT107" i="63"/>
  <c r="DP107" i="63"/>
  <c r="DL107" i="63"/>
  <c r="DS107" i="63"/>
  <c r="DO107" i="63"/>
  <c r="DR107" i="63"/>
  <c r="DN107" i="63"/>
  <c r="DU107" i="63"/>
  <c r="EU107" i="63"/>
  <c r="DQ107" i="63"/>
  <c r="DM107" i="63"/>
  <c r="EE104" i="63"/>
  <c r="EA104" i="63"/>
  <c r="EH104" i="63"/>
  <c r="ED104" i="63"/>
  <c r="DZ104" i="63"/>
  <c r="EG104" i="63"/>
  <c r="DY104" i="63"/>
  <c r="EF104" i="63"/>
  <c r="DX104" i="63"/>
  <c r="EC104" i="63"/>
  <c r="EB104" i="63"/>
  <c r="DT99" i="63"/>
  <c r="DP99" i="63"/>
  <c r="DL99" i="63"/>
  <c r="EL99" i="63"/>
  <c r="DS99" i="63"/>
  <c r="DO99" i="63"/>
  <c r="DN99" i="63"/>
  <c r="DU99" i="63"/>
  <c r="EU99" i="63"/>
  <c r="DM99" i="63"/>
  <c r="DR99" i="63"/>
  <c r="DQ99" i="63"/>
  <c r="DT95" i="63"/>
  <c r="DP95" i="63"/>
  <c r="DL95" i="63"/>
  <c r="DS95" i="63"/>
  <c r="DO95" i="63"/>
  <c r="DU95" i="63"/>
  <c r="DM95" i="63"/>
  <c r="DR95" i="63"/>
  <c r="DQ95" i="63"/>
  <c r="DN95" i="63"/>
  <c r="DS89" i="63"/>
  <c r="DO89" i="63"/>
  <c r="DR89" i="63"/>
  <c r="DN89" i="63"/>
  <c r="DU89" i="63"/>
  <c r="DQ89" i="63"/>
  <c r="DM89" i="63"/>
  <c r="DP89" i="63"/>
  <c r="DL89" i="63"/>
  <c r="DT89" i="63"/>
  <c r="DS85" i="63"/>
  <c r="DO85" i="63"/>
  <c r="DR85" i="63"/>
  <c r="DN85" i="63"/>
  <c r="DU85" i="63"/>
  <c r="DQ85" i="63"/>
  <c r="DM85" i="63"/>
  <c r="DT85" i="63"/>
  <c r="DP85" i="63"/>
  <c r="DL85" i="63"/>
  <c r="DU94" i="63"/>
  <c r="DQ94" i="63"/>
  <c r="DM94" i="63"/>
  <c r="DT94" i="63"/>
  <c r="DP94" i="63"/>
  <c r="DL94" i="63"/>
  <c r="DS94" i="63"/>
  <c r="DO94" i="63"/>
  <c r="DN94" i="63"/>
  <c r="DR94" i="63"/>
  <c r="DX93" i="63"/>
  <c r="DK85" i="63"/>
  <c r="EH77" i="63"/>
  <c r="ED77" i="63"/>
  <c r="DZ77" i="63"/>
  <c r="EG77" i="63"/>
  <c r="EC77" i="63"/>
  <c r="DY77" i="63"/>
  <c r="EF77" i="63"/>
  <c r="ES77" i="63"/>
  <c r="EB77" i="63"/>
  <c r="EE77" i="63"/>
  <c r="EA77" i="63"/>
  <c r="EH69" i="63"/>
  <c r="EU69" i="63"/>
  <c r="ED69" i="63"/>
  <c r="DZ69" i="63"/>
  <c r="EG69" i="63"/>
  <c r="EC69" i="63"/>
  <c r="DY69" i="63"/>
  <c r="EF69" i="63"/>
  <c r="EB69" i="63"/>
  <c r="EE69" i="63"/>
  <c r="EA69" i="63"/>
  <c r="EH59" i="63"/>
  <c r="FH59" i="63"/>
  <c r="ED59" i="63"/>
  <c r="DZ59" i="63"/>
  <c r="EG59" i="63"/>
  <c r="EC59" i="63"/>
  <c r="DY59" i="63"/>
  <c r="EF59" i="63"/>
  <c r="EB59" i="63"/>
  <c r="EE59" i="63"/>
  <c r="EA59" i="63"/>
  <c r="EH51" i="63"/>
  <c r="ED51" i="63"/>
  <c r="DZ51" i="63"/>
  <c r="EG51" i="63"/>
  <c r="EC51" i="63"/>
  <c r="EP51" i="63"/>
  <c r="DY51" i="63"/>
  <c r="EF51" i="63"/>
  <c r="EB51" i="63"/>
  <c r="EE51" i="63"/>
  <c r="EA51" i="63"/>
  <c r="DX79" i="63"/>
  <c r="DX77" i="63"/>
  <c r="DX71" i="63"/>
  <c r="DX69" i="63"/>
  <c r="DX63" i="63"/>
  <c r="EK63" i="63"/>
  <c r="EG44" i="63"/>
  <c r="EC44" i="63"/>
  <c r="EP44" i="63"/>
  <c r="DY44" i="63"/>
  <c r="EF44" i="63"/>
  <c r="EB44" i="63"/>
  <c r="EE44" i="63"/>
  <c r="EA44" i="63"/>
  <c r="EH44" i="63"/>
  <c r="ED44" i="63"/>
  <c r="DZ44" i="63"/>
  <c r="EM44" i="63"/>
  <c r="EG36" i="63"/>
  <c r="EC36" i="63"/>
  <c r="DY36" i="63"/>
  <c r="EF36" i="63"/>
  <c r="EB36" i="63"/>
  <c r="EE36" i="63"/>
  <c r="EA36" i="63"/>
  <c r="EH36" i="63"/>
  <c r="ED36" i="63"/>
  <c r="DZ36" i="63"/>
  <c r="EG24" i="63"/>
  <c r="EC24" i="63"/>
  <c r="DY24" i="63"/>
  <c r="EF24" i="63"/>
  <c r="EB24" i="63"/>
  <c r="EE24" i="63"/>
  <c r="EA24" i="63"/>
  <c r="EH24" i="63"/>
  <c r="ED24" i="63"/>
  <c r="DZ24" i="63"/>
  <c r="EG16" i="63"/>
  <c r="EC16" i="63"/>
  <c r="DY16" i="63"/>
  <c r="EF16" i="63"/>
  <c r="EB16" i="63"/>
  <c r="EE16" i="63"/>
  <c r="EA16" i="63"/>
  <c r="EH16" i="63"/>
  <c r="ED16" i="63"/>
  <c r="DZ16" i="63"/>
  <c r="DT46" i="63"/>
  <c r="DP46" i="63"/>
  <c r="DL46" i="63"/>
  <c r="DS46" i="63"/>
  <c r="DO46" i="63"/>
  <c r="DR46" i="63"/>
  <c r="ER46" i="63"/>
  <c r="DN46" i="63"/>
  <c r="DU46" i="63"/>
  <c r="DQ46" i="63"/>
  <c r="DM46" i="63"/>
  <c r="EM46" i="63"/>
  <c r="DT38" i="63"/>
  <c r="DP38" i="63"/>
  <c r="DL38" i="63"/>
  <c r="DS38" i="63"/>
  <c r="ES38" i="63"/>
  <c r="DO38" i="63"/>
  <c r="DR38" i="63"/>
  <c r="DN38" i="63"/>
  <c r="DU38" i="63"/>
  <c r="DQ38" i="63"/>
  <c r="DM38" i="63"/>
  <c r="DT22" i="63"/>
  <c r="DP22" i="63"/>
  <c r="DL22" i="63"/>
  <c r="DS22" i="63"/>
  <c r="DO22" i="63"/>
  <c r="DR22" i="63"/>
  <c r="DN22" i="63"/>
  <c r="DU22" i="63"/>
  <c r="DQ22" i="63"/>
  <c r="DM22" i="63"/>
  <c r="DT14" i="63"/>
  <c r="DP14" i="63"/>
  <c r="DL14" i="63"/>
  <c r="DS14" i="63"/>
  <c r="DO14" i="63"/>
  <c r="DR14" i="63"/>
  <c r="DN14" i="63"/>
  <c r="DU14" i="63"/>
  <c r="DQ14" i="63"/>
  <c r="DM14" i="63"/>
  <c r="DK46" i="63"/>
  <c r="DK44" i="63"/>
  <c r="DK38" i="63"/>
  <c r="DK36" i="63"/>
  <c r="EE11" i="63"/>
  <c r="EA11" i="63"/>
  <c r="EH11" i="63"/>
  <c r="ED11" i="63"/>
  <c r="DZ11" i="63"/>
  <c r="EG11" i="63"/>
  <c r="EC11" i="63"/>
  <c r="DY11" i="63"/>
  <c r="EF11" i="63"/>
  <c r="EB11" i="63"/>
  <c r="DX26" i="63"/>
  <c r="DX24" i="63"/>
  <c r="DX18" i="63"/>
  <c r="EK18" i="63"/>
  <c r="DX16" i="63"/>
  <c r="EE168" i="63"/>
  <c r="EA168" i="63"/>
  <c r="EG168" i="63"/>
  <c r="EC168" i="63"/>
  <c r="DY168" i="63"/>
  <c r="EB168" i="63"/>
  <c r="EH168" i="63"/>
  <c r="DZ168" i="63"/>
  <c r="EF168" i="63"/>
  <c r="ED168" i="63"/>
  <c r="EE174" i="63"/>
  <c r="EA174" i="63"/>
  <c r="EH174" i="63"/>
  <c r="EG174" i="63"/>
  <c r="EC174" i="63"/>
  <c r="DY174" i="63"/>
  <c r="EF174" i="63"/>
  <c r="DX174" i="63"/>
  <c r="ED174" i="63"/>
  <c r="EB174" i="63"/>
  <c r="DZ174" i="63"/>
  <c r="DR174" i="63"/>
  <c r="DN174" i="63"/>
  <c r="EN174" i="63"/>
  <c r="DT174" i="63"/>
  <c r="FT174" i="63"/>
  <c r="DP174" i="63"/>
  <c r="DL174" i="63"/>
  <c r="DO174" i="63"/>
  <c r="DU174" i="63"/>
  <c r="DM174" i="63"/>
  <c r="DS174" i="63"/>
  <c r="ES174" i="63"/>
  <c r="DQ174" i="63"/>
  <c r="EE162" i="63"/>
  <c r="EA162" i="63"/>
  <c r="EH162" i="63"/>
  <c r="EU162" i="63"/>
  <c r="ED162" i="63"/>
  <c r="DZ162" i="63"/>
  <c r="EG162" i="63"/>
  <c r="EC162" i="63"/>
  <c r="EP162" i="63"/>
  <c r="DY162" i="63"/>
  <c r="EF162" i="63"/>
  <c r="EB162" i="63"/>
  <c r="DX162" i="63"/>
  <c r="EK162" i="63"/>
  <c r="EE164" i="63"/>
  <c r="EA164" i="63"/>
  <c r="EH164" i="63"/>
  <c r="ED164" i="63"/>
  <c r="DZ164" i="63"/>
  <c r="EG164" i="63"/>
  <c r="EC164" i="63"/>
  <c r="DY164" i="63"/>
  <c r="EF164" i="63"/>
  <c r="EB164" i="63"/>
  <c r="DX164" i="63"/>
  <c r="EE156" i="63"/>
  <c r="EA156" i="63"/>
  <c r="EG156" i="63"/>
  <c r="EC156" i="63"/>
  <c r="DY156" i="63"/>
  <c r="EF156" i="63"/>
  <c r="DX156" i="63"/>
  <c r="ED156" i="63"/>
  <c r="EB156" i="63"/>
  <c r="EH156" i="63"/>
  <c r="DZ156" i="63"/>
  <c r="DR147" i="63"/>
  <c r="DN147" i="63"/>
  <c r="DT147" i="63"/>
  <c r="DP147" i="63"/>
  <c r="DL147" i="63"/>
  <c r="DS147" i="63"/>
  <c r="ES147" i="63"/>
  <c r="DQ147" i="63"/>
  <c r="DO147" i="63"/>
  <c r="DM147" i="63"/>
  <c r="DU147" i="63"/>
  <c r="EU147" i="63"/>
  <c r="DR143" i="63"/>
  <c r="DN143" i="63"/>
  <c r="DT143" i="63"/>
  <c r="DP143" i="63"/>
  <c r="DL143" i="63"/>
  <c r="DS143" i="63"/>
  <c r="DQ143" i="63"/>
  <c r="DO143" i="63"/>
  <c r="DU143" i="63"/>
  <c r="DM143" i="63"/>
  <c r="EE137" i="63"/>
  <c r="EA137" i="63"/>
  <c r="EN137" i="63"/>
  <c r="EH137" i="63"/>
  <c r="ED137" i="63"/>
  <c r="DZ137" i="63"/>
  <c r="EG137" i="63"/>
  <c r="EC137" i="63"/>
  <c r="DY137" i="63"/>
  <c r="EB137" i="63"/>
  <c r="DX137" i="63"/>
  <c r="EF137" i="63"/>
  <c r="EG136" i="63"/>
  <c r="EC136" i="63"/>
  <c r="DY136" i="63"/>
  <c r="EF136" i="63"/>
  <c r="EB136" i="63"/>
  <c r="DX136" i="63"/>
  <c r="EE136" i="63"/>
  <c r="EA136" i="63"/>
  <c r="EH136" i="63"/>
  <c r="ED136" i="63"/>
  <c r="DZ136" i="63"/>
  <c r="EM136" i="63"/>
  <c r="DR131" i="63"/>
  <c r="ER131" i="63"/>
  <c r="DN131" i="63"/>
  <c r="DU131" i="63"/>
  <c r="DQ131" i="63"/>
  <c r="DM131" i="63"/>
  <c r="DT131" i="63"/>
  <c r="DP131" i="63"/>
  <c r="DL131" i="63"/>
  <c r="DO131" i="63"/>
  <c r="DK131" i="63"/>
  <c r="DS131" i="63"/>
  <c r="DR127" i="63"/>
  <c r="DN127" i="63"/>
  <c r="DT127" i="63"/>
  <c r="DP127" i="63"/>
  <c r="DL127" i="63"/>
  <c r="DS127" i="63"/>
  <c r="DQ127" i="63"/>
  <c r="DO127" i="63"/>
  <c r="DU127" i="63"/>
  <c r="EU127" i="63"/>
  <c r="DM127" i="63"/>
  <c r="EG138" i="63"/>
  <c r="EC138" i="63"/>
  <c r="DY138" i="63"/>
  <c r="EF138" i="63"/>
  <c r="EB138" i="63"/>
  <c r="DX138" i="63"/>
  <c r="EE138" i="63"/>
  <c r="EA138" i="63"/>
  <c r="EH138" i="63"/>
  <c r="ED138" i="63"/>
  <c r="DZ138" i="63"/>
  <c r="DT128" i="63"/>
  <c r="DP128" i="63"/>
  <c r="DL128" i="63"/>
  <c r="DR128" i="63"/>
  <c r="DN128" i="63"/>
  <c r="DU128" i="63"/>
  <c r="DM128" i="63"/>
  <c r="DS128" i="63"/>
  <c r="DQ128" i="63"/>
  <c r="DO128" i="63"/>
  <c r="EG119" i="63"/>
  <c r="EC119" i="63"/>
  <c r="EP119" i="63"/>
  <c r="DY119" i="63"/>
  <c r="EF119" i="63"/>
  <c r="EB119" i="63"/>
  <c r="EE119" i="63"/>
  <c r="EA119" i="63"/>
  <c r="ED119" i="63"/>
  <c r="DZ119" i="63"/>
  <c r="EH119" i="63"/>
  <c r="EG111" i="63"/>
  <c r="EC111" i="63"/>
  <c r="DY111" i="63"/>
  <c r="EF111" i="63"/>
  <c r="ES111" i="63"/>
  <c r="EB111" i="63"/>
  <c r="EE111" i="63"/>
  <c r="EA111" i="63"/>
  <c r="ED111" i="63"/>
  <c r="DZ111" i="63"/>
  <c r="EH111" i="63"/>
  <c r="DK143" i="63"/>
  <c r="EG101" i="63"/>
  <c r="FG101" i="63"/>
  <c r="EC101" i="63"/>
  <c r="DY101" i="63"/>
  <c r="EF101" i="63"/>
  <c r="EB101" i="63"/>
  <c r="EO101" i="63"/>
  <c r="EA101" i="63"/>
  <c r="EH101" i="63"/>
  <c r="DZ101" i="63"/>
  <c r="EE101" i="63"/>
  <c r="ED101" i="63"/>
  <c r="DT123" i="63"/>
  <c r="DP123" i="63"/>
  <c r="DL123" i="63"/>
  <c r="FL123" i="63"/>
  <c r="DS123" i="63"/>
  <c r="DO123" i="63"/>
  <c r="DR123" i="63"/>
  <c r="DN123" i="63"/>
  <c r="DU123" i="63"/>
  <c r="DQ123" i="63"/>
  <c r="DM123" i="63"/>
  <c r="DT111" i="63"/>
  <c r="FT111" i="63"/>
  <c r="DP111" i="63"/>
  <c r="DL111" i="63"/>
  <c r="DS111" i="63"/>
  <c r="DO111" i="63"/>
  <c r="EO111" i="63"/>
  <c r="DR111" i="63"/>
  <c r="DN111" i="63"/>
  <c r="DM111" i="63"/>
  <c r="DU111" i="63"/>
  <c r="EU111" i="63"/>
  <c r="DQ111" i="63"/>
  <c r="DT101" i="63"/>
  <c r="DP101" i="63"/>
  <c r="DL101" i="63"/>
  <c r="EY101" i="63"/>
  <c r="DS101" i="63"/>
  <c r="DO101" i="63"/>
  <c r="DR101" i="63"/>
  <c r="DQ101" i="63"/>
  <c r="FQ101" i="63"/>
  <c r="DN101" i="63"/>
  <c r="DU101" i="63"/>
  <c r="DM101" i="63"/>
  <c r="EE98" i="63"/>
  <c r="ER98" i="63"/>
  <c r="EA98" i="63"/>
  <c r="EH98" i="63"/>
  <c r="ED98" i="63"/>
  <c r="DZ98" i="63"/>
  <c r="EC98" i="63"/>
  <c r="EB98" i="63"/>
  <c r="EG98" i="63"/>
  <c r="DY98" i="63"/>
  <c r="EF98" i="63"/>
  <c r="DX98" i="63"/>
  <c r="EE118" i="63"/>
  <c r="EA118" i="63"/>
  <c r="EH118" i="63"/>
  <c r="ED118" i="63"/>
  <c r="DZ118" i="63"/>
  <c r="EG118" i="63"/>
  <c r="ET118" i="63"/>
  <c r="EC118" i="63"/>
  <c r="DY118" i="63"/>
  <c r="EF118" i="63"/>
  <c r="EB118" i="63"/>
  <c r="EO118" i="63"/>
  <c r="DX118" i="63"/>
  <c r="DX107" i="63"/>
  <c r="EG95" i="63"/>
  <c r="EC95" i="63"/>
  <c r="EP95" i="63"/>
  <c r="DY95" i="63"/>
  <c r="EF95" i="63"/>
  <c r="EB95" i="63"/>
  <c r="ED95" i="63"/>
  <c r="EA95" i="63"/>
  <c r="EH95" i="63"/>
  <c r="DZ95" i="63"/>
  <c r="EE95" i="63"/>
  <c r="FE95" i="63"/>
  <c r="EF87" i="63"/>
  <c r="EB87" i="63"/>
  <c r="EE87" i="63"/>
  <c r="EA87" i="63"/>
  <c r="EH87" i="63"/>
  <c r="ED87" i="63"/>
  <c r="DZ87" i="63"/>
  <c r="EC87" i="63"/>
  <c r="EP87" i="63"/>
  <c r="DY87" i="63"/>
  <c r="EG87" i="63"/>
  <c r="DK127" i="63"/>
  <c r="DR104" i="63"/>
  <c r="FR104" i="63"/>
  <c r="DN104" i="63"/>
  <c r="DU104" i="63"/>
  <c r="DQ104" i="63"/>
  <c r="DM104" i="63"/>
  <c r="DP104" i="63"/>
  <c r="DO104" i="63"/>
  <c r="DT104" i="63"/>
  <c r="DL104" i="63"/>
  <c r="DS104" i="63"/>
  <c r="DK104" i="63"/>
  <c r="DX89" i="63"/>
  <c r="EH88" i="63"/>
  <c r="EU88" i="63"/>
  <c r="ED88" i="63"/>
  <c r="DZ88" i="63"/>
  <c r="EG88" i="63"/>
  <c r="EC88" i="63"/>
  <c r="EP88" i="63"/>
  <c r="DY88" i="63"/>
  <c r="EF88" i="63"/>
  <c r="EB88" i="63"/>
  <c r="EE88" i="63"/>
  <c r="EA88" i="63"/>
  <c r="EH83" i="63"/>
  <c r="ED83" i="63"/>
  <c r="DZ83" i="63"/>
  <c r="EG83" i="63"/>
  <c r="EC83" i="63"/>
  <c r="DY83" i="63"/>
  <c r="EF83" i="63"/>
  <c r="EB83" i="63"/>
  <c r="EE83" i="63"/>
  <c r="FE83" i="63"/>
  <c r="EA83" i="63"/>
  <c r="EH75" i="63"/>
  <c r="EU75" i="63"/>
  <c r="ED75" i="63"/>
  <c r="DZ75" i="63"/>
  <c r="EG75" i="63"/>
  <c r="EC75" i="63"/>
  <c r="EP75" i="63"/>
  <c r="DY75" i="63"/>
  <c r="EL75" i="63"/>
  <c r="EF75" i="63"/>
  <c r="EB75" i="63"/>
  <c r="EE75" i="63"/>
  <c r="FE75" i="63"/>
  <c r="EA75" i="63"/>
  <c r="EH67" i="63"/>
  <c r="ED67" i="63"/>
  <c r="DZ67" i="63"/>
  <c r="EG67" i="63"/>
  <c r="EC67" i="63"/>
  <c r="DY67" i="63"/>
  <c r="EF67" i="63"/>
  <c r="EB67" i="63"/>
  <c r="EE67" i="63"/>
  <c r="EA67" i="63"/>
  <c r="EH57" i="63"/>
  <c r="ED57" i="63"/>
  <c r="EQ57" i="63"/>
  <c r="DZ57" i="63"/>
  <c r="EG57" i="63"/>
  <c r="EC57" i="63"/>
  <c r="DY57" i="63"/>
  <c r="EF57" i="63"/>
  <c r="EB57" i="63"/>
  <c r="EE57" i="63"/>
  <c r="EA57" i="63"/>
  <c r="EG49" i="63"/>
  <c r="EC49" i="63"/>
  <c r="DY49" i="63"/>
  <c r="EF49" i="63"/>
  <c r="EB49" i="63"/>
  <c r="EE49" i="63"/>
  <c r="EA49" i="63"/>
  <c r="DZ49" i="63"/>
  <c r="EH49" i="63"/>
  <c r="ED49" i="63"/>
  <c r="EG42" i="63"/>
  <c r="ET42" i="63"/>
  <c r="EC42" i="63"/>
  <c r="DY42" i="63"/>
  <c r="EF42" i="63"/>
  <c r="EB42" i="63"/>
  <c r="FB42" i="63"/>
  <c r="EE42" i="63"/>
  <c r="EA42" i="63"/>
  <c r="EH42" i="63"/>
  <c r="ED42" i="63"/>
  <c r="DZ42" i="63"/>
  <c r="EG34" i="63"/>
  <c r="EC34" i="63"/>
  <c r="DY34" i="63"/>
  <c r="EF34" i="63"/>
  <c r="EB34" i="63"/>
  <c r="EE34" i="63"/>
  <c r="EA34" i="63"/>
  <c r="EH34" i="63"/>
  <c r="ED34" i="63"/>
  <c r="DZ34" i="63"/>
  <c r="EG22" i="63"/>
  <c r="ET22" i="63"/>
  <c r="EC22" i="63"/>
  <c r="DY22" i="63"/>
  <c r="EF22" i="63"/>
  <c r="EB22" i="63"/>
  <c r="EO22" i="63"/>
  <c r="EE22" i="63"/>
  <c r="EA22" i="63"/>
  <c r="EH22" i="63"/>
  <c r="ED22" i="63"/>
  <c r="EQ22" i="63"/>
  <c r="DZ22" i="63"/>
  <c r="EG14" i="63"/>
  <c r="EC14" i="63"/>
  <c r="DY14" i="63"/>
  <c r="EF14" i="63"/>
  <c r="EB14" i="63"/>
  <c r="EE14" i="63"/>
  <c r="EA14" i="63"/>
  <c r="FA14" i="63"/>
  <c r="EH14" i="63"/>
  <c r="ED14" i="63"/>
  <c r="DZ14" i="63"/>
  <c r="DT48" i="63"/>
  <c r="ET48" i="63"/>
  <c r="DU48" i="63"/>
  <c r="DP48" i="63"/>
  <c r="DL48" i="63"/>
  <c r="DS48" i="63"/>
  <c r="DO48" i="63"/>
  <c r="DR48" i="63"/>
  <c r="DN48" i="63"/>
  <c r="DQ48" i="63"/>
  <c r="EQ48" i="63"/>
  <c r="DM48" i="63"/>
  <c r="DT40" i="63"/>
  <c r="DP40" i="63"/>
  <c r="DL40" i="63"/>
  <c r="DS40" i="63"/>
  <c r="DO40" i="63"/>
  <c r="DR40" i="63"/>
  <c r="DN40" i="63"/>
  <c r="DU40" i="63"/>
  <c r="DQ40" i="63"/>
  <c r="DM40" i="63"/>
  <c r="DT24" i="63"/>
  <c r="DP24" i="63"/>
  <c r="DL24" i="63"/>
  <c r="DS24" i="63"/>
  <c r="DO24" i="63"/>
  <c r="DR24" i="63"/>
  <c r="DN24" i="63"/>
  <c r="DU24" i="63"/>
  <c r="DQ24" i="63"/>
  <c r="DM24" i="63"/>
  <c r="DT16" i="63"/>
  <c r="DP16" i="63"/>
  <c r="DL16" i="63"/>
  <c r="EY16" i="63"/>
  <c r="DS16" i="63"/>
  <c r="DO16" i="63"/>
  <c r="DR16" i="63"/>
  <c r="DN16" i="63"/>
  <c r="EN16" i="63"/>
  <c r="DU16" i="63"/>
  <c r="DQ16" i="63"/>
  <c r="DM16" i="63"/>
  <c r="DK28" i="63"/>
  <c r="DK24" i="63"/>
  <c r="DK22" i="63"/>
  <c r="DK20" i="63"/>
  <c r="DK16" i="63"/>
  <c r="EK16" i="63"/>
  <c r="DK14" i="63"/>
  <c r="EK14" i="63"/>
  <c r="DK12" i="63"/>
  <c r="EK12" i="63"/>
  <c r="EF10" i="63"/>
  <c r="EB10" i="63"/>
  <c r="EO10" i="63"/>
  <c r="EE10" i="63"/>
  <c r="EA10" i="63"/>
  <c r="EH10" i="63"/>
  <c r="ED10" i="63"/>
  <c r="DZ10" i="63"/>
  <c r="EG10" i="63"/>
  <c r="EC10" i="63"/>
  <c r="DY10" i="63"/>
  <c r="DR179" i="63"/>
  <c r="DN179" i="63"/>
  <c r="FN179" i="63"/>
  <c r="DT179" i="63"/>
  <c r="FT179" i="63"/>
  <c r="K729" i="73"/>
  <c r="DP179" i="63"/>
  <c r="FP179" i="63"/>
  <c r="DL179" i="63"/>
  <c r="DS179" i="63"/>
  <c r="DQ179" i="63"/>
  <c r="FQ179" i="63"/>
  <c r="DO179" i="63"/>
  <c r="DU179" i="63"/>
  <c r="FU179" i="63"/>
  <c r="DM179" i="63"/>
  <c r="DT177" i="63"/>
  <c r="DP177" i="63"/>
  <c r="EP177" i="63"/>
  <c r="DL177" i="63"/>
  <c r="DS177" i="63"/>
  <c r="DO177" i="63"/>
  <c r="DR177" i="63"/>
  <c r="ER177" i="63"/>
  <c r="DN177" i="63"/>
  <c r="DM177" i="63"/>
  <c r="DU177" i="63"/>
  <c r="DQ177" i="63"/>
  <c r="EG165" i="63"/>
  <c r="EC165" i="63"/>
  <c r="DY165" i="63"/>
  <c r="EF165" i="63"/>
  <c r="EB165" i="63"/>
  <c r="DX165" i="63"/>
  <c r="EE165" i="63"/>
  <c r="EA165" i="63"/>
  <c r="ED165" i="63"/>
  <c r="DZ165" i="63"/>
  <c r="EH165" i="63"/>
  <c r="DT165" i="63"/>
  <c r="ET165" i="63"/>
  <c r="DP165" i="63"/>
  <c r="DL165" i="63"/>
  <c r="DS165" i="63"/>
  <c r="DO165" i="63"/>
  <c r="DO180" i="63"/>
  <c r="DR165" i="63"/>
  <c r="DN165" i="63"/>
  <c r="DM165" i="63"/>
  <c r="DU165" i="63"/>
  <c r="EU165" i="63"/>
  <c r="DQ165" i="63"/>
  <c r="DR164" i="63"/>
  <c r="DN164" i="63"/>
  <c r="DU164" i="63"/>
  <c r="EU164" i="63"/>
  <c r="DQ164" i="63"/>
  <c r="DM164" i="63"/>
  <c r="DT164" i="63"/>
  <c r="DP164" i="63"/>
  <c r="EP164" i="63"/>
  <c r="DL164" i="63"/>
  <c r="DS164" i="63"/>
  <c r="DO164" i="63"/>
  <c r="DK164" i="63"/>
  <c r="EE143" i="63"/>
  <c r="EA143" i="63"/>
  <c r="EG143" i="63"/>
  <c r="EC143" i="63"/>
  <c r="DY143" i="63"/>
  <c r="EB143" i="63"/>
  <c r="EH143" i="63"/>
  <c r="DZ143" i="63"/>
  <c r="EF143" i="63"/>
  <c r="DX143" i="63"/>
  <c r="ED143" i="63"/>
  <c r="DR156" i="63"/>
  <c r="ER156" i="63"/>
  <c r="DN156" i="63"/>
  <c r="DT156" i="63"/>
  <c r="DP156" i="63"/>
  <c r="DL156" i="63"/>
  <c r="EL156" i="63"/>
  <c r="DO156" i="63"/>
  <c r="DU156" i="63"/>
  <c r="DM156" i="63"/>
  <c r="DS156" i="63"/>
  <c r="ES156" i="63"/>
  <c r="DQ156" i="63"/>
  <c r="EE155" i="63"/>
  <c r="EA155" i="63"/>
  <c r="EH155" i="63"/>
  <c r="ED155" i="63"/>
  <c r="DZ155" i="63"/>
  <c r="EG155" i="63"/>
  <c r="EC155" i="63"/>
  <c r="FC155" i="63"/>
  <c r="DY155" i="63"/>
  <c r="EF155" i="63"/>
  <c r="EB155" i="63"/>
  <c r="DX155" i="63"/>
  <c r="EX155" i="63"/>
  <c r="EE145" i="63"/>
  <c r="EA145" i="63"/>
  <c r="EG145" i="63"/>
  <c r="EC145" i="63"/>
  <c r="EP145" i="63"/>
  <c r="DY145" i="63"/>
  <c r="EF145" i="63"/>
  <c r="DX145" i="63"/>
  <c r="ED145" i="63"/>
  <c r="EQ145" i="63"/>
  <c r="EB145" i="63"/>
  <c r="DZ145" i="63"/>
  <c r="EH145" i="63"/>
  <c r="DT140" i="63"/>
  <c r="DT150" i="63"/>
  <c r="DP140" i="63"/>
  <c r="DL140" i="63"/>
  <c r="DS140" i="63"/>
  <c r="DO140" i="63"/>
  <c r="DR140" i="63"/>
  <c r="DN140" i="63"/>
  <c r="DU140" i="63"/>
  <c r="DQ140" i="63"/>
  <c r="DM140" i="63"/>
  <c r="DR137" i="63"/>
  <c r="DN137" i="63"/>
  <c r="DU137" i="63"/>
  <c r="DQ137" i="63"/>
  <c r="DM137" i="63"/>
  <c r="DT137" i="63"/>
  <c r="DP137" i="63"/>
  <c r="DL137" i="63"/>
  <c r="DK137" i="63"/>
  <c r="DS137" i="63"/>
  <c r="DO137" i="63"/>
  <c r="FO137" i="63"/>
  <c r="DK158" i="63"/>
  <c r="DT136" i="63"/>
  <c r="DP136" i="63"/>
  <c r="DL136" i="63"/>
  <c r="DS136" i="63"/>
  <c r="DO136" i="63"/>
  <c r="DR136" i="63"/>
  <c r="DN136" i="63"/>
  <c r="FN136" i="63"/>
  <c r="DQ136" i="63"/>
  <c r="DM136" i="63"/>
  <c r="DU136" i="63"/>
  <c r="EG117" i="63"/>
  <c r="FG117" i="63"/>
  <c r="EC117" i="63"/>
  <c r="DY117" i="63"/>
  <c r="EF117" i="63"/>
  <c r="EB117" i="63"/>
  <c r="FB117" i="63"/>
  <c r="EE117" i="63"/>
  <c r="EA117" i="63"/>
  <c r="DZ117" i="63"/>
  <c r="EH117" i="63"/>
  <c r="ED117" i="63"/>
  <c r="EG109" i="63"/>
  <c r="EC109" i="63"/>
  <c r="DY109" i="63"/>
  <c r="EY109" i="63"/>
  <c r="EF109" i="63"/>
  <c r="EB109" i="63"/>
  <c r="EE109" i="63"/>
  <c r="EA109" i="63"/>
  <c r="DZ109" i="63"/>
  <c r="EH109" i="63"/>
  <c r="ED109" i="63"/>
  <c r="EE116" i="63"/>
  <c r="FE116" i="63"/>
  <c r="EA116" i="63"/>
  <c r="EH116" i="63"/>
  <c r="ED116" i="63"/>
  <c r="DZ116" i="63"/>
  <c r="EG116" i="63"/>
  <c r="EC116" i="63"/>
  <c r="DY116" i="63"/>
  <c r="EF116" i="63"/>
  <c r="EB116" i="63"/>
  <c r="DX116" i="63"/>
  <c r="DR98" i="63"/>
  <c r="DN98" i="63"/>
  <c r="DU98" i="63"/>
  <c r="DQ98" i="63"/>
  <c r="DM98" i="63"/>
  <c r="DT98" i="63"/>
  <c r="DL98" i="63"/>
  <c r="DS98" i="63"/>
  <c r="DK98" i="63"/>
  <c r="DP98" i="63"/>
  <c r="EP98" i="63"/>
  <c r="DO98" i="63"/>
  <c r="DR118" i="63"/>
  <c r="DN118" i="63"/>
  <c r="DU118" i="63"/>
  <c r="DQ118" i="63"/>
  <c r="DM118" i="63"/>
  <c r="DT118" i="63"/>
  <c r="DP118" i="63"/>
  <c r="EP118" i="63"/>
  <c r="DL118" i="63"/>
  <c r="DS118" i="63"/>
  <c r="DO118" i="63"/>
  <c r="DK118" i="63"/>
  <c r="EK118" i="63"/>
  <c r="DT105" i="63"/>
  <c r="FT105" i="63"/>
  <c r="DP105" i="63"/>
  <c r="DL105" i="63"/>
  <c r="DS105" i="63"/>
  <c r="DO105" i="63"/>
  <c r="FB105" i="63"/>
  <c r="DR105" i="63"/>
  <c r="DN105" i="63"/>
  <c r="DQ105" i="63"/>
  <c r="DM105" i="63"/>
  <c r="DU105" i="63"/>
  <c r="EF85" i="63"/>
  <c r="EB85" i="63"/>
  <c r="EE85" i="63"/>
  <c r="EA85" i="63"/>
  <c r="EH85" i="63"/>
  <c r="ED85" i="63"/>
  <c r="DZ85" i="63"/>
  <c r="DY85" i="63"/>
  <c r="EG85" i="63"/>
  <c r="EC85" i="63"/>
  <c r="DR112" i="63"/>
  <c r="DN112" i="63"/>
  <c r="FN112" i="63"/>
  <c r="DU112" i="63"/>
  <c r="DQ112" i="63"/>
  <c r="DM112" i="63"/>
  <c r="DT112" i="63"/>
  <c r="FG112" i="63"/>
  <c r="DP112" i="63"/>
  <c r="DL112" i="63"/>
  <c r="DS112" i="63"/>
  <c r="DO112" i="63"/>
  <c r="FO112" i="63"/>
  <c r="DK112" i="63"/>
  <c r="DT103" i="63"/>
  <c r="DP103" i="63"/>
  <c r="DL103" i="63"/>
  <c r="DS103" i="63"/>
  <c r="DO103" i="63"/>
  <c r="EO103" i="63"/>
  <c r="DN103" i="63"/>
  <c r="DU103" i="63"/>
  <c r="DM103" i="63"/>
  <c r="DR103" i="63"/>
  <c r="DQ103" i="63"/>
  <c r="EE96" i="63"/>
  <c r="EA96" i="63"/>
  <c r="EH96" i="63"/>
  <c r="ED96" i="63"/>
  <c r="DZ96" i="63"/>
  <c r="EG96" i="63"/>
  <c r="DY96" i="63"/>
  <c r="EF96" i="63"/>
  <c r="DX96" i="63"/>
  <c r="EC96" i="63"/>
  <c r="EB96" i="63"/>
  <c r="DS87" i="63"/>
  <c r="DO87" i="63"/>
  <c r="DR87" i="63"/>
  <c r="DN87" i="63"/>
  <c r="EN87" i="63"/>
  <c r="DU87" i="63"/>
  <c r="DQ87" i="63"/>
  <c r="DM87" i="63"/>
  <c r="FM87" i="63"/>
  <c r="DL87" i="63"/>
  <c r="EL87" i="63"/>
  <c r="DT87" i="63"/>
  <c r="DP87" i="63"/>
  <c r="EH94" i="63"/>
  <c r="ED94" i="63"/>
  <c r="DZ94" i="63"/>
  <c r="EG94" i="63"/>
  <c r="EC94" i="63"/>
  <c r="DY94" i="63"/>
  <c r="EF94" i="63"/>
  <c r="EB94" i="63"/>
  <c r="EE94" i="63"/>
  <c r="EA94" i="63"/>
  <c r="EH81" i="63"/>
  <c r="ED81" i="63"/>
  <c r="DZ81" i="63"/>
  <c r="EG81" i="63"/>
  <c r="EC81" i="63"/>
  <c r="DY81" i="63"/>
  <c r="EF81" i="63"/>
  <c r="EB81" i="63"/>
  <c r="EO81" i="63"/>
  <c r="EE81" i="63"/>
  <c r="EA81" i="63"/>
  <c r="EH73" i="63"/>
  <c r="ED73" i="63"/>
  <c r="EQ73" i="63"/>
  <c r="DZ73" i="63"/>
  <c r="EG73" i="63"/>
  <c r="EC73" i="63"/>
  <c r="DY73" i="63"/>
  <c r="EF73" i="63"/>
  <c r="EB73" i="63"/>
  <c r="EE73" i="63"/>
  <c r="EA73" i="63"/>
  <c r="EH65" i="63"/>
  <c r="EU65" i="63"/>
  <c r="ED65" i="63"/>
  <c r="DZ65" i="63"/>
  <c r="EG65" i="63"/>
  <c r="EC65" i="63"/>
  <c r="DY65" i="63"/>
  <c r="EF65" i="63"/>
  <c r="EB65" i="63"/>
  <c r="EO65" i="63"/>
  <c r="EE65" i="63"/>
  <c r="EA65" i="63"/>
  <c r="EH55" i="63"/>
  <c r="ED55" i="63"/>
  <c r="DZ55" i="63"/>
  <c r="EM55" i="63"/>
  <c r="EG55" i="63"/>
  <c r="EC55" i="63"/>
  <c r="DY55" i="63"/>
  <c r="EF55" i="63"/>
  <c r="EB55" i="63"/>
  <c r="EE55" i="63"/>
  <c r="EA55" i="63"/>
  <c r="FA55" i="63"/>
  <c r="DX55" i="63"/>
  <c r="DT49" i="63"/>
  <c r="DP49" i="63"/>
  <c r="FP49" i="63"/>
  <c r="DL49" i="63"/>
  <c r="DS49" i="63"/>
  <c r="DO49" i="63"/>
  <c r="DR49" i="63"/>
  <c r="DN49" i="63"/>
  <c r="DU49" i="63"/>
  <c r="DQ49" i="63"/>
  <c r="DM49" i="63"/>
  <c r="DR50" i="63"/>
  <c r="DN50" i="63"/>
  <c r="DU50" i="63"/>
  <c r="DQ50" i="63"/>
  <c r="DM50" i="63"/>
  <c r="DT50" i="63"/>
  <c r="FG50" i="63"/>
  <c r="DP50" i="63"/>
  <c r="DL50" i="63"/>
  <c r="DS50" i="63"/>
  <c r="DO50" i="63"/>
  <c r="DK50" i="63"/>
  <c r="EG40" i="63"/>
  <c r="EC40" i="63"/>
  <c r="DY40" i="63"/>
  <c r="EF40" i="63"/>
  <c r="EB40" i="63"/>
  <c r="EE40" i="63"/>
  <c r="EA40" i="63"/>
  <c r="EH40" i="63"/>
  <c r="ED40" i="63"/>
  <c r="DZ40" i="63"/>
  <c r="EG28" i="63"/>
  <c r="EC28" i="63"/>
  <c r="DY28" i="63"/>
  <c r="EF28" i="63"/>
  <c r="EB28" i="63"/>
  <c r="EE28" i="63"/>
  <c r="EA28" i="63"/>
  <c r="EH28" i="63"/>
  <c r="ED28" i="63"/>
  <c r="DZ28" i="63"/>
  <c r="EG20" i="63"/>
  <c r="EC20" i="63"/>
  <c r="DY20" i="63"/>
  <c r="EF20" i="63"/>
  <c r="EB20" i="63"/>
  <c r="EE20" i="63"/>
  <c r="EA20" i="63"/>
  <c r="EH20" i="63"/>
  <c r="ED20" i="63"/>
  <c r="DZ20" i="63"/>
  <c r="EG12" i="63"/>
  <c r="EC12" i="63"/>
  <c r="DY12" i="63"/>
  <c r="EF12" i="63"/>
  <c r="EB12" i="63"/>
  <c r="EE12" i="63"/>
  <c r="EA12" i="63"/>
  <c r="EH12" i="63"/>
  <c r="ED12" i="63"/>
  <c r="FD12" i="63"/>
  <c r="DZ12" i="63"/>
  <c r="DT42" i="63"/>
  <c r="DP42" i="63"/>
  <c r="DL42" i="63"/>
  <c r="EL42" i="63"/>
  <c r="DS42" i="63"/>
  <c r="DO42" i="63"/>
  <c r="FO42" i="63"/>
  <c r="DR42" i="63"/>
  <c r="DN42" i="63"/>
  <c r="DU42" i="63"/>
  <c r="DQ42" i="63"/>
  <c r="DM42" i="63"/>
  <c r="DT34" i="63"/>
  <c r="DP34" i="63"/>
  <c r="DL34" i="63"/>
  <c r="DS34" i="63"/>
  <c r="ES34" i="63"/>
  <c r="DO34" i="63"/>
  <c r="DR34" i="63"/>
  <c r="DN34" i="63"/>
  <c r="DU34" i="63"/>
  <c r="DQ34" i="63"/>
  <c r="DM34" i="63"/>
  <c r="DT26" i="63"/>
  <c r="DP26" i="63"/>
  <c r="DL26" i="63"/>
  <c r="DS26" i="63"/>
  <c r="DO26" i="63"/>
  <c r="DR26" i="63"/>
  <c r="DN26" i="63"/>
  <c r="DU26" i="63"/>
  <c r="DQ26" i="63"/>
  <c r="DM26" i="63"/>
  <c r="DT18" i="63"/>
  <c r="DP18" i="63"/>
  <c r="DL18" i="63"/>
  <c r="DS18" i="63"/>
  <c r="DO18" i="63"/>
  <c r="DR18" i="63"/>
  <c r="DN18" i="63"/>
  <c r="DU18" i="63"/>
  <c r="DQ18" i="63"/>
  <c r="DM18" i="63"/>
  <c r="DU11" i="63"/>
  <c r="EU11" i="63"/>
  <c r="DQ11" i="63"/>
  <c r="DM11" i="63"/>
  <c r="DT11" i="63"/>
  <c r="DP11" i="63"/>
  <c r="DL11" i="63"/>
  <c r="DS11" i="63"/>
  <c r="DO11" i="63"/>
  <c r="DN11" i="63"/>
  <c r="DR11" i="63"/>
  <c r="FR11" i="63"/>
  <c r="FI146" i="63"/>
  <c r="EY64" i="63"/>
  <c r="FF157" i="63"/>
  <c r="FO101" i="63"/>
  <c r="FR95" i="63"/>
  <c r="FV117" i="63"/>
  <c r="FI117" i="63"/>
  <c r="FO162" i="63"/>
  <c r="FN175" i="63"/>
  <c r="FI97" i="63"/>
  <c r="FU167" i="63"/>
  <c r="FP172" i="63"/>
  <c r="FV43" i="63"/>
  <c r="FI43" i="63"/>
  <c r="FM74" i="63"/>
  <c r="FO79" i="63"/>
  <c r="FR71" i="63"/>
  <c r="ET135" i="63"/>
  <c r="FF148" i="63"/>
  <c r="FP155" i="63"/>
  <c r="FD8" i="63"/>
  <c r="FB59" i="63"/>
  <c r="FQ59" i="63"/>
  <c r="FD59" i="63"/>
  <c r="EX6" i="63"/>
  <c r="FI80" i="63"/>
  <c r="FP64" i="63"/>
  <c r="FC64" i="63"/>
  <c r="EN64" i="63"/>
  <c r="FN64" i="63"/>
  <c r="EK72" i="63"/>
  <c r="FK72" i="63"/>
  <c r="EX72" i="63"/>
  <c r="FP126" i="63"/>
  <c r="FC126" i="63"/>
  <c r="FS169" i="63"/>
  <c r="FA161" i="63"/>
  <c r="EL13" i="63"/>
  <c r="FO25" i="63"/>
  <c r="ER29" i="63"/>
  <c r="FR29" i="63"/>
  <c r="FE29" i="63"/>
  <c r="EM70" i="63"/>
  <c r="FE78" i="63"/>
  <c r="FO88" i="63"/>
  <c r="EP106" i="63"/>
  <c r="EN106" i="63"/>
  <c r="FN106" i="63"/>
  <c r="FA106" i="63"/>
  <c r="FQ5" i="63"/>
  <c r="H300" i="73"/>
  <c r="EL9" i="63"/>
  <c r="FL9" i="63"/>
  <c r="EY9" i="63"/>
  <c r="FG84" i="63"/>
  <c r="FV55" i="63"/>
  <c r="FI55" i="63"/>
  <c r="EQ124" i="63"/>
  <c r="FK130" i="63"/>
  <c r="EZ19" i="63"/>
  <c r="EM27" i="63"/>
  <c r="FS153" i="63"/>
  <c r="EK153" i="63"/>
  <c r="FI171" i="63"/>
  <c r="FL142" i="63"/>
  <c r="EY142" i="63"/>
  <c r="FU159" i="63"/>
  <c r="FH159" i="63"/>
  <c r="FO141" i="63"/>
  <c r="FB141" i="63"/>
  <c r="FU21" i="63"/>
  <c r="FH21" i="63"/>
  <c r="FK68" i="63"/>
  <c r="EX68" i="63"/>
  <c r="FN159" i="63"/>
  <c r="FR4" i="63"/>
  <c r="FA144" i="63"/>
  <c r="FT146" i="63"/>
  <c r="FP146" i="63"/>
  <c r="FQ146" i="63"/>
  <c r="FD146" i="63"/>
  <c r="FI84" i="63"/>
  <c r="FE161" i="63"/>
  <c r="FS103" i="63"/>
  <c r="FI105" i="63"/>
  <c r="EK22" i="63"/>
  <c r="FK22" i="63"/>
  <c r="FN101" i="63"/>
  <c r="FA101" i="63"/>
  <c r="FE154" i="63"/>
  <c r="FR158" i="63"/>
  <c r="FT112" i="63"/>
  <c r="FA112" i="63"/>
  <c r="EQ118" i="63"/>
  <c r="FS137" i="63"/>
  <c r="EO174" i="63"/>
  <c r="FO174" i="63"/>
  <c r="FN174" i="63"/>
  <c r="EK36" i="63"/>
  <c r="FM95" i="63"/>
  <c r="EZ95" i="63"/>
  <c r="FO107" i="63"/>
  <c r="FO117" i="63"/>
  <c r="FT125" i="63"/>
  <c r="FO129" i="63"/>
  <c r="FQ138" i="63"/>
  <c r="FD138" i="63"/>
  <c r="FV138" i="63"/>
  <c r="FI138" i="63"/>
  <c r="FO158" i="63"/>
  <c r="FB158" i="63"/>
  <c r="ER175" i="63"/>
  <c r="FM12" i="63"/>
  <c r="EZ12" i="63"/>
  <c r="FR12" i="63"/>
  <c r="FE12" i="63"/>
  <c r="FL12" i="63"/>
  <c r="FQ20" i="63"/>
  <c r="FT96" i="63"/>
  <c r="K544" i="73"/>
  <c r="FG96" i="63"/>
  <c r="FN109" i="63"/>
  <c r="FA109" i="63"/>
  <c r="FQ134" i="63"/>
  <c r="FL134" i="63"/>
  <c r="EM160" i="63"/>
  <c r="FV160" i="63"/>
  <c r="FI160" i="63"/>
  <c r="EM167" i="63"/>
  <c r="FV167" i="63"/>
  <c r="FI167" i="63"/>
  <c r="FC167" i="63"/>
  <c r="FV163" i="63"/>
  <c r="FI163" i="63"/>
  <c r="EP163" i="63"/>
  <c r="FP163" i="63"/>
  <c r="FC163" i="63"/>
  <c r="FV168" i="63"/>
  <c r="FI168" i="63"/>
  <c r="EQ172" i="63"/>
  <c r="EL35" i="63"/>
  <c r="FL35" i="63"/>
  <c r="FL47" i="63"/>
  <c r="EY47" i="63"/>
  <c r="FS63" i="63"/>
  <c r="FV126" i="63"/>
  <c r="FI126" i="63"/>
  <c r="EO135" i="63"/>
  <c r="FO166" i="63"/>
  <c r="FQ80" i="63"/>
  <c r="FD80" i="63"/>
  <c r="EP4" i="63"/>
  <c r="FT59" i="63"/>
  <c r="FG59" i="63"/>
  <c r="EK59" i="63"/>
  <c r="FK59" i="63"/>
  <c r="EX59" i="63"/>
  <c r="FL80" i="63"/>
  <c r="EY80" i="63"/>
  <c r="ER6" i="63"/>
  <c r="FK35" i="63"/>
  <c r="EX35" i="63"/>
  <c r="EP35" i="63"/>
  <c r="EP39" i="63"/>
  <c r="FP39" i="63"/>
  <c r="EK43" i="63"/>
  <c r="FK43" i="63"/>
  <c r="B389" i="73"/>
  <c r="ET157" i="63"/>
  <c r="FU64" i="63"/>
  <c r="FH64" i="63"/>
  <c r="EO64" i="63"/>
  <c r="FO64" i="63"/>
  <c r="FB64" i="63"/>
  <c r="EM72" i="63"/>
  <c r="FQ72" i="63"/>
  <c r="FD72" i="63"/>
  <c r="ES80" i="63"/>
  <c r="FQ114" i="63"/>
  <c r="EK169" i="63"/>
  <c r="ER169" i="63"/>
  <c r="ES161" i="63"/>
  <c r="FS161" i="63"/>
  <c r="FF161" i="63"/>
  <c r="EN178" i="63"/>
  <c r="EL178" i="63"/>
  <c r="FM144" i="63"/>
  <c r="EZ144" i="63"/>
  <c r="FQ13" i="63"/>
  <c r="FD13" i="63"/>
  <c r="FV17" i="63"/>
  <c r="FI17" i="63"/>
  <c r="ET25" i="63"/>
  <c r="FT25" i="63"/>
  <c r="FG25" i="63"/>
  <c r="EN29" i="63"/>
  <c r="FN29" i="63"/>
  <c r="FA29" i="63"/>
  <c r="EL29" i="63"/>
  <c r="FT67" i="63"/>
  <c r="FG67" i="63"/>
  <c r="ET70" i="63"/>
  <c r="FR70" i="63"/>
  <c r="FE70" i="63"/>
  <c r="FN75" i="63"/>
  <c r="FA75" i="63"/>
  <c r="EN78" i="63"/>
  <c r="FT88" i="63"/>
  <c r="EL106" i="63"/>
  <c r="FS15" i="63"/>
  <c r="FF15" i="63"/>
  <c r="FL68" i="63"/>
  <c r="EY68" i="63"/>
  <c r="FO76" i="63"/>
  <c r="FB76" i="63"/>
  <c r="FN84" i="63"/>
  <c r="FA84" i="63"/>
  <c r="FK84" i="63"/>
  <c r="EX84" i="63"/>
  <c r="EM37" i="63"/>
  <c r="FO130" i="63"/>
  <c r="FB130" i="63"/>
  <c r="FQ23" i="63"/>
  <c r="FD23" i="63"/>
  <c r="FM71" i="63"/>
  <c r="EZ71" i="63"/>
  <c r="FO133" i="63"/>
  <c r="FB133" i="63"/>
  <c r="EK53" i="63"/>
  <c r="FQ27" i="63"/>
  <c r="H322" i="73"/>
  <c r="FD27" i="63"/>
  <c r="EM15" i="63"/>
  <c r="FM133" i="63"/>
  <c r="EZ133" i="63"/>
  <c r="FN55" i="63"/>
  <c r="FO159" i="63"/>
  <c r="FB159" i="63"/>
  <c r="EO171" i="63"/>
  <c r="FO171" i="63"/>
  <c r="FB171" i="63"/>
  <c r="FL76" i="63"/>
  <c r="EY76" i="63"/>
  <c r="FU142" i="63"/>
  <c r="FH142" i="63"/>
  <c r="FT171" i="63"/>
  <c r="FG171" i="63"/>
  <c r="EU37" i="63"/>
  <c r="FU37" i="63"/>
  <c r="FH37" i="63"/>
  <c r="FO55" i="63"/>
  <c r="FB55" i="63"/>
  <c r="EN124" i="63"/>
  <c r="FQ159" i="63"/>
  <c r="FD159" i="63"/>
  <c r="FL171" i="63"/>
  <c r="EY171" i="63"/>
  <c r="FM141" i="63"/>
  <c r="EZ141" i="63"/>
  <c r="EK75" i="63"/>
  <c r="FM52" i="63"/>
  <c r="FM166" i="63"/>
  <c r="EZ166" i="63"/>
  <c r="FP142" i="63"/>
  <c r="FC142" i="63"/>
  <c r="FP159" i="63"/>
  <c r="FC159" i="63"/>
  <c r="FK146" i="63"/>
  <c r="EX146" i="63"/>
  <c r="FM169" i="63"/>
  <c r="EZ169" i="63"/>
  <c r="FE11" i="63"/>
  <c r="FN34" i="63"/>
  <c r="ES118" i="63"/>
  <c r="EM98" i="63"/>
  <c r="FN111" i="63"/>
  <c r="FA111" i="63"/>
  <c r="EZ138" i="63"/>
  <c r="EP42" i="63"/>
  <c r="FR103" i="63"/>
  <c r="FM112" i="63"/>
  <c r="FR112" i="63"/>
  <c r="FE112" i="63"/>
  <c r="FN105" i="63"/>
  <c r="FA105" i="63"/>
  <c r="FL98" i="63"/>
  <c r="FR137" i="63"/>
  <c r="FE137" i="63"/>
  <c r="ET140" i="63"/>
  <c r="FR165" i="63"/>
  <c r="EL165" i="63"/>
  <c r="FC179" i="63"/>
  <c r="FV179" i="63"/>
  <c r="FI179" i="63"/>
  <c r="EK28" i="63"/>
  <c r="FM24" i="63"/>
  <c r="FP40" i="63"/>
  <c r="FO104" i="63"/>
  <c r="FB104" i="63"/>
  <c r="FL101" i="63"/>
  <c r="EN128" i="63"/>
  <c r="EP128" i="63"/>
  <c r="FO127" i="63"/>
  <c r="FB127" i="63"/>
  <c r="FQ143" i="63"/>
  <c r="FD143" i="63"/>
  <c r="FS174" i="63"/>
  <c r="FF174" i="63"/>
  <c r="FN38" i="63"/>
  <c r="FA38" i="63"/>
  <c r="EK85" i="63"/>
  <c r="FM99" i="63"/>
  <c r="FO99" i="63"/>
  <c r="FF107" i="63"/>
  <c r="FN117" i="63"/>
  <c r="FA117" i="63"/>
  <c r="FR129" i="63"/>
  <c r="FE129" i="63"/>
  <c r="FU138" i="63"/>
  <c r="FH138" i="63"/>
  <c r="FO138" i="63"/>
  <c r="FB138" i="63"/>
  <c r="EU154" i="63"/>
  <c r="ET154" i="63"/>
  <c r="FT154" i="63"/>
  <c r="FG154" i="63"/>
  <c r="FB176" i="63"/>
  <c r="FQ175" i="63"/>
  <c r="FD175" i="63"/>
  <c r="FV175" i="63"/>
  <c r="FI175" i="63"/>
  <c r="FP175" i="63"/>
  <c r="FC175" i="63"/>
  <c r="FQ12" i="63"/>
  <c r="FU97" i="63"/>
  <c r="FP97" i="63"/>
  <c r="FC97" i="63"/>
  <c r="FL109" i="63"/>
  <c r="FO145" i="63"/>
  <c r="FB145" i="63"/>
  <c r="FU134" i="63"/>
  <c r="FH134" i="63"/>
  <c r="FV134" i="63"/>
  <c r="FI134" i="63"/>
  <c r="FP134" i="63"/>
  <c r="FO132" i="63"/>
  <c r="FB132" i="63"/>
  <c r="ET132" i="63"/>
  <c r="EQ170" i="63"/>
  <c r="FO170" i="63"/>
  <c r="FB170" i="63"/>
  <c r="FQ167" i="63"/>
  <c r="FD167" i="63"/>
  <c r="FO167" i="63"/>
  <c r="F717" i="73"/>
  <c r="FB167" i="63"/>
  <c r="FT167" i="63"/>
  <c r="FG167" i="63"/>
  <c r="FU163" i="63"/>
  <c r="FH163" i="63"/>
  <c r="FO163" i="63"/>
  <c r="FB163" i="63"/>
  <c r="FT163" i="63"/>
  <c r="FG163" i="63"/>
  <c r="EN172" i="63"/>
  <c r="FQ35" i="63"/>
  <c r="FD35" i="63"/>
  <c r="FV39" i="63"/>
  <c r="FI39" i="63"/>
  <c r="FL43" i="63"/>
  <c r="EQ47" i="63"/>
  <c r="FQ47" i="63"/>
  <c r="FD47" i="63"/>
  <c r="FS51" i="63"/>
  <c r="FF51" i="63"/>
  <c r="EN82" i="63"/>
  <c r="EQ74" i="63"/>
  <c r="FR79" i="63"/>
  <c r="FE79" i="63"/>
  <c r="FT126" i="63"/>
  <c r="FG126" i="63"/>
  <c r="FO126" i="63"/>
  <c r="FV155" i="63"/>
  <c r="FI155" i="63"/>
  <c r="FK155" i="63"/>
  <c r="FQ4" i="63"/>
  <c r="FD4" i="63"/>
  <c r="FV64" i="63"/>
  <c r="FI64" i="63"/>
  <c r="FS4" i="63"/>
  <c r="FF4" i="63"/>
  <c r="FQ64" i="63"/>
  <c r="FD64" i="63"/>
  <c r="FV77" i="63"/>
  <c r="FI77" i="63"/>
  <c r="FQ51" i="63"/>
  <c r="FD51" i="63"/>
  <c r="ER54" i="63"/>
  <c r="FR157" i="63"/>
  <c r="FE157" i="63"/>
  <c r="EM173" i="63"/>
  <c r="FM173" i="63"/>
  <c r="EZ173" i="63"/>
  <c r="FM8" i="63"/>
  <c r="EZ8" i="63"/>
  <c r="EO8" i="63"/>
  <c r="EP72" i="63"/>
  <c r="FP72" i="63"/>
  <c r="FC72" i="63"/>
  <c r="ER72" i="63"/>
  <c r="FV72" i="63"/>
  <c r="FI72" i="63"/>
  <c r="FP80" i="63"/>
  <c r="FN80" i="63"/>
  <c r="FN169" i="63"/>
  <c r="FA169" i="63"/>
  <c r="EO161" i="63"/>
  <c r="FS178" i="63"/>
  <c r="FN21" i="63"/>
  <c r="FA21" i="63"/>
  <c r="FP25" i="63"/>
  <c r="FC25" i="63"/>
  <c r="FN25" i="63"/>
  <c r="FA25" i="63"/>
  <c r="FQ29" i="63"/>
  <c r="FD29" i="63"/>
  <c r="FS70" i="63"/>
  <c r="FS75" i="63"/>
  <c r="J472" i="73"/>
  <c r="FF75" i="63"/>
  <c r="EK83" i="63"/>
  <c r="FV88" i="63"/>
  <c r="FI88" i="63"/>
  <c r="FN88" i="63"/>
  <c r="EK106" i="63"/>
  <c r="FV51" i="63"/>
  <c r="FI51" i="63"/>
  <c r="FQ3" i="63"/>
  <c r="FD3" i="63"/>
  <c r="FO53" i="63"/>
  <c r="FB53" i="63"/>
  <c r="FM7" i="63"/>
  <c r="FV9" i="63"/>
  <c r="EK65" i="63"/>
  <c r="ER37" i="63"/>
  <c r="EU41" i="63"/>
  <c r="FQ130" i="63"/>
  <c r="FD130" i="63"/>
  <c r="FI130" i="63"/>
  <c r="FS108" i="63"/>
  <c r="FT116" i="63"/>
  <c r="FG116" i="63"/>
  <c r="EO56" i="63"/>
  <c r="EU58" i="63"/>
  <c r="ES58" i="63"/>
  <c r="FT58" i="63"/>
  <c r="FG58" i="63"/>
  <c r="FL84" i="63"/>
  <c r="EY84" i="63"/>
  <c r="FV142" i="63"/>
  <c r="FN45" i="63"/>
  <c r="FA45" i="63"/>
  <c r="ET130" i="63"/>
  <c r="FT130" i="63"/>
  <c r="FG159" i="63"/>
  <c r="FH9" i="63"/>
  <c r="FK142" i="63"/>
  <c r="EX142" i="63"/>
  <c r="FQ171" i="63"/>
  <c r="FD171" i="63"/>
  <c r="EK141" i="63"/>
  <c r="FR166" i="63"/>
  <c r="FE166" i="63"/>
  <c r="EU29" i="63"/>
  <c r="FN171" i="63"/>
  <c r="FA171" i="63"/>
  <c r="FP68" i="63"/>
  <c r="FC68" i="63"/>
  <c r="FS141" i="63"/>
  <c r="FF141" i="63"/>
  <c r="FO157" i="63"/>
  <c r="FB157" i="63"/>
  <c r="EK57" i="63"/>
  <c r="FI159" i="63"/>
  <c r="FC27" i="63"/>
  <c r="EX175" i="63"/>
  <c r="FH43" i="63"/>
  <c r="EX138" i="63"/>
  <c r="EX179" i="63"/>
  <c r="EQ11" i="63"/>
  <c r="EU112" i="63"/>
  <c r="EM118" i="63"/>
  <c r="FB137" i="63"/>
  <c r="FR140" i="63"/>
  <c r="I639" i="73"/>
  <c r="FE140" i="63"/>
  <c r="FT101" i="63"/>
  <c r="FN14" i="63"/>
  <c r="FP38" i="63"/>
  <c r="FP117" i="63"/>
  <c r="FC117" i="63"/>
  <c r="ET129" i="63"/>
  <c r="FT129" i="63"/>
  <c r="FG129" i="63"/>
  <c r="FM154" i="63"/>
  <c r="EZ154" i="63"/>
  <c r="EP11" i="63"/>
  <c r="FN26" i="63"/>
  <c r="FA26" i="63"/>
  <c r="ES11" i="63"/>
  <c r="FS11" i="63"/>
  <c r="FF11" i="63"/>
  <c r="EM11" i="63"/>
  <c r="ET34" i="63"/>
  <c r="EN42" i="63"/>
  <c r="FN42" i="63"/>
  <c r="FA42" i="63"/>
  <c r="EK50" i="63"/>
  <c r="ET87" i="63"/>
  <c r="FU105" i="63"/>
  <c r="ER105" i="63"/>
  <c r="EL105" i="63"/>
  <c r="FA136" i="63"/>
  <c r="ES136" i="63"/>
  <c r="FS136" i="63"/>
  <c r="FF136" i="63"/>
  <c r="ES140" i="63"/>
  <c r="FS140" i="63"/>
  <c r="FF140" i="63"/>
  <c r="FO156" i="63"/>
  <c r="EM177" i="63"/>
  <c r="FM177" i="63"/>
  <c r="EZ177" i="63"/>
  <c r="FD179" i="63"/>
  <c r="FM16" i="63"/>
  <c r="FR16" i="63"/>
  <c r="FL16" i="63"/>
  <c r="FP24" i="63"/>
  <c r="G319" i="73"/>
  <c r="ER48" i="63"/>
  <c r="FS104" i="63"/>
  <c r="FF104" i="63"/>
  <c r="FU101" i="63"/>
  <c r="FH101" i="63"/>
  <c r="FP101" i="63"/>
  <c r="FC101" i="63"/>
  <c r="FS128" i="63"/>
  <c r="FF128" i="63"/>
  <c r="ES131" i="63"/>
  <c r="EM147" i="63"/>
  <c r="FT14" i="63"/>
  <c r="K309" i="73"/>
  <c r="FG14" i="63"/>
  <c r="FS99" i="63"/>
  <c r="FF99" i="63"/>
  <c r="FR107" i="63"/>
  <c r="I555" i="73"/>
  <c r="FE107" i="63"/>
  <c r="FL117" i="63"/>
  <c r="EY117" i="63"/>
  <c r="FR125" i="63"/>
  <c r="EP129" i="63"/>
  <c r="FN138" i="63"/>
  <c r="FA138" i="63"/>
  <c r="EQ139" i="63"/>
  <c r="FQ139" i="63"/>
  <c r="FD139" i="63"/>
  <c r="FS154" i="63"/>
  <c r="FF154" i="63"/>
  <c r="FM158" i="63"/>
  <c r="EZ158" i="63"/>
  <c r="FN158" i="63"/>
  <c r="FA158" i="63"/>
  <c r="FM162" i="63"/>
  <c r="EZ162" i="63"/>
  <c r="FO175" i="63"/>
  <c r="FB175" i="63"/>
  <c r="FT175" i="63"/>
  <c r="FG175" i="63"/>
  <c r="FS96" i="63"/>
  <c r="FF96" i="63"/>
  <c r="EN97" i="63"/>
  <c r="FO97" i="63"/>
  <c r="FB97" i="63"/>
  <c r="FT97" i="63"/>
  <c r="FG97" i="63"/>
  <c r="FD109" i="63"/>
  <c r="FV109" i="63"/>
  <c r="FI109" i="63"/>
  <c r="FP109" i="63"/>
  <c r="FC109" i="63"/>
  <c r="EZ134" i="63"/>
  <c r="FO134" i="63"/>
  <c r="FB134" i="63"/>
  <c r="FT134" i="63"/>
  <c r="FG134" i="63"/>
  <c r="FS132" i="63"/>
  <c r="FF132" i="63"/>
  <c r="EQ160" i="63"/>
  <c r="FS170" i="63"/>
  <c r="FF170" i="63"/>
  <c r="FR170" i="63"/>
  <c r="FN167" i="63"/>
  <c r="FA167" i="63"/>
  <c r="FN163" i="63"/>
  <c r="FA163" i="63"/>
  <c r="EL172" i="63"/>
  <c r="ER172" i="63"/>
  <c r="FV35" i="63"/>
  <c r="FI35" i="63"/>
  <c r="FQ43" i="63"/>
  <c r="FD43" i="63"/>
  <c r="FV47" i="63"/>
  <c r="FI47" i="63"/>
  <c r="FR82" i="63"/>
  <c r="FE82" i="63"/>
  <c r="EO66" i="63"/>
  <c r="FO71" i="63"/>
  <c r="FB71" i="63"/>
  <c r="FN126" i="63"/>
  <c r="FA126" i="63"/>
  <c r="FM148" i="63"/>
  <c r="EZ148" i="63"/>
  <c r="FK126" i="63"/>
  <c r="FU155" i="63"/>
  <c r="FQ155" i="63"/>
  <c r="FD155" i="63"/>
  <c r="FN166" i="63"/>
  <c r="FA166" i="63"/>
  <c r="FM4" i="63"/>
  <c r="EZ4" i="63"/>
  <c r="EK4" i="63"/>
  <c r="FL59" i="63"/>
  <c r="EY59" i="63"/>
  <c r="FT72" i="63"/>
  <c r="FG72" i="63"/>
  <c r="EQ6" i="63"/>
  <c r="FQ6" i="63"/>
  <c r="FD6" i="63"/>
  <c r="EK10" i="63"/>
  <c r="FL51" i="63"/>
  <c r="EY51" i="63"/>
  <c r="FS54" i="63"/>
  <c r="FF54" i="63"/>
  <c r="EO72" i="63"/>
  <c r="FO72" i="63"/>
  <c r="FB72" i="63"/>
  <c r="FS173" i="63"/>
  <c r="FF173" i="63"/>
  <c r="EM80" i="63"/>
  <c r="FU80" i="63"/>
  <c r="FH80" i="63"/>
  <c r="FO80" i="63"/>
  <c r="FB80" i="63"/>
  <c r="EQ144" i="63"/>
  <c r="ER13" i="63"/>
  <c r="FL17" i="63"/>
  <c r="C312" i="73"/>
  <c r="EY17" i="63"/>
  <c r="FU17" i="63"/>
  <c r="FH17" i="63"/>
  <c r="EN17" i="63"/>
  <c r="FK21" i="63"/>
  <c r="EX21" i="63"/>
  <c r="FO29" i="63"/>
  <c r="EK67" i="63"/>
  <c r="EO70" i="63"/>
  <c r="FM78" i="63"/>
  <c r="EZ78" i="63"/>
  <c r="EK88" i="63"/>
  <c r="FK88" i="63"/>
  <c r="EX88" i="63"/>
  <c r="FR3" i="63"/>
  <c r="FE3" i="63"/>
  <c r="ER133" i="63"/>
  <c r="FR133" i="63"/>
  <c r="FE133" i="63"/>
  <c r="FV68" i="63"/>
  <c r="FI68" i="63"/>
  <c r="FT76" i="63"/>
  <c r="FG76" i="63"/>
  <c r="FP84" i="63"/>
  <c r="FC84" i="63"/>
  <c r="FO37" i="63"/>
  <c r="FB37" i="63"/>
  <c r="FL130" i="63"/>
  <c r="EY130" i="63"/>
  <c r="FO116" i="63"/>
  <c r="FB116" i="63"/>
  <c r="ES19" i="63"/>
  <c r="FM63" i="63"/>
  <c r="EZ63" i="63"/>
  <c r="FM116" i="63"/>
  <c r="EZ116" i="63"/>
  <c r="ES23" i="63"/>
  <c r="EQ153" i="63"/>
  <c r="EN58" i="63"/>
  <c r="FN58" i="63"/>
  <c r="FA58" i="63"/>
  <c r="EP153" i="63"/>
  <c r="FS133" i="63"/>
  <c r="FF133" i="63"/>
  <c r="FT153" i="63"/>
  <c r="FG153" i="63"/>
  <c r="FK9" i="63"/>
  <c r="EX9" i="63"/>
  <c r="FO45" i="63"/>
  <c r="FB45" i="63"/>
  <c r="FT68" i="63"/>
  <c r="FG68" i="63"/>
  <c r="EK73" i="63"/>
  <c r="FT142" i="63"/>
  <c r="FG142" i="63"/>
  <c r="FU171" i="63"/>
  <c r="FH171" i="63"/>
  <c r="FQ76" i="63"/>
  <c r="H473" i="73"/>
  <c r="FD76" i="63"/>
  <c r="FL159" i="63"/>
  <c r="EY159" i="63"/>
  <c r="FK171" i="63"/>
  <c r="EX171" i="63"/>
  <c r="FK37" i="63"/>
  <c r="EX37" i="63"/>
  <c r="FU76" i="63"/>
  <c r="FH76" i="63"/>
  <c r="FC130" i="63"/>
  <c r="EK159" i="63"/>
  <c r="FK159" i="63"/>
  <c r="EX159" i="63"/>
  <c r="FN142" i="63"/>
  <c r="FA142" i="63"/>
  <c r="FP171" i="63"/>
  <c r="FC171" i="63"/>
  <c r="FM67" i="63"/>
  <c r="EZ67" i="63"/>
  <c r="FN141" i="63"/>
  <c r="FA141" i="63"/>
  <c r="ET66" i="63"/>
  <c r="EL66" i="63"/>
  <c r="EO175" i="63"/>
  <c r="ES27" i="63"/>
  <c r="ER11" i="63"/>
  <c r="ET50" i="63"/>
  <c r="ES164" i="63"/>
  <c r="EM179" i="63"/>
  <c r="EN99" i="63"/>
  <c r="EN50" i="63"/>
  <c r="ES103" i="63"/>
  <c r="EM105" i="63"/>
  <c r="EU137" i="63"/>
  <c r="ER164" i="63"/>
  <c r="EO46" i="63"/>
  <c r="EM50" i="63"/>
  <c r="EN112" i="63"/>
  <c r="EO131" i="63"/>
  <c r="EO38" i="63"/>
  <c r="ET38" i="63"/>
  <c r="EM127" i="63"/>
  <c r="EK131" i="63"/>
  <c r="EM154" i="63"/>
  <c r="EL46" i="63"/>
  <c r="ER139" i="63"/>
  <c r="EQ175" i="63"/>
  <c r="EU132" i="63"/>
  <c r="EO163" i="63"/>
  <c r="EU4" i="63"/>
  <c r="EP43" i="63"/>
  <c r="ER21" i="63"/>
  <c r="EN70" i="63"/>
  <c r="EQ106" i="63"/>
  <c r="EM33" i="63"/>
  <c r="EO127" i="63"/>
  <c r="EP50" i="63"/>
  <c r="EK158" i="63"/>
  <c r="EL38" i="63"/>
  <c r="EQ46" i="63"/>
  <c r="EL139" i="63"/>
  <c r="ES158" i="63"/>
  <c r="EQ58" i="63"/>
  <c r="ET82" i="63"/>
  <c r="EQ148" i="63"/>
  <c r="EN166" i="63"/>
  <c r="ES54" i="63"/>
  <c r="EP169" i="63"/>
  <c r="ET13" i="63"/>
  <c r="EU70" i="63"/>
  <c r="EM78" i="63"/>
  <c r="ET106" i="63"/>
  <c r="EP84" i="63"/>
  <c r="ER33" i="63"/>
  <c r="EL130" i="63"/>
  <c r="EN38" i="63"/>
  <c r="ES139" i="63"/>
  <c r="EP139" i="63"/>
  <c r="EO54" i="63"/>
  <c r="EQ161" i="63"/>
  <c r="EN161" i="63"/>
  <c r="EO21" i="63"/>
  <c r="EU49" i="63"/>
  <c r="EQ103" i="63"/>
  <c r="EL103" i="63"/>
  <c r="EL164" i="63"/>
  <c r="EO128" i="63"/>
  <c r="ET147" i="63"/>
  <c r="ER89" i="63"/>
  <c r="EQ102" i="63"/>
  <c r="EP158" i="63"/>
  <c r="EK176" i="63"/>
  <c r="EP176" i="63"/>
  <c r="EU176" i="63"/>
  <c r="EL100" i="63"/>
  <c r="ER100" i="63"/>
  <c r="EM170" i="63"/>
  <c r="EU167" i="63"/>
  <c r="EL167" i="63"/>
  <c r="ER35" i="63"/>
  <c r="EM66" i="63"/>
  <c r="EQ66" i="63"/>
  <c r="EU135" i="63"/>
  <c r="EL72" i="63"/>
  <c r="EK80" i="63"/>
  <c r="EP126" i="63"/>
  <c r="EL148" i="63"/>
  <c r="EN18" i="63"/>
  <c r="ES18" i="63"/>
  <c r="EM26" i="63"/>
  <c r="ER26" i="63"/>
  <c r="EL26" i="63"/>
  <c r="EL98" i="63"/>
  <c r="EQ136" i="63"/>
  <c r="EL24" i="63"/>
  <c r="EL48" i="63"/>
  <c r="EO104" i="63"/>
  <c r="EU104" i="63"/>
  <c r="EQ101" i="63"/>
  <c r="EL101" i="63"/>
  <c r="EP127" i="63"/>
  <c r="EQ131" i="63"/>
  <c r="EQ14" i="63"/>
  <c r="EP14" i="63"/>
  <c r="EU22" i="63"/>
  <c r="EO99" i="63"/>
  <c r="ET99" i="63"/>
  <c r="EN107" i="63"/>
  <c r="EL110" i="63"/>
  <c r="EQ110" i="63"/>
  <c r="EL102" i="63"/>
  <c r="EO139" i="63"/>
  <c r="EQ100" i="63"/>
  <c r="EQ97" i="63"/>
  <c r="EP160" i="63"/>
  <c r="ET170" i="63"/>
  <c r="EP167" i="63"/>
  <c r="EQ163" i="63"/>
  <c r="ES39" i="63"/>
  <c r="EU54" i="63"/>
  <c r="EO82" i="63"/>
  <c r="EM135" i="63"/>
  <c r="EQ126" i="63"/>
  <c r="EP166" i="63"/>
  <c r="EQ80" i="63"/>
  <c r="EN4" i="63"/>
  <c r="EK35" i="63"/>
  <c r="ET54" i="63"/>
  <c r="EU64" i="63"/>
  <c r="EN148" i="63"/>
  <c r="EL161" i="63"/>
  <c r="EP161" i="63"/>
  <c r="ES13" i="63"/>
  <c r="EQ13" i="63"/>
  <c r="ER70" i="63"/>
  <c r="EO106" i="63"/>
  <c r="EK3" i="63"/>
  <c r="ER50" i="63"/>
  <c r="ET112" i="63"/>
  <c r="EQ140" i="63"/>
  <c r="EP156" i="63"/>
  <c r="EK24" i="63"/>
  <c r="EU87" i="63"/>
  <c r="EO87" i="63"/>
  <c r="EL112" i="63"/>
  <c r="EQ156" i="63"/>
  <c r="EP101" i="63"/>
  <c r="EM111" i="63"/>
  <c r="ET102" i="63"/>
  <c r="ES154" i="63"/>
  <c r="EM158" i="63"/>
  <c r="EO132" i="63"/>
  <c r="ES172" i="63"/>
  <c r="EQ35" i="63"/>
  <c r="ET74" i="63"/>
  <c r="EN54" i="63"/>
  <c r="ER157" i="63"/>
  <c r="EM54" i="63"/>
  <c r="EK161" i="63"/>
  <c r="EN21" i="63"/>
  <c r="EK25" i="63"/>
  <c r="ES29" i="63"/>
  <c r="ES106" i="63"/>
  <c r="EN118" i="63"/>
  <c r="EP165" i="63"/>
  <c r="EQ49" i="63"/>
  <c r="EP137" i="63"/>
  <c r="EM164" i="63"/>
  <c r="EM34" i="63"/>
  <c r="ET49" i="63"/>
  <c r="EL118" i="63"/>
  <c r="EQ98" i="63"/>
  <c r="ER163" i="63"/>
  <c r="EP172" i="63"/>
  <c r="EQ8" i="63"/>
  <c r="EK6" i="63"/>
  <c r="EK70" i="63"/>
  <c r="ES37" i="63"/>
  <c r="ET172" i="63"/>
  <c r="ET76" i="63"/>
  <c r="EU13" i="63"/>
  <c r="B729" i="73"/>
  <c r="ER112" i="63"/>
  <c r="ER137" i="63"/>
  <c r="EU140" i="63"/>
  <c r="ET156" i="63"/>
  <c r="EK164" i="63"/>
  <c r="EQ40" i="63"/>
  <c r="EP40" i="63"/>
  <c r="EK104" i="63"/>
  <c r="EM101" i="63"/>
  <c r="EQ128" i="63"/>
  <c r="EQ143" i="63"/>
  <c r="ET143" i="63"/>
  <c r="EQ89" i="63"/>
  <c r="EU95" i="63"/>
  <c r="EO102" i="63"/>
  <c r="EN117" i="63"/>
  <c r="EO138" i="63"/>
  <c r="EQ158" i="63"/>
  <c r="EO176" i="63"/>
  <c r="EP175" i="63"/>
  <c r="ET96" i="63"/>
  <c r="EQ96" i="63"/>
  <c r="ET100" i="63"/>
  <c r="EN109" i="63"/>
  <c r="ES109" i="63"/>
  <c r="ER134" i="63"/>
  <c r="EL134" i="63"/>
  <c r="EP132" i="63"/>
  <c r="EO168" i="63"/>
  <c r="EQ39" i="63"/>
  <c r="ET57" i="63"/>
  <c r="ES63" i="63"/>
  <c r="ES71" i="63"/>
  <c r="ET63" i="63"/>
  <c r="EN74" i="63"/>
  <c r="EL63" i="63"/>
  <c r="EL79" i="63"/>
  <c r="EL82" i="63"/>
  <c r="EP135" i="63"/>
  <c r="ET155" i="63"/>
  <c r="ET4" i="63"/>
  <c r="ET59" i="63"/>
  <c r="EM10" i="63"/>
  <c r="ES10" i="63"/>
  <c r="ES69" i="63"/>
  <c r="EL69" i="63"/>
  <c r="EK77" i="63"/>
  <c r="EO86" i="63"/>
  <c r="EP86" i="63"/>
  <c r="ES8" i="63"/>
  <c r="EU8" i="63"/>
  <c r="EM64" i="63"/>
  <c r="EQ72" i="63"/>
  <c r="ET80" i="63"/>
  <c r="ES144" i="63"/>
  <c r="EP67" i="63"/>
  <c r="ET67" i="63"/>
  <c r="EN75" i="63"/>
  <c r="ES78" i="63"/>
  <c r="EN83" i="63"/>
  <c r="EL83" i="63"/>
  <c r="ET88" i="63"/>
  <c r="EU106" i="63"/>
  <c r="ES15" i="63"/>
  <c r="EQ9" i="63"/>
  <c r="EO76" i="63"/>
  <c r="EO153" i="63"/>
  <c r="EK29" i="63"/>
  <c r="EP142" i="63"/>
  <c r="EQ112" i="63"/>
  <c r="EN136" i="63"/>
  <c r="EL137" i="63"/>
  <c r="EQ137" i="63"/>
  <c r="EN156" i="63"/>
  <c r="EO164" i="63"/>
  <c r="ET164" i="63"/>
  <c r="EN164" i="63"/>
  <c r="EO177" i="63"/>
  <c r="EM16" i="63"/>
  <c r="ER16" i="63"/>
  <c r="EL16" i="63"/>
  <c r="EQ24" i="63"/>
  <c r="EU40" i="63"/>
  <c r="EO40" i="63"/>
  <c r="ET40" i="63"/>
  <c r="ES128" i="63"/>
  <c r="ET127" i="63"/>
  <c r="EM143" i="63"/>
  <c r="EU14" i="63"/>
  <c r="EO14" i="63"/>
  <c r="ET14" i="63"/>
  <c r="EN22" i="63"/>
  <c r="ES22" i="63"/>
  <c r="EL85" i="63"/>
  <c r="EL89" i="63"/>
  <c r="ES99" i="63"/>
  <c r="EM107" i="63"/>
  <c r="ER107" i="63"/>
  <c r="EL107" i="63"/>
  <c r="EQ115" i="63"/>
  <c r="EP115" i="63"/>
  <c r="EK110" i="63"/>
  <c r="EP110" i="63"/>
  <c r="EU110" i="63"/>
  <c r="ER117" i="63"/>
  <c r="EL117" i="63"/>
  <c r="ES138" i="63"/>
  <c r="EL162" i="63"/>
  <c r="EU96" i="63"/>
  <c r="EK100" i="63"/>
  <c r="ER97" i="63"/>
  <c r="EP97" i="63"/>
  <c r="EO119" i="63"/>
  <c r="ER109" i="63"/>
  <c r="EL109" i="63"/>
  <c r="EO145" i="63"/>
  <c r="EU134" i="63"/>
  <c r="EU160" i="63"/>
  <c r="EN170" i="63"/>
  <c r="EO167" i="63"/>
  <c r="EQ168" i="63"/>
  <c r="EM172" i="63"/>
  <c r="EM39" i="63"/>
  <c r="EL43" i="63"/>
  <c r="EN63" i="63"/>
  <c r="ER63" i="63"/>
  <c r="ET148" i="63"/>
  <c r="EL8" i="63"/>
  <c r="EQ64" i="63"/>
  <c r="EL157" i="63"/>
  <c r="EO6" i="63"/>
  <c r="EL6" i="63"/>
  <c r="ER10" i="63"/>
  <c r="EM69" i="63"/>
  <c r="EQ69" i="63"/>
  <c r="ET86" i="63"/>
  <c r="ET43" i="63"/>
  <c r="EP157" i="63"/>
  <c r="EK64" i="63"/>
  <c r="ET169" i="63"/>
  <c r="ES178" i="63"/>
  <c r="ER144" i="63"/>
  <c r="EP17" i="63"/>
  <c r="ET17" i="63"/>
  <c r="EN25" i="63"/>
  <c r="EQ29" i="63"/>
  <c r="ES75" i="63"/>
  <c r="EO78" i="63"/>
  <c r="EL78" i="63"/>
  <c r="EQ83" i="63"/>
  <c r="H93" i="62"/>
  <c r="EQ3" i="63"/>
  <c r="EN19" i="63"/>
  <c r="EK23" i="63"/>
  <c r="EO53" i="63"/>
  <c r="EQ116" i="63"/>
  <c r="EK5" i="63"/>
  <c r="EN65" i="63"/>
  <c r="EQ68" i="63"/>
  <c r="ES68" i="63"/>
  <c r="EO73" i="63"/>
  <c r="EP81" i="63"/>
  <c r="EO84" i="63"/>
  <c r="EQ45" i="63"/>
  <c r="EU55" i="63"/>
  <c r="EQ130" i="63"/>
  <c r="EU19" i="63"/>
  <c r="EP74" i="63"/>
  <c r="EQ133" i="63"/>
  <c r="EP23" i="63"/>
  <c r="EO27" i="63"/>
  <c r="EU71" i="63"/>
  <c r="EK74" i="63"/>
  <c r="ES82" i="63"/>
  <c r="EK133" i="63"/>
  <c r="ES108" i="63"/>
  <c r="EL15" i="63"/>
  <c r="ER155" i="63"/>
  <c r="ET58" i="63"/>
  <c r="EL84" i="63"/>
  <c r="EN5" i="63"/>
  <c r="EP3" i="63"/>
  <c r="EN45" i="63"/>
  <c r="EO68" i="63"/>
  <c r="ER81" i="63"/>
  <c r="ET159" i="63"/>
  <c r="ER171" i="63"/>
  <c r="ER73" i="63"/>
  <c r="EO124" i="63"/>
  <c r="EK142" i="63"/>
  <c r="EQ171" i="63"/>
  <c r="EK13" i="63"/>
  <c r="EU141" i="63"/>
  <c r="ER166" i="63"/>
  <c r="EQ75" i="63"/>
  <c r="EQ141" i="63"/>
  <c r="EN9" i="63"/>
  <c r="EM142" i="63"/>
  <c r="EM130" i="63"/>
  <c r="EM5" i="63"/>
  <c r="EM45" i="63"/>
  <c r="ES59" i="63"/>
  <c r="EO157" i="63"/>
  <c r="EU146" i="63"/>
  <c r="ET161" i="63"/>
  <c r="ER18" i="63"/>
  <c r="EL18" i="63"/>
  <c r="EQ26" i="63"/>
  <c r="EP26" i="63"/>
  <c r="EM49" i="63"/>
  <c r="ES87" i="63"/>
  <c r="EU103" i="63"/>
  <c r="EP112" i="63"/>
  <c r="EU136" i="63"/>
  <c r="EO137" i="63"/>
  <c r="ER140" i="63"/>
  <c r="EM165" i="63"/>
  <c r="EN177" i="63"/>
  <c r="EN179" i="63"/>
  <c r="EM104" i="63"/>
  <c r="ET101" i="63"/>
  <c r="EK46" i="63"/>
  <c r="EU129" i="63"/>
  <c r="ER154" i="63"/>
  <c r="EU158" i="63"/>
  <c r="EN132" i="63"/>
  <c r="ES170" i="63"/>
  <c r="EN167" i="63"/>
  <c r="EM47" i="63"/>
  <c r="ER66" i="63"/>
  <c r="EL74" i="63"/>
  <c r="EM4" i="63"/>
  <c r="EM161" i="63"/>
  <c r="EL17" i="63"/>
  <c r="EL25" i="63"/>
  <c r="EU161" i="63"/>
  <c r="EL3" i="63"/>
  <c r="EO19" i="63"/>
  <c r="EL27" i="63"/>
  <c r="EL5" i="63"/>
  <c r="ER7" i="63"/>
  <c r="EO7" i="63"/>
  <c r="EM9" i="63"/>
  <c r="ES65" i="63"/>
  <c r="EN73" i="63"/>
  <c r="EU81" i="63"/>
  <c r="EQ33" i="63"/>
  <c r="EO37" i="63"/>
  <c r="EP45" i="63"/>
  <c r="EL56" i="63"/>
  <c r="EO15" i="63"/>
  <c r="EU23" i="63"/>
  <c r="ET27" i="63"/>
  <c r="EM63" i="63"/>
  <c r="ES74" i="63"/>
  <c r="EP133" i="63"/>
  <c r="EM155" i="63"/>
  <c r="ES133" i="63"/>
  <c r="EP76" i="63"/>
  <c r="EK9" i="63"/>
  <c r="EQ7" i="63"/>
  <c r="ET68" i="63"/>
  <c r="EL73" i="63"/>
  <c r="ER84" i="63"/>
  <c r="ET142" i="63"/>
  <c r="ER159" i="63"/>
  <c r="EU171" i="63"/>
  <c r="ER130" i="63"/>
  <c r="EL159" i="63"/>
  <c r="EP57" i="63"/>
  <c r="EN67" i="63"/>
  <c r="EK37" i="63"/>
  <c r="EP130" i="63"/>
  <c r="EK41" i="63"/>
  <c r="EP171" i="63"/>
  <c r="EM67" i="63"/>
  <c r="ER8" i="63"/>
  <c r="EN146" i="63"/>
  <c r="EU78" i="63"/>
  <c r="ER85" i="63"/>
  <c r="EU138" i="63"/>
  <c r="EM12" i="63"/>
  <c r="EP168" i="63"/>
  <c r="ES79" i="63"/>
  <c r="EK173" i="63"/>
  <c r="ER67" i="63"/>
  <c r="EM7" i="63"/>
  <c r="EP15" i="63"/>
  <c r="EU9" i="63"/>
  <c r="EQ41" i="63"/>
  <c r="EN57" i="63"/>
  <c r="EU73" i="63"/>
  <c r="EN171" i="63"/>
  <c r="EP68" i="63"/>
  <c r="ES141" i="63"/>
  <c r="EM85" i="63"/>
  <c r="EL12" i="63"/>
  <c r="EP20" i="63"/>
  <c r="ET28" i="63"/>
  <c r="EQ134" i="63"/>
  <c r="EM144" i="63"/>
  <c r="ET19" i="63"/>
  <c r="EQ18" i="63"/>
  <c r="EO26" i="63"/>
  <c r="EU101" i="63"/>
  <c r="EQ12" i="63"/>
  <c r="EP12" i="63"/>
  <c r="EO20" i="63"/>
  <c r="EN28" i="63"/>
  <c r="EO100" i="63"/>
  <c r="EM119" i="63"/>
  <c r="EM109" i="63"/>
  <c r="EN145" i="63"/>
  <c r="EU163" i="63"/>
  <c r="ET163" i="63"/>
  <c r="ES35" i="63"/>
  <c r="EO63" i="63"/>
  <c r="ET126" i="63"/>
  <c r="ES126" i="63"/>
  <c r="EK155" i="63"/>
  <c r="EQ4" i="63"/>
  <c r="ET39" i="63"/>
  <c r="EM8" i="63"/>
  <c r="EP80" i="63"/>
  <c r="EQ169" i="63"/>
  <c r="EP144" i="63"/>
  <c r="EM13" i="63"/>
  <c r="EP25" i="63"/>
  <c r="EU67" i="63"/>
  <c r="ER3" i="63"/>
  <c r="EK27" i="63"/>
  <c r="ER65" i="63"/>
  <c r="ET73" i="63"/>
  <c r="ET81" i="63"/>
  <c r="ET41" i="63"/>
  <c r="EL124" i="63"/>
  <c r="EO116" i="63"/>
  <c r="EM23" i="63"/>
  <c r="EP82" i="63"/>
  <c r="EU15" i="63"/>
  <c r="EM79" i="63"/>
  <c r="EK108" i="63"/>
  <c r="EM116" i="63"/>
  <c r="EN116" i="63"/>
  <c r="EP53" i="63"/>
  <c r="ER56" i="63"/>
  <c r="ET153" i="63"/>
  <c r="ET9" i="63"/>
  <c r="EO33" i="63"/>
  <c r="EP37" i="63"/>
  <c r="EO45" i="63"/>
  <c r="EU3" i="63"/>
  <c r="ET45" i="63"/>
  <c r="EQ76" i="63"/>
  <c r="EL81" i="63"/>
  <c r="EK171" i="63"/>
  <c r="EL88" i="63"/>
  <c r="EU76" i="63"/>
  <c r="EK33" i="63"/>
  <c r="EP7" i="63"/>
  <c r="EN142" i="63"/>
  <c r="EQ84" i="63"/>
  <c r="ET69" i="63"/>
  <c r="ES146" i="63"/>
  <c r="EM17" i="63"/>
  <c r="EN141" i="63"/>
  <c r="EN51" i="63"/>
  <c r="EN6" i="63"/>
  <c r="ES76" i="63"/>
  <c r="EP63" i="63"/>
  <c r="EU26" i="63"/>
  <c r="EU89" i="63"/>
  <c r="EU18" i="63"/>
  <c r="ET18" i="63"/>
  <c r="ES50" i="63"/>
  <c r="EM87" i="63"/>
  <c r="ES137" i="63"/>
  <c r="EN165" i="63"/>
  <c r="EL177" i="63"/>
  <c r="EL179" i="63"/>
  <c r="ER179" i="63"/>
  <c r="EQ16" i="63"/>
  <c r="EP16" i="63"/>
  <c r="EU24" i="63"/>
  <c r="EO24" i="63"/>
  <c r="ES40" i="63"/>
  <c r="EM48" i="63"/>
  <c r="EO48" i="63"/>
  <c r="EU48" i="63"/>
  <c r="EL104" i="63"/>
  <c r="EN101" i="63"/>
  <c r="EN111" i="63"/>
  <c r="EM128" i="63"/>
  <c r="EN127" i="63"/>
  <c r="EN131" i="63"/>
  <c r="EL143" i="63"/>
  <c r="ER143" i="63"/>
  <c r="EP147" i="63"/>
  <c r="ET174" i="63"/>
  <c r="ER22" i="63"/>
  <c r="EL22" i="63"/>
  <c r="EO85" i="63"/>
  <c r="EP89" i="63"/>
  <c r="ES89" i="63"/>
  <c r="ER95" i="63"/>
  <c r="ES95" i="63"/>
  <c r="EQ99" i="63"/>
  <c r="EP107" i="63"/>
  <c r="EU115" i="63"/>
  <c r="EO115" i="63"/>
  <c r="ET115" i="63"/>
  <c r="EO110" i="63"/>
  <c r="ET110" i="63"/>
  <c r="EN110" i="63"/>
  <c r="EM102" i="63"/>
  <c r="ER102" i="63"/>
  <c r="EQ117" i="63"/>
  <c r="EP117" i="63"/>
  <c r="ER138" i="63"/>
  <c r="EL158" i="63"/>
  <c r="EO162" i="63"/>
  <c r="EL176" i="63"/>
  <c r="EQ176" i="63"/>
  <c r="EN175" i="63"/>
  <c r="EO12" i="63"/>
  <c r="ET12" i="63"/>
  <c r="EN20" i="63"/>
  <c r="ES20" i="63"/>
  <c r="EM28" i="63"/>
  <c r="ER28" i="63"/>
  <c r="EL28" i="63"/>
  <c r="EQ36" i="63"/>
  <c r="EP36" i="63"/>
  <c r="ET44" i="63"/>
  <c r="ES96" i="63"/>
  <c r="EP96" i="63"/>
  <c r="EN96" i="63"/>
  <c r="EO97" i="63"/>
  <c r="ET97" i="63"/>
  <c r="EN119" i="63"/>
  <c r="ES119" i="63"/>
  <c r="EP109" i="63"/>
  <c r="EL145" i="63"/>
  <c r="ER145" i="63"/>
  <c r="EO134" i="63"/>
  <c r="ET134" i="63"/>
  <c r="ES132" i="63"/>
  <c r="EO160" i="63"/>
  <c r="EN160" i="63"/>
  <c r="EL170" i="63"/>
  <c r="ES167" i="63"/>
  <c r="EK172" i="63"/>
  <c r="EN163" i="63"/>
  <c r="ES163" i="63"/>
  <c r="EU168" i="63"/>
  <c r="EN168" i="63"/>
  <c r="EU172" i="63"/>
  <c r="EM35" i="63"/>
  <c r="ER39" i="63"/>
  <c r="ES43" i="63"/>
  <c r="EQ43" i="63"/>
  <c r="EM51" i="63"/>
  <c r="ER74" i="63"/>
  <c r="ER82" i="63"/>
  <c r="EO71" i="63"/>
  <c r="EN126" i="63"/>
  <c r="EN135" i="63"/>
  <c r="EM148" i="63"/>
  <c r="EK126" i="63"/>
  <c r="EU155" i="63"/>
  <c r="EQ155" i="63"/>
  <c r="EL166" i="63"/>
  <c r="ES155" i="63"/>
  <c r="ES6" i="63"/>
  <c r="EN72" i="63"/>
  <c r="ES86" i="63"/>
  <c r="EN157" i="63"/>
  <c r="EL59" i="63"/>
  <c r="EP59" i="63"/>
  <c r="ET10" i="63"/>
  <c r="ET72" i="63"/>
  <c r="EQ157" i="63"/>
  <c r="ET6" i="63"/>
  <c r="EU10" i="63"/>
  <c r="EK69" i="63"/>
  <c r="EN77" i="63"/>
  <c r="EP77" i="63"/>
  <c r="ET77" i="63"/>
  <c r="EL86" i="63"/>
  <c r="ER86" i="63"/>
  <c r="EO39" i="63"/>
  <c r="EO43" i="63"/>
  <c r="ET47" i="63"/>
  <c r="EL51" i="63"/>
  <c r="EQ54" i="63"/>
  <c r="EU157" i="63"/>
  <c r="EO173" i="63"/>
  <c r="EM157" i="63"/>
  <c r="ES173" i="63"/>
  <c r="ET8" i="63"/>
  <c r="ES64" i="63"/>
  <c r="ET64" i="63"/>
  <c r="ES72" i="63"/>
  <c r="EU80" i="63"/>
  <c r="EO80" i="63"/>
  <c r="EU169" i="63"/>
  <c r="EU17" i="63"/>
  <c r="EK21" i="63"/>
  <c r="EL21" i="63"/>
  <c r="EU25" i="63"/>
  <c r="EO29" i="63"/>
  <c r="EM29" i="63"/>
  <c r="EQ67" i="63"/>
  <c r="EO75" i="63"/>
  <c r="EM75" i="63"/>
  <c r="EQ78" i="63"/>
  <c r="EO83" i="63"/>
  <c r="EM83" i="63"/>
  <c r="ER88" i="63"/>
  <c r="ES88" i="63"/>
  <c r="EM3" i="63"/>
  <c r="ER15" i="63"/>
  <c r="EN23" i="63"/>
  <c r="EK15" i="63"/>
  <c r="EU66" i="63"/>
  <c r="EM56" i="63"/>
  <c r="EP5" i="63"/>
  <c r="EQ5" i="63"/>
  <c r="ER9" i="63"/>
  <c r="EL65" i="63"/>
  <c r="EM65" i="63"/>
  <c r="EM68" i="63"/>
  <c r="ES73" i="63"/>
  <c r="EM76" i="63"/>
  <c r="ET84" i="63"/>
  <c r="EU84" i="63"/>
  <c r="ET37" i="63"/>
  <c r="EN41" i="63"/>
  <c r="ER55" i="63"/>
  <c r="ER124" i="63"/>
  <c r="EK130" i="63"/>
  <c r="EO108" i="63"/>
  <c r="EU27" i="63"/>
  <c r="EM53" i="63"/>
  <c r="EQ108" i="63"/>
  <c r="ET15" i="63"/>
  <c r="EL19" i="63"/>
  <c r="EM19" i="63"/>
  <c r="EL23" i="63"/>
  <c r="EN27" i="63"/>
  <c r="EP66" i="63"/>
  <c r="EP71" i="63"/>
  <c r="EK79" i="63"/>
  <c r="EK82" i="63"/>
  <c r="EN133" i="63"/>
  <c r="ET108" i="63"/>
  <c r="ER116" i="63"/>
  <c r="ES116" i="63"/>
  <c r="EU53" i="63"/>
  <c r="ET56" i="63"/>
  <c r="EU56" i="63"/>
  <c r="EL108" i="63"/>
  <c r="ET23" i="63"/>
  <c r="EM153" i="63"/>
  <c r="EP58" i="63"/>
  <c r="ET53" i="63"/>
  <c r="EO3" i="63"/>
  <c r="ES45" i="63"/>
  <c r="EK124" i="63"/>
  <c r="EM159" i="63"/>
  <c r="EP9" i="63"/>
  <c r="ER142" i="63"/>
  <c r="ES159" i="63"/>
  <c r="EP33" i="63"/>
  <c r="EL142" i="63"/>
  <c r="EU159" i="63"/>
  <c r="ES57" i="63"/>
  <c r="ES17" i="63"/>
  <c r="EP78" i="63"/>
  <c r="ER57" i="63"/>
  <c r="EO141" i="63"/>
  <c r="EU21" i="63"/>
  <c r="ER106" i="63"/>
  <c r="ES55" i="63"/>
  <c r="EN3" i="63"/>
  <c r="EP124" i="63"/>
  <c r="EN159" i="63"/>
  <c r="EM171" i="63"/>
  <c r="EM81" i="63"/>
  <c r="EK45" i="63"/>
  <c r="ER4" i="63"/>
  <c r="EN144" i="63"/>
  <c r="ER75" i="63"/>
  <c r="ET146" i="63"/>
  <c r="EP146" i="63"/>
  <c r="EQ173" i="63"/>
  <c r="EN162" i="63"/>
  <c r="ER12" i="63"/>
  <c r="EQ20" i="63"/>
  <c r="EO28" i="63"/>
  <c r="EU145" i="63"/>
  <c r="EN7" i="63"/>
  <c r="ET116" i="63"/>
  <c r="ET26" i="63"/>
  <c r="EK112" i="63"/>
  <c r="EK98" i="63"/>
  <c r="EL140" i="63"/>
  <c r="ES179" i="63"/>
  <c r="ES104" i="63"/>
  <c r="EU131" i="63"/>
  <c r="EN143" i="63"/>
  <c r="EP174" i="63"/>
  <c r="EQ85" i="63"/>
  <c r="EO89" i="63"/>
  <c r="EM117" i="63"/>
  <c r="EN138" i="63"/>
  <c r="EN158" i="63"/>
  <c r="EM162" i="63"/>
  <c r="ES176" i="63"/>
  <c r="EM176" i="63"/>
  <c r="ER176" i="63"/>
  <c r="ET175" i="63"/>
  <c r="EU20" i="63"/>
  <c r="ET20" i="63"/>
  <c r="EQ44" i="63"/>
  <c r="EP134" i="63"/>
  <c r="EO170" i="63"/>
  <c r="EQ167" i="63"/>
  <c r="ET167" i="63"/>
  <c r="EL58" i="63"/>
  <c r="ES51" i="63"/>
  <c r="EN79" i="63"/>
  <c r="ET71" i="63"/>
  <c r="ER79" i="63"/>
  <c r="ES135" i="63"/>
  <c r="EQ166" i="63"/>
  <c r="EK166" i="63"/>
  <c r="ES4" i="63"/>
  <c r="EU6" i="63"/>
  <c r="EP10" i="63"/>
  <c r="EO77" i="63"/>
  <c r="EU86" i="63"/>
  <c r="EQ51" i="63"/>
  <c r="ER64" i="63"/>
  <c r="EN80" i="63"/>
  <c r="EN169" i="63"/>
  <c r="EP148" i="63"/>
  <c r="EQ178" i="63"/>
  <c r="EO13" i="63"/>
  <c r="EL67" i="63"/>
  <c r="EP70" i="63"/>
  <c r="ES70" i="63"/>
  <c r="EN88" i="63"/>
  <c r="EO18" i="63"/>
  <c r="EN26" i="63"/>
  <c r="ER87" i="63"/>
  <c r="EN103" i="63"/>
  <c r="EO112" i="63"/>
  <c r="ES98" i="63"/>
  <c r="ET11" i="63"/>
  <c r="EQ34" i="63"/>
  <c r="EP34" i="63"/>
  <c r="EU42" i="63"/>
  <c r="EO42" i="63"/>
  <c r="EQ50" i="63"/>
  <c r="ES49" i="63"/>
  <c r="EQ87" i="63"/>
  <c r="ES112" i="63"/>
  <c r="EN105" i="63"/>
  <c r="ES105" i="63"/>
  <c r="EU118" i="63"/>
  <c r="EO98" i="63"/>
  <c r="EU98" i="63"/>
  <c r="EO136" i="63"/>
  <c r="ET136" i="63"/>
  <c r="EU156" i="63"/>
  <c r="EQ165" i="63"/>
  <c r="ER165" i="63"/>
  <c r="EU177" i="63"/>
  <c r="EP179" i="63"/>
  <c r="EO16" i="63"/>
  <c r="ET16" i="63"/>
  <c r="EN24" i="63"/>
  <c r="ES24" i="63"/>
  <c r="EL40" i="63"/>
  <c r="EQ104" i="63"/>
  <c r="ES101" i="63"/>
  <c r="ER111" i="63"/>
  <c r="EL111" i="63"/>
  <c r="EM131" i="63"/>
  <c r="EO143" i="63"/>
  <c r="EQ174" i="63"/>
  <c r="EM14" i="63"/>
  <c r="ER14" i="63"/>
  <c r="ET85" i="63"/>
  <c r="EN85" i="63"/>
  <c r="ES85" i="63"/>
  <c r="EN95" i="63"/>
  <c r="EM95" i="63"/>
  <c r="EL95" i="63"/>
  <c r="ER99" i="63"/>
  <c r="ET107" i="63"/>
  <c r="ES115" i="63"/>
  <c r="EM110" i="63"/>
  <c r="ES102" i="63"/>
  <c r="EU117" i="63"/>
  <c r="EQ129" i="63"/>
  <c r="EO129" i="63"/>
  <c r="EQ138" i="63"/>
  <c r="ET139" i="63"/>
  <c r="EN139" i="63"/>
  <c r="EP154" i="63"/>
  <c r="EO158" i="63"/>
  <c r="EQ162" i="63"/>
  <c r="EM175" i="63"/>
  <c r="EL175" i="63"/>
  <c r="EN12" i="63"/>
  <c r="EL20" i="63"/>
  <c r="EQ28" i="63"/>
  <c r="EP28" i="63"/>
  <c r="EO36" i="63"/>
  <c r="ET36" i="63"/>
  <c r="EN44" i="63"/>
  <c r="EL96" i="63"/>
  <c r="EM96" i="63"/>
  <c r="ER96" i="63"/>
  <c r="EQ119" i="63"/>
  <c r="EL119" i="63"/>
  <c r="EU109" i="63"/>
  <c r="EO109" i="63"/>
  <c r="EM145" i="63"/>
  <c r="ES134" i="63"/>
  <c r="EM132" i="63"/>
  <c r="EL132" i="63"/>
  <c r="EL160" i="63"/>
  <c r="ER160" i="63"/>
  <c r="EP170" i="63"/>
  <c r="ER167" i="63"/>
  <c r="EM163" i="63"/>
  <c r="EM168" i="63"/>
  <c r="EL168" i="63"/>
  <c r="ER168" i="63"/>
  <c r="EO172" i="63"/>
  <c r="ER47" i="63"/>
  <c r="EP54" i="63"/>
  <c r="EM74" i="63"/>
  <c r="EM82" i="63"/>
  <c r="EN66" i="63"/>
  <c r="EO74" i="63"/>
  <c r="EQ63" i="63"/>
  <c r="ER71" i="63"/>
  <c r="EQ79" i="63"/>
  <c r="EQ82" i="63"/>
  <c r="EM126" i="63"/>
  <c r="EO148" i="63"/>
  <c r="ES148" i="63"/>
  <c r="EL155" i="63"/>
  <c r="EN155" i="63"/>
  <c r="EK157" i="63"/>
  <c r="EO4" i="63"/>
  <c r="EO59" i="63"/>
  <c r="EQ59" i="63"/>
  <c r="EU59" i="63"/>
  <c r="EQ77" i="63"/>
  <c r="EN173" i="63"/>
  <c r="EN10" i="63"/>
  <c r="EQ10" i="63"/>
  <c r="EN69" i="63"/>
  <c r="EU77" i="63"/>
  <c r="EN35" i="63"/>
  <c r="EN39" i="63"/>
  <c r="EN43" i="63"/>
  <c r="EO47" i="63"/>
  <c r="EN8" i="63"/>
  <c r="EP8" i="63"/>
  <c r="EP64" i="63"/>
  <c r="EL169" i="63"/>
  <c r="ES169" i="63"/>
  <c r="ET178" i="63"/>
  <c r="ER178" i="63"/>
  <c r="EO144" i="63"/>
  <c r="EU144" i="63"/>
  <c r="EQ17" i="63"/>
  <c r="EK17" i="63"/>
  <c r="ES21" i="63"/>
  <c r="EQ21" i="63"/>
  <c r="EQ25" i="63"/>
  <c r="EO25" i="63"/>
  <c r="ET29" i="63"/>
  <c r="EO67" i="63"/>
  <c r="ET75" i="63"/>
  <c r="ET78" i="63"/>
  <c r="ET83" i="63"/>
  <c r="ER83" i="63"/>
  <c r="EO88" i="63"/>
  <c r="EM88" i="63"/>
  <c r="EO23" i="63"/>
  <c r="EK19" i="63"/>
  <c r="EU74" i="63"/>
  <c r="EU108" i="63"/>
  <c r="EU5" i="63"/>
  <c r="ET7" i="63"/>
  <c r="ES9" i="63"/>
  <c r="EQ65" i="63"/>
  <c r="EL68" i="63"/>
  <c r="ER68" i="63"/>
  <c r="EM73" i="63"/>
  <c r="ER76" i="63"/>
  <c r="EN84" i="63"/>
  <c r="EK84" i="63"/>
  <c r="ES33" i="63"/>
  <c r="EN37" i="63"/>
  <c r="EP41" i="63"/>
  <c r="EL45" i="63"/>
  <c r="EP55" i="63"/>
  <c r="EL55" i="63"/>
  <c r="ES130" i="63"/>
  <c r="EO130" i="63"/>
  <c r="EQ15" i="63"/>
  <c r="EN53" i="63"/>
  <c r="EP116" i="63"/>
  <c r="EN15" i="63"/>
  <c r="EQ19" i="63"/>
  <c r="ER19" i="63"/>
  <c r="EQ23" i="63"/>
  <c r="ER27" i="63"/>
  <c r="EU63" i="63"/>
  <c r="ES66" i="63"/>
  <c r="EM71" i="63"/>
  <c r="EP79" i="63"/>
  <c r="EU82" i="63"/>
  <c r="EO133" i="63"/>
  <c r="EN108" i="63"/>
  <c r="EK116" i="63"/>
  <c r="ER53" i="63"/>
  <c r="EK56" i="63"/>
  <c r="EL133" i="63"/>
  <c r="EQ27" i="63"/>
  <c r="EM133" i="63"/>
  <c r="EL116" i="63"/>
  <c r="EP108" i="63"/>
  <c r="ET3" i="63"/>
  <c r="EN55" i="63"/>
  <c r="EO159" i="63"/>
  <c r="EL41" i="63"/>
  <c r="EL76" i="63"/>
  <c r="EQ81" i="63"/>
  <c r="ET124" i="63"/>
  <c r="EU142" i="63"/>
  <c r="ET171" i="63"/>
  <c r="ET5" i="63"/>
  <c r="EL7" i="63"/>
  <c r="EN68" i="63"/>
  <c r="EM84" i="63"/>
  <c r="EO55" i="63"/>
  <c r="EQ159" i="63"/>
  <c r="EL171" i="63"/>
  <c r="EM141" i="63"/>
  <c r="ES25" i="63"/>
  <c r="EL57" i="63"/>
  <c r="EM166" i="63"/>
  <c r="ER41" i="63"/>
  <c r="ES41" i="63"/>
  <c r="EP65" i="63"/>
  <c r="EN81" i="63"/>
  <c r="EK7" i="63"/>
  <c r="EP159" i="63"/>
  <c r="EK146" i="63"/>
  <c r="EP83" i="63"/>
  <c r="EL173" i="63"/>
  <c r="EM146" i="63"/>
  <c r="EL70" i="63"/>
  <c r="EM169" i="63"/>
  <c r="DK150" i="63"/>
  <c r="DV180" i="63"/>
  <c r="EF30" i="63"/>
  <c r="EI90" i="63"/>
  <c r="EH90" i="63"/>
  <c r="DT90" i="63"/>
  <c r="DL90" i="63"/>
  <c r="DY30" i="63"/>
  <c r="DV60" i="63"/>
  <c r="DL180" i="63"/>
  <c r="DM180" i="63"/>
  <c r="DO30" i="63"/>
  <c r="EB180" i="63"/>
  <c r="EF180" i="63"/>
  <c r="EH180" i="63"/>
  <c r="DV150" i="63"/>
  <c r="EB90" i="63"/>
  <c r="DO90" i="63"/>
  <c r="DR90" i="63"/>
  <c r="DS60" i="63"/>
  <c r="DV90" i="63"/>
  <c r="EA180" i="63"/>
  <c r="DR120" i="63"/>
  <c r="DN90" i="63"/>
  <c r="DV30" i="63"/>
  <c r="DO150" i="63"/>
  <c r="DL120" i="63"/>
  <c r="EI30" i="63"/>
  <c r="DL60" i="63"/>
  <c r="DM60" i="63"/>
  <c r="DX30" i="63"/>
  <c r="EG180" i="63"/>
  <c r="EI180" i="63"/>
  <c r="DN150" i="63"/>
  <c r="ED90" i="63"/>
  <c r="C381" i="73"/>
  <c r="DQ90" i="63"/>
  <c r="ED30" i="63"/>
  <c r="DQ60" i="63"/>
  <c r="DR60" i="63"/>
  <c r="DR180" i="63"/>
  <c r="DP180" i="63"/>
  <c r="DT180" i="63"/>
  <c r="EC30" i="63"/>
  <c r="DO60" i="63"/>
  <c r="DZ180" i="63"/>
  <c r="ED180" i="63"/>
  <c r="EC180" i="63"/>
  <c r="DS30" i="63"/>
  <c r="DK90" i="63"/>
  <c r="Z93" i="62"/>
  <c r="H95" i="62"/>
  <c r="H94" i="62"/>
  <c r="AB58" i="62"/>
  <c r="H104" i="62"/>
  <c r="AB59" i="62"/>
  <c r="D719" i="73"/>
  <c r="J544" i="73"/>
  <c r="G545" i="73"/>
  <c r="K624" i="73"/>
  <c r="H637" i="73"/>
  <c r="B568" i="73"/>
  <c r="Q31" i="65"/>
  <c r="Q33" i="65"/>
  <c r="O31" i="65"/>
  <c r="O33" i="65"/>
  <c r="H31" i="65"/>
  <c r="H33" i="65"/>
  <c r="F31" i="65"/>
  <c r="C573" i="73"/>
  <c r="I31" i="65"/>
  <c r="I33" i="65"/>
  <c r="C581" i="73"/>
  <c r="I50" i="62"/>
  <c r="M50" i="62"/>
  <c r="M55" i="62"/>
  <c r="J50" i="62"/>
  <c r="J55" i="62"/>
  <c r="K50" i="62"/>
  <c r="K55" i="62"/>
  <c r="L50" i="62"/>
  <c r="L55" i="62"/>
  <c r="I120" i="62"/>
  <c r="M120" i="62"/>
  <c r="M125" i="62"/>
  <c r="J120" i="62"/>
  <c r="J125" i="62"/>
  <c r="K120" i="62"/>
  <c r="K125" i="62"/>
  <c r="L120" i="62"/>
  <c r="L125" i="62"/>
  <c r="T55" i="64"/>
  <c r="U55" i="64"/>
  <c r="F128" i="62"/>
  <c r="T71" i="64"/>
  <c r="U71" i="64"/>
  <c r="Y31" i="65"/>
  <c r="X31" i="65"/>
  <c r="T31" i="65"/>
  <c r="U31" i="65"/>
  <c r="AB23" i="65"/>
  <c r="AC9" i="65"/>
  <c r="I155" i="62"/>
  <c r="M155" i="62"/>
  <c r="J155" i="62"/>
  <c r="K155" i="62"/>
  <c r="L155" i="62"/>
  <c r="F163" i="62"/>
  <c r="U103" i="64"/>
  <c r="T103" i="64"/>
  <c r="AA50" i="62"/>
  <c r="AE50" i="62"/>
  <c r="AE55" i="62"/>
  <c r="AB50" i="62"/>
  <c r="AB55" i="62"/>
  <c r="AC50" i="62"/>
  <c r="AD50" i="62"/>
  <c r="AD55" i="62"/>
  <c r="X58" i="62"/>
  <c r="T39" i="64"/>
  <c r="U39" i="64"/>
  <c r="T23" i="64"/>
  <c r="U23" i="64"/>
  <c r="U7" i="64"/>
  <c r="T7" i="64"/>
  <c r="X29" i="107"/>
  <c r="R29" i="107"/>
  <c r="N27" i="121"/>
  <c r="N23" i="121"/>
  <c r="G10" i="127"/>
  <c r="L24" i="123"/>
  <c r="L22" i="123"/>
  <c r="BY14" i="126"/>
  <c r="H14" i="124"/>
  <c r="L15" i="123"/>
  <c r="L9" i="123"/>
  <c r="S67" i="111"/>
  <c r="H12" i="124"/>
  <c r="Z26" i="121"/>
  <c r="N25" i="65"/>
  <c r="N31" i="65"/>
  <c r="N33" i="65"/>
  <c r="U16" i="111"/>
  <c r="H23" i="124"/>
  <c r="U28" i="126"/>
  <c r="AG201" i="73"/>
  <c r="C673" i="73" s="1"/>
  <c r="EU28" i="63"/>
  <c r="ES28" i="63"/>
  <c r="EM36" i="63"/>
  <c r="ES44" i="63"/>
  <c r="EP18" i="63"/>
  <c r="ES26" i="63"/>
  <c r="EM38" i="63"/>
  <c r="EU46" i="63"/>
  <c r="ES97" i="63"/>
  <c r="EK102" i="63"/>
  <c r="EU102" i="63"/>
  <c r="EU119" i="63"/>
  <c r="EL97" i="63"/>
  <c r="ET109" i="63"/>
  <c r="DU150" i="63"/>
  <c r="EQ107" i="63"/>
  <c r="EN115" i="63"/>
  <c r="EL115" i="63"/>
  <c r="FA159" i="63"/>
  <c r="FG21" i="63"/>
  <c r="FF178" i="63"/>
  <c r="FC146" i="63"/>
  <c r="EL126" i="63"/>
  <c r="D122" i="62"/>
  <c r="G19" i="62"/>
  <c r="J19" i="62"/>
  <c r="M19" i="62"/>
  <c r="H9" i="125"/>
  <c r="U21" i="126"/>
  <c r="AG195" i="73"/>
  <c r="C667" i="73" s="1"/>
  <c r="U29" i="126"/>
  <c r="AG203" i="73"/>
  <c r="C675" i="73" s="1"/>
  <c r="U23" i="126"/>
  <c r="AG198" i="73"/>
  <c r="U11" i="126"/>
  <c r="AG185" i="73"/>
  <c r="C657" i="73" s="1"/>
  <c r="BI23" i="126"/>
  <c r="AJ127" i="73"/>
  <c r="F507" i="73" s="1"/>
  <c r="AI20" i="126"/>
  <c r="AH192" i="73"/>
  <c r="D664" i="73" s="1"/>
  <c r="AI6" i="126"/>
  <c r="AH179" i="73"/>
  <c r="AI12" i="126"/>
  <c r="AH186" i="73"/>
  <c r="D658" i="73" s="1"/>
  <c r="AI27" i="126"/>
  <c r="AH202" i="73"/>
  <c r="D674" i="73" s="1"/>
  <c r="FM105" i="63"/>
  <c r="FO105" i="63"/>
  <c r="DU180" i="63"/>
  <c r="DQ180" i="63"/>
  <c r="EQ179" i="63"/>
  <c r="FD20" i="63"/>
  <c r="FB99" i="63"/>
  <c r="EY134" i="63"/>
  <c r="EK40" i="63"/>
  <c r="K122" i="62"/>
  <c r="H19" i="62"/>
  <c r="I19" i="62"/>
  <c r="DA90" i="63"/>
  <c r="D6" i="124"/>
  <c r="U6" i="126"/>
  <c r="AG179" i="73"/>
  <c r="C651" i="73" s="1"/>
  <c r="H29" i="123"/>
  <c r="T28" i="126"/>
  <c r="U8" i="126"/>
  <c r="AG182" i="73"/>
  <c r="U27" i="126"/>
  <c r="AG202" i="73"/>
  <c r="C674" i="73" s="1"/>
  <c r="D25" i="124"/>
  <c r="U25" i="126"/>
  <c r="AG197" i="73"/>
  <c r="AC17" i="65"/>
  <c r="K26" i="123"/>
  <c r="AJ163" i="73"/>
  <c r="H20" i="123"/>
  <c r="T19" i="126"/>
  <c r="AI22" i="126"/>
  <c r="AH196" i="73"/>
  <c r="D668" i="73" s="1"/>
  <c r="EO11" i="63"/>
  <c r="EG30" i="63"/>
  <c r="EM22" i="63"/>
  <c r="EP22" i="63"/>
  <c r="ER24" i="63"/>
  <c r="DS120" i="63"/>
  <c r="DM120" i="63"/>
  <c r="DS90" i="63"/>
  <c r="EP104" i="63"/>
  <c r="EP103" i="63"/>
  <c r="DP150" i="63"/>
  <c r="FA179" i="63"/>
  <c r="EU153" i="63"/>
  <c r="EX167" i="63"/>
  <c r="DK180" i="63"/>
  <c r="EU100" i="63"/>
  <c r="EP111" i="63"/>
  <c r="DA30" i="63"/>
  <c r="U33" i="121"/>
  <c r="AR31" i="126"/>
  <c r="D9" i="124"/>
  <c r="U9" i="126"/>
  <c r="AG183" i="73"/>
  <c r="C655" i="73" s="1"/>
  <c r="D24" i="124"/>
  <c r="U24" i="126"/>
  <c r="AG199" i="73"/>
  <c r="C671" i="73" s="1"/>
  <c r="D12" i="124"/>
  <c r="D15" i="125" s="1"/>
  <c r="U12" i="126"/>
  <c r="AG186" i="73"/>
  <c r="C658" i="73" s="1"/>
  <c r="D13" i="124"/>
  <c r="U13" i="126"/>
  <c r="AG189" i="73"/>
  <c r="F13" i="124"/>
  <c r="AI189" i="73"/>
  <c r="H23" i="123"/>
  <c r="T22" i="126"/>
  <c r="H24" i="123"/>
  <c r="T23" i="126"/>
  <c r="AI10" i="126"/>
  <c r="AH184" i="73"/>
  <c r="D656" i="73" s="1"/>
  <c r="AI26" i="126"/>
  <c r="AH200" i="73"/>
  <c r="D672" i="73" s="1"/>
  <c r="AI13" i="126"/>
  <c r="AH189" i="73"/>
  <c r="AI4" i="126"/>
  <c r="AH178" i="73"/>
  <c r="D650" i="73" s="1"/>
  <c r="DQ30" i="63"/>
  <c r="DN60" i="63"/>
  <c r="EY98" i="63"/>
  <c r="DS150" i="63"/>
  <c r="DR150" i="63"/>
  <c r="EP143" i="63"/>
  <c r="FB156" i="63"/>
  <c r="DY180" i="63"/>
  <c r="EE180" i="63"/>
  <c r="EQ164" i="63"/>
  <c r="EK68" i="63"/>
  <c r="EP141" i="63"/>
  <c r="EL141" i="63"/>
  <c r="EK137" i="63"/>
  <c r="EU133" i="63"/>
  <c r="EU148" i="63"/>
  <c r="EK148" i="63"/>
  <c r="EL144" i="63"/>
  <c r="EP140" i="63"/>
  <c r="EN140" i="63"/>
  <c r="EP136" i="63"/>
  <c r="EQ132" i="63"/>
  <c r="EU128" i="63"/>
  <c r="ER147" i="63"/>
  <c r="ES143" i="63"/>
  <c r="EU143" i="63"/>
  <c r="EK143" i="63"/>
  <c r="EM139" i="63"/>
  <c r="ER135" i="63"/>
  <c r="EP131" i="63"/>
  <c r="ES127" i="63"/>
  <c r="FL146" i="63"/>
  <c r="EU126" i="63"/>
  <c r="EU57" i="63"/>
  <c r="EL53" i="63"/>
  <c r="EQ53" i="63"/>
  <c r="EL49" i="63"/>
  <c r="EN49" i="63"/>
  <c r="EU45" i="63"/>
  <c r="EL37" i="63"/>
  <c r="DD60" i="63"/>
  <c r="EL44" i="63"/>
  <c r="EO44" i="63"/>
  <c r="EL36" i="63"/>
  <c r="FT55" i="63"/>
  <c r="FD55" i="63"/>
  <c r="EN48" i="63"/>
  <c r="ES48" i="63"/>
  <c r="EL54" i="63"/>
  <c r="EK54" i="63"/>
  <c r="EL50" i="63"/>
  <c r="EU50" i="63"/>
  <c r="ES46" i="63"/>
  <c r="EM42" i="63"/>
  <c r="ER42" i="63"/>
  <c r="EQ38" i="63"/>
  <c r="EK38" i="63"/>
  <c r="EL34" i="63"/>
  <c r="EP56" i="63"/>
  <c r="EN56" i="63"/>
  <c r="ES56" i="63"/>
  <c r="EK178" i="63"/>
  <c r="EL174" i="63"/>
  <c r="EU170" i="63"/>
  <c r="EQ177" i="63"/>
  <c r="ES177" i="63"/>
  <c r="ET177" i="63"/>
  <c r="EU173" i="63"/>
  <c r="FE163" i="63"/>
  <c r="DC30" i="63"/>
  <c r="CZ30" i="63"/>
  <c r="DB30" i="63"/>
  <c r="AB24" i="65"/>
  <c r="Y32" i="122"/>
  <c r="Y34" i="122" s="1"/>
  <c r="Y36" i="122" s="1"/>
  <c r="U15" i="126"/>
  <c r="AG187" i="73"/>
  <c r="C659" i="73" s="1"/>
  <c r="D19" i="124"/>
  <c r="U19" i="126"/>
  <c r="AG194" i="73"/>
  <c r="C666" i="73" s="1"/>
  <c r="AW27" i="126"/>
  <c r="AI201" i="73"/>
  <c r="E673" i="73" s="1"/>
  <c r="AW13" i="126"/>
  <c r="AI187" i="73"/>
  <c r="G5" i="124"/>
  <c r="AJ180" i="73"/>
  <c r="BX10" i="126"/>
  <c r="BX28" i="126"/>
  <c r="K8" i="123"/>
  <c r="AJ147" i="73"/>
  <c r="F572" i="73" s="1"/>
  <c r="AI14" i="126"/>
  <c r="AH188" i="73"/>
  <c r="AI11" i="126"/>
  <c r="AH185" i="73"/>
  <c r="AI28" i="126"/>
  <c r="AH201" i="73"/>
  <c r="D673" i="73" s="1"/>
  <c r="AI16" i="126"/>
  <c r="AH190" i="73"/>
  <c r="D662" i="73" s="1"/>
  <c r="AI25" i="126"/>
  <c r="AH197" i="73"/>
  <c r="U23" i="127"/>
  <c r="U12" i="127"/>
  <c r="T102" i="111"/>
  <c r="W102" i="112"/>
  <c r="M34" i="123"/>
  <c r="CV6" i="63"/>
  <c r="CO5" i="63"/>
  <c r="CT5" i="63"/>
  <c r="GG5" i="63"/>
  <c r="CN5" i="63"/>
  <c r="GA5" i="63"/>
  <c r="CS5" i="63"/>
  <c r="FF5" i="63"/>
  <c r="CM5" i="63"/>
  <c r="CR5" i="63"/>
  <c r="CO9" i="63"/>
  <c r="GB9" i="63"/>
  <c r="F11" i="73"/>
  <c r="F304" i="73" s="1"/>
  <c r="CT9" i="63"/>
  <c r="CN9" i="63"/>
  <c r="CS9" i="63"/>
  <c r="CM9" i="63"/>
  <c r="FM9" i="63"/>
  <c r="CR9" i="63"/>
  <c r="CO13" i="63"/>
  <c r="CT13" i="63"/>
  <c r="FT13" i="63"/>
  <c r="CN13" i="63"/>
  <c r="FN13" i="63"/>
  <c r="CS13" i="63"/>
  <c r="FF13" i="63"/>
  <c r="CM13" i="63"/>
  <c r="CR13" i="63"/>
  <c r="FE13" i="63"/>
  <c r="CO17" i="63"/>
  <c r="FO17" i="63"/>
  <c r="CT17" i="63"/>
  <c r="CN17" i="63"/>
  <c r="CS17" i="63"/>
  <c r="CM17" i="63"/>
  <c r="CR17" i="63"/>
  <c r="FE17" i="63"/>
  <c r="CO21" i="63"/>
  <c r="CM21" i="63"/>
  <c r="FZ21" i="63"/>
  <c r="CR21" i="63"/>
  <c r="GE21" i="63"/>
  <c r="CL21" i="63"/>
  <c r="CQ21" i="63"/>
  <c r="CV21" i="63"/>
  <c r="CS25" i="63"/>
  <c r="CQ25" i="63"/>
  <c r="FQ25" i="63"/>
  <c r="CR25" i="63"/>
  <c r="FE25" i="63"/>
  <c r="CL25" i="63"/>
  <c r="FL25" i="63"/>
  <c r="CM25" i="63"/>
  <c r="EZ25" i="63"/>
  <c r="CV25" i="63"/>
  <c r="CL29" i="63"/>
  <c r="CU29" i="63"/>
  <c r="GH29" i="63"/>
  <c r="CV29" i="63"/>
  <c r="CP29" i="63"/>
  <c r="FC29" i="63"/>
  <c r="CM29" i="63"/>
  <c r="CK29" i="63"/>
  <c r="CR35" i="63"/>
  <c r="GE35" i="63"/>
  <c r="CM35" i="63"/>
  <c r="CS35" i="63"/>
  <c r="FS35" i="63"/>
  <c r="CN35" i="63"/>
  <c r="CT35" i="63"/>
  <c r="CO35" i="63"/>
  <c r="CR39" i="63"/>
  <c r="FR39" i="63"/>
  <c r="CM39" i="63"/>
  <c r="FZ39" i="63"/>
  <c r="CS39" i="63"/>
  <c r="GF39" i="63"/>
  <c r="CN39" i="63"/>
  <c r="CT39" i="63"/>
  <c r="FT39" i="63"/>
  <c r="CO39" i="63"/>
  <c r="FO39" i="63"/>
  <c r="CR43" i="63"/>
  <c r="CM43" i="63"/>
  <c r="CS43" i="63"/>
  <c r="FS43" i="63"/>
  <c r="CN43" i="63"/>
  <c r="CT43" i="63"/>
  <c r="CO43" i="63"/>
  <c r="CR47" i="63"/>
  <c r="FR47" i="63"/>
  <c r="CM47" i="63"/>
  <c r="FM47" i="63"/>
  <c r="CS47" i="63"/>
  <c r="CN47" i="63"/>
  <c r="CT47" i="63"/>
  <c r="FT47" i="63"/>
  <c r="CO47" i="63"/>
  <c r="FO47" i="63"/>
  <c r="CR51" i="63"/>
  <c r="FR51" i="63"/>
  <c r="CM51" i="63"/>
  <c r="FZ51" i="63"/>
  <c r="D57" i="73"/>
  <c r="D397" i="73" s="1"/>
  <c r="CN51" i="63"/>
  <c r="FN51" i="63"/>
  <c r="CT51" i="63"/>
  <c r="CO51" i="63"/>
  <c r="CM55" i="63"/>
  <c r="EZ55" i="63"/>
  <c r="CP55" i="63"/>
  <c r="FP55" i="63"/>
  <c r="CL55" i="63"/>
  <c r="CM59" i="63"/>
  <c r="FZ59" i="63"/>
  <c r="CS59" i="63"/>
  <c r="FS59" i="63"/>
  <c r="CR59" i="63"/>
  <c r="CM64" i="63"/>
  <c r="FM64" i="63"/>
  <c r="CS64" i="63"/>
  <c r="CR64" i="63"/>
  <c r="CM68" i="63"/>
  <c r="FM68" i="63"/>
  <c r="CS68" i="63"/>
  <c r="CR68" i="63"/>
  <c r="CM72" i="63"/>
  <c r="CS72" i="63"/>
  <c r="FF72" i="63"/>
  <c r="CR72" i="63"/>
  <c r="CM76" i="63"/>
  <c r="FM76" i="63"/>
  <c r="CS76" i="63"/>
  <c r="CR76" i="63"/>
  <c r="CM80" i="63"/>
  <c r="CS80" i="63"/>
  <c r="FS80" i="63"/>
  <c r="CR80" i="63"/>
  <c r="FR80" i="63"/>
  <c r="CM84" i="63"/>
  <c r="FM84" i="63"/>
  <c r="CS84" i="63"/>
  <c r="FS84" i="63"/>
  <c r="CR84" i="63"/>
  <c r="CM88" i="63"/>
  <c r="FM88" i="63"/>
  <c r="CS88" i="63"/>
  <c r="AI19" i="126"/>
  <c r="AH194" i="73"/>
  <c r="BH17" i="126"/>
  <c r="AJ87" i="73"/>
  <c r="F420" i="73" s="1"/>
  <c r="CS6" i="63"/>
  <c r="FS6" i="63"/>
  <c r="CL6" i="63"/>
  <c r="FY6" i="63"/>
  <c r="CU6" i="63"/>
  <c r="CP6" i="63"/>
  <c r="CN6" i="63"/>
  <c r="GA6" i="63"/>
  <c r="CL10" i="63"/>
  <c r="FL10" i="63"/>
  <c r="CK10" i="63"/>
  <c r="CS14" i="63"/>
  <c r="GF14" i="63"/>
  <c r="CO14" i="63"/>
  <c r="GB14" i="63"/>
  <c r="CQ14" i="63"/>
  <c r="GD14" i="63"/>
  <c r="CL14" i="63"/>
  <c r="FL14" i="63"/>
  <c r="CU14" i="63"/>
  <c r="FH14" i="63"/>
  <c r="CS18" i="63"/>
  <c r="FS18" i="63"/>
  <c r="CR18" i="63"/>
  <c r="FR18" i="63"/>
  <c r="CU36" i="63"/>
  <c r="FU36" i="63"/>
  <c r="CR36" i="63"/>
  <c r="FE36" i="63"/>
  <c r="CS36" i="63"/>
  <c r="CU44" i="63"/>
  <c r="FU44" i="63"/>
  <c r="CS44" i="63"/>
  <c r="GF44" i="63"/>
  <c r="CR44" i="63"/>
  <c r="FR44" i="63"/>
  <c r="CP48" i="63"/>
  <c r="CM48" i="63"/>
  <c r="CU52" i="63"/>
  <c r="FU52" i="63"/>
  <c r="CS52" i="63"/>
  <c r="FS52" i="63"/>
  <c r="CR52" i="63"/>
  <c r="GE52" i="63"/>
  <c r="CR56" i="63"/>
  <c r="GE56" i="63"/>
  <c r="CQ56" i="63"/>
  <c r="FQ56" i="63"/>
  <c r="CT56" i="63"/>
  <c r="FT56" i="63"/>
  <c r="CT65" i="63"/>
  <c r="FT65" i="63"/>
  <c r="CQ65" i="63"/>
  <c r="CL65" i="63"/>
  <c r="FY65" i="63"/>
  <c r="CV65" i="63"/>
  <c r="CO69" i="63"/>
  <c r="FB69" i="63"/>
  <c r="CL69" i="63"/>
  <c r="CV69" i="63"/>
  <c r="CT73" i="63"/>
  <c r="CV73" i="63"/>
  <c r="CL73" i="63"/>
  <c r="CO77" i="63"/>
  <c r="CQ77" i="63"/>
  <c r="FQ77" i="63"/>
  <c r="CL77" i="63"/>
  <c r="FY77" i="63"/>
  <c r="CT81" i="63"/>
  <c r="FT81" i="63"/>
  <c r="CQ81" i="63"/>
  <c r="GD81" i="63"/>
  <c r="CL81" i="63"/>
  <c r="CO85" i="63"/>
  <c r="FO85" i="63"/>
  <c r="CL85" i="63"/>
  <c r="CV85" i="63"/>
  <c r="CQ85" i="63"/>
  <c r="FQ85" i="63"/>
  <c r="CT89" i="63"/>
  <c r="FT89" i="63"/>
  <c r="CV89" i="63"/>
  <c r="CQ89" i="63"/>
  <c r="CT94" i="63"/>
  <c r="CV94" i="63"/>
  <c r="CQ94" i="63"/>
  <c r="CO94" i="63"/>
  <c r="CO98" i="63"/>
  <c r="CV98" i="63"/>
  <c r="CQ98" i="63"/>
  <c r="FQ98" i="63"/>
  <c r="CN98" i="63"/>
  <c r="FN98" i="63"/>
  <c r="CT98" i="63"/>
  <c r="GG98" i="63"/>
  <c r="K112" i="73"/>
  <c r="K546" i="73" s="1"/>
  <c r="CT102" i="63"/>
  <c r="FT102" i="63"/>
  <c r="CO102" i="63"/>
  <c r="FO102" i="63"/>
  <c r="CV102" i="63"/>
  <c r="CL102" i="63"/>
  <c r="CO106" i="63"/>
  <c r="GB106" i="63"/>
  <c r="CL106" i="63"/>
  <c r="CV106" i="63"/>
  <c r="CQ106" i="63"/>
  <c r="FQ106" i="63"/>
  <c r="CT110" i="63"/>
  <c r="GG110" i="63"/>
  <c r="CL110" i="63"/>
  <c r="FL110" i="63"/>
  <c r="CO110" i="63"/>
  <c r="CQ110" i="63"/>
  <c r="CV110" i="63"/>
  <c r="CO114" i="63"/>
  <c r="FO114" i="63"/>
  <c r="CT114" i="63"/>
  <c r="FT114" i="63"/>
  <c r="CL114" i="63"/>
  <c r="FL114" i="63"/>
  <c r="CN114" i="63"/>
  <c r="FN114" i="63"/>
  <c r="CT118" i="63"/>
  <c r="CQ118" i="63"/>
  <c r="GD118" i="63"/>
  <c r="H132" i="73"/>
  <c r="CL118" i="63"/>
  <c r="FY118" i="63"/>
  <c r="C132" i="73"/>
  <c r="C566" i="73" s="1"/>
  <c r="CO118" i="63"/>
  <c r="FO118" i="63"/>
  <c r="CO123" i="63"/>
  <c r="FO123" i="63"/>
  <c r="CQ123" i="63"/>
  <c r="FQ123" i="63"/>
  <c r="CN123" i="63"/>
  <c r="GA123" i="63"/>
  <c r="CT123" i="63"/>
  <c r="FT123" i="63"/>
  <c r="CV123" i="63"/>
  <c r="CT127" i="63"/>
  <c r="CV127" i="63"/>
  <c r="CQ127" i="63"/>
  <c r="FD127" i="63"/>
  <c r="CL127" i="63"/>
  <c r="FY127" i="63"/>
  <c r="CO131" i="63"/>
  <c r="GB131" i="63"/>
  <c r="CV131" i="63"/>
  <c r="CQ131" i="63"/>
  <c r="GD131" i="63"/>
  <c r="CN131" i="63"/>
  <c r="CL131" i="63"/>
  <c r="CT135" i="63"/>
  <c r="GG135" i="63"/>
  <c r="CO135" i="63"/>
  <c r="FO135" i="63"/>
  <c r="CV135" i="63"/>
  <c r="CQ135" i="63"/>
  <c r="CO139" i="63"/>
  <c r="CL139" i="63"/>
  <c r="FY139" i="63"/>
  <c r="C159" i="73"/>
  <c r="C638" i="73" s="1"/>
  <c r="CV139" i="63"/>
  <c r="CT139" i="63"/>
  <c r="GG139" i="63"/>
  <c r="K159" i="73"/>
  <c r="K638" i="73" s="1"/>
  <c r="CN139" i="63"/>
  <c r="GA139" i="63"/>
  <c r="E159" i="73"/>
  <c r="E638" i="73" s="1"/>
  <c r="CT143" i="63"/>
  <c r="FT143" i="63"/>
  <c r="CL143" i="63"/>
  <c r="FY143" i="63"/>
  <c r="CO143" i="63"/>
  <c r="FO143" i="63"/>
  <c r="CO147" i="63"/>
  <c r="CT147" i="63"/>
  <c r="FT147" i="63"/>
  <c r="CL147" i="63"/>
  <c r="FL147" i="63"/>
  <c r="CQ147" i="63"/>
  <c r="CV147" i="63"/>
  <c r="CT156" i="63"/>
  <c r="GG156" i="63"/>
  <c r="CQ156" i="63"/>
  <c r="CL156" i="63"/>
  <c r="EY156" i="63"/>
  <c r="CV156" i="63"/>
  <c r="CO160" i="63"/>
  <c r="GB160" i="63"/>
  <c r="CQ160" i="63"/>
  <c r="CN160" i="63"/>
  <c r="CT160" i="63"/>
  <c r="CL160" i="63"/>
  <c r="FL160" i="63"/>
  <c r="CT164" i="63"/>
  <c r="GG164" i="63"/>
  <c r="CV164" i="63"/>
  <c r="CQ164" i="63"/>
  <c r="FQ164" i="63"/>
  <c r="CO164" i="63"/>
  <c r="FB164" i="63"/>
  <c r="CS168" i="63"/>
  <c r="CO168" i="63"/>
  <c r="FO168" i="63"/>
  <c r="CQ168" i="63"/>
  <c r="FQ168" i="63"/>
  <c r="CK168" i="63"/>
  <c r="FX168" i="63"/>
  <c r="CN168" i="63"/>
  <c r="CT168" i="63"/>
  <c r="CM172" i="63"/>
  <c r="CU172" i="63"/>
  <c r="GH172" i="63"/>
  <c r="CL172" i="63"/>
  <c r="FY172" i="63"/>
  <c r="CN172" i="63"/>
  <c r="GA172" i="63"/>
  <c r="CQ172" i="63"/>
  <c r="GD172" i="63"/>
  <c r="CO172" i="63"/>
  <c r="FO172" i="63"/>
  <c r="CV172" i="63"/>
  <c r="CT172" i="63"/>
  <c r="FG172" i="63"/>
  <c r="CM176" i="63"/>
  <c r="CP176" i="63"/>
  <c r="GC176" i="63"/>
  <c r="CU176" i="63"/>
  <c r="FU176" i="63"/>
  <c r="CL176" i="63"/>
  <c r="FL176" i="63"/>
  <c r="CN176" i="63"/>
  <c r="FN176" i="63"/>
  <c r="CK176" i="63"/>
  <c r="FX176" i="63"/>
  <c r="CQ176" i="63"/>
  <c r="FQ176" i="63"/>
  <c r="CV176" i="63"/>
  <c r="FV176" i="63"/>
  <c r="AI8" i="126"/>
  <c r="AH182" i="73"/>
  <c r="AI23" i="126"/>
  <c r="AH198" i="73"/>
  <c r="AI7" i="126"/>
  <c r="AH181" i="73"/>
  <c r="D653" i="73" s="1"/>
  <c r="W67" i="111"/>
  <c r="L32" i="123"/>
  <c r="S67" i="116"/>
  <c r="R102" i="106"/>
  <c r="S5" i="118"/>
  <c r="V102" i="115"/>
  <c r="T102" i="115"/>
  <c r="V102" i="117"/>
  <c r="FR175" i="63"/>
  <c r="EZ175" i="63"/>
  <c r="FR171" i="63"/>
  <c r="FF171" i="63"/>
  <c r="FR167" i="63"/>
  <c r="FF167" i="63"/>
  <c r="FR163" i="63"/>
  <c r="FS159" i="63"/>
  <c r="FM159" i="63"/>
  <c r="FS155" i="63"/>
  <c r="FE134" i="63"/>
  <c r="FS134" i="63"/>
  <c r="FE109" i="63"/>
  <c r="CR105" i="63"/>
  <c r="CS105" i="63"/>
  <c r="CR101" i="63"/>
  <c r="CS101" i="63"/>
  <c r="FS101" i="63"/>
  <c r="CR97" i="63"/>
  <c r="CS97" i="63"/>
  <c r="CR93" i="63"/>
  <c r="CS93" i="63"/>
  <c r="CR88" i="63"/>
  <c r="FR88" i="63"/>
  <c r="CL88" i="63"/>
  <c r="CU88" i="63"/>
  <c r="GH88" i="63"/>
  <c r="CO84" i="63"/>
  <c r="GB84" i="63"/>
  <c r="CQ84" i="63"/>
  <c r="GD84" i="63"/>
  <c r="CK80" i="63"/>
  <c r="FX80" i="63"/>
  <c r="CT80" i="63"/>
  <c r="GG80" i="63"/>
  <c r="CV76" i="63"/>
  <c r="CP76" i="63"/>
  <c r="CN72" i="63"/>
  <c r="CL72" i="63"/>
  <c r="EY72" i="63"/>
  <c r="CU72" i="63"/>
  <c r="CO68" i="63"/>
  <c r="CQ68" i="63"/>
  <c r="CK64" i="63"/>
  <c r="FX64" i="63"/>
  <c r="CT64" i="63"/>
  <c r="CV59" i="63"/>
  <c r="CP59" i="63"/>
  <c r="CR55" i="63"/>
  <c r="FE55" i="63"/>
  <c r="CK55" i="63"/>
  <c r="CU55" i="63"/>
  <c r="CP51" i="63"/>
  <c r="GC51" i="63"/>
  <c r="G57" i="73"/>
  <c r="CK47" i="63"/>
  <c r="FK47" i="63"/>
  <c r="CU47" i="63"/>
  <c r="FU47" i="63"/>
  <c r="CP43" i="63"/>
  <c r="CK39" i="63"/>
  <c r="CU39" i="63"/>
  <c r="GH39" i="63"/>
  <c r="CP35" i="63"/>
  <c r="FC35" i="63"/>
  <c r="CS29" i="63"/>
  <c r="CT29" i="63"/>
  <c r="FT29" i="63"/>
  <c r="CU25" i="63"/>
  <c r="GH25" i="63"/>
  <c r="CS21" i="63"/>
  <c r="FS21" i="63"/>
  <c r="CP21" i="63"/>
  <c r="FC21" i="63"/>
  <c r="CQ17" i="63"/>
  <c r="GD17" i="63"/>
  <c r="H19" i="73"/>
  <c r="H312" i="73" s="1"/>
  <c r="CV13" i="63"/>
  <c r="CL13" i="63"/>
  <c r="FL13" i="63"/>
  <c r="CQ9" i="63"/>
  <c r="CV5" i="63"/>
  <c r="FI5" i="63"/>
  <c r="CL5" i="63"/>
  <c r="FY5" i="63"/>
  <c r="CP14" i="63"/>
  <c r="GC14" i="63"/>
  <c r="CT6" i="63"/>
  <c r="CT176" i="63"/>
  <c r="FG176" i="63"/>
  <c r="CL168" i="63"/>
  <c r="FY168" i="63"/>
  <c r="CN147" i="63"/>
  <c r="GA147" i="63"/>
  <c r="CL135" i="63"/>
  <c r="EY135" i="63"/>
  <c r="CV118" i="63"/>
  <c r="FI118" i="63"/>
  <c r="CT106" i="63"/>
  <c r="CL89" i="63"/>
  <c r="CQ69" i="63"/>
  <c r="CU26" i="63"/>
  <c r="FU26" i="63"/>
  <c r="K23" i="123"/>
  <c r="AJ162" i="73"/>
  <c r="F587" i="73" s="1"/>
  <c r="V102" i="111"/>
  <c r="S102" i="111"/>
  <c r="W102" i="111"/>
  <c r="L34" i="123"/>
  <c r="U102" i="112"/>
  <c r="T102" i="112"/>
  <c r="V102" i="112"/>
  <c r="W102" i="115"/>
  <c r="P34" i="123"/>
  <c r="S102" i="116"/>
  <c r="CP17" i="63"/>
  <c r="CU13" i="63"/>
  <c r="CK13" i="63"/>
  <c r="CP9" i="63"/>
  <c r="GC9" i="63"/>
  <c r="G11" i="73"/>
  <c r="G304" i="73" s="1"/>
  <c r="CU5" i="63"/>
  <c r="CK5" i="63"/>
  <c r="FK5" i="63"/>
  <c r="CV14" i="63"/>
  <c r="CK14" i="63"/>
  <c r="FK14" i="63"/>
  <c r="CO6" i="63"/>
  <c r="CK172" i="63"/>
  <c r="FX172" i="63"/>
  <c r="CL164" i="63"/>
  <c r="FY164" i="63"/>
  <c r="CV143" i="63"/>
  <c r="CT131" i="63"/>
  <c r="CV114" i="63"/>
  <c r="FV114" i="63"/>
  <c r="CQ102" i="63"/>
  <c r="GD102" i="63"/>
  <c r="CV81" i="63"/>
  <c r="CK56" i="63"/>
  <c r="FE178" i="63"/>
  <c r="FT80" i="126"/>
  <c r="GH80" i="126"/>
  <c r="X31" i="109"/>
  <c r="AI203" i="73"/>
  <c r="W30" i="109"/>
  <c r="AI168" i="73"/>
  <c r="N28" i="122"/>
  <c r="R26" i="126"/>
  <c r="S28" i="107"/>
  <c r="AG28" i="73"/>
  <c r="P26" i="126"/>
  <c r="R18" i="110"/>
  <c r="R16" i="110"/>
  <c r="X14" i="110"/>
  <c r="AJ186" i="73"/>
  <c r="R12" i="110"/>
  <c r="R10" i="110"/>
  <c r="R44" i="110"/>
  <c r="X7" i="110"/>
  <c r="X41" i="110"/>
  <c r="BI3" i="126"/>
  <c r="AJ107" i="73"/>
  <c r="Y86" i="62"/>
  <c r="E121" i="62"/>
  <c r="D8" i="118"/>
  <c r="E73" i="62"/>
  <c r="D103" i="109"/>
  <c r="N8" i="118"/>
  <c r="N103" i="109"/>
  <c r="J8" i="118"/>
  <c r="J103" i="109"/>
  <c r="Q32" i="115"/>
  <c r="P32" i="112"/>
  <c r="N32" i="114"/>
  <c r="M32" i="114"/>
  <c r="L32" i="114"/>
  <c r="K32" i="114"/>
  <c r="J32" i="114"/>
  <c r="I32" i="114"/>
  <c r="GE75" i="126"/>
  <c r="GD74" i="126"/>
  <c r="GE71" i="126"/>
  <c r="X66" i="110"/>
  <c r="X30" i="110"/>
  <c r="AJ202" i="73"/>
  <c r="F674" i="73" s="1"/>
  <c r="X24" i="110"/>
  <c r="X23" i="110"/>
  <c r="R22" i="110"/>
  <c r="X19" i="110"/>
  <c r="EP27" i="126"/>
  <c r="AP167" i="73"/>
  <c r="L592" i="73" s="1"/>
  <c r="EP22" i="126"/>
  <c r="AP162" i="73"/>
  <c r="L587" i="73" s="1"/>
  <c r="EP14" i="126"/>
  <c r="AP154" i="73"/>
  <c r="R66" i="114"/>
  <c r="R64" i="114"/>
  <c r="R63" i="114"/>
  <c r="R62" i="114"/>
  <c r="R61" i="114"/>
  <c r="R60" i="114"/>
  <c r="R59" i="114"/>
  <c r="R58" i="114"/>
  <c r="R57" i="114"/>
  <c r="R56" i="114"/>
  <c r="R54" i="114"/>
  <c r="R53" i="114"/>
  <c r="R52" i="114"/>
  <c r="R51" i="114"/>
  <c r="W23" i="113"/>
  <c r="W11" i="113"/>
  <c r="I574" i="73"/>
  <c r="W25" i="112"/>
  <c r="P55" i="119"/>
  <c r="F14" i="62"/>
  <c r="X85" i="62"/>
  <c r="G156" i="62"/>
  <c r="M8" i="118"/>
  <c r="M103" i="109"/>
  <c r="I8" i="118"/>
  <c r="I103" i="109"/>
  <c r="GA70" i="126"/>
  <c r="GE77" i="126"/>
  <c r="GA94" i="126"/>
  <c r="GA97" i="126"/>
  <c r="R31" i="110"/>
  <c r="X19" i="109"/>
  <c r="AI191" i="73"/>
  <c r="E663" i="73" s="1"/>
  <c r="R51" i="109"/>
  <c r="N67" i="109"/>
  <c r="P67" i="109"/>
  <c r="N32" i="109"/>
  <c r="L32" i="109"/>
  <c r="J32" i="109"/>
  <c r="H32" i="109"/>
  <c r="W9" i="109"/>
  <c r="AI147" i="73"/>
  <c r="L67" i="109"/>
  <c r="J67" i="109"/>
  <c r="X43" i="109"/>
  <c r="W43" i="109"/>
  <c r="D67" i="109"/>
  <c r="U8" i="107"/>
  <c r="AG76" i="73"/>
  <c r="R5" i="126"/>
  <c r="R43" i="109"/>
  <c r="M32" i="109"/>
  <c r="I32" i="109"/>
  <c r="U4" i="126"/>
  <c r="AG178" i="73"/>
  <c r="Q67" i="109"/>
  <c r="EP21" i="126"/>
  <c r="AP161" i="73"/>
  <c r="B8" i="118"/>
  <c r="E38" i="62"/>
  <c r="B103" i="109"/>
  <c r="F31" i="64"/>
  <c r="Q8" i="118"/>
  <c r="Q103" i="109"/>
  <c r="L8" i="118"/>
  <c r="L103" i="109"/>
  <c r="H8" i="118"/>
  <c r="H103" i="109"/>
  <c r="GB77" i="126"/>
  <c r="W66" i="106"/>
  <c r="W64" i="109"/>
  <c r="R28" i="109"/>
  <c r="X62" i="109"/>
  <c r="W27" i="109"/>
  <c r="AI165" i="73"/>
  <c r="W26" i="109"/>
  <c r="AI164" i="73"/>
  <c r="E589" i="73" s="1"/>
  <c r="R60" i="109"/>
  <c r="X24" i="109"/>
  <c r="X59" i="109"/>
  <c r="R59" i="109"/>
  <c r="W23" i="109"/>
  <c r="AI161" i="73"/>
  <c r="X21" i="109"/>
  <c r="M67" i="109"/>
  <c r="K67" i="109"/>
  <c r="X56" i="109"/>
  <c r="O20" i="122"/>
  <c r="S18" i="126"/>
  <c r="T21" i="107"/>
  <c r="AG55" i="73"/>
  <c r="Q18" i="126"/>
  <c r="C84" i="62"/>
  <c r="E94" i="62"/>
  <c r="F25" i="64"/>
  <c r="E8" i="118"/>
  <c r="W73" i="62"/>
  <c r="E103" i="109"/>
  <c r="P8" i="118"/>
  <c r="P103" i="109"/>
  <c r="K8" i="118"/>
  <c r="K103" i="109"/>
  <c r="U21" i="127"/>
  <c r="AF164" i="73"/>
  <c r="B589" i="73"/>
  <c r="AF168" i="73"/>
  <c r="B593" i="73" s="1"/>
  <c r="M31" i="122"/>
  <c r="E29" i="126"/>
  <c r="U31" i="106"/>
  <c r="D29" i="126"/>
  <c r="D30" i="65"/>
  <c r="C29" i="126"/>
  <c r="O31" i="121"/>
  <c r="B29" i="126"/>
  <c r="AC28" i="65"/>
  <c r="U21" i="106"/>
  <c r="D18" i="126"/>
  <c r="D20" i="65"/>
  <c r="C18" i="126"/>
  <c r="AC16" i="65"/>
  <c r="D18" i="64"/>
  <c r="I32" i="106"/>
  <c r="AF156" i="73"/>
  <c r="B581" i="73" s="1"/>
  <c r="AC7" i="65"/>
  <c r="AB15" i="65"/>
  <c r="AF15" i="65" s="1"/>
  <c r="L28" i="122"/>
  <c r="D26" i="126"/>
  <c r="D19" i="65"/>
  <c r="C20" i="126"/>
  <c r="M19" i="122"/>
  <c r="E17" i="126"/>
  <c r="L19" i="122"/>
  <c r="D17" i="126"/>
  <c r="T19" i="106"/>
  <c r="C17" i="126"/>
  <c r="S19" i="106"/>
  <c r="B17" i="126"/>
  <c r="M9" i="122"/>
  <c r="E7" i="126"/>
  <c r="U9" i="106"/>
  <c r="D7" i="126"/>
  <c r="T9" i="106"/>
  <c r="C7" i="126"/>
  <c r="O9" i="121"/>
  <c r="B7" i="126"/>
  <c r="V7" i="106"/>
  <c r="E6" i="126"/>
  <c r="U7" i="106"/>
  <c r="D6" i="126"/>
  <c r="D6" i="65"/>
  <c r="C6" i="126"/>
  <c r="T27" i="106"/>
  <c r="C24" i="126"/>
  <c r="E31" i="64"/>
  <c r="D31" i="64"/>
  <c r="R71" i="64"/>
  <c r="V25" i="106"/>
  <c r="E25" i="126"/>
  <c r="U25" i="106"/>
  <c r="D25" i="126"/>
  <c r="P27" i="121"/>
  <c r="C25" i="126"/>
  <c r="L21" i="122"/>
  <c r="D19" i="126"/>
  <c r="E25" i="64"/>
  <c r="D25" i="64"/>
  <c r="X65" i="110"/>
  <c r="W20" i="110"/>
  <c r="AJ158" i="73"/>
  <c r="F583" i="73" s="1"/>
  <c r="W47" i="110"/>
  <c r="R42" i="110"/>
  <c r="R40" i="110"/>
  <c r="K13" i="123"/>
  <c r="R7" i="110"/>
  <c r="R24" i="110"/>
  <c r="R19" i="110"/>
  <c r="L5" i="65"/>
  <c r="T17" i="110"/>
  <c r="AJ51" i="73"/>
  <c r="F337" i="73" s="1"/>
  <c r="K15" i="123"/>
  <c r="X58" i="110"/>
  <c r="R54" i="110"/>
  <c r="X51" i="110"/>
  <c r="X49" i="110"/>
  <c r="R11" i="110"/>
  <c r="X42" i="110"/>
  <c r="X6" i="110"/>
  <c r="N67" i="110"/>
  <c r="L67" i="110"/>
  <c r="R14" i="110"/>
  <c r="R41" i="110"/>
  <c r="R23" i="110"/>
  <c r="W22" i="121"/>
  <c r="W28" i="121"/>
  <c r="U28" i="122"/>
  <c r="U5" i="122"/>
  <c r="X22" i="110"/>
  <c r="X54" i="110"/>
  <c r="R58" i="110"/>
  <c r="W13" i="121"/>
  <c r="U22" i="122"/>
  <c r="U6" i="122"/>
  <c r="X6" i="121"/>
  <c r="T17" i="122"/>
  <c r="X17" i="121"/>
  <c r="L12" i="65"/>
  <c r="AB12" i="65"/>
  <c r="M12" i="65"/>
  <c r="T5" i="122"/>
  <c r="L19" i="65"/>
  <c r="L10" i="65"/>
  <c r="U17" i="110"/>
  <c r="AJ85" i="73"/>
  <c r="F418" i="73" s="1"/>
  <c r="R6" i="110"/>
  <c r="R45" i="110"/>
  <c r="X11" i="121"/>
  <c r="M19" i="65"/>
  <c r="AC19" i="65"/>
  <c r="K6" i="123"/>
  <c r="W31" i="110"/>
  <c r="W65" i="110"/>
  <c r="R65" i="110"/>
  <c r="Q32" i="110"/>
  <c r="W29" i="110"/>
  <c r="R28" i="110"/>
  <c r="X63" i="110"/>
  <c r="P67" i="110"/>
  <c r="R27" i="110"/>
  <c r="I67" i="110"/>
  <c r="X62" i="110"/>
  <c r="W62" i="110"/>
  <c r="P32" i="110"/>
  <c r="M67" i="110"/>
  <c r="R61" i="110"/>
  <c r="X61" i="110"/>
  <c r="BK28" i="126"/>
  <c r="G27" i="124"/>
  <c r="R66" i="110"/>
  <c r="Q67" i="110"/>
  <c r="U31" i="122"/>
  <c r="X27" i="110"/>
  <c r="AJ199" i="73"/>
  <c r="L28" i="65"/>
  <c r="W28" i="110"/>
  <c r="W60" i="110"/>
  <c r="X57" i="110"/>
  <c r="W57" i="110"/>
  <c r="R57" i="110"/>
  <c r="X20" i="110"/>
  <c r="X53" i="110"/>
  <c r="W53" i="110"/>
  <c r="R53" i="110"/>
  <c r="W17" i="110"/>
  <c r="W51" i="110"/>
  <c r="W15" i="110"/>
  <c r="AJ153" i="73"/>
  <c r="F578" i="73" s="1"/>
  <c r="W49" i="110"/>
  <c r="R49" i="110"/>
  <c r="W13" i="110"/>
  <c r="AJ151" i="73"/>
  <c r="F576" i="73" s="1"/>
  <c r="X47" i="110"/>
  <c r="G32" i="110"/>
  <c r="F32" i="110"/>
  <c r="B32" i="110"/>
  <c r="K67" i="110"/>
  <c r="J67" i="110"/>
  <c r="X45" i="110"/>
  <c r="G67" i="110"/>
  <c r="F67" i="110"/>
  <c r="E67" i="110"/>
  <c r="W6" i="110"/>
  <c r="D32" i="110"/>
  <c r="X40" i="110"/>
  <c r="W5" i="110"/>
  <c r="AJ143" i="73"/>
  <c r="M32" i="110"/>
  <c r="L32" i="110"/>
  <c r="I32" i="110"/>
  <c r="R62" i="110"/>
  <c r="T30" i="122"/>
  <c r="W30" i="121"/>
  <c r="U30" i="122"/>
  <c r="V29" i="110"/>
  <c r="AJ131" i="73"/>
  <c r="F511" i="73" s="1"/>
  <c r="S65" i="110"/>
  <c r="V67" i="110"/>
  <c r="AJ136" i="73"/>
  <c r="F739" i="73" s="1"/>
  <c r="R63" i="110"/>
  <c r="K17" i="123"/>
  <c r="T67" i="110"/>
  <c r="K16" i="123"/>
  <c r="K12" i="123"/>
  <c r="K5" i="123"/>
  <c r="BJ28" i="126"/>
  <c r="F593" i="73"/>
  <c r="N32" i="110"/>
  <c r="K32" i="110"/>
  <c r="J32" i="110"/>
  <c r="H32" i="110"/>
  <c r="K25" i="123"/>
  <c r="C67" i="110"/>
  <c r="B67" i="110"/>
  <c r="W33" i="121"/>
  <c r="R15" i="110"/>
  <c r="D67" i="110"/>
  <c r="T33" i="122"/>
  <c r="H67" i="110"/>
  <c r="R51" i="110"/>
  <c r="E32" i="110"/>
  <c r="X5" i="121"/>
  <c r="X13" i="121"/>
  <c r="X15" i="121"/>
  <c r="W11" i="121"/>
  <c r="W17" i="121"/>
  <c r="W15" i="121"/>
  <c r="T22" i="122"/>
  <c r="T28" i="122"/>
  <c r="V28" i="110"/>
  <c r="AJ130" i="73"/>
  <c r="V11" i="110"/>
  <c r="AJ113" i="73"/>
  <c r="T15" i="110"/>
  <c r="AJ49" i="73"/>
  <c r="V6" i="110"/>
  <c r="T28" i="110"/>
  <c r="AJ62" i="73"/>
  <c r="F348" i="73" s="1"/>
  <c r="W45" i="110"/>
  <c r="V17" i="110"/>
  <c r="AJ119" i="73"/>
  <c r="BJ7" i="126"/>
  <c r="BJ23" i="126"/>
  <c r="F588" i="73"/>
  <c r="K11" i="123"/>
  <c r="K28" i="123"/>
  <c r="G30" i="125" s="1"/>
  <c r="X35" i="121"/>
  <c r="S53" i="110"/>
  <c r="S6" i="110"/>
  <c r="K19" i="123"/>
  <c r="R20" i="110"/>
  <c r="C32" i="110"/>
  <c r="R47" i="110"/>
  <c r="T6" i="122"/>
  <c r="T11" i="122"/>
  <c r="X22" i="121"/>
  <c r="X28" i="121"/>
  <c r="U13" i="122"/>
  <c r="U15" i="122"/>
  <c r="T5" i="110"/>
  <c r="M10" i="65"/>
  <c r="V15" i="110"/>
  <c r="AJ117" i="73"/>
  <c r="S49" i="110"/>
  <c r="BJ22" i="126"/>
  <c r="U13" i="110"/>
  <c r="K10" i="123"/>
  <c r="AB16" i="65"/>
  <c r="AD16" i="65" s="1"/>
  <c r="U17" i="122"/>
  <c r="M4" i="65"/>
  <c r="V102" i="110"/>
  <c r="U18" i="127"/>
  <c r="U11" i="127"/>
  <c r="U22" i="127"/>
  <c r="U20" i="127"/>
  <c r="U13" i="127"/>
  <c r="N19" i="121"/>
  <c r="N15" i="121"/>
  <c r="N11" i="121"/>
  <c r="N7" i="121"/>
  <c r="N29" i="121"/>
  <c r="N28" i="121"/>
  <c r="U15" i="127"/>
  <c r="U19" i="127"/>
  <c r="J28" i="123"/>
  <c r="J18" i="123"/>
  <c r="J8" i="123"/>
  <c r="J7" i="123"/>
  <c r="K31" i="65"/>
  <c r="J21" i="123"/>
  <c r="F23" i="125" s="1"/>
  <c r="R30" i="109"/>
  <c r="G32" i="109"/>
  <c r="R21" i="109"/>
  <c r="Y21" i="109"/>
  <c r="R19" i="109"/>
  <c r="U29" i="121"/>
  <c r="S8" i="122"/>
  <c r="S19" i="122"/>
  <c r="X28" i="109"/>
  <c r="X40" i="109"/>
  <c r="S26" i="109"/>
  <c r="AI26" i="73"/>
  <c r="V7" i="109"/>
  <c r="AI109" i="73"/>
  <c r="J13" i="123"/>
  <c r="R9" i="109"/>
  <c r="R66" i="109"/>
  <c r="R40" i="109"/>
  <c r="R31" i="109"/>
  <c r="Y31" i="109"/>
  <c r="R7" i="109"/>
  <c r="R44" i="109"/>
  <c r="Y44" i="109"/>
  <c r="R47" i="109"/>
  <c r="P32" i="109"/>
  <c r="E67" i="109"/>
  <c r="AU31" i="126"/>
  <c r="R56" i="109"/>
  <c r="Y56" i="109"/>
  <c r="R27" i="109"/>
  <c r="R29" i="122"/>
  <c r="X60" i="109"/>
  <c r="AV8" i="126"/>
  <c r="E573" i="73"/>
  <c r="V19" i="109"/>
  <c r="AI121" i="73"/>
  <c r="U9" i="109"/>
  <c r="AI77" i="73"/>
  <c r="E410" i="73" s="1"/>
  <c r="F67" i="109"/>
  <c r="I67" i="109"/>
  <c r="R64" i="109"/>
  <c r="Y64" i="109"/>
  <c r="U27" i="109"/>
  <c r="AI95" i="73"/>
  <c r="T19" i="109"/>
  <c r="S9" i="109"/>
  <c r="AI9" i="73"/>
  <c r="U102" i="109"/>
  <c r="C67" i="109"/>
  <c r="AS31" i="126"/>
  <c r="AS32" i="126"/>
  <c r="D32" i="109"/>
  <c r="R24" i="109"/>
  <c r="Y24" i="109"/>
  <c r="X9" i="109"/>
  <c r="AI181" i="73"/>
  <c r="E653" i="73" s="1"/>
  <c r="J29" i="123"/>
  <c r="F31" i="125" s="1"/>
  <c r="E592" i="73"/>
  <c r="S43" i="109"/>
  <c r="S67" i="109"/>
  <c r="G67" i="109"/>
  <c r="H67" i="109"/>
  <c r="R62" i="109"/>
  <c r="Y62" i="109"/>
  <c r="R25" i="122"/>
  <c r="E32" i="109"/>
  <c r="B32" i="109"/>
  <c r="J6" i="65"/>
  <c r="J31" i="65"/>
  <c r="V19" i="121"/>
  <c r="V32" i="121"/>
  <c r="U35" i="121"/>
  <c r="AQ10" i="121"/>
  <c r="AS10" i="121" s="1"/>
  <c r="G6" i="127"/>
  <c r="E17" i="125"/>
  <c r="E11" i="125"/>
  <c r="E29" i="125"/>
  <c r="R23" i="108"/>
  <c r="AH159" i="73"/>
  <c r="D584" i="73"/>
  <c r="D28" i="124"/>
  <c r="P32" i="107"/>
  <c r="X18" i="107"/>
  <c r="X52" i="107"/>
  <c r="X48" i="107"/>
  <c r="R58" i="107"/>
  <c r="GF145" i="63"/>
  <c r="J165" i="73"/>
  <c r="J644" i="73" s="1"/>
  <c r="FS145" i="63"/>
  <c r="FF145" i="63"/>
  <c r="ES145" i="63"/>
  <c r="GF129" i="63"/>
  <c r="J149" i="73"/>
  <c r="ES129" i="63"/>
  <c r="FS129" i="63"/>
  <c r="FF129" i="63"/>
  <c r="GB125" i="63"/>
  <c r="F145" i="73"/>
  <c r="F624" i="73" s="1"/>
  <c r="ER148" i="63"/>
  <c r="GG144" i="63"/>
  <c r="K164" i="73"/>
  <c r="K643" i="73" s="1"/>
  <c r="FT144" i="63"/>
  <c r="ET144" i="63"/>
  <c r="GE136" i="63"/>
  <c r="FR136" i="63"/>
  <c r="ER136" i="63"/>
  <c r="GD135" i="63"/>
  <c r="EQ135" i="63"/>
  <c r="FQ135" i="63"/>
  <c r="FD135" i="63"/>
  <c r="FY131" i="63"/>
  <c r="C151" i="73"/>
  <c r="C630" i="73" s="1"/>
  <c r="EL131" i="63"/>
  <c r="FL131" i="63"/>
  <c r="EK127" i="63"/>
  <c r="GD142" i="63"/>
  <c r="FQ142" i="63"/>
  <c r="EQ142" i="63"/>
  <c r="FD142" i="63"/>
  <c r="FY138" i="63"/>
  <c r="C158" i="73"/>
  <c r="C637" i="73" s="1"/>
  <c r="FL138" i="63"/>
  <c r="EL138" i="63"/>
  <c r="FX134" i="63"/>
  <c r="FK134" i="63"/>
  <c r="GE126" i="63"/>
  <c r="FE126" i="63"/>
  <c r="FR126" i="63"/>
  <c r="ER126" i="63"/>
  <c r="DG60" i="63"/>
  <c r="ET33" i="63"/>
  <c r="DA60" i="63"/>
  <c r="GE59" i="63"/>
  <c r="I65" i="73"/>
  <c r="FE59" i="63"/>
  <c r="FR59" i="63"/>
  <c r="ER59" i="63"/>
  <c r="FX55" i="63"/>
  <c r="B61" i="73"/>
  <c r="FK55" i="63"/>
  <c r="EX55" i="63"/>
  <c r="EK55" i="63"/>
  <c r="GF47" i="63"/>
  <c r="J53" i="73"/>
  <c r="J393" i="73" s="1"/>
  <c r="FS47" i="63"/>
  <c r="FF47" i="63"/>
  <c r="ES47" i="63"/>
  <c r="ER58" i="63"/>
  <c r="GB50" i="63"/>
  <c r="F56" i="73"/>
  <c r="EO50" i="63"/>
  <c r="EN46" i="63"/>
  <c r="GH34" i="63"/>
  <c r="L40" i="73"/>
  <c r="L380" i="73" s="1"/>
  <c r="EU34" i="63"/>
  <c r="FU34" i="63"/>
  <c r="EO34" i="63"/>
  <c r="DB60" i="63"/>
  <c r="DE60" i="63"/>
  <c r="ER40" i="63"/>
  <c r="DE180" i="63"/>
  <c r="ER153" i="63"/>
  <c r="FZ178" i="63"/>
  <c r="D202" i="73"/>
  <c r="D728" i="73" s="1"/>
  <c r="FM178" i="63"/>
  <c r="EZ178" i="63"/>
  <c r="EM178" i="63"/>
  <c r="GE170" i="63"/>
  <c r="I194" i="73"/>
  <c r="I720" i="73" s="1"/>
  <c r="FE170" i="63"/>
  <c r="GE162" i="63"/>
  <c r="I186" i="73"/>
  <c r="FR162" i="63"/>
  <c r="FE162" i="63"/>
  <c r="ER162" i="63"/>
  <c r="CX180" i="63"/>
  <c r="FS179" i="63"/>
  <c r="FF179" i="63"/>
  <c r="FM171" i="63"/>
  <c r="EZ171" i="63"/>
  <c r="FM163" i="63"/>
  <c r="EZ163" i="63"/>
  <c r="FR155" i="63"/>
  <c r="FE155" i="63"/>
  <c r="EZ155" i="63"/>
  <c r="FM155" i="63"/>
  <c r="FS146" i="63"/>
  <c r="FF146" i="63"/>
  <c r="FR142" i="63"/>
  <c r="FE142" i="63"/>
  <c r="FM142" i="63"/>
  <c r="EZ142" i="63"/>
  <c r="FF130" i="63"/>
  <c r="FS130" i="63"/>
  <c r="FR105" i="63"/>
  <c r="FE105" i="63"/>
  <c r="FR97" i="63"/>
  <c r="FE97" i="63"/>
  <c r="FM97" i="63"/>
  <c r="EZ97" i="63"/>
  <c r="FR84" i="63"/>
  <c r="FE84" i="63"/>
  <c r="EZ80" i="63"/>
  <c r="FM80" i="63"/>
  <c r="FS76" i="63"/>
  <c r="FF76" i="63"/>
  <c r="FR72" i="63"/>
  <c r="FE72" i="63"/>
  <c r="FR68" i="63"/>
  <c r="FE68" i="63"/>
  <c r="FB43" i="63"/>
  <c r="FO43" i="63"/>
  <c r="FV25" i="63"/>
  <c r="FI25" i="63"/>
  <c r="FI21" i="63"/>
  <c r="FV21" i="63"/>
  <c r="EY21" i="63"/>
  <c r="FL21" i="63"/>
  <c r="EZ17" i="63"/>
  <c r="FM17" i="63"/>
  <c r="FS9" i="63"/>
  <c r="FF9" i="63"/>
  <c r="FE145" i="63"/>
  <c r="FR145" i="63"/>
  <c r="FS87" i="63"/>
  <c r="FF87" i="63"/>
  <c r="AH21" i="121"/>
  <c r="T22" i="115"/>
  <c r="V21" i="65"/>
  <c r="R22" i="115"/>
  <c r="AH10" i="121"/>
  <c r="V9" i="65"/>
  <c r="T10" i="115"/>
  <c r="R10" i="115"/>
  <c r="S60" i="115"/>
  <c r="R60" i="115"/>
  <c r="S48" i="115"/>
  <c r="R48" i="115"/>
  <c r="S40" i="115"/>
  <c r="R40" i="115"/>
  <c r="AG12" i="121"/>
  <c r="S12" i="115"/>
  <c r="R12" i="115"/>
  <c r="R55" i="114"/>
  <c r="K67" i="114"/>
  <c r="R50" i="114"/>
  <c r="M67" i="114"/>
  <c r="I67" i="114"/>
  <c r="R48" i="114"/>
  <c r="H67" i="114"/>
  <c r="R47" i="114"/>
  <c r="T11" i="112"/>
  <c r="R11" i="112"/>
  <c r="AB11" i="121"/>
  <c r="P10" i="65"/>
  <c r="AB10" i="65"/>
  <c r="T40" i="112"/>
  <c r="C67" i="112"/>
  <c r="U24" i="112"/>
  <c r="X24" i="122"/>
  <c r="U15" i="112"/>
  <c r="X17" i="122"/>
  <c r="U7" i="112"/>
  <c r="D32" i="112"/>
  <c r="R7" i="112"/>
  <c r="X8" i="122"/>
  <c r="S30" i="112"/>
  <c r="AA29" i="121"/>
  <c r="B32" i="112"/>
  <c r="R30" i="112"/>
  <c r="U61" i="112"/>
  <c r="R61" i="112"/>
  <c r="DI94" i="63"/>
  <c r="CY94" i="63"/>
  <c r="DB94" i="63"/>
  <c r="DG94" i="63"/>
  <c r="DH94" i="63"/>
  <c r="EU94" i="63"/>
  <c r="DF94" i="63"/>
  <c r="ES94" i="63"/>
  <c r="DE94" i="63"/>
  <c r="ER94" i="63"/>
  <c r="CX94" i="63"/>
  <c r="DA94" i="63"/>
  <c r="EN94" i="63"/>
  <c r="CZ94" i="63"/>
  <c r="EM94" i="63"/>
  <c r="DC94" i="63"/>
  <c r="EP94" i="63"/>
  <c r="DD94" i="63"/>
  <c r="DI149" i="63"/>
  <c r="DH149" i="63"/>
  <c r="EU149" i="63"/>
  <c r="DA149" i="63"/>
  <c r="DC149" i="63"/>
  <c r="EP149" i="63"/>
  <c r="CZ149" i="63"/>
  <c r="DG149" i="63"/>
  <c r="DB149" i="63"/>
  <c r="DB150" i="63"/>
  <c r="CX149" i="63"/>
  <c r="EK149" i="63"/>
  <c r="DF149" i="63"/>
  <c r="CY149" i="63"/>
  <c r="EL149" i="63"/>
  <c r="DD149" i="63"/>
  <c r="EQ149" i="63"/>
  <c r="DE149" i="63"/>
  <c r="EI123" i="63"/>
  <c r="DX123" i="63"/>
  <c r="DY123" i="63"/>
  <c r="DY150" i="63"/>
  <c r="EA123" i="63"/>
  <c r="EF123" i="63"/>
  <c r="ED123" i="63"/>
  <c r="EB123" i="63"/>
  <c r="DZ123" i="63"/>
  <c r="EG123" i="63"/>
  <c r="EE123" i="63"/>
  <c r="EC123" i="63"/>
  <c r="EH123" i="63"/>
  <c r="B5" i="118"/>
  <c r="B38" i="62"/>
  <c r="O35" i="121"/>
  <c r="AA55" i="62"/>
  <c r="EO57" i="63"/>
  <c r="ER170" i="63"/>
  <c r="EN36" i="63"/>
  <c r="EQ127" i="63"/>
  <c r="FR13" i="63"/>
  <c r="FG144" i="63"/>
  <c r="FS72" i="63"/>
  <c r="FB39" i="63"/>
  <c r="FS167" i="63"/>
  <c r="FH34" i="63"/>
  <c r="FH35" i="63"/>
  <c r="EU12" i="63"/>
  <c r="DU30" i="63"/>
  <c r="FS12" i="63"/>
  <c r="ES12" i="63"/>
  <c r="DM30" i="63"/>
  <c r="EM20" i="63"/>
  <c r="DR30" i="63"/>
  <c r="ER20" i="63"/>
  <c r="DP30" i="63"/>
  <c r="FR36" i="63"/>
  <c r="ER36" i="63"/>
  <c r="DP60" i="63"/>
  <c r="FH44" i="63"/>
  <c r="DZ30" i="63"/>
  <c r="EM18" i="63"/>
  <c r="FE18" i="63"/>
  <c r="EE30" i="63"/>
  <c r="ER38" i="63"/>
  <c r="EP38" i="63"/>
  <c r="FC38" i="63"/>
  <c r="EG90" i="63"/>
  <c r="EA90" i="63"/>
  <c r="EN71" i="63"/>
  <c r="EL71" i="63"/>
  <c r="DY90" i="63"/>
  <c r="FB79" i="63"/>
  <c r="EO79" i="63"/>
  <c r="ET79" i="63"/>
  <c r="DT120" i="63"/>
  <c r="DN120" i="63"/>
  <c r="EK96" i="63"/>
  <c r="DK120" i="63"/>
  <c r="EO96" i="63"/>
  <c r="DU120" i="63"/>
  <c r="FS100" i="63"/>
  <c r="FF100" i="63"/>
  <c r="ES100" i="63"/>
  <c r="EM99" i="63"/>
  <c r="EZ99" i="63"/>
  <c r="EP99" i="63"/>
  <c r="FA97" i="63"/>
  <c r="FN97" i="63"/>
  <c r="FG119" i="63"/>
  <c r="ET119" i="63"/>
  <c r="FT119" i="63"/>
  <c r="FH97" i="63"/>
  <c r="EU97" i="63"/>
  <c r="FQ109" i="63"/>
  <c r="EQ109" i="63"/>
  <c r="FB107" i="63"/>
  <c r="EO107" i="63"/>
  <c r="EQ180" i="63"/>
  <c r="FD94" i="63"/>
  <c r="GG145" i="63"/>
  <c r="K165" i="73"/>
  <c r="K644" i="73" s="1"/>
  <c r="FT145" i="63"/>
  <c r="ET145" i="63"/>
  <c r="FZ137" i="63"/>
  <c r="D157" i="73"/>
  <c r="D636" i="73" s="1"/>
  <c r="FM137" i="63"/>
  <c r="EM137" i="63"/>
  <c r="EZ137" i="63"/>
  <c r="GG133" i="63"/>
  <c r="K153" i="73"/>
  <c r="K632" i="73" s="1"/>
  <c r="FG133" i="63"/>
  <c r="FT133" i="63"/>
  <c r="ET133" i="63"/>
  <c r="EN129" i="63"/>
  <c r="DA150" i="63"/>
  <c r="GF125" i="63"/>
  <c r="J145" i="73"/>
  <c r="J624" i="73" s="1"/>
  <c r="FS125" i="63"/>
  <c r="GE132" i="63"/>
  <c r="I152" i="73"/>
  <c r="FE132" i="63"/>
  <c r="ER132" i="63"/>
  <c r="GG128" i="63"/>
  <c r="DG150" i="63"/>
  <c r="FT128" i="63"/>
  <c r="FG128" i="63"/>
  <c r="ET128" i="63"/>
  <c r="GF124" i="63"/>
  <c r="J144" i="73"/>
  <c r="FS124" i="63"/>
  <c r="FF124" i="63"/>
  <c r="ES124" i="63"/>
  <c r="GB147" i="63"/>
  <c r="F167" i="73"/>
  <c r="F646" i="73" s="1"/>
  <c r="FO147" i="63"/>
  <c r="FB147" i="63"/>
  <c r="EO147" i="63"/>
  <c r="GD147" i="63"/>
  <c r="H167" i="73"/>
  <c r="EQ147" i="63"/>
  <c r="GB139" i="63"/>
  <c r="F159" i="73"/>
  <c r="F638" i="73" s="1"/>
  <c r="FB139" i="63"/>
  <c r="FO139" i="63"/>
  <c r="GE146" i="63"/>
  <c r="I166" i="73"/>
  <c r="I645" i="73" s="1"/>
  <c r="FR146" i="63"/>
  <c r="FE146" i="63"/>
  <c r="GB142" i="63"/>
  <c r="EO142" i="63"/>
  <c r="FB142" i="63"/>
  <c r="FO142" i="63"/>
  <c r="GG138" i="63"/>
  <c r="K158" i="73"/>
  <c r="K637" i="73" s="1"/>
  <c r="FT138" i="63"/>
  <c r="FG138" i="63"/>
  <c r="ET138" i="63"/>
  <c r="GA134" i="63"/>
  <c r="EN134" i="63"/>
  <c r="GA130" i="63"/>
  <c r="E150" i="73"/>
  <c r="E629" i="73" s="1"/>
  <c r="FA130" i="63"/>
  <c r="GB126" i="63"/>
  <c r="FB126" i="63"/>
  <c r="EO126" i="63"/>
  <c r="EM57" i="63"/>
  <c r="GF36" i="63"/>
  <c r="DF60" i="63"/>
  <c r="FS36" i="63"/>
  <c r="ES36" i="63"/>
  <c r="GG55" i="63"/>
  <c r="K61" i="73"/>
  <c r="K401" i="73" s="1"/>
  <c r="FG55" i="63"/>
  <c r="ET55" i="63"/>
  <c r="GG51" i="63"/>
  <c r="K57" i="73"/>
  <c r="K397" i="73" s="1"/>
  <c r="FG51" i="63"/>
  <c r="GC47" i="63"/>
  <c r="G53" i="73"/>
  <c r="G393" i="73" s="1"/>
  <c r="FP47" i="63"/>
  <c r="FC47" i="63"/>
  <c r="EP47" i="63"/>
  <c r="GG35" i="63"/>
  <c r="K41" i="73"/>
  <c r="K381" i="73" s="1"/>
  <c r="FT35" i="63"/>
  <c r="ET35" i="63"/>
  <c r="FG35" i="63"/>
  <c r="GB178" i="63"/>
  <c r="F202" i="73"/>
  <c r="F728" i="73" s="1"/>
  <c r="FO178" i="63"/>
  <c r="FB178" i="63"/>
  <c r="EO178" i="63"/>
  <c r="GF166" i="63"/>
  <c r="J190" i="73"/>
  <c r="J716" i="73" s="1"/>
  <c r="FS166" i="63"/>
  <c r="ES166" i="63"/>
  <c r="FF166" i="63"/>
  <c r="GF168" i="63"/>
  <c r="J192" i="73"/>
  <c r="J718" i="73" s="1"/>
  <c r="FF168" i="63"/>
  <c r="FS168" i="63"/>
  <c r="ES168" i="63"/>
  <c r="DF180" i="63"/>
  <c r="ES160" i="63"/>
  <c r="GF177" i="63"/>
  <c r="J201" i="73"/>
  <c r="J727" i="73" s="1"/>
  <c r="FF177" i="63"/>
  <c r="ER173" i="63"/>
  <c r="FR76" i="63"/>
  <c r="FE76" i="63"/>
  <c r="FM72" i="63"/>
  <c r="EZ72" i="63"/>
  <c r="FF68" i="63"/>
  <c r="FS68" i="63"/>
  <c r="FR64" i="63"/>
  <c r="FE64" i="63"/>
  <c r="FL55" i="63"/>
  <c r="EY55" i="63"/>
  <c r="FK29" i="63"/>
  <c r="EX29" i="63"/>
  <c r="FQ21" i="63"/>
  <c r="FD21" i="63"/>
  <c r="FS158" i="63"/>
  <c r="FF158" i="63"/>
  <c r="FL28" i="63"/>
  <c r="EY28" i="63"/>
  <c r="AI13" i="122"/>
  <c r="V13" i="117"/>
  <c r="AA12" i="65"/>
  <c r="AC12" i="65"/>
  <c r="AI5" i="122"/>
  <c r="V5" i="117"/>
  <c r="AA4" i="65"/>
  <c r="R5" i="117"/>
  <c r="AH17" i="121"/>
  <c r="V14" i="65"/>
  <c r="T15" i="115"/>
  <c r="R15" i="115"/>
  <c r="S64" i="115"/>
  <c r="R64" i="115"/>
  <c r="S52" i="115"/>
  <c r="R52" i="115"/>
  <c r="AG28" i="121"/>
  <c r="S28" i="115"/>
  <c r="R28" i="115"/>
  <c r="AG16" i="121"/>
  <c r="S16" i="115"/>
  <c r="R16" i="115"/>
  <c r="AG5" i="121"/>
  <c r="B32" i="115"/>
  <c r="R5" i="115"/>
  <c r="S5" i="115"/>
  <c r="R49" i="114"/>
  <c r="J67" i="114"/>
  <c r="T15" i="112"/>
  <c r="AB17" i="121"/>
  <c r="P14" i="65"/>
  <c r="R15" i="112"/>
  <c r="T6" i="112"/>
  <c r="AB6" i="121"/>
  <c r="P5" i="65"/>
  <c r="R6" i="112"/>
  <c r="C32" i="112"/>
  <c r="U28" i="112"/>
  <c r="X28" i="122"/>
  <c r="U19" i="112"/>
  <c r="X19" i="122"/>
  <c r="U11" i="112"/>
  <c r="X11" i="122"/>
  <c r="U10" i="112"/>
  <c r="R10" i="112"/>
  <c r="X10" i="122"/>
  <c r="U57" i="112"/>
  <c r="R57" i="112"/>
  <c r="D67" i="112"/>
  <c r="X33" i="122"/>
  <c r="DI93" i="63"/>
  <c r="CY93" i="63"/>
  <c r="CZ93" i="63"/>
  <c r="DE93" i="63"/>
  <c r="DF93" i="63"/>
  <c r="DH93" i="63"/>
  <c r="DB93" i="63"/>
  <c r="CX93" i="63"/>
  <c r="FX93" i="63"/>
  <c r="B107" i="73"/>
  <c r="B541" i="73" s="1"/>
  <c r="DG93" i="63"/>
  <c r="DD93" i="63"/>
  <c r="DC93" i="63"/>
  <c r="DA93" i="63"/>
  <c r="FA93" i="63"/>
  <c r="EI125" i="63"/>
  <c r="EC125" i="63"/>
  <c r="EP125" i="63"/>
  <c r="ED125" i="63"/>
  <c r="EE125" i="63"/>
  <c r="EF125" i="63"/>
  <c r="FF125" i="63"/>
  <c r="DZ125" i="63"/>
  <c r="EA125" i="63"/>
  <c r="DX125" i="63"/>
  <c r="EG125" i="63"/>
  <c r="ET125" i="63"/>
  <c r="EB125" i="63"/>
  <c r="EH125" i="63"/>
  <c r="EU125" i="63"/>
  <c r="B9" i="118"/>
  <c r="F38" i="62"/>
  <c r="W35" i="121"/>
  <c r="C8" i="118"/>
  <c r="W38" i="62"/>
  <c r="F18" i="64"/>
  <c r="V35" i="121"/>
  <c r="X35" i="122"/>
  <c r="E10" i="118"/>
  <c r="Y73" i="62"/>
  <c r="R102" i="111"/>
  <c r="S10" i="118"/>
  <c r="W35" i="122"/>
  <c r="AC55" i="62"/>
  <c r="I93" i="62"/>
  <c r="ER158" i="63"/>
  <c r="EL33" i="63"/>
  <c r="EZ9" i="63"/>
  <c r="FF155" i="63"/>
  <c r="EZ105" i="63"/>
  <c r="FR109" i="63"/>
  <c r="FS13" i="63"/>
  <c r="FZ145" i="63"/>
  <c r="D165" i="73"/>
  <c r="D644" i="73" s="1"/>
  <c r="FM145" i="63"/>
  <c r="GG141" i="63"/>
  <c r="K161" i="73"/>
  <c r="K640" i="73" s="1"/>
  <c r="ET141" i="63"/>
  <c r="FT141" i="63"/>
  <c r="FG141" i="63"/>
  <c r="GG137" i="63"/>
  <c r="K157" i="73"/>
  <c r="K636" i="73" s="1"/>
  <c r="FT137" i="63"/>
  <c r="ET137" i="63"/>
  <c r="CY150" i="63"/>
  <c r="EL125" i="63"/>
  <c r="EM140" i="63"/>
  <c r="FZ124" i="63"/>
  <c r="D144" i="73"/>
  <c r="CZ150" i="63"/>
  <c r="FM124" i="63"/>
  <c r="EM124" i="63"/>
  <c r="EZ124" i="63"/>
  <c r="GG131" i="63"/>
  <c r="K151" i="73"/>
  <c r="K630" i="73" s="1"/>
  <c r="FG131" i="63"/>
  <c r="ET131" i="63"/>
  <c r="GD127" i="63"/>
  <c r="FQ127" i="63"/>
  <c r="FY146" i="63"/>
  <c r="C166" i="73"/>
  <c r="EY146" i="63"/>
  <c r="EL146" i="63"/>
  <c r="GF142" i="63"/>
  <c r="FF142" i="63"/>
  <c r="GF138" i="63"/>
  <c r="J158" i="73"/>
  <c r="J637" i="73" s="1"/>
  <c r="FS138" i="63"/>
  <c r="FF138" i="63"/>
  <c r="FZ134" i="63"/>
  <c r="FM134" i="63"/>
  <c r="EM134" i="63"/>
  <c r="GH130" i="63"/>
  <c r="L150" i="73"/>
  <c r="L629" i="73" s="1"/>
  <c r="FU130" i="63"/>
  <c r="EU130" i="63"/>
  <c r="FH130" i="63"/>
  <c r="GH126" i="63"/>
  <c r="DH150" i="63"/>
  <c r="FU126" i="63"/>
  <c r="FH126" i="63"/>
  <c r="DH60" i="63"/>
  <c r="EU33" i="63"/>
  <c r="EO41" i="63"/>
  <c r="GH44" i="63"/>
  <c r="EU44" i="63"/>
  <c r="GD55" i="63"/>
  <c r="H61" i="73"/>
  <c r="H401" i="73" s="1"/>
  <c r="FQ55" i="63"/>
  <c r="GH51" i="63"/>
  <c r="L57" i="73"/>
  <c r="L397" i="73" s="1"/>
  <c r="EU51" i="63"/>
  <c r="GB51" i="63"/>
  <c r="F57" i="73"/>
  <c r="FO51" i="63"/>
  <c r="EO51" i="63"/>
  <c r="GA47" i="63"/>
  <c r="E53" i="73"/>
  <c r="FN47" i="63"/>
  <c r="EN47" i="63"/>
  <c r="FA47" i="63"/>
  <c r="FZ43" i="63"/>
  <c r="D49" i="73"/>
  <c r="D389" i="73" s="1"/>
  <c r="FM43" i="63"/>
  <c r="EM43" i="63"/>
  <c r="GE43" i="63"/>
  <c r="I49" i="73"/>
  <c r="I389" i="73" s="1"/>
  <c r="FR43" i="63"/>
  <c r="ER43" i="63"/>
  <c r="FE43" i="63"/>
  <c r="FY39" i="63"/>
  <c r="C45" i="73"/>
  <c r="C385" i="73" s="1"/>
  <c r="EL39" i="63"/>
  <c r="FL39" i="63"/>
  <c r="FX39" i="63"/>
  <c r="B45" i="73"/>
  <c r="B385" i="73" s="1"/>
  <c r="FK39" i="63"/>
  <c r="EX39" i="63"/>
  <c r="EK39" i="63"/>
  <c r="GB35" i="63"/>
  <c r="F41" i="73"/>
  <c r="F381" i="73" s="1"/>
  <c r="FB35" i="63"/>
  <c r="FO35" i="63"/>
  <c r="EO35" i="63"/>
  <c r="GC48" i="63"/>
  <c r="G54" i="73"/>
  <c r="G394" i="73" s="1"/>
  <c r="FP48" i="63"/>
  <c r="EP48" i="63"/>
  <c r="FC48" i="63"/>
  <c r="FZ58" i="63"/>
  <c r="FM58" i="63"/>
  <c r="EM58" i="63"/>
  <c r="GG46" i="63"/>
  <c r="K52" i="73"/>
  <c r="ET46" i="63"/>
  <c r="FT46" i="63"/>
  <c r="FZ40" i="63"/>
  <c r="D46" i="73"/>
  <c r="D386" i="73" s="1"/>
  <c r="CZ60" i="63"/>
  <c r="EM40" i="63"/>
  <c r="DA180" i="63"/>
  <c r="EN153" i="63"/>
  <c r="FZ174" i="63"/>
  <c r="D198" i="73"/>
  <c r="D724" i="73" s="1"/>
  <c r="CZ180" i="63"/>
  <c r="EM174" i="63"/>
  <c r="FM174" i="63"/>
  <c r="EZ174" i="63"/>
  <c r="GF162" i="63"/>
  <c r="J186" i="73"/>
  <c r="J712" i="73" s="1"/>
  <c r="ES162" i="63"/>
  <c r="FF162" i="63"/>
  <c r="GG162" i="63"/>
  <c r="K186" i="73"/>
  <c r="K712" i="73" s="1"/>
  <c r="ET162" i="63"/>
  <c r="GG158" i="63"/>
  <c r="K182" i="73"/>
  <c r="FG158" i="63"/>
  <c r="FT158" i="63"/>
  <c r="ET158" i="63"/>
  <c r="DG180" i="63"/>
  <c r="GB154" i="63"/>
  <c r="F178" i="73"/>
  <c r="F704" i="73" s="1"/>
  <c r="DB180" i="63"/>
  <c r="EO154" i="63"/>
  <c r="FO154" i="63"/>
  <c r="GG168" i="63"/>
  <c r="K192" i="73"/>
  <c r="K718" i="73" s="1"/>
  <c r="FT168" i="63"/>
  <c r="FG168" i="63"/>
  <c r="ET168" i="63"/>
  <c r="GG160" i="63"/>
  <c r="K184" i="73"/>
  <c r="FT160" i="63"/>
  <c r="FG160" i="63"/>
  <c r="ET160" i="63"/>
  <c r="GG177" i="63"/>
  <c r="K201" i="73"/>
  <c r="K727" i="73" s="1"/>
  <c r="FG177" i="63"/>
  <c r="FR179" i="63"/>
  <c r="FE179" i="63"/>
  <c r="FM179" i="63"/>
  <c r="EZ179" i="63"/>
  <c r="FS163" i="63"/>
  <c r="FF163" i="63"/>
  <c r="FR159" i="63"/>
  <c r="FE159" i="63"/>
  <c r="FM146" i="63"/>
  <c r="EZ146" i="63"/>
  <c r="FE130" i="63"/>
  <c r="FR130" i="63"/>
  <c r="FM130" i="63"/>
  <c r="EZ130" i="63"/>
  <c r="FS126" i="63"/>
  <c r="FF126" i="63"/>
  <c r="FE117" i="63"/>
  <c r="FR117" i="63"/>
  <c r="FM117" i="63"/>
  <c r="EZ117" i="63"/>
  <c r="FM109" i="63"/>
  <c r="EZ109" i="63"/>
  <c r="EZ101" i="63"/>
  <c r="FM101" i="63"/>
  <c r="FS88" i="63"/>
  <c r="FF88" i="63"/>
  <c r="FS64" i="63"/>
  <c r="FF64" i="63"/>
  <c r="FT43" i="63"/>
  <c r="FG43" i="63"/>
  <c r="FM29" i="63"/>
  <c r="EZ29" i="63"/>
  <c r="FM13" i="63"/>
  <c r="EZ13" i="63"/>
  <c r="DM98" i="126"/>
  <c r="DP96" i="126"/>
  <c r="AI9" i="122"/>
  <c r="V9" i="117"/>
  <c r="AA8" i="65"/>
  <c r="U59" i="117"/>
  <c r="R59" i="117"/>
  <c r="U47" i="117"/>
  <c r="U67" i="117"/>
  <c r="R47" i="117"/>
  <c r="AH31" i="122"/>
  <c r="R31" i="117"/>
  <c r="U31" i="117"/>
  <c r="AH25" i="121"/>
  <c r="T26" i="115"/>
  <c r="V25" i="65"/>
  <c r="R26" i="115"/>
  <c r="AH14" i="121"/>
  <c r="R14" i="115"/>
  <c r="T14" i="115"/>
  <c r="V13" i="65"/>
  <c r="AH6" i="121"/>
  <c r="T6" i="115"/>
  <c r="V5" i="65"/>
  <c r="C32" i="115"/>
  <c r="R6" i="115"/>
  <c r="S56" i="115"/>
  <c r="R56" i="115"/>
  <c r="S44" i="115"/>
  <c r="R44" i="115"/>
  <c r="AG24" i="121"/>
  <c r="S24" i="115"/>
  <c r="R24" i="115"/>
  <c r="AG20" i="121"/>
  <c r="S21" i="115"/>
  <c r="R21" i="115"/>
  <c r="AG8" i="121"/>
  <c r="S7" i="115"/>
  <c r="R7" i="115"/>
  <c r="R65" i="114"/>
  <c r="N67" i="114"/>
  <c r="L67" i="114"/>
  <c r="T19" i="112"/>
  <c r="P18" i="65"/>
  <c r="R19" i="112"/>
  <c r="AB19" i="121"/>
  <c r="U65" i="112"/>
  <c r="R65" i="112"/>
  <c r="EI52" i="63"/>
  <c r="EI60" i="63"/>
  <c r="DZ52" i="63"/>
  <c r="DX52" i="63"/>
  <c r="DX60" i="63"/>
  <c r="EB52" i="63"/>
  <c r="EO52" i="63"/>
  <c r="ED52" i="63"/>
  <c r="EQ52" i="63"/>
  <c r="EE52" i="63"/>
  <c r="EG52" i="63"/>
  <c r="DY52" i="63"/>
  <c r="EC52" i="63"/>
  <c r="EP52" i="63"/>
  <c r="EA52" i="63"/>
  <c r="EF52" i="63"/>
  <c r="EH52" i="63"/>
  <c r="W84" i="62"/>
  <c r="AE84" i="62"/>
  <c r="AA84" i="62"/>
  <c r="AB84" i="62"/>
  <c r="AC84" i="62"/>
  <c r="AD84" i="62"/>
  <c r="EI114" i="63"/>
  <c r="FI114" i="63"/>
  <c r="EG114" i="63"/>
  <c r="ED114" i="63"/>
  <c r="DZ114" i="63"/>
  <c r="DZ120" i="63"/>
  <c r="EF114" i="63"/>
  <c r="ES114" i="63"/>
  <c r="EA114" i="63"/>
  <c r="DY114" i="63"/>
  <c r="EL114" i="63"/>
  <c r="EE114" i="63"/>
  <c r="ER114" i="63"/>
  <c r="EB114" i="63"/>
  <c r="DX114" i="63"/>
  <c r="EK114" i="63"/>
  <c r="EC114" i="63"/>
  <c r="EP114" i="63"/>
  <c r="EH114" i="63"/>
  <c r="DI113" i="63"/>
  <c r="CX113" i="63"/>
  <c r="CZ113" i="63"/>
  <c r="DA113" i="63"/>
  <c r="FA113" i="63"/>
  <c r="DH113" i="63"/>
  <c r="DE113" i="63"/>
  <c r="DB113" i="63"/>
  <c r="DD113" i="63"/>
  <c r="DG113" i="63"/>
  <c r="CY113" i="63"/>
  <c r="DF113" i="63"/>
  <c r="DC113" i="63"/>
  <c r="FC113" i="63"/>
  <c r="FV102" i="63"/>
  <c r="FI102" i="63"/>
  <c r="FV101" i="63"/>
  <c r="FI101" i="63"/>
  <c r="DV120" i="63"/>
  <c r="I154" i="62"/>
  <c r="I160" i="62"/>
  <c r="M154" i="62"/>
  <c r="M160" i="62"/>
  <c r="J154" i="62"/>
  <c r="L154" i="62"/>
  <c r="L160" i="62"/>
  <c r="K154" i="62"/>
  <c r="R5" i="109"/>
  <c r="Y5" i="109"/>
  <c r="X5" i="109"/>
  <c r="AI177" i="73"/>
  <c r="Q32" i="109"/>
  <c r="R5" i="114"/>
  <c r="H32" i="114"/>
  <c r="X5" i="106"/>
  <c r="G3" i="126"/>
  <c r="ER146" i="63"/>
  <c r="EQ55" i="63"/>
  <c r="EO125" i="63"/>
  <c r="FO125" i="63"/>
  <c r="EY131" i="63"/>
  <c r="EA30" i="63"/>
  <c r="EN11" i="63"/>
  <c r="EK44" i="63"/>
  <c r="DK60" i="63"/>
  <c r="FS14" i="63"/>
  <c r="ES14" i="63"/>
  <c r="EU38" i="63"/>
  <c r="DU60" i="63"/>
  <c r="FP46" i="63"/>
  <c r="FC46" i="63"/>
  <c r="EP46" i="63"/>
  <c r="EU16" i="63"/>
  <c r="EH30" i="63"/>
  <c r="ES16" i="63"/>
  <c r="EM24" i="63"/>
  <c r="EZ24" i="63"/>
  <c r="FC24" i="63"/>
  <c r="EP24" i="63"/>
  <c r="FH36" i="63"/>
  <c r="EH60" i="63"/>
  <c r="EU36" i="63"/>
  <c r="FF36" i="63"/>
  <c r="FE44" i="63"/>
  <c r="ER44" i="63"/>
  <c r="EK71" i="63"/>
  <c r="DX90" i="63"/>
  <c r="ER51" i="63"/>
  <c r="FE51" i="63"/>
  <c r="FH51" i="63"/>
  <c r="FF59" i="63"/>
  <c r="ER69" i="63"/>
  <c r="EE90" i="63"/>
  <c r="EP69" i="63"/>
  <c r="EC90" i="63"/>
  <c r="EM77" i="63"/>
  <c r="DZ90" i="63"/>
  <c r="EX93" i="63"/>
  <c r="DX120" i="63"/>
  <c r="EP85" i="63"/>
  <c r="DP90" i="63"/>
  <c r="EU85" i="63"/>
  <c r="DU90" i="63"/>
  <c r="EM89" i="63"/>
  <c r="DM90" i="63"/>
  <c r="DQ120" i="63"/>
  <c r="EQ95" i="63"/>
  <c r="EO95" i="63"/>
  <c r="DO120" i="63"/>
  <c r="ET95" i="63"/>
  <c r="FT95" i="63"/>
  <c r="EN104" i="63"/>
  <c r="ES107" i="63"/>
  <c r="FS107" i="63"/>
  <c r="FM115" i="63"/>
  <c r="EM115" i="63"/>
  <c r="EZ115" i="63"/>
  <c r="ER115" i="63"/>
  <c r="FR115" i="63"/>
  <c r="FE115" i="63"/>
  <c r="FG89" i="63"/>
  <c r="ET89" i="63"/>
  <c r="EM103" i="63"/>
  <c r="FL113" i="63"/>
  <c r="EY113" i="63"/>
  <c r="EM108" i="63"/>
  <c r="ER108" i="63"/>
  <c r="FU117" i="63"/>
  <c r="FH117" i="63"/>
  <c r="FS117" i="63"/>
  <c r="FF117" i="63"/>
  <c r="ES117" i="63"/>
  <c r="EQ125" i="63"/>
  <c r="DQ150" i="63"/>
  <c r="FB125" i="63"/>
  <c r="FN125" i="63"/>
  <c r="FA125" i="63"/>
  <c r="EN125" i="63"/>
  <c r="FM129" i="63"/>
  <c r="EZ129" i="63"/>
  <c r="EM129" i="63"/>
  <c r="DM150" i="63"/>
  <c r="FM138" i="63"/>
  <c r="EM138" i="63"/>
  <c r="FR138" i="63"/>
  <c r="FE138" i="63"/>
  <c r="FP138" i="63"/>
  <c r="G637" i="73"/>
  <c r="FC138" i="63"/>
  <c r="EP138" i="63"/>
  <c r="FH105" i="63"/>
  <c r="EU105" i="63"/>
  <c r="EF120" i="63"/>
  <c r="EZ113" i="63"/>
  <c r="FE113" i="63"/>
  <c r="DD150" i="63"/>
  <c r="R51" i="117"/>
  <c r="FE103" i="63"/>
  <c r="FQ105" i="63"/>
  <c r="EQ105" i="63"/>
  <c r="FT98" i="63"/>
  <c r="FG98" i="63"/>
  <c r="EL136" i="63"/>
  <c r="FE88" i="63"/>
  <c r="FN123" i="63"/>
  <c r="FA123" i="63"/>
  <c r="FE101" i="63"/>
  <c r="ER128" i="63"/>
  <c r="FR128" i="63"/>
  <c r="EY138" i="63"/>
  <c r="FL127" i="63"/>
  <c r="EY127" i="63"/>
  <c r="FQ131" i="63"/>
  <c r="FD131" i="63"/>
  <c r="FE136" i="63"/>
  <c r="FG137" i="63"/>
  <c r="FN147" i="63"/>
  <c r="FA147" i="63"/>
  <c r="ER174" i="63"/>
  <c r="FR174" i="63"/>
  <c r="FF149" i="63"/>
  <c r="FT162" i="63"/>
  <c r="FS175" i="63"/>
  <c r="FF175" i="63"/>
  <c r="FH179" i="63"/>
  <c r="EU179" i="63"/>
  <c r="FG179" i="63"/>
  <c r="ET179" i="63"/>
  <c r="EZ93" i="63"/>
  <c r="FR93" i="63"/>
  <c r="FO149" i="63"/>
  <c r="FR5" i="63"/>
  <c r="EY94" i="63"/>
  <c r="FT103" i="63"/>
  <c r="K551" i="73"/>
  <c r="FG103" i="63"/>
  <c r="ET103" i="63"/>
  <c r="FS105" i="63"/>
  <c r="FF105" i="63"/>
  <c r="EO140" i="63"/>
  <c r="I125" i="62"/>
  <c r="DN180" i="63"/>
  <c r="DL30" i="63"/>
  <c r="DX180" i="63"/>
  <c r="EF90" i="63"/>
  <c r="DK30" i="63"/>
  <c r="ED120" i="63"/>
  <c r="DL150" i="63"/>
  <c r="ET117" i="63"/>
  <c r="ER127" i="63"/>
  <c r="ES175" i="63"/>
  <c r="EN40" i="63"/>
  <c r="ES83" i="63"/>
  <c r="EL147" i="63"/>
  <c r="EL123" i="63"/>
  <c r="ET111" i="63"/>
  <c r="ET98" i="63"/>
  <c r="EN176" i="63"/>
  <c r="EN180" i="63"/>
  <c r="EN147" i="63"/>
  <c r="ER103" i="63"/>
  <c r="EN123" i="63"/>
  <c r="FG111" i="63"/>
  <c r="EN98" i="63"/>
  <c r="FB118" i="63"/>
  <c r="FL156" i="63"/>
  <c r="FA176" i="63"/>
  <c r="FD101" i="63"/>
  <c r="FE104" i="63"/>
  <c r="FA34" i="63"/>
  <c r="EN34" i="63"/>
  <c r="EQ42" i="63"/>
  <c r="FT42" i="63"/>
  <c r="FG42" i="63"/>
  <c r="FC55" i="63"/>
  <c r="FB149" i="63"/>
  <c r="FS162" i="63"/>
  <c r="FE171" i="63"/>
  <c r="FF17" i="63"/>
  <c r="EY25" i="63"/>
  <c r="FA68" i="63"/>
  <c r="FN68" i="63"/>
  <c r="FQ73" i="63"/>
  <c r="FD73" i="63"/>
  <c r="EZ84" i="63"/>
  <c r="EZ58" i="63"/>
  <c r="EO146" i="63"/>
  <c r="FO146" i="63"/>
  <c r="ER25" i="63"/>
  <c r="FR25" i="63"/>
  <c r="FU146" i="63"/>
  <c r="FH146" i="63"/>
  <c r="FN146" i="63"/>
  <c r="FA146" i="63"/>
  <c r="FN59" i="63"/>
  <c r="EN59" i="63"/>
  <c r="FA59" i="63"/>
  <c r="M88" i="62"/>
  <c r="H88" i="62"/>
  <c r="C88" i="62"/>
  <c r="I94" i="62"/>
  <c r="I88" i="62"/>
  <c r="D88" i="62"/>
  <c r="F88" i="62"/>
  <c r="L88" i="62"/>
  <c r="K88" i="62"/>
  <c r="J88" i="62"/>
  <c r="G88" i="62"/>
  <c r="C52" i="62"/>
  <c r="J52" i="62"/>
  <c r="L52" i="62"/>
  <c r="M52" i="62"/>
  <c r="F52" i="62"/>
  <c r="D52" i="62"/>
  <c r="E52" i="62"/>
  <c r="H52" i="62"/>
  <c r="K52" i="62"/>
  <c r="B52" i="62"/>
  <c r="L158" i="62"/>
  <c r="M158" i="62"/>
  <c r="B158" i="62"/>
  <c r="I158" i="62"/>
  <c r="H158" i="62"/>
  <c r="J158" i="62"/>
  <c r="F158" i="62"/>
  <c r="G158" i="62"/>
  <c r="C158" i="62"/>
  <c r="E158" i="62"/>
  <c r="K158" i="62"/>
  <c r="D158" i="62"/>
  <c r="Z87" i="62"/>
  <c r="AE87" i="62"/>
  <c r="V87" i="62"/>
  <c r="AC87" i="62"/>
  <c r="AB87" i="62"/>
  <c r="AA87" i="62"/>
  <c r="Y87" i="62"/>
  <c r="W87" i="62"/>
  <c r="U87" i="62"/>
  <c r="AD87" i="62"/>
  <c r="X87" i="62"/>
  <c r="GF112" i="63"/>
  <c r="J126" i="73"/>
  <c r="FS112" i="63"/>
  <c r="FF112" i="63"/>
  <c r="FZ112" i="63"/>
  <c r="D126" i="73"/>
  <c r="D560" i="73" s="1"/>
  <c r="EZ112" i="63"/>
  <c r="EM112" i="63"/>
  <c r="GB108" i="63"/>
  <c r="FO108" i="63"/>
  <c r="FB108" i="63"/>
  <c r="GG104" i="63"/>
  <c r="K118" i="73"/>
  <c r="K552" i="73" s="1"/>
  <c r="ET104" i="63"/>
  <c r="FZ96" i="63"/>
  <c r="D110" i="73"/>
  <c r="D544" i="73" s="1"/>
  <c r="FM96" i="63"/>
  <c r="GD117" i="63"/>
  <c r="FQ117" i="63"/>
  <c r="FD117" i="63"/>
  <c r="GG105" i="63"/>
  <c r="K119" i="73"/>
  <c r="K553" i="73" s="1"/>
  <c r="FG105" i="63"/>
  <c r="FY105" i="63"/>
  <c r="C119" i="73"/>
  <c r="FL105" i="63"/>
  <c r="EY105" i="63"/>
  <c r="GE111" i="63"/>
  <c r="I125" i="73"/>
  <c r="I559" i="73" s="1"/>
  <c r="FR111" i="63"/>
  <c r="FE111" i="63"/>
  <c r="GE101" i="63"/>
  <c r="FR101" i="63"/>
  <c r="ER101" i="63"/>
  <c r="DF150" i="63"/>
  <c r="ES123" i="63"/>
  <c r="DC150" i="63"/>
  <c r="AP34" i="73"/>
  <c r="L730" i="73" s="1"/>
  <c r="EL31" i="126"/>
  <c r="FO179" i="63"/>
  <c r="FB179" i="63"/>
  <c r="EO179" i="63"/>
  <c r="J160" i="62"/>
  <c r="I55" i="62"/>
  <c r="DT60" i="63"/>
  <c r="DP120" i="63"/>
  <c r="EB60" i="63"/>
  <c r="DY120" i="63"/>
  <c r="DT30" i="63"/>
  <c r="DN30" i="63"/>
  <c r="DS180" i="63"/>
  <c r="EB30" i="63"/>
  <c r="EE120" i="63"/>
  <c r="ET65" i="63"/>
  <c r="EP155" i="63"/>
  <c r="ER119" i="63"/>
  <c r="EO117" i="63"/>
  <c r="EL14" i="63"/>
  <c r="EL127" i="63"/>
  <c r="EL10" i="63"/>
  <c r="EN14" i="63"/>
  <c r="ET24" i="63"/>
  <c r="ER104" i="63"/>
  <c r="ET176" i="63"/>
  <c r="FU175" i="63"/>
  <c r="FE128" i="63"/>
  <c r="EO156" i="63"/>
  <c r="FT176" i="63"/>
  <c r="FE174" i="63"/>
  <c r="EY123" i="63"/>
  <c r="FM5" i="63"/>
  <c r="EZ5" i="63"/>
  <c r="D123" i="62"/>
  <c r="CW3" i="126"/>
  <c r="EY12" i="63"/>
  <c r="FS109" i="63"/>
  <c r="FN149" i="63"/>
  <c r="FF159" i="63"/>
  <c r="FG39" i="63"/>
  <c r="FG47" i="63"/>
  <c r="FA39" i="63"/>
  <c r="EM114" i="63"/>
  <c r="FT51" i="63"/>
  <c r="FO9" i="63"/>
  <c r="FB9" i="63"/>
  <c r="GE67" i="63"/>
  <c r="I77" i="73"/>
  <c r="DC90" i="63"/>
  <c r="GE84" i="63"/>
  <c r="I94" i="73"/>
  <c r="FZ84" i="63"/>
  <c r="D94" i="73"/>
  <c r="D481" i="73" s="1"/>
  <c r="FZ80" i="63"/>
  <c r="D90" i="73"/>
  <c r="D477" i="73" s="1"/>
  <c r="GF64" i="63"/>
  <c r="J74" i="73"/>
  <c r="J461" i="73" s="1"/>
  <c r="FZ64" i="63"/>
  <c r="D74" i="73"/>
  <c r="D461" i="73" s="1"/>
  <c r="GE117" i="63"/>
  <c r="FZ117" i="63"/>
  <c r="FZ105" i="63"/>
  <c r="D119" i="73"/>
  <c r="D553" i="73" s="1"/>
  <c r="FZ109" i="63"/>
  <c r="D123" i="73"/>
  <c r="D557" i="73" s="1"/>
  <c r="GF97" i="63"/>
  <c r="J111" i="73"/>
  <c r="FZ97" i="63"/>
  <c r="D111" i="73"/>
  <c r="EM97" i="63"/>
  <c r="E660" i="73"/>
  <c r="AW14" i="126"/>
  <c r="F14" i="124"/>
  <c r="F17" i="125" s="1"/>
  <c r="E655" i="73"/>
  <c r="AW9" i="126"/>
  <c r="F9" i="124"/>
  <c r="AW17" i="126"/>
  <c r="F17" i="124"/>
  <c r="E675" i="73"/>
  <c r="AW29" i="126"/>
  <c r="F29" i="124"/>
  <c r="F495" i="73"/>
  <c r="BI11" i="126"/>
  <c r="F339" i="73"/>
  <c r="BG17" i="126"/>
  <c r="BG21" i="126"/>
  <c r="F351" i="73"/>
  <c r="BG29" i="126"/>
  <c r="BH3" i="126"/>
  <c r="F570" i="73"/>
  <c r="BJ5" i="126"/>
  <c r="K7" i="123"/>
  <c r="F496" i="73"/>
  <c r="BI12" i="126"/>
  <c r="BG18" i="126"/>
  <c r="F586" i="73"/>
  <c r="BJ21" i="126"/>
  <c r="K22" i="123"/>
  <c r="F512" i="73"/>
  <c r="BI28" i="126"/>
  <c r="F331" i="73"/>
  <c r="BG9" i="126"/>
  <c r="BI27" i="126"/>
  <c r="G408" i="73"/>
  <c r="BV5" i="126"/>
  <c r="U32" i="111"/>
  <c r="G655" i="73"/>
  <c r="BY9" i="126"/>
  <c r="G416" i="73"/>
  <c r="BV13" i="126"/>
  <c r="G663" i="73"/>
  <c r="BY17" i="126"/>
  <c r="BY21" i="126"/>
  <c r="BY25" i="126"/>
  <c r="H24" i="124"/>
  <c r="AO8" i="73"/>
  <c r="K247" i="73" s="1"/>
  <c r="DX6" i="126"/>
  <c r="AJ35" i="121"/>
  <c r="C15" i="118"/>
  <c r="AD38" i="62"/>
  <c r="AP31" i="73"/>
  <c r="L270" i="73" s="1"/>
  <c r="EL29" i="126"/>
  <c r="AP30" i="73"/>
  <c r="L269" i="73" s="1"/>
  <c r="EL28" i="126"/>
  <c r="AP29" i="73"/>
  <c r="L268" i="73" s="1"/>
  <c r="EL27" i="126"/>
  <c r="AP28" i="73"/>
  <c r="L267" i="73" s="1"/>
  <c r="EL26" i="126"/>
  <c r="AP27" i="73"/>
  <c r="L266" i="73" s="1"/>
  <c r="EL25" i="126"/>
  <c r="AP26" i="73"/>
  <c r="L265" i="73" s="1"/>
  <c r="EL24" i="126"/>
  <c r="AP25" i="73"/>
  <c r="L264" i="73" s="1"/>
  <c r="EL23" i="126"/>
  <c r="AP24" i="73"/>
  <c r="L263" i="73" s="1"/>
  <c r="EL22" i="126"/>
  <c r="AP23" i="73"/>
  <c r="L262" i="73" s="1"/>
  <c r="EL21" i="126"/>
  <c r="AP22" i="73"/>
  <c r="L261" i="73"/>
  <c r="EL20" i="126"/>
  <c r="AP21" i="73"/>
  <c r="L260" i="73" s="1"/>
  <c r="EL19" i="126"/>
  <c r="AP20" i="73"/>
  <c r="L259" i="73" s="1"/>
  <c r="EL18" i="126"/>
  <c r="AP19" i="73"/>
  <c r="L258" i="73" s="1"/>
  <c r="EL17" i="126"/>
  <c r="AP18" i="73"/>
  <c r="L257" i="73" s="1"/>
  <c r="EL16" i="126"/>
  <c r="AP17" i="73"/>
  <c r="L256" i="73" s="1"/>
  <c r="EL15" i="126"/>
  <c r="S32" i="116"/>
  <c r="AP117" i="73"/>
  <c r="L497" i="73" s="1"/>
  <c r="EO13" i="126"/>
  <c r="AP116" i="73"/>
  <c r="L496" i="73" s="1"/>
  <c r="EO12" i="126"/>
  <c r="AP115" i="73"/>
  <c r="L495" i="73" s="1"/>
  <c r="EO11" i="126"/>
  <c r="AP80" i="73"/>
  <c r="L413" i="73" s="1"/>
  <c r="EN10" i="126"/>
  <c r="AP79" i="73"/>
  <c r="L412" i="73"/>
  <c r="EN9" i="126"/>
  <c r="AP78" i="73"/>
  <c r="L411" i="73" s="1"/>
  <c r="EN8" i="126"/>
  <c r="AP77" i="73"/>
  <c r="L410" i="73" s="1"/>
  <c r="EN7" i="126"/>
  <c r="AP76" i="73"/>
  <c r="L409" i="73" s="1"/>
  <c r="EN6" i="126"/>
  <c r="AP75" i="73"/>
  <c r="L408" i="73" s="1"/>
  <c r="EN5" i="126"/>
  <c r="AP74" i="73"/>
  <c r="L407" i="73" s="1"/>
  <c r="EN4" i="126"/>
  <c r="U32" i="116"/>
  <c r="AP39" i="73"/>
  <c r="L325" i="73" s="1"/>
  <c r="EM3" i="126"/>
  <c r="T32" i="116"/>
  <c r="C16" i="118"/>
  <c r="AE38" i="62"/>
  <c r="AL35" i="121"/>
  <c r="J30" i="141"/>
  <c r="AA31" i="66" s="1"/>
  <c r="FD172" i="63"/>
  <c r="FD163" i="63"/>
  <c r="EY175" i="63"/>
  <c r="FA139" i="63"/>
  <c r="EY168" i="63"/>
  <c r="FF55" i="63"/>
  <c r="EZ96" i="63"/>
  <c r="FH109" i="63"/>
  <c r="FB109" i="63"/>
  <c r="EZ145" i="63"/>
  <c r="FS177" i="63"/>
  <c r="EZ88" i="63"/>
  <c r="FD123" i="63"/>
  <c r="FT131" i="63"/>
  <c r="ER77" i="63"/>
  <c r="FO113" i="63"/>
  <c r="FB129" i="63"/>
  <c r="FF134" i="63"/>
  <c r="FM175" i="63"/>
  <c r="FE175" i="63"/>
  <c r="FR134" i="63"/>
  <c r="EY160" i="63"/>
  <c r="EK170" i="63"/>
  <c r="FA51" i="63"/>
  <c r="EZ74" i="63"/>
  <c r="FB51" i="63"/>
  <c r="FG56" i="63"/>
  <c r="EY114" i="63"/>
  <c r="FR178" i="63"/>
  <c r="FR9" i="63"/>
  <c r="FS17" i="63"/>
  <c r="FQ88" i="63"/>
  <c r="FK117" i="63"/>
  <c r="EK117" i="63"/>
  <c r="FS5" i="63"/>
  <c r="FS142" i="63"/>
  <c r="DF90" i="63"/>
  <c r="GF88" i="63"/>
  <c r="J98" i="73"/>
  <c r="J485" i="73" s="1"/>
  <c r="GF84" i="63"/>
  <c r="J94" i="73"/>
  <c r="J481" i="73" s="1"/>
  <c r="GF80" i="63"/>
  <c r="J90" i="73"/>
  <c r="J477" i="73" s="1"/>
  <c r="GA76" i="63"/>
  <c r="E86" i="73"/>
  <c r="E473" i="73" s="1"/>
  <c r="EN76" i="63"/>
  <c r="GE72" i="63"/>
  <c r="I82" i="73"/>
  <c r="FY72" i="63"/>
  <c r="C82" i="73"/>
  <c r="C469" i="73" s="1"/>
  <c r="FL72" i="63"/>
  <c r="GE68" i="63"/>
  <c r="I78" i="73"/>
  <c r="I465" i="73" s="1"/>
  <c r="GF68" i="63"/>
  <c r="J78" i="73"/>
  <c r="J465" i="73" s="1"/>
  <c r="FZ68" i="63"/>
  <c r="D78" i="73"/>
  <c r="D465" i="73" s="1"/>
  <c r="GA64" i="63"/>
  <c r="E74" i="73"/>
  <c r="E461" i="73" s="1"/>
  <c r="FA64" i="63"/>
  <c r="J32" i="65"/>
  <c r="V33" i="121"/>
  <c r="G656" i="73"/>
  <c r="BY10" i="126"/>
  <c r="H10" i="124"/>
  <c r="H13" i="125"/>
  <c r="G742" i="73"/>
  <c r="BX31" i="126"/>
  <c r="S67" i="108"/>
  <c r="AH34" i="73"/>
  <c r="T67" i="108"/>
  <c r="AH68" i="73"/>
  <c r="D733" i="73" s="1"/>
  <c r="U67" i="108"/>
  <c r="AH102" i="73"/>
  <c r="AH165" i="73"/>
  <c r="D590" i="73" s="1"/>
  <c r="I25" i="123"/>
  <c r="AH149" i="73"/>
  <c r="D574" i="73" s="1"/>
  <c r="I10" i="123"/>
  <c r="W32" i="108"/>
  <c r="T67" i="109"/>
  <c r="U67" i="109"/>
  <c r="AU32" i="126"/>
  <c r="V67" i="109"/>
  <c r="E513" i="73"/>
  <c r="AU29" i="126"/>
  <c r="E512" i="73"/>
  <c r="AU28" i="126"/>
  <c r="E511" i="73"/>
  <c r="AU27" i="126"/>
  <c r="E591" i="73"/>
  <c r="AV26" i="126"/>
  <c r="E267" i="73"/>
  <c r="AR26" i="126"/>
  <c r="E508" i="73"/>
  <c r="AU24" i="126"/>
  <c r="AU23" i="126"/>
  <c r="AU22" i="126"/>
  <c r="AU21" i="126"/>
  <c r="E504" i="73"/>
  <c r="AU20" i="126"/>
  <c r="E503" i="73"/>
  <c r="AU19" i="126"/>
  <c r="E502" i="73"/>
  <c r="AU18" i="126"/>
  <c r="E501" i="73"/>
  <c r="AU17" i="126"/>
  <c r="E419" i="73"/>
  <c r="AT16" i="126"/>
  <c r="E418" i="73"/>
  <c r="AT15" i="126"/>
  <c r="E417" i="73"/>
  <c r="AT14" i="126"/>
  <c r="E416" i="73"/>
  <c r="AT13" i="126"/>
  <c r="E415" i="73"/>
  <c r="AT12" i="126"/>
  <c r="E414" i="73"/>
  <c r="AT11" i="126"/>
  <c r="E494" i="73"/>
  <c r="AU10" i="126"/>
  <c r="E493" i="73"/>
  <c r="AU9" i="126"/>
  <c r="E411" i="73"/>
  <c r="AT8" i="126"/>
  <c r="AT7" i="126"/>
  <c r="E409" i="73"/>
  <c r="AT6" i="126"/>
  <c r="E408" i="73"/>
  <c r="AT5" i="126"/>
  <c r="U32" i="109"/>
  <c r="E488" i="73"/>
  <c r="AU4" i="126"/>
  <c r="E487" i="73"/>
  <c r="AU3" i="126"/>
  <c r="V32" i="109"/>
  <c r="F263" i="73"/>
  <c r="BF22" i="126"/>
  <c r="F423" i="73"/>
  <c r="BH20" i="126"/>
  <c r="BJ18" i="126"/>
  <c r="K21" i="123"/>
  <c r="F258" i="73"/>
  <c r="BF17" i="126"/>
  <c r="BH15" i="126"/>
  <c r="BF14" i="126"/>
  <c r="F415" i="73"/>
  <c r="BH12" i="126"/>
  <c r="BJ10" i="126"/>
  <c r="BF9" i="126"/>
  <c r="F410" i="73"/>
  <c r="BH7" i="126"/>
  <c r="F247" i="73"/>
  <c r="BF6" i="126"/>
  <c r="F407" i="73"/>
  <c r="BH4" i="126"/>
  <c r="BF3" i="126"/>
  <c r="T67" i="111"/>
  <c r="U67" i="111"/>
  <c r="V67" i="111"/>
  <c r="BW29" i="126"/>
  <c r="BU28" i="126"/>
  <c r="G268" i="73"/>
  <c r="BT27" i="126"/>
  <c r="G509" i="73"/>
  <c r="BW25" i="126"/>
  <c r="G346" i="73"/>
  <c r="BU24" i="126"/>
  <c r="G264" i="73"/>
  <c r="BT23" i="126"/>
  <c r="BW21" i="126"/>
  <c r="BU20" i="126"/>
  <c r="T32" i="111"/>
  <c r="G260" i="73"/>
  <c r="BT19" i="126"/>
  <c r="S32" i="111"/>
  <c r="G501" i="73"/>
  <c r="BW17" i="126"/>
  <c r="G499" i="73"/>
  <c r="BW15" i="126"/>
  <c r="BW13" i="126"/>
  <c r="G495" i="73"/>
  <c r="BW11" i="126"/>
  <c r="G493" i="73"/>
  <c r="BW9" i="126"/>
  <c r="G491" i="73"/>
  <c r="BW7" i="126"/>
  <c r="BW5" i="126"/>
  <c r="G487" i="73"/>
  <c r="BW3" i="126"/>
  <c r="V32" i="111"/>
  <c r="CW29" i="126"/>
  <c r="I350" i="73"/>
  <c r="CW28" i="126"/>
  <c r="I348" i="73"/>
  <c r="CW26" i="126"/>
  <c r="I346" i="73"/>
  <c r="CW24" i="126"/>
  <c r="I345" i="73"/>
  <c r="I344" i="73"/>
  <c r="CW22" i="126"/>
  <c r="CW21" i="126"/>
  <c r="I342" i="73"/>
  <c r="CW20" i="126"/>
  <c r="I259" i="73"/>
  <c r="CV18" i="126"/>
  <c r="I499" i="73"/>
  <c r="CY15" i="126"/>
  <c r="I497" i="73"/>
  <c r="CY13" i="126"/>
  <c r="I331" i="73"/>
  <c r="CW9" i="126"/>
  <c r="I329" i="73"/>
  <c r="CW7" i="126"/>
  <c r="I246" i="73"/>
  <c r="CV5" i="126"/>
  <c r="AB35" i="122"/>
  <c r="D13" i="118"/>
  <c r="J73" i="62" s="1"/>
  <c r="U67" i="114"/>
  <c r="AN102" i="73" s="1"/>
  <c r="J432" i="73"/>
  <c r="DL29" i="126"/>
  <c r="J431" i="73"/>
  <c r="DL28" i="126"/>
  <c r="J430" i="73"/>
  <c r="DL27" i="126"/>
  <c r="U32" i="114"/>
  <c r="J348" i="73"/>
  <c r="DK26" i="126"/>
  <c r="J347" i="73"/>
  <c r="DK25" i="126"/>
  <c r="J346" i="73"/>
  <c r="DK24" i="126"/>
  <c r="J345" i="73"/>
  <c r="DK23" i="126"/>
  <c r="J263" i="73"/>
  <c r="DJ22" i="126"/>
  <c r="J262" i="73"/>
  <c r="DJ21" i="126"/>
  <c r="J261" i="73"/>
  <c r="DJ20" i="126"/>
  <c r="S32" i="114"/>
  <c r="V67" i="115"/>
  <c r="T67" i="115"/>
  <c r="AO129" i="73"/>
  <c r="EA25" i="126"/>
  <c r="AO94" i="73"/>
  <c r="K427" i="73" s="1"/>
  <c r="DZ24" i="126"/>
  <c r="AO88" i="73"/>
  <c r="K421" i="73" s="1"/>
  <c r="DZ18" i="126"/>
  <c r="AO87" i="73"/>
  <c r="K420" i="73" s="1"/>
  <c r="DZ17" i="126"/>
  <c r="AO86" i="73"/>
  <c r="K419" i="73" s="1"/>
  <c r="DZ16" i="126"/>
  <c r="AO85" i="73"/>
  <c r="K418" i="73" s="1"/>
  <c r="DZ15" i="126"/>
  <c r="AO84" i="73"/>
  <c r="K417" i="73" s="1"/>
  <c r="DZ14" i="126"/>
  <c r="AO45" i="73"/>
  <c r="K331" i="73" s="1"/>
  <c r="DY9" i="126"/>
  <c r="AO43" i="73"/>
  <c r="DY7" i="126"/>
  <c r="AO42" i="73"/>
  <c r="K328" i="73" s="1"/>
  <c r="DY6" i="126"/>
  <c r="AO107" i="73"/>
  <c r="EA3" i="126"/>
  <c r="V32" i="115"/>
  <c r="FF109" i="63"/>
  <c r="FQ97" i="63"/>
  <c r="H545" i="73"/>
  <c r="FL167" i="63"/>
  <c r="FD164" i="63"/>
  <c r="EQ88" i="63"/>
  <c r="FD88" i="63"/>
  <c r="EQ111" i="63"/>
  <c r="FO131" i="63"/>
  <c r="FB131" i="63"/>
  <c r="FT117" i="63"/>
  <c r="FG46" i="63"/>
  <c r="FP93" i="63"/>
  <c r="FF93" i="63"/>
  <c r="FR132" i="63"/>
  <c r="EZ43" i="63"/>
  <c r="EX47" i="63"/>
  <c r="EU68" i="63"/>
  <c r="FH68" i="63"/>
  <c r="EK154" i="63"/>
  <c r="ES142" i="63"/>
  <c r="EZ159" i="63"/>
  <c r="EL80" i="63"/>
  <c r="EP19" i="63"/>
  <c r="EL64" i="63"/>
  <c r="EO9" i="63"/>
  <c r="EX117" i="63"/>
  <c r="FK113" i="63"/>
  <c r="FK93" i="63"/>
  <c r="EK94" i="63"/>
  <c r="FR141" i="63"/>
  <c r="I640" i="73"/>
  <c r="FE141" i="63"/>
  <c r="I89" i="62"/>
  <c r="D89" i="62"/>
  <c r="D53" i="62"/>
  <c r="E53" i="62"/>
  <c r="G159" i="62"/>
  <c r="C159" i="62"/>
  <c r="L159" i="62"/>
  <c r="AD88" i="62"/>
  <c r="T88" i="62"/>
  <c r="Z88" i="62"/>
  <c r="AC88" i="62"/>
  <c r="V88" i="62"/>
  <c r="AE88" i="62"/>
  <c r="T52" i="62"/>
  <c r="AC52" i="62"/>
  <c r="AB52" i="62"/>
  <c r="AA52" i="62"/>
  <c r="Y52" i="62"/>
  <c r="X52" i="62"/>
  <c r="W52" i="62"/>
  <c r="DE90" i="63"/>
  <c r="DH180" i="63"/>
  <c r="U33" i="122"/>
  <c r="M32" i="65"/>
  <c r="AF39" i="73"/>
  <c r="AF46" i="73"/>
  <c r="AF48" i="73"/>
  <c r="B334" i="73" s="1"/>
  <c r="AF120" i="73"/>
  <c r="AF128" i="73"/>
  <c r="B508" i="73" s="1"/>
  <c r="AF107" i="73"/>
  <c r="AF114" i="73"/>
  <c r="B494" i="73" s="1"/>
  <c r="AF116" i="73"/>
  <c r="B496" i="73" s="1"/>
  <c r="W67" i="108"/>
  <c r="AH172" i="73"/>
  <c r="D742" i="73" s="1"/>
  <c r="AV9" i="126"/>
  <c r="J10" i="123"/>
  <c r="E258" i="73"/>
  <c r="AR17" i="126"/>
  <c r="S32" i="109"/>
  <c r="E586" i="73"/>
  <c r="AV21" i="126"/>
  <c r="J22" i="123"/>
  <c r="F24" i="125" s="1"/>
  <c r="E590" i="73"/>
  <c r="AV25" i="126"/>
  <c r="J25" i="123"/>
  <c r="G410" i="73"/>
  <c r="BV7" i="126"/>
  <c r="G657" i="73"/>
  <c r="BY11" i="126"/>
  <c r="H11" i="124"/>
  <c r="H14" i="125" s="1"/>
  <c r="G418" i="73"/>
  <c r="BV15" i="126"/>
  <c r="G665" i="73"/>
  <c r="BY19" i="126"/>
  <c r="G669" i="73"/>
  <c r="BY23" i="126"/>
  <c r="H25" i="124"/>
  <c r="G673" i="73"/>
  <c r="BY27" i="126"/>
  <c r="H28" i="124"/>
  <c r="DK31" i="126"/>
  <c r="AP84" i="73"/>
  <c r="L417" i="73" s="1"/>
  <c r="EN14" i="126"/>
  <c r="AQ8" i="73"/>
  <c r="M247" i="73" s="1"/>
  <c r="EZ6" i="126"/>
  <c r="AQ12" i="73"/>
  <c r="M251" i="73" s="1"/>
  <c r="EZ10" i="126"/>
  <c r="AQ22" i="73"/>
  <c r="M261" i="73" s="1"/>
  <c r="EZ20" i="126"/>
  <c r="AQ26" i="73"/>
  <c r="M265" i="73"/>
  <c r="EZ24" i="126"/>
  <c r="AQ31" i="73"/>
  <c r="M270" i="73" s="1"/>
  <c r="EZ29" i="126"/>
  <c r="AQ44" i="73"/>
  <c r="M330" i="73" s="1"/>
  <c r="FA8" i="126"/>
  <c r="AQ53" i="73"/>
  <c r="M339" i="73" s="1"/>
  <c r="FA17" i="126"/>
  <c r="AQ55" i="73"/>
  <c r="M341" i="73" s="1"/>
  <c r="FA19" i="126"/>
  <c r="AQ57" i="73"/>
  <c r="M343" i="73" s="1"/>
  <c r="FA21" i="126"/>
  <c r="AQ59" i="73"/>
  <c r="M345" i="73" s="1"/>
  <c r="FA23" i="126"/>
  <c r="AQ61" i="73"/>
  <c r="M347" i="73" s="1"/>
  <c r="FA25" i="126"/>
  <c r="AQ76" i="73"/>
  <c r="M409" i="73" s="1"/>
  <c r="FB6" i="126"/>
  <c r="AQ80" i="73"/>
  <c r="M413" i="73" s="1"/>
  <c r="FB10" i="126"/>
  <c r="AQ84" i="73"/>
  <c r="M417" i="73" s="1"/>
  <c r="FB14" i="126"/>
  <c r="AQ89" i="73"/>
  <c r="FB19" i="126"/>
  <c r="AQ95" i="73"/>
  <c r="M428" i="73" s="1"/>
  <c r="FB25" i="126"/>
  <c r="EP73" i="63"/>
  <c r="EM156" i="63"/>
  <c r="FO164" i="63"/>
  <c r="FE165" i="63"/>
  <c r="FT177" i="63"/>
  <c r="EK20" i="63"/>
  <c r="EZ16" i="63"/>
  <c r="FE16" i="63"/>
  <c r="FM40" i="63"/>
  <c r="FC40" i="63"/>
  <c r="ER49" i="63"/>
  <c r="EP49" i="63"/>
  <c r="FB88" i="63"/>
  <c r="FG88" i="63"/>
  <c r="EK89" i="63"/>
  <c r="FT104" i="63"/>
  <c r="FG95" i="63"/>
  <c r="FF101" i="63"/>
  <c r="EL128" i="63"/>
  <c r="EK136" i="63"/>
  <c r="ET51" i="63"/>
  <c r="EO69" i="63"/>
  <c r="EO90" i="63"/>
  <c r="EL77" i="63"/>
  <c r="EZ76" i="63"/>
  <c r="FE9" i="63"/>
  <c r="FF6" i="63"/>
  <c r="FG13" i="63"/>
  <c r="FB29" i="63"/>
  <c r="FF70" i="63"/>
  <c r="EU72" i="63"/>
  <c r="FF80" i="63"/>
  <c r="FD106" i="63"/>
  <c r="D54" i="62"/>
  <c r="X53" i="62"/>
  <c r="AE89" i="62"/>
  <c r="EK168" i="63"/>
  <c r="FK105" i="63"/>
  <c r="FK34" i="63"/>
  <c r="FS157" i="63"/>
  <c r="FS171" i="63"/>
  <c r="FP21" i="63"/>
  <c r="FR17" i="63"/>
  <c r="DD180" i="63"/>
  <c r="CX60" i="63"/>
  <c r="DD30" i="63"/>
  <c r="DF30" i="63"/>
  <c r="GE88" i="63"/>
  <c r="I98" i="73"/>
  <c r="I485" i="73" s="1"/>
  <c r="FZ88" i="63"/>
  <c r="D98" i="73"/>
  <c r="D485" i="73" s="1"/>
  <c r="GE76" i="63"/>
  <c r="I86" i="73"/>
  <c r="I473" i="73" s="1"/>
  <c r="FZ72" i="63"/>
  <c r="D82" i="73"/>
  <c r="GE64" i="63"/>
  <c r="I74" i="73"/>
  <c r="I461" i="73" s="1"/>
  <c r="GE97" i="63"/>
  <c r="I111" i="73"/>
  <c r="I545" i="73" s="1"/>
  <c r="C15" i="124"/>
  <c r="AC14" i="65"/>
  <c r="AE14" i="65" s="1"/>
  <c r="AF55" i="73"/>
  <c r="B341" i="73" s="1"/>
  <c r="AF63" i="73"/>
  <c r="B349" i="73" s="1"/>
  <c r="AC4" i="65"/>
  <c r="AF9" i="73"/>
  <c r="B248" i="73" s="1"/>
  <c r="AF15" i="73"/>
  <c r="B254" i="73" s="1"/>
  <c r="AF78" i="73"/>
  <c r="B411" i="73" s="1"/>
  <c r="AF13" i="73"/>
  <c r="B252" i="73" s="1"/>
  <c r="AF86" i="73"/>
  <c r="B419" i="73" s="1"/>
  <c r="AF92" i="73"/>
  <c r="B425" i="73" s="1"/>
  <c r="AF96" i="73"/>
  <c r="B429" i="73" s="1"/>
  <c r="AF83" i="73"/>
  <c r="B416" i="73" s="1"/>
  <c r="AF81" i="73"/>
  <c r="B414" i="73" s="1"/>
  <c r="AF18" i="73"/>
  <c r="B257" i="73" s="1"/>
  <c r="AH148" i="73"/>
  <c r="D573" i="73" s="1"/>
  <c r="AH164" i="73"/>
  <c r="D589" i="73" s="1"/>
  <c r="I24" i="123"/>
  <c r="AH162" i="73"/>
  <c r="D587" i="73" s="1"/>
  <c r="I23" i="123"/>
  <c r="AW7" i="126"/>
  <c r="F7" i="124"/>
  <c r="AW11" i="126"/>
  <c r="F11" i="124"/>
  <c r="AW23" i="126"/>
  <c r="F330" i="73"/>
  <c r="BG8" i="126"/>
  <c r="F334" i="73"/>
  <c r="BG12" i="126"/>
  <c r="BG16" i="126"/>
  <c r="F506" i="73"/>
  <c r="BI22" i="126"/>
  <c r="F671" i="73"/>
  <c r="BK25" i="126"/>
  <c r="G24" i="124"/>
  <c r="G27" i="125"/>
  <c r="BK4" i="126"/>
  <c r="BG15" i="126"/>
  <c r="F341" i="73"/>
  <c r="BG19" i="126"/>
  <c r="F513" i="73"/>
  <c r="BI29" i="126"/>
  <c r="F652" i="73"/>
  <c r="BK6" i="126"/>
  <c r="BX22" i="126"/>
  <c r="G587" i="73"/>
  <c r="G591" i="73"/>
  <c r="BX26" i="126"/>
  <c r="G730" i="73"/>
  <c r="BT31" i="126"/>
  <c r="G668" i="73"/>
  <c r="BY22" i="126"/>
  <c r="H22" i="124"/>
  <c r="H25" i="125"/>
  <c r="G246" i="73"/>
  <c r="BT5" i="126"/>
  <c r="BX9" i="126"/>
  <c r="L10" i="123"/>
  <c r="G254" i="73"/>
  <c r="BT13" i="126"/>
  <c r="BX17" i="126"/>
  <c r="G586" i="73"/>
  <c r="BX21" i="126"/>
  <c r="BX25" i="126"/>
  <c r="L25" i="123"/>
  <c r="G594" i="73"/>
  <c r="BX29" i="126"/>
  <c r="L30" i="123"/>
  <c r="DL3" i="126"/>
  <c r="AO79" i="73"/>
  <c r="K412" i="73" s="1"/>
  <c r="DZ9" i="126"/>
  <c r="U32" i="115"/>
  <c r="AP102" i="73"/>
  <c r="L736" i="73" s="1"/>
  <c r="EN31" i="126"/>
  <c r="AQ47" i="73"/>
  <c r="M333" i="73" s="1"/>
  <c r="FA11" i="126"/>
  <c r="AQ49" i="73"/>
  <c r="M335" i="73" s="1"/>
  <c r="FA13" i="126"/>
  <c r="AQ64" i="73"/>
  <c r="FA28" i="126"/>
  <c r="AQ77" i="73"/>
  <c r="FB7" i="126"/>
  <c r="AQ81" i="73"/>
  <c r="FB11" i="126"/>
  <c r="AQ85" i="73"/>
  <c r="M418" i="73" s="1"/>
  <c r="FB15" i="126"/>
  <c r="AQ90" i="73"/>
  <c r="FB20" i="126"/>
  <c r="AQ96" i="73"/>
  <c r="M429" i="73" s="1"/>
  <c r="FB26" i="126"/>
  <c r="AQ109" i="73"/>
  <c r="FC5" i="126"/>
  <c r="AQ113" i="73"/>
  <c r="M493" i="73" s="1"/>
  <c r="FC9" i="126"/>
  <c r="AH167" i="73"/>
  <c r="D592" i="73" s="1"/>
  <c r="BJ27" i="126"/>
  <c r="X67" i="111"/>
  <c r="D335" i="73"/>
  <c r="E20" i="124"/>
  <c r="D425" i="73"/>
  <c r="D511" i="73"/>
  <c r="D351" i="73"/>
  <c r="D651" i="73"/>
  <c r="D252" i="73"/>
  <c r="D260" i="73"/>
  <c r="D424" i="73"/>
  <c r="D268" i="73"/>
  <c r="D426" i="73"/>
  <c r="D266" i="73"/>
  <c r="E12" i="124"/>
  <c r="E15" i="125"/>
  <c r="D255" i="73"/>
  <c r="D419" i="73"/>
  <c r="D505" i="73"/>
  <c r="D345" i="73"/>
  <c r="E27" i="124"/>
  <c r="D410" i="73"/>
  <c r="D414" i="73"/>
  <c r="D336" i="73"/>
  <c r="D500" i="73"/>
  <c r="D430" i="73"/>
  <c r="D246" i="73"/>
  <c r="U67" i="110"/>
  <c r="BH29" i="126"/>
  <c r="BH28" i="126"/>
  <c r="BH26" i="126"/>
  <c r="F589" i="73"/>
  <c r="BJ24" i="126"/>
  <c r="K24" i="123"/>
  <c r="BF23" i="126"/>
  <c r="AO89" i="73"/>
  <c r="K422" i="73" s="1"/>
  <c r="DZ19" i="126"/>
  <c r="AO81" i="73"/>
  <c r="K414" i="73" s="1"/>
  <c r="DZ11" i="126"/>
  <c r="AO80" i="73"/>
  <c r="K413" i="73" s="1"/>
  <c r="DZ10" i="126"/>
  <c r="EZ7" i="63"/>
  <c r="EX5" i="63"/>
  <c r="FN39" i="63"/>
  <c r="FU51" i="63"/>
  <c r="EK140" i="63"/>
  <c r="AE90" i="62"/>
  <c r="EK97" i="63"/>
  <c r="FM55" i="63"/>
  <c r="CX30" i="63"/>
  <c r="CY180" i="63"/>
  <c r="GF87" i="63"/>
  <c r="J97" i="73"/>
  <c r="J484" i="73" s="1"/>
  <c r="GE80" i="63"/>
  <c r="I90" i="73"/>
  <c r="I477" i="73" s="1"/>
  <c r="GF76" i="63"/>
  <c r="J86" i="73"/>
  <c r="FZ76" i="63"/>
  <c r="D86" i="73"/>
  <c r="D473" i="73" s="1"/>
  <c r="GF72" i="63"/>
  <c r="J82" i="73"/>
  <c r="J469" i="73" s="1"/>
  <c r="GF117" i="63"/>
  <c r="GE142" i="63"/>
  <c r="GE138" i="63"/>
  <c r="I158" i="73"/>
  <c r="I637" i="73" s="1"/>
  <c r="GE134" i="63"/>
  <c r="GE130" i="63"/>
  <c r="I150" i="73"/>
  <c r="I629" i="73" s="1"/>
  <c r="FZ130" i="63"/>
  <c r="D150" i="73"/>
  <c r="D629" i="73" s="1"/>
  <c r="GF126" i="63"/>
  <c r="FZ126" i="63"/>
  <c r="GF59" i="63"/>
  <c r="J65" i="73"/>
  <c r="J405" i="73" s="1"/>
  <c r="FZ55" i="63"/>
  <c r="D61" i="73"/>
  <c r="D401" i="73" s="1"/>
  <c r="GB47" i="63"/>
  <c r="F53" i="73"/>
  <c r="F393" i="73" s="1"/>
  <c r="GG43" i="63"/>
  <c r="K49" i="73"/>
  <c r="K389" i="73" s="1"/>
  <c r="GA43" i="63"/>
  <c r="E49" i="73"/>
  <c r="GB46" i="63"/>
  <c r="F52" i="73"/>
  <c r="F392" i="73" s="1"/>
  <c r="FZ170" i="63"/>
  <c r="D194" i="73"/>
  <c r="D720" i="73" s="1"/>
  <c r="FZ179" i="63"/>
  <c r="D203" i="73"/>
  <c r="D729" i="73" s="1"/>
  <c r="GE175" i="63"/>
  <c r="I199" i="73"/>
  <c r="FZ175" i="63"/>
  <c r="D199" i="73"/>
  <c r="D725" i="73" s="1"/>
  <c r="GE171" i="63"/>
  <c r="I195" i="73"/>
  <c r="I721" i="73" s="1"/>
  <c r="GF171" i="63"/>
  <c r="J195" i="73"/>
  <c r="J721" i="73" s="1"/>
  <c r="FZ159" i="63"/>
  <c r="D183" i="73"/>
  <c r="D709" i="73" s="1"/>
  <c r="GE155" i="63"/>
  <c r="I179" i="73"/>
  <c r="I705" i="73" s="1"/>
  <c r="FZ29" i="63"/>
  <c r="D31" i="73"/>
  <c r="D324" i="73" s="1"/>
  <c r="FZ25" i="63"/>
  <c r="D27" i="73"/>
  <c r="GF13" i="63"/>
  <c r="J15" i="73"/>
  <c r="FZ5" i="63"/>
  <c r="D7" i="73"/>
  <c r="D300" i="73" s="1"/>
  <c r="C10" i="124"/>
  <c r="X33" i="121"/>
  <c r="L32" i="65"/>
  <c r="AB20" i="65"/>
  <c r="S32" i="122"/>
  <c r="AF87" i="73"/>
  <c r="AF30" i="73"/>
  <c r="B269" i="73" s="1"/>
  <c r="AF29" i="73"/>
  <c r="B268" i="73" s="1"/>
  <c r="G21" i="123"/>
  <c r="C23" i="125" s="1"/>
  <c r="AF158" i="73"/>
  <c r="B583" i="73" s="1"/>
  <c r="AG154" i="73"/>
  <c r="C579" i="73" s="1"/>
  <c r="H15" i="123"/>
  <c r="AG149" i="73"/>
  <c r="C574" i="73" s="1"/>
  <c r="H10" i="123"/>
  <c r="D12" i="125" s="1"/>
  <c r="AG155" i="73"/>
  <c r="C580" i="73" s="1"/>
  <c r="AH152" i="73"/>
  <c r="D577" i="73" s="1"/>
  <c r="AH168" i="73"/>
  <c r="D593" i="73" s="1"/>
  <c r="I28" i="123"/>
  <c r="E30" i="125"/>
  <c r="AH145" i="73"/>
  <c r="D570" i="73" s="1"/>
  <c r="I7" i="123"/>
  <c r="AH154" i="73"/>
  <c r="E250" i="73"/>
  <c r="AR9" i="126"/>
  <c r="AV12" i="126"/>
  <c r="W67" i="109"/>
  <c r="E583" i="73"/>
  <c r="AV18" i="126"/>
  <c r="BK5" i="126"/>
  <c r="F342" i="73"/>
  <c r="BG20" i="126"/>
  <c r="BI26" i="126"/>
  <c r="BI31" i="126"/>
  <c r="F489" i="73"/>
  <c r="BI5" i="126"/>
  <c r="F493" i="73"/>
  <c r="BI9" i="126"/>
  <c r="F658" i="73"/>
  <c r="BK12" i="126"/>
  <c r="BG23" i="126"/>
  <c r="F349" i="73"/>
  <c r="BG27" i="126"/>
  <c r="G247" i="73"/>
  <c r="BT6" i="126"/>
  <c r="G575" i="73"/>
  <c r="BV16" i="126"/>
  <c r="G423" i="73"/>
  <c r="BV20" i="126"/>
  <c r="BV24" i="126"/>
  <c r="G431" i="73"/>
  <c r="BV28" i="126"/>
  <c r="G245" i="73"/>
  <c r="BT4" i="126"/>
  <c r="BT8" i="126"/>
  <c r="G253" i="73"/>
  <c r="BT12" i="126"/>
  <c r="BX16" i="126"/>
  <c r="BX8" i="126"/>
  <c r="AO95" i="73"/>
  <c r="K428" i="73" s="1"/>
  <c r="DZ25" i="126"/>
  <c r="AQ39" i="73"/>
  <c r="FA3" i="126"/>
  <c r="AQ41" i="73"/>
  <c r="M327" i="73" s="1"/>
  <c r="FA5" i="126"/>
  <c r="AQ43" i="73"/>
  <c r="M329" i="73" s="1"/>
  <c r="FA7" i="126"/>
  <c r="AQ118" i="73"/>
  <c r="M498" i="73" s="1"/>
  <c r="FC14" i="126"/>
  <c r="AQ120" i="73"/>
  <c r="M500" i="73" s="1"/>
  <c r="FC16" i="126"/>
  <c r="AQ122" i="73"/>
  <c r="M502" i="73" s="1"/>
  <c r="FC18" i="126"/>
  <c r="AQ125" i="73"/>
  <c r="M505" i="73" s="1"/>
  <c r="FC21" i="126"/>
  <c r="AQ127" i="73"/>
  <c r="M507" i="73" s="1"/>
  <c r="FC23" i="126"/>
  <c r="AQ130" i="73"/>
  <c r="M510" i="73" s="1"/>
  <c r="FC26" i="126"/>
  <c r="AQ132" i="73"/>
  <c r="FC28" i="126"/>
  <c r="G12" i="123"/>
  <c r="AH147" i="73"/>
  <c r="D572" i="73"/>
  <c r="I8" i="123"/>
  <c r="E10" i="125" s="1"/>
  <c r="BJ19" i="126"/>
  <c r="F584" i="73"/>
  <c r="AV24" i="126"/>
  <c r="J24" i="123"/>
  <c r="D245" i="73"/>
  <c r="S32" i="108"/>
  <c r="D409" i="73"/>
  <c r="D249" i="73"/>
  <c r="D413" i="73"/>
  <c r="D339" i="73"/>
  <c r="E22" i="124"/>
  <c r="D265" i="73"/>
  <c r="D429" i="73"/>
  <c r="D254" i="73"/>
  <c r="E28" i="124"/>
  <c r="AO91" i="73"/>
  <c r="K424" i="73" s="1"/>
  <c r="DZ21" i="126"/>
  <c r="AO90" i="73"/>
  <c r="K423" i="73"/>
  <c r="DZ20" i="126"/>
  <c r="AO82" i="73"/>
  <c r="K415" i="73" s="1"/>
  <c r="DZ12" i="126"/>
  <c r="GF179" i="63"/>
  <c r="J203" i="73"/>
  <c r="J729" i="73" s="1"/>
  <c r="GF175" i="63"/>
  <c r="J199" i="73"/>
  <c r="J725" i="73" s="1"/>
  <c r="GF167" i="63"/>
  <c r="J191" i="73"/>
  <c r="J717" i="73" s="1"/>
  <c r="GE163" i="63"/>
  <c r="I187" i="73"/>
  <c r="GE159" i="63"/>
  <c r="I183" i="73"/>
  <c r="GC29" i="63"/>
  <c r="G31" i="73"/>
  <c r="FX29" i="63"/>
  <c r="B31" i="73"/>
  <c r="FY25" i="63"/>
  <c r="C27" i="73"/>
  <c r="GD21" i="63"/>
  <c r="H23" i="73"/>
  <c r="GF17" i="63"/>
  <c r="J19" i="73"/>
  <c r="FZ13" i="63"/>
  <c r="D15" i="73"/>
  <c r="GF9" i="63"/>
  <c r="J11" i="73"/>
  <c r="GE5" i="63"/>
  <c r="I7" i="73"/>
  <c r="I300" i="73" s="1"/>
  <c r="AF122" i="73"/>
  <c r="B502" i="73" s="1"/>
  <c r="AC25" i="65"/>
  <c r="AF131" i="73"/>
  <c r="B511" i="73" s="1"/>
  <c r="AF54" i="73"/>
  <c r="B340" i="73"/>
  <c r="G9" i="123"/>
  <c r="H7" i="123"/>
  <c r="H30" i="123"/>
  <c r="AH166" i="73"/>
  <c r="D591" i="73" s="1"/>
  <c r="AW6" i="126"/>
  <c r="AV7" i="126"/>
  <c r="W32" i="109"/>
  <c r="AI170" i="73"/>
  <c r="AV15" i="126"/>
  <c r="J14" i="123"/>
  <c r="F16" i="125"/>
  <c r="AV27" i="126"/>
  <c r="E581" i="73"/>
  <c r="AV16" i="126"/>
  <c r="J17" i="123"/>
  <c r="AV22" i="126"/>
  <c r="J23" i="123"/>
  <c r="F492" i="73"/>
  <c r="BI8" i="126"/>
  <c r="F336" i="73"/>
  <c r="BG14" i="126"/>
  <c r="F582" i="73"/>
  <c r="BJ17" i="126"/>
  <c r="F508" i="73"/>
  <c r="BI24" i="126"/>
  <c r="G568" i="73"/>
  <c r="BX3" i="126"/>
  <c r="W32" i="111"/>
  <c r="G248" i="73"/>
  <c r="BT7" i="126"/>
  <c r="G576" i="73"/>
  <c r="BX11" i="126"/>
  <c r="L12" i="123"/>
  <c r="L31" i="123"/>
  <c r="L33" i="123" s="1"/>
  <c r="G256" i="73"/>
  <c r="BT15" i="126"/>
  <c r="G407" i="73"/>
  <c r="BV4" i="126"/>
  <c r="G654" i="73"/>
  <c r="BY8" i="126"/>
  <c r="G255" i="73"/>
  <c r="BT14" i="126"/>
  <c r="G417" i="73"/>
  <c r="BV14" i="126"/>
  <c r="G421" i="73"/>
  <c r="BV18" i="126"/>
  <c r="BX24" i="126"/>
  <c r="AP6" i="73"/>
  <c r="L245" i="73" s="1"/>
  <c r="EL4" i="126"/>
  <c r="AQ7" i="73"/>
  <c r="M246" i="73" s="1"/>
  <c r="EZ5" i="126"/>
  <c r="AQ11" i="73"/>
  <c r="M250" i="73" s="1"/>
  <c r="EZ9" i="126"/>
  <c r="AQ17" i="73"/>
  <c r="M256" i="73" s="1"/>
  <c r="EZ15" i="126"/>
  <c r="AQ21" i="73"/>
  <c r="M260" i="73" s="1"/>
  <c r="EZ19" i="126"/>
  <c r="AQ25" i="73"/>
  <c r="EZ23" i="126"/>
  <c r="AQ29" i="73"/>
  <c r="M268" i="73" s="1"/>
  <c r="EZ27" i="126"/>
  <c r="AQ116" i="73"/>
  <c r="M496" i="73" s="1"/>
  <c r="FC12" i="126"/>
  <c r="AH151" i="73"/>
  <c r="D576" i="73" s="1"/>
  <c r="AH146" i="73"/>
  <c r="D571" i="73"/>
  <c r="I6" i="123"/>
  <c r="BJ11" i="126"/>
  <c r="H9" i="123"/>
  <c r="CY29" i="126"/>
  <c r="I340" i="73"/>
  <c r="CW18" i="126"/>
  <c r="I339" i="73"/>
  <c r="CW17" i="126"/>
  <c r="I257" i="73"/>
  <c r="CV16" i="126"/>
  <c r="I256" i="73"/>
  <c r="CV15" i="126"/>
  <c r="I255" i="73"/>
  <c r="CV14" i="126"/>
  <c r="I254" i="73"/>
  <c r="CV13" i="126"/>
  <c r="I495" i="73"/>
  <c r="CY11" i="126"/>
  <c r="I494" i="73"/>
  <c r="CY10" i="126"/>
  <c r="I493" i="73"/>
  <c r="CY9" i="126"/>
  <c r="I327" i="73"/>
  <c r="CW5" i="126"/>
  <c r="I326" i="73"/>
  <c r="CW4" i="126"/>
  <c r="CV3" i="126"/>
  <c r="S67" i="114"/>
  <c r="AN34" i="73" s="1"/>
  <c r="J429" i="73"/>
  <c r="DL26" i="126"/>
  <c r="DL25" i="126"/>
  <c r="J427" i="73"/>
  <c r="DL24" i="126"/>
  <c r="J426" i="73"/>
  <c r="DL23" i="126"/>
  <c r="J344" i="73"/>
  <c r="DK22" i="126"/>
  <c r="J343" i="73"/>
  <c r="DK21" i="126"/>
  <c r="J342" i="73"/>
  <c r="DK20" i="126"/>
  <c r="T32" i="114"/>
  <c r="DM18" i="126"/>
  <c r="J501" i="73"/>
  <c r="DM17" i="126"/>
  <c r="J500" i="73"/>
  <c r="DM16" i="126"/>
  <c r="J499" i="73"/>
  <c r="DM15" i="126"/>
  <c r="J498" i="73"/>
  <c r="DM14" i="126"/>
  <c r="J497" i="73"/>
  <c r="DM13" i="126"/>
  <c r="J496" i="73"/>
  <c r="DM12" i="126"/>
  <c r="J495" i="73"/>
  <c r="DM11" i="126"/>
  <c r="J494" i="73"/>
  <c r="DM10" i="126"/>
  <c r="J493" i="73"/>
  <c r="DM9" i="126"/>
  <c r="J492" i="73"/>
  <c r="DM8" i="126"/>
  <c r="J491" i="73"/>
  <c r="DM7" i="126"/>
  <c r="J490" i="73"/>
  <c r="DM6" i="126"/>
  <c r="J489" i="73"/>
  <c r="DM5" i="126"/>
  <c r="J488" i="73"/>
  <c r="DM4" i="126"/>
  <c r="DM3" i="126"/>
  <c r="U67" i="115"/>
  <c r="AO65" i="73"/>
  <c r="K351" i="73" s="1"/>
  <c r="DY29" i="126"/>
  <c r="AO64" i="73"/>
  <c r="K350" i="73" s="1"/>
  <c r="DY28" i="126"/>
  <c r="AO63" i="73"/>
  <c r="K349" i="73" s="1"/>
  <c r="DY27" i="126"/>
  <c r="AO62" i="73"/>
  <c r="K348" i="73" s="1"/>
  <c r="DY26" i="126"/>
  <c r="AO93" i="73"/>
  <c r="K426" i="73" s="1"/>
  <c r="DZ23" i="126"/>
  <c r="AO92" i="73"/>
  <c r="K425" i="73" s="1"/>
  <c r="DZ22" i="126"/>
  <c r="AO83" i="73"/>
  <c r="DZ13" i="126"/>
  <c r="AO6" i="73"/>
  <c r="K245" i="73" s="1"/>
  <c r="DX4" i="126"/>
  <c r="T67" i="116"/>
  <c r="AP65" i="73"/>
  <c r="L351" i="73" s="1"/>
  <c r="EM29" i="126"/>
  <c r="AP64" i="73"/>
  <c r="L350" i="73" s="1"/>
  <c r="EM28" i="126"/>
  <c r="AP63" i="73"/>
  <c r="L349" i="73" s="1"/>
  <c r="EM27" i="126"/>
  <c r="AP62" i="73"/>
  <c r="L348" i="73" s="1"/>
  <c r="EM26" i="126"/>
  <c r="AP61" i="73"/>
  <c r="L347" i="73" s="1"/>
  <c r="EM25" i="126"/>
  <c r="AP60" i="73"/>
  <c r="L346" i="73" s="1"/>
  <c r="EM24" i="126"/>
  <c r="AP59" i="73"/>
  <c r="L345" i="73" s="1"/>
  <c r="EM23" i="126"/>
  <c r="AP58" i="73"/>
  <c r="L344" i="73" s="1"/>
  <c r="EM22" i="126"/>
  <c r="AP57" i="73"/>
  <c r="L343" i="73" s="1"/>
  <c r="EM21" i="126"/>
  <c r="AP56" i="73"/>
  <c r="L342" i="73" s="1"/>
  <c r="EM20" i="126"/>
  <c r="AP55" i="73"/>
  <c r="L341" i="73" s="1"/>
  <c r="EM19" i="126"/>
  <c r="AP54" i="73"/>
  <c r="L340" i="73" s="1"/>
  <c r="EM18" i="126"/>
  <c r="AP53" i="73"/>
  <c r="L339" i="73" s="1"/>
  <c r="EM17" i="126"/>
  <c r="AP52" i="73"/>
  <c r="L338" i="73" s="1"/>
  <c r="EM16" i="126"/>
  <c r="AP51" i="73"/>
  <c r="L337" i="73" s="1"/>
  <c r="EM15" i="126"/>
  <c r="AP16" i="73"/>
  <c r="L255" i="73" s="1"/>
  <c r="EL14" i="126"/>
  <c r="AP15" i="73"/>
  <c r="L254" i="73" s="1"/>
  <c r="EL13" i="126"/>
  <c r="AP14" i="73"/>
  <c r="L253" i="73" s="1"/>
  <c r="EL12" i="126"/>
  <c r="AP114" i="73"/>
  <c r="L494" i="73" s="1"/>
  <c r="EO10" i="126"/>
  <c r="AP113" i="73"/>
  <c r="L493" i="73" s="1"/>
  <c r="EO9" i="126"/>
  <c r="AP112" i="73"/>
  <c r="L492" i="73" s="1"/>
  <c r="EO8" i="126"/>
  <c r="AP111" i="73"/>
  <c r="L491" i="73" s="1"/>
  <c r="EO7" i="126"/>
  <c r="AP110" i="73"/>
  <c r="L490" i="73" s="1"/>
  <c r="EO6" i="126"/>
  <c r="AP109" i="73"/>
  <c r="L489" i="73" s="1"/>
  <c r="EO5" i="126"/>
  <c r="AP108" i="73"/>
  <c r="L488" i="73" s="1"/>
  <c r="EO4" i="126"/>
  <c r="V32" i="116"/>
  <c r="AP73" i="73"/>
  <c r="EN3" i="126"/>
  <c r="CI3" i="126"/>
  <c r="H347" i="73"/>
  <c r="CI25" i="126"/>
  <c r="H343" i="73"/>
  <c r="CI21" i="126"/>
  <c r="GE105" i="63"/>
  <c r="I119" i="73"/>
  <c r="I553" i="73" s="1"/>
  <c r="GF105" i="63"/>
  <c r="J119" i="73"/>
  <c r="J553" i="73" s="1"/>
  <c r="GE109" i="63"/>
  <c r="GF109" i="63"/>
  <c r="GF101" i="63"/>
  <c r="FZ101" i="63"/>
  <c r="GG129" i="63"/>
  <c r="K149" i="73"/>
  <c r="K628" i="73" s="1"/>
  <c r="FZ144" i="63"/>
  <c r="D164" i="73"/>
  <c r="D643" i="73" s="1"/>
  <c r="GF146" i="63"/>
  <c r="J166" i="73"/>
  <c r="J645" i="73" s="1"/>
  <c r="FZ146" i="63"/>
  <c r="D166" i="73"/>
  <c r="D645" i="73" s="1"/>
  <c r="GC49" i="63"/>
  <c r="G55" i="73"/>
  <c r="G395" i="73" s="1"/>
  <c r="FY55" i="63"/>
  <c r="C61" i="73"/>
  <c r="C401" i="73" s="1"/>
  <c r="GA51" i="63"/>
  <c r="E57" i="73"/>
  <c r="E397" i="73" s="1"/>
  <c r="GB39" i="63"/>
  <c r="F45" i="73"/>
  <c r="F385" i="73" s="1"/>
  <c r="GA35" i="63"/>
  <c r="E41" i="73"/>
  <c r="E381" i="73" s="1"/>
  <c r="GE178" i="63"/>
  <c r="I202" i="73"/>
  <c r="I728" i="73" s="1"/>
  <c r="GB174" i="63"/>
  <c r="F198" i="73"/>
  <c r="F724" i="73" s="1"/>
  <c r="GB166" i="63"/>
  <c r="F190" i="73"/>
  <c r="F716" i="73" s="1"/>
  <c r="FZ162" i="63"/>
  <c r="D186" i="73"/>
  <c r="D712" i="73" s="1"/>
  <c r="GG154" i="63"/>
  <c r="K178" i="73"/>
  <c r="K704" i="73" s="1"/>
  <c r="FZ173" i="63"/>
  <c r="D197" i="73"/>
  <c r="D723" i="73" s="1"/>
  <c r="GE179" i="63"/>
  <c r="I203" i="73"/>
  <c r="I729" i="73" s="1"/>
  <c r="GE167" i="63"/>
  <c r="I191" i="73"/>
  <c r="I717" i="73" s="1"/>
  <c r="FZ163" i="63"/>
  <c r="D187" i="73"/>
  <c r="D713" i="73" s="1"/>
  <c r="FZ155" i="63"/>
  <c r="D179" i="73"/>
  <c r="D705" i="73" s="1"/>
  <c r="FY28" i="63"/>
  <c r="C30" i="73"/>
  <c r="C323" i="73" s="1"/>
  <c r="GD8" i="63"/>
  <c r="H10" i="73"/>
  <c r="H303" i="73" s="1"/>
  <c r="FY21" i="63"/>
  <c r="C23" i="73"/>
  <c r="C316" i="73" s="1"/>
  <c r="GE17" i="63"/>
  <c r="I19" i="73"/>
  <c r="I312" i="73" s="1"/>
  <c r="FZ17" i="63"/>
  <c r="D19" i="73"/>
  <c r="D312" i="73" s="1"/>
  <c r="GE9" i="63"/>
  <c r="I11" i="73"/>
  <c r="I304" i="73" s="1"/>
  <c r="FZ9" i="63"/>
  <c r="D11" i="73"/>
  <c r="D304" i="73" s="1"/>
  <c r="GD4" i="63"/>
  <c r="H6" i="73"/>
  <c r="H299" i="73" s="1"/>
  <c r="R27" i="112"/>
  <c r="AF24" i="73"/>
  <c r="B263" i="73" s="1"/>
  <c r="AF117" i="73"/>
  <c r="B497" i="73" s="1"/>
  <c r="AF49" i="73"/>
  <c r="B335" i="73" s="1"/>
  <c r="AF121" i="73"/>
  <c r="AC23" i="65"/>
  <c r="AF129" i="73"/>
  <c r="B509" i="73" s="1"/>
  <c r="AF58" i="73"/>
  <c r="B344" i="73" s="1"/>
  <c r="AF79" i="73"/>
  <c r="B412" i="73" s="1"/>
  <c r="AF5" i="73"/>
  <c r="B244" i="73" s="1"/>
  <c r="AF12" i="73"/>
  <c r="B251" i="73" s="1"/>
  <c r="AF14" i="73"/>
  <c r="AF97" i="73"/>
  <c r="AF11" i="73"/>
  <c r="B250" i="73" s="1"/>
  <c r="AF73" i="73"/>
  <c r="B406" i="73" s="1"/>
  <c r="AF80" i="73"/>
  <c r="B413" i="73"/>
  <c r="AF82" i="73"/>
  <c r="B415" i="73" s="1"/>
  <c r="AF23" i="73"/>
  <c r="P22" i="65"/>
  <c r="P4" i="65"/>
  <c r="G14" i="123"/>
  <c r="G23" i="123"/>
  <c r="AF147" i="73"/>
  <c r="B572" i="73" s="1"/>
  <c r="AH144" i="73"/>
  <c r="D569" i="73" s="1"/>
  <c r="AH156" i="73"/>
  <c r="D581" i="73" s="1"/>
  <c r="AG31" i="126"/>
  <c r="AG32" i="126"/>
  <c r="AH169" i="73"/>
  <c r="D594" i="73" s="1"/>
  <c r="E578" i="73"/>
  <c r="AV13" i="126"/>
  <c r="E582" i="73"/>
  <c r="AV17" i="126"/>
  <c r="E266" i="73"/>
  <c r="AR25" i="126"/>
  <c r="E594" i="73"/>
  <c r="AV29" i="126"/>
  <c r="E656" i="73"/>
  <c r="AW10" i="126"/>
  <c r="AW18" i="126"/>
  <c r="E576" i="73"/>
  <c r="AV11" i="126"/>
  <c r="E584" i="73"/>
  <c r="AV19" i="126"/>
  <c r="E585" i="73"/>
  <c r="AV20" i="126"/>
  <c r="AV6" i="126"/>
  <c r="F490" i="73"/>
  <c r="BI6" i="126"/>
  <c r="BI10" i="126"/>
  <c r="BI14" i="126"/>
  <c r="BK17" i="126"/>
  <c r="F346" i="73"/>
  <c r="BG24" i="126"/>
  <c r="F497" i="73"/>
  <c r="BI13" i="126"/>
  <c r="BI17" i="126"/>
  <c r="BK20" i="126"/>
  <c r="F491" i="73"/>
  <c r="BI7" i="126"/>
  <c r="BG13" i="126"/>
  <c r="F503" i="73"/>
  <c r="BI19" i="126"/>
  <c r="BG6" i="126"/>
  <c r="F574" i="73"/>
  <c r="BJ9" i="126"/>
  <c r="F500" i="73"/>
  <c r="BI16" i="126"/>
  <c r="F344" i="73"/>
  <c r="BG22" i="126"/>
  <c r="F590" i="73"/>
  <c r="BJ25" i="126"/>
  <c r="BK22" i="126"/>
  <c r="BT3" i="126"/>
  <c r="G572" i="73"/>
  <c r="BX7" i="126"/>
  <c r="G252" i="73"/>
  <c r="BT11" i="126"/>
  <c r="G580" i="73"/>
  <c r="BX15" i="126"/>
  <c r="G584" i="73"/>
  <c r="BX19" i="126"/>
  <c r="G588" i="73"/>
  <c r="BX23" i="126"/>
  <c r="G592" i="73"/>
  <c r="BX27" i="126"/>
  <c r="G571" i="73"/>
  <c r="BX6" i="126"/>
  <c r="G251" i="73"/>
  <c r="BT10" i="126"/>
  <c r="G415" i="73"/>
  <c r="BV12" i="126"/>
  <c r="G662" i="73"/>
  <c r="BY16" i="126"/>
  <c r="BY20" i="126"/>
  <c r="G664" i="73"/>
  <c r="BY18" i="126"/>
  <c r="G593" i="73"/>
  <c r="G653" i="73"/>
  <c r="BY7" i="126"/>
  <c r="G414" i="73"/>
  <c r="BV11" i="126"/>
  <c r="G661" i="73"/>
  <c r="BY15" i="126"/>
  <c r="G422" i="73"/>
  <c r="BV19" i="126"/>
  <c r="G426" i="73"/>
  <c r="BV23" i="126"/>
  <c r="G430" i="73"/>
  <c r="BV27" i="126"/>
  <c r="G569" i="73"/>
  <c r="BX4" i="126"/>
  <c r="G429" i="73"/>
  <c r="BV26" i="126"/>
  <c r="J422" i="73"/>
  <c r="DL19" i="126"/>
  <c r="AQ5" i="73"/>
  <c r="M244" i="73"/>
  <c r="EZ3" i="126"/>
  <c r="AQ9" i="73"/>
  <c r="M248" i="73" s="1"/>
  <c r="EZ7" i="126"/>
  <c r="AQ14" i="73"/>
  <c r="M253" i="73" s="1"/>
  <c r="EZ12" i="126"/>
  <c r="AQ19" i="73"/>
  <c r="M258" i="73" s="1"/>
  <c r="EZ17" i="126"/>
  <c r="AQ23" i="73"/>
  <c r="M262" i="73" s="1"/>
  <c r="EZ21" i="126"/>
  <c r="AQ27" i="73"/>
  <c r="M266" i="73" s="1"/>
  <c r="EZ25" i="126"/>
  <c r="AQ45" i="73"/>
  <c r="M331" i="73" s="1"/>
  <c r="FA9" i="126"/>
  <c r="AQ52" i="73"/>
  <c r="M338" i="73" s="1"/>
  <c r="FA16" i="126"/>
  <c r="AQ54" i="73"/>
  <c r="M340" i="73" s="1"/>
  <c r="FA18" i="126"/>
  <c r="AQ56" i="73"/>
  <c r="M342" i="73" s="1"/>
  <c r="FA20" i="126"/>
  <c r="AQ58" i="73"/>
  <c r="FA22" i="126"/>
  <c r="AQ60" i="73"/>
  <c r="FA24" i="126"/>
  <c r="AQ74" i="73"/>
  <c r="M407" i="73" s="1"/>
  <c r="FB4" i="126"/>
  <c r="AQ78" i="73"/>
  <c r="M411" i="73" s="1"/>
  <c r="FB8" i="126"/>
  <c r="AQ82" i="73"/>
  <c r="M415" i="73" s="1"/>
  <c r="FB12" i="126"/>
  <c r="AQ86" i="73"/>
  <c r="M419" i="73" s="1"/>
  <c r="FB16" i="126"/>
  <c r="AQ92" i="73"/>
  <c r="M425" i="73" s="1"/>
  <c r="FB22" i="126"/>
  <c r="AQ97" i="73"/>
  <c r="M430" i="73" s="1"/>
  <c r="FB27" i="126"/>
  <c r="AQ119" i="73"/>
  <c r="M499" i="73" s="1"/>
  <c r="FC15" i="126"/>
  <c r="AQ121" i="73"/>
  <c r="M501" i="73" s="1"/>
  <c r="FC17" i="126"/>
  <c r="AQ126" i="73"/>
  <c r="M506" i="73" s="1"/>
  <c r="FC22" i="126"/>
  <c r="AQ128" i="73"/>
  <c r="M508" i="73" s="1"/>
  <c r="FC24" i="126"/>
  <c r="AQ131" i="73"/>
  <c r="M511" i="73" s="1"/>
  <c r="FC27" i="126"/>
  <c r="AQ133" i="73"/>
  <c r="FC29" i="126"/>
  <c r="AH155" i="73"/>
  <c r="D580" i="73" s="1"/>
  <c r="AH158" i="73"/>
  <c r="D583" i="73" s="1"/>
  <c r="AG158" i="73"/>
  <c r="C583" i="73" s="1"/>
  <c r="C14" i="124"/>
  <c r="D253" i="73"/>
  <c r="D417" i="73"/>
  <c r="D503" i="73"/>
  <c r="D490" i="73"/>
  <c r="D330" i="73"/>
  <c r="D494" i="73"/>
  <c r="D334" i="73"/>
  <c r="D498" i="73"/>
  <c r="D338" i="73"/>
  <c r="D342" i="73"/>
  <c r="D506" i="73"/>
  <c r="D346" i="73"/>
  <c r="D510" i="73"/>
  <c r="D432" i="73"/>
  <c r="D661" i="73"/>
  <c r="D504" i="73"/>
  <c r="D508" i="73"/>
  <c r="D247" i="73"/>
  <c r="D497" i="73"/>
  <c r="D666" i="73"/>
  <c r="D263" i="73"/>
  <c r="D427" i="73"/>
  <c r="D488" i="73"/>
  <c r="D418" i="73"/>
  <c r="D258" i="73"/>
  <c r="D328" i="73"/>
  <c r="AH157" i="73"/>
  <c r="D582" i="73" s="1"/>
  <c r="E351" i="73"/>
  <c r="AS29" i="126"/>
  <c r="E350" i="73"/>
  <c r="AS28" i="126"/>
  <c r="E349" i="73"/>
  <c r="AS27" i="126"/>
  <c r="E429" i="73"/>
  <c r="AT26" i="126"/>
  <c r="E428" i="73"/>
  <c r="AT25" i="126"/>
  <c r="E346" i="73"/>
  <c r="AS24" i="126"/>
  <c r="E345" i="73"/>
  <c r="AS23" i="126"/>
  <c r="E344" i="73"/>
  <c r="AS22" i="126"/>
  <c r="E343" i="73"/>
  <c r="AS21" i="126"/>
  <c r="E342" i="73"/>
  <c r="AS20" i="126"/>
  <c r="E341" i="73"/>
  <c r="AS19" i="126"/>
  <c r="E340" i="73"/>
  <c r="AS18" i="126"/>
  <c r="E257" i="73"/>
  <c r="AR16" i="126"/>
  <c r="E256" i="73"/>
  <c r="AR15" i="126"/>
  <c r="E255" i="73"/>
  <c r="AR14" i="126"/>
  <c r="E254" i="73"/>
  <c r="AR13" i="126"/>
  <c r="E253" i="73"/>
  <c r="AR12" i="126"/>
  <c r="E252" i="73"/>
  <c r="AR11" i="126"/>
  <c r="E332" i="73"/>
  <c r="AS10" i="126"/>
  <c r="E331" i="73"/>
  <c r="AS9" i="126"/>
  <c r="E249" i="73"/>
  <c r="AR8" i="126"/>
  <c r="E248" i="73"/>
  <c r="AR7" i="126"/>
  <c r="E247" i="73"/>
  <c r="AR6" i="126"/>
  <c r="AR5" i="126"/>
  <c r="AS4" i="126"/>
  <c r="AS3" i="126"/>
  <c r="F270" i="73"/>
  <c r="BF29" i="126"/>
  <c r="BF28" i="126"/>
  <c r="F267" i="73"/>
  <c r="BF26" i="126"/>
  <c r="BH24" i="126"/>
  <c r="F424" i="73"/>
  <c r="BH21" i="126"/>
  <c r="F261" i="73"/>
  <c r="BF20" i="126"/>
  <c r="F421" i="73"/>
  <c r="BH18" i="126"/>
  <c r="BJ16" i="126"/>
  <c r="F256" i="73"/>
  <c r="BF15" i="126"/>
  <c r="F416" i="73"/>
  <c r="BH13" i="126"/>
  <c r="BF12" i="126"/>
  <c r="F413" i="73"/>
  <c r="BH10" i="126"/>
  <c r="BJ8" i="126"/>
  <c r="BF7" i="126"/>
  <c r="BH5" i="126"/>
  <c r="BU29" i="126"/>
  <c r="G269" i="73"/>
  <c r="BT28" i="126"/>
  <c r="G510" i="73"/>
  <c r="BW26" i="126"/>
  <c r="G347" i="73"/>
  <c r="BU25" i="126"/>
  <c r="BT24" i="126"/>
  <c r="G506" i="73"/>
  <c r="BW22" i="126"/>
  <c r="BU21" i="126"/>
  <c r="G261" i="73"/>
  <c r="BT20" i="126"/>
  <c r="G502" i="73"/>
  <c r="BW18" i="126"/>
  <c r="G339" i="73"/>
  <c r="BU17" i="126"/>
  <c r="G337" i="73"/>
  <c r="BU15" i="126"/>
  <c r="BU13" i="126"/>
  <c r="G333" i="73"/>
  <c r="BU11" i="126"/>
  <c r="G331" i="73"/>
  <c r="BU9" i="126"/>
  <c r="G329" i="73"/>
  <c r="BU7" i="126"/>
  <c r="BU5" i="126"/>
  <c r="G325" i="73"/>
  <c r="BU3" i="126"/>
  <c r="I270" i="73"/>
  <c r="CV29" i="126"/>
  <c r="CV27" i="126"/>
  <c r="I266" i="73"/>
  <c r="CV25" i="126"/>
  <c r="I264" i="73"/>
  <c r="CV23" i="126"/>
  <c r="I262" i="73"/>
  <c r="CV21" i="126"/>
  <c r="I261" i="73"/>
  <c r="CV20" i="126"/>
  <c r="I260" i="73"/>
  <c r="CV19" i="126"/>
  <c r="I501" i="73"/>
  <c r="CY17" i="126"/>
  <c r="FQ17" i="126" s="1"/>
  <c r="I500" i="73"/>
  <c r="CY16" i="126"/>
  <c r="I334" i="73"/>
  <c r="CW12" i="126"/>
  <c r="I333" i="73"/>
  <c r="CW11" i="126"/>
  <c r="I332" i="73"/>
  <c r="CW10" i="126"/>
  <c r="I250" i="73"/>
  <c r="CV9" i="126"/>
  <c r="I249" i="73"/>
  <c r="CV8" i="126"/>
  <c r="I248" i="73"/>
  <c r="CV7" i="126"/>
  <c r="I247" i="73"/>
  <c r="CV6" i="126"/>
  <c r="I488" i="73"/>
  <c r="CY4" i="126"/>
  <c r="CY3" i="126"/>
  <c r="FQ3" i="126" s="1"/>
  <c r="J351" i="73"/>
  <c r="DK29" i="126"/>
  <c r="J350" i="73"/>
  <c r="DK28" i="126"/>
  <c r="J349" i="73"/>
  <c r="DK27" i="126"/>
  <c r="J267" i="73"/>
  <c r="DJ26" i="126"/>
  <c r="J266" i="73"/>
  <c r="DJ25" i="126"/>
  <c r="J265" i="73"/>
  <c r="DJ24" i="126"/>
  <c r="J264" i="73"/>
  <c r="DJ23" i="126"/>
  <c r="J341" i="73"/>
  <c r="DK19" i="126"/>
  <c r="J340" i="73"/>
  <c r="DK18" i="126"/>
  <c r="J339" i="73"/>
  <c r="DK17" i="126"/>
  <c r="J338" i="73"/>
  <c r="DK16" i="126"/>
  <c r="J337" i="73"/>
  <c r="DK15" i="126"/>
  <c r="J336" i="73"/>
  <c r="DK14" i="126"/>
  <c r="J335" i="73"/>
  <c r="DK13" i="126"/>
  <c r="J334" i="73"/>
  <c r="DK12" i="126"/>
  <c r="J333" i="73"/>
  <c r="DK11" i="126"/>
  <c r="J332" i="73"/>
  <c r="DK10" i="126"/>
  <c r="J331" i="73"/>
  <c r="DK9" i="126"/>
  <c r="J330" i="73"/>
  <c r="DK8" i="126"/>
  <c r="J329" i="73"/>
  <c r="DK7" i="126"/>
  <c r="J328" i="73"/>
  <c r="DK6" i="126"/>
  <c r="DK5" i="126"/>
  <c r="J326" i="73"/>
  <c r="DK4" i="126"/>
  <c r="DJ3" i="126"/>
  <c r="AO133" i="73"/>
  <c r="K513" i="73" s="1"/>
  <c r="EA29" i="126"/>
  <c r="AO132" i="73"/>
  <c r="K512" i="73" s="1"/>
  <c r="EA28" i="126"/>
  <c r="AO131" i="73"/>
  <c r="K511" i="73" s="1"/>
  <c r="EA27" i="126"/>
  <c r="AO130" i="73"/>
  <c r="K510" i="73" s="1"/>
  <c r="EA26" i="126"/>
  <c r="AO61" i="73"/>
  <c r="K347" i="73" s="1"/>
  <c r="DY25" i="126"/>
  <c r="AO59" i="73"/>
  <c r="K345" i="73" s="1"/>
  <c r="DY23" i="126"/>
  <c r="AO58" i="73"/>
  <c r="K344" i="73" s="1"/>
  <c r="DY22" i="126"/>
  <c r="AO57" i="73"/>
  <c r="K343" i="73" s="1"/>
  <c r="DY21" i="126"/>
  <c r="AO55" i="73"/>
  <c r="K341" i="73" s="1"/>
  <c r="DY19" i="126"/>
  <c r="AO54" i="73"/>
  <c r="K340" i="73"/>
  <c r="DY18" i="126"/>
  <c r="AO53" i="73"/>
  <c r="K339" i="73" s="1"/>
  <c r="DY17" i="126"/>
  <c r="AO52" i="73"/>
  <c r="K338" i="73" s="1"/>
  <c r="DY16" i="126"/>
  <c r="AO51" i="73"/>
  <c r="K337" i="73" s="1"/>
  <c r="DY15" i="126"/>
  <c r="AO50" i="73"/>
  <c r="K336" i="73" s="1"/>
  <c r="DY14" i="126"/>
  <c r="AO47" i="73"/>
  <c r="K333" i="73" s="1"/>
  <c r="DY11" i="126"/>
  <c r="AO46" i="73"/>
  <c r="K332" i="73" s="1"/>
  <c r="DY10" i="126"/>
  <c r="AO11" i="73"/>
  <c r="DX9" i="126"/>
  <c r="AO10" i="73"/>
  <c r="K249" i="73" s="1"/>
  <c r="DX8" i="126"/>
  <c r="AO9" i="73"/>
  <c r="K248" i="73"/>
  <c r="DX7" i="126"/>
  <c r="AO109" i="73"/>
  <c r="K489" i="73" s="1"/>
  <c r="EA5" i="126"/>
  <c r="AO108" i="73"/>
  <c r="K488" i="73" s="1"/>
  <c r="EA4" i="126"/>
  <c r="AO73" i="73"/>
  <c r="K406" i="73" s="1"/>
  <c r="DZ3" i="126"/>
  <c r="AP133" i="73"/>
  <c r="L513" i="73" s="1"/>
  <c r="EO29" i="126"/>
  <c r="AP132" i="73"/>
  <c r="L512" i="73" s="1"/>
  <c r="EO28" i="126"/>
  <c r="AP131" i="73"/>
  <c r="EO27" i="126"/>
  <c r="AP130" i="73"/>
  <c r="L510" i="73" s="1"/>
  <c r="EO26" i="126"/>
  <c r="AP129" i="73"/>
  <c r="L509" i="73" s="1"/>
  <c r="EO25" i="126"/>
  <c r="AP128" i="73"/>
  <c r="EO24" i="126"/>
  <c r="AP127" i="73"/>
  <c r="L507" i="73" s="1"/>
  <c r="EO23" i="126"/>
  <c r="AP126" i="73"/>
  <c r="L506" i="73" s="1"/>
  <c r="EO22" i="126"/>
  <c r="AP125" i="73"/>
  <c r="L505" i="73" s="1"/>
  <c r="EO21" i="126"/>
  <c r="AP124" i="73"/>
  <c r="L504" i="73" s="1"/>
  <c r="EO20" i="126"/>
  <c r="AP123" i="73"/>
  <c r="L503" i="73" s="1"/>
  <c r="EO19" i="126"/>
  <c r="AP122" i="73"/>
  <c r="L502" i="73" s="1"/>
  <c r="EO18" i="126"/>
  <c r="AP121" i="73"/>
  <c r="L501" i="73" s="1"/>
  <c r="EO17" i="126"/>
  <c r="AP120" i="73"/>
  <c r="L500" i="73" s="1"/>
  <c r="EO16" i="126"/>
  <c r="AP119" i="73"/>
  <c r="L499" i="73" s="1"/>
  <c r="EO15" i="126"/>
  <c r="AP118" i="73"/>
  <c r="EO14" i="126"/>
  <c r="AP83" i="73"/>
  <c r="L416" i="73" s="1"/>
  <c r="EN13" i="126"/>
  <c r="AP82" i="73"/>
  <c r="EN12" i="126"/>
  <c r="AP47" i="73"/>
  <c r="EM11" i="126"/>
  <c r="AP46" i="73"/>
  <c r="L332" i="73" s="1"/>
  <c r="EM10" i="126"/>
  <c r="AP45" i="73"/>
  <c r="L331" i="73" s="1"/>
  <c r="EM9" i="126"/>
  <c r="AP44" i="73"/>
  <c r="L330" i="73"/>
  <c r="EM8" i="126"/>
  <c r="AP43" i="73"/>
  <c r="EM7" i="126"/>
  <c r="AP42" i="73"/>
  <c r="L328" i="73" s="1"/>
  <c r="EM6" i="126"/>
  <c r="AP41" i="73"/>
  <c r="L327" i="73" s="1"/>
  <c r="EM5" i="126"/>
  <c r="AP40" i="73"/>
  <c r="L326" i="73" s="1"/>
  <c r="EM4" i="126"/>
  <c r="AP5" i="73"/>
  <c r="EL3" i="126"/>
  <c r="V102" i="116"/>
  <c r="H244" i="73"/>
  <c r="CH3" i="126"/>
  <c r="H266" i="73"/>
  <c r="CH25" i="126"/>
  <c r="H262" i="73"/>
  <c r="CH21" i="126"/>
  <c r="CH16" i="126"/>
  <c r="H253" i="73"/>
  <c r="CH12" i="126"/>
  <c r="CH7" i="126"/>
  <c r="GE103" i="63"/>
  <c r="I117" i="73"/>
  <c r="DH120" i="63"/>
  <c r="GE145" i="63"/>
  <c r="I165" i="73"/>
  <c r="GB141" i="63"/>
  <c r="F161" i="73"/>
  <c r="F640" i="73" s="1"/>
  <c r="GE137" i="63"/>
  <c r="I157" i="73"/>
  <c r="I636" i="73" s="1"/>
  <c r="GB133" i="63"/>
  <c r="F153" i="73"/>
  <c r="F632" i="73" s="1"/>
  <c r="FZ129" i="63"/>
  <c r="D149" i="73"/>
  <c r="FZ142" i="63"/>
  <c r="FZ138" i="63"/>
  <c r="D158" i="73"/>
  <c r="D637" i="73" s="1"/>
  <c r="GF134" i="63"/>
  <c r="GF130" i="63"/>
  <c r="J150" i="73"/>
  <c r="J629" i="73" s="1"/>
  <c r="GC55" i="63"/>
  <c r="G61" i="73"/>
  <c r="G401" i="73" s="1"/>
  <c r="GG47" i="63"/>
  <c r="K53" i="73"/>
  <c r="K393" i="73" s="1"/>
  <c r="GB43" i="63"/>
  <c r="F49" i="73"/>
  <c r="GG39" i="63"/>
  <c r="K45" i="73"/>
  <c r="K385" i="73" s="1"/>
  <c r="GA39" i="63"/>
  <c r="E45" i="73"/>
  <c r="E385" i="73" s="1"/>
  <c r="GF54" i="63"/>
  <c r="J60" i="73"/>
  <c r="J400" i="73" s="1"/>
  <c r="GF158" i="63"/>
  <c r="J182" i="73"/>
  <c r="J708" i="73" s="1"/>
  <c r="GA161" i="63"/>
  <c r="E185" i="73"/>
  <c r="E711" i="73" s="1"/>
  <c r="FZ171" i="63"/>
  <c r="D195" i="73"/>
  <c r="D721" i="73" s="1"/>
  <c r="FZ167" i="63"/>
  <c r="D191" i="73"/>
  <c r="D717" i="73" s="1"/>
  <c r="GF163" i="63"/>
  <c r="J187" i="73"/>
  <c r="GF159" i="63"/>
  <c r="J183" i="73"/>
  <c r="J709" i="73" s="1"/>
  <c r="GF155" i="63"/>
  <c r="J179" i="73"/>
  <c r="J705" i="73" s="1"/>
  <c r="GE13" i="63"/>
  <c r="I15" i="73"/>
  <c r="I308" i="73" s="1"/>
  <c r="GF5" i="63"/>
  <c r="J7" i="73"/>
  <c r="J300" i="73" s="1"/>
  <c r="H28" i="125"/>
  <c r="AF110" i="73"/>
  <c r="B490" i="73" s="1"/>
  <c r="AF26" i="73"/>
  <c r="B265" i="73" s="1"/>
  <c r="AF113" i="73"/>
  <c r="AF112" i="73"/>
  <c r="B492" i="73" s="1"/>
  <c r="AF47" i="73"/>
  <c r="B333" i="73" s="1"/>
  <c r="AF119" i="73"/>
  <c r="B499" i="73" s="1"/>
  <c r="AF126" i="73"/>
  <c r="B506" i="73" s="1"/>
  <c r="AF65" i="73"/>
  <c r="B351" i="73" s="1"/>
  <c r="AF44" i="73"/>
  <c r="B330" i="73" s="1"/>
  <c r="AF115" i="73"/>
  <c r="AF52" i="73"/>
  <c r="AF60" i="73"/>
  <c r="B346" i="73" s="1"/>
  <c r="AF45" i="73"/>
  <c r="B331" i="73" s="1"/>
  <c r="AF94" i="73"/>
  <c r="AF31" i="73"/>
  <c r="B270" i="73"/>
  <c r="AF76" i="73"/>
  <c r="B409" i="73"/>
  <c r="AB23" i="121"/>
  <c r="AB5" i="121"/>
  <c r="G17" i="123"/>
  <c r="G24" i="123"/>
  <c r="G11" i="123"/>
  <c r="G28" i="123"/>
  <c r="AH160" i="73"/>
  <c r="D585" i="73" s="1"/>
  <c r="D350" i="73"/>
  <c r="AH150" i="73"/>
  <c r="D575" i="73" s="1"/>
  <c r="AV5" i="126"/>
  <c r="AW15" i="126"/>
  <c r="AW19" i="126"/>
  <c r="AW26" i="126"/>
  <c r="AW22" i="126"/>
  <c r="AV3" i="126"/>
  <c r="E588" i="73"/>
  <c r="AV23" i="126"/>
  <c r="E593" i="73"/>
  <c r="AV28" i="126"/>
  <c r="E579" i="73"/>
  <c r="AV14" i="126"/>
  <c r="F326" i="73"/>
  <c r="BG4" i="126"/>
  <c r="F502" i="73"/>
  <c r="BI18" i="126"/>
  <c r="BK21" i="126"/>
  <c r="F350" i="73"/>
  <c r="BG28" i="126"/>
  <c r="F329" i="73"/>
  <c r="BG7" i="126"/>
  <c r="BG11" i="126"/>
  <c r="BI21" i="126"/>
  <c r="F509" i="73"/>
  <c r="BI25" i="126"/>
  <c r="F327" i="73"/>
  <c r="BG5" i="126"/>
  <c r="BG10" i="126"/>
  <c r="BJ13" i="126"/>
  <c r="F504" i="73"/>
  <c r="BI20" i="126"/>
  <c r="BG26" i="126"/>
  <c r="BJ29" i="126"/>
  <c r="F499" i="73"/>
  <c r="BI15" i="126"/>
  <c r="F347" i="73"/>
  <c r="BG25" i="126"/>
  <c r="BY5" i="126"/>
  <c r="BV9" i="126"/>
  <c r="G424" i="73"/>
  <c r="BV21" i="126"/>
  <c r="BV25" i="126"/>
  <c r="G432" i="73"/>
  <c r="BV29" i="126"/>
  <c r="BY4" i="126"/>
  <c r="BV8" i="126"/>
  <c r="G579" i="73"/>
  <c r="BX14" i="126"/>
  <c r="G583" i="73"/>
  <c r="BX18" i="126"/>
  <c r="G409" i="73"/>
  <c r="BV6" i="126"/>
  <c r="G413" i="73"/>
  <c r="BV10" i="126"/>
  <c r="G577" i="73"/>
  <c r="BX12" i="126"/>
  <c r="G585" i="73"/>
  <c r="BX20" i="126"/>
  <c r="G406" i="73"/>
  <c r="BV3" i="126"/>
  <c r="G570" i="73"/>
  <c r="BX5" i="126"/>
  <c r="BT9" i="126"/>
  <c r="BZ9" i="126"/>
  <c r="G578" i="73"/>
  <c r="BX13" i="126"/>
  <c r="BT17" i="126"/>
  <c r="BZ17" i="126"/>
  <c r="G652" i="73"/>
  <c r="BY6" i="126"/>
  <c r="BT16" i="126"/>
  <c r="G425" i="73"/>
  <c r="BV22" i="126"/>
  <c r="AP81" i="73"/>
  <c r="L414" i="73" s="1"/>
  <c r="EN11" i="126"/>
  <c r="AP136" i="73"/>
  <c r="L739" i="73" s="1"/>
  <c r="EO31" i="126"/>
  <c r="AQ6" i="73"/>
  <c r="M245" i="73" s="1"/>
  <c r="EZ4" i="126"/>
  <c r="AQ10" i="73"/>
  <c r="M249" i="73" s="1"/>
  <c r="EZ8" i="126"/>
  <c r="AQ15" i="73"/>
  <c r="M254" i="73" s="1"/>
  <c r="EZ13" i="126"/>
  <c r="AQ20" i="73"/>
  <c r="M259" i="73" s="1"/>
  <c r="EZ18" i="126"/>
  <c r="AQ24" i="73"/>
  <c r="M263" i="73" s="1"/>
  <c r="EZ22" i="126"/>
  <c r="AQ28" i="73"/>
  <c r="M267" i="73" s="1"/>
  <c r="EZ26" i="126"/>
  <c r="AQ40" i="73"/>
  <c r="M326" i="73"/>
  <c r="FA4" i="126"/>
  <c r="AQ42" i="73"/>
  <c r="M328" i="73" s="1"/>
  <c r="FA6" i="126"/>
  <c r="AQ48" i="73"/>
  <c r="M334" i="73" s="1"/>
  <c r="FA12" i="126"/>
  <c r="AQ50" i="73"/>
  <c r="M336" i="73"/>
  <c r="FA14" i="126"/>
  <c r="AQ63" i="73"/>
  <c r="M349" i="73" s="1"/>
  <c r="FA27" i="126"/>
  <c r="AQ75" i="73"/>
  <c r="M408" i="73" s="1"/>
  <c r="FB5" i="126"/>
  <c r="AQ79" i="73"/>
  <c r="M412" i="73"/>
  <c r="FB9" i="126"/>
  <c r="AQ83" i="73"/>
  <c r="M416" i="73" s="1"/>
  <c r="FB13" i="126"/>
  <c r="AQ88" i="73"/>
  <c r="M421" i="73" s="1"/>
  <c r="FB18" i="126"/>
  <c r="AQ94" i="73"/>
  <c r="M427" i="73" s="1"/>
  <c r="FB24" i="126"/>
  <c r="AQ98" i="73"/>
  <c r="M431" i="73" s="1"/>
  <c r="FB28" i="126"/>
  <c r="AQ108" i="73"/>
  <c r="M488" i="73" s="1"/>
  <c r="FC4" i="126"/>
  <c r="AQ110" i="73"/>
  <c r="M490" i="73" s="1"/>
  <c r="FC6" i="126"/>
  <c r="AQ112" i="73"/>
  <c r="M492" i="73" s="1"/>
  <c r="FC8" i="126"/>
  <c r="AH143" i="73"/>
  <c r="AH163" i="73"/>
  <c r="D588" i="73" s="1"/>
  <c r="C13" i="124"/>
  <c r="C16" i="124"/>
  <c r="BJ26" i="126"/>
  <c r="D491" i="73"/>
  <c r="D331" i="73"/>
  <c r="D660" i="73"/>
  <c r="D421" i="73"/>
  <c r="D244" i="73"/>
  <c r="D657" i="73"/>
  <c r="D325" i="73"/>
  <c r="D654" i="73"/>
  <c r="AJ10" i="126"/>
  <c r="D501" i="73"/>
  <c r="D341" i="73"/>
  <c r="D670" i="73"/>
  <c r="D267" i="73"/>
  <c r="D431" i="73"/>
  <c r="D262" i="73"/>
  <c r="D348" i="73"/>
  <c r="BY30" i="126"/>
  <c r="G4" i="123"/>
  <c r="AH153" i="73"/>
  <c r="D578" i="73" s="1"/>
  <c r="AR29" i="126"/>
  <c r="AR28" i="126"/>
  <c r="E268" i="73"/>
  <c r="AR27" i="126"/>
  <c r="E348" i="73"/>
  <c r="AS26" i="126"/>
  <c r="E347" i="73"/>
  <c r="AS25" i="126"/>
  <c r="E264" i="73"/>
  <c r="AR23" i="126"/>
  <c r="E263" i="73"/>
  <c r="AR22" i="126"/>
  <c r="E262" i="73"/>
  <c r="AR21" i="126"/>
  <c r="E261" i="73"/>
  <c r="AR20" i="126"/>
  <c r="E260" i="73"/>
  <c r="AR19" i="126"/>
  <c r="E259" i="73"/>
  <c r="AR18" i="126"/>
  <c r="AU16" i="126"/>
  <c r="E499" i="73"/>
  <c r="AU15" i="126"/>
  <c r="AU14" i="126"/>
  <c r="AU13" i="126"/>
  <c r="AU12" i="126"/>
  <c r="E495" i="73"/>
  <c r="AU11" i="126"/>
  <c r="AV10" i="126"/>
  <c r="AR10" i="126"/>
  <c r="AU8" i="126"/>
  <c r="E491" i="73"/>
  <c r="AU7" i="126"/>
  <c r="E490" i="73"/>
  <c r="AU6" i="126"/>
  <c r="E489" i="73"/>
  <c r="AU5" i="126"/>
  <c r="E569" i="73"/>
  <c r="AV4" i="126"/>
  <c r="E245" i="73"/>
  <c r="AR4" i="126"/>
  <c r="AR3" i="126"/>
  <c r="F430" i="73"/>
  <c r="BH27" i="126"/>
  <c r="F428" i="73"/>
  <c r="BH25" i="126"/>
  <c r="F265" i="73"/>
  <c r="BF24" i="126"/>
  <c r="F262" i="73"/>
  <c r="BF21" i="126"/>
  <c r="F422" i="73"/>
  <c r="BH19" i="126"/>
  <c r="BF18" i="126"/>
  <c r="BH16" i="126"/>
  <c r="F579" i="73"/>
  <c r="BJ14" i="126"/>
  <c r="F254" i="73"/>
  <c r="BF13" i="126"/>
  <c r="BH11" i="126"/>
  <c r="F251" i="73"/>
  <c r="BF10" i="126"/>
  <c r="BH8" i="126"/>
  <c r="BJ6" i="126"/>
  <c r="BF5" i="126"/>
  <c r="BJ3" i="126"/>
  <c r="G270" i="73"/>
  <c r="BT29" i="126"/>
  <c r="BZ29" i="126"/>
  <c r="G511" i="73"/>
  <c r="BW27" i="126"/>
  <c r="G348" i="73"/>
  <c r="BU26" i="126"/>
  <c r="BT25" i="126"/>
  <c r="BZ25" i="126"/>
  <c r="G507" i="73"/>
  <c r="BW23" i="126"/>
  <c r="G344" i="73"/>
  <c r="BU22" i="126"/>
  <c r="G262" i="73"/>
  <c r="BT21" i="126"/>
  <c r="BZ21" i="126"/>
  <c r="G503" i="73"/>
  <c r="BW19" i="126"/>
  <c r="G340" i="73"/>
  <c r="BU18" i="126"/>
  <c r="G500" i="73"/>
  <c r="BW16" i="126"/>
  <c r="G498" i="73"/>
  <c r="BW14" i="126"/>
  <c r="BW12" i="126"/>
  <c r="G494" i="73"/>
  <c r="BW10" i="126"/>
  <c r="G492" i="73"/>
  <c r="BW8" i="126"/>
  <c r="G490" i="73"/>
  <c r="BW6" i="126"/>
  <c r="BW4" i="126"/>
  <c r="I512" i="73"/>
  <c r="CY28" i="126"/>
  <c r="I511" i="73"/>
  <c r="CY27" i="126"/>
  <c r="I510" i="73"/>
  <c r="CY26" i="126"/>
  <c r="I509" i="73"/>
  <c r="CY25" i="126"/>
  <c r="I508" i="73"/>
  <c r="CY24" i="126"/>
  <c r="CY23" i="126"/>
  <c r="I506" i="73"/>
  <c r="CY22" i="126"/>
  <c r="I505" i="73"/>
  <c r="CY21" i="126"/>
  <c r="I504" i="73"/>
  <c r="CY20" i="126"/>
  <c r="I502" i="73"/>
  <c r="CY18" i="126"/>
  <c r="FQ18" i="126" s="1"/>
  <c r="I338" i="73"/>
  <c r="CW16" i="126"/>
  <c r="I336" i="73"/>
  <c r="CW14" i="126"/>
  <c r="I253" i="73"/>
  <c r="CV12" i="126"/>
  <c r="I251" i="73"/>
  <c r="CV10" i="126"/>
  <c r="I491" i="73"/>
  <c r="CY7" i="126"/>
  <c r="I489" i="73"/>
  <c r="CY5" i="126"/>
  <c r="J270" i="73"/>
  <c r="DJ29" i="126"/>
  <c r="J269" i="73"/>
  <c r="DJ28" i="126"/>
  <c r="J268" i="73"/>
  <c r="DJ27" i="126"/>
  <c r="J425" i="73"/>
  <c r="DL22" i="126"/>
  <c r="J424" i="73"/>
  <c r="DL21" i="126"/>
  <c r="J423" i="73"/>
  <c r="DL20" i="126"/>
  <c r="J260" i="73"/>
  <c r="DJ19" i="126"/>
  <c r="J259" i="73"/>
  <c r="DJ18" i="126"/>
  <c r="J258" i="73"/>
  <c r="DJ17" i="126"/>
  <c r="J257" i="73"/>
  <c r="DJ16" i="126"/>
  <c r="J256" i="73"/>
  <c r="DJ15" i="126"/>
  <c r="J255" i="73"/>
  <c r="DJ14" i="126"/>
  <c r="DJ13" i="126"/>
  <c r="J253" i="73"/>
  <c r="DJ12" i="126"/>
  <c r="J252" i="73"/>
  <c r="DJ11" i="126"/>
  <c r="J251" i="73"/>
  <c r="DJ10" i="126"/>
  <c r="J250" i="73"/>
  <c r="DJ9" i="126"/>
  <c r="J249" i="73"/>
  <c r="DJ8" i="126"/>
  <c r="J248" i="73"/>
  <c r="DJ7" i="126"/>
  <c r="J247" i="73"/>
  <c r="DJ6" i="126"/>
  <c r="J246" i="73"/>
  <c r="DJ5" i="126"/>
  <c r="DJ4" i="126"/>
  <c r="AO99" i="73"/>
  <c r="K432" i="73" s="1"/>
  <c r="DZ29" i="126"/>
  <c r="AO98" i="73"/>
  <c r="K431" i="73" s="1"/>
  <c r="DZ28" i="126"/>
  <c r="AO97" i="73"/>
  <c r="K430" i="73" s="1"/>
  <c r="DZ27" i="126"/>
  <c r="AO96" i="73"/>
  <c r="K429" i="73" s="1"/>
  <c r="DZ26" i="126"/>
  <c r="AO27" i="73"/>
  <c r="K266" i="73" s="1"/>
  <c r="DX25" i="126"/>
  <c r="AO26" i="73"/>
  <c r="K265" i="73" s="1"/>
  <c r="DX24" i="126"/>
  <c r="AO25" i="73"/>
  <c r="K264" i="73" s="1"/>
  <c r="DX23" i="126"/>
  <c r="AO23" i="73"/>
  <c r="DX21" i="126"/>
  <c r="AO22" i="73"/>
  <c r="K261" i="73" s="1"/>
  <c r="DX20" i="126"/>
  <c r="AO20" i="73"/>
  <c r="K259" i="73" s="1"/>
  <c r="DX18" i="126"/>
  <c r="AO19" i="73"/>
  <c r="K258" i="73" s="1"/>
  <c r="DX17" i="126"/>
  <c r="AO18" i="73"/>
  <c r="K257" i="73" s="1"/>
  <c r="DX16" i="126"/>
  <c r="AO17" i="73"/>
  <c r="K256" i="73" s="1"/>
  <c r="DX15" i="126"/>
  <c r="AO15" i="73"/>
  <c r="K254" i="73" s="1"/>
  <c r="DX13" i="126"/>
  <c r="AO14" i="73"/>
  <c r="K253" i="73" s="1"/>
  <c r="DX12" i="126"/>
  <c r="AO13" i="73"/>
  <c r="K252" i="73" s="1"/>
  <c r="DX11" i="126"/>
  <c r="AO112" i="73"/>
  <c r="K492" i="73" s="1"/>
  <c r="EA8" i="126"/>
  <c r="AO111" i="73"/>
  <c r="K491" i="73" s="1"/>
  <c r="EA7" i="126"/>
  <c r="AO110" i="73"/>
  <c r="K490" i="73" s="1"/>
  <c r="EA6" i="126"/>
  <c r="AO75" i="73"/>
  <c r="K408" i="73" s="1"/>
  <c r="DZ5" i="126"/>
  <c r="AO74" i="73"/>
  <c r="DZ4" i="126"/>
  <c r="P32" i="128"/>
  <c r="L32" i="128"/>
  <c r="X46" i="114"/>
  <c r="AC28" i="122"/>
  <c r="V28" i="114"/>
  <c r="AN130" i="73" s="1"/>
  <c r="AC24" i="122"/>
  <c r="V24" i="114"/>
  <c r="AN126" i="73" s="1"/>
  <c r="AC20" i="122"/>
  <c r="V21" i="114"/>
  <c r="AN123" i="73" s="1"/>
  <c r="Z31" i="122"/>
  <c r="U31" i="113"/>
  <c r="Z22" i="122"/>
  <c r="U20" i="113"/>
  <c r="Z18" i="122"/>
  <c r="AN18" i="122" s="1"/>
  <c r="AP18" i="122" s="1"/>
  <c r="U18" i="113"/>
  <c r="Z14" i="122"/>
  <c r="U14" i="113"/>
  <c r="Z11" i="122"/>
  <c r="U11" i="113"/>
  <c r="Z8" i="122"/>
  <c r="U7" i="113"/>
  <c r="H487" i="73"/>
  <c r="CK3" i="126"/>
  <c r="CK27" i="126"/>
  <c r="H507" i="73"/>
  <c r="CK23" i="126"/>
  <c r="CK19" i="126"/>
  <c r="H499" i="73"/>
  <c r="CK15" i="126"/>
  <c r="H35" i="121"/>
  <c r="T102" i="108"/>
  <c r="T35" i="121"/>
  <c r="S102" i="110"/>
  <c r="W102" i="110"/>
  <c r="K34" i="123"/>
  <c r="CO23" i="63"/>
  <c r="CP23" i="63"/>
  <c r="CN33" i="63"/>
  <c r="CO33" i="63"/>
  <c r="GB33" i="63"/>
  <c r="CN41" i="63"/>
  <c r="FN41" i="63"/>
  <c r="CP41" i="63"/>
  <c r="CO49" i="63"/>
  <c r="FB49" i="63"/>
  <c r="CT49" i="63"/>
  <c r="FG49" i="63"/>
  <c r="CK57" i="63"/>
  <c r="CM57" i="63"/>
  <c r="FM57" i="63"/>
  <c r="CS66" i="63"/>
  <c r="CN66" i="63"/>
  <c r="GA66" i="63"/>
  <c r="E76" i="73"/>
  <c r="E463" i="73" s="1"/>
  <c r="CT74" i="63"/>
  <c r="FT74" i="63"/>
  <c r="CR74" i="63"/>
  <c r="CM82" i="63"/>
  <c r="CS82" i="63"/>
  <c r="CM86" i="63"/>
  <c r="EZ86" i="63"/>
  <c r="CR86" i="63"/>
  <c r="CM119" i="63"/>
  <c r="FZ119" i="63"/>
  <c r="D133" i="73"/>
  <c r="D567" i="73" s="1"/>
  <c r="CN119" i="63"/>
  <c r="GA119" i="63"/>
  <c r="E133" i="73"/>
  <c r="E567" i="73" s="1"/>
  <c r="CM153" i="63"/>
  <c r="FZ153" i="63"/>
  <c r="D177" i="73"/>
  <c r="CN153" i="63"/>
  <c r="GA153" i="63"/>
  <c r="E177" i="73"/>
  <c r="E703" i="73" s="1"/>
  <c r="AJ98" i="126"/>
  <c r="EA98" i="126"/>
  <c r="ED96" i="126"/>
  <c r="GG70" i="126"/>
  <c r="FS96" i="126"/>
  <c r="FS98" i="126"/>
  <c r="W31" i="106"/>
  <c r="F29" i="126"/>
  <c r="AF99" i="73"/>
  <c r="X65" i="106"/>
  <c r="R65" i="106"/>
  <c r="W28" i="107"/>
  <c r="T26" i="126"/>
  <c r="W60" i="107"/>
  <c r="W54" i="107"/>
  <c r="Q67" i="107"/>
  <c r="T67" i="107"/>
  <c r="AG68" i="73"/>
  <c r="J32" i="107"/>
  <c r="H32" i="107"/>
  <c r="W8" i="107"/>
  <c r="T5" i="126"/>
  <c r="B32" i="107"/>
  <c r="J67" i="107"/>
  <c r="W42" i="107"/>
  <c r="D67" i="107"/>
  <c r="N33" i="122"/>
  <c r="CL23" i="126"/>
  <c r="CL15" i="126"/>
  <c r="H575" i="73"/>
  <c r="CL10" i="126"/>
  <c r="CL8" i="126"/>
  <c r="B51" i="62"/>
  <c r="G58" i="62"/>
  <c r="D51" i="62"/>
  <c r="D407" i="73"/>
  <c r="D493" i="73"/>
  <c r="D333" i="73"/>
  <c r="D259" i="73"/>
  <c r="D349" i="73"/>
  <c r="D340" i="73"/>
  <c r="D669" i="73"/>
  <c r="AH161" i="73"/>
  <c r="D586" i="73" s="1"/>
  <c r="E432" i="73"/>
  <c r="AT29" i="126"/>
  <c r="AT28" i="126"/>
  <c r="E430" i="73"/>
  <c r="AT27" i="126"/>
  <c r="AU26" i="126"/>
  <c r="AU25" i="126"/>
  <c r="AT24" i="126"/>
  <c r="E426" i="73"/>
  <c r="AT23" i="126"/>
  <c r="E425" i="73"/>
  <c r="AT22" i="126"/>
  <c r="E424" i="73"/>
  <c r="AT21" i="126"/>
  <c r="AT20" i="126"/>
  <c r="AT19" i="126"/>
  <c r="AT18" i="126"/>
  <c r="E420" i="73"/>
  <c r="AT17" i="126"/>
  <c r="E338" i="73"/>
  <c r="AS16" i="126"/>
  <c r="E337" i="73"/>
  <c r="AS15" i="126"/>
  <c r="E336" i="73"/>
  <c r="AS14" i="126"/>
  <c r="E335" i="73"/>
  <c r="AS13" i="126"/>
  <c r="E334" i="73"/>
  <c r="AS12" i="126"/>
  <c r="E333" i="73"/>
  <c r="AS11" i="126"/>
  <c r="E413" i="73"/>
  <c r="AT10" i="126"/>
  <c r="E412" i="73"/>
  <c r="AT9" i="126"/>
  <c r="E330" i="73"/>
  <c r="AS8" i="126"/>
  <c r="E329" i="73"/>
  <c r="AS7" i="126"/>
  <c r="AS6" i="126"/>
  <c r="E327" i="73"/>
  <c r="AS5" i="126"/>
  <c r="E407" i="73"/>
  <c r="AT4" i="126"/>
  <c r="E406" i="73"/>
  <c r="AT3" i="126"/>
  <c r="AT30" i="126"/>
  <c r="F268" i="73"/>
  <c r="BF27" i="126"/>
  <c r="F266" i="73"/>
  <c r="BF25" i="126"/>
  <c r="F426" i="73"/>
  <c r="BH23" i="126"/>
  <c r="F425" i="73"/>
  <c r="BH22" i="126"/>
  <c r="BJ20" i="126"/>
  <c r="BF19" i="126"/>
  <c r="F257" i="73"/>
  <c r="BF16" i="126"/>
  <c r="BH14" i="126"/>
  <c r="F577" i="73"/>
  <c r="BJ12" i="126"/>
  <c r="F252" i="73"/>
  <c r="BF11" i="126"/>
  <c r="F412" i="73"/>
  <c r="BH9" i="126"/>
  <c r="F249" i="73"/>
  <c r="BF8" i="126"/>
  <c r="F409" i="73"/>
  <c r="BH6" i="126"/>
  <c r="BW28" i="126"/>
  <c r="G349" i="73"/>
  <c r="BU27" i="126"/>
  <c r="G267" i="73"/>
  <c r="BT26" i="126"/>
  <c r="BZ26" i="126"/>
  <c r="G508" i="73"/>
  <c r="BW24" i="126"/>
  <c r="G345" i="73"/>
  <c r="BU23" i="126"/>
  <c r="G263" i="73"/>
  <c r="BT22" i="126"/>
  <c r="BZ22" i="126"/>
  <c r="BW20" i="126"/>
  <c r="G341" i="73"/>
  <c r="BU19" i="126"/>
  <c r="G259" i="73"/>
  <c r="BT18" i="126"/>
  <c r="BZ18" i="126"/>
  <c r="G338" i="73"/>
  <c r="BU16" i="126"/>
  <c r="G336" i="73"/>
  <c r="BU14" i="126"/>
  <c r="BU12" i="126"/>
  <c r="G332" i="73"/>
  <c r="BU10" i="126"/>
  <c r="G330" i="73"/>
  <c r="BU8" i="126"/>
  <c r="G328" i="73"/>
  <c r="BU6" i="126"/>
  <c r="BU4" i="126"/>
  <c r="I431" i="73"/>
  <c r="CX28" i="126"/>
  <c r="I430" i="73"/>
  <c r="I429" i="73"/>
  <c r="CX26" i="126"/>
  <c r="I427" i="73"/>
  <c r="CX24" i="126"/>
  <c r="FP24" i="126" s="1"/>
  <c r="I426" i="73"/>
  <c r="I425" i="73"/>
  <c r="CX22" i="126"/>
  <c r="I422" i="73"/>
  <c r="CX19" i="126"/>
  <c r="I418" i="73"/>
  <c r="CX15" i="126"/>
  <c r="I417" i="73"/>
  <c r="CX14" i="126"/>
  <c r="I416" i="73"/>
  <c r="CX13" i="126"/>
  <c r="I414" i="73"/>
  <c r="CX11" i="126"/>
  <c r="I411" i="73"/>
  <c r="CX8" i="126"/>
  <c r="I410" i="73"/>
  <c r="CX7" i="126"/>
  <c r="I409" i="73"/>
  <c r="CX6" i="126"/>
  <c r="CX3" i="126"/>
  <c r="J513" i="73"/>
  <c r="DM29" i="126"/>
  <c r="J512" i="73"/>
  <c r="DM28" i="126"/>
  <c r="J511" i="73"/>
  <c r="DM27" i="126"/>
  <c r="J509" i="73"/>
  <c r="DM25" i="126"/>
  <c r="J508" i="73"/>
  <c r="DM24" i="126"/>
  <c r="J507" i="73"/>
  <c r="DM23" i="126"/>
  <c r="J505" i="73"/>
  <c r="DM21" i="126"/>
  <c r="J504" i="73"/>
  <c r="DM20" i="126"/>
  <c r="J421" i="73"/>
  <c r="DL18" i="126"/>
  <c r="J420" i="73"/>
  <c r="DL17" i="126"/>
  <c r="J419" i="73"/>
  <c r="DL16" i="126"/>
  <c r="J418" i="73"/>
  <c r="DL15" i="126"/>
  <c r="J417" i="73"/>
  <c r="DL14" i="126"/>
  <c r="J416" i="73"/>
  <c r="DL13" i="126"/>
  <c r="J415" i="73"/>
  <c r="DL12" i="126"/>
  <c r="J414" i="73"/>
  <c r="DL11" i="126"/>
  <c r="J413" i="73"/>
  <c r="DL10" i="126"/>
  <c r="J412" i="73"/>
  <c r="DL9" i="126"/>
  <c r="J411" i="73"/>
  <c r="DL8" i="126"/>
  <c r="J410" i="73"/>
  <c r="DL7" i="126"/>
  <c r="J409" i="73"/>
  <c r="DL6" i="126"/>
  <c r="J408" i="73"/>
  <c r="DL5" i="126"/>
  <c r="J407" i="73"/>
  <c r="DL4" i="126"/>
  <c r="J325" i="73"/>
  <c r="DK3" i="126"/>
  <c r="DK30" i="126"/>
  <c r="DK32" i="126" s="1"/>
  <c r="AO31" i="73"/>
  <c r="K270" i="73" s="1"/>
  <c r="DX29" i="126"/>
  <c r="AO30" i="73"/>
  <c r="K269" i="73" s="1"/>
  <c r="DX28" i="126"/>
  <c r="AO29" i="73"/>
  <c r="K268" i="73" s="1"/>
  <c r="DX27" i="126"/>
  <c r="AO128" i="73"/>
  <c r="K508" i="73" s="1"/>
  <c r="EA24" i="126"/>
  <c r="AO127" i="73"/>
  <c r="K507" i="73" s="1"/>
  <c r="EA23" i="126"/>
  <c r="AO126" i="73"/>
  <c r="K506" i="73" s="1"/>
  <c r="EA22" i="126"/>
  <c r="AO125" i="73"/>
  <c r="K505" i="73" s="1"/>
  <c r="EA21" i="126"/>
  <c r="AO124" i="73"/>
  <c r="K504" i="73" s="1"/>
  <c r="EA20" i="126"/>
  <c r="AO123" i="73"/>
  <c r="K503" i="73" s="1"/>
  <c r="EA19" i="126"/>
  <c r="AO122" i="73"/>
  <c r="K502" i="73" s="1"/>
  <c r="EA18" i="126"/>
  <c r="AO121" i="73"/>
  <c r="K501" i="73" s="1"/>
  <c r="EA17" i="126"/>
  <c r="AO120" i="73"/>
  <c r="K500" i="73" s="1"/>
  <c r="EA16" i="126"/>
  <c r="AO119" i="73"/>
  <c r="EA15" i="126"/>
  <c r="AO118" i="73"/>
  <c r="K498" i="73" s="1"/>
  <c r="EA14" i="126"/>
  <c r="AO117" i="73"/>
  <c r="EA13" i="126"/>
  <c r="AO116" i="73"/>
  <c r="K496" i="73" s="1"/>
  <c r="EA12" i="126"/>
  <c r="AO115" i="73"/>
  <c r="K495" i="73" s="1"/>
  <c r="EA11" i="126"/>
  <c r="AO114" i="73"/>
  <c r="EA10" i="126"/>
  <c r="AO113" i="73"/>
  <c r="K493" i="73" s="1"/>
  <c r="EA9" i="126"/>
  <c r="AO78" i="73"/>
  <c r="DZ8" i="126"/>
  <c r="AO77" i="73"/>
  <c r="K410" i="73" s="1"/>
  <c r="DZ7" i="126"/>
  <c r="AO76" i="73"/>
  <c r="DZ6" i="126"/>
  <c r="AO41" i="73"/>
  <c r="K327" i="73" s="1"/>
  <c r="DY5" i="126"/>
  <c r="AO39" i="73"/>
  <c r="K325" i="73" s="1"/>
  <c r="DY3" i="126"/>
  <c r="AP99" i="73"/>
  <c r="L432" i="73" s="1"/>
  <c r="EN29" i="126"/>
  <c r="AP98" i="73"/>
  <c r="L431" i="73" s="1"/>
  <c r="EN28" i="126"/>
  <c r="AP97" i="73"/>
  <c r="L430" i="73" s="1"/>
  <c r="EN27" i="126"/>
  <c r="AP96" i="73"/>
  <c r="L429" i="73" s="1"/>
  <c r="EN26" i="126"/>
  <c r="AP95" i="73"/>
  <c r="L428" i="73" s="1"/>
  <c r="EN25" i="126"/>
  <c r="AP94" i="73"/>
  <c r="L427" i="73" s="1"/>
  <c r="EN24" i="126"/>
  <c r="AP93" i="73"/>
  <c r="L426" i="73" s="1"/>
  <c r="EN23" i="126"/>
  <c r="AP92" i="73"/>
  <c r="L425" i="73" s="1"/>
  <c r="EN22" i="126"/>
  <c r="AP91" i="73"/>
  <c r="L424" i="73" s="1"/>
  <c r="EN21" i="126"/>
  <c r="AP90" i="73"/>
  <c r="L423" i="73" s="1"/>
  <c r="EN20" i="126"/>
  <c r="AP89" i="73"/>
  <c r="L422" i="73" s="1"/>
  <c r="EN19" i="126"/>
  <c r="AP88" i="73"/>
  <c r="L421" i="73"/>
  <c r="EN18" i="126"/>
  <c r="AP87" i="73"/>
  <c r="L420" i="73" s="1"/>
  <c r="EN17" i="126"/>
  <c r="AP86" i="73"/>
  <c r="L419" i="73" s="1"/>
  <c r="EN16" i="126"/>
  <c r="AP85" i="73"/>
  <c r="L418" i="73" s="1"/>
  <c r="EN15" i="126"/>
  <c r="AP50" i="73"/>
  <c r="L336" i="73" s="1"/>
  <c r="EM14" i="126"/>
  <c r="AP49" i="73"/>
  <c r="L335" i="73" s="1"/>
  <c r="EM13" i="126"/>
  <c r="AP48" i="73"/>
  <c r="L334" i="73" s="1"/>
  <c r="EM12" i="126"/>
  <c r="AP13" i="73"/>
  <c r="L252" i="73" s="1"/>
  <c r="EL11" i="126"/>
  <c r="AP12" i="73"/>
  <c r="L251" i="73" s="1"/>
  <c r="EL10" i="126"/>
  <c r="AP11" i="73"/>
  <c r="L250" i="73" s="1"/>
  <c r="EL9" i="126"/>
  <c r="AP10" i="73"/>
  <c r="L249" i="73" s="1"/>
  <c r="EL8" i="126"/>
  <c r="AP9" i="73"/>
  <c r="L248" i="73"/>
  <c r="EL7" i="126"/>
  <c r="AP8" i="73"/>
  <c r="L247" i="73" s="1"/>
  <c r="EL6" i="126"/>
  <c r="AP7" i="73"/>
  <c r="EL5" i="126"/>
  <c r="AP107" i="73"/>
  <c r="EO3" i="126"/>
  <c r="EO30" i="126"/>
  <c r="EO32" i="126"/>
  <c r="CN177" i="63"/>
  <c r="CR173" i="63"/>
  <c r="FE173" i="63"/>
  <c r="CR169" i="63"/>
  <c r="CS165" i="63"/>
  <c r="GF165" i="63"/>
  <c r="J189" i="73"/>
  <c r="J715" i="73" s="1"/>
  <c r="CT161" i="63"/>
  <c r="CM157" i="63"/>
  <c r="FZ157" i="63"/>
  <c r="D181" i="73"/>
  <c r="D707" i="73" s="1"/>
  <c r="CR148" i="63"/>
  <c r="GE148" i="63"/>
  <c r="I168" i="73"/>
  <c r="CR144" i="63"/>
  <c r="FE144" i="63"/>
  <c r="CO140" i="63"/>
  <c r="FO140" i="63"/>
  <c r="CT136" i="63"/>
  <c r="GG136" i="63"/>
  <c r="CM132" i="63"/>
  <c r="FM132" i="63"/>
  <c r="CM128" i="63"/>
  <c r="CR119" i="63"/>
  <c r="FR119" i="63"/>
  <c r="CO115" i="63"/>
  <c r="CS111" i="63"/>
  <c r="GF111" i="63"/>
  <c r="J125" i="73"/>
  <c r="J559" i="73" s="1"/>
  <c r="CM107" i="63"/>
  <c r="CM103" i="63"/>
  <c r="FM103" i="63"/>
  <c r="CN95" i="63"/>
  <c r="FN95" i="63"/>
  <c r="CO86" i="63"/>
  <c r="FO86" i="63"/>
  <c r="CO78" i="63"/>
  <c r="CM70" i="63"/>
  <c r="FZ70" i="63"/>
  <c r="D80" i="73"/>
  <c r="CT53" i="63"/>
  <c r="GG53" i="63"/>
  <c r="CT45" i="63"/>
  <c r="GG45" i="63"/>
  <c r="CN37" i="63"/>
  <c r="GA37" i="63"/>
  <c r="CS19" i="63"/>
  <c r="CL8" i="63"/>
  <c r="FY8" i="63"/>
  <c r="C10" i="73"/>
  <c r="CS8" i="63"/>
  <c r="CQ16" i="63"/>
  <c r="CS16" i="63"/>
  <c r="FS16" i="63"/>
  <c r="CV16" i="63"/>
  <c r="CP20" i="63"/>
  <c r="FP20" i="63"/>
  <c r="CV20" i="63"/>
  <c r="CN24" i="63"/>
  <c r="CO24" i="63"/>
  <c r="FB24" i="63"/>
  <c r="CP28" i="63"/>
  <c r="FP28" i="63"/>
  <c r="CM28" i="63"/>
  <c r="FZ28" i="63"/>
  <c r="D30" i="73"/>
  <c r="D323" i="73" s="1"/>
  <c r="CP34" i="63"/>
  <c r="CT34" i="63"/>
  <c r="GG34" i="63"/>
  <c r="K40" i="73"/>
  <c r="CU38" i="63"/>
  <c r="FU38" i="63"/>
  <c r="CT38" i="63"/>
  <c r="FT38" i="63"/>
  <c r="CP42" i="63"/>
  <c r="CU42" i="63"/>
  <c r="FU42" i="63"/>
  <c r="CU46" i="63"/>
  <c r="CN46" i="63"/>
  <c r="GA46" i="63"/>
  <c r="E52" i="73"/>
  <c r="E392" i="73" s="1"/>
  <c r="CP50" i="63"/>
  <c r="CN50" i="63"/>
  <c r="GA50" i="63"/>
  <c r="E56" i="73"/>
  <c r="E396" i="73" s="1"/>
  <c r="CK50" i="63"/>
  <c r="CT54" i="63"/>
  <c r="GG54" i="63"/>
  <c r="K60" i="73"/>
  <c r="K400" i="73" s="1"/>
  <c r="CO54" i="63"/>
  <c r="GB54" i="63"/>
  <c r="F60" i="73"/>
  <c r="F400" i="73" s="1"/>
  <c r="CO58" i="63"/>
  <c r="FO58" i="63"/>
  <c r="CR58" i="63"/>
  <c r="GE58" i="63"/>
  <c r="CT63" i="63"/>
  <c r="FT63" i="63"/>
  <c r="CO63" i="63"/>
  <c r="FB63" i="63"/>
  <c r="CO67" i="63"/>
  <c r="FO67" i="63"/>
  <c r="CS67" i="63"/>
  <c r="GF67" i="63"/>
  <c r="J77" i="73"/>
  <c r="CT71" i="63"/>
  <c r="GG71" i="63"/>
  <c r="K81" i="73"/>
  <c r="CS71" i="63"/>
  <c r="GF71" i="63"/>
  <c r="J81" i="73"/>
  <c r="J468" i="73" s="1"/>
  <c r="CO75" i="63"/>
  <c r="GB75" i="63"/>
  <c r="F85" i="73"/>
  <c r="CT75" i="63"/>
  <c r="GG75" i="63"/>
  <c r="K85" i="73"/>
  <c r="K472" i="73" s="1"/>
  <c r="CT79" i="63"/>
  <c r="FT79" i="63"/>
  <c r="CM79" i="63"/>
  <c r="CO83" i="63"/>
  <c r="GB83" i="63"/>
  <c r="F93" i="73"/>
  <c r="F480" i="73" s="1"/>
  <c r="CM83" i="63"/>
  <c r="FM83" i="63"/>
  <c r="CN83" i="63"/>
  <c r="FN83" i="63"/>
  <c r="CT87" i="63"/>
  <c r="CR87" i="63"/>
  <c r="GE87" i="63"/>
  <c r="I97" i="73"/>
  <c r="CO96" i="63"/>
  <c r="GB96" i="63"/>
  <c r="F110" i="73"/>
  <c r="CR96" i="63"/>
  <c r="FR96" i="63"/>
  <c r="CT100" i="63"/>
  <c r="FT100" i="63"/>
  <c r="CO100" i="63"/>
  <c r="GB100" i="63"/>
  <c r="CM108" i="63"/>
  <c r="FM108" i="63"/>
  <c r="CR108" i="63"/>
  <c r="FR108" i="63"/>
  <c r="GE69" i="126"/>
  <c r="GC92" i="126"/>
  <c r="GC88" i="126"/>
  <c r="GE85" i="126"/>
  <c r="GE81" i="126"/>
  <c r="GC74" i="126"/>
  <c r="GC97" i="126"/>
  <c r="GG80" i="126"/>
  <c r="GG82" i="126"/>
  <c r="GG84" i="126"/>
  <c r="GG86" i="126"/>
  <c r="GG88" i="126"/>
  <c r="GA69" i="126"/>
  <c r="GA73" i="126"/>
  <c r="GA93" i="126"/>
  <c r="AF89" i="73"/>
  <c r="B422" i="73" s="1"/>
  <c r="H42" i="119"/>
  <c r="H497" i="73"/>
  <c r="CK13" i="126"/>
  <c r="H493" i="73"/>
  <c r="CK9" i="126"/>
  <c r="H489" i="73"/>
  <c r="CK5" i="126"/>
  <c r="E21" i="128"/>
  <c r="J5" i="122"/>
  <c r="CV12" i="63"/>
  <c r="CN178" i="63"/>
  <c r="GA178" i="63"/>
  <c r="E202" i="73"/>
  <c r="CN170" i="63"/>
  <c r="CN162" i="63"/>
  <c r="FN162" i="63"/>
  <c r="CN154" i="63"/>
  <c r="GA154" i="63"/>
  <c r="E178" i="73"/>
  <c r="E704" i="73" s="1"/>
  <c r="CN145" i="63"/>
  <c r="GA145" i="63"/>
  <c r="E165" i="73"/>
  <c r="E644" i="73" s="1"/>
  <c r="CN137" i="63"/>
  <c r="CN129" i="63"/>
  <c r="FN129" i="63"/>
  <c r="CN116" i="63"/>
  <c r="GA116" i="63"/>
  <c r="CN108" i="63"/>
  <c r="CN104" i="63"/>
  <c r="GA104" i="63"/>
  <c r="E118" i="73"/>
  <c r="E552" i="73" s="1"/>
  <c r="CM104" i="63"/>
  <c r="FZ104" i="63"/>
  <c r="D118" i="73"/>
  <c r="D552" i="73" s="1"/>
  <c r="CN96" i="63"/>
  <c r="GA96" i="63"/>
  <c r="E110" i="73"/>
  <c r="E544" i="73" s="1"/>
  <c r="CO87" i="63"/>
  <c r="GB87" i="63"/>
  <c r="F97" i="73"/>
  <c r="F484" i="73" s="1"/>
  <c r="CS83" i="63"/>
  <c r="FS83" i="63"/>
  <c r="CS79" i="63"/>
  <c r="FS79" i="63"/>
  <c r="CM75" i="63"/>
  <c r="FZ75" i="63"/>
  <c r="D85" i="73"/>
  <c r="D472" i="73" s="1"/>
  <c r="CN67" i="63"/>
  <c r="GA67" i="63"/>
  <c r="E77" i="73"/>
  <c r="CR63" i="63"/>
  <c r="FE63" i="63"/>
  <c r="CS58" i="63"/>
  <c r="CM54" i="63"/>
  <c r="FZ54" i="63"/>
  <c r="D60" i="73"/>
  <c r="D400" i="73" s="1"/>
  <c r="CU50" i="63"/>
  <c r="GH50" i="63"/>
  <c r="L56" i="73"/>
  <c r="CK42" i="63"/>
  <c r="FK42" i="63"/>
  <c r="CO38" i="63"/>
  <c r="FO38" i="63"/>
  <c r="CO34" i="63"/>
  <c r="GB34" i="63"/>
  <c r="F40" i="73"/>
  <c r="CU28" i="63"/>
  <c r="GH28" i="63"/>
  <c r="L30" i="73"/>
  <c r="L323" i="73" s="1"/>
  <c r="CT24" i="63"/>
  <c r="FT24" i="63"/>
  <c r="CL20" i="63"/>
  <c r="FY20" i="63"/>
  <c r="C22" i="73"/>
  <c r="CR8" i="63"/>
  <c r="CR177" i="63"/>
  <c r="FR177" i="63"/>
  <c r="CO173" i="63"/>
  <c r="CT169" i="63"/>
  <c r="CM165" i="63"/>
  <c r="FZ165" i="63"/>
  <c r="D189" i="73"/>
  <c r="D715" i="73" s="1"/>
  <c r="CM161" i="63"/>
  <c r="FZ161" i="63"/>
  <c r="D185" i="73"/>
  <c r="D711" i="73" s="1"/>
  <c r="CR153" i="63"/>
  <c r="FE153" i="63"/>
  <c r="CO148" i="63"/>
  <c r="CS144" i="63"/>
  <c r="CM140" i="63"/>
  <c r="FZ140" i="63"/>
  <c r="D160" i="73"/>
  <c r="D639" i="73" s="1"/>
  <c r="CM136" i="63"/>
  <c r="FZ136" i="63"/>
  <c r="CN128" i="63"/>
  <c r="CO124" i="63"/>
  <c r="GB124" i="63"/>
  <c r="F144" i="73"/>
  <c r="CS119" i="63"/>
  <c r="GF119" i="63"/>
  <c r="J133" i="73"/>
  <c r="J567" i="73" s="1"/>
  <c r="CS115" i="63"/>
  <c r="GF115" i="63"/>
  <c r="J129" i="73"/>
  <c r="CM111" i="63"/>
  <c r="FM111" i="63"/>
  <c r="CN103" i="63"/>
  <c r="GA103" i="63"/>
  <c r="E117" i="73"/>
  <c r="E551" i="73" s="1"/>
  <c r="CR99" i="63"/>
  <c r="FR99" i="63"/>
  <c r="CS95" i="63"/>
  <c r="FS95" i="63"/>
  <c r="CS86" i="63"/>
  <c r="CN74" i="63"/>
  <c r="GA74" i="63"/>
  <c r="E84" i="73"/>
  <c r="E471" i="73" s="1"/>
  <c r="CT66" i="63"/>
  <c r="GG66" i="63"/>
  <c r="K76" i="73"/>
  <c r="K463" i="73" s="1"/>
  <c r="CU53" i="63"/>
  <c r="FU53" i="63"/>
  <c r="CO41" i="63"/>
  <c r="FB41" i="63"/>
  <c r="CK27" i="63"/>
  <c r="FX27" i="63"/>
  <c r="B29" i="73"/>
  <c r="B322" i="73" s="1"/>
  <c r="CR15" i="63"/>
  <c r="FE15" i="63"/>
  <c r="GF87" i="126"/>
  <c r="W42" i="113"/>
  <c r="W28" i="113"/>
  <c r="W24" i="113"/>
  <c r="H267" i="73"/>
  <c r="CH26" i="126"/>
  <c r="H263" i="73"/>
  <c r="CH22" i="126"/>
  <c r="H258" i="73"/>
  <c r="CH17" i="126"/>
  <c r="H250" i="73"/>
  <c r="CH9" i="126"/>
  <c r="H245" i="73"/>
  <c r="CH4" i="126"/>
  <c r="H348" i="73"/>
  <c r="CI26" i="126"/>
  <c r="H344" i="73"/>
  <c r="CI22" i="126"/>
  <c r="H336" i="73"/>
  <c r="CI14" i="126"/>
  <c r="H332" i="73"/>
  <c r="CI10" i="126"/>
  <c r="H327" i="73"/>
  <c r="CI5" i="126"/>
  <c r="H430" i="73"/>
  <c r="CJ27" i="126"/>
  <c r="CJ23" i="126"/>
  <c r="H422" i="73"/>
  <c r="CJ19" i="126"/>
  <c r="H417" i="73"/>
  <c r="CJ14" i="126"/>
  <c r="H413" i="73"/>
  <c r="CJ10" i="126"/>
  <c r="H409" i="73"/>
  <c r="CJ6" i="126"/>
  <c r="H421" i="73"/>
  <c r="CJ18" i="126"/>
  <c r="H330" i="73"/>
  <c r="CI8" i="126"/>
  <c r="CK28" i="126"/>
  <c r="H508" i="73"/>
  <c r="CK24" i="126"/>
  <c r="H504" i="73"/>
  <c r="CK20" i="126"/>
  <c r="H500" i="73"/>
  <c r="CK16" i="126"/>
  <c r="CK12" i="126"/>
  <c r="H492" i="73"/>
  <c r="CK8" i="126"/>
  <c r="H488" i="73"/>
  <c r="CK4" i="126"/>
  <c r="Z86" i="62"/>
  <c r="V85" i="62"/>
  <c r="C31" i="64"/>
  <c r="B31" i="64"/>
  <c r="GB69" i="126"/>
  <c r="GB71" i="126"/>
  <c r="GE95" i="126"/>
  <c r="GD94" i="126"/>
  <c r="GE91" i="126"/>
  <c r="GD90" i="126"/>
  <c r="GE87" i="126"/>
  <c r="GC84" i="126"/>
  <c r="GC80" i="126"/>
  <c r="GE73" i="126"/>
  <c r="GD72" i="126"/>
  <c r="GC70" i="126"/>
  <c r="GF81" i="126"/>
  <c r="GF83" i="126"/>
  <c r="GF89" i="126"/>
  <c r="GG92" i="126"/>
  <c r="GG94" i="126"/>
  <c r="X27" i="109"/>
  <c r="AI199" i="73"/>
  <c r="E671" i="73" s="1"/>
  <c r="AF61" i="73"/>
  <c r="B347" i="73" s="1"/>
  <c r="I586" i="73"/>
  <c r="CZ21" i="126"/>
  <c r="CZ9" i="126"/>
  <c r="H270" i="73"/>
  <c r="CH29" i="126"/>
  <c r="H265" i="73"/>
  <c r="CH24" i="126"/>
  <c r="H261" i="73"/>
  <c r="CH20" i="126"/>
  <c r="CH15" i="126"/>
  <c r="H252" i="73"/>
  <c r="CH11" i="126"/>
  <c r="H247" i="73"/>
  <c r="CH6" i="126"/>
  <c r="H351" i="73"/>
  <c r="CI29" i="126"/>
  <c r="H346" i="73"/>
  <c r="CI24" i="126"/>
  <c r="CI20" i="126"/>
  <c r="H338" i="73"/>
  <c r="CI16" i="126"/>
  <c r="CI12" i="126"/>
  <c r="H329" i="73"/>
  <c r="CI7" i="126"/>
  <c r="H432" i="73"/>
  <c r="CJ29" i="126"/>
  <c r="H428" i="73"/>
  <c r="CJ25" i="126"/>
  <c r="H424" i="73"/>
  <c r="CJ21" i="126"/>
  <c r="CJ16" i="126"/>
  <c r="H415" i="73"/>
  <c r="CJ12" i="126"/>
  <c r="CJ7" i="126"/>
  <c r="H407" i="73"/>
  <c r="CJ4" i="126"/>
  <c r="CI28" i="126"/>
  <c r="H259" i="73"/>
  <c r="CH18" i="126"/>
  <c r="H513" i="73"/>
  <c r="CK29" i="126"/>
  <c r="H510" i="73"/>
  <c r="CK26" i="126"/>
  <c r="H506" i="73"/>
  <c r="CK22" i="126"/>
  <c r="H502" i="73"/>
  <c r="CK18" i="126"/>
  <c r="H498" i="73"/>
  <c r="CK14" i="126"/>
  <c r="CK11" i="126"/>
  <c r="H587" i="73"/>
  <c r="CL22" i="126"/>
  <c r="W15" i="112"/>
  <c r="W13" i="112"/>
  <c r="W9" i="112"/>
  <c r="W60" i="112"/>
  <c r="W58" i="112"/>
  <c r="W40" i="112"/>
  <c r="GI110" i="63"/>
  <c r="M124" i="73"/>
  <c r="M558" i="73" s="1"/>
  <c r="C25" i="64"/>
  <c r="B25" i="64"/>
  <c r="GB79" i="126"/>
  <c r="GB81" i="126"/>
  <c r="GB83" i="126"/>
  <c r="GB85" i="126"/>
  <c r="GB87" i="126"/>
  <c r="FT89" i="126"/>
  <c r="FT91" i="126"/>
  <c r="GH91" i="126"/>
  <c r="GB93" i="126"/>
  <c r="GB95" i="126"/>
  <c r="GC94" i="126"/>
  <c r="GC90" i="126"/>
  <c r="GD86" i="126"/>
  <c r="GE83" i="126"/>
  <c r="GD82" i="126"/>
  <c r="GE79" i="126"/>
  <c r="GD78" i="126"/>
  <c r="GC76" i="126"/>
  <c r="GC72" i="126"/>
  <c r="ER96" i="126"/>
  <c r="GG87" i="126"/>
  <c r="GF93" i="126"/>
  <c r="E30" i="141"/>
  <c r="W31" i="66" s="1"/>
  <c r="P64" i="119"/>
  <c r="X64" i="106"/>
  <c r="X63" i="106"/>
  <c r="W63" i="106"/>
  <c r="R26" i="106"/>
  <c r="X25" i="106"/>
  <c r="G25" i="126"/>
  <c r="W25" i="106"/>
  <c r="F25" i="126"/>
  <c r="AF127" i="73"/>
  <c r="B507" i="73" s="1"/>
  <c r="FQ23" i="126"/>
  <c r="AF93" i="73"/>
  <c r="B426" i="73" s="1"/>
  <c r="R25" i="106"/>
  <c r="X59" i="106"/>
  <c r="R57" i="106"/>
  <c r="X56" i="106"/>
  <c r="W56" i="106"/>
  <c r="X20" i="106"/>
  <c r="G20" i="126"/>
  <c r="X54" i="106"/>
  <c r="X19" i="106"/>
  <c r="G17" i="126"/>
  <c r="W19" i="106"/>
  <c r="F17" i="126"/>
  <c r="AF53" i="73"/>
  <c r="AF19" i="73"/>
  <c r="B258" i="73" s="1"/>
  <c r="X53" i="106"/>
  <c r="R51" i="106"/>
  <c r="AF77" i="73"/>
  <c r="AF43" i="73"/>
  <c r="R8" i="106"/>
  <c r="L67" i="106"/>
  <c r="F67" i="106"/>
  <c r="Q32" i="106"/>
  <c r="AF109" i="73"/>
  <c r="B489" i="73" s="1"/>
  <c r="AF75" i="73"/>
  <c r="B408" i="73" s="1"/>
  <c r="EP25" i="126"/>
  <c r="EP18" i="126"/>
  <c r="W63" i="115"/>
  <c r="H268" i="73"/>
  <c r="CH27" i="126"/>
  <c r="CH23" i="126"/>
  <c r="H260" i="73"/>
  <c r="CH19" i="126"/>
  <c r="H255" i="73"/>
  <c r="CH14" i="126"/>
  <c r="H251" i="73"/>
  <c r="CH10" i="126"/>
  <c r="H246" i="73"/>
  <c r="CH5" i="126"/>
  <c r="CI27" i="126"/>
  <c r="H345" i="73"/>
  <c r="CI23" i="126"/>
  <c r="CI19" i="126"/>
  <c r="H337" i="73"/>
  <c r="CI15" i="126"/>
  <c r="CI11" i="126"/>
  <c r="H328" i="73"/>
  <c r="CI6" i="126"/>
  <c r="H431" i="73"/>
  <c r="CJ28" i="126"/>
  <c r="CJ24" i="126"/>
  <c r="H423" i="73"/>
  <c r="CJ20" i="126"/>
  <c r="CJ15" i="126"/>
  <c r="H414" i="73"/>
  <c r="CJ11" i="126"/>
  <c r="H406" i="73"/>
  <c r="CJ3" i="126"/>
  <c r="H340" i="73"/>
  <c r="CI18" i="126"/>
  <c r="CH8" i="126"/>
  <c r="H509" i="73"/>
  <c r="CK25" i="126"/>
  <c r="H505" i="73"/>
  <c r="CK21" i="126"/>
  <c r="H501" i="73"/>
  <c r="CK17" i="126"/>
  <c r="H494" i="73"/>
  <c r="CK10" i="126"/>
  <c r="H490" i="73"/>
  <c r="CK6" i="126"/>
  <c r="GI6" i="63"/>
  <c r="M8" i="73"/>
  <c r="M301" i="73" s="1"/>
  <c r="C85" i="62"/>
  <c r="C18" i="64"/>
  <c r="B18" i="64"/>
  <c r="R37" i="64"/>
  <c r="R48" i="107"/>
  <c r="Q32" i="107"/>
  <c r="R6" i="107"/>
  <c r="R52" i="107"/>
  <c r="D11" i="125"/>
  <c r="R18" i="107"/>
  <c r="X60" i="107"/>
  <c r="X21" i="107"/>
  <c r="X54" i="107"/>
  <c r="X44" i="107"/>
  <c r="X42" i="107"/>
  <c r="AG159" i="73"/>
  <c r="C584" i="73" s="1"/>
  <c r="H19" i="123"/>
  <c r="C341" i="73"/>
  <c r="C733" i="73"/>
  <c r="Q31" i="126"/>
  <c r="C409" i="73"/>
  <c r="W67" i="107"/>
  <c r="AG172" i="73"/>
  <c r="H27" i="123"/>
  <c r="AG166" i="73"/>
  <c r="C591" i="73" s="1"/>
  <c r="AG146" i="73"/>
  <c r="C571" i="73" s="1"/>
  <c r="T32" i="107"/>
  <c r="V67" i="107"/>
  <c r="AG136" i="73"/>
  <c r="C510" i="73"/>
  <c r="C432" i="73"/>
  <c r="G31" i="65"/>
  <c r="G33" i="65"/>
  <c r="C32" i="107"/>
  <c r="R42" i="107"/>
  <c r="I32" i="107"/>
  <c r="C330" i="73"/>
  <c r="C498" i="73"/>
  <c r="C654" i="73"/>
  <c r="C349" i="73"/>
  <c r="C496" i="73"/>
  <c r="C348" i="73"/>
  <c r="O35" i="122"/>
  <c r="AG164" i="73"/>
  <c r="C589" i="73" s="1"/>
  <c r="C427" i="73"/>
  <c r="C423" i="73"/>
  <c r="C408" i="73"/>
  <c r="R58" i="64"/>
  <c r="R54" i="64"/>
  <c r="R59" i="64"/>
  <c r="AG151" i="73"/>
  <c r="C576" i="73" s="1"/>
  <c r="C416" i="73"/>
  <c r="G32" i="107"/>
  <c r="D32" i="107"/>
  <c r="F67" i="107"/>
  <c r="AC30" i="65"/>
  <c r="AI30" i="65" s="1"/>
  <c r="C506" i="73"/>
  <c r="AG167" i="73"/>
  <c r="C592" i="73" s="1"/>
  <c r="C493" i="73"/>
  <c r="FQ9" i="126"/>
  <c r="C337" i="73"/>
  <c r="C505" i="73"/>
  <c r="V21" i="107"/>
  <c r="AG123" i="73"/>
  <c r="AG168" i="73"/>
  <c r="C593" i="73" s="1"/>
  <c r="C431" i="73"/>
  <c r="R39" i="64"/>
  <c r="R38" i="64"/>
  <c r="C347" i="73"/>
  <c r="R74" i="64"/>
  <c r="R75" i="64"/>
  <c r="K31" i="64"/>
  <c r="AA78" i="64" s="1"/>
  <c r="C67" i="107"/>
  <c r="FO16" i="126"/>
  <c r="C350" i="73"/>
  <c r="FO28" i="126"/>
  <c r="GC28" i="126" s="1"/>
  <c r="C328" i="73"/>
  <c r="AG153" i="73"/>
  <c r="C578" i="73" s="1"/>
  <c r="AG144" i="73"/>
  <c r="C569" i="73" s="1"/>
  <c r="AG162" i="73"/>
  <c r="C587" i="73" s="1"/>
  <c r="AG143" i="73"/>
  <c r="C426" i="73"/>
  <c r="C422" i="73"/>
  <c r="FP19" i="126"/>
  <c r="C411" i="73"/>
  <c r="C339" i="73"/>
  <c r="C420" i="73"/>
  <c r="D11" i="124"/>
  <c r="D14" i="125" s="1"/>
  <c r="G67" i="107"/>
  <c r="R44" i="107"/>
  <c r="I67" i="107"/>
  <c r="C326" i="73"/>
  <c r="C333" i="73"/>
  <c r="C336" i="73"/>
  <c r="C344" i="73"/>
  <c r="C335" i="73"/>
  <c r="C343" i="73"/>
  <c r="AG157" i="73"/>
  <c r="C582" i="73" s="1"/>
  <c r="C430" i="73"/>
  <c r="C418" i="73"/>
  <c r="C414" i="73"/>
  <c r="C325" i="73"/>
  <c r="C331" i="73"/>
  <c r="AG150" i="73"/>
  <c r="C575" i="73" s="1"/>
  <c r="N7" i="122"/>
  <c r="N32" i="122" s="1"/>
  <c r="N34" i="122" s="1"/>
  <c r="N36" i="122" s="1"/>
  <c r="C502" i="73"/>
  <c r="C425" i="73"/>
  <c r="C421" i="73"/>
  <c r="C406" i="73"/>
  <c r="T102" i="107"/>
  <c r="O33" i="122"/>
  <c r="F32" i="107"/>
  <c r="D16" i="125"/>
  <c r="C661" i="73"/>
  <c r="C669" i="73"/>
  <c r="C491" i="73"/>
  <c r="C499" i="73"/>
  <c r="AG165" i="73"/>
  <c r="C590" i="73" s="1"/>
  <c r="AG152" i="73"/>
  <c r="C577" i="73" s="1"/>
  <c r="U42" i="107"/>
  <c r="U67" i="107"/>
  <c r="U28" i="107"/>
  <c r="AG160" i="73"/>
  <c r="C585" i="73" s="1"/>
  <c r="C412" i="73"/>
  <c r="D27" i="125"/>
  <c r="H11" i="123"/>
  <c r="D22" i="125"/>
  <c r="C490" i="73"/>
  <c r="C329" i="73"/>
  <c r="C509" i="73"/>
  <c r="FQ16" i="126"/>
  <c r="FQ24" i="126"/>
  <c r="GE24" i="126" s="1"/>
  <c r="AG147" i="73"/>
  <c r="C572" i="73" s="1"/>
  <c r="C428" i="73"/>
  <c r="C424" i="73"/>
  <c r="C267" i="73"/>
  <c r="S67" i="107"/>
  <c r="P31" i="126"/>
  <c r="C270" i="73"/>
  <c r="C266" i="73"/>
  <c r="C262" i="73"/>
  <c r="C247" i="73"/>
  <c r="C258" i="73"/>
  <c r="C254" i="73"/>
  <c r="C250" i="73"/>
  <c r="R60" i="107"/>
  <c r="C265" i="73"/>
  <c r="C246" i="73"/>
  <c r="R54" i="107"/>
  <c r="Q28" i="121"/>
  <c r="C257" i="73"/>
  <c r="C253" i="73"/>
  <c r="B67" i="107"/>
  <c r="Q33" i="121"/>
  <c r="C264" i="73"/>
  <c r="C260" i="73"/>
  <c r="C249" i="73"/>
  <c r="C245" i="73"/>
  <c r="C256" i="73"/>
  <c r="C252" i="73"/>
  <c r="S32" i="107"/>
  <c r="C259" i="73"/>
  <c r="C255" i="73"/>
  <c r="C251" i="73"/>
  <c r="D30" i="125"/>
  <c r="D28" i="125"/>
  <c r="D9" i="125"/>
  <c r="D32" i="125"/>
  <c r="C244" i="73"/>
  <c r="F397" i="73"/>
  <c r="E401" i="73"/>
  <c r="J703" i="73"/>
  <c r="K629" i="73"/>
  <c r="L473" i="73"/>
  <c r="K465" i="73"/>
  <c r="F637" i="73"/>
  <c r="C311" i="73"/>
  <c r="J397" i="73"/>
  <c r="D640" i="73"/>
  <c r="D311" i="73"/>
  <c r="I298" i="73"/>
  <c r="E380" i="73"/>
  <c r="C405" i="73"/>
  <c r="H389" i="73"/>
  <c r="E309" i="73"/>
  <c r="E481" i="73"/>
  <c r="G386" i="73"/>
  <c r="E717" i="73"/>
  <c r="H705" i="73"/>
  <c r="L713" i="73"/>
  <c r="D469" i="73"/>
  <c r="K464" i="73"/>
  <c r="E477" i="73"/>
  <c r="C307" i="73"/>
  <c r="D708" i="73"/>
  <c r="G709" i="73"/>
  <c r="E713" i="73"/>
  <c r="G392" i="73"/>
  <c r="K717" i="73"/>
  <c r="J647" i="73"/>
  <c r="H397" i="73"/>
  <c r="J308" i="73"/>
  <c r="J307" i="73"/>
  <c r="B721" i="73"/>
  <c r="J640" i="73"/>
  <c r="F553" i="73"/>
  <c r="C304" i="73"/>
  <c r="B553" i="73"/>
  <c r="F720" i="73"/>
  <c r="F389" i="73"/>
  <c r="D307" i="73"/>
  <c r="C629" i="73"/>
  <c r="E384" i="73"/>
  <c r="I484" i="73"/>
  <c r="J401" i="73"/>
  <c r="F320" i="73"/>
  <c r="L477" i="73"/>
  <c r="H393" i="73"/>
  <c r="F636" i="73"/>
  <c r="G469" i="73"/>
  <c r="L405" i="73"/>
  <c r="I716" i="73"/>
  <c r="D471" i="73"/>
  <c r="G308" i="73"/>
  <c r="G629" i="73"/>
  <c r="AK26" i="66"/>
  <c r="F713" i="73"/>
  <c r="H717" i="73"/>
  <c r="H318" i="73"/>
  <c r="I725" i="73"/>
  <c r="J552" i="73"/>
  <c r="B705" i="73"/>
  <c r="I307" i="73"/>
  <c r="H709" i="73"/>
  <c r="F468" i="73"/>
  <c r="L304" i="73"/>
  <c r="I724" i="73"/>
  <c r="I631" i="73"/>
  <c r="H27" i="125"/>
  <c r="AG25" i="66"/>
  <c r="F631" i="73"/>
  <c r="C320" i="73"/>
  <c r="G320" i="73"/>
  <c r="I551" i="73"/>
  <c r="F721" i="73"/>
  <c r="C481" i="73"/>
  <c r="J623" i="73"/>
  <c r="K710" i="73"/>
  <c r="E393" i="73"/>
  <c r="H553" i="73"/>
  <c r="C713" i="73"/>
  <c r="I632" i="73"/>
  <c r="F477" i="73"/>
  <c r="I644" i="73"/>
  <c r="H324" i="73"/>
  <c r="B469" i="73"/>
  <c r="C315" i="73"/>
  <c r="C645" i="73"/>
  <c r="K567" i="73"/>
  <c r="L545" i="73"/>
  <c r="K708" i="73"/>
  <c r="F461" i="73"/>
  <c r="J713" i="73"/>
  <c r="D308" i="73"/>
  <c r="J555" i="73"/>
  <c r="I467" i="73"/>
  <c r="I543" i="73"/>
  <c r="C553" i="73"/>
  <c r="G465" i="73"/>
  <c r="I405" i="73"/>
  <c r="J560" i="73"/>
  <c r="J312" i="73"/>
  <c r="I713" i="73"/>
  <c r="K725" i="73"/>
  <c r="F706" i="73"/>
  <c r="E716" i="73"/>
  <c r="H721" i="73"/>
  <c r="DG32" i="66"/>
  <c r="BT71" i="66" s="1"/>
  <c r="DB32" i="66"/>
  <c r="N87" i="62"/>
  <c r="I102" i="62"/>
  <c r="Z67" i="62"/>
  <c r="AB60" i="62"/>
  <c r="H62" i="62"/>
  <c r="E14" i="62"/>
  <c r="G50" i="62"/>
  <c r="G121" i="62"/>
  <c r="C14" i="62"/>
  <c r="E24" i="62"/>
  <c r="D121" i="62"/>
  <c r="AA98" i="62"/>
  <c r="AF87" i="62"/>
  <c r="G14" i="62"/>
  <c r="F121" i="62"/>
  <c r="C121" i="62"/>
  <c r="G129" i="62"/>
  <c r="G130" i="62"/>
  <c r="G128" i="62"/>
  <c r="G132" i="62"/>
  <c r="H64" i="62"/>
  <c r="Z64" i="62"/>
  <c r="Z68" i="62"/>
  <c r="H59" i="62"/>
  <c r="I95" i="62"/>
  <c r="I99" i="62"/>
  <c r="I103" i="62"/>
  <c r="H69" i="62"/>
  <c r="AA100" i="62"/>
  <c r="Z101" i="62"/>
  <c r="H101" i="62"/>
  <c r="H103" i="62"/>
  <c r="Z96" i="62"/>
  <c r="Z103" i="62"/>
  <c r="Z100" i="62"/>
  <c r="AB61" i="62"/>
  <c r="AF52" i="62"/>
  <c r="I171" i="62"/>
  <c r="E54" i="62"/>
  <c r="J54" i="62"/>
  <c r="C54" i="62"/>
  <c r="J90" i="62"/>
  <c r="V53" i="62"/>
  <c r="AE53" i="62"/>
  <c r="U53" i="62"/>
  <c r="AA60" i="62"/>
  <c r="AB90" i="62"/>
  <c r="Z49" i="62"/>
  <c r="G51" i="62"/>
  <c r="Z62" i="62"/>
  <c r="Z66" i="62"/>
  <c r="H67" i="62"/>
  <c r="I97" i="62"/>
  <c r="I101" i="62"/>
  <c r="H66" i="62"/>
  <c r="H61" i="62"/>
  <c r="AA103" i="62"/>
  <c r="H96" i="62"/>
  <c r="H100" i="62"/>
  <c r="AA99" i="62"/>
  <c r="H102" i="62"/>
  <c r="Z102" i="62"/>
  <c r="H99" i="62"/>
  <c r="Z99" i="62"/>
  <c r="H98" i="62"/>
  <c r="AF88" i="62"/>
  <c r="N88" i="62"/>
  <c r="B54" i="62"/>
  <c r="H54" i="62"/>
  <c r="K54" i="62"/>
  <c r="I90" i="62"/>
  <c r="W53" i="62"/>
  <c r="AB53" i="62"/>
  <c r="AC53" i="62"/>
  <c r="Z89" i="62"/>
  <c r="Z63" i="62"/>
  <c r="H63" i="62"/>
  <c r="I98" i="62"/>
  <c r="AA104" i="62"/>
  <c r="H97" i="62"/>
  <c r="Z104" i="62"/>
  <c r="L54" i="62"/>
  <c r="F54" i="62"/>
  <c r="AA53" i="62"/>
  <c r="Z53" i="62"/>
  <c r="AC90" i="62"/>
  <c r="AA59" i="62"/>
  <c r="AA58" i="62"/>
  <c r="C119" i="62"/>
  <c r="B119" i="62"/>
  <c r="C155" i="62"/>
  <c r="F164" i="62"/>
  <c r="T85" i="62"/>
  <c r="X93" i="62"/>
  <c r="B85" i="62"/>
  <c r="V49" i="62"/>
  <c r="E6" i="127"/>
  <c r="G18" i="123"/>
  <c r="AF157" i="73"/>
  <c r="B582" i="73" s="1"/>
  <c r="G30" i="123"/>
  <c r="AF169" i="73"/>
  <c r="B594" i="73" s="1"/>
  <c r="C25" i="124"/>
  <c r="AF197" i="73"/>
  <c r="B669" i="73" s="1"/>
  <c r="C17" i="124"/>
  <c r="C3" i="124"/>
  <c r="C6" i="125"/>
  <c r="AF177" i="73"/>
  <c r="B649" i="73" s="1"/>
  <c r="R5" i="106"/>
  <c r="X8" i="106"/>
  <c r="G5" i="126"/>
  <c r="AF155" i="73"/>
  <c r="B580" i="73" s="1"/>
  <c r="R19" i="106"/>
  <c r="R63" i="106"/>
  <c r="R64" i="106"/>
  <c r="S25" i="106"/>
  <c r="D18" i="65"/>
  <c r="AB18" i="65"/>
  <c r="V31" i="106"/>
  <c r="E8" i="65"/>
  <c r="AG8" i="65"/>
  <c r="P9" i="121"/>
  <c r="L31" i="122"/>
  <c r="P19" i="121"/>
  <c r="X26" i="106"/>
  <c r="G23" i="126"/>
  <c r="AF190" i="73"/>
  <c r="B662" i="73" s="1"/>
  <c r="AF189" i="73"/>
  <c r="B661" i="73" s="1"/>
  <c r="G8" i="123"/>
  <c r="AF150" i="73"/>
  <c r="B575" i="73" s="1"/>
  <c r="V9" i="106"/>
  <c r="D8" i="65"/>
  <c r="AB8" i="65"/>
  <c r="AF8" i="65" s="1"/>
  <c r="E24" i="65"/>
  <c r="T25" i="106"/>
  <c r="M27" i="122"/>
  <c r="M24" i="119"/>
  <c r="D53" i="119"/>
  <c r="U53" i="119" s="1"/>
  <c r="R52" i="106"/>
  <c r="X51" i="106"/>
  <c r="R54" i="106"/>
  <c r="E18" i="65"/>
  <c r="AC18" i="65"/>
  <c r="AO22" i="122"/>
  <c r="AQ22" i="122" s="1"/>
  <c r="N26" i="121"/>
  <c r="N22" i="121"/>
  <c r="N18" i="121"/>
  <c r="N14" i="121"/>
  <c r="N10" i="121"/>
  <c r="N6" i="121"/>
  <c r="N30" i="121"/>
  <c r="N31" i="121"/>
  <c r="N25" i="121"/>
  <c r="N21" i="121"/>
  <c r="N17" i="121"/>
  <c r="N13" i="121"/>
  <c r="N9" i="121"/>
  <c r="N5" i="121"/>
  <c r="N32" i="121"/>
  <c r="N24" i="121"/>
  <c r="N20" i="121"/>
  <c r="N16" i="121"/>
  <c r="N12" i="121"/>
  <c r="N8" i="121"/>
  <c r="EL150" i="63"/>
  <c r="FD77" i="63"/>
  <c r="EZ140" i="63"/>
  <c r="EX168" i="63"/>
  <c r="EK111" i="63"/>
  <c r="EK138" i="63"/>
  <c r="EK109" i="63"/>
  <c r="EK107" i="63"/>
  <c r="EK81" i="63"/>
  <c r="EX34" i="63"/>
  <c r="EX14" i="63"/>
  <c r="EK11" i="63"/>
  <c r="EK144" i="63"/>
  <c r="EQ37" i="63"/>
  <c r="EK66" i="63"/>
  <c r="M18" i="62"/>
  <c r="C18" i="62"/>
  <c r="EL90" i="63"/>
  <c r="FO49" i="63"/>
  <c r="FT50" i="63"/>
  <c r="FG147" i="63"/>
  <c r="EU174" i="63"/>
  <c r="EU180" i="63"/>
  <c r="FB174" i="63"/>
  <c r="FA174" i="63"/>
  <c r="EL11" i="63"/>
  <c r="FE71" i="63"/>
  <c r="FC172" i="63"/>
  <c r="FE177" i="63"/>
  <c r="D18" i="62"/>
  <c r="L157" i="62"/>
  <c r="B157" i="62"/>
  <c r="C157" i="62"/>
  <c r="E157" i="62"/>
  <c r="F157" i="62"/>
  <c r="I157" i="62"/>
  <c r="AB54" i="62"/>
  <c r="AE54" i="62"/>
  <c r="Z54" i="62"/>
  <c r="AC54" i="62"/>
  <c r="X54" i="62"/>
  <c r="AA54" i="62"/>
  <c r="S32" i="112"/>
  <c r="EQ30" i="63"/>
  <c r="EO49" i="63"/>
  <c r="EO60" i="63"/>
  <c r="FB101" i="63"/>
  <c r="K17" i="62"/>
  <c r="B17" i="62"/>
  <c r="H23" i="62"/>
  <c r="E18" i="62"/>
  <c r="H18" i="62"/>
  <c r="L18" i="62"/>
  <c r="G18" i="62"/>
  <c r="J18" i="62"/>
  <c r="EN90" i="63"/>
  <c r="ET90" i="63"/>
  <c r="EU30" i="63"/>
  <c r="ER180" i="63"/>
  <c r="EM180" i="63"/>
  <c r="EP90" i="63"/>
  <c r="ER34" i="63"/>
  <c r="FH42" i="63"/>
  <c r="ES42" i="63"/>
  <c r="FH167" i="63"/>
  <c r="FE167" i="63"/>
  <c r="FH155" i="63"/>
  <c r="FB154" i="63"/>
  <c r="EZ64" i="63"/>
  <c r="FC80" i="63"/>
  <c r="FA80" i="63"/>
  <c r="FA88" i="63"/>
  <c r="FH175" i="63"/>
  <c r="I18" i="62"/>
  <c r="B18" i="62"/>
  <c r="J124" i="62"/>
  <c r="E124" i="62"/>
  <c r="V32" i="112"/>
  <c r="C17" i="118"/>
  <c r="C35" i="118" s="1"/>
  <c r="CZ90" i="63"/>
  <c r="FZ78" i="63"/>
  <c r="D88" i="73"/>
  <c r="D475" i="73" s="1"/>
  <c r="GG74" i="63"/>
  <c r="K84" i="73"/>
  <c r="K471" i="73" s="1"/>
  <c r="GF70" i="63"/>
  <c r="J80" i="73"/>
  <c r="J467" i="73" s="1"/>
  <c r="GA33" i="63"/>
  <c r="FX57" i="63"/>
  <c r="B63" i="73"/>
  <c r="B403" i="73" s="1"/>
  <c r="GB53" i="63"/>
  <c r="GA45" i="63"/>
  <c r="FZ7" i="63"/>
  <c r="D9" i="73"/>
  <c r="D302" i="73" s="1"/>
  <c r="R67" i="111"/>
  <c r="AF10" i="73"/>
  <c r="B249" i="73" s="1"/>
  <c r="C346" i="73"/>
  <c r="G672" i="73"/>
  <c r="AQ123" i="73"/>
  <c r="M503" i="73"/>
  <c r="H4" i="123"/>
  <c r="I26" i="119"/>
  <c r="W48" i="115"/>
  <c r="W29" i="115"/>
  <c r="W27" i="115"/>
  <c r="W24" i="115"/>
  <c r="W14" i="115"/>
  <c r="W10" i="115"/>
  <c r="W7" i="115"/>
  <c r="W20" i="114"/>
  <c r="AN158" i="73" s="1"/>
  <c r="W64" i="113"/>
  <c r="W62" i="113"/>
  <c r="W58" i="113"/>
  <c r="W48" i="113"/>
  <c r="W46" i="113"/>
  <c r="W16" i="113"/>
  <c r="W31" i="112"/>
  <c r="W29" i="112"/>
  <c r="W56" i="112"/>
  <c r="W52" i="112"/>
  <c r="V203" i="73"/>
  <c r="G702" i="73" s="1"/>
  <c r="X202" i="73"/>
  <c r="I701" i="73" s="1"/>
  <c r="T202" i="73"/>
  <c r="E701" i="73" s="1"/>
  <c r="U202" i="73"/>
  <c r="F701" i="73" s="1"/>
  <c r="Y202" i="73"/>
  <c r="J701" i="73" s="1"/>
  <c r="Z202" i="73"/>
  <c r="K701" i="73" s="1"/>
  <c r="FI176" i="63"/>
  <c r="GI176" i="63"/>
  <c r="M200" i="73"/>
  <c r="M726" i="73" s="1"/>
  <c r="GI175" i="63"/>
  <c r="M199" i="73"/>
  <c r="M725" i="73" s="1"/>
  <c r="GI164" i="63"/>
  <c r="M188" i="73"/>
  <c r="N188" i="73" s="1"/>
  <c r="GI163" i="63"/>
  <c r="M187" i="73"/>
  <c r="GI160" i="63"/>
  <c r="M184" i="73"/>
  <c r="X93" i="73"/>
  <c r="I453" i="73" s="1"/>
  <c r="Z93" i="73"/>
  <c r="K453" i="73" s="1"/>
  <c r="GI81" i="63"/>
  <c r="M91" i="73"/>
  <c r="GI76" i="63"/>
  <c r="M86" i="73"/>
  <c r="GI69" i="63"/>
  <c r="M79" i="73"/>
  <c r="GI68" i="63"/>
  <c r="M78" i="73"/>
  <c r="N78" i="73" s="1"/>
  <c r="O78" i="73" s="1"/>
  <c r="GI20" i="63"/>
  <c r="M22" i="73"/>
  <c r="GI14" i="63"/>
  <c r="M16" i="73"/>
  <c r="M309" i="73" s="1"/>
  <c r="FI9" i="63"/>
  <c r="S9" i="73"/>
  <c r="D275" i="73" s="1"/>
  <c r="FV5" i="63"/>
  <c r="GI5" i="63"/>
  <c r="M7" i="73"/>
  <c r="GI4" i="63"/>
  <c r="M6" i="73"/>
  <c r="M299" i="73" s="1"/>
  <c r="Y49" i="62"/>
  <c r="U49" i="62"/>
  <c r="GI59" i="63"/>
  <c r="M65" i="73"/>
  <c r="M405" i="73" s="1"/>
  <c r="V55" i="73"/>
  <c r="G368" i="73" s="1"/>
  <c r="GI47" i="63"/>
  <c r="M53" i="73"/>
  <c r="M393" i="73" s="1"/>
  <c r="GI39" i="63"/>
  <c r="M45" i="73"/>
  <c r="M385" i="73" s="1"/>
  <c r="GI35" i="63"/>
  <c r="M41" i="73"/>
  <c r="N41" i="73" s="1"/>
  <c r="O41" i="73" s="1"/>
  <c r="D84" i="62"/>
  <c r="E95" i="62"/>
  <c r="W85" i="62"/>
  <c r="S118" i="73"/>
  <c r="D525" i="73" s="1"/>
  <c r="Z115" i="73"/>
  <c r="K522" i="73" s="1"/>
  <c r="V115" i="73"/>
  <c r="G522" i="73" s="1"/>
  <c r="R115" i="73"/>
  <c r="C522" i="73" s="1"/>
  <c r="Y115" i="73"/>
  <c r="J522" i="73" s="1"/>
  <c r="T115" i="73"/>
  <c r="E522" i="73" s="1"/>
  <c r="X115" i="73"/>
  <c r="I522" i="73" s="1"/>
  <c r="S115" i="73"/>
  <c r="D522" i="73" s="1"/>
  <c r="W115" i="73"/>
  <c r="H522" i="73" s="1"/>
  <c r="AA115" i="73"/>
  <c r="L522" i="73" s="1"/>
  <c r="U115" i="73"/>
  <c r="F522" i="73" s="1"/>
  <c r="Q115" i="73"/>
  <c r="B522" i="73" s="1"/>
  <c r="GI101" i="63"/>
  <c r="FI98" i="63"/>
  <c r="H119" i="62"/>
  <c r="F119" i="62"/>
  <c r="FI142" i="63"/>
  <c r="Q154" i="73"/>
  <c r="W154" i="73"/>
  <c r="H606" i="73" s="1"/>
  <c r="Z154" i="73"/>
  <c r="K606" i="73" s="1"/>
  <c r="FV130" i="63"/>
  <c r="GI126" i="63"/>
  <c r="FV123" i="63"/>
  <c r="AA90" i="62"/>
  <c r="EQ146" i="63"/>
  <c r="FO69" i="63"/>
  <c r="CY90" i="63"/>
  <c r="DG120" i="63"/>
  <c r="DF120" i="63"/>
  <c r="CY120" i="63"/>
  <c r="CX120" i="63"/>
  <c r="FZ86" i="63"/>
  <c r="D96" i="73"/>
  <c r="FZ82" i="63"/>
  <c r="D92" i="73"/>
  <c r="D479" i="73" s="1"/>
  <c r="GB23" i="63"/>
  <c r="F25" i="73"/>
  <c r="F318" i="73" s="1"/>
  <c r="GF15" i="63"/>
  <c r="J17" i="73"/>
  <c r="J310" i="73" s="1"/>
  <c r="AF20" i="73"/>
  <c r="B259" i="73" s="1"/>
  <c r="D23" i="124"/>
  <c r="D26" i="125" s="1"/>
  <c r="C670" i="73"/>
  <c r="C487" i="73"/>
  <c r="D736" i="73"/>
  <c r="G670" i="73"/>
  <c r="U102" i="117"/>
  <c r="CT82" i="63"/>
  <c r="GG82" i="63"/>
  <c r="K92" i="73"/>
  <c r="CS78" i="63"/>
  <c r="CS74" i="63"/>
  <c r="CO70" i="63"/>
  <c r="CR66" i="63"/>
  <c r="GE66" i="63"/>
  <c r="CN57" i="63"/>
  <c r="CK53" i="63"/>
  <c r="CN53" i="63"/>
  <c r="CN49" i="63"/>
  <c r="CU45" i="63"/>
  <c r="FU45" i="63"/>
  <c r="CT41" i="63"/>
  <c r="CT37" i="63"/>
  <c r="CT33" i="63"/>
  <c r="CR19" i="63"/>
  <c r="GE19" i="63"/>
  <c r="I21" i="73"/>
  <c r="CM15" i="63"/>
  <c r="CR22" i="63"/>
  <c r="GB89" i="126"/>
  <c r="GF94" i="126"/>
  <c r="FY96" i="126"/>
  <c r="FY98" i="126"/>
  <c r="X30" i="109"/>
  <c r="X18" i="110"/>
  <c r="Q39" i="119"/>
  <c r="X41" i="106"/>
  <c r="X22" i="117"/>
  <c r="W27" i="117"/>
  <c r="W20" i="117"/>
  <c r="X45" i="112"/>
  <c r="U199" i="73"/>
  <c r="F698" i="73" s="1"/>
  <c r="GI172" i="63"/>
  <c r="M196" i="73"/>
  <c r="FV171" i="63"/>
  <c r="GI171" i="63"/>
  <c r="M195" i="73"/>
  <c r="M721" i="73" s="1"/>
  <c r="AA187" i="73"/>
  <c r="L686" i="73" s="1"/>
  <c r="Y187" i="73"/>
  <c r="J686" i="73" s="1"/>
  <c r="S186" i="73"/>
  <c r="D685" i="73" s="1"/>
  <c r="X186" i="73"/>
  <c r="I685" i="73" s="1"/>
  <c r="U186" i="73"/>
  <c r="F685" i="73" s="1"/>
  <c r="Y186" i="73"/>
  <c r="J685" i="73" s="1"/>
  <c r="S185" i="73"/>
  <c r="D684" i="73" s="1"/>
  <c r="GI159" i="63"/>
  <c r="M183" i="73"/>
  <c r="GI89" i="63"/>
  <c r="M99" i="73"/>
  <c r="FV80" i="63"/>
  <c r="GI80" i="63"/>
  <c r="M90" i="73"/>
  <c r="GI72" i="63"/>
  <c r="M82" i="73"/>
  <c r="M469" i="73" s="1"/>
  <c r="GI64" i="63"/>
  <c r="M74" i="73"/>
  <c r="M461" i="73" s="1"/>
  <c r="GI13" i="63"/>
  <c r="M15" i="73"/>
  <c r="GI12" i="63"/>
  <c r="M14" i="73"/>
  <c r="Y7" i="73"/>
  <c r="J273" i="73" s="1"/>
  <c r="EV3" i="63"/>
  <c r="X49" i="62"/>
  <c r="R65" i="73"/>
  <c r="C378" i="73" s="1"/>
  <c r="Z65" i="73"/>
  <c r="K378" i="73" s="1"/>
  <c r="Q65" i="73"/>
  <c r="B378" i="73" s="1"/>
  <c r="W65" i="73"/>
  <c r="H378" i="73" s="1"/>
  <c r="AB65" i="73"/>
  <c r="U65" i="73"/>
  <c r="F378" i="73" s="1"/>
  <c r="X65" i="73"/>
  <c r="I378" i="73" s="1"/>
  <c r="Y65" i="73"/>
  <c r="J378" i="73" s="1"/>
  <c r="T65" i="73"/>
  <c r="E378" i="73" s="1"/>
  <c r="AA65" i="73"/>
  <c r="L378" i="73" s="1"/>
  <c r="V52" i="73"/>
  <c r="G365" i="73" s="1"/>
  <c r="Y42" i="73"/>
  <c r="J355" i="73" s="1"/>
  <c r="H84" i="62"/>
  <c r="Z85" i="62"/>
  <c r="S131" i="73"/>
  <c r="D538" i="73" s="1"/>
  <c r="GI117" i="63"/>
  <c r="GI113" i="63"/>
  <c r="M127" i="73"/>
  <c r="FV98" i="63"/>
  <c r="FV97" i="63"/>
  <c r="B125" i="62"/>
  <c r="GI147" i="63"/>
  <c r="M167" i="73"/>
  <c r="N167" i="73" s="1"/>
  <c r="GI146" i="63"/>
  <c r="M166" i="73"/>
  <c r="W163" i="73"/>
  <c r="H615" i="73" s="1"/>
  <c r="GI143" i="63"/>
  <c r="GI142" i="63"/>
  <c r="DI150" i="63"/>
  <c r="GI131" i="63"/>
  <c r="M151" i="73"/>
  <c r="M630" i="73" s="1"/>
  <c r="GI130" i="63"/>
  <c r="M150" i="73"/>
  <c r="N150" i="73" s="1"/>
  <c r="GI123" i="63"/>
  <c r="M143" i="73"/>
  <c r="E156" i="62"/>
  <c r="FD5" i="63"/>
  <c r="FM19" i="63"/>
  <c r="EZ68" i="63"/>
  <c r="EZ70" i="63"/>
  <c r="EY39" i="63"/>
  <c r="DB90" i="63"/>
  <c r="DB120" i="63"/>
  <c r="CX90" i="63"/>
  <c r="CZ120" i="63"/>
  <c r="DD90" i="63"/>
  <c r="DG90" i="63"/>
  <c r="GG63" i="63"/>
  <c r="K73" i="73"/>
  <c r="K460" i="73" s="1"/>
  <c r="GF78" i="63"/>
  <c r="J88" i="73"/>
  <c r="J475" i="73" s="1"/>
  <c r="GB70" i="63"/>
  <c r="F80" i="73"/>
  <c r="F467" i="73" s="1"/>
  <c r="GA53" i="63"/>
  <c r="GH37" i="63"/>
  <c r="FZ19" i="63"/>
  <c r="D21" i="73"/>
  <c r="D4" i="124"/>
  <c r="D30" i="124" s="1"/>
  <c r="D32" i="124" s="1"/>
  <c r="D34" i="124" s="1"/>
  <c r="C650" i="73"/>
  <c r="E659" i="73"/>
  <c r="G671" i="73"/>
  <c r="F487" i="73"/>
  <c r="V102" i="107"/>
  <c r="S102" i="108"/>
  <c r="S35" i="121"/>
  <c r="W102" i="108"/>
  <c r="I34" i="123"/>
  <c r="V102" i="108"/>
  <c r="Q35" i="122"/>
  <c r="U102" i="108"/>
  <c r="P35" i="122"/>
  <c r="V102" i="109"/>
  <c r="V102" i="114"/>
  <c r="T102" i="116"/>
  <c r="CN82" i="63"/>
  <c r="FA82" i="63"/>
  <c r="CK45" i="63"/>
  <c r="FK45" i="63"/>
  <c r="FT97" i="126"/>
  <c r="FT77" i="126"/>
  <c r="GF70" i="126"/>
  <c r="FZ96" i="126"/>
  <c r="FZ98" i="126"/>
  <c r="GG98" i="126"/>
  <c r="GA71" i="126"/>
  <c r="GA75" i="126"/>
  <c r="GA77" i="126"/>
  <c r="GA79" i="126"/>
  <c r="GA81" i="126"/>
  <c r="GA85" i="126"/>
  <c r="GA87" i="126"/>
  <c r="GA89" i="126"/>
  <c r="GA95" i="126"/>
  <c r="X59" i="108"/>
  <c r="X57" i="108"/>
  <c r="X51" i="109"/>
  <c r="X14" i="106"/>
  <c r="G12" i="126"/>
  <c r="X47" i="109"/>
  <c r="X10" i="106"/>
  <c r="G8" i="126"/>
  <c r="F10" i="119"/>
  <c r="C41" i="119"/>
  <c r="T41" i="119" s="1"/>
  <c r="W63" i="117"/>
  <c r="W55" i="117"/>
  <c r="W59" i="114"/>
  <c r="W15" i="114"/>
  <c r="AN153" i="73" s="1"/>
  <c r="W13" i="114"/>
  <c r="AN151" i="73" s="1"/>
  <c r="W5" i="114"/>
  <c r="AN143" i="73" s="1"/>
  <c r="X24" i="113"/>
  <c r="W47" i="113"/>
  <c r="W19" i="113"/>
  <c r="W28" i="112"/>
  <c r="W26" i="112"/>
  <c r="W8" i="112"/>
  <c r="X65" i="112"/>
  <c r="S195" i="73"/>
  <c r="D694" i="73" s="1"/>
  <c r="T195" i="73"/>
  <c r="E694" i="73" s="1"/>
  <c r="S194" i="73"/>
  <c r="D693" i="73" s="1"/>
  <c r="U194" i="73"/>
  <c r="F693" i="73" s="1"/>
  <c r="Y194" i="73"/>
  <c r="J693" i="73" s="1"/>
  <c r="Z194" i="73"/>
  <c r="K693" i="73" s="1"/>
  <c r="S193" i="73"/>
  <c r="D692" i="73" s="1"/>
  <c r="GI168" i="63"/>
  <c r="M192" i="73"/>
  <c r="M718" i="73" s="1"/>
  <c r="GI167" i="63"/>
  <c r="M191" i="73"/>
  <c r="M717" i="73" s="1"/>
  <c r="Q183" i="73"/>
  <c r="B682" i="73" s="1"/>
  <c r="GI156" i="63"/>
  <c r="M180" i="73"/>
  <c r="GI155" i="63"/>
  <c r="M179" i="73"/>
  <c r="GI88" i="63"/>
  <c r="M98" i="73"/>
  <c r="M485" i="73" s="1"/>
  <c r="GI85" i="63"/>
  <c r="M95" i="73"/>
  <c r="M482" i="73" s="1"/>
  <c r="GI77" i="63"/>
  <c r="M87" i="73"/>
  <c r="Z85" i="73"/>
  <c r="K445" i="73" s="1"/>
  <c r="Y85" i="73"/>
  <c r="J445" i="73" s="1"/>
  <c r="U85" i="73"/>
  <c r="F445" i="73" s="1"/>
  <c r="X85" i="73"/>
  <c r="I445" i="73" s="1"/>
  <c r="T85" i="73"/>
  <c r="E445" i="73" s="1"/>
  <c r="S85" i="73"/>
  <c r="D445" i="73" s="1"/>
  <c r="Z77" i="73"/>
  <c r="K437" i="73" s="1"/>
  <c r="Y77" i="73"/>
  <c r="J437" i="73" s="1"/>
  <c r="X77" i="73"/>
  <c r="I437" i="73" s="1"/>
  <c r="T77" i="73"/>
  <c r="E437" i="73" s="1"/>
  <c r="S77" i="73"/>
  <c r="D437" i="73" s="1"/>
  <c r="GI29" i="63"/>
  <c r="M31" i="73"/>
  <c r="M324" i="73" s="1"/>
  <c r="GI28" i="63"/>
  <c r="M30" i="73"/>
  <c r="GI25" i="63"/>
  <c r="M27" i="73"/>
  <c r="M320" i="73" s="1"/>
  <c r="X15" i="73"/>
  <c r="I281" i="73" s="1"/>
  <c r="EV11" i="63"/>
  <c r="GI9" i="63"/>
  <c r="M11" i="73"/>
  <c r="N11" i="73" s="1"/>
  <c r="H14" i="62"/>
  <c r="D14" i="62"/>
  <c r="W49" i="62"/>
  <c r="V61" i="73"/>
  <c r="G374" i="73" s="1"/>
  <c r="GI55" i="63"/>
  <c r="M61" i="73"/>
  <c r="M401" i="73" s="1"/>
  <c r="AA50" i="73"/>
  <c r="L363" i="73" s="1"/>
  <c r="FV118" i="63"/>
  <c r="Y129" i="73"/>
  <c r="J536" i="73" s="1"/>
  <c r="S129" i="73"/>
  <c r="D536" i="73" s="1"/>
  <c r="X129" i="73"/>
  <c r="I536" i="73" s="1"/>
  <c r="FV105" i="63"/>
  <c r="GI102" i="63"/>
  <c r="M116" i="73"/>
  <c r="GI98" i="63"/>
  <c r="M112" i="73"/>
  <c r="GI97" i="63"/>
  <c r="M111" i="73"/>
  <c r="GI93" i="63"/>
  <c r="M107" i="73"/>
  <c r="M541" i="73" s="1"/>
  <c r="W166" i="73"/>
  <c r="H618" i="73" s="1"/>
  <c r="T165" i="73"/>
  <c r="E617" i="73" s="1"/>
  <c r="X165" i="73"/>
  <c r="I617" i="73" s="1"/>
  <c r="U165" i="73"/>
  <c r="F617" i="73" s="1"/>
  <c r="Z165" i="73"/>
  <c r="K617" i="73" s="1"/>
  <c r="S165" i="73"/>
  <c r="D617" i="73" s="1"/>
  <c r="Y165" i="73"/>
  <c r="J617" i="73" s="1"/>
  <c r="X162" i="73"/>
  <c r="I614" i="73" s="1"/>
  <c r="S162" i="73"/>
  <c r="D614" i="73" s="1"/>
  <c r="W162" i="73"/>
  <c r="H614" i="73" s="1"/>
  <c r="GI139" i="63"/>
  <c r="M159" i="73"/>
  <c r="GI138" i="63"/>
  <c r="M158" i="73"/>
  <c r="N158" i="73" s="1"/>
  <c r="Z149" i="73"/>
  <c r="K601" i="73" s="1"/>
  <c r="S149" i="73"/>
  <c r="D601" i="73" s="1"/>
  <c r="X149" i="73"/>
  <c r="I601" i="73" s="1"/>
  <c r="Y149" i="73"/>
  <c r="J601" i="73" s="1"/>
  <c r="U149" i="73"/>
  <c r="F601" i="73" s="1"/>
  <c r="EV129" i="63"/>
  <c r="W147" i="73"/>
  <c r="H599" i="73" s="1"/>
  <c r="U147" i="73"/>
  <c r="F599" i="73" s="1"/>
  <c r="GI127" i="63"/>
  <c r="GF66" i="63"/>
  <c r="J76" i="73"/>
  <c r="J463" i="73" s="1"/>
  <c r="GA57" i="63"/>
  <c r="E63" i="73"/>
  <c r="E403" i="73" s="1"/>
  <c r="FX53" i="63"/>
  <c r="GB49" i="63"/>
  <c r="F55" i="73"/>
  <c r="F395" i="73" s="1"/>
  <c r="GA41" i="63"/>
  <c r="E47" i="73"/>
  <c r="E387" i="73" s="1"/>
  <c r="GG37" i="63"/>
  <c r="GE22" i="63"/>
  <c r="I24" i="73"/>
  <c r="GC27" i="63"/>
  <c r="G29" i="73"/>
  <c r="G322" i="73" s="1"/>
  <c r="D15" i="124"/>
  <c r="E649" i="73"/>
  <c r="G660" i="73"/>
  <c r="AQ18" i="73"/>
  <c r="M257" i="73" s="1"/>
  <c r="G649" i="73"/>
  <c r="GH89" i="126"/>
  <c r="GI179" i="63"/>
  <c r="M203" i="73"/>
  <c r="Q191" i="73"/>
  <c r="B690" i="73" s="1"/>
  <c r="U180" i="73"/>
  <c r="F679" i="73" s="1"/>
  <c r="T179" i="73"/>
  <c r="E678" i="73" s="1"/>
  <c r="S178" i="73"/>
  <c r="X178" i="73"/>
  <c r="I677" i="73" s="1"/>
  <c r="U178" i="73"/>
  <c r="F677" i="73" s="1"/>
  <c r="Y178" i="73"/>
  <c r="J677" i="73" s="1"/>
  <c r="Z178" i="73"/>
  <c r="K677" i="73" s="1"/>
  <c r="GI84" i="63"/>
  <c r="M94" i="73"/>
  <c r="M481" i="73" s="1"/>
  <c r="W83" i="73"/>
  <c r="H443" i="73" s="1"/>
  <c r="GI73" i="63"/>
  <c r="M83" i="73"/>
  <c r="M470" i="73" s="1"/>
  <c r="GI65" i="63"/>
  <c r="M75" i="73"/>
  <c r="T31" i="73"/>
  <c r="E297" i="73" s="1"/>
  <c r="Z27" i="73"/>
  <c r="K293" i="73" s="1"/>
  <c r="V27" i="73"/>
  <c r="G293" i="73" s="1"/>
  <c r="Y26" i="73"/>
  <c r="J292" i="73" s="1"/>
  <c r="U25" i="73"/>
  <c r="F291" i="73" s="1"/>
  <c r="W25" i="73"/>
  <c r="H291" i="73" s="1"/>
  <c r="GI21" i="63"/>
  <c r="M23" i="73"/>
  <c r="Y19" i="73"/>
  <c r="J285" i="73" s="1"/>
  <c r="R19" i="73"/>
  <c r="C285" i="73" s="1"/>
  <c r="GI17" i="63"/>
  <c r="M19" i="73"/>
  <c r="N19" i="73" s="1"/>
  <c r="GI16" i="63"/>
  <c r="M18" i="73"/>
  <c r="M311" i="73" s="1"/>
  <c r="AA11" i="73"/>
  <c r="L277" i="73" s="1"/>
  <c r="AB11" i="73"/>
  <c r="AC11" i="73" s="1"/>
  <c r="V60" i="73"/>
  <c r="G373" i="73" s="1"/>
  <c r="GI51" i="63"/>
  <c r="M57" i="73"/>
  <c r="GI43" i="63"/>
  <c r="M49" i="73"/>
  <c r="EV35" i="63"/>
  <c r="EV34" i="63"/>
  <c r="EV33" i="63"/>
  <c r="F84" i="62"/>
  <c r="W132" i="73"/>
  <c r="H539" i="73" s="1"/>
  <c r="GI118" i="63"/>
  <c r="M132" i="73"/>
  <c r="M566" i="73" s="1"/>
  <c r="GI114" i="63"/>
  <c r="M128" i="73"/>
  <c r="M562" i="73" s="1"/>
  <c r="Z125" i="73"/>
  <c r="K532" i="73" s="1"/>
  <c r="Z123" i="73"/>
  <c r="K530" i="73" s="1"/>
  <c r="V123" i="73"/>
  <c r="G530" i="73" s="1"/>
  <c r="R123" i="73"/>
  <c r="C530" i="73" s="1"/>
  <c r="Y123" i="73"/>
  <c r="J530" i="73" s="1"/>
  <c r="T123" i="73"/>
  <c r="E530" i="73" s="1"/>
  <c r="X123" i="73"/>
  <c r="I530" i="73" s="1"/>
  <c r="S123" i="73"/>
  <c r="D530" i="73" s="1"/>
  <c r="W123" i="73"/>
  <c r="H530" i="73" s="1"/>
  <c r="Q123" i="73"/>
  <c r="B530" i="73" s="1"/>
  <c r="AA123" i="73"/>
  <c r="L530" i="73" s="1"/>
  <c r="U123" i="73"/>
  <c r="F530" i="73" s="1"/>
  <c r="GI109" i="63"/>
  <c r="GI106" i="63"/>
  <c r="M120" i="73"/>
  <c r="N120" i="73" s="1"/>
  <c r="GI105" i="63"/>
  <c r="M119" i="73"/>
  <c r="Z110" i="73"/>
  <c r="K517" i="73" s="1"/>
  <c r="AB158" i="73"/>
  <c r="AC158" i="73" s="1"/>
  <c r="S158" i="73"/>
  <c r="D610" i="73" s="1"/>
  <c r="Q18" i="66"/>
  <c r="X157" i="73"/>
  <c r="I609" i="73" s="1"/>
  <c r="U157" i="73"/>
  <c r="F609" i="73" s="1"/>
  <c r="Y157" i="73"/>
  <c r="J609" i="73" s="1"/>
  <c r="Z157" i="73"/>
  <c r="K609" i="73" s="1"/>
  <c r="S157" i="73"/>
  <c r="D609" i="73" s="1"/>
  <c r="Z155" i="73"/>
  <c r="K607" i="73" s="1"/>
  <c r="W155" i="73"/>
  <c r="H607" i="73" s="1"/>
  <c r="GI135" i="63"/>
  <c r="GI134" i="63"/>
  <c r="Z148" i="73"/>
  <c r="K600" i="73" s="1"/>
  <c r="X148" i="73"/>
  <c r="I600" i="73" s="1"/>
  <c r="Y148" i="73"/>
  <c r="J600" i="73" s="1"/>
  <c r="R146" i="73"/>
  <c r="C598" i="73" s="1"/>
  <c r="V146" i="73"/>
  <c r="G598" i="73" s="1"/>
  <c r="Z146" i="73"/>
  <c r="K598" i="73" s="1"/>
  <c r="S146" i="73"/>
  <c r="D598" i="73" s="1"/>
  <c r="W146" i="73"/>
  <c r="H598" i="73" s="1"/>
  <c r="AA146" i="73"/>
  <c r="L598" i="73" s="1"/>
  <c r="T146" i="73"/>
  <c r="E598" i="73" s="1"/>
  <c r="AB146" i="73"/>
  <c r="M598" i="73" s="1"/>
  <c r="U146" i="73"/>
  <c r="F598" i="73" s="1"/>
  <c r="X146" i="73"/>
  <c r="I598" i="73" s="1"/>
  <c r="Q146" i="73"/>
  <c r="B598" i="73" s="1"/>
  <c r="Y146" i="73"/>
  <c r="J598" i="73" s="1"/>
  <c r="D34" i="129"/>
  <c r="AI25" i="65"/>
  <c r="AK27" i="66"/>
  <c r="E10" i="140"/>
  <c r="E13" i="140"/>
  <c r="AR30" i="66"/>
  <c r="AS25" i="66"/>
  <c r="D2" i="140"/>
  <c r="AR5" i="66"/>
  <c r="AS27" i="66"/>
  <c r="G9" i="121"/>
  <c r="F13" i="129" s="1"/>
  <c r="AS7" i="66"/>
  <c r="G15" i="121"/>
  <c r="F28" i="129" s="1"/>
  <c r="AS17" i="66"/>
  <c r="AS21" i="66"/>
  <c r="G30" i="121"/>
  <c r="F30" i="129" s="1"/>
  <c r="AR11" i="66"/>
  <c r="AR18" i="66"/>
  <c r="AR28" i="66"/>
  <c r="AR14" i="66"/>
  <c r="AS20" i="66"/>
  <c r="AS30" i="66"/>
  <c r="AS12" i="66"/>
  <c r="AS9" i="66"/>
  <c r="G14" i="121"/>
  <c r="I14" i="121" s="1"/>
  <c r="G18" i="121"/>
  <c r="V17" i="66" s="1"/>
  <c r="AR4" i="66"/>
  <c r="AR22" i="66"/>
  <c r="AR6" i="66"/>
  <c r="AS4" i="66"/>
  <c r="AS14" i="66"/>
  <c r="AS18" i="66"/>
  <c r="AR13" i="66"/>
  <c r="AS13" i="66"/>
  <c r="AR15" i="66"/>
  <c r="AR24" i="66"/>
  <c r="AR16" i="66"/>
  <c r="AR12" i="66"/>
  <c r="AR9" i="66"/>
  <c r="AS19" i="66"/>
  <c r="AS10" i="66"/>
  <c r="G19" i="121"/>
  <c r="F16" i="129" s="1"/>
  <c r="E16" i="140"/>
  <c r="G11" i="121"/>
  <c r="I11" i="121" s="1"/>
  <c r="G27" i="121"/>
  <c r="I27" i="121" s="1"/>
  <c r="G20" i="121"/>
  <c r="F17" i="129" s="1"/>
  <c r="I17" i="129" s="1"/>
  <c r="G26" i="121"/>
  <c r="F9" i="129" s="1"/>
  <c r="L9" i="129" s="1"/>
  <c r="G10" i="121"/>
  <c r="F14" i="129" s="1"/>
  <c r="G22" i="121"/>
  <c r="H27" i="124"/>
  <c r="H19" i="124"/>
  <c r="H22" i="125" s="1"/>
  <c r="H20" i="124"/>
  <c r="H23" i="125" s="1"/>
  <c r="H9" i="124"/>
  <c r="H21" i="124"/>
  <c r="H26" i="125"/>
  <c r="R32" i="111"/>
  <c r="H5" i="124"/>
  <c r="H8" i="125" s="1"/>
  <c r="H29" i="124"/>
  <c r="H32" i="125" s="1"/>
  <c r="H17" i="124"/>
  <c r="H20" i="125"/>
  <c r="H26" i="124"/>
  <c r="H18" i="124"/>
  <c r="H8" i="124"/>
  <c r="H11" i="125" s="1"/>
  <c r="X32" i="111"/>
  <c r="D24" i="125"/>
  <c r="U102" i="107"/>
  <c r="U102" i="111"/>
  <c r="F31" i="119"/>
  <c r="I63" i="119"/>
  <c r="Q61" i="119"/>
  <c r="G67" i="106"/>
  <c r="Q21" i="119"/>
  <c r="X21" i="108"/>
  <c r="X55" i="110"/>
  <c r="X19" i="107"/>
  <c r="Q18" i="119"/>
  <c r="D51" i="119"/>
  <c r="U51" i="119" s="1"/>
  <c r="B49" i="119"/>
  <c r="S49" i="119" s="1"/>
  <c r="P15" i="119"/>
  <c r="D47" i="119"/>
  <c r="U47" i="119" s="1"/>
  <c r="X48" i="106"/>
  <c r="E13" i="119"/>
  <c r="C45" i="119"/>
  <c r="T45" i="119" s="1"/>
  <c r="X46" i="106"/>
  <c r="G11" i="119"/>
  <c r="M43" i="119"/>
  <c r="N67" i="106"/>
  <c r="M67" i="106"/>
  <c r="L42" i="119"/>
  <c r="K67" i="106"/>
  <c r="J67" i="106"/>
  <c r="X8" i="108"/>
  <c r="R7" i="106"/>
  <c r="X41" i="108"/>
  <c r="X6" i="109"/>
  <c r="X56" i="117"/>
  <c r="W56" i="117"/>
  <c r="W41" i="117"/>
  <c r="W18" i="117"/>
  <c r="W16" i="117"/>
  <c r="W14" i="117"/>
  <c r="W12" i="117"/>
  <c r="W6" i="117"/>
  <c r="AQ144" i="73"/>
  <c r="M569" i="73" s="1"/>
  <c r="X44" i="116"/>
  <c r="X23" i="116"/>
  <c r="R31" i="106"/>
  <c r="X31" i="110"/>
  <c r="AJ203" i="73"/>
  <c r="E30" i="119"/>
  <c r="G62" i="119"/>
  <c r="X28" i="110"/>
  <c r="AJ200" i="73"/>
  <c r="Q60" i="119"/>
  <c r="L27" i="119"/>
  <c r="P57" i="119"/>
  <c r="E24" i="119"/>
  <c r="X58" i="108"/>
  <c r="X23" i="109"/>
  <c r="AI195" i="73"/>
  <c r="E667" i="73" s="1"/>
  <c r="W22" i="106"/>
  <c r="F19" i="126"/>
  <c r="X56" i="107"/>
  <c r="L53" i="119"/>
  <c r="X15" i="110"/>
  <c r="AJ187" i="73"/>
  <c r="F659" i="73" s="1"/>
  <c r="X13" i="106"/>
  <c r="G11" i="126"/>
  <c r="X48" i="109"/>
  <c r="Y48" i="109"/>
  <c r="X11" i="106"/>
  <c r="G9" i="126"/>
  <c r="X11" i="110"/>
  <c r="AJ183" i="73"/>
  <c r="F655" i="73" s="1"/>
  <c r="X9" i="106"/>
  <c r="G7" i="126"/>
  <c r="X9" i="107"/>
  <c r="X66" i="117"/>
  <c r="X15" i="117"/>
  <c r="W48" i="117"/>
  <c r="W9" i="117"/>
  <c r="W63" i="116"/>
  <c r="W59" i="116"/>
  <c r="W102" i="106"/>
  <c r="G34" i="123"/>
  <c r="X66" i="109"/>
  <c r="M64" i="119"/>
  <c r="D64" i="119"/>
  <c r="U64" i="119" s="1"/>
  <c r="P29" i="119"/>
  <c r="P95" i="119" s="1"/>
  <c r="X63" i="109"/>
  <c r="Y63" i="109"/>
  <c r="J61" i="119"/>
  <c r="X61" i="109"/>
  <c r="X26" i="110"/>
  <c r="AJ198" i="73"/>
  <c r="M21" i="119"/>
  <c r="I21" i="119"/>
  <c r="R53" i="106"/>
  <c r="M18" i="119"/>
  <c r="I18" i="119"/>
  <c r="P50" i="119"/>
  <c r="K16" i="119"/>
  <c r="X50" i="106"/>
  <c r="X50" i="109"/>
  <c r="Y50" i="109"/>
  <c r="E48" i="119"/>
  <c r="V48" i="119"/>
  <c r="X49" i="106"/>
  <c r="X47" i="106"/>
  <c r="X46" i="109"/>
  <c r="Y46" i="109"/>
  <c r="P10" i="119"/>
  <c r="M9" i="119"/>
  <c r="X42" i="106"/>
  <c r="X7" i="109"/>
  <c r="AI179" i="73"/>
  <c r="P6" i="119"/>
  <c r="X42" i="117"/>
  <c r="W47" i="117"/>
  <c r="W58" i="116"/>
  <c r="W54" i="116"/>
  <c r="W42" i="116"/>
  <c r="T102" i="110"/>
  <c r="Q30" i="119"/>
  <c r="X65" i="108"/>
  <c r="K29" i="119"/>
  <c r="X23" i="106"/>
  <c r="G21" i="126"/>
  <c r="W23" i="106"/>
  <c r="F21" i="126"/>
  <c r="E20" i="119"/>
  <c r="Q19" i="119"/>
  <c r="D52" i="119"/>
  <c r="U52" i="119" s="1"/>
  <c r="X16" i="110"/>
  <c r="AJ188" i="73"/>
  <c r="X12" i="110"/>
  <c r="AJ184" i="73"/>
  <c r="F656" i="73" s="1"/>
  <c r="X10" i="110"/>
  <c r="AJ182" i="73"/>
  <c r="F654" i="73" s="1"/>
  <c r="B10" i="119"/>
  <c r="M32" i="106"/>
  <c r="L32" i="106"/>
  <c r="K32" i="106"/>
  <c r="B32" i="106"/>
  <c r="X48" i="117"/>
  <c r="X8" i="116"/>
  <c r="W57" i="116"/>
  <c r="W55" i="116"/>
  <c r="W53" i="116"/>
  <c r="W47" i="116"/>
  <c r="W13" i="116"/>
  <c r="W11" i="116"/>
  <c r="W9" i="116"/>
  <c r="AP147" i="73"/>
  <c r="L572" i="73" s="1"/>
  <c r="W5" i="116"/>
  <c r="AP143" i="73"/>
  <c r="W59" i="115"/>
  <c r="W57" i="115"/>
  <c r="W55" i="115"/>
  <c r="W53" i="115"/>
  <c r="W47" i="115"/>
  <c r="W65" i="114"/>
  <c r="W55" i="114"/>
  <c r="W49" i="114"/>
  <c r="W47" i="114"/>
  <c r="W45" i="114"/>
  <c r="W23" i="114"/>
  <c r="AN161" i="73" s="1"/>
  <c r="W8" i="114"/>
  <c r="AN146" i="73" s="1"/>
  <c r="W44" i="113"/>
  <c r="W21" i="113"/>
  <c r="N19" i="123" s="1"/>
  <c r="W8" i="113"/>
  <c r="I571" i="73" s="1"/>
  <c r="W5" i="112"/>
  <c r="W23" i="112"/>
  <c r="W21" i="112"/>
  <c r="W63" i="112"/>
  <c r="W61" i="112"/>
  <c r="W59" i="112"/>
  <c r="W50" i="112"/>
  <c r="W48" i="112"/>
  <c r="W44" i="112"/>
  <c r="X61" i="112"/>
  <c r="F9" i="118"/>
  <c r="F108" i="62"/>
  <c r="F7" i="118"/>
  <c r="D108" i="62"/>
  <c r="F5" i="118"/>
  <c r="B108" i="62"/>
  <c r="X23" i="108"/>
  <c r="W12" i="116"/>
  <c r="AP150" i="73"/>
  <c r="L575" i="73" s="1"/>
  <c r="W42" i="115"/>
  <c r="X46" i="115"/>
  <c r="X19" i="115"/>
  <c r="W18" i="115"/>
  <c r="W40" i="114"/>
  <c r="W29" i="114"/>
  <c r="AN167" i="73" s="1"/>
  <c r="W28" i="114"/>
  <c r="AN166" i="73" s="1"/>
  <c r="W10" i="114"/>
  <c r="AN148" i="73" s="1"/>
  <c r="W6" i="114"/>
  <c r="AN144" i="73" s="1"/>
  <c r="X16" i="113"/>
  <c r="W56" i="113"/>
  <c r="W54" i="113"/>
  <c r="W52" i="113"/>
  <c r="W50" i="113"/>
  <c r="W31" i="113"/>
  <c r="W25" i="113"/>
  <c r="W20" i="112"/>
  <c r="W18" i="112"/>
  <c r="W16" i="112"/>
  <c r="W7" i="112"/>
  <c r="W64" i="112"/>
  <c r="W55" i="112"/>
  <c r="W53" i="112"/>
  <c r="W51" i="112"/>
  <c r="W49" i="112"/>
  <c r="W41" i="112"/>
  <c r="X41" i="112"/>
  <c r="F10" i="118"/>
  <c r="G108" i="62"/>
  <c r="F8" i="118"/>
  <c r="E108" i="62"/>
  <c r="F6" i="118"/>
  <c r="C108" i="62"/>
  <c r="X5" i="116"/>
  <c r="F21" i="124"/>
  <c r="X40" i="108"/>
  <c r="O28" i="112"/>
  <c r="R28" i="112"/>
  <c r="R98" i="112"/>
  <c r="O63" i="112"/>
  <c r="R63" i="112"/>
  <c r="O59" i="112"/>
  <c r="O24" i="112"/>
  <c r="R24" i="112"/>
  <c r="R94" i="112"/>
  <c r="O55" i="112"/>
  <c r="R55" i="112"/>
  <c r="O20" i="112"/>
  <c r="R20" i="112"/>
  <c r="R86" i="112"/>
  <c r="O51" i="112"/>
  <c r="R51" i="112"/>
  <c r="O16" i="112"/>
  <c r="R16" i="112"/>
  <c r="R82" i="112"/>
  <c r="O47" i="112"/>
  <c r="R47" i="112"/>
  <c r="O12" i="112"/>
  <c r="R12" i="112"/>
  <c r="O8" i="112"/>
  <c r="R8" i="112"/>
  <c r="R78" i="112"/>
  <c r="O43" i="112"/>
  <c r="R43" i="112"/>
  <c r="X99" i="110"/>
  <c r="O29" i="110"/>
  <c r="O29" i="119"/>
  <c r="O60" i="110"/>
  <c r="O58" i="119"/>
  <c r="X95" i="110"/>
  <c r="X91" i="110"/>
  <c r="O21" i="110"/>
  <c r="O21" i="119"/>
  <c r="O56" i="110"/>
  <c r="O54" i="119"/>
  <c r="O52" i="110"/>
  <c r="X87" i="110"/>
  <c r="O48" i="110"/>
  <c r="X83" i="110"/>
  <c r="X79" i="110"/>
  <c r="O9" i="110"/>
  <c r="O65" i="109"/>
  <c r="X100" i="109"/>
  <c r="R100" i="109"/>
  <c r="X96" i="109"/>
  <c r="O26" i="109"/>
  <c r="R96" i="109"/>
  <c r="Y96" i="109"/>
  <c r="O57" i="109"/>
  <c r="X92" i="109"/>
  <c r="R92" i="109"/>
  <c r="Y92" i="109"/>
  <c r="X88" i="109"/>
  <c r="O18" i="109"/>
  <c r="R88" i="109"/>
  <c r="X84" i="109"/>
  <c r="O14" i="109"/>
  <c r="R84" i="109"/>
  <c r="X80" i="109"/>
  <c r="O10" i="109"/>
  <c r="R80" i="109"/>
  <c r="Y80" i="109"/>
  <c r="O41" i="109"/>
  <c r="X76" i="109"/>
  <c r="R76" i="109"/>
  <c r="O31" i="108"/>
  <c r="X101" i="108"/>
  <c r="O66" i="108"/>
  <c r="O27" i="108"/>
  <c r="X97" i="108"/>
  <c r="O19" i="108"/>
  <c r="X89" i="108"/>
  <c r="O54" i="108"/>
  <c r="O15" i="108"/>
  <c r="X85" i="108"/>
  <c r="O50" i="108"/>
  <c r="O11" i="108"/>
  <c r="O46" i="108"/>
  <c r="X81" i="108"/>
  <c r="O28" i="107"/>
  <c r="X98" i="107"/>
  <c r="O63" i="107"/>
  <c r="X94" i="107"/>
  <c r="O24" i="107"/>
  <c r="O59" i="107"/>
  <c r="O57" i="119"/>
  <c r="O55" i="107"/>
  <c r="X90" i="107"/>
  <c r="O16" i="107"/>
  <c r="X86" i="107"/>
  <c r="O51" i="107"/>
  <c r="O12" i="107"/>
  <c r="X82" i="107"/>
  <c r="O47" i="107"/>
  <c r="X78" i="107"/>
  <c r="O8" i="107"/>
  <c r="O5" i="112"/>
  <c r="O40" i="112"/>
  <c r="X75" i="112"/>
  <c r="X102" i="112"/>
  <c r="I33" i="124"/>
  <c r="R75" i="112"/>
  <c r="O5" i="107"/>
  <c r="R75" i="107"/>
  <c r="R102" i="107"/>
  <c r="S6" i="118"/>
  <c r="O40" i="107"/>
  <c r="X75" i="107"/>
  <c r="X100" i="113"/>
  <c r="O30" i="113"/>
  <c r="O65" i="113"/>
  <c r="R100" i="113"/>
  <c r="X96" i="113"/>
  <c r="O26" i="113"/>
  <c r="R96" i="113"/>
  <c r="O22" i="113"/>
  <c r="X92" i="113"/>
  <c r="O57" i="113"/>
  <c r="R92" i="113"/>
  <c r="O53" i="113"/>
  <c r="R53" i="113"/>
  <c r="X88" i="113"/>
  <c r="O18" i="113"/>
  <c r="R88" i="113"/>
  <c r="O49" i="113"/>
  <c r="X84" i="113"/>
  <c r="O14" i="113"/>
  <c r="R84" i="113"/>
  <c r="O45" i="113"/>
  <c r="O43" i="119" s="1"/>
  <c r="X80" i="113"/>
  <c r="O10" i="113"/>
  <c r="R80" i="113"/>
  <c r="O102" i="113"/>
  <c r="O12" i="118" s="1"/>
  <c r="X76" i="113"/>
  <c r="O6" i="113"/>
  <c r="O41" i="113"/>
  <c r="O39" i="119" s="1"/>
  <c r="R76" i="113"/>
  <c r="F5" i="124"/>
  <c r="G12" i="124"/>
  <c r="G15" i="125" s="1"/>
  <c r="R58" i="108"/>
  <c r="R65" i="108"/>
  <c r="O62" i="108"/>
  <c r="O53" i="109"/>
  <c r="O13" i="110"/>
  <c r="O45" i="109"/>
  <c r="O61" i="113"/>
  <c r="R21" i="108"/>
  <c r="R61" i="109"/>
  <c r="Y61" i="109"/>
  <c r="X64" i="110"/>
  <c r="X93" i="108"/>
  <c r="O25" i="110"/>
  <c r="O22" i="109"/>
  <c r="O42" i="108"/>
  <c r="E4" i="124"/>
  <c r="E7" i="125" s="1"/>
  <c r="R26" i="110"/>
  <c r="R23" i="109"/>
  <c r="Y23" i="109"/>
  <c r="R55" i="110"/>
  <c r="X44" i="110"/>
  <c r="X77" i="108"/>
  <c r="O20" i="107"/>
  <c r="O17" i="110"/>
  <c r="O49" i="109"/>
  <c r="O43" i="107"/>
  <c r="X60" i="116"/>
  <c r="X31" i="114"/>
  <c r="AN203" i="73" s="1"/>
  <c r="X53" i="112"/>
  <c r="X56" i="112"/>
  <c r="X48" i="112"/>
  <c r="FG104" i="63"/>
  <c r="FI4" i="63"/>
  <c r="DI30" i="63"/>
  <c r="FV4" i="63"/>
  <c r="DI60" i="63"/>
  <c r="EO155" i="63"/>
  <c r="FB155" i="63"/>
  <c r="FG164" i="63"/>
  <c r="FT164" i="63"/>
  <c r="ES165" i="63"/>
  <c r="FS165" i="63"/>
  <c r="FS24" i="63"/>
  <c r="J319" i="73"/>
  <c r="FF24" i="63"/>
  <c r="FE35" i="63"/>
  <c r="FR35" i="63"/>
  <c r="FS39" i="63"/>
  <c r="FF39" i="63"/>
  <c r="FP54" i="63"/>
  <c r="G400" i="73"/>
  <c r="FC54" i="63"/>
  <c r="EQ56" i="63"/>
  <c r="EQ60" i="63"/>
  <c r="FD56" i="63"/>
  <c r="FG71" i="63"/>
  <c r="FT71" i="63"/>
  <c r="K468" i="73"/>
  <c r="FQ126" i="63"/>
  <c r="FD126" i="63"/>
  <c r="FT155" i="63"/>
  <c r="K705" i="73"/>
  <c r="FG155" i="63"/>
  <c r="FB166" i="63"/>
  <c r="EO166" i="63"/>
  <c r="FQ17" i="63"/>
  <c r="FD17" i="63"/>
  <c r="FB17" i="63"/>
  <c r="EO17" i="63"/>
  <c r="ET21" i="63"/>
  <c r="ET30" i="63"/>
  <c r="FT21" i="63"/>
  <c r="K316" i="73"/>
  <c r="EM21" i="63"/>
  <c r="FM21" i="63"/>
  <c r="EZ21" i="63"/>
  <c r="FK25" i="63"/>
  <c r="B320" i="73"/>
  <c r="EX25" i="63"/>
  <c r="FR67" i="63"/>
  <c r="I464" i="73"/>
  <c r="FE67" i="63"/>
  <c r="FT75" i="63"/>
  <c r="FG75" i="63"/>
  <c r="ER78" i="63"/>
  <c r="FR78" i="63"/>
  <c r="I475" i="73"/>
  <c r="FA83" i="63"/>
  <c r="FU88" i="63"/>
  <c r="FH88" i="63"/>
  <c r="FF165" i="63"/>
  <c r="FC49" i="63"/>
  <c r="EZ40" i="63"/>
  <c r="FC105" i="63"/>
  <c r="EP105" i="63"/>
  <c r="FP105" i="63"/>
  <c r="FM136" i="63"/>
  <c r="EZ136" i="63"/>
  <c r="FT178" i="63"/>
  <c r="FG178" i="63"/>
  <c r="DI90" i="63"/>
  <c r="EK134" i="63"/>
  <c r="EX134" i="63"/>
  <c r="FE158" i="63"/>
  <c r="FK175" i="63"/>
  <c r="EK175" i="63"/>
  <c r="FK167" i="63"/>
  <c r="B717" i="73"/>
  <c r="EK167" i="63"/>
  <c r="FN33" i="63"/>
  <c r="FA33" i="63"/>
  <c r="FK76" i="63"/>
  <c r="EX76" i="63"/>
  <c r="FV28" i="63"/>
  <c r="FI28" i="63"/>
  <c r="DI120" i="63"/>
  <c r="FP5" i="63"/>
  <c r="FC5" i="63"/>
  <c r="FU84" i="63"/>
  <c r="FH84" i="63"/>
  <c r="FR124" i="63"/>
  <c r="I623" i="73"/>
  <c r="FE124" i="63"/>
  <c r="FM153" i="63"/>
  <c r="EZ153" i="63"/>
  <c r="FF153" i="63"/>
  <c r="ES153" i="63"/>
  <c r="FP9" i="63"/>
  <c r="FC9" i="63"/>
  <c r="EN13" i="63"/>
  <c r="EN30" i="63"/>
  <c r="FA13" i="63"/>
  <c r="FF84" i="63"/>
  <c r="ES84" i="63"/>
  <c r="FG146" i="63"/>
  <c r="DI180" i="63"/>
  <c r="DH90" i="63"/>
  <c r="EV155" i="63"/>
  <c r="EV23" i="63"/>
  <c r="EV14" i="63"/>
  <c r="EV45" i="63"/>
  <c r="EU83" i="63"/>
  <c r="ER118" i="63"/>
  <c r="EN33" i="63"/>
  <c r="EX130" i="63"/>
  <c r="EP27" i="63"/>
  <c r="EM41" i="63"/>
  <c r="CR48" i="63"/>
  <c r="GE48" i="63"/>
  <c r="CS40" i="63"/>
  <c r="GF40" i="63"/>
  <c r="CM36" i="63"/>
  <c r="FZ36" i="63"/>
  <c r="CL26" i="63"/>
  <c r="FY26" i="63"/>
  <c r="CP18" i="63"/>
  <c r="GC18" i="63"/>
  <c r="EV167" i="63"/>
  <c r="EV159" i="63"/>
  <c r="EV27" i="63"/>
  <c r="EV22" i="63"/>
  <c r="EV37" i="63"/>
  <c r="EY155" i="63"/>
  <c r="EK174" i="63"/>
  <c r="FF14" i="63"/>
  <c r="EK93" i="63"/>
  <c r="ES53" i="63"/>
  <c r="EU79" i="63"/>
  <c r="FB25" i="63"/>
  <c r="EP13" i="63"/>
  <c r="CV10" i="63"/>
  <c r="GI10" i="63"/>
  <c r="EV175" i="63"/>
  <c r="EV171" i="63"/>
  <c r="EV163" i="63"/>
  <c r="EV7" i="63"/>
  <c r="FE87" i="63"/>
  <c r="FG145" i="63"/>
  <c r="FG162" i="63"/>
  <c r="EK113" i="63"/>
  <c r="ER141" i="63"/>
  <c r="EK76" i="63"/>
  <c r="CS48" i="63"/>
  <c r="GF48" i="63"/>
  <c r="CM44" i="63"/>
  <c r="FZ44" i="63"/>
  <c r="CR40" i="63"/>
  <c r="FR40" i="63"/>
  <c r="CV26" i="63"/>
  <c r="GI26" i="63"/>
  <c r="CT22" i="63"/>
  <c r="GG22" i="63"/>
  <c r="CM10" i="63"/>
  <c r="FZ10" i="63"/>
  <c r="EV15" i="63"/>
  <c r="EV6" i="63"/>
  <c r="FT71" i="126"/>
  <c r="GH71" i="126"/>
  <c r="CN96" i="126"/>
  <c r="GG81" i="126"/>
  <c r="GG83" i="126"/>
  <c r="DP98" i="126"/>
  <c r="AF195" i="73"/>
  <c r="B667" i="73" s="1"/>
  <c r="G26" i="123"/>
  <c r="AF163" i="73"/>
  <c r="B588" i="73" s="1"/>
  <c r="C18" i="124"/>
  <c r="AF193" i="73"/>
  <c r="B665" i="73" s="1"/>
  <c r="X24" i="106"/>
  <c r="G22" i="126"/>
  <c r="R24" i="106"/>
  <c r="V23" i="106"/>
  <c r="E22" i="65"/>
  <c r="AC22" i="65"/>
  <c r="M23" i="122"/>
  <c r="T23" i="106"/>
  <c r="D22" i="65"/>
  <c r="AB22" i="65"/>
  <c r="AH22" i="65" s="1"/>
  <c r="G20" i="123"/>
  <c r="T22" i="106"/>
  <c r="P21" i="121"/>
  <c r="D21" i="65"/>
  <c r="X45" i="106"/>
  <c r="O67" i="106"/>
  <c r="D67" i="106"/>
  <c r="L33" i="122"/>
  <c r="S8" i="106"/>
  <c r="O7" i="121"/>
  <c r="H32" i="106"/>
  <c r="W6" i="106"/>
  <c r="F4" i="126"/>
  <c r="F32" i="106"/>
  <c r="U6" i="106"/>
  <c r="L6" i="122"/>
  <c r="AJ6" i="122" s="1"/>
  <c r="AK6" i="122" s="1"/>
  <c r="P6" i="121"/>
  <c r="T6" i="106"/>
  <c r="D5" i="65"/>
  <c r="R56" i="64"/>
  <c r="R55" i="64"/>
  <c r="R53" i="64"/>
  <c r="R57" i="64"/>
  <c r="B427" i="73"/>
  <c r="E17" i="118"/>
  <c r="E35" i="118" s="1"/>
  <c r="AF186" i="73"/>
  <c r="B658" i="73" s="1"/>
  <c r="AF185" i="73"/>
  <c r="B657" i="73" s="1"/>
  <c r="R14" i="106"/>
  <c r="B67" i="106"/>
  <c r="O33" i="121"/>
  <c r="R9" i="106"/>
  <c r="R42" i="106"/>
  <c r="R41" i="106"/>
  <c r="R61" i="106"/>
  <c r="P67" i="106"/>
  <c r="AF151" i="73"/>
  <c r="B576" i="73" s="1"/>
  <c r="V67" i="106"/>
  <c r="X31" i="106"/>
  <c r="G29" i="126"/>
  <c r="X28" i="106"/>
  <c r="G26" i="126"/>
  <c r="W28" i="106"/>
  <c r="F26" i="126"/>
  <c r="V28" i="106"/>
  <c r="M28" i="122"/>
  <c r="E27" i="65"/>
  <c r="AC27" i="65"/>
  <c r="P28" i="121"/>
  <c r="T28" i="106"/>
  <c r="R28" i="106"/>
  <c r="S28" i="106"/>
  <c r="L15" i="122"/>
  <c r="D17" i="119"/>
  <c r="U17" i="106"/>
  <c r="P15" i="121"/>
  <c r="T17" i="106"/>
  <c r="S17" i="106"/>
  <c r="O15" i="121"/>
  <c r="R17" i="106"/>
  <c r="W16" i="106"/>
  <c r="F14" i="126"/>
  <c r="V16" i="106"/>
  <c r="M16" i="122"/>
  <c r="E15" i="65"/>
  <c r="AC15" i="65"/>
  <c r="U16" i="106"/>
  <c r="L16" i="122"/>
  <c r="AJ16" i="122" s="1"/>
  <c r="AK16" i="122" s="1"/>
  <c r="C16" i="119"/>
  <c r="T16" i="106"/>
  <c r="S16" i="106"/>
  <c r="O16" i="121"/>
  <c r="W15" i="106"/>
  <c r="F15" i="126"/>
  <c r="G13" i="123"/>
  <c r="AF152" i="73"/>
  <c r="B577" i="73" s="1"/>
  <c r="C20" i="124"/>
  <c r="AF192" i="73"/>
  <c r="B664" i="73" s="1"/>
  <c r="R66" i="106"/>
  <c r="X66" i="106"/>
  <c r="X30" i="106"/>
  <c r="G27" i="126"/>
  <c r="R30" i="106"/>
  <c r="W27" i="106"/>
  <c r="F24" i="126"/>
  <c r="E26" i="65"/>
  <c r="M26" i="122"/>
  <c r="C27" i="119"/>
  <c r="P26" i="121"/>
  <c r="D26" i="65"/>
  <c r="AB26" i="65"/>
  <c r="S27" i="106"/>
  <c r="R27" i="106"/>
  <c r="O26" i="121"/>
  <c r="X61" i="106"/>
  <c r="H67" i="106"/>
  <c r="W61" i="106"/>
  <c r="X60" i="106"/>
  <c r="R60" i="106"/>
  <c r="U23" i="106"/>
  <c r="L23" i="122"/>
  <c r="O23" i="121"/>
  <c r="R23" i="106"/>
  <c r="X22" i="106"/>
  <c r="G19" i="126"/>
  <c r="M21" i="122"/>
  <c r="V22" i="106"/>
  <c r="S22" i="106"/>
  <c r="R22" i="106"/>
  <c r="E67" i="106"/>
  <c r="T45" i="106"/>
  <c r="T67" i="106"/>
  <c r="C67" i="106"/>
  <c r="X44" i="106"/>
  <c r="T8" i="106"/>
  <c r="D7" i="65"/>
  <c r="AB7" i="65"/>
  <c r="AH7" i="65" s="1"/>
  <c r="X7" i="106"/>
  <c r="G6" i="126"/>
  <c r="W7" i="106"/>
  <c r="F6" i="126"/>
  <c r="P8" i="121"/>
  <c r="T7" i="106"/>
  <c r="O8" i="121"/>
  <c r="S7" i="106"/>
  <c r="O32" i="106"/>
  <c r="J6" i="119"/>
  <c r="J32" i="106"/>
  <c r="G32" i="106"/>
  <c r="V6" i="106"/>
  <c r="M6" i="122"/>
  <c r="E5" i="65"/>
  <c r="B6" i="119"/>
  <c r="O6" i="121"/>
  <c r="R73" i="64"/>
  <c r="B262" i="73"/>
  <c r="AF182" i="73"/>
  <c r="B654" i="73" s="1"/>
  <c r="R13" i="106"/>
  <c r="R10" i="106"/>
  <c r="R44" i="106"/>
  <c r="R47" i="106"/>
  <c r="R45" i="106"/>
  <c r="R6" i="106"/>
  <c r="R72" i="64"/>
  <c r="E32" i="106"/>
  <c r="D32" i="106"/>
  <c r="X6" i="106"/>
  <c r="G4" i="126"/>
  <c r="L8" i="122"/>
  <c r="U22" i="106"/>
  <c r="G19" i="123"/>
  <c r="AF159" i="73"/>
  <c r="B584" i="73" s="1"/>
  <c r="G29" i="123"/>
  <c r="AF167" i="73"/>
  <c r="B592" i="73" s="1"/>
  <c r="X29" i="106"/>
  <c r="G28" i="126"/>
  <c r="X27" i="106"/>
  <c r="G24" i="126"/>
  <c r="U27" i="106"/>
  <c r="L26" i="122"/>
  <c r="X43" i="106"/>
  <c r="R43" i="106"/>
  <c r="Q67" i="106"/>
  <c r="M8" i="122"/>
  <c r="E6" i="65"/>
  <c r="AC6" i="65"/>
  <c r="N32" i="106"/>
  <c r="AF184" i="73"/>
  <c r="B656" i="73" s="1"/>
  <c r="R46" i="106"/>
  <c r="R48" i="106"/>
  <c r="I67" i="106"/>
  <c r="R49" i="106"/>
  <c r="R11" i="106"/>
  <c r="P32" i="106"/>
  <c r="AF188" i="73"/>
  <c r="B660" i="73" s="1"/>
  <c r="R69" i="64"/>
  <c r="C32" i="106"/>
  <c r="S6" i="106"/>
  <c r="O21" i="121"/>
  <c r="G10" i="123"/>
  <c r="AF149" i="73"/>
  <c r="B574" i="73" s="1"/>
  <c r="G6" i="123"/>
  <c r="AF146" i="73"/>
  <c r="B571" i="73" s="1"/>
  <c r="L35" i="122"/>
  <c r="P7" i="121"/>
  <c r="P23" i="121"/>
  <c r="U45" i="106"/>
  <c r="U67" i="106"/>
  <c r="V21" i="106"/>
  <c r="M20" i="122"/>
  <c r="E20" i="65"/>
  <c r="AC20" i="65"/>
  <c r="R21" i="106"/>
  <c r="S21" i="106"/>
  <c r="U20" i="106"/>
  <c r="L22" i="122"/>
  <c r="O22" i="121"/>
  <c r="R20" i="106"/>
  <c r="W67" i="106"/>
  <c r="F31" i="126"/>
  <c r="Q59" i="119"/>
  <c r="J23" i="119"/>
  <c r="F23" i="119"/>
  <c r="Q13" i="119"/>
  <c r="S67" i="106"/>
  <c r="J24" i="119"/>
  <c r="P49" i="119"/>
  <c r="K5" i="119"/>
  <c r="Q31" i="119"/>
  <c r="H29" i="119"/>
  <c r="K28" i="119"/>
  <c r="H59" i="119"/>
  <c r="E21" i="119"/>
  <c r="B329" i="73"/>
  <c r="N31" i="119"/>
  <c r="M30" i="119"/>
  <c r="K62" i="119"/>
  <c r="K95" i="119" s="1"/>
  <c r="J60" i="119"/>
  <c r="H27" i="119"/>
  <c r="M26" i="119"/>
  <c r="I59" i="119"/>
  <c r="P24" i="119"/>
  <c r="M57" i="119"/>
  <c r="B24" i="119"/>
  <c r="M53" i="119"/>
  <c r="I19" i="119"/>
  <c r="E52" i="119"/>
  <c r="V52" i="119" s="1"/>
  <c r="E18" i="119"/>
  <c r="H17" i="119"/>
  <c r="K46" i="119"/>
  <c r="I13" i="119"/>
  <c r="H64" i="119"/>
  <c r="E64" i="119"/>
  <c r="V64" i="119" s="1"/>
  <c r="F25" i="119"/>
  <c r="J18" i="119"/>
  <c r="M17" i="119"/>
  <c r="B15" i="119"/>
  <c r="H45" i="119"/>
  <c r="D12" i="119"/>
  <c r="I9" i="119"/>
  <c r="N82" i="73"/>
  <c r="O82" i="73" s="1"/>
  <c r="AF172" i="73"/>
  <c r="B742" i="73" s="1"/>
  <c r="AE25" i="65"/>
  <c r="J24" i="62"/>
  <c r="FD105" i="63"/>
  <c r="EZ87" i="63"/>
  <c r="FF40" i="63"/>
  <c r="FG174" i="63"/>
  <c r="FD113" i="63"/>
  <c r="FG125" i="63"/>
  <c r="ER45" i="63"/>
  <c r="FA76" i="63"/>
  <c r="ES171" i="63"/>
  <c r="EP21" i="63"/>
  <c r="FG29" i="63"/>
  <c r="EX17" i="63"/>
  <c r="EK47" i="63"/>
  <c r="EK123" i="63"/>
  <c r="EK34" i="63"/>
  <c r="EX109" i="63"/>
  <c r="EK119" i="63"/>
  <c r="EX105" i="63"/>
  <c r="EX22" i="63"/>
  <c r="EK26" i="63"/>
  <c r="EK30" i="63"/>
  <c r="EN130" i="63"/>
  <c r="FB146" i="63"/>
  <c r="EK58" i="63"/>
  <c r="EM106" i="63"/>
  <c r="ES81" i="63"/>
  <c r="ES67" i="63"/>
  <c r="EO5" i="63"/>
  <c r="EO30" i="63"/>
  <c r="K19" i="62"/>
  <c r="J159" i="62"/>
  <c r="H159" i="62"/>
  <c r="H157" i="62"/>
  <c r="M159" i="62"/>
  <c r="C124" i="62"/>
  <c r="M157" i="62"/>
  <c r="D124" i="62"/>
  <c r="E159" i="62"/>
  <c r="N119" i="62"/>
  <c r="E139" i="62"/>
  <c r="J733" i="73"/>
  <c r="AB11" i="65"/>
  <c r="M513" i="73"/>
  <c r="EO105" i="63"/>
  <c r="ET105" i="63"/>
  <c r="FF103" i="63"/>
  <c r="FA149" i="63"/>
  <c r="EY97" i="63"/>
  <c r="FG170" i="63"/>
  <c r="EZ66" i="63"/>
  <c r="FB112" i="63"/>
  <c r="EK132" i="63"/>
  <c r="EL47" i="63"/>
  <c r="FA66" i="63"/>
  <c r="EK42" i="63"/>
  <c r="FK109" i="63"/>
  <c r="L17" i="62"/>
  <c r="D19" i="62"/>
  <c r="J27" i="62"/>
  <c r="F159" i="62"/>
  <c r="D159" i="62"/>
  <c r="D157" i="62"/>
  <c r="I159" i="62"/>
  <c r="G157" i="62"/>
  <c r="K157" i="62"/>
  <c r="J157" i="62"/>
  <c r="AB14" i="65"/>
  <c r="M422" i="73"/>
  <c r="E28" i="125"/>
  <c r="FF137" i="63"/>
  <c r="L90" i="62"/>
  <c r="R67" i="116"/>
  <c r="AB27" i="65"/>
  <c r="M410" i="73"/>
  <c r="M414" i="73"/>
  <c r="M512" i="73"/>
  <c r="FF12" i="63"/>
  <c r="FG100" i="63"/>
  <c r="AF49" i="62"/>
  <c r="AD90" i="62"/>
  <c r="M344" i="73"/>
  <c r="M346" i="73"/>
  <c r="AB28" i="65"/>
  <c r="AR7" i="66"/>
  <c r="AR27" i="66"/>
  <c r="AR20" i="66"/>
  <c r="AR10" i="66"/>
  <c r="AS6" i="66"/>
  <c r="AS26" i="66"/>
  <c r="AS28" i="66"/>
  <c r="AS29" i="66"/>
  <c r="AS8" i="66"/>
  <c r="AS16" i="66"/>
  <c r="AS11" i="66"/>
  <c r="AS22" i="66"/>
  <c r="AR25" i="66"/>
  <c r="AR17" i="66"/>
  <c r="G24" i="121"/>
  <c r="F23" i="127" s="1"/>
  <c r="M23" i="127" s="1"/>
  <c r="G13" i="121"/>
  <c r="I13" i="121" s="1"/>
  <c r="D4" i="140"/>
  <c r="G5" i="127"/>
  <c r="E5" i="128"/>
  <c r="S102" i="109"/>
  <c r="W102" i="109"/>
  <c r="J34" i="123"/>
  <c r="T102" i="117"/>
  <c r="X102" i="117"/>
  <c r="N33" i="124"/>
  <c r="CN100" i="63"/>
  <c r="GA100" i="63"/>
  <c r="CN87" i="63"/>
  <c r="GA87" i="63"/>
  <c r="CN79" i="63"/>
  <c r="GA79" i="63"/>
  <c r="CN71" i="63"/>
  <c r="GA71" i="63"/>
  <c r="CN63" i="63"/>
  <c r="GA63" i="63"/>
  <c r="CK54" i="63"/>
  <c r="FX54" i="63"/>
  <c r="CK46" i="63"/>
  <c r="FX46" i="63"/>
  <c r="CK38" i="63"/>
  <c r="FX38" i="63"/>
  <c r="CO28" i="63"/>
  <c r="GB28" i="63"/>
  <c r="CO20" i="63"/>
  <c r="GB20" i="63"/>
  <c r="CV8" i="63"/>
  <c r="GI8" i="63"/>
  <c r="CR14" i="63"/>
  <c r="GE14" i="63"/>
  <c r="CM14" i="63"/>
  <c r="FZ14" i="63"/>
  <c r="CR6" i="63"/>
  <c r="GE6" i="63"/>
  <c r="CM6" i="63"/>
  <c r="FZ6" i="63"/>
  <c r="CR176" i="63"/>
  <c r="GE176" i="63"/>
  <c r="CS176" i="63"/>
  <c r="GF176" i="63"/>
  <c r="CR172" i="63"/>
  <c r="GE172" i="63"/>
  <c r="CS172" i="63"/>
  <c r="GF172" i="63"/>
  <c r="CR168" i="63"/>
  <c r="GE168" i="63"/>
  <c r="CN164" i="63"/>
  <c r="GA164" i="63"/>
  <c r="CN156" i="63"/>
  <c r="GA156" i="63"/>
  <c r="CN143" i="63"/>
  <c r="GA143" i="63"/>
  <c r="CN135" i="63"/>
  <c r="GA135" i="63"/>
  <c r="CN127" i="63"/>
  <c r="GA127" i="63"/>
  <c r="CN118" i="63"/>
  <c r="GA118" i="63"/>
  <c r="CN110" i="63"/>
  <c r="GA110" i="63"/>
  <c r="CN102" i="63"/>
  <c r="GA102" i="63"/>
  <c r="CN94" i="63"/>
  <c r="GA94" i="63"/>
  <c r="CO89" i="63"/>
  <c r="GB89" i="63"/>
  <c r="CN85" i="63"/>
  <c r="GA85" i="63"/>
  <c r="CT85" i="63"/>
  <c r="GG85" i="63"/>
  <c r="CO81" i="63"/>
  <c r="GB81" i="63"/>
  <c r="CN77" i="63"/>
  <c r="GA77" i="63"/>
  <c r="CT77" i="63"/>
  <c r="GG77" i="63"/>
  <c r="CO73" i="63"/>
  <c r="GB73" i="63"/>
  <c r="CN69" i="63"/>
  <c r="GA69" i="63"/>
  <c r="CT69" i="63"/>
  <c r="GG69" i="63"/>
  <c r="CO65" i="63"/>
  <c r="GB65" i="63"/>
  <c r="CN56" i="63"/>
  <c r="GA56" i="63"/>
  <c r="CS56" i="63"/>
  <c r="GF56" i="63"/>
  <c r="CP52" i="63"/>
  <c r="GC52" i="63"/>
  <c r="CK48" i="63"/>
  <c r="EX48" i="63"/>
  <c r="CU48" i="63"/>
  <c r="GH48" i="63"/>
  <c r="CP44" i="63"/>
  <c r="GC44" i="63"/>
  <c r="CK40" i="63"/>
  <c r="FK40" i="63"/>
  <c r="CU40" i="63"/>
  <c r="GH40" i="63"/>
  <c r="CP36" i="63"/>
  <c r="GC36" i="63"/>
  <c r="CS26" i="63"/>
  <c r="FS26" i="63"/>
  <c r="CT26" i="63"/>
  <c r="GG26" i="63"/>
  <c r="CQ22" i="63"/>
  <c r="GD22" i="63"/>
  <c r="CQ18" i="63"/>
  <c r="GD18" i="63"/>
  <c r="CU10" i="63"/>
  <c r="GH10" i="63"/>
  <c r="G14" i="127"/>
  <c r="W102" i="114"/>
  <c r="O34" i="123" s="1"/>
  <c r="T102" i="109"/>
  <c r="CN89" i="63"/>
  <c r="GA89" i="63"/>
  <c r="CN81" i="63"/>
  <c r="GA81" i="63"/>
  <c r="CN73" i="63"/>
  <c r="GA73" i="63"/>
  <c r="CN65" i="63"/>
  <c r="GA65" i="63"/>
  <c r="CK52" i="63"/>
  <c r="EX52" i="63"/>
  <c r="CK44" i="63"/>
  <c r="FX44" i="63"/>
  <c r="CK36" i="63"/>
  <c r="FX36" i="63"/>
  <c r="CS22" i="63"/>
  <c r="GF22" i="63"/>
  <c r="R102" i="116"/>
  <c r="S15" i="118"/>
  <c r="AR8" i="66"/>
  <c r="AR26" i="66"/>
  <c r="AR29" i="66"/>
  <c r="AR19" i="66"/>
  <c r="AS15" i="66"/>
  <c r="AS23" i="66"/>
  <c r="AS5" i="66"/>
  <c r="AS24" i="66"/>
  <c r="G12" i="121"/>
  <c r="I12" i="121" s="1"/>
  <c r="AR21" i="66"/>
  <c r="G21" i="121"/>
  <c r="G21" i="127"/>
  <c r="E11" i="128"/>
  <c r="S102" i="107"/>
  <c r="W102" i="107"/>
  <c r="H34" i="123"/>
  <c r="U102" i="110"/>
  <c r="U102" i="114"/>
  <c r="S102" i="115"/>
  <c r="U102" i="115"/>
  <c r="W102" i="117"/>
  <c r="R34" i="123"/>
  <c r="CO10" i="63"/>
  <c r="FB10" i="63"/>
  <c r="CP10" i="63"/>
  <c r="GC10" i="63"/>
  <c r="CR10" i="63"/>
  <c r="GE10" i="63"/>
  <c r="CS10" i="63"/>
  <c r="GF10" i="63"/>
  <c r="CQ10" i="63"/>
  <c r="FD10" i="63"/>
  <c r="CO18" i="63"/>
  <c r="GB18" i="63"/>
  <c r="CL18" i="63"/>
  <c r="FY18" i="63"/>
  <c r="CU18" i="63"/>
  <c r="GH18" i="63"/>
  <c r="CK18" i="63"/>
  <c r="FX18" i="63"/>
  <c r="CM18" i="63"/>
  <c r="FZ18" i="63"/>
  <c r="CV18" i="63"/>
  <c r="GI18" i="63"/>
  <c r="CL22" i="63"/>
  <c r="FY22" i="63"/>
  <c r="CP22" i="63"/>
  <c r="GC22" i="63"/>
  <c r="CN22" i="63"/>
  <c r="GA22" i="63"/>
  <c r="CM22" i="63"/>
  <c r="FZ22" i="63"/>
  <c r="CO22" i="63"/>
  <c r="GB22" i="63"/>
  <c r="CO26" i="63"/>
  <c r="GB26" i="63"/>
  <c r="CM26" i="63"/>
  <c r="FZ26" i="63"/>
  <c r="CR26" i="63"/>
  <c r="GE26" i="63"/>
  <c r="CP26" i="63"/>
  <c r="GC26" i="63"/>
  <c r="CQ26" i="63"/>
  <c r="GD26" i="63"/>
  <c r="CK26" i="63"/>
  <c r="EX26" i="63"/>
  <c r="CV36" i="63"/>
  <c r="GI36" i="63"/>
  <c r="CQ36" i="63"/>
  <c r="GD36" i="63"/>
  <c r="CL36" i="63"/>
  <c r="FY36" i="63"/>
  <c r="CN36" i="63"/>
  <c r="GA36" i="63"/>
  <c r="CT36" i="63"/>
  <c r="GG36" i="63"/>
  <c r="CO36" i="63"/>
  <c r="GB36" i="63"/>
  <c r="CV40" i="63"/>
  <c r="GI40" i="63"/>
  <c r="CQ40" i="63"/>
  <c r="GD40" i="63"/>
  <c r="CL40" i="63"/>
  <c r="FY40" i="63"/>
  <c r="CN40" i="63"/>
  <c r="GA40" i="63"/>
  <c r="CT40" i="63"/>
  <c r="GG40" i="63"/>
  <c r="CO40" i="63"/>
  <c r="GB40" i="63"/>
  <c r="CV44" i="63"/>
  <c r="GI44" i="63"/>
  <c r="CQ44" i="63"/>
  <c r="GD44" i="63"/>
  <c r="CL44" i="63"/>
  <c r="FY44" i="63"/>
  <c r="CN44" i="63"/>
  <c r="GA44" i="63"/>
  <c r="CT44" i="63"/>
  <c r="GG44" i="63"/>
  <c r="CO44" i="63"/>
  <c r="GB44" i="63"/>
  <c r="CV48" i="63"/>
  <c r="GI48" i="63"/>
  <c r="CQ48" i="63"/>
  <c r="GD48" i="63"/>
  <c r="CL48" i="63"/>
  <c r="FY48" i="63"/>
  <c r="CN48" i="63"/>
  <c r="GA48" i="63"/>
  <c r="CT48" i="63"/>
  <c r="GG48" i="63"/>
  <c r="CO48" i="63"/>
  <c r="GB48" i="63"/>
  <c r="CV52" i="63"/>
  <c r="GI52" i="63"/>
  <c r="CQ52" i="63"/>
  <c r="GD52" i="63"/>
  <c r="CL52" i="63"/>
  <c r="FY52" i="63"/>
  <c r="CN52" i="63"/>
  <c r="GA52" i="63"/>
  <c r="CT52" i="63"/>
  <c r="GG52" i="63"/>
  <c r="CO52" i="63"/>
  <c r="GB52" i="63"/>
  <c r="CU56" i="63"/>
  <c r="GH56" i="63"/>
  <c r="CO56" i="63"/>
  <c r="GB56" i="63"/>
  <c r="CL56" i="63"/>
  <c r="FY56" i="63"/>
  <c r="CM56" i="63"/>
  <c r="FM56" i="63"/>
  <c r="CV56" i="63"/>
  <c r="GI56" i="63"/>
  <c r="CP56" i="63"/>
  <c r="GC56" i="63"/>
  <c r="CU65" i="63"/>
  <c r="GH65" i="63"/>
  <c r="CP65" i="63"/>
  <c r="GC65" i="63"/>
  <c r="CK65" i="63"/>
  <c r="FX65" i="63"/>
  <c r="CM65" i="63"/>
  <c r="EZ65" i="63"/>
  <c r="CS65" i="63"/>
  <c r="GF65" i="63"/>
  <c r="CR65" i="63"/>
  <c r="GE65" i="63"/>
  <c r="CU69" i="63"/>
  <c r="GH69" i="63"/>
  <c r="CP69" i="63"/>
  <c r="GC69" i="63"/>
  <c r="CK69" i="63"/>
  <c r="FX69" i="63"/>
  <c r="CM69" i="63"/>
  <c r="FZ69" i="63"/>
  <c r="CS69" i="63"/>
  <c r="GF69" i="63"/>
  <c r="CR69" i="63"/>
  <c r="GE69" i="63"/>
  <c r="CU73" i="63"/>
  <c r="GH73" i="63"/>
  <c r="CP73" i="63"/>
  <c r="GC73" i="63"/>
  <c r="CK73" i="63"/>
  <c r="FX73" i="63"/>
  <c r="CM73" i="63"/>
  <c r="FZ73" i="63"/>
  <c r="CS73" i="63"/>
  <c r="GF73" i="63"/>
  <c r="CR73" i="63"/>
  <c r="GE73" i="63"/>
  <c r="CU77" i="63"/>
  <c r="GH77" i="63"/>
  <c r="CP77" i="63"/>
  <c r="GC77" i="63"/>
  <c r="CK77" i="63"/>
  <c r="FX77" i="63"/>
  <c r="CM77" i="63"/>
  <c r="FZ77" i="63"/>
  <c r="CS77" i="63"/>
  <c r="FS77" i="63"/>
  <c r="CR77" i="63"/>
  <c r="GE77" i="63"/>
  <c r="CU81" i="63"/>
  <c r="GH81" i="63"/>
  <c r="CP81" i="63"/>
  <c r="GC81" i="63"/>
  <c r="CK81" i="63"/>
  <c r="FX81" i="63"/>
  <c r="CM81" i="63"/>
  <c r="FZ81" i="63"/>
  <c r="CS81" i="63"/>
  <c r="GF81" i="63"/>
  <c r="CR81" i="63"/>
  <c r="GE81" i="63"/>
  <c r="CU85" i="63"/>
  <c r="GH85" i="63"/>
  <c r="CP85" i="63"/>
  <c r="GC85" i="63"/>
  <c r="CK85" i="63"/>
  <c r="FX85" i="63"/>
  <c r="CM85" i="63"/>
  <c r="FZ85" i="63"/>
  <c r="CS85" i="63"/>
  <c r="GF85" i="63"/>
  <c r="CR85" i="63"/>
  <c r="GE85" i="63"/>
  <c r="CU89" i="63"/>
  <c r="GH89" i="63"/>
  <c r="CP89" i="63"/>
  <c r="GC89" i="63"/>
  <c r="CK89" i="63"/>
  <c r="FX89" i="63"/>
  <c r="CM89" i="63"/>
  <c r="FZ89" i="63"/>
  <c r="CS89" i="63"/>
  <c r="GF89" i="63"/>
  <c r="CR89" i="63"/>
  <c r="GE89" i="63"/>
  <c r="CU94" i="63"/>
  <c r="GH94" i="63"/>
  <c r="CP94" i="63"/>
  <c r="GC94" i="63"/>
  <c r="CK94" i="63"/>
  <c r="FX94" i="63"/>
  <c r="CM94" i="63"/>
  <c r="FM94" i="63"/>
  <c r="CS94" i="63"/>
  <c r="FS94" i="63"/>
  <c r="CR94" i="63"/>
  <c r="GE94" i="63"/>
  <c r="CU98" i="63"/>
  <c r="GH98" i="63"/>
  <c r="CP98" i="63"/>
  <c r="GC98" i="63"/>
  <c r="CK98" i="63"/>
  <c r="EX98" i="63"/>
  <c r="CM98" i="63"/>
  <c r="FZ98" i="63"/>
  <c r="CS98" i="63"/>
  <c r="GF98" i="63"/>
  <c r="CR98" i="63"/>
  <c r="GE98" i="63"/>
  <c r="CU102" i="63"/>
  <c r="GH102" i="63"/>
  <c r="CP102" i="63"/>
  <c r="GC102" i="63"/>
  <c r="CK102" i="63"/>
  <c r="FX102" i="63"/>
  <c r="CM102" i="63"/>
  <c r="FZ102" i="63"/>
  <c r="CS102" i="63"/>
  <c r="GF102" i="63"/>
  <c r="CR102" i="63"/>
  <c r="GE102" i="63"/>
  <c r="CU106" i="63"/>
  <c r="GH106" i="63"/>
  <c r="CP106" i="63"/>
  <c r="GC106" i="63"/>
  <c r="CK106" i="63"/>
  <c r="FX106" i="63"/>
  <c r="CM106" i="63"/>
  <c r="EZ106" i="63"/>
  <c r="CS106" i="63"/>
  <c r="GF106" i="63"/>
  <c r="CR106" i="63"/>
  <c r="GE106" i="63"/>
  <c r="CU110" i="63"/>
  <c r="GH110" i="63"/>
  <c r="CP110" i="63"/>
  <c r="GC110" i="63"/>
  <c r="CK110" i="63"/>
  <c r="FX110" i="63"/>
  <c r="CM110" i="63"/>
  <c r="FZ110" i="63"/>
  <c r="CS110" i="63"/>
  <c r="GF110" i="63"/>
  <c r="CR110" i="63"/>
  <c r="GE110" i="63"/>
  <c r="CU114" i="63"/>
  <c r="FH114" i="63"/>
  <c r="CP114" i="63"/>
  <c r="GC114" i="63"/>
  <c r="CK114" i="63"/>
  <c r="FX114" i="63"/>
  <c r="CM114" i="63"/>
  <c r="FZ114" i="63"/>
  <c r="CS114" i="63"/>
  <c r="GF114" i="63"/>
  <c r="CR114" i="63"/>
  <c r="GE114" i="63"/>
  <c r="CU118" i="63"/>
  <c r="GH118" i="63"/>
  <c r="CP118" i="63"/>
  <c r="GC118" i="63"/>
  <c r="CK118" i="63"/>
  <c r="FX118" i="63"/>
  <c r="CM118" i="63"/>
  <c r="FZ118" i="63"/>
  <c r="CS118" i="63"/>
  <c r="GF118" i="63"/>
  <c r="CR118" i="63"/>
  <c r="GE118" i="63"/>
  <c r="CU123" i="63"/>
  <c r="GH123" i="63"/>
  <c r="CP123" i="63"/>
  <c r="GC123" i="63"/>
  <c r="CK123" i="63"/>
  <c r="FK123" i="63"/>
  <c r="CM123" i="63"/>
  <c r="EZ123" i="63"/>
  <c r="CS123" i="63"/>
  <c r="GF123" i="63"/>
  <c r="CR123" i="63"/>
  <c r="CU127" i="63"/>
  <c r="GH127" i="63"/>
  <c r="CP127" i="63"/>
  <c r="GC127" i="63"/>
  <c r="CK127" i="63"/>
  <c r="FX127" i="63"/>
  <c r="CM127" i="63"/>
  <c r="FZ127" i="63"/>
  <c r="CS127" i="63"/>
  <c r="GF127" i="63"/>
  <c r="CR127" i="63"/>
  <c r="GE127" i="63"/>
  <c r="CU131" i="63"/>
  <c r="GH131" i="63"/>
  <c r="CP131" i="63"/>
  <c r="GC131" i="63"/>
  <c r="CK131" i="63"/>
  <c r="FX131" i="63"/>
  <c r="CM131" i="63"/>
  <c r="FZ131" i="63"/>
  <c r="CS131" i="63"/>
  <c r="GF131" i="63"/>
  <c r="CR131" i="63"/>
  <c r="FR131" i="63"/>
  <c r="CU135" i="63"/>
  <c r="FU135" i="63"/>
  <c r="CP135" i="63"/>
  <c r="GC135" i="63"/>
  <c r="CK135" i="63"/>
  <c r="FX135" i="63"/>
  <c r="CM135" i="63"/>
  <c r="FZ135" i="63"/>
  <c r="CS135" i="63"/>
  <c r="GF135" i="63"/>
  <c r="CR135" i="63"/>
  <c r="GE135" i="63"/>
  <c r="CU139" i="63"/>
  <c r="GH139" i="63"/>
  <c r="CP139" i="63"/>
  <c r="GC139" i="63"/>
  <c r="CK139" i="63"/>
  <c r="FX139" i="63"/>
  <c r="CM139" i="63"/>
  <c r="FZ139" i="63"/>
  <c r="CS139" i="63"/>
  <c r="GF139" i="63"/>
  <c r="CR139" i="63"/>
  <c r="GE139" i="63"/>
  <c r="CU143" i="63"/>
  <c r="GH143" i="63"/>
  <c r="CP143" i="63"/>
  <c r="FP143" i="63"/>
  <c r="CK143" i="63"/>
  <c r="FX143" i="63"/>
  <c r="CM143" i="63"/>
  <c r="FZ143" i="63"/>
  <c r="CS143" i="63"/>
  <c r="GF143" i="63"/>
  <c r="CR143" i="63"/>
  <c r="GE143" i="63"/>
  <c r="CU147" i="63"/>
  <c r="GH147" i="63"/>
  <c r="CP147" i="63"/>
  <c r="GC147" i="63"/>
  <c r="CK147" i="63"/>
  <c r="FK147" i="63"/>
  <c r="CM147" i="63"/>
  <c r="FZ147" i="63"/>
  <c r="CS147" i="63"/>
  <c r="GF147" i="63"/>
  <c r="CR147" i="63"/>
  <c r="GE147" i="63"/>
  <c r="CU156" i="63"/>
  <c r="GH156" i="63"/>
  <c r="CP156" i="63"/>
  <c r="GC156" i="63"/>
  <c r="CK156" i="63"/>
  <c r="FK156" i="63"/>
  <c r="CM156" i="63"/>
  <c r="FZ156" i="63"/>
  <c r="CS156" i="63"/>
  <c r="GF156" i="63"/>
  <c r="CR156" i="63"/>
  <c r="FE156" i="63"/>
  <c r="CU160" i="63"/>
  <c r="GH160" i="63"/>
  <c r="CP160" i="63"/>
  <c r="GC160" i="63"/>
  <c r="CK160" i="63"/>
  <c r="EX160" i="63"/>
  <c r="CM160" i="63"/>
  <c r="FM160" i="63"/>
  <c r="CS160" i="63"/>
  <c r="GF160" i="63"/>
  <c r="CR160" i="63"/>
  <c r="GE160" i="63"/>
  <c r="CU164" i="63"/>
  <c r="GH164" i="63"/>
  <c r="CP164" i="63"/>
  <c r="GC164" i="63"/>
  <c r="CK164" i="63"/>
  <c r="FX164" i="63"/>
  <c r="CM164" i="63"/>
  <c r="EZ164" i="63"/>
  <c r="CS164" i="63"/>
  <c r="GF164" i="63"/>
  <c r="CR164" i="63"/>
  <c r="GE164" i="63"/>
  <c r="CU168" i="63"/>
  <c r="GH168" i="63"/>
  <c r="CP168" i="63"/>
  <c r="GC168" i="63"/>
  <c r="CM168" i="63"/>
  <c r="FZ168" i="63"/>
  <c r="FT90" i="126"/>
  <c r="L58" i="119"/>
  <c r="K58" i="119"/>
  <c r="L57" i="119"/>
  <c r="L56" i="119"/>
  <c r="O21" i="123"/>
  <c r="N15" i="123"/>
  <c r="FT69" i="126"/>
  <c r="GH69" i="126"/>
  <c r="FT85" i="126"/>
  <c r="GH85" i="126"/>
  <c r="FT79" i="126"/>
  <c r="GH79" i="126"/>
  <c r="FT74" i="126"/>
  <c r="AJ96" i="126"/>
  <c r="FT73" i="126"/>
  <c r="GH73" i="126"/>
  <c r="FT75" i="126"/>
  <c r="AX96" i="126"/>
  <c r="EO98" i="126"/>
  <c r="O64" i="119"/>
  <c r="M63" i="119"/>
  <c r="M96" i="119" s="1"/>
  <c r="D29" i="119"/>
  <c r="L28" i="119"/>
  <c r="G61" i="119"/>
  <c r="C61" i="119"/>
  <c r="T61" i="119" s="1"/>
  <c r="O27" i="119"/>
  <c r="G27" i="119"/>
  <c r="D59" i="119"/>
  <c r="U59" i="119" s="1"/>
  <c r="P58" i="119"/>
  <c r="P25" i="119"/>
  <c r="H57" i="119"/>
  <c r="D57" i="119"/>
  <c r="U57" i="119" s="1"/>
  <c r="D56" i="119"/>
  <c r="U56" i="119" s="1"/>
  <c r="Q22" i="119"/>
  <c r="H55" i="119"/>
  <c r="D55" i="119"/>
  <c r="U55" i="119" s="1"/>
  <c r="C55" i="119"/>
  <c r="T55" i="119" s="1"/>
  <c r="Q12" i="123"/>
  <c r="P17" i="123"/>
  <c r="O9" i="123"/>
  <c r="O5" i="123"/>
  <c r="AX98" i="126"/>
  <c r="FF96" i="126"/>
  <c r="GG75" i="126"/>
  <c r="GG77" i="126"/>
  <c r="GE84" i="126"/>
  <c r="GG85" i="126"/>
  <c r="GG95" i="126"/>
  <c r="D63" i="119"/>
  <c r="U63" i="119" s="1"/>
  <c r="L29" i="119"/>
  <c r="O28" i="119"/>
  <c r="K60" i="119"/>
  <c r="Q24" i="119"/>
  <c r="N15" i="124"/>
  <c r="M5" i="124"/>
  <c r="P13" i="123"/>
  <c r="FT92" i="126"/>
  <c r="FT78" i="126"/>
  <c r="FU96" i="126"/>
  <c r="FU98" i="126"/>
  <c r="GD75" i="126"/>
  <c r="GA76" i="126"/>
  <c r="GF80" i="126"/>
  <c r="GA82" i="126"/>
  <c r="GF82" i="126"/>
  <c r="GB97" i="126"/>
  <c r="P31" i="119"/>
  <c r="P97" i="119" s="1"/>
  <c r="J31" i="119"/>
  <c r="B31" i="119"/>
  <c r="P63" i="119"/>
  <c r="E63" i="119"/>
  <c r="V63" i="119" s="1"/>
  <c r="C62" i="119"/>
  <c r="T62" i="119"/>
  <c r="K61" i="119"/>
  <c r="D28" i="119"/>
  <c r="F60" i="119"/>
  <c r="P26" i="119"/>
  <c r="E26" i="119"/>
  <c r="J25" i="119"/>
  <c r="H58" i="119"/>
  <c r="I24" i="119"/>
  <c r="E23" i="119"/>
  <c r="Q29" i="123"/>
  <c r="Q15" i="123"/>
  <c r="L579" i="73"/>
  <c r="L19" i="119"/>
  <c r="C51" i="119"/>
  <c r="T51" i="119" s="1"/>
  <c r="M45" i="119"/>
  <c r="I45" i="119"/>
  <c r="N11" i="119"/>
  <c r="J11" i="119"/>
  <c r="K10" i="119"/>
  <c r="E10" i="119"/>
  <c r="D10" i="119"/>
  <c r="Q9" i="119"/>
  <c r="M42" i="119"/>
  <c r="M75" i="119" s="1"/>
  <c r="J9" i="119"/>
  <c r="E42" i="119"/>
  <c r="V42" i="119" s="1"/>
  <c r="D40" i="119"/>
  <c r="U40" i="119" s="1"/>
  <c r="L6" i="119"/>
  <c r="L38" i="119"/>
  <c r="J38" i="119"/>
  <c r="H38" i="119"/>
  <c r="Q55" i="119"/>
  <c r="J30" i="119"/>
  <c r="L13" i="119"/>
  <c r="X9" i="117"/>
  <c r="F62" i="119"/>
  <c r="W46" i="117"/>
  <c r="W44" i="117"/>
  <c r="R17" i="123"/>
  <c r="R15" i="123"/>
  <c r="R13" i="123"/>
  <c r="R11" i="123"/>
  <c r="D54" i="119"/>
  <c r="U54" i="119" s="1"/>
  <c r="D46" i="119"/>
  <c r="U46" i="119" s="1"/>
  <c r="X31" i="116"/>
  <c r="X19" i="116"/>
  <c r="EQ17" i="126"/>
  <c r="X17" i="116"/>
  <c r="M3" i="124"/>
  <c r="W51" i="116"/>
  <c r="W44" i="116"/>
  <c r="R29" i="115"/>
  <c r="P25" i="123"/>
  <c r="P23" i="123"/>
  <c r="O67" i="114"/>
  <c r="O22" i="123"/>
  <c r="O16" i="123"/>
  <c r="O12" i="123"/>
  <c r="EV19" i="63"/>
  <c r="EV10" i="63"/>
  <c r="N60" i="119"/>
  <c r="I60" i="119"/>
  <c r="O59" i="119"/>
  <c r="N26" i="119"/>
  <c r="G58" i="119"/>
  <c r="B25" i="119"/>
  <c r="P23" i="119"/>
  <c r="G56" i="119"/>
  <c r="M54" i="119"/>
  <c r="F21" i="119"/>
  <c r="I53" i="119"/>
  <c r="B20" i="119"/>
  <c r="O52" i="119"/>
  <c r="M51" i="119"/>
  <c r="F18" i="119"/>
  <c r="N50" i="119"/>
  <c r="I17" i="119"/>
  <c r="K49" i="119"/>
  <c r="J48" i="119"/>
  <c r="F48" i="119"/>
  <c r="C15" i="119"/>
  <c r="E47" i="119"/>
  <c r="V47" i="119" s="1"/>
  <c r="M13" i="119"/>
  <c r="G13" i="119"/>
  <c r="Q44" i="119"/>
  <c r="B11" i="119"/>
  <c r="K43" i="119"/>
  <c r="P42" i="119"/>
  <c r="C9" i="119"/>
  <c r="N8" i="119"/>
  <c r="O40" i="119"/>
  <c r="G40" i="119"/>
  <c r="E6" i="119"/>
  <c r="G5" i="119"/>
  <c r="L64" i="119"/>
  <c r="N62" i="119"/>
  <c r="L59" i="119"/>
  <c r="P46" i="119"/>
  <c r="Q25" i="119"/>
  <c r="M25" i="119"/>
  <c r="O8" i="119"/>
  <c r="R53" i="117"/>
  <c r="R50" i="117"/>
  <c r="G28" i="119"/>
  <c r="R25" i="123"/>
  <c r="R8" i="123"/>
  <c r="E39" i="119"/>
  <c r="B60" i="119"/>
  <c r="S60" i="119" s="1"/>
  <c r="B44" i="119"/>
  <c r="X42" i="116"/>
  <c r="Q23" i="123"/>
  <c r="Q10" i="123"/>
  <c r="D67" i="116"/>
  <c r="AF33" i="122"/>
  <c r="X50" i="115"/>
  <c r="P41" i="119"/>
  <c r="W64" i="115"/>
  <c r="W62" i="115"/>
  <c r="W58" i="115"/>
  <c r="W54" i="115"/>
  <c r="W43" i="115"/>
  <c r="W41" i="115"/>
  <c r="W25" i="115"/>
  <c r="W23" i="115"/>
  <c r="W19" i="115"/>
  <c r="X19" i="114"/>
  <c r="AN191" i="73" s="1"/>
  <c r="W56" i="114"/>
  <c r="W54" i="114"/>
  <c r="W52" i="114"/>
  <c r="W44" i="114"/>
  <c r="W27" i="114"/>
  <c r="AN165" i="73" s="1"/>
  <c r="W19" i="114"/>
  <c r="AN157" i="73" s="1"/>
  <c r="X6" i="113"/>
  <c r="W66" i="113"/>
  <c r="W63" i="113"/>
  <c r="W60" i="113"/>
  <c r="W40" i="113"/>
  <c r="W18" i="113"/>
  <c r="N17" i="123" s="1"/>
  <c r="W17" i="113"/>
  <c r="G60" i="119"/>
  <c r="D27" i="119"/>
  <c r="B27" i="119"/>
  <c r="Q26" i="119"/>
  <c r="Q92" i="119" s="1"/>
  <c r="B26" i="119"/>
  <c r="N25" i="119"/>
  <c r="N24" i="119"/>
  <c r="F24" i="119"/>
  <c r="E56" i="119"/>
  <c r="B23" i="119"/>
  <c r="I55" i="119"/>
  <c r="F22" i="119"/>
  <c r="I54" i="119"/>
  <c r="I87" i="119" s="1"/>
  <c r="B21" i="119"/>
  <c r="N20" i="119"/>
  <c r="L20" i="119"/>
  <c r="C53" i="119"/>
  <c r="T53" i="119" s="1"/>
  <c r="F19" i="119"/>
  <c r="I51" i="119"/>
  <c r="Q16" i="119"/>
  <c r="N14" i="119"/>
  <c r="J14" i="119"/>
  <c r="K12" i="119"/>
  <c r="M44" i="119"/>
  <c r="I44" i="119"/>
  <c r="D43" i="119"/>
  <c r="C43" i="119"/>
  <c r="T43" i="119" s="1"/>
  <c r="B8" i="119"/>
  <c r="J7" i="119"/>
  <c r="J73" i="119" s="1"/>
  <c r="F7" i="119"/>
  <c r="E7" i="119"/>
  <c r="G6" i="119"/>
  <c r="C38" i="119"/>
  <c r="P51" i="119"/>
  <c r="L51" i="119"/>
  <c r="H51" i="119"/>
  <c r="N40" i="119"/>
  <c r="J40" i="119"/>
  <c r="P30" i="119"/>
  <c r="P96" i="119" s="1"/>
  <c r="L32" i="117"/>
  <c r="X26" i="117"/>
  <c r="W65" i="117"/>
  <c r="W59" i="117"/>
  <c r="W57" i="117"/>
  <c r="W42" i="117"/>
  <c r="R21" i="123"/>
  <c r="W11" i="117"/>
  <c r="C50" i="119"/>
  <c r="T50" i="119" s="1"/>
  <c r="W64" i="116"/>
  <c r="W43" i="116"/>
  <c r="W41" i="116"/>
  <c r="Q22" i="123"/>
  <c r="L586" i="73"/>
  <c r="P29" i="123"/>
  <c r="P9" i="123"/>
  <c r="P7" i="123"/>
  <c r="X65" i="114"/>
  <c r="X50" i="114"/>
  <c r="O29" i="123"/>
  <c r="O27" i="123"/>
  <c r="O6" i="123"/>
  <c r="O4" i="123"/>
  <c r="C67" i="114"/>
  <c r="W12" i="113"/>
  <c r="S67" i="112"/>
  <c r="CH31" i="126"/>
  <c r="G57" i="119"/>
  <c r="D24" i="119"/>
  <c r="D90" i="119" s="1"/>
  <c r="U90" i="119" s="1"/>
  <c r="J20" i="119"/>
  <c r="P19" i="119"/>
  <c r="M52" i="119"/>
  <c r="I52" i="119"/>
  <c r="B19" i="119"/>
  <c r="E51" i="119"/>
  <c r="V51" i="119" s="1"/>
  <c r="B18" i="119"/>
  <c r="K15" i="119"/>
  <c r="G15" i="119"/>
  <c r="B48" i="119"/>
  <c r="S48" i="119" s="1"/>
  <c r="F14" i="119"/>
  <c r="C46" i="119"/>
  <c r="T46" i="119" s="1"/>
  <c r="Q45" i="119"/>
  <c r="O44" i="119"/>
  <c r="K44" i="119"/>
  <c r="G44" i="119"/>
  <c r="G77" i="119"/>
  <c r="E44" i="119"/>
  <c r="V44" i="119" s="1"/>
  <c r="D44" i="119"/>
  <c r="U44" i="119" s="1"/>
  <c r="H10" i="119"/>
  <c r="P8" i="119"/>
  <c r="P74" i="119" s="1"/>
  <c r="M41" i="119"/>
  <c r="L7" i="119"/>
  <c r="J39" i="119"/>
  <c r="H39" i="119"/>
  <c r="G39" i="119"/>
  <c r="L63" i="119"/>
  <c r="Q29" i="119"/>
  <c r="Q95" i="119" s="1"/>
  <c r="Q20" i="119"/>
  <c r="M20" i="119"/>
  <c r="Q17" i="119"/>
  <c r="W60" i="117"/>
  <c r="W54" i="117"/>
  <c r="G50" i="119"/>
  <c r="W49" i="117"/>
  <c r="W30" i="117"/>
  <c r="W24" i="117"/>
  <c r="W21" i="117"/>
  <c r="G16" i="119"/>
  <c r="W10" i="117"/>
  <c r="R15" i="117"/>
  <c r="R25" i="117"/>
  <c r="R19" i="117"/>
  <c r="R60" i="117"/>
  <c r="R44" i="117"/>
  <c r="X25" i="116"/>
  <c r="X11" i="116"/>
  <c r="K7" i="119"/>
  <c r="W60" i="116"/>
  <c r="W48" i="116"/>
  <c r="W30" i="116"/>
  <c r="W15" i="116"/>
  <c r="W7" i="116"/>
  <c r="AP145" i="73"/>
  <c r="L570" i="73" s="1"/>
  <c r="W51" i="115"/>
  <c r="W44" i="115"/>
  <c r="W15" i="115"/>
  <c r="W11" i="115"/>
  <c r="W8" i="115"/>
  <c r="R18" i="114"/>
  <c r="R16" i="114"/>
  <c r="R14" i="114"/>
  <c r="R12" i="114"/>
  <c r="R10" i="114"/>
  <c r="R7" i="114"/>
  <c r="W66" i="114"/>
  <c r="W62" i="114"/>
  <c r="W60" i="114"/>
  <c r="W31" i="114"/>
  <c r="AN169" i="73" s="1"/>
  <c r="W30" i="114"/>
  <c r="AN168" i="73" s="1"/>
  <c r="W18" i="114"/>
  <c r="AN156" i="73" s="1"/>
  <c r="W16" i="114"/>
  <c r="AN154" i="73" s="1"/>
  <c r="X12" i="113"/>
  <c r="W7" i="113"/>
  <c r="C67" i="113"/>
  <c r="EV179" i="63"/>
  <c r="EV26" i="63"/>
  <c r="X66" i="112"/>
  <c r="X51" i="112"/>
  <c r="EV174" i="63"/>
  <c r="EV172" i="63"/>
  <c r="EV165" i="63"/>
  <c r="EV158" i="63"/>
  <c r="EV156" i="63"/>
  <c r="EV86" i="63"/>
  <c r="EV78" i="63"/>
  <c r="EV70" i="63"/>
  <c r="EV29" i="63"/>
  <c r="EV20" i="63"/>
  <c r="EV13" i="63"/>
  <c r="EV4" i="63"/>
  <c r="G16" i="62"/>
  <c r="E16" i="62"/>
  <c r="C16" i="62"/>
  <c r="C51" i="62"/>
  <c r="Z51" i="62"/>
  <c r="X51" i="62"/>
  <c r="V51" i="62"/>
  <c r="T51" i="62"/>
  <c r="EV138" i="63"/>
  <c r="X5" i="114"/>
  <c r="AN177" i="73" s="1"/>
  <c r="W30" i="112"/>
  <c r="W27" i="112"/>
  <c r="W22" i="112"/>
  <c r="W19" i="112"/>
  <c r="W14" i="112"/>
  <c r="W11" i="112"/>
  <c r="W6" i="112"/>
  <c r="W65" i="112"/>
  <c r="X52" i="112"/>
  <c r="X49" i="112"/>
  <c r="EV177" i="63"/>
  <c r="EV170" i="63"/>
  <c r="EV168" i="63"/>
  <c r="EV161" i="63"/>
  <c r="EV154" i="63"/>
  <c r="EV83" i="63"/>
  <c r="EV75" i="63"/>
  <c r="EV67" i="63"/>
  <c r="EV25" i="63"/>
  <c r="EV16" i="63"/>
  <c r="EV9" i="63"/>
  <c r="F51" i="62"/>
  <c r="EV53" i="63"/>
  <c r="U85" i="62"/>
  <c r="EV137" i="63"/>
  <c r="E155" i="62"/>
  <c r="W45" i="112"/>
  <c r="W42" i="112"/>
  <c r="X55" i="112"/>
  <c r="X43" i="112"/>
  <c r="EV173" i="63"/>
  <c r="EV166" i="63"/>
  <c r="EV164" i="63"/>
  <c r="EV157" i="63"/>
  <c r="EV82" i="63"/>
  <c r="EV74" i="63"/>
  <c r="EV66" i="63"/>
  <c r="EV28" i="63"/>
  <c r="EV21" i="63"/>
  <c r="EV12" i="63"/>
  <c r="EV5" i="63"/>
  <c r="H16" i="62"/>
  <c r="F16" i="62"/>
  <c r="D16" i="62"/>
  <c r="H51" i="62"/>
  <c r="E51" i="62"/>
  <c r="Y51" i="62"/>
  <c r="W51" i="62"/>
  <c r="EV46" i="63"/>
  <c r="EV36" i="63"/>
  <c r="H85" i="62"/>
  <c r="EV146" i="63"/>
  <c r="EV130" i="63"/>
  <c r="G155" i="62"/>
  <c r="D155" i="62"/>
  <c r="EV178" i="63"/>
  <c r="EV176" i="63"/>
  <c r="EV169" i="63"/>
  <c r="EV162" i="63"/>
  <c r="EV160" i="63"/>
  <c r="EV153" i="63"/>
  <c r="EV24" i="63"/>
  <c r="EV18" i="63"/>
  <c r="EV17" i="63"/>
  <c r="EV8" i="63"/>
  <c r="EV145" i="63"/>
  <c r="CU32" i="66"/>
  <c r="BT59" i="66" s="1"/>
  <c r="AP23" i="66"/>
  <c r="D18" i="129"/>
  <c r="D14" i="129"/>
  <c r="AP18" i="66"/>
  <c r="AQ18" i="66" s="1"/>
  <c r="AK8" i="66"/>
  <c r="AL5" i="66"/>
  <c r="AK19" i="66"/>
  <c r="AL10" i="66"/>
  <c r="R10" i="117"/>
  <c r="R12" i="117"/>
  <c r="D16" i="118"/>
  <c r="M73" i="62"/>
  <c r="W29" i="117"/>
  <c r="AQ167" i="73"/>
  <c r="R29" i="117"/>
  <c r="T67" i="117"/>
  <c r="X30" i="117"/>
  <c r="N23" i="124"/>
  <c r="R102" i="117"/>
  <c r="S16" i="118"/>
  <c r="G32" i="117"/>
  <c r="R7" i="117"/>
  <c r="R5" i="123"/>
  <c r="V55" i="117"/>
  <c r="R55" i="117"/>
  <c r="V43" i="117"/>
  <c r="R43" i="117"/>
  <c r="AI26" i="122"/>
  <c r="AA26" i="65"/>
  <c r="V27" i="117"/>
  <c r="R27" i="117"/>
  <c r="AI21" i="122"/>
  <c r="E22" i="119"/>
  <c r="AA21" i="65"/>
  <c r="V22" i="117"/>
  <c r="AI17" i="122"/>
  <c r="V15" i="117"/>
  <c r="AI12" i="122"/>
  <c r="V12" i="117"/>
  <c r="AA11" i="65"/>
  <c r="E32" i="117"/>
  <c r="AH27" i="122"/>
  <c r="U25" i="117"/>
  <c r="AH23" i="122"/>
  <c r="U23" i="117"/>
  <c r="R23" i="117"/>
  <c r="AH19" i="122"/>
  <c r="AH32" i="122" s="1"/>
  <c r="AH34" i="122" s="1"/>
  <c r="AH36" i="122" s="1"/>
  <c r="U19" i="117"/>
  <c r="AH9" i="122"/>
  <c r="R9" i="117"/>
  <c r="AH5" i="122"/>
  <c r="U5" i="117"/>
  <c r="D32" i="117"/>
  <c r="AL31" i="121"/>
  <c r="Z30" i="65"/>
  <c r="AB30" i="65"/>
  <c r="AH30" i="65" s="1"/>
  <c r="T31" i="117"/>
  <c r="AL28" i="121"/>
  <c r="T28" i="117"/>
  <c r="AL15" i="121"/>
  <c r="T17" i="117"/>
  <c r="R17" i="117"/>
  <c r="B62" i="119"/>
  <c r="S62" i="119" s="1"/>
  <c r="S64" i="117"/>
  <c r="R64" i="117"/>
  <c r="R56" i="117"/>
  <c r="S56" i="117"/>
  <c r="S48" i="117"/>
  <c r="R48" i="117"/>
  <c r="B67" i="117"/>
  <c r="AK33" i="121"/>
  <c r="R40" i="117"/>
  <c r="S40" i="117"/>
  <c r="AK29" i="121"/>
  <c r="B30" i="119"/>
  <c r="D28" i="66" s="1"/>
  <c r="R30" i="117"/>
  <c r="AK16" i="121"/>
  <c r="S16" i="117"/>
  <c r="R16" i="117"/>
  <c r="AK13" i="121"/>
  <c r="R13" i="117"/>
  <c r="B32" i="117"/>
  <c r="P32" i="117"/>
  <c r="O32" i="117"/>
  <c r="X5" i="117"/>
  <c r="R63" i="117"/>
  <c r="S13" i="117"/>
  <c r="S30" i="117"/>
  <c r="T12" i="117"/>
  <c r="S44" i="117"/>
  <c r="C28" i="119"/>
  <c r="H13" i="119"/>
  <c r="X13" i="117"/>
  <c r="H32" i="117"/>
  <c r="N32" i="117"/>
  <c r="N7" i="124"/>
  <c r="D5" i="119"/>
  <c r="X62" i="117"/>
  <c r="X52" i="117"/>
  <c r="X29" i="117"/>
  <c r="X8" i="117"/>
  <c r="X23" i="117"/>
  <c r="I23" i="119"/>
  <c r="N19" i="124"/>
  <c r="X14" i="117"/>
  <c r="I56" i="119"/>
  <c r="E12" i="119"/>
  <c r="X64" i="117"/>
  <c r="X51" i="117"/>
  <c r="X49" i="117"/>
  <c r="X46" i="117"/>
  <c r="X31" i="117"/>
  <c r="X20" i="117"/>
  <c r="I20" i="119"/>
  <c r="I86" i="119" s="1"/>
  <c r="X17" i="117"/>
  <c r="X6" i="117"/>
  <c r="AI19" i="122"/>
  <c r="E19" i="119"/>
  <c r="P21" i="119"/>
  <c r="G53" i="119"/>
  <c r="G10" i="119"/>
  <c r="X60" i="117"/>
  <c r="X25" i="117"/>
  <c r="I25" i="119"/>
  <c r="X18" i="117"/>
  <c r="X11" i="117"/>
  <c r="E25" i="119"/>
  <c r="AI27" i="122"/>
  <c r="C67" i="117"/>
  <c r="G31" i="118"/>
  <c r="M143" i="62"/>
  <c r="I31" i="119"/>
  <c r="N30" i="119"/>
  <c r="P61" i="119"/>
  <c r="H28" i="119"/>
  <c r="E59" i="119"/>
  <c r="V59" i="119"/>
  <c r="J22" i="119"/>
  <c r="E55" i="119"/>
  <c r="V55" i="119" s="1"/>
  <c r="B22" i="119"/>
  <c r="N21" i="119"/>
  <c r="L21" i="119"/>
  <c r="J43" i="119"/>
  <c r="P39" i="119"/>
  <c r="I6" i="119"/>
  <c r="X59" i="117"/>
  <c r="X57" i="117"/>
  <c r="X54" i="117"/>
  <c r="X44" i="117"/>
  <c r="X43" i="117"/>
  <c r="X40" i="117"/>
  <c r="X27" i="117"/>
  <c r="X19" i="117"/>
  <c r="X10" i="117"/>
  <c r="D67" i="117"/>
  <c r="AH33" i="122"/>
  <c r="AL8" i="121"/>
  <c r="C7" i="119"/>
  <c r="O56" i="119"/>
  <c r="P22" i="119"/>
  <c r="P88" i="119" s="1"/>
  <c r="M55" i="119"/>
  <c r="J21" i="119"/>
  <c r="C54" i="119"/>
  <c r="T54" i="119" s="1"/>
  <c r="F20" i="119"/>
  <c r="M47" i="119"/>
  <c r="I47" i="119"/>
  <c r="P12" i="119"/>
  <c r="J45" i="119"/>
  <c r="E45" i="119"/>
  <c r="V45" i="119" s="1"/>
  <c r="B12" i="119"/>
  <c r="Q11" i="119"/>
  <c r="M11" i="119"/>
  <c r="M77" i="119" s="1"/>
  <c r="I11" i="119"/>
  <c r="C42" i="119"/>
  <c r="T42" i="119" s="1"/>
  <c r="M8" i="119"/>
  <c r="M74" i="119" s="1"/>
  <c r="K8" i="119"/>
  <c r="L40" i="119"/>
  <c r="Q6" i="119"/>
  <c r="Q72" i="119" s="1"/>
  <c r="X63" i="117"/>
  <c r="X61" i="117"/>
  <c r="X58" i="117"/>
  <c r="X47" i="117"/>
  <c r="X45" i="117"/>
  <c r="X41" i="117"/>
  <c r="X28" i="117"/>
  <c r="X21" i="117"/>
  <c r="X12" i="117"/>
  <c r="W62" i="117"/>
  <c r="W58" i="117"/>
  <c r="W53" i="117"/>
  <c r="W40" i="117"/>
  <c r="W25" i="117"/>
  <c r="AQ163" i="73"/>
  <c r="M588" i="73" s="1"/>
  <c r="W26" i="117"/>
  <c r="AQ164" i="73"/>
  <c r="M589" i="73" s="1"/>
  <c r="W19" i="117"/>
  <c r="AQ157" i="73"/>
  <c r="W15" i="117"/>
  <c r="AQ153" i="73"/>
  <c r="M578" i="73" s="1"/>
  <c r="W8" i="117"/>
  <c r="AQ146" i="73"/>
  <c r="M571" i="73" s="1"/>
  <c r="W5" i="117"/>
  <c r="AQ143" i="73"/>
  <c r="M568" i="73" s="1"/>
  <c r="E67" i="117"/>
  <c r="G59" i="119"/>
  <c r="M58" i="119"/>
  <c r="N22" i="119"/>
  <c r="L22" i="119"/>
  <c r="E53" i="119"/>
  <c r="G17" i="119"/>
  <c r="H16" i="119"/>
  <c r="D48" i="119"/>
  <c r="U48" i="119" s="1"/>
  <c r="H46" i="119"/>
  <c r="F46" i="119"/>
  <c r="N12" i="119"/>
  <c r="J12" i="119"/>
  <c r="L44" i="119"/>
  <c r="D11" i="119"/>
  <c r="N43" i="119"/>
  <c r="G43" i="119"/>
  <c r="G9" i="119"/>
  <c r="D9" i="119"/>
  <c r="M6" i="119"/>
  <c r="X65" i="117"/>
  <c r="X55" i="117"/>
  <c r="X53" i="117"/>
  <c r="X50" i="117"/>
  <c r="X24" i="117"/>
  <c r="X16" i="117"/>
  <c r="X7" i="117"/>
  <c r="W66" i="117"/>
  <c r="W64" i="117"/>
  <c r="W61" i="117"/>
  <c r="W52" i="117"/>
  <c r="W50" i="117"/>
  <c r="W45" i="117"/>
  <c r="W31" i="117"/>
  <c r="AQ169" i="73"/>
  <c r="W28" i="117"/>
  <c r="AQ166" i="73"/>
  <c r="W23" i="117"/>
  <c r="AQ161" i="73"/>
  <c r="W22" i="117"/>
  <c r="AQ160" i="73"/>
  <c r="M585" i="73" s="1"/>
  <c r="W17" i="117"/>
  <c r="AQ155" i="73"/>
  <c r="W13" i="117"/>
  <c r="AQ151" i="73"/>
  <c r="W7" i="117"/>
  <c r="AQ145" i="73"/>
  <c r="O63" i="119"/>
  <c r="E6" i="140"/>
  <c r="Q14" i="66"/>
  <c r="D13" i="128"/>
  <c r="G8" i="125"/>
  <c r="AQ17" i="121"/>
  <c r="AS17" i="121" s="1"/>
  <c r="H16" i="125"/>
  <c r="Y32" i="121"/>
  <c r="Y34" i="121"/>
  <c r="Y36" i="121"/>
  <c r="H17" i="125"/>
  <c r="AQ13" i="121"/>
  <c r="AS13" i="121" s="1"/>
  <c r="AQ26" i="121"/>
  <c r="AS26" i="121" s="1"/>
  <c r="AB32" i="121"/>
  <c r="AA32" i="121"/>
  <c r="AA34" i="121"/>
  <c r="AA36" i="121"/>
  <c r="Z32" i="121"/>
  <c r="Z34" i="121"/>
  <c r="Z36" i="121"/>
  <c r="R32" i="121"/>
  <c r="S32" i="121"/>
  <c r="E14" i="125"/>
  <c r="E22" i="125"/>
  <c r="T32" i="121"/>
  <c r="E16" i="125"/>
  <c r="E25" i="125"/>
  <c r="Q32" i="121"/>
  <c r="Q34" i="121"/>
  <c r="Q36" i="121"/>
  <c r="AQ7" i="121"/>
  <c r="AS7" i="121" s="1"/>
  <c r="U32" i="121"/>
  <c r="U34" i="121"/>
  <c r="U36" i="121"/>
  <c r="AQ25" i="121"/>
  <c r="AS25" i="121" s="1"/>
  <c r="H24" i="125"/>
  <c r="R32" i="116"/>
  <c r="M21" i="124"/>
  <c r="M24" i="125" s="1"/>
  <c r="X102" i="116"/>
  <c r="M33" i="124"/>
  <c r="X66" i="116"/>
  <c r="X48" i="116"/>
  <c r="X56" i="116"/>
  <c r="X52" i="116"/>
  <c r="R15" i="118"/>
  <c r="M36" i="125"/>
  <c r="M29" i="124"/>
  <c r="M32" i="125" s="1"/>
  <c r="M9" i="124"/>
  <c r="Q7" i="123"/>
  <c r="AJ32" i="121"/>
  <c r="AQ15" i="121"/>
  <c r="AS15" i="121" s="1"/>
  <c r="AI32" i="121"/>
  <c r="AQ6" i="121"/>
  <c r="AS6" i="121" s="1"/>
  <c r="M13" i="124"/>
  <c r="M16" i="125" s="1"/>
  <c r="AG32" i="122"/>
  <c r="AQ18" i="121"/>
  <c r="AS18" i="121" s="1"/>
  <c r="AQ14" i="121"/>
  <c r="AS14" i="121" s="1"/>
  <c r="Q25" i="123"/>
  <c r="L590" i="73"/>
  <c r="Q21" i="123"/>
  <c r="L583" i="73"/>
  <c r="Q8" i="123"/>
  <c r="Q4" i="123"/>
  <c r="AQ27" i="121"/>
  <c r="AS27" i="121"/>
  <c r="Q11" i="123"/>
  <c r="AQ30" i="121"/>
  <c r="AS30" i="121" s="1"/>
  <c r="X65" i="116"/>
  <c r="X55" i="116"/>
  <c r="X53" i="116"/>
  <c r="X50" i="116"/>
  <c r="X30" i="116"/>
  <c r="X18" i="116"/>
  <c r="X16" i="116"/>
  <c r="X13" i="116"/>
  <c r="E67" i="116"/>
  <c r="H12" i="119"/>
  <c r="F44" i="119"/>
  <c r="E9" i="119"/>
  <c r="T15" i="118"/>
  <c r="H6" i="119"/>
  <c r="X62" i="116"/>
  <c r="X51" i="116"/>
  <c r="X46" i="116"/>
  <c r="X43" i="116"/>
  <c r="X40" i="116"/>
  <c r="X29" i="116"/>
  <c r="X28" i="116"/>
  <c r="X26" i="116"/>
  <c r="X14" i="116"/>
  <c r="X12" i="116"/>
  <c r="X9" i="116"/>
  <c r="W65" i="116"/>
  <c r="W56" i="116"/>
  <c r="W49" i="116"/>
  <c r="W40" i="116"/>
  <c r="W26" i="116"/>
  <c r="AP164" i="73"/>
  <c r="W17" i="116"/>
  <c r="AP155" i="73"/>
  <c r="P45" i="119"/>
  <c r="Q43" i="119"/>
  <c r="M39" i="119"/>
  <c r="O12" i="119"/>
  <c r="B40" i="119"/>
  <c r="S40" i="119" s="1"/>
  <c r="G30" i="118"/>
  <c r="L143" i="62"/>
  <c r="L3" i="62"/>
  <c r="N41" i="119"/>
  <c r="K39" i="119"/>
  <c r="Q38" i="119"/>
  <c r="X63" i="116"/>
  <c r="X61" i="116"/>
  <c r="X58" i="116"/>
  <c r="X49" i="116"/>
  <c r="X47" i="116"/>
  <c r="X41" i="116"/>
  <c r="X27" i="116"/>
  <c r="X24" i="116"/>
  <c r="X22" i="116"/>
  <c r="X10" i="116"/>
  <c r="X7" i="116"/>
  <c r="W66" i="116"/>
  <c r="W61" i="116"/>
  <c r="W52" i="116"/>
  <c r="W50" i="116"/>
  <c r="W45" i="116"/>
  <c r="W31" i="116"/>
  <c r="AP169" i="73"/>
  <c r="L594" i="73" s="1"/>
  <c r="W28" i="116"/>
  <c r="AP166" i="73"/>
  <c r="W22" i="116"/>
  <c r="AP160" i="73"/>
  <c r="W19" i="116"/>
  <c r="AP157" i="73"/>
  <c r="W8" i="116"/>
  <c r="AP146" i="73"/>
  <c r="L571" i="73" s="1"/>
  <c r="K45" i="119"/>
  <c r="K78" i="119" s="1"/>
  <c r="J10" i="119"/>
  <c r="I39" i="119"/>
  <c r="AV31" i="121"/>
  <c r="J41" i="119"/>
  <c r="Q40" i="119"/>
  <c r="I40" i="119"/>
  <c r="M38" i="119"/>
  <c r="I38" i="119"/>
  <c r="X64" i="116"/>
  <c r="X59" i="116"/>
  <c r="X57" i="116"/>
  <c r="X54" i="116"/>
  <c r="X45" i="116"/>
  <c r="X20" i="116"/>
  <c r="X21" i="116"/>
  <c r="X15" i="116"/>
  <c r="X6" i="116"/>
  <c r="W62" i="116"/>
  <c r="W46" i="116"/>
  <c r="W25" i="116"/>
  <c r="AP163" i="73"/>
  <c r="W21" i="116"/>
  <c r="AP159" i="73"/>
  <c r="L584" i="73" s="1"/>
  <c r="C67" i="116"/>
  <c r="B67" i="116"/>
  <c r="AI33" i="121"/>
  <c r="P52" i="119"/>
  <c r="E43" i="119"/>
  <c r="V43" i="119"/>
  <c r="E27" i="140"/>
  <c r="R27" i="127"/>
  <c r="R32" i="115"/>
  <c r="X31" i="115"/>
  <c r="EC29" i="126"/>
  <c r="R102" i="115"/>
  <c r="S14" i="118"/>
  <c r="X102" i="115"/>
  <c r="L33" i="124"/>
  <c r="O32" i="115"/>
  <c r="L17" i="124"/>
  <c r="O55" i="119"/>
  <c r="O51" i="119"/>
  <c r="X62" i="115"/>
  <c r="X17" i="115"/>
  <c r="O53" i="119"/>
  <c r="O10" i="119"/>
  <c r="R14" i="118"/>
  <c r="L36" i="125"/>
  <c r="AG32" i="121"/>
  <c r="AQ9" i="121"/>
  <c r="AS9" i="121" s="1"/>
  <c r="K407" i="73"/>
  <c r="AE32" i="122"/>
  <c r="X58" i="115"/>
  <c r="X56" i="115"/>
  <c r="X54" i="115"/>
  <c r="X52" i="115"/>
  <c r="X43" i="115"/>
  <c r="X18" i="115"/>
  <c r="X12" i="115"/>
  <c r="X7" i="115"/>
  <c r="C67" i="115"/>
  <c r="O17" i="119"/>
  <c r="M14" i="119"/>
  <c r="Q12" i="119"/>
  <c r="K11" i="119"/>
  <c r="X63" i="115"/>
  <c r="X61" i="115"/>
  <c r="X57" i="115"/>
  <c r="X25" i="115"/>
  <c r="X26" i="115"/>
  <c r="X23" i="115"/>
  <c r="X22" i="115"/>
  <c r="X14" i="115"/>
  <c r="W20" i="115"/>
  <c r="AO158" i="73"/>
  <c r="K583" i="73" s="1"/>
  <c r="W21" i="115"/>
  <c r="AO159" i="73"/>
  <c r="K584" i="73" s="1"/>
  <c r="W13" i="115"/>
  <c r="AO151" i="73"/>
  <c r="M48" i="119"/>
  <c r="N15" i="119"/>
  <c r="J15" i="119"/>
  <c r="L12" i="119"/>
  <c r="X5" i="115"/>
  <c r="H52" i="119"/>
  <c r="E17" i="119"/>
  <c r="H14" i="119"/>
  <c r="C13" i="119"/>
  <c r="G8" i="119"/>
  <c r="X64" i="115"/>
  <c r="X59" i="115"/>
  <c r="X42" i="115"/>
  <c r="X40" i="115"/>
  <c r="X28" i="115"/>
  <c r="X24" i="115"/>
  <c r="W60" i="115"/>
  <c r="D67" i="115"/>
  <c r="AD33" i="122"/>
  <c r="P56" i="119"/>
  <c r="P89" i="119" s="1"/>
  <c r="P54" i="119"/>
  <c r="L54" i="119"/>
  <c r="H54" i="119"/>
  <c r="L52" i="119"/>
  <c r="N49" i="119"/>
  <c r="J49" i="119"/>
  <c r="AD23" i="65"/>
  <c r="K17" i="119"/>
  <c r="G49" i="119"/>
  <c r="D6" i="119"/>
  <c r="U6" i="119" s="1"/>
  <c r="X65" i="115"/>
  <c r="X47" i="115"/>
  <c r="X45" i="115"/>
  <c r="X41" i="115"/>
  <c r="X29" i="115"/>
  <c r="X11" i="115"/>
  <c r="X9" i="115"/>
  <c r="X8" i="115"/>
  <c r="H8" i="119"/>
  <c r="W46" i="115"/>
  <c r="W30" i="115"/>
  <c r="AO168" i="73"/>
  <c r="W6" i="115"/>
  <c r="AO144" i="73"/>
  <c r="F6" i="119"/>
  <c r="W6" i="119" s="1"/>
  <c r="E67" i="115"/>
  <c r="AH11" i="121"/>
  <c r="C11" i="119"/>
  <c r="M12" i="119"/>
  <c r="H11" i="119"/>
  <c r="B43" i="119"/>
  <c r="L9" i="119"/>
  <c r="G42" i="119"/>
  <c r="F42" i="119"/>
  <c r="E8" i="119"/>
  <c r="C8" i="119"/>
  <c r="C74" i="119" s="1"/>
  <c r="Q7" i="119"/>
  <c r="K40" i="119"/>
  <c r="D7" i="119"/>
  <c r="C6" i="119"/>
  <c r="T6" i="119" s="1"/>
  <c r="G38" i="119"/>
  <c r="X55" i="115"/>
  <c r="X53" i="115"/>
  <c r="X48" i="115"/>
  <c r="X27" i="115"/>
  <c r="X21" i="115"/>
  <c r="X15" i="115"/>
  <c r="X10" i="115"/>
  <c r="W65" i="115"/>
  <c r="W56" i="115"/>
  <c r="W49" i="115"/>
  <c r="W40" i="115"/>
  <c r="W26" i="115"/>
  <c r="AO164" i="73"/>
  <c r="W16" i="115"/>
  <c r="AO154" i="73"/>
  <c r="W9" i="115"/>
  <c r="AO147" i="73"/>
  <c r="B67" i="115"/>
  <c r="AG33" i="121"/>
  <c r="Q23" i="119"/>
  <c r="M23" i="119"/>
  <c r="M22" i="119"/>
  <c r="Q8" i="119"/>
  <c r="G45" i="119"/>
  <c r="G41" i="119"/>
  <c r="G7" i="119"/>
  <c r="G73" i="119" s="1"/>
  <c r="D8" i="119"/>
  <c r="B13" i="119"/>
  <c r="F11" i="119"/>
  <c r="H43" i="119"/>
  <c r="P9" i="119"/>
  <c r="B9" i="119"/>
  <c r="Q41" i="119"/>
  <c r="F41" i="119"/>
  <c r="E40" i="119"/>
  <c r="V40" i="119"/>
  <c r="B7" i="119"/>
  <c r="D39" i="119"/>
  <c r="C39" i="119"/>
  <c r="X66" i="115"/>
  <c r="X60" i="115"/>
  <c r="X51" i="115"/>
  <c r="X49" i="115"/>
  <c r="X44" i="115"/>
  <c r="X30" i="115"/>
  <c r="X20" i="115"/>
  <c r="X16" i="115"/>
  <c r="X13" i="115"/>
  <c r="X6" i="115"/>
  <c r="W66" i="115"/>
  <c r="W61" i="115"/>
  <c r="W52" i="115"/>
  <c r="W50" i="115"/>
  <c r="W45" i="115"/>
  <c r="W31" i="115"/>
  <c r="AO169" i="73"/>
  <c r="K594" i="73" s="1"/>
  <c r="W28" i="115"/>
  <c r="AO166" i="73"/>
  <c r="W22" i="115"/>
  <c r="AO160" i="73"/>
  <c r="K585" i="73" s="1"/>
  <c r="W17" i="115"/>
  <c r="AO155" i="73"/>
  <c r="K580" i="73" s="1"/>
  <c r="W12" i="115"/>
  <c r="AO150" i="73"/>
  <c r="K575" i="73" s="1"/>
  <c r="W5" i="115"/>
  <c r="AO143" i="73"/>
  <c r="L47" i="119"/>
  <c r="N44" i="119"/>
  <c r="J44" i="119"/>
  <c r="N10" i="119"/>
  <c r="L8" i="119"/>
  <c r="N6" i="119"/>
  <c r="E14" i="119"/>
  <c r="Z8" i="66"/>
  <c r="Z21" i="66"/>
  <c r="J22" i="122"/>
  <c r="Z5" i="66"/>
  <c r="J6" i="122"/>
  <c r="Z19" i="66"/>
  <c r="AC19" i="66" s="1"/>
  <c r="J20" i="122"/>
  <c r="J14" i="122"/>
  <c r="J9" i="122"/>
  <c r="Z13" i="66"/>
  <c r="E23" i="140"/>
  <c r="E17" i="140"/>
  <c r="E15" i="140"/>
  <c r="E29" i="128"/>
  <c r="J29" i="128" s="1"/>
  <c r="Z9" i="66"/>
  <c r="E14" i="128"/>
  <c r="Z15" i="66"/>
  <c r="E20" i="128"/>
  <c r="J20" i="128" s="1"/>
  <c r="Z26" i="66"/>
  <c r="AC26" i="66" s="1"/>
  <c r="E8" i="128"/>
  <c r="Z27" i="66"/>
  <c r="AC27" i="66" s="1"/>
  <c r="E9" i="128"/>
  <c r="J8" i="122"/>
  <c r="E28" i="128"/>
  <c r="Z22" i="66"/>
  <c r="E17" i="128"/>
  <c r="J18" i="122"/>
  <c r="E8" i="140"/>
  <c r="J17" i="122"/>
  <c r="E15" i="128"/>
  <c r="E10" i="128"/>
  <c r="E24" i="128"/>
  <c r="Z18" i="66"/>
  <c r="Z30" i="66"/>
  <c r="AC30" i="66" s="1"/>
  <c r="E25" i="128"/>
  <c r="I25" i="128" s="1"/>
  <c r="N6" i="73"/>
  <c r="DN32" i="66"/>
  <c r="BT78" i="66" s="1"/>
  <c r="DT32" i="66"/>
  <c r="CQ32" i="66"/>
  <c r="BT55" i="66" s="1"/>
  <c r="CJ32" i="66"/>
  <c r="BT48" i="66" s="1"/>
  <c r="BX32" i="66"/>
  <c r="BT36" i="66" s="1"/>
  <c r="BT76" i="66"/>
  <c r="BT35" i="66"/>
  <c r="BT68" i="66"/>
  <c r="CX32" i="66"/>
  <c r="BT62" i="66" s="1"/>
  <c r="DQ32" i="66"/>
  <c r="BT81" i="66" s="1"/>
  <c r="BT52" i="66"/>
  <c r="CA32" i="66"/>
  <c r="BT39" i="66" s="1"/>
  <c r="AF23" i="65"/>
  <c r="K17" i="124"/>
  <c r="R102" i="114"/>
  <c r="S13" i="118" s="1"/>
  <c r="R41" i="114"/>
  <c r="R67" i="114" s="1"/>
  <c r="O7" i="119"/>
  <c r="O6" i="119"/>
  <c r="X102" i="114"/>
  <c r="K33" i="124"/>
  <c r="O16" i="119"/>
  <c r="O41" i="119"/>
  <c r="X17" i="114"/>
  <c r="AN189" i="73" s="1"/>
  <c r="AN100" i="73"/>
  <c r="J406" i="73"/>
  <c r="X58" i="114"/>
  <c r="X54" i="114"/>
  <c r="X14" i="114"/>
  <c r="AN186" i="73" s="1"/>
  <c r="X12" i="114"/>
  <c r="AN184" i="73" s="1"/>
  <c r="X10" i="114"/>
  <c r="AN182" i="73" s="1"/>
  <c r="X7" i="114"/>
  <c r="AN179" i="73" s="1"/>
  <c r="W51" i="114"/>
  <c r="F49" i="119"/>
  <c r="W49" i="119" s="1"/>
  <c r="N19" i="119"/>
  <c r="C52" i="119"/>
  <c r="T52" i="119" s="1"/>
  <c r="L50" i="119"/>
  <c r="I14" i="119"/>
  <c r="E46" i="119"/>
  <c r="O45" i="119"/>
  <c r="Q10" i="119"/>
  <c r="Q76" i="119" s="1"/>
  <c r="M10" i="119"/>
  <c r="H41" i="119"/>
  <c r="X25" i="114"/>
  <c r="AN197" i="73" s="1"/>
  <c r="X26" i="114"/>
  <c r="AN198" i="73" s="1"/>
  <c r="X23" i="114"/>
  <c r="AN195" i="73" s="1"/>
  <c r="X22" i="114"/>
  <c r="AN194" i="73" s="1"/>
  <c r="W48" i="114"/>
  <c r="G46" i="119"/>
  <c r="W14" i="114"/>
  <c r="AN152" i="73" s="1"/>
  <c r="W12" i="114"/>
  <c r="AN150" i="73" s="1"/>
  <c r="E58" i="119"/>
  <c r="L18" i="119"/>
  <c r="L16" i="119"/>
  <c r="C44" i="119"/>
  <c r="T44" i="119" s="1"/>
  <c r="P43" i="119"/>
  <c r="P76" i="119" s="1"/>
  <c r="C40" i="119"/>
  <c r="T40" i="119" s="1"/>
  <c r="X66" i="114"/>
  <c r="X61" i="114"/>
  <c r="X42" i="114"/>
  <c r="X29" i="114"/>
  <c r="AN201" i="73" s="1"/>
  <c r="X28" i="114"/>
  <c r="AN200" i="73" s="1"/>
  <c r="X27" i="114"/>
  <c r="AN199" i="73" s="1"/>
  <c r="X24" i="114"/>
  <c r="AN196" i="73" s="1"/>
  <c r="W63" i="114"/>
  <c r="W61" i="114"/>
  <c r="W22" i="114"/>
  <c r="AN160" i="73" s="1"/>
  <c r="B67" i="114"/>
  <c r="AE33" i="121" s="1"/>
  <c r="T102" i="114"/>
  <c r="C29" i="119"/>
  <c r="T29" i="119" s="1"/>
  <c r="C60" i="119"/>
  <c r="T60" i="119"/>
  <c r="H56" i="119"/>
  <c r="E54" i="119"/>
  <c r="J19" i="119"/>
  <c r="P18" i="119"/>
  <c r="H50" i="119"/>
  <c r="O47" i="119"/>
  <c r="F45" i="119"/>
  <c r="C12" i="119"/>
  <c r="T12" i="119" s="1"/>
  <c r="N42" i="119"/>
  <c r="K9" i="119"/>
  <c r="I7" i="119"/>
  <c r="B5" i="119"/>
  <c r="X64" i="114"/>
  <c r="X11" i="114"/>
  <c r="AN183" i="73" s="1"/>
  <c r="X9" i="114"/>
  <c r="AN181" i="73" s="1"/>
  <c r="X8" i="114"/>
  <c r="AN180" i="73" s="1"/>
  <c r="W43" i="114"/>
  <c r="W42" i="114"/>
  <c r="F40" i="119"/>
  <c r="AB7" i="122"/>
  <c r="C49" i="119"/>
  <c r="M15" i="119"/>
  <c r="J46" i="119"/>
  <c r="B46" i="119"/>
  <c r="S46" i="119" s="1"/>
  <c r="L45" i="119"/>
  <c r="I12" i="119"/>
  <c r="D45" i="119"/>
  <c r="U45" i="119" s="1"/>
  <c r="E11" i="119"/>
  <c r="C10" i="119"/>
  <c r="T10" i="119" s="1"/>
  <c r="O9" i="119"/>
  <c r="J42" i="119"/>
  <c r="H9" i="119"/>
  <c r="B42" i="119"/>
  <c r="S42" i="119" s="1"/>
  <c r="L41" i="119"/>
  <c r="I8" i="119"/>
  <c r="D41" i="119"/>
  <c r="U41" i="119" s="1"/>
  <c r="N7" i="119"/>
  <c r="N73" i="119"/>
  <c r="M7" i="119"/>
  <c r="H40" i="119"/>
  <c r="K6" i="119"/>
  <c r="O38" i="119"/>
  <c r="K38" i="119"/>
  <c r="X55" i="114"/>
  <c r="X20" i="114"/>
  <c r="AN192" i="73" s="1"/>
  <c r="X21" i="114"/>
  <c r="AN193" i="73" s="1"/>
  <c r="X15" i="114"/>
  <c r="AN187" i="73" s="1"/>
  <c r="X6" i="114"/>
  <c r="AN178" i="73" s="1"/>
  <c r="W64" i="114"/>
  <c r="W57" i="114"/>
  <c r="W50" i="114"/>
  <c r="W41" i="114"/>
  <c r="W24" i="114"/>
  <c r="AN162" i="73" s="1"/>
  <c r="W17" i="114"/>
  <c r="AN155" i="73" s="1"/>
  <c r="W7" i="114"/>
  <c r="AN145" i="73" s="1"/>
  <c r="D67" i="114"/>
  <c r="AB33" i="122"/>
  <c r="D16" i="119"/>
  <c r="U16" i="119" s="1"/>
  <c r="N48" i="119"/>
  <c r="Q14" i="119"/>
  <c r="P14" i="119"/>
  <c r="B14" i="119"/>
  <c r="D13" i="119"/>
  <c r="U13" i="119" s="1"/>
  <c r="G12" i="119"/>
  <c r="F12" i="119"/>
  <c r="B45" i="119"/>
  <c r="S45" i="119" s="1"/>
  <c r="P11" i="119"/>
  <c r="O11" i="119"/>
  <c r="L11" i="119"/>
  <c r="L43" i="119"/>
  <c r="I10" i="119"/>
  <c r="O42" i="119"/>
  <c r="I41" i="119"/>
  <c r="F8" i="119"/>
  <c r="B41" i="119"/>
  <c r="P40" i="119"/>
  <c r="F38" i="119"/>
  <c r="E38" i="119"/>
  <c r="X62" i="114"/>
  <c r="X51" i="114"/>
  <c r="X30" i="114"/>
  <c r="AN202" i="73" s="1"/>
  <c r="X18" i="114"/>
  <c r="AN190" i="73" s="1"/>
  <c r="X16" i="114"/>
  <c r="AN188" i="73" s="1"/>
  <c r="X13" i="114"/>
  <c r="AN185" i="73" s="1"/>
  <c r="W58" i="114"/>
  <c r="W53" i="114"/>
  <c r="W46" i="114"/>
  <c r="W25" i="114"/>
  <c r="AN163" i="73" s="1"/>
  <c r="W26" i="114"/>
  <c r="AN164" i="73" s="1"/>
  <c r="W21" i="114"/>
  <c r="AN159" i="73" s="1"/>
  <c r="W11" i="114"/>
  <c r="AN149" i="73" s="1"/>
  <c r="W9" i="114"/>
  <c r="AN147" i="73" s="1"/>
  <c r="E67" i="114"/>
  <c r="N5" i="119"/>
  <c r="Z20" i="66"/>
  <c r="F173" i="62"/>
  <c r="N155" i="62"/>
  <c r="K160" i="62"/>
  <c r="AE29" i="65"/>
  <c r="AG25" i="65"/>
  <c r="F174" i="62"/>
  <c r="FO50" i="63"/>
  <c r="F396" i="73"/>
  <c r="FB50" i="63"/>
  <c r="FB165" i="63"/>
  <c r="EO165" i="63"/>
  <c r="FO165" i="63"/>
  <c r="EK156" i="63"/>
  <c r="EX156" i="63"/>
  <c r="FF115" i="63"/>
  <c r="FS115" i="63"/>
  <c r="J563" i="73"/>
  <c r="FT113" i="63"/>
  <c r="FG113" i="63"/>
  <c r="FD102" i="63"/>
  <c r="FQ102" i="63"/>
  <c r="EM100" i="63"/>
  <c r="FM100" i="63"/>
  <c r="FR100" i="63"/>
  <c r="FE100" i="63"/>
  <c r="FF97" i="63"/>
  <c r="FS97" i="63"/>
  <c r="J545" i="73"/>
  <c r="FT109" i="63"/>
  <c r="FG109" i="63"/>
  <c r="FG149" i="63"/>
  <c r="FT149" i="63"/>
  <c r="FP168" i="63"/>
  <c r="FC168" i="63"/>
  <c r="FA35" i="63"/>
  <c r="FN35" i="63"/>
  <c r="FN43" i="63"/>
  <c r="E389" i="73"/>
  <c r="FA43" i="63"/>
  <c r="FB47" i="63"/>
  <c r="FC51" i="63"/>
  <c r="FP51" i="63"/>
  <c r="G397" i="73"/>
  <c r="FO54" i="63"/>
  <c r="FB54" i="63"/>
  <c r="EX97" i="63"/>
  <c r="FM106" i="63"/>
  <c r="FS67" i="63"/>
  <c r="J464" i="73"/>
  <c r="EO169" i="63"/>
  <c r="M123" i="62"/>
  <c r="G136" i="62"/>
  <c r="G139" i="62"/>
  <c r="N121" i="62"/>
  <c r="G137" i="62"/>
  <c r="N19" i="62"/>
  <c r="BT41" i="66"/>
  <c r="CD32" i="66"/>
  <c r="BT42" i="66" s="1"/>
  <c r="FL143" i="63"/>
  <c r="EY143" i="63"/>
  <c r="FD147" i="63"/>
  <c r="FQ147" i="63"/>
  <c r="H646" i="73"/>
  <c r="EK128" i="63"/>
  <c r="FG139" i="63"/>
  <c r="FT139" i="63"/>
  <c r="EZ167" i="63"/>
  <c r="FM167" i="63"/>
  <c r="EY163" i="63"/>
  <c r="EL163" i="63"/>
  <c r="EL180" i="63"/>
  <c r="FQ39" i="63"/>
  <c r="H385" i="73"/>
  <c r="FD39" i="63"/>
  <c r="EX51" i="63"/>
  <c r="EK51" i="63"/>
  <c r="FK51" i="63"/>
  <c r="EK52" i="63"/>
  <c r="FK52" i="63"/>
  <c r="FO57" i="63"/>
  <c r="F403" i="73"/>
  <c r="FB57" i="63"/>
  <c r="FF71" i="63"/>
  <c r="FS71" i="63"/>
  <c r="FM126" i="63"/>
  <c r="EZ126" i="63"/>
  <c r="FL126" i="63"/>
  <c r="EY126" i="63"/>
  <c r="FT135" i="63"/>
  <c r="FG135" i="63"/>
  <c r="FA155" i="63"/>
  <c r="FN155" i="63"/>
  <c r="E705" i="73"/>
  <c r="FG166" i="63"/>
  <c r="ET166" i="63"/>
  <c r="ET180" i="63"/>
  <c r="FT166" i="63"/>
  <c r="K716" i="73"/>
  <c r="FL65" i="63"/>
  <c r="EY65" i="63"/>
  <c r="FN133" i="63"/>
  <c r="FA133" i="63"/>
  <c r="FG108" i="63"/>
  <c r="FT108" i="63"/>
  <c r="FS116" i="63"/>
  <c r="FF116" i="63"/>
  <c r="N157" i="62"/>
  <c r="H172" i="62"/>
  <c r="H164" i="62"/>
  <c r="H167" i="62"/>
  <c r="H170" i="62"/>
  <c r="H173" i="62"/>
  <c r="H165" i="62"/>
  <c r="H168" i="62"/>
  <c r="H171" i="62"/>
  <c r="H163" i="62"/>
  <c r="I174" i="62"/>
  <c r="I166" i="62"/>
  <c r="I169" i="62"/>
  <c r="I172" i="62"/>
  <c r="I164" i="62"/>
  <c r="I167" i="62"/>
  <c r="N158" i="62"/>
  <c r="I170" i="62"/>
  <c r="I173" i="62"/>
  <c r="I165" i="62"/>
  <c r="BT49" i="66"/>
  <c r="FN103" i="63"/>
  <c r="FA103" i="63"/>
  <c r="EY118" i="63"/>
  <c r="FL118" i="63"/>
  <c r="FD118" i="63"/>
  <c r="FQ118" i="63"/>
  <c r="H566" i="73"/>
  <c r="FF111" i="63"/>
  <c r="FS111" i="63"/>
  <c r="FH127" i="63"/>
  <c r="FU127" i="63"/>
  <c r="FR127" i="63"/>
  <c r="FE127" i="63"/>
  <c r="EZ20" i="63"/>
  <c r="FM20" i="63"/>
  <c r="FH28" i="63"/>
  <c r="FU28" i="63"/>
  <c r="FS44" i="63"/>
  <c r="FF44" i="63"/>
  <c r="FG83" i="63"/>
  <c r="FT83" i="63"/>
  <c r="FP88" i="63"/>
  <c r="FC88" i="63"/>
  <c r="EP178" i="63"/>
  <c r="EP180" i="63"/>
  <c r="EK163" i="63"/>
  <c r="EX163" i="63"/>
  <c r="EK177" i="63"/>
  <c r="EK165" i="63"/>
  <c r="EK160" i="63"/>
  <c r="FK160" i="63"/>
  <c r="EK145" i="63"/>
  <c r="EK125" i="63"/>
  <c r="EX101" i="63"/>
  <c r="EK101" i="63"/>
  <c r="FK101" i="63"/>
  <c r="EK103" i="63"/>
  <c r="EK99" i="63"/>
  <c r="EK87" i="63"/>
  <c r="EK49" i="63"/>
  <c r="FK48" i="63"/>
  <c r="EK48" i="63"/>
  <c r="FM59" i="63"/>
  <c r="EZ59" i="63"/>
  <c r="EM59" i="63"/>
  <c r="EU43" i="63"/>
  <c r="FU43" i="63"/>
  <c r="L389" i="73"/>
  <c r="FU39" i="63"/>
  <c r="FH39" i="63"/>
  <c r="EU39" i="63"/>
  <c r="EU35" i="63"/>
  <c r="FU35" i="63"/>
  <c r="L381" i="73"/>
  <c r="EU116" i="63"/>
  <c r="FM86" i="63"/>
  <c r="EM86" i="63"/>
  <c r="EM90" i="63"/>
  <c r="EK78" i="63"/>
  <c r="EQ70" i="63"/>
  <c r="EQ90" i="63"/>
  <c r="EP29" i="63"/>
  <c r="EP30" i="63"/>
  <c r="FP29" i="63"/>
  <c r="G324" i="73"/>
  <c r="EM25" i="63"/>
  <c r="EM30" i="63"/>
  <c r="FM25" i="63"/>
  <c r="D320" i="73"/>
  <c r="ES7" i="63"/>
  <c r="ES30" i="63"/>
  <c r="J29" i="62"/>
  <c r="J28" i="62"/>
  <c r="J34" i="62"/>
  <c r="J33" i="62"/>
  <c r="J30" i="62"/>
  <c r="J171" i="62"/>
  <c r="J168" i="62"/>
  <c r="J169" i="62"/>
  <c r="J174" i="62"/>
  <c r="J166" i="62"/>
  <c r="N159" i="62"/>
  <c r="J167" i="62"/>
  <c r="J172" i="62"/>
  <c r="J164" i="62"/>
  <c r="M17" i="62"/>
  <c r="E17" i="62"/>
  <c r="D17" i="62"/>
  <c r="J17" i="62"/>
  <c r="G17" i="62"/>
  <c r="H17" i="62"/>
  <c r="I17" i="62"/>
  <c r="C17" i="62"/>
  <c r="H25" i="62"/>
  <c r="F17" i="62"/>
  <c r="J131" i="62"/>
  <c r="J89" i="62"/>
  <c r="E89" i="62"/>
  <c r="K89" i="62"/>
  <c r="B89" i="62"/>
  <c r="L89" i="62"/>
  <c r="G89" i="62"/>
  <c r="M89" i="62"/>
  <c r="H89" i="62"/>
  <c r="F89" i="62"/>
  <c r="C53" i="62"/>
  <c r="J53" i="62"/>
  <c r="L53" i="62"/>
  <c r="M53" i="62"/>
  <c r="F53" i="62"/>
  <c r="H53" i="62"/>
  <c r="K53" i="62"/>
  <c r="I53" i="62"/>
  <c r="B53" i="62"/>
  <c r="AC89" i="62"/>
  <c r="AB89" i="62"/>
  <c r="AA89" i="62"/>
  <c r="Y89" i="62"/>
  <c r="X89" i="62"/>
  <c r="W89" i="62"/>
  <c r="U89" i="62"/>
  <c r="T89" i="62"/>
  <c r="AD89" i="62"/>
  <c r="BT38" i="66"/>
  <c r="BT44" i="66"/>
  <c r="E34" i="62"/>
  <c r="E32" i="62"/>
  <c r="N14" i="62"/>
  <c r="E33" i="62"/>
  <c r="EY179" i="63"/>
  <c r="FL179" i="63"/>
  <c r="FA40" i="63"/>
  <c r="FN40" i="63"/>
  <c r="FL40" i="63"/>
  <c r="EY40" i="63"/>
  <c r="FQ48" i="63"/>
  <c r="FD48" i="63"/>
  <c r="FQ22" i="63"/>
  <c r="FD22" i="63"/>
  <c r="FB46" i="63"/>
  <c r="FO46" i="63"/>
  <c r="EK147" i="63"/>
  <c r="EX147" i="63"/>
  <c r="FB162" i="63"/>
  <c r="FP176" i="63"/>
  <c r="FC176" i="63"/>
  <c r="FA134" i="63"/>
  <c r="FN134" i="63"/>
  <c r="EZ170" i="63"/>
  <c r="FM170" i="63"/>
  <c r="EL4" i="63"/>
  <c r="EL30" i="63"/>
  <c r="EY4" i="63"/>
  <c r="ER5" i="63"/>
  <c r="ER30" i="63"/>
  <c r="FE5" i="63"/>
  <c r="FE80" i="63"/>
  <c r="ER80" i="63"/>
  <c r="ER90" i="63"/>
  <c r="EX80" i="63"/>
  <c r="FK80" i="63"/>
  <c r="FT53" i="63"/>
  <c r="FG53" i="63"/>
  <c r="EU47" i="63"/>
  <c r="FH47" i="63"/>
  <c r="EK105" i="63"/>
  <c r="FN130" i="63"/>
  <c r="FK26" i="63"/>
  <c r="I32" i="62"/>
  <c r="I24" i="62"/>
  <c r="I27" i="62"/>
  <c r="N18" i="62"/>
  <c r="I30" i="62"/>
  <c r="I33" i="62"/>
  <c r="I25" i="62"/>
  <c r="I28" i="62"/>
  <c r="I31" i="62"/>
  <c r="E123" i="62"/>
  <c r="B123" i="62"/>
  <c r="K123" i="62"/>
  <c r="H123" i="62"/>
  <c r="F123" i="62"/>
  <c r="L123" i="62"/>
  <c r="I123" i="62"/>
  <c r="J123" i="62"/>
  <c r="C123" i="62"/>
  <c r="AV25" i="121"/>
  <c r="FM164" i="63"/>
  <c r="EK95" i="63"/>
  <c r="EX40" i="63"/>
  <c r="H122" i="62"/>
  <c r="G124" i="62"/>
  <c r="F124" i="62"/>
  <c r="I124" i="62"/>
  <c r="L124" i="62"/>
  <c r="M122" i="62"/>
  <c r="I122" i="62"/>
  <c r="K124" i="62"/>
  <c r="J122" i="62"/>
  <c r="CY32" i="66"/>
  <c r="BT63" i="66" s="1"/>
  <c r="B487" i="73"/>
  <c r="AV17" i="121"/>
  <c r="AF74" i="62"/>
  <c r="AA83" i="62"/>
  <c r="E572" i="73"/>
  <c r="B420" i="73"/>
  <c r="C19" i="125"/>
  <c r="C28" i="125"/>
  <c r="BT66" i="126"/>
  <c r="G122" i="62"/>
  <c r="B122" i="62"/>
  <c r="L122" i="62"/>
  <c r="W67" i="62"/>
  <c r="B430" i="73"/>
  <c r="AF39" i="62"/>
  <c r="AB48" i="62"/>
  <c r="G29" i="118"/>
  <c r="K143" i="62"/>
  <c r="K3" i="62"/>
  <c r="V18" i="66"/>
  <c r="G6" i="121"/>
  <c r="V5" i="66" s="1"/>
  <c r="Y5" i="66" s="1"/>
  <c r="E3" i="140"/>
  <c r="V98" i="126"/>
  <c r="CV3" i="63"/>
  <c r="GI3" i="63"/>
  <c r="CK3" i="63"/>
  <c r="FX3" i="63"/>
  <c r="CS3" i="63"/>
  <c r="GF3" i="63"/>
  <c r="AC181" i="63"/>
  <c r="CU3" i="63"/>
  <c r="GH3" i="63"/>
  <c r="CP3" i="63"/>
  <c r="GC3" i="63"/>
  <c r="CO3" i="63"/>
  <c r="GB3" i="63"/>
  <c r="CK7" i="63"/>
  <c r="FX7" i="63"/>
  <c r="CP7" i="63"/>
  <c r="GC7" i="63"/>
  <c r="CU7" i="63"/>
  <c r="GH7" i="63"/>
  <c r="CO7" i="63"/>
  <c r="GB7" i="63"/>
  <c r="CT7" i="63"/>
  <c r="GG7" i="63"/>
  <c r="CN7" i="63"/>
  <c r="GA7" i="63"/>
  <c r="CK11" i="63"/>
  <c r="FX11" i="63"/>
  <c r="CP11" i="63"/>
  <c r="GC11" i="63"/>
  <c r="CU11" i="63"/>
  <c r="GH11" i="63"/>
  <c r="CO11" i="63"/>
  <c r="GB11" i="63"/>
  <c r="CT11" i="63"/>
  <c r="GG11" i="63"/>
  <c r="CN11" i="63"/>
  <c r="GA11" i="63"/>
  <c r="CK15" i="63"/>
  <c r="FX15" i="63"/>
  <c r="CP15" i="63"/>
  <c r="GC15" i="63"/>
  <c r="CU15" i="63"/>
  <c r="GH15" i="63"/>
  <c r="CO15" i="63"/>
  <c r="GB15" i="63"/>
  <c r="CT15" i="63"/>
  <c r="GG15" i="63"/>
  <c r="CN15" i="63"/>
  <c r="GA15" i="63"/>
  <c r="CK19" i="63"/>
  <c r="FX19" i="63"/>
  <c r="CP19" i="63"/>
  <c r="GC19" i="63"/>
  <c r="CU19" i="63"/>
  <c r="GH19" i="63"/>
  <c r="CO19" i="63"/>
  <c r="GB19" i="63"/>
  <c r="CT19" i="63"/>
  <c r="GG19" i="63"/>
  <c r="CN19" i="63"/>
  <c r="GA19" i="63"/>
  <c r="CK23" i="63"/>
  <c r="FX23" i="63"/>
  <c r="CM23" i="63"/>
  <c r="FZ23" i="63"/>
  <c r="CR23" i="63"/>
  <c r="GE23" i="63"/>
  <c r="CL23" i="63"/>
  <c r="FL23" i="63"/>
  <c r="CU23" i="63"/>
  <c r="GH23" i="63"/>
  <c r="CV23" i="63"/>
  <c r="GI23" i="63"/>
  <c r="CO27" i="63"/>
  <c r="GB27" i="63"/>
  <c r="CM27" i="63"/>
  <c r="FZ27" i="63"/>
  <c r="CR27" i="63"/>
  <c r="GE27" i="63"/>
  <c r="CL27" i="63"/>
  <c r="FY27" i="63"/>
  <c r="CU27" i="63"/>
  <c r="GH27" i="63"/>
  <c r="CV27" i="63"/>
  <c r="GI27" i="63"/>
  <c r="CV33" i="63"/>
  <c r="GI33" i="63"/>
  <c r="CQ33" i="63"/>
  <c r="GD33" i="63"/>
  <c r="CL33" i="63"/>
  <c r="FY33" i="63"/>
  <c r="CR33" i="63"/>
  <c r="GE33" i="63"/>
  <c r="CM33" i="63"/>
  <c r="FZ33" i="63"/>
  <c r="CS33" i="63"/>
  <c r="GF33" i="63"/>
  <c r="CV37" i="63"/>
  <c r="GI37" i="63"/>
  <c r="CQ37" i="63"/>
  <c r="GD37" i="63"/>
  <c r="CL37" i="63"/>
  <c r="FY37" i="63"/>
  <c r="CR37" i="63"/>
  <c r="GE37" i="63"/>
  <c r="CM37" i="63"/>
  <c r="FZ37" i="63"/>
  <c r="CS37" i="63"/>
  <c r="FS37" i="63"/>
  <c r="CV41" i="63"/>
  <c r="GI41" i="63"/>
  <c r="CQ41" i="63"/>
  <c r="GD41" i="63"/>
  <c r="CL41" i="63"/>
  <c r="FY41" i="63"/>
  <c r="CR41" i="63"/>
  <c r="GE41" i="63"/>
  <c r="CM41" i="63"/>
  <c r="FZ41" i="63"/>
  <c r="CS41" i="63"/>
  <c r="GF41" i="63"/>
  <c r="CV45" i="63"/>
  <c r="GI45" i="63"/>
  <c r="CQ45" i="63"/>
  <c r="GD45" i="63"/>
  <c r="CL45" i="63"/>
  <c r="FY45" i="63"/>
  <c r="CR45" i="63"/>
  <c r="GE45" i="63"/>
  <c r="CM45" i="63"/>
  <c r="FZ45" i="63"/>
  <c r="CS45" i="63"/>
  <c r="GF45" i="63"/>
  <c r="CV49" i="63"/>
  <c r="GI49" i="63"/>
  <c r="CQ49" i="63"/>
  <c r="GD49" i="63"/>
  <c r="CL49" i="63"/>
  <c r="FY49" i="63"/>
  <c r="CR49" i="63"/>
  <c r="GE49" i="63"/>
  <c r="CM49" i="63"/>
  <c r="FZ49" i="63"/>
  <c r="CS49" i="63"/>
  <c r="GF49" i="63"/>
  <c r="CV53" i="63"/>
  <c r="GI53" i="63"/>
  <c r="CQ53" i="63"/>
  <c r="GD53" i="63"/>
  <c r="CL53" i="63"/>
  <c r="FY53" i="63"/>
  <c r="CR53" i="63"/>
  <c r="GE53" i="63"/>
  <c r="CM53" i="63"/>
  <c r="FM53" i="63"/>
  <c r="CS53" i="63"/>
  <c r="GF53" i="63"/>
  <c r="CU57" i="63"/>
  <c r="GH57" i="63"/>
  <c r="CP57" i="63"/>
  <c r="GC57" i="63"/>
  <c r="CV57" i="63"/>
  <c r="GI57" i="63"/>
  <c r="CQ57" i="63"/>
  <c r="GD57" i="63"/>
  <c r="CS57" i="63"/>
  <c r="GF57" i="63"/>
  <c r="CR57" i="63"/>
  <c r="GE57" i="63"/>
  <c r="CU66" i="63"/>
  <c r="GH66" i="63"/>
  <c r="CP66" i="63"/>
  <c r="FP66" i="63"/>
  <c r="CK66" i="63"/>
  <c r="FX66" i="63"/>
  <c r="CQ66" i="63"/>
  <c r="FQ66" i="63"/>
  <c r="CL66" i="63"/>
  <c r="FY66" i="63"/>
  <c r="CV66" i="63"/>
  <c r="GI66" i="63"/>
  <c r="CU70" i="63"/>
  <c r="GH70" i="63"/>
  <c r="CP70" i="63"/>
  <c r="GC70" i="63"/>
  <c r="CK70" i="63"/>
  <c r="FK70" i="63"/>
  <c r="CQ70" i="63"/>
  <c r="FD70" i="63"/>
  <c r="CL70" i="63"/>
  <c r="FY70" i="63"/>
  <c r="CV70" i="63"/>
  <c r="GI70" i="63"/>
  <c r="CU74" i="63"/>
  <c r="GH74" i="63"/>
  <c r="CP74" i="63"/>
  <c r="GC74" i="63"/>
  <c r="CK74" i="63"/>
  <c r="FX74" i="63"/>
  <c r="CQ74" i="63"/>
  <c r="GD74" i="63"/>
  <c r="CL74" i="63"/>
  <c r="FY74" i="63"/>
  <c r="CV74" i="63"/>
  <c r="GI74" i="63"/>
  <c r="CU78" i="63"/>
  <c r="GH78" i="63"/>
  <c r="CP78" i="63"/>
  <c r="GC78" i="63"/>
  <c r="CK78" i="63"/>
  <c r="EX78" i="63"/>
  <c r="CQ78" i="63"/>
  <c r="GD78" i="63"/>
  <c r="CL78" i="63"/>
  <c r="FY78" i="63"/>
  <c r="CV78" i="63"/>
  <c r="GI78" i="63"/>
  <c r="CU82" i="63"/>
  <c r="GH82" i="63"/>
  <c r="CP82" i="63"/>
  <c r="GC82" i="63"/>
  <c r="CK82" i="63"/>
  <c r="EX82" i="63"/>
  <c r="CQ82" i="63"/>
  <c r="FD82" i="63"/>
  <c r="CL82" i="63"/>
  <c r="FY82" i="63"/>
  <c r="CV82" i="63"/>
  <c r="GI82" i="63"/>
  <c r="CU86" i="63"/>
  <c r="GH86" i="63"/>
  <c r="CP86" i="63"/>
  <c r="GC86" i="63"/>
  <c r="CK86" i="63"/>
  <c r="FX86" i="63"/>
  <c r="CQ86" i="63"/>
  <c r="GD86" i="63"/>
  <c r="CL86" i="63"/>
  <c r="FY86" i="63"/>
  <c r="CV86" i="63"/>
  <c r="GI86" i="63"/>
  <c r="CU95" i="63"/>
  <c r="GH95" i="63"/>
  <c r="CP95" i="63"/>
  <c r="GC95" i="63"/>
  <c r="CK95" i="63"/>
  <c r="FX95" i="63"/>
  <c r="CQ95" i="63"/>
  <c r="GD95" i="63"/>
  <c r="CL95" i="63"/>
  <c r="EY95" i="63"/>
  <c r="CV95" i="63"/>
  <c r="GI95" i="63"/>
  <c r="CU99" i="63"/>
  <c r="GH99" i="63"/>
  <c r="CP99" i="63"/>
  <c r="GC99" i="63"/>
  <c r="CK99" i="63"/>
  <c r="FK99" i="63"/>
  <c r="CQ99" i="63"/>
  <c r="GD99" i="63"/>
  <c r="CL99" i="63"/>
  <c r="FY99" i="63"/>
  <c r="CV99" i="63"/>
  <c r="GI99" i="63"/>
  <c r="CU103" i="63"/>
  <c r="GH103" i="63"/>
  <c r="CP103" i="63"/>
  <c r="GC103" i="63"/>
  <c r="CK103" i="63"/>
  <c r="FK103" i="63"/>
  <c r="CQ103" i="63"/>
  <c r="GD103" i="63"/>
  <c r="CL103" i="63"/>
  <c r="FY103" i="63"/>
  <c r="CV103" i="63"/>
  <c r="GI103" i="63"/>
  <c r="CU107" i="63"/>
  <c r="GH107" i="63"/>
  <c r="CP107" i="63"/>
  <c r="GC107" i="63"/>
  <c r="CK107" i="63"/>
  <c r="EX107" i="63"/>
  <c r="CQ107" i="63"/>
  <c r="FQ107" i="63"/>
  <c r="CL107" i="63"/>
  <c r="FY107" i="63"/>
  <c r="CV107" i="63"/>
  <c r="GI107" i="63"/>
  <c r="CU111" i="63"/>
  <c r="GH111" i="63"/>
  <c r="CP111" i="63"/>
  <c r="GC111" i="63"/>
  <c r="CK111" i="63"/>
  <c r="FX111" i="63"/>
  <c r="CQ111" i="63"/>
  <c r="GD111" i="63"/>
  <c r="CL111" i="63"/>
  <c r="FL111" i="63"/>
  <c r="CV111" i="63"/>
  <c r="GI111" i="63"/>
  <c r="CU115" i="63"/>
  <c r="GH115" i="63"/>
  <c r="CP115" i="63"/>
  <c r="GC115" i="63"/>
  <c r="CK115" i="63"/>
  <c r="FX115" i="63"/>
  <c r="CQ115" i="63"/>
  <c r="GD115" i="63"/>
  <c r="CL115" i="63"/>
  <c r="FY115" i="63"/>
  <c r="CV115" i="63"/>
  <c r="GI115" i="63"/>
  <c r="CU119" i="63"/>
  <c r="GH119" i="63"/>
  <c r="CP119" i="63"/>
  <c r="GC119" i="63"/>
  <c r="CK119" i="63"/>
  <c r="EX119" i="63"/>
  <c r="CQ119" i="63"/>
  <c r="GD119" i="63"/>
  <c r="CL119" i="63"/>
  <c r="FY119" i="63"/>
  <c r="CV119" i="63"/>
  <c r="GI119" i="63"/>
  <c r="CU124" i="63"/>
  <c r="GH124" i="63"/>
  <c r="CP124" i="63"/>
  <c r="FP124" i="63"/>
  <c r="CK124" i="63"/>
  <c r="EX124" i="63"/>
  <c r="CQ124" i="63"/>
  <c r="GD124" i="63"/>
  <c r="CL124" i="63"/>
  <c r="FY124" i="63"/>
  <c r="CV124" i="63"/>
  <c r="GI124" i="63"/>
  <c r="CU128" i="63"/>
  <c r="GH128" i="63"/>
  <c r="CP128" i="63"/>
  <c r="GC128" i="63"/>
  <c r="CK128" i="63"/>
  <c r="FK128" i="63"/>
  <c r="CQ128" i="63"/>
  <c r="GD128" i="63"/>
  <c r="CL128" i="63"/>
  <c r="FY128" i="63"/>
  <c r="CV128" i="63"/>
  <c r="GI128" i="63"/>
  <c r="CU132" i="63"/>
  <c r="GH132" i="63"/>
  <c r="CP132" i="63"/>
  <c r="GC132" i="63"/>
  <c r="CK132" i="63"/>
  <c r="FX132" i="63"/>
  <c r="CQ132" i="63"/>
  <c r="GD132" i="63"/>
  <c r="CL132" i="63"/>
  <c r="FL132" i="63"/>
  <c r="CV132" i="63"/>
  <c r="GI132" i="63"/>
  <c r="CU136" i="63"/>
  <c r="GH136" i="63"/>
  <c r="CP136" i="63"/>
  <c r="GC136" i="63"/>
  <c r="CK136" i="63"/>
  <c r="FX136" i="63"/>
  <c r="CQ136" i="63"/>
  <c r="GD136" i="63"/>
  <c r="CL136" i="63"/>
  <c r="FY136" i="63"/>
  <c r="CV136" i="63"/>
  <c r="GI136" i="63"/>
  <c r="CU140" i="63"/>
  <c r="GH140" i="63"/>
  <c r="CP140" i="63"/>
  <c r="GC140" i="63"/>
  <c r="CK140" i="63"/>
  <c r="FX140" i="63"/>
  <c r="CQ140" i="63"/>
  <c r="GD140" i="63"/>
  <c r="CL140" i="63"/>
  <c r="FY140" i="63"/>
  <c r="CV140" i="63"/>
  <c r="GI140" i="63"/>
  <c r="CU144" i="63"/>
  <c r="FH144" i="63"/>
  <c r="CP144" i="63"/>
  <c r="GC144" i="63"/>
  <c r="CK144" i="63"/>
  <c r="FX144" i="63"/>
  <c r="CQ144" i="63"/>
  <c r="GD144" i="63"/>
  <c r="CL144" i="63"/>
  <c r="FY144" i="63"/>
  <c r="CV144" i="63"/>
  <c r="GI144" i="63"/>
  <c r="CU148" i="63"/>
  <c r="GH148" i="63"/>
  <c r="CP148" i="63"/>
  <c r="GC148" i="63"/>
  <c r="CK148" i="63"/>
  <c r="FX148" i="63"/>
  <c r="CQ148" i="63"/>
  <c r="GD148" i="63"/>
  <c r="CL148" i="63"/>
  <c r="FL148" i="63"/>
  <c r="CV148" i="63"/>
  <c r="GI148" i="63"/>
  <c r="CU153" i="63"/>
  <c r="GH153" i="63"/>
  <c r="CP153" i="63"/>
  <c r="GC153" i="63"/>
  <c r="CK153" i="63"/>
  <c r="FX153" i="63"/>
  <c r="CQ153" i="63"/>
  <c r="GD153" i="63"/>
  <c r="CL153" i="63"/>
  <c r="FY153" i="63"/>
  <c r="CV153" i="63"/>
  <c r="GI153" i="63"/>
  <c r="CU157" i="63"/>
  <c r="GH157" i="63"/>
  <c r="CP157" i="63"/>
  <c r="GC157" i="63"/>
  <c r="CK157" i="63"/>
  <c r="FX157" i="63"/>
  <c r="CQ157" i="63"/>
  <c r="GD157" i="63"/>
  <c r="CL157" i="63"/>
  <c r="FY157" i="63"/>
  <c r="CV157" i="63"/>
  <c r="GI157" i="63"/>
  <c r="CU161" i="63"/>
  <c r="GH161" i="63"/>
  <c r="CP161" i="63"/>
  <c r="GC161" i="63"/>
  <c r="CK161" i="63"/>
  <c r="FX161" i="63"/>
  <c r="CQ161" i="63"/>
  <c r="GD161" i="63"/>
  <c r="CL161" i="63"/>
  <c r="FY161" i="63"/>
  <c r="CV161" i="63"/>
  <c r="GI161" i="63"/>
  <c r="CU165" i="63"/>
  <c r="GH165" i="63"/>
  <c r="CP165" i="63"/>
  <c r="GC165" i="63"/>
  <c r="CK165" i="63"/>
  <c r="FK165" i="63"/>
  <c r="CQ165" i="63"/>
  <c r="GD165" i="63"/>
  <c r="CL165" i="63"/>
  <c r="FY165" i="63"/>
  <c r="CV165" i="63"/>
  <c r="GI165" i="63"/>
  <c r="CU169" i="63"/>
  <c r="GH169" i="63"/>
  <c r="CP169" i="63"/>
  <c r="GC169" i="63"/>
  <c r="CK169" i="63"/>
  <c r="FX169" i="63"/>
  <c r="CQ169" i="63"/>
  <c r="GD169" i="63"/>
  <c r="CL169" i="63"/>
  <c r="FY169" i="63"/>
  <c r="CV169" i="63"/>
  <c r="GI169" i="63"/>
  <c r="CU173" i="63"/>
  <c r="GH173" i="63"/>
  <c r="CP173" i="63"/>
  <c r="GC173" i="63"/>
  <c r="CK173" i="63"/>
  <c r="FX173" i="63"/>
  <c r="CQ173" i="63"/>
  <c r="GD173" i="63"/>
  <c r="CL173" i="63"/>
  <c r="FY173" i="63"/>
  <c r="CV173" i="63"/>
  <c r="GI173" i="63"/>
  <c r="CU177" i="63"/>
  <c r="GH177" i="63"/>
  <c r="CP177" i="63"/>
  <c r="GC177" i="63"/>
  <c r="CK177" i="63"/>
  <c r="EX177" i="63"/>
  <c r="CQ177" i="63"/>
  <c r="GD177" i="63"/>
  <c r="CL177" i="63"/>
  <c r="FL177" i="63"/>
  <c r="CV177" i="63"/>
  <c r="GI177" i="63"/>
  <c r="AH23" i="65"/>
  <c r="FT94" i="126"/>
  <c r="GH94" i="126"/>
  <c r="H96" i="126"/>
  <c r="GB75" i="126"/>
  <c r="FO96" i="126"/>
  <c r="FT82" i="126"/>
  <c r="GH82" i="126"/>
  <c r="FT86" i="126"/>
  <c r="GH86" i="126"/>
  <c r="FT70" i="126"/>
  <c r="GH70" i="126"/>
  <c r="V96" i="126"/>
  <c r="FP96" i="126"/>
  <c r="ED98" i="126"/>
  <c r="CN98" i="126"/>
  <c r="BF98" i="126"/>
  <c r="BL98" i="126"/>
  <c r="BL96" i="126"/>
  <c r="GA72" i="126"/>
  <c r="GA74" i="126"/>
  <c r="GH74" i="126"/>
  <c r="GA78" i="126"/>
  <c r="GH78" i="126"/>
  <c r="GA84" i="126"/>
  <c r="GA88" i="126"/>
  <c r="GA90" i="126"/>
  <c r="GH90" i="126"/>
  <c r="GA92" i="126"/>
  <c r="E31" i="119"/>
  <c r="V31" i="119" s="1"/>
  <c r="C64" i="119"/>
  <c r="T64" i="119" s="1"/>
  <c r="B64" i="119"/>
  <c r="S64" i="119" s="1"/>
  <c r="L30" i="119"/>
  <c r="L96" i="119" s="1"/>
  <c r="K30" i="119"/>
  <c r="F61" i="119"/>
  <c r="P27" i="119"/>
  <c r="J58" i="119"/>
  <c r="O24" i="119"/>
  <c r="F57" i="119"/>
  <c r="F90" i="119" s="1"/>
  <c r="C24" i="119"/>
  <c r="T24" i="119" s="1"/>
  <c r="F53" i="119"/>
  <c r="K19" i="119"/>
  <c r="B52" i="119"/>
  <c r="S52" i="119" s="1"/>
  <c r="J17" i="119"/>
  <c r="I16" i="119"/>
  <c r="N47" i="119"/>
  <c r="N80" i="119" s="1"/>
  <c r="CO177" i="63"/>
  <c r="GB177" i="63"/>
  <c r="CN173" i="63"/>
  <c r="GA173" i="63"/>
  <c r="CT173" i="63"/>
  <c r="GG173" i="63"/>
  <c r="CO169" i="63"/>
  <c r="FB169" i="63"/>
  <c r="CN165" i="63"/>
  <c r="GA165" i="63"/>
  <c r="CT165" i="63"/>
  <c r="FG165" i="63"/>
  <c r="CO161" i="63"/>
  <c r="GB161" i="63"/>
  <c r="CN157" i="63"/>
  <c r="GA157" i="63"/>
  <c r="CT157" i="63"/>
  <c r="GG157" i="63"/>
  <c r="CO153" i="63"/>
  <c r="GB153" i="63"/>
  <c r="CN148" i="63"/>
  <c r="GA148" i="63"/>
  <c r="CT148" i="63"/>
  <c r="GG148" i="63"/>
  <c r="CO144" i="63"/>
  <c r="GB144" i="63"/>
  <c r="CN140" i="63"/>
  <c r="GA140" i="63"/>
  <c r="CT140" i="63"/>
  <c r="GG140" i="63"/>
  <c r="CO136" i="63"/>
  <c r="GB136" i="63"/>
  <c r="CN132" i="63"/>
  <c r="GA132" i="63"/>
  <c r="CT132" i="63"/>
  <c r="GG132" i="63"/>
  <c r="CO128" i="63"/>
  <c r="FB128" i="63"/>
  <c r="CN124" i="63"/>
  <c r="GA124" i="63"/>
  <c r="CT124" i="63"/>
  <c r="GG124" i="63"/>
  <c r="CO119" i="63"/>
  <c r="GB119" i="63"/>
  <c r="CN115" i="63"/>
  <c r="GA115" i="63"/>
  <c r="CT115" i="63"/>
  <c r="GG115" i="63"/>
  <c r="CO111" i="63"/>
  <c r="GB111" i="63"/>
  <c r="CN107" i="63"/>
  <c r="GA107" i="63"/>
  <c r="CT107" i="63"/>
  <c r="FT107" i="63"/>
  <c r="CO103" i="63"/>
  <c r="GB103" i="63"/>
  <c r="CN99" i="63"/>
  <c r="GA99" i="63"/>
  <c r="CT99" i="63"/>
  <c r="GG99" i="63"/>
  <c r="CO95" i="63"/>
  <c r="GB95" i="63"/>
  <c r="CN86" i="63"/>
  <c r="GA86" i="63"/>
  <c r="CT86" i="63"/>
  <c r="GG86" i="63"/>
  <c r="CO82" i="63"/>
  <c r="GB82" i="63"/>
  <c r="CN78" i="63"/>
  <c r="GA78" i="63"/>
  <c r="CT78" i="63"/>
  <c r="GG78" i="63"/>
  <c r="CO74" i="63"/>
  <c r="GB74" i="63"/>
  <c r="CN70" i="63"/>
  <c r="GA70" i="63"/>
  <c r="CT70" i="63"/>
  <c r="GG70" i="63"/>
  <c r="CO66" i="63"/>
  <c r="GB66" i="63"/>
  <c r="CL57" i="63"/>
  <c r="FY57" i="63"/>
  <c r="CT57" i="63"/>
  <c r="CT60" i="63"/>
  <c r="GG60" i="63"/>
  <c r="CP53" i="63"/>
  <c r="GC53" i="63"/>
  <c r="CK49" i="63"/>
  <c r="FK49" i="63"/>
  <c r="CU49" i="63"/>
  <c r="GH49" i="63"/>
  <c r="CP45" i="63"/>
  <c r="GC45" i="63"/>
  <c r="CK41" i="63"/>
  <c r="FX41" i="63"/>
  <c r="CU41" i="63"/>
  <c r="GH41" i="63"/>
  <c r="CP37" i="63"/>
  <c r="GC37" i="63"/>
  <c r="CK33" i="63"/>
  <c r="FX33" i="63"/>
  <c r="CU33" i="63"/>
  <c r="GH33" i="63"/>
  <c r="CN27" i="63"/>
  <c r="GA27" i="63"/>
  <c r="CS23" i="63"/>
  <c r="GF23" i="63"/>
  <c r="CT23" i="63"/>
  <c r="GG23" i="63"/>
  <c r="CQ19" i="63"/>
  <c r="GD19" i="63"/>
  <c r="CV15" i="63"/>
  <c r="GI15" i="63"/>
  <c r="CL15" i="63"/>
  <c r="FY15" i="63"/>
  <c r="CQ11" i="63"/>
  <c r="GD11" i="63"/>
  <c r="CV7" i="63"/>
  <c r="GI7" i="63"/>
  <c r="CL7" i="63"/>
  <c r="FY7" i="63"/>
  <c r="CT3" i="63"/>
  <c r="GG3" i="63"/>
  <c r="CK4" i="63"/>
  <c r="FX4" i="63"/>
  <c r="CP4" i="63"/>
  <c r="GC4" i="63"/>
  <c r="CU4" i="63"/>
  <c r="GH4" i="63"/>
  <c r="CO4" i="63"/>
  <c r="GB4" i="63"/>
  <c r="CT4" i="63"/>
  <c r="GG4" i="63"/>
  <c r="CN4" i="63"/>
  <c r="GA4" i="63"/>
  <c r="CK8" i="63"/>
  <c r="FX8" i="63"/>
  <c r="CP8" i="63"/>
  <c r="GC8" i="63"/>
  <c r="CU8" i="63"/>
  <c r="GH8" i="63"/>
  <c r="CO8" i="63"/>
  <c r="GB8" i="63"/>
  <c r="CT8" i="63"/>
  <c r="GG8" i="63"/>
  <c r="CN8" i="63"/>
  <c r="GA8" i="63"/>
  <c r="CK12" i="63"/>
  <c r="FX12" i="63"/>
  <c r="CP12" i="63"/>
  <c r="GC12" i="63"/>
  <c r="CU12" i="63"/>
  <c r="GH12" i="63"/>
  <c r="CO12" i="63"/>
  <c r="GB12" i="63"/>
  <c r="CT12" i="63"/>
  <c r="GG12" i="63"/>
  <c r="CN12" i="63"/>
  <c r="FN12" i="63"/>
  <c r="CK16" i="63"/>
  <c r="FX16" i="63"/>
  <c r="CP16" i="63"/>
  <c r="GC16" i="63"/>
  <c r="CU16" i="63"/>
  <c r="GH16" i="63"/>
  <c r="CO16" i="63"/>
  <c r="GB16" i="63"/>
  <c r="CT16" i="63"/>
  <c r="GG16" i="63"/>
  <c r="CN16" i="63"/>
  <c r="GA16" i="63"/>
  <c r="CK20" i="63"/>
  <c r="FX20" i="63"/>
  <c r="CT20" i="63"/>
  <c r="GG20" i="63"/>
  <c r="CN20" i="63"/>
  <c r="GA20" i="63"/>
  <c r="CS20" i="63"/>
  <c r="GF20" i="63"/>
  <c r="CU20" i="63"/>
  <c r="GH20" i="63"/>
  <c r="CR20" i="63"/>
  <c r="FE20" i="63"/>
  <c r="CK24" i="63"/>
  <c r="FK24" i="63"/>
  <c r="CQ24" i="63"/>
  <c r="GD24" i="63"/>
  <c r="CR24" i="63"/>
  <c r="GE24" i="63"/>
  <c r="CL24" i="63"/>
  <c r="FY24" i="63"/>
  <c r="CU24" i="63"/>
  <c r="GH24" i="63"/>
  <c r="CV24" i="63"/>
  <c r="GI24" i="63"/>
  <c r="CK28" i="63"/>
  <c r="FX28" i="63"/>
  <c r="CT28" i="63"/>
  <c r="FT28" i="63"/>
  <c r="CN28" i="63"/>
  <c r="GA28" i="63"/>
  <c r="CS28" i="63"/>
  <c r="GF28" i="63"/>
  <c r="CQ28" i="63"/>
  <c r="FQ28" i="63"/>
  <c r="CR28" i="63"/>
  <c r="GE28" i="63"/>
  <c r="CV34" i="63"/>
  <c r="GI34" i="63"/>
  <c r="CQ34" i="63"/>
  <c r="GD34" i="63"/>
  <c r="CL34" i="63"/>
  <c r="FY34" i="63"/>
  <c r="CR34" i="63"/>
  <c r="GE34" i="63"/>
  <c r="CM34" i="63"/>
  <c r="FZ34" i="63"/>
  <c r="CS34" i="63"/>
  <c r="GF34" i="63"/>
  <c r="CV38" i="63"/>
  <c r="GI38" i="63"/>
  <c r="CQ38" i="63"/>
  <c r="GD38" i="63"/>
  <c r="CL38" i="63"/>
  <c r="FY38" i="63"/>
  <c r="CR38" i="63"/>
  <c r="GE38" i="63"/>
  <c r="CM38" i="63"/>
  <c r="FZ38" i="63"/>
  <c r="CS38" i="63"/>
  <c r="GF38" i="63"/>
  <c r="CV42" i="63"/>
  <c r="GI42" i="63"/>
  <c r="CQ42" i="63"/>
  <c r="GD42" i="63"/>
  <c r="CL42" i="63"/>
  <c r="FL42" i="63"/>
  <c r="CR42" i="63"/>
  <c r="GE42" i="63"/>
  <c r="CM42" i="63"/>
  <c r="FZ42" i="63"/>
  <c r="CS42" i="63"/>
  <c r="GF42" i="63"/>
  <c r="CV46" i="63"/>
  <c r="GI46" i="63"/>
  <c r="CQ46" i="63"/>
  <c r="GD46" i="63"/>
  <c r="CL46" i="63"/>
  <c r="FY46" i="63"/>
  <c r="CR46" i="63"/>
  <c r="GE46" i="63"/>
  <c r="CM46" i="63"/>
  <c r="FZ46" i="63"/>
  <c r="CS46" i="63"/>
  <c r="GF46" i="63"/>
  <c r="CV50" i="63"/>
  <c r="GI50" i="63"/>
  <c r="CQ50" i="63"/>
  <c r="GD50" i="63"/>
  <c r="CL50" i="63"/>
  <c r="FY50" i="63"/>
  <c r="CR50" i="63"/>
  <c r="FR50" i="63"/>
  <c r="CM50" i="63"/>
  <c r="FZ50" i="63"/>
  <c r="CS50" i="63"/>
  <c r="GF50" i="63"/>
  <c r="CU54" i="63"/>
  <c r="GH54" i="63"/>
  <c r="CN54" i="63"/>
  <c r="GA54" i="63"/>
  <c r="CL54" i="63"/>
  <c r="FY54" i="63"/>
  <c r="CQ54" i="63"/>
  <c r="GD54" i="63"/>
  <c r="CR54" i="63"/>
  <c r="GE54" i="63"/>
  <c r="CV54" i="63"/>
  <c r="GI54" i="63"/>
  <c r="CU58" i="63"/>
  <c r="GH58" i="63"/>
  <c r="CP58" i="63"/>
  <c r="GC58" i="63"/>
  <c r="CK58" i="63"/>
  <c r="FX58" i="63"/>
  <c r="CQ58" i="63"/>
  <c r="GD58" i="63"/>
  <c r="CL58" i="63"/>
  <c r="FY58" i="63"/>
  <c r="CV58" i="63"/>
  <c r="GI58" i="63"/>
  <c r="CU63" i="63"/>
  <c r="GH63" i="63"/>
  <c r="CP63" i="63"/>
  <c r="GC63" i="63"/>
  <c r="CK63" i="63"/>
  <c r="FX63" i="63"/>
  <c r="CQ63" i="63"/>
  <c r="GD63" i="63"/>
  <c r="CL63" i="63"/>
  <c r="FY63" i="63"/>
  <c r="CV63" i="63"/>
  <c r="GI63" i="63"/>
  <c r="CU67" i="63"/>
  <c r="GH67" i="63"/>
  <c r="CP67" i="63"/>
  <c r="GC67" i="63"/>
  <c r="CK67" i="63"/>
  <c r="FX67" i="63"/>
  <c r="CQ67" i="63"/>
  <c r="GD67" i="63"/>
  <c r="CL67" i="63"/>
  <c r="FY67" i="63"/>
  <c r="CV67" i="63"/>
  <c r="GI67" i="63"/>
  <c r="CU71" i="63"/>
  <c r="GH71" i="63"/>
  <c r="CP71" i="63"/>
  <c r="GC71" i="63"/>
  <c r="CK71" i="63"/>
  <c r="FX71" i="63"/>
  <c r="CQ71" i="63"/>
  <c r="GD71" i="63"/>
  <c r="CL71" i="63"/>
  <c r="FY71" i="63"/>
  <c r="CV71" i="63"/>
  <c r="GI71" i="63"/>
  <c r="CU75" i="63"/>
  <c r="GH75" i="63"/>
  <c r="CP75" i="63"/>
  <c r="GC75" i="63"/>
  <c r="CK75" i="63"/>
  <c r="FX75" i="63"/>
  <c r="CQ75" i="63"/>
  <c r="GD75" i="63"/>
  <c r="CL75" i="63"/>
  <c r="FY75" i="63"/>
  <c r="CV75" i="63"/>
  <c r="GI75" i="63"/>
  <c r="CU79" i="63"/>
  <c r="GH79" i="63"/>
  <c r="CP79" i="63"/>
  <c r="GC79" i="63"/>
  <c r="CK79" i="63"/>
  <c r="FX79" i="63"/>
  <c r="CQ79" i="63"/>
  <c r="GD79" i="63"/>
  <c r="CL79" i="63"/>
  <c r="FY79" i="63"/>
  <c r="CV79" i="63"/>
  <c r="GI79" i="63"/>
  <c r="CU83" i="63"/>
  <c r="GH83" i="63"/>
  <c r="CP83" i="63"/>
  <c r="GC83" i="63"/>
  <c r="CK83" i="63"/>
  <c r="FX83" i="63"/>
  <c r="CQ83" i="63"/>
  <c r="GD83" i="63"/>
  <c r="CL83" i="63"/>
  <c r="FY83" i="63"/>
  <c r="CV83" i="63"/>
  <c r="GI83" i="63"/>
  <c r="CU87" i="63"/>
  <c r="GH87" i="63"/>
  <c r="CP87" i="63"/>
  <c r="GC87" i="63"/>
  <c r="CK87" i="63"/>
  <c r="EX87" i="63"/>
  <c r="CQ87" i="63"/>
  <c r="GD87" i="63"/>
  <c r="CL87" i="63"/>
  <c r="FY87" i="63"/>
  <c r="CV87" i="63"/>
  <c r="GI87" i="63"/>
  <c r="CU96" i="63"/>
  <c r="GH96" i="63"/>
  <c r="CP96" i="63"/>
  <c r="GC96" i="63"/>
  <c r="CK96" i="63"/>
  <c r="FX96" i="63"/>
  <c r="CQ96" i="63"/>
  <c r="FQ96" i="63"/>
  <c r="CL96" i="63"/>
  <c r="FY96" i="63"/>
  <c r="CV96" i="63"/>
  <c r="GI96" i="63"/>
  <c r="CU100" i="63"/>
  <c r="GH100" i="63"/>
  <c r="CP100" i="63"/>
  <c r="GC100" i="63"/>
  <c r="CK100" i="63"/>
  <c r="FX100" i="63"/>
  <c r="CQ100" i="63"/>
  <c r="GD100" i="63"/>
  <c r="CL100" i="63"/>
  <c r="EY100" i="63"/>
  <c r="CV100" i="63"/>
  <c r="GI100" i="63"/>
  <c r="CU104" i="63"/>
  <c r="GH104" i="63"/>
  <c r="CP104" i="63"/>
  <c r="GC104" i="63"/>
  <c r="CK104" i="63"/>
  <c r="FX104" i="63"/>
  <c r="CQ104" i="63"/>
  <c r="GD104" i="63"/>
  <c r="CL104" i="63"/>
  <c r="FY104" i="63"/>
  <c r="CV104" i="63"/>
  <c r="GI104" i="63"/>
  <c r="CU108" i="63"/>
  <c r="GH108" i="63"/>
  <c r="CP108" i="63"/>
  <c r="GC108" i="63"/>
  <c r="CK108" i="63"/>
  <c r="FX108" i="63"/>
  <c r="CQ108" i="63"/>
  <c r="GD108" i="63"/>
  <c r="CL108" i="63"/>
  <c r="FY108" i="63"/>
  <c r="CV108" i="63"/>
  <c r="GI108" i="63"/>
  <c r="CU112" i="63"/>
  <c r="GH112" i="63"/>
  <c r="CP112" i="63"/>
  <c r="GC112" i="63"/>
  <c r="CK112" i="63"/>
  <c r="EX112" i="63"/>
  <c r="CQ112" i="63"/>
  <c r="GD112" i="63"/>
  <c r="CL112" i="63"/>
  <c r="FY112" i="63"/>
  <c r="CV112" i="63"/>
  <c r="GI112" i="63"/>
  <c r="CU116" i="63"/>
  <c r="FH116" i="63"/>
  <c r="CP116" i="63"/>
  <c r="GC116" i="63"/>
  <c r="CK116" i="63"/>
  <c r="FX116" i="63"/>
  <c r="CQ116" i="63"/>
  <c r="GD116" i="63"/>
  <c r="CL116" i="63"/>
  <c r="FY116" i="63"/>
  <c r="CV116" i="63"/>
  <c r="GI116" i="63"/>
  <c r="CU125" i="63"/>
  <c r="GH125" i="63"/>
  <c r="CP125" i="63"/>
  <c r="GC125" i="63"/>
  <c r="CK125" i="63"/>
  <c r="EX125" i="63"/>
  <c r="CQ125" i="63"/>
  <c r="GD125" i="63"/>
  <c r="CL125" i="63"/>
  <c r="FY125" i="63"/>
  <c r="CV125" i="63"/>
  <c r="GI125" i="63"/>
  <c r="CU129" i="63"/>
  <c r="GH129" i="63"/>
  <c r="CP129" i="63"/>
  <c r="GC129" i="63"/>
  <c r="CK129" i="63"/>
  <c r="FX129" i="63"/>
  <c r="CQ129" i="63"/>
  <c r="GD129" i="63"/>
  <c r="CL129" i="63"/>
  <c r="FY129" i="63"/>
  <c r="CV129" i="63"/>
  <c r="GI129" i="63"/>
  <c r="CU133" i="63"/>
  <c r="FU133" i="63"/>
  <c r="CP133" i="63"/>
  <c r="GC133" i="63"/>
  <c r="CK133" i="63"/>
  <c r="FX133" i="63"/>
  <c r="CQ133" i="63"/>
  <c r="GD133" i="63"/>
  <c r="CL133" i="63"/>
  <c r="FY133" i="63"/>
  <c r="CV133" i="63"/>
  <c r="GI133" i="63"/>
  <c r="CU137" i="63"/>
  <c r="FU137" i="63"/>
  <c r="CP137" i="63"/>
  <c r="GC137" i="63"/>
  <c r="CK137" i="63"/>
  <c r="FX137" i="63"/>
  <c r="CQ137" i="63"/>
  <c r="GD137" i="63"/>
  <c r="CL137" i="63"/>
  <c r="FY137" i="63"/>
  <c r="CV137" i="63"/>
  <c r="GI137" i="63"/>
  <c r="CU141" i="63"/>
  <c r="GH141" i="63"/>
  <c r="CP141" i="63"/>
  <c r="GC141" i="63"/>
  <c r="CK141" i="63"/>
  <c r="FX141" i="63"/>
  <c r="CQ141" i="63"/>
  <c r="GD141" i="63"/>
  <c r="CL141" i="63"/>
  <c r="FY141" i="63"/>
  <c r="CV141" i="63"/>
  <c r="GI141" i="63"/>
  <c r="CU145" i="63"/>
  <c r="GH145" i="63"/>
  <c r="CP145" i="63"/>
  <c r="GC145" i="63"/>
  <c r="CK145" i="63"/>
  <c r="EX145" i="63"/>
  <c r="CQ145" i="63"/>
  <c r="GD145" i="63"/>
  <c r="CL145" i="63"/>
  <c r="FY145" i="63"/>
  <c r="CV145" i="63"/>
  <c r="GI145" i="63"/>
  <c r="CU149" i="63"/>
  <c r="FU149" i="63"/>
  <c r="CP149" i="63"/>
  <c r="GC149" i="63"/>
  <c r="CK149" i="63"/>
  <c r="FX149" i="63"/>
  <c r="CQ149" i="63"/>
  <c r="GD149" i="63"/>
  <c r="CL149" i="63"/>
  <c r="FY149" i="63"/>
  <c r="CV149" i="63"/>
  <c r="GI149" i="63"/>
  <c r="CU154" i="63"/>
  <c r="GH154" i="63"/>
  <c r="CP154" i="63"/>
  <c r="GC154" i="63"/>
  <c r="CK154" i="63"/>
  <c r="FX154" i="63"/>
  <c r="CQ154" i="63"/>
  <c r="GD154" i="63"/>
  <c r="CL154" i="63"/>
  <c r="FY154" i="63"/>
  <c r="CV154" i="63"/>
  <c r="GI154" i="63"/>
  <c r="CU158" i="63"/>
  <c r="GH158" i="63"/>
  <c r="CP158" i="63"/>
  <c r="GC158" i="63"/>
  <c r="CK158" i="63"/>
  <c r="FX158" i="63"/>
  <c r="CQ158" i="63"/>
  <c r="GD158" i="63"/>
  <c r="CL158" i="63"/>
  <c r="FY158" i="63"/>
  <c r="CV158" i="63"/>
  <c r="GI158" i="63"/>
  <c r="CU162" i="63"/>
  <c r="GH162" i="63"/>
  <c r="CP162" i="63"/>
  <c r="GC162" i="63"/>
  <c r="CK162" i="63"/>
  <c r="FX162" i="63"/>
  <c r="CQ162" i="63"/>
  <c r="GD162" i="63"/>
  <c r="CL162" i="63"/>
  <c r="FY162" i="63"/>
  <c r="CV162" i="63"/>
  <c r="GI162" i="63"/>
  <c r="CU166" i="63"/>
  <c r="GH166" i="63"/>
  <c r="CP166" i="63"/>
  <c r="GC166" i="63"/>
  <c r="CK166" i="63"/>
  <c r="FX166" i="63"/>
  <c r="CQ166" i="63"/>
  <c r="GD166" i="63"/>
  <c r="CL166" i="63"/>
  <c r="FY166" i="63"/>
  <c r="CV166" i="63"/>
  <c r="GI166" i="63"/>
  <c r="CU170" i="63"/>
  <c r="GH170" i="63"/>
  <c r="CP170" i="63"/>
  <c r="FC170" i="63"/>
  <c r="CK170" i="63"/>
  <c r="FX170" i="63"/>
  <c r="CQ170" i="63"/>
  <c r="GD170" i="63"/>
  <c r="CL170" i="63"/>
  <c r="FY170" i="63"/>
  <c r="CV170" i="63"/>
  <c r="GI170" i="63"/>
  <c r="CU174" i="63"/>
  <c r="GH174" i="63"/>
  <c r="CP174" i="63"/>
  <c r="GC174" i="63"/>
  <c r="CK174" i="63"/>
  <c r="FX174" i="63"/>
  <c r="CQ174" i="63"/>
  <c r="GD174" i="63"/>
  <c r="CL174" i="63"/>
  <c r="FY174" i="63"/>
  <c r="CV174" i="63"/>
  <c r="GI174" i="63"/>
  <c r="CU178" i="63"/>
  <c r="GH178" i="63"/>
  <c r="CP178" i="63"/>
  <c r="FC178" i="63"/>
  <c r="CK178" i="63"/>
  <c r="FX178" i="63"/>
  <c r="CQ178" i="63"/>
  <c r="GD178" i="63"/>
  <c r="CL178" i="63"/>
  <c r="FY178" i="63"/>
  <c r="CV178" i="63"/>
  <c r="GI178" i="63"/>
  <c r="X102" i="106"/>
  <c r="C33" i="124"/>
  <c r="GH97" i="126"/>
  <c r="FT93" i="126"/>
  <c r="GH93" i="126"/>
  <c r="FT87" i="126"/>
  <c r="GH87" i="126"/>
  <c r="GB73" i="126"/>
  <c r="H98" i="126"/>
  <c r="GB74" i="126"/>
  <c r="GB76" i="126"/>
  <c r="FT76" i="126"/>
  <c r="GH76" i="126"/>
  <c r="GB78" i="126"/>
  <c r="FT81" i="126"/>
  <c r="GH81" i="126"/>
  <c r="FT83" i="126"/>
  <c r="GH83" i="126"/>
  <c r="GD88" i="126"/>
  <c r="FT88" i="126"/>
  <c r="GH88" i="126"/>
  <c r="GC83" i="126"/>
  <c r="GD79" i="126"/>
  <c r="GD77" i="126"/>
  <c r="FT72" i="126"/>
  <c r="GH72" i="126"/>
  <c r="GC71" i="126"/>
  <c r="BT98" i="126"/>
  <c r="BZ96" i="126"/>
  <c r="GG96" i="126"/>
  <c r="FR96" i="126"/>
  <c r="ER98" i="126"/>
  <c r="FX96" i="126"/>
  <c r="FX98" i="126"/>
  <c r="CB66" i="126"/>
  <c r="CC66" i="126"/>
  <c r="CE66" i="126"/>
  <c r="M31" i="119"/>
  <c r="K64" i="119"/>
  <c r="J64" i="119"/>
  <c r="J97" i="119" s="1"/>
  <c r="G29" i="119"/>
  <c r="E62" i="119"/>
  <c r="V62" i="119" s="1"/>
  <c r="D62" i="119"/>
  <c r="N61" i="119"/>
  <c r="H61" i="119"/>
  <c r="E61" i="119"/>
  <c r="V61" i="119" s="1"/>
  <c r="P60" i="119"/>
  <c r="O60" i="119"/>
  <c r="K27" i="119"/>
  <c r="H60" i="119"/>
  <c r="F27" i="119"/>
  <c r="W27" i="119" s="1"/>
  <c r="P25" i="66" s="1"/>
  <c r="E27" i="119"/>
  <c r="V27" i="119" s="1"/>
  <c r="Q58" i="119"/>
  <c r="Q91" i="119" s="1"/>
  <c r="J57" i="119"/>
  <c r="J90" i="119" s="1"/>
  <c r="O23" i="119"/>
  <c r="F56" i="119"/>
  <c r="D23" i="119"/>
  <c r="U23" i="119" s="1"/>
  <c r="C23" i="119"/>
  <c r="T23" i="119" s="1"/>
  <c r="K22" i="119"/>
  <c r="O20" i="119"/>
  <c r="G52" i="119"/>
  <c r="F52" i="119"/>
  <c r="K18" i="119"/>
  <c r="B51" i="119"/>
  <c r="D49" i="119"/>
  <c r="U49" i="119" s="1"/>
  <c r="P48" i="119"/>
  <c r="P13" i="119"/>
  <c r="I46" i="119"/>
  <c r="CM11" i="63"/>
  <c r="FZ11" i="63"/>
  <c r="CR7" i="63"/>
  <c r="CR30" i="63"/>
  <c r="GE30" i="63"/>
  <c r="CS7" i="63"/>
  <c r="FS7" i="63"/>
  <c r="CL3" i="63"/>
  <c r="FY3" i="63"/>
  <c r="FT95" i="126"/>
  <c r="GH95" i="126"/>
  <c r="GB91" i="126"/>
  <c r="FN96" i="126"/>
  <c r="CV98" i="126"/>
  <c r="DB98" i="126"/>
  <c r="DB96" i="126"/>
  <c r="FA98" i="126"/>
  <c r="FF98" i="126"/>
  <c r="GG69" i="126"/>
  <c r="GG71" i="126"/>
  <c r="FV96" i="126"/>
  <c r="FV98" i="126"/>
  <c r="CD66" i="126"/>
  <c r="H31" i="119"/>
  <c r="G31" i="119"/>
  <c r="Q63" i="119"/>
  <c r="Q96" i="119" s="1"/>
  <c r="I30" i="119"/>
  <c r="G63" i="119"/>
  <c r="M62" i="119"/>
  <c r="L62" i="119"/>
  <c r="B29" i="119"/>
  <c r="S29" i="119" s="1"/>
  <c r="Q28" i="119"/>
  <c r="Q94" i="119" s="1"/>
  <c r="O61" i="119"/>
  <c r="M61" i="119"/>
  <c r="B28" i="119"/>
  <c r="S28" i="119" s="1"/>
  <c r="Q27" i="119"/>
  <c r="D26" i="119"/>
  <c r="U26" i="119" s="1"/>
  <c r="C26" i="119"/>
  <c r="T26" i="119" s="1"/>
  <c r="Q57" i="119"/>
  <c r="K56" i="119"/>
  <c r="J56" i="119"/>
  <c r="G55" i="119"/>
  <c r="F55" i="119"/>
  <c r="K21" i="119"/>
  <c r="B54" i="119"/>
  <c r="S54" i="119" s="1"/>
  <c r="O19" i="119"/>
  <c r="G51" i="119"/>
  <c r="F17" i="119"/>
  <c r="Q49" i="119"/>
  <c r="N16" i="119"/>
  <c r="M16" i="119"/>
  <c r="C48" i="119"/>
  <c r="G14" i="119"/>
  <c r="CP33" i="63"/>
  <c r="GC33" i="63"/>
  <c r="CS27" i="63"/>
  <c r="GF27" i="63"/>
  <c r="CT27" i="63"/>
  <c r="GG27" i="63"/>
  <c r="CN23" i="63"/>
  <c r="GA23" i="63"/>
  <c r="CV19" i="63"/>
  <c r="GI19" i="63"/>
  <c r="CL19" i="63"/>
  <c r="FY19" i="63"/>
  <c r="CQ15" i="63"/>
  <c r="GD15" i="63"/>
  <c r="CV11" i="63"/>
  <c r="GI11" i="63"/>
  <c r="CL11" i="63"/>
  <c r="FY11" i="63"/>
  <c r="CQ7" i="63"/>
  <c r="GD7" i="63"/>
  <c r="CN3" i="63"/>
  <c r="GA3" i="63"/>
  <c r="CM3" i="63"/>
  <c r="FZ3" i="63"/>
  <c r="BT79" i="66"/>
  <c r="GH92" i="126"/>
  <c r="GH75" i="126"/>
  <c r="GB84" i="126"/>
  <c r="FT84" i="126"/>
  <c r="FQ96" i="126"/>
  <c r="BT86" i="66"/>
  <c r="EC32" i="66"/>
  <c r="BT87" i="66" s="1"/>
  <c r="CF66" i="126"/>
  <c r="O31" i="119"/>
  <c r="N63" i="119"/>
  <c r="N96" i="119" s="1"/>
  <c r="D30" i="119"/>
  <c r="U30" i="119" s="1"/>
  <c r="C30" i="119"/>
  <c r="T30" i="119" s="1"/>
  <c r="J29" i="119"/>
  <c r="I29" i="119"/>
  <c r="J28" i="119"/>
  <c r="I28" i="119"/>
  <c r="N27" i="119"/>
  <c r="N93" i="119" s="1"/>
  <c r="M27" i="119"/>
  <c r="K59" i="119"/>
  <c r="J59" i="119"/>
  <c r="F58" i="119"/>
  <c r="D25" i="119"/>
  <c r="U25" i="119" s="1"/>
  <c r="C25" i="119"/>
  <c r="T25" i="119" s="1"/>
  <c r="Q56" i="119"/>
  <c r="O22" i="119"/>
  <c r="G54" i="119"/>
  <c r="F54" i="119"/>
  <c r="W54" i="119" s="1"/>
  <c r="K20" i="119"/>
  <c r="B53" i="119"/>
  <c r="S53" i="119" s="1"/>
  <c r="O18" i="119"/>
  <c r="B50" i="119"/>
  <c r="S50" i="119" s="1"/>
  <c r="L15" i="119"/>
  <c r="H48" i="119"/>
  <c r="G48" i="119"/>
  <c r="P47" i="119"/>
  <c r="L14" i="119"/>
  <c r="K14" i="119"/>
  <c r="C47" i="119"/>
  <c r="T47" i="119" s="1"/>
  <c r="N46" i="119"/>
  <c r="M46" i="119"/>
  <c r="CV22" i="63"/>
  <c r="GI22" i="63"/>
  <c r="CU22" i="63"/>
  <c r="GH22" i="63"/>
  <c r="CN18" i="63"/>
  <c r="GA18" i="63"/>
  <c r="CT18" i="63"/>
  <c r="GG18" i="63"/>
  <c r="CN10" i="63"/>
  <c r="FA10" i="63"/>
  <c r="CT10" i="63"/>
  <c r="GG10" i="63"/>
  <c r="AG28" i="65"/>
  <c r="AI17" i="65"/>
  <c r="AI9" i="65"/>
  <c r="AG14" i="65"/>
  <c r="DW32" i="66"/>
  <c r="BT84" i="66" s="1"/>
  <c r="L31" i="119"/>
  <c r="K31" i="119"/>
  <c r="X31" i="119" s="1"/>
  <c r="S30" i="66" s="1"/>
  <c r="G64" i="119"/>
  <c r="D31" i="119"/>
  <c r="U31" i="119" s="1"/>
  <c r="C31" i="119"/>
  <c r="T31" i="119" s="1"/>
  <c r="O30" i="119"/>
  <c r="K63" i="119"/>
  <c r="H30" i="119"/>
  <c r="G30" i="119"/>
  <c r="C63" i="119"/>
  <c r="T63" i="119" s="1"/>
  <c r="N29" i="119"/>
  <c r="N95" i="119" s="1"/>
  <c r="M29" i="119"/>
  <c r="I62" i="119"/>
  <c r="F29" i="119"/>
  <c r="W29" i="119" s="1"/>
  <c r="P29" i="66" s="1"/>
  <c r="E29" i="119"/>
  <c r="V29" i="119" s="1"/>
  <c r="D61" i="119"/>
  <c r="U61" i="119"/>
  <c r="M60" i="119"/>
  <c r="J27" i="119"/>
  <c r="I27" i="119"/>
  <c r="N59" i="119"/>
  <c r="H26" i="119"/>
  <c r="G26" i="119"/>
  <c r="N58" i="119"/>
  <c r="H25" i="119"/>
  <c r="G25" i="119"/>
  <c r="N57" i="119"/>
  <c r="H24" i="119"/>
  <c r="G24" i="119"/>
  <c r="N56" i="119"/>
  <c r="H23" i="119"/>
  <c r="G23" i="119"/>
  <c r="K55" i="119"/>
  <c r="J55" i="119"/>
  <c r="C22" i="119"/>
  <c r="T22" i="119" s="1"/>
  <c r="Q54" i="119"/>
  <c r="K54" i="119"/>
  <c r="J54" i="119"/>
  <c r="D21" i="119"/>
  <c r="U21" i="119" s="1"/>
  <c r="C21" i="119"/>
  <c r="T21" i="119" s="1"/>
  <c r="Q53" i="119"/>
  <c r="K53" i="119"/>
  <c r="J53" i="119"/>
  <c r="D20" i="119"/>
  <c r="C20" i="119"/>
  <c r="T20" i="119" s="1"/>
  <c r="Q52" i="119"/>
  <c r="K52" i="119"/>
  <c r="D19" i="119"/>
  <c r="U19" i="119"/>
  <c r="C19" i="119"/>
  <c r="T19" i="119" s="1"/>
  <c r="Q51" i="119"/>
  <c r="Q84" i="119" s="1"/>
  <c r="J51" i="119"/>
  <c r="D18" i="119"/>
  <c r="U18" i="119" s="1"/>
  <c r="C18" i="119"/>
  <c r="T18" i="119" s="1"/>
  <c r="Q50" i="119"/>
  <c r="O50" i="119"/>
  <c r="N17" i="119"/>
  <c r="N83" i="119" s="1"/>
  <c r="F50" i="119"/>
  <c r="E50" i="119"/>
  <c r="V50" i="119"/>
  <c r="P16" i="119"/>
  <c r="P82" i="119" s="1"/>
  <c r="I49" i="119"/>
  <c r="H49" i="119"/>
  <c r="B16" i="119"/>
  <c r="S16" i="119" s="1"/>
  <c r="Q15" i="119"/>
  <c r="Q81" i="119" s="1"/>
  <c r="L48" i="119"/>
  <c r="K48" i="119"/>
  <c r="E15" i="119"/>
  <c r="V15" i="119" s="1"/>
  <c r="D15" i="119"/>
  <c r="U15" i="119" s="1"/>
  <c r="O14" i="119"/>
  <c r="O80" i="119" s="1"/>
  <c r="G47" i="119"/>
  <c r="K13" i="119"/>
  <c r="J13" i="119"/>
  <c r="AD24" i="65"/>
  <c r="N64" i="119"/>
  <c r="F64" i="119"/>
  <c r="O62" i="119"/>
  <c r="H62" i="119"/>
  <c r="P28" i="119"/>
  <c r="N28" i="119"/>
  <c r="N94" i="119" s="1"/>
  <c r="M28" i="119"/>
  <c r="I61" i="119"/>
  <c r="F28" i="119"/>
  <c r="W28" i="119" s="1"/>
  <c r="P27" i="66" s="1"/>
  <c r="E28" i="119"/>
  <c r="V28" i="119" s="1"/>
  <c r="L60" i="119"/>
  <c r="L93" i="119" s="1"/>
  <c r="E60" i="119"/>
  <c r="D60" i="119"/>
  <c r="U60" i="119" s="1"/>
  <c r="L26" i="119"/>
  <c r="L92" i="119" s="1"/>
  <c r="K26" i="119"/>
  <c r="C59" i="119"/>
  <c r="T59" i="119"/>
  <c r="B59" i="119"/>
  <c r="S59" i="119" s="1"/>
  <c r="L25" i="119"/>
  <c r="L91" i="119" s="1"/>
  <c r="K25" i="119"/>
  <c r="C58" i="119"/>
  <c r="T58" i="119" s="1"/>
  <c r="B58" i="119"/>
  <c r="L24" i="119"/>
  <c r="K24" i="119"/>
  <c r="C57" i="119"/>
  <c r="T57" i="119" s="1"/>
  <c r="B57" i="119"/>
  <c r="S57" i="119" s="1"/>
  <c r="L23" i="119"/>
  <c r="K23" i="119"/>
  <c r="C56" i="119"/>
  <c r="T56" i="119" s="1"/>
  <c r="B56" i="119"/>
  <c r="S56" i="119"/>
  <c r="N55" i="119"/>
  <c r="H22" i="119"/>
  <c r="G22" i="119"/>
  <c r="H21" i="119"/>
  <c r="G21" i="119"/>
  <c r="N53" i="119"/>
  <c r="H20" i="119"/>
  <c r="G20" i="119"/>
  <c r="N52" i="119"/>
  <c r="N85" i="119" s="1"/>
  <c r="H19" i="119"/>
  <c r="G19" i="119"/>
  <c r="N51" i="119"/>
  <c r="H18" i="119"/>
  <c r="G18" i="119"/>
  <c r="P17" i="119"/>
  <c r="J50" i="119"/>
  <c r="I50" i="119"/>
  <c r="C17" i="119"/>
  <c r="T17" i="119" s="1"/>
  <c r="B17" i="119"/>
  <c r="S17" i="119" s="1"/>
  <c r="M49" i="119"/>
  <c r="L49" i="119"/>
  <c r="L82" i="119" s="1"/>
  <c r="F16" i="119"/>
  <c r="E16" i="119"/>
  <c r="V16" i="119" s="1"/>
  <c r="O15" i="119"/>
  <c r="I15" i="119"/>
  <c r="H15" i="119"/>
  <c r="K47" i="119"/>
  <c r="D14" i="119"/>
  <c r="U14" i="119" s="1"/>
  <c r="C14" i="119"/>
  <c r="T14" i="119" s="1"/>
  <c r="Q46" i="119"/>
  <c r="O46" i="119"/>
  <c r="N13" i="119"/>
  <c r="B38" i="119"/>
  <c r="X67" i="116"/>
  <c r="W67" i="116"/>
  <c r="C5" i="119"/>
  <c r="T5" i="119" s="1"/>
  <c r="D38" i="119"/>
  <c r="W67" i="117"/>
  <c r="E5" i="119"/>
  <c r="V5" i="119" s="1"/>
  <c r="X67" i="115"/>
  <c r="W14" i="116"/>
  <c r="AP152" i="73"/>
  <c r="L577" i="73" s="1"/>
  <c r="W6" i="116"/>
  <c r="AP144" i="73"/>
  <c r="W67" i="115"/>
  <c r="W18" i="116"/>
  <c r="AP156" i="73"/>
  <c r="W10" i="116"/>
  <c r="AP148" i="73"/>
  <c r="X59" i="114"/>
  <c r="X57" i="114"/>
  <c r="X52" i="114"/>
  <c r="X43" i="114"/>
  <c r="X41" i="114"/>
  <c r="X53" i="114"/>
  <c r="X48" i="114"/>
  <c r="X63" i="114"/>
  <c r="X60" i="114"/>
  <c r="X49" i="114"/>
  <c r="X44" i="114"/>
  <c r="J10" i="124"/>
  <c r="X56" i="114"/>
  <c r="X47" i="114"/>
  <c r="X45" i="114"/>
  <c r="X40" i="114"/>
  <c r="W67" i="114"/>
  <c r="AN172" i="73" s="1"/>
  <c r="X29" i="113"/>
  <c r="J26" i="124"/>
  <c r="X20" i="113"/>
  <c r="J4" i="124"/>
  <c r="N23" i="123"/>
  <c r="X31" i="113"/>
  <c r="X23" i="113"/>
  <c r="J14" i="124"/>
  <c r="X45" i="113"/>
  <c r="X27" i="113"/>
  <c r="J22" i="124"/>
  <c r="X18" i="113"/>
  <c r="N30" i="123"/>
  <c r="N18" i="123"/>
  <c r="EV180" i="63"/>
  <c r="EV87" i="63"/>
  <c r="EV79" i="63"/>
  <c r="EV71" i="63"/>
  <c r="EV63" i="63"/>
  <c r="X25" i="113"/>
  <c r="X19" i="113"/>
  <c r="X15" i="113"/>
  <c r="N27" i="123"/>
  <c r="V67" i="112"/>
  <c r="CK31" i="126"/>
  <c r="EV54" i="63"/>
  <c r="X8" i="113"/>
  <c r="N22" i="123"/>
  <c r="N6" i="123"/>
  <c r="T67" i="112"/>
  <c r="X29" i="112"/>
  <c r="X22" i="112"/>
  <c r="X16" i="112"/>
  <c r="X13" i="112"/>
  <c r="X6" i="112"/>
  <c r="X44" i="112"/>
  <c r="EV88" i="63"/>
  <c r="EV84" i="63"/>
  <c r="EV80" i="63"/>
  <c r="EV76" i="63"/>
  <c r="EV72" i="63"/>
  <c r="EV68" i="63"/>
  <c r="EV64" i="63"/>
  <c r="EV55" i="63"/>
  <c r="EV47" i="63"/>
  <c r="EV39" i="63"/>
  <c r="EV139" i="63"/>
  <c r="EV123" i="63"/>
  <c r="W51" i="113"/>
  <c r="W29" i="113"/>
  <c r="W14" i="113"/>
  <c r="W62" i="112"/>
  <c r="X26" i="112"/>
  <c r="X20" i="112"/>
  <c r="X17" i="112"/>
  <c r="X10" i="112"/>
  <c r="X63" i="112"/>
  <c r="X58" i="112"/>
  <c r="X40" i="112"/>
  <c r="EV30" i="63"/>
  <c r="B50" i="62"/>
  <c r="F50" i="62"/>
  <c r="E50" i="62"/>
  <c r="EV58" i="63"/>
  <c r="EV50" i="63"/>
  <c r="EV42" i="63"/>
  <c r="EV119" i="63"/>
  <c r="EV115" i="63"/>
  <c r="EV111" i="63"/>
  <c r="EV107" i="63"/>
  <c r="EV103" i="63"/>
  <c r="EV99" i="63"/>
  <c r="EV95" i="63"/>
  <c r="EV142" i="63"/>
  <c r="EV126" i="63"/>
  <c r="O102" i="109"/>
  <c r="O102" i="110"/>
  <c r="O9" i="118"/>
  <c r="O5" i="110"/>
  <c r="J5" i="119"/>
  <c r="I5" i="119"/>
  <c r="X17" i="113"/>
  <c r="DA15" i="126" s="1"/>
  <c r="W55" i="113"/>
  <c r="W27" i="113"/>
  <c r="W10" i="113"/>
  <c r="U67" i="112"/>
  <c r="CJ31" i="126"/>
  <c r="W46" i="112"/>
  <c r="X30" i="112"/>
  <c r="X24" i="112"/>
  <c r="X21" i="112"/>
  <c r="X14" i="112"/>
  <c r="X8" i="112"/>
  <c r="X64" i="112"/>
  <c r="X50" i="112"/>
  <c r="X47" i="112"/>
  <c r="EV89" i="63"/>
  <c r="EV85" i="63"/>
  <c r="EV81" i="63"/>
  <c r="EV77" i="63"/>
  <c r="EV73" i="63"/>
  <c r="EV69" i="63"/>
  <c r="EV65" i="63"/>
  <c r="T55" i="62"/>
  <c r="EV59" i="63"/>
  <c r="EV51" i="63"/>
  <c r="EV43" i="63"/>
  <c r="T84" i="62"/>
  <c r="V84" i="62"/>
  <c r="V90" i="62"/>
  <c r="Z84" i="62"/>
  <c r="Z90" i="62"/>
  <c r="U84" i="62"/>
  <c r="U90" i="62"/>
  <c r="Y84" i="62"/>
  <c r="Y90" i="62"/>
  <c r="X84" i="62"/>
  <c r="EV116" i="63"/>
  <c r="EV112" i="63"/>
  <c r="EV108" i="63"/>
  <c r="EV104" i="63"/>
  <c r="EV100" i="63"/>
  <c r="EV96" i="63"/>
  <c r="EV147" i="63"/>
  <c r="EV131" i="63"/>
  <c r="X11" i="113"/>
  <c r="W59" i="113"/>
  <c r="W43" i="113"/>
  <c r="N26" i="123"/>
  <c r="W20" i="113"/>
  <c r="N10" i="123"/>
  <c r="W6" i="113"/>
  <c r="CZ4" i="126" s="1"/>
  <c r="W66" i="112"/>
  <c r="X28" i="112"/>
  <c r="X25" i="112"/>
  <c r="X18" i="112"/>
  <c r="X12" i="112"/>
  <c r="X9" i="112"/>
  <c r="X60" i="112"/>
  <c r="X57" i="112"/>
  <c r="X54" i="112"/>
  <c r="X42" i="112"/>
  <c r="N6" i="62"/>
  <c r="G15" i="62"/>
  <c r="H50" i="62"/>
  <c r="D50" i="62"/>
  <c r="EV57" i="63"/>
  <c r="EV49" i="63"/>
  <c r="EV41" i="63"/>
  <c r="EV38" i="63"/>
  <c r="EV134" i="63"/>
  <c r="R43" i="64"/>
  <c r="G20" i="118"/>
  <c r="B143" i="62"/>
  <c r="W54" i="112"/>
  <c r="X31" i="112"/>
  <c r="X27" i="112"/>
  <c r="X23" i="112"/>
  <c r="X19" i="112"/>
  <c r="X15" i="112"/>
  <c r="X11" i="112"/>
  <c r="X7" i="112"/>
  <c r="X62" i="112"/>
  <c r="X46" i="112"/>
  <c r="C49" i="62"/>
  <c r="D49" i="62"/>
  <c r="E49" i="62"/>
  <c r="F49" i="62"/>
  <c r="G49" i="62"/>
  <c r="G55" i="62"/>
  <c r="H49" i="62"/>
  <c r="EV56" i="63"/>
  <c r="EV52" i="63"/>
  <c r="EV48" i="63"/>
  <c r="EV44" i="63"/>
  <c r="EV40" i="63"/>
  <c r="F85" i="62"/>
  <c r="E85" i="62"/>
  <c r="T86" i="62"/>
  <c r="X86" i="62"/>
  <c r="W86" i="62"/>
  <c r="W90" i="62"/>
  <c r="EV117" i="63"/>
  <c r="EV113" i="63"/>
  <c r="EV109" i="63"/>
  <c r="EV105" i="63"/>
  <c r="EV101" i="63"/>
  <c r="EV97" i="63"/>
  <c r="EV93" i="63"/>
  <c r="C120" i="62"/>
  <c r="C125" i="62"/>
  <c r="D120" i="62"/>
  <c r="D125" i="62"/>
  <c r="E120" i="62"/>
  <c r="E125" i="62"/>
  <c r="F120" i="62"/>
  <c r="F125" i="62"/>
  <c r="G120" i="62"/>
  <c r="G125" i="62"/>
  <c r="H120" i="62"/>
  <c r="H125" i="62"/>
  <c r="EV143" i="63"/>
  <c r="EV135" i="63"/>
  <c r="EV127" i="63"/>
  <c r="C154" i="62"/>
  <c r="C160" i="62"/>
  <c r="D154" i="62"/>
  <c r="E154" i="62"/>
  <c r="E160" i="62"/>
  <c r="F154" i="62"/>
  <c r="G154" i="62"/>
  <c r="G160" i="62"/>
  <c r="H154" i="62"/>
  <c r="B154" i="62"/>
  <c r="O102" i="108"/>
  <c r="O7" i="118"/>
  <c r="O5" i="108"/>
  <c r="L5" i="119"/>
  <c r="U50" i="62"/>
  <c r="V50" i="62"/>
  <c r="V55" i="62"/>
  <c r="W50" i="62"/>
  <c r="W55" i="62"/>
  <c r="X50" i="62"/>
  <c r="X55" i="62"/>
  <c r="Y50" i="62"/>
  <c r="Y55" i="62"/>
  <c r="Z50" i="62"/>
  <c r="Z55" i="62"/>
  <c r="G85" i="62"/>
  <c r="EV118" i="63"/>
  <c r="EV114" i="63"/>
  <c r="EV110" i="63"/>
  <c r="EV106" i="63"/>
  <c r="EV102" i="63"/>
  <c r="EV98" i="63"/>
  <c r="EV94" i="63"/>
  <c r="EV149" i="63"/>
  <c r="EV141" i="63"/>
  <c r="EV133" i="63"/>
  <c r="EV125" i="63"/>
  <c r="B156" i="62"/>
  <c r="D156" i="62"/>
  <c r="F156" i="62"/>
  <c r="H156" i="62"/>
  <c r="R11" i="118"/>
  <c r="O102" i="107"/>
  <c r="O6" i="118"/>
  <c r="EV148" i="63"/>
  <c r="EV144" i="63"/>
  <c r="EV140" i="63"/>
  <c r="EV136" i="63"/>
  <c r="EV132" i="63"/>
  <c r="EV128" i="63"/>
  <c r="EV124" i="63"/>
  <c r="G25" i="118"/>
  <c r="G143" i="62"/>
  <c r="G3" i="62"/>
  <c r="P5" i="119"/>
  <c r="M5" i="119"/>
  <c r="E84" i="62"/>
  <c r="B86" i="62"/>
  <c r="C86" i="62"/>
  <c r="C90" i="62"/>
  <c r="D86" i="62"/>
  <c r="D90" i="62"/>
  <c r="E86" i="62"/>
  <c r="F86" i="62"/>
  <c r="G86" i="62"/>
  <c r="H86" i="62"/>
  <c r="H90" i="62"/>
  <c r="Q5" i="119"/>
  <c r="H5" i="119"/>
  <c r="AF24" i="65"/>
  <c r="I19" i="121"/>
  <c r="H14" i="127" s="1"/>
  <c r="AH18" i="66" s="1"/>
  <c r="J16" i="122"/>
  <c r="AT31" i="66"/>
  <c r="AT32" i="66" s="1"/>
  <c r="J21" i="122"/>
  <c r="E9" i="140"/>
  <c r="E20" i="140"/>
  <c r="E7" i="140"/>
  <c r="G17" i="121"/>
  <c r="V16" i="66" s="1"/>
  <c r="W4" i="66"/>
  <c r="Z17" i="66"/>
  <c r="AC17" i="66" s="1"/>
  <c r="E5" i="140"/>
  <c r="E12" i="140"/>
  <c r="G25" i="121"/>
  <c r="I25" i="121" s="1"/>
  <c r="H16" i="127" s="1"/>
  <c r="AH24" i="66" s="1"/>
  <c r="AJ24" i="66" s="1"/>
  <c r="J27" i="122"/>
  <c r="E21" i="140"/>
  <c r="E19" i="140"/>
  <c r="J23" i="122"/>
  <c r="G25" i="127"/>
  <c r="Z4" i="66"/>
  <c r="Z7" i="66"/>
  <c r="J15" i="122"/>
  <c r="J7" i="122"/>
  <c r="J28" i="122"/>
  <c r="E22" i="140"/>
  <c r="E24" i="140"/>
  <c r="E25" i="140"/>
  <c r="E28" i="140"/>
  <c r="E18" i="140"/>
  <c r="G31" i="121"/>
  <c r="M554" i="73"/>
  <c r="N65" i="73"/>
  <c r="O65" i="73" s="1"/>
  <c r="K10" i="122"/>
  <c r="K27" i="122"/>
  <c r="K30" i="122"/>
  <c r="K9" i="122"/>
  <c r="K7" i="122"/>
  <c r="K11" i="122"/>
  <c r="K25" i="122"/>
  <c r="K12" i="122"/>
  <c r="K5" i="122"/>
  <c r="K28" i="122"/>
  <c r="K26" i="122"/>
  <c r="K29" i="122"/>
  <c r="K8" i="122"/>
  <c r="K15" i="122"/>
  <c r="K24" i="122"/>
  <c r="K22" i="122"/>
  <c r="K18" i="122"/>
  <c r="K23" i="122"/>
  <c r="K19" i="122"/>
  <c r="K6" i="122"/>
  <c r="F35" i="122"/>
  <c r="H477" i="73"/>
  <c r="J460" i="73"/>
  <c r="J299" i="73"/>
  <c r="F544" i="73"/>
  <c r="K380" i="73"/>
  <c r="C26" i="129"/>
  <c r="D12" i="129"/>
  <c r="D25" i="129"/>
  <c r="AG22" i="66"/>
  <c r="AG15" i="66"/>
  <c r="AG23" i="66"/>
  <c r="AG13" i="66"/>
  <c r="AG6" i="66"/>
  <c r="D17" i="129"/>
  <c r="D30" i="129"/>
  <c r="D24" i="129"/>
  <c r="AG26" i="66"/>
  <c r="AG14" i="66"/>
  <c r="AG12" i="66"/>
  <c r="AG20" i="66"/>
  <c r="AG9" i="66"/>
  <c r="AG24" i="66"/>
  <c r="D28" i="129"/>
  <c r="H6" i="128"/>
  <c r="T28" i="66"/>
  <c r="T29" i="66"/>
  <c r="T20" i="66"/>
  <c r="E34" i="122"/>
  <c r="O27" i="128"/>
  <c r="AN15" i="66"/>
  <c r="AH24" i="65"/>
  <c r="AF30" i="65"/>
  <c r="N25" i="127"/>
  <c r="AL4" i="66"/>
  <c r="T5" i="66"/>
  <c r="D677" i="73"/>
  <c r="T13" i="66"/>
  <c r="T31" i="66"/>
  <c r="BX50" i="66" s="1"/>
  <c r="T12" i="66"/>
  <c r="Q31" i="66"/>
  <c r="BX47" i="66" s="1"/>
  <c r="N12" i="66"/>
  <c r="N19" i="66"/>
  <c r="N26" i="66"/>
  <c r="N25" i="66"/>
  <c r="Q26" i="66"/>
  <c r="Q25" i="66"/>
  <c r="Q10" i="66"/>
  <c r="D6" i="129"/>
  <c r="D15" i="129"/>
  <c r="D8" i="129"/>
  <c r="D22" i="129"/>
  <c r="B31" i="129"/>
  <c r="B35" i="129"/>
  <c r="D32" i="129"/>
  <c r="AG30" i="66"/>
  <c r="AG17" i="65"/>
  <c r="AE9" i="65"/>
  <c r="AE28" i="65"/>
  <c r="AI28" i="65"/>
  <c r="AI14" i="65"/>
  <c r="AE17" i="65"/>
  <c r="AG9" i="65"/>
  <c r="K17" i="128"/>
  <c r="AP29" i="66"/>
  <c r="AQ29" i="66" s="1"/>
  <c r="D6" i="128"/>
  <c r="AN6" i="66"/>
  <c r="K27" i="128"/>
  <c r="K6" i="128"/>
  <c r="D30" i="128"/>
  <c r="O24" i="128"/>
  <c r="O19" i="128"/>
  <c r="O12" i="128"/>
  <c r="AN28" i="66"/>
  <c r="O5" i="128"/>
  <c r="K26" i="66"/>
  <c r="K14" i="66"/>
  <c r="K8" i="66"/>
  <c r="AP25" i="66"/>
  <c r="D29" i="128"/>
  <c r="AP19" i="66"/>
  <c r="AQ19" i="66" s="1"/>
  <c r="D7" i="128"/>
  <c r="AP14" i="66"/>
  <c r="AP5" i="66"/>
  <c r="AQ5" i="66" s="1"/>
  <c r="K30" i="66"/>
  <c r="K22" i="66"/>
  <c r="K16" i="66"/>
  <c r="K7" i="66"/>
  <c r="E17" i="66"/>
  <c r="H30" i="66"/>
  <c r="AI4" i="66"/>
  <c r="R21" i="127"/>
  <c r="E23" i="66"/>
  <c r="E14" i="66"/>
  <c r="E7" i="66"/>
  <c r="H18" i="66"/>
  <c r="H15" i="66"/>
  <c r="H10" i="66"/>
  <c r="H6" i="66"/>
  <c r="R11" i="127"/>
  <c r="E34" i="121"/>
  <c r="C35" i="129"/>
  <c r="AL27" i="66"/>
  <c r="AK23" i="66"/>
  <c r="E30" i="66"/>
  <c r="E26" i="66"/>
  <c r="AL29" i="66"/>
  <c r="AI19" i="66"/>
  <c r="AK14" i="66"/>
  <c r="E25" i="66"/>
  <c r="E24" i="66"/>
  <c r="AL24" i="66"/>
  <c r="AK9" i="66"/>
  <c r="AL7" i="66"/>
  <c r="N30" i="127"/>
  <c r="E8" i="66"/>
  <c r="E4" i="127"/>
  <c r="D27" i="129"/>
  <c r="D16" i="129"/>
  <c r="AL30" i="66"/>
  <c r="AM30" i="66" s="1"/>
  <c r="AK20" i="66"/>
  <c r="AL18" i="66"/>
  <c r="AL13" i="66"/>
  <c r="N27" i="127"/>
  <c r="R26" i="127"/>
  <c r="F19" i="127"/>
  <c r="M19" i="127" s="1"/>
  <c r="V20" i="66"/>
  <c r="Y20" i="66" s="1"/>
  <c r="I21" i="121"/>
  <c r="H19" i="127" s="1"/>
  <c r="F18" i="129"/>
  <c r="L18" i="129" s="1"/>
  <c r="V21" i="66"/>
  <c r="Y21" i="66" s="1"/>
  <c r="I22" i="121"/>
  <c r="M22" i="121" s="1"/>
  <c r="F32" i="129"/>
  <c r="F9" i="127"/>
  <c r="M9" i="127" s="1"/>
  <c r="F24" i="127"/>
  <c r="M24" i="127" s="1"/>
  <c r="I30" i="121"/>
  <c r="E11" i="140"/>
  <c r="G16" i="121"/>
  <c r="G8" i="121"/>
  <c r="G23" i="121"/>
  <c r="V13" i="66"/>
  <c r="Y13" i="66" s="1"/>
  <c r="CZ18" i="126"/>
  <c r="CZ12" i="126"/>
  <c r="CL17" i="126"/>
  <c r="DN28" i="126"/>
  <c r="EB6" i="126"/>
  <c r="AO146" i="73"/>
  <c r="FD19" i="126"/>
  <c r="AQ159" i="73"/>
  <c r="DN17" i="126"/>
  <c r="EB21" i="126"/>
  <c r="AO161" i="73"/>
  <c r="K586" i="73" s="1"/>
  <c r="EU90" i="63"/>
  <c r="Y88" i="109"/>
  <c r="CL14" i="126"/>
  <c r="DN27" i="126"/>
  <c r="J592" i="73"/>
  <c r="AI21" i="126"/>
  <c r="AH195" i="73"/>
  <c r="CL19" i="126"/>
  <c r="EP11" i="126"/>
  <c r="AP151" i="73"/>
  <c r="L576" i="73" s="1"/>
  <c r="FD7" i="126"/>
  <c r="AQ147" i="73"/>
  <c r="M572" i="73" s="1"/>
  <c r="FD14" i="126"/>
  <c r="AQ154" i="73"/>
  <c r="M579" i="73" s="1"/>
  <c r="AI5" i="126"/>
  <c r="AH180" i="73"/>
  <c r="D652" i="73" s="1"/>
  <c r="B196" i="73"/>
  <c r="B722" i="73" s="1"/>
  <c r="B90" i="73"/>
  <c r="B477" i="73" s="1"/>
  <c r="H196" i="73"/>
  <c r="H722" i="73" s="1"/>
  <c r="E143" i="73"/>
  <c r="E622" i="73" s="1"/>
  <c r="J16" i="73"/>
  <c r="J309" i="73" s="1"/>
  <c r="CZ8" i="126"/>
  <c r="I573" i="73"/>
  <c r="CL4" i="126"/>
  <c r="CL20" i="126"/>
  <c r="DN29" i="126"/>
  <c r="EB9" i="126"/>
  <c r="AO149" i="73"/>
  <c r="FD22" i="126"/>
  <c r="AQ162" i="73"/>
  <c r="FD9" i="126"/>
  <c r="AQ149" i="73"/>
  <c r="M574" i="73" s="1"/>
  <c r="DN25" i="126"/>
  <c r="EB23" i="126"/>
  <c r="AO163" i="73"/>
  <c r="K588" i="73" s="1"/>
  <c r="FS40" i="63"/>
  <c r="Y84" i="109"/>
  <c r="Y100" i="109"/>
  <c r="CL16" i="126"/>
  <c r="DN4" i="126"/>
  <c r="J569" i="73"/>
  <c r="F37" i="64"/>
  <c r="CL21" i="126"/>
  <c r="DN6" i="126"/>
  <c r="J571" i="73"/>
  <c r="U7" i="126"/>
  <c r="AG181" i="73"/>
  <c r="FD16" i="126"/>
  <c r="AQ156" i="73"/>
  <c r="M581" i="73"/>
  <c r="AI178" i="73"/>
  <c r="Y6" i="109"/>
  <c r="AB155" i="73"/>
  <c r="AC155" i="73" s="1"/>
  <c r="H94" i="73"/>
  <c r="H481" i="73" s="1"/>
  <c r="E196" i="73"/>
  <c r="F151" i="73"/>
  <c r="F630" i="73" s="1"/>
  <c r="H91" i="73"/>
  <c r="H478" i="73" s="1"/>
  <c r="W91" i="73"/>
  <c r="H451" i="73" s="1"/>
  <c r="C75" i="73"/>
  <c r="C462" i="73" s="1"/>
  <c r="R75" i="73"/>
  <c r="C435" i="73" s="1"/>
  <c r="Y50" i="73"/>
  <c r="J363" i="73" s="1"/>
  <c r="O8" i="118"/>
  <c r="R8" i="118"/>
  <c r="O103" i="109"/>
  <c r="CL9" i="126"/>
  <c r="CL25" i="126"/>
  <c r="DN14" i="126"/>
  <c r="EB13" i="126"/>
  <c r="AO153" i="73"/>
  <c r="Q16" i="123"/>
  <c r="AP153" i="73"/>
  <c r="L578" i="73" s="1"/>
  <c r="FD8" i="126"/>
  <c r="AQ148" i="73"/>
  <c r="M573" i="73" s="1"/>
  <c r="FD28" i="126"/>
  <c r="AQ168" i="73"/>
  <c r="CL18" i="126"/>
  <c r="CZ29" i="126"/>
  <c r="I594" i="73"/>
  <c r="DN8" i="126"/>
  <c r="J573" i="73"/>
  <c r="EB16" i="126"/>
  <c r="AO156" i="73"/>
  <c r="K581" i="73" s="1"/>
  <c r="CL3" i="126"/>
  <c r="DN21" i="126"/>
  <c r="J586" i="73"/>
  <c r="FD10" i="126"/>
  <c r="AQ150" i="73"/>
  <c r="M575" i="73" s="1"/>
  <c r="AI18" i="126"/>
  <c r="AH193" i="73"/>
  <c r="D665" i="73" s="1"/>
  <c r="E167" i="73"/>
  <c r="E646" i="73" s="1"/>
  <c r="G16" i="73"/>
  <c r="G309" i="73" s="1"/>
  <c r="F94" i="73"/>
  <c r="F481" i="73" s="1"/>
  <c r="C196" i="73"/>
  <c r="K188" i="73"/>
  <c r="K714" i="73" s="1"/>
  <c r="R163" i="73"/>
  <c r="C615" i="73" s="1"/>
  <c r="R147" i="73"/>
  <c r="C599" i="73" s="1"/>
  <c r="I62" i="73"/>
  <c r="I402" i="73" s="1"/>
  <c r="H16" i="73"/>
  <c r="H309" i="73" s="1"/>
  <c r="C8" i="73"/>
  <c r="C301" i="73" s="1"/>
  <c r="D65" i="73"/>
  <c r="D405" i="73" s="1"/>
  <c r="S65" i="73"/>
  <c r="D378" i="73" s="1"/>
  <c r="J45" i="73"/>
  <c r="J385" i="73" s="1"/>
  <c r="I41" i="73"/>
  <c r="I381" i="73" s="1"/>
  <c r="I23" i="73"/>
  <c r="I316" i="73" s="1"/>
  <c r="E7" i="73"/>
  <c r="E300" i="73" s="1"/>
  <c r="CL12" i="126"/>
  <c r="CL28" i="126"/>
  <c r="DN16" i="126"/>
  <c r="EP28" i="126"/>
  <c r="AP168" i="73"/>
  <c r="EB17" i="126"/>
  <c r="AO157" i="73"/>
  <c r="R102" i="109"/>
  <c r="Y76" i="109"/>
  <c r="O26" i="119"/>
  <c r="CL5" i="126"/>
  <c r="DN26" i="126"/>
  <c r="J591" i="73"/>
  <c r="EP9" i="126"/>
  <c r="AP149" i="73"/>
  <c r="L574" i="73" s="1"/>
  <c r="FD12" i="126"/>
  <c r="AQ152" i="73"/>
  <c r="M577" i="73" s="1"/>
  <c r="U17" i="126"/>
  <c r="AG191" i="73"/>
  <c r="C663" i="73" s="1"/>
  <c r="H116" i="73"/>
  <c r="H550" i="73" s="1"/>
  <c r="C188" i="73"/>
  <c r="C714" i="73" s="1"/>
  <c r="C192" i="73"/>
  <c r="C718" i="73" s="1"/>
  <c r="C7" i="73"/>
  <c r="C300" i="73" s="1"/>
  <c r="L27" i="73"/>
  <c r="L320" i="73" s="1"/>
  <c r="AA27" i="73"/>
  <c r="L293" i="73" s="1"/>
  <c r="L45" i="73"/>
  <c r="L385" i="73" s="1"/>
  <c r="B74" i="73"/>
  <c r="B461" i="73" s="1"/>
  <c r="K90" i="73"/>
  <c r="K477" i="73" s="1"/>
  <c r="L98" i="73"/>
  <c r="L485" i="73" s="1"/>
  <c r="B200" i="73"/>
  <c r="B726" i="73" s="1"/>
  <c r="G200" i="73"/>
  <c r="G726" i="73" s="1"/>
  <c r="L196" i="73"/>
  <c r="L722" i="73" s="1"/>
  <c r="B192" i="73"/>
  <c r="B718" i="73" s="1"/>
  <c r="F184" i="73"/>
  <c r="K180" i="73"/>
  <c r="K706" i="73" s="1"/>
  <c r="H151" i="73"/>
  <c r="H630" i="73" s="1"/>
  <c r="K124" i="73"/>
  <c r="K558" i="73" s="1"/>
  <c r="F120" i="73"/>
  <c r="F554" i="73" s="1"/>
  <c r="C87" i="73"/>
  <c r="C474" i="73" s="1"/>
  <c r="F16" i="73"/>
  <c r="F309" i="73" s="1"/>
  <c r="E8" i="73"/>
  <c r="E301" i="73" s="1"/>
  <c r="D45" i="73"/>
  <c r="D385" i="73" s="1"/>
  <c r="L31" i="73"/>
  <c r="L324" i="73" s="1"/>
  <c r="D23" i="73"/>
  <c r="D316" i="73" s="1"/>
  <c r="K7" i="73"/>
  <c r="K300" i="73" s="1"/>
  <c r="K273" i="73"/>
  <c r="EX45" i="63"/>
  <c r="AW28" i="126"/>
  <c r="AI202" i="73"/>
  <c r="E674" i="73" s="1"/>
  <c r="CL27" i="126"/>
  <c r="DN18" i="126"/>
  <c r="J583" i="73"/>
  <c r="EB22" i="126"/>
  <c r="AO162" i="73"/>
  <c r="K587" i="73" s="1"/>
  <c r="U18" i="126"/>
  <c r="AG193" i="73"/>
  <c r="C665" i="73" s="1"/>
  <c r="V31" i="65"/>
  <c r="F26" i="124"/>
  <c r="F29" i="125" s="1"/>
  <c r="AI200" i="73"/>
  <c r="E672" i="73" s="1"/>
  <c r="Y19" i="109"/>
  <c r="E18" i="64"/>
  <c r="Y60" i="109"/>
  <c r="Y28" i="109"/>
  <c r="R33" i="122"/>
  <c r="AT31" i="126"/>
  <c r="M26" i="123"/>
  <c r="G17" i="124"/>
  <c r="G20" i="125" s="1"/>
  <c r="AJ191" i="73"/>
  <c r="F663" i="73" s="1"/>
  <c r="FK56" i="63"/>
  <c r="EX56" i="63"/>
  <c r="FB6" i="63"/>
  <c r="FO6" i="63"/>
  <c r="FU5" i="63"/>
  <c r="FH5" i="63"/>
  <c r="FC17" i="63"/>
  <c r="FP17" i="63"/>
  <c r="FP59" i="63"/>
  <c r="FC59" i="63"/>
  <c r="FQ68" i="63"/>
  <c r="FD68" i="63"/>
  <c r="FA72" i="63"/>
  <c r="FN72" i="63"/>
  <c r="EY88" i="63"/>
  <c r="FL88" i="63"/>
  <c r="FM176" i="63"/>
  <c r="EZ176" i="63"/>
  <c r="FM172" i="63"/>
  <c r="EZ172" i="63"/>
  <c r="FI156" i="63"/>
  <c r="FV156" i="63"/>
  <c r="FV147" i="63"/>
  <c r="FI147" i="63"/>
  <c r="FV131" i="63"/>
  <c r="FI131" i="63"/>
  <c r="FV127" i="63"/>
  <c r="FI127" i="63"/>
  <c r="FQ110" i="63"/>
  <c r="FD110" i="63"/>
  <c r="EY102" i="63"/>
  <c r="FL102" i="63"/>
  <c r="FO98" i="63"/>
  <c r="FB98" i="63"/>
  <c r="EY81" i="63"/>
  <c r="FL81" i="63"/>
  <c r="FT73" i="63"/>
  <c r="FG73" i="63"/>
  <c r="FV65" i="63"/>
  <c r="FI65" i="63"/>
  <c r="FC6" i="63"/>
  <c r="FP6" i="63"/>
  <c r="EY29" i="63"/>
  <c r="FL29" i="63"/>
  <c r="FB21" i="63"/>
  <c r="FO21" i="63"/>
  <c r="FN17" i="63"/>
  <c r="FA17" i="63"/>
  <c r="FB13" i="63"/>
  <c r="FO13" i="63"/>
  <c r="FA9" i="63"/>
  <c r="FN9" i="63"/>
  <c r="FO5" i="63"/>
  <c r="FB5" i="63"/>
  <c r="GG13" i="63"/>
  <c r="FY29" i="63"/>
  <c r="GB164" i="63"/>
  <c r="FY81" i="63"/>
  <c r="EY176" i="63"/>
  <c r="EY10" i="63"/>
  <c r="FG81" i="63"/>
  <c r="GC6" i="63"/>
  <c r="FY160" i="63"/>
  <c r="GE39" i="63"/>
  <c r="GB135" i="63"/>
  <c r="FY110" i="63"/>
  <c r="GG89" i="63"/>
  <c r="FY10" i="63"/>
  <c r="GC17" i="63"/>
  <c r="FZ176" i="63"/>
  <c r="GD56" i="63"/>
  <c r="GD123" i="63"/>
  <c r="FY114" i="63"/>
  <c r="GD68" i="63"/>
  <c r="FK168" i="63"/>
  <c r="FB172" i="63"/>
  <c r="FH176" i="63"/>
  <c r="GH5" i="63"/>
  <c r="FY13" i="63"/>
  <c r="GG176" i="63"/>
  <c r="GB168" i="63"/>
  <c r="GE36" i="63"/>
  <c r="GB102" i="63"/>
  <c r="GG114" i="63"/>
  <c r="GD85" i="63"/>
  <c r="FF43" i="63"/>
  <c r="FB102" i="63"/>
  <c r="FG143" i="63"/>
  <c r="FL164" i="63"/>
  <c r="AB83" i="73"/>
  <c r="M443" i="73" s="1"/>
  <c r="CL6" i="126"/>
  <c r="CZ17" i="126"/>
  <c r="DN3" i="126"/>
  <c r="J568" i="73"/>
  <c r="CL29" i="126"/>
  <c r="EB5" i="126"/>
  <c r="AO145" i="73"/>
  <c r="K570" i="73" s="1"/>
  <c r="EB25" i="126"/>
  <c r="AO165" i="73"/>
  <c r="K590" i="73" s="1"/>
  <c r="G134" i="62"/>
  <c r="P31" i="65"/>
  <c r="AI102" i="73"/>
  <c r="E736" i="73" s="1"/>
  <c r="EP60" i="63"/>
  <c r="AI34" i="73"/>
  <c r="E730" i="73" s="1"/>
  <c r="Y27" i="109"/>
  <c r="Y47" i="109"/>
  <c r="Y40" i="109"/>
  <c r="AJ68" i="73"/>
  <c r="F733" i="73" s="1"/>
  <c r="AJ144" i="73"/>
  <c r="F569" i="73" s="1"/>
  <c r="AJ155" i="73"/>
  <c r="F580" i="73" s="1"/>
  <c r="G20" i="124"/>
  <c r="AJ192" i="73"/>
  <c r="F664" i="73" s="1"/>
  <c r="K29" i="123"/>
  <c r="AJ167" i="73"/>
  <c r="K30" i="123"/>
  <c r="AJ169" i="73"/>
  <c r="G19" i="124"/>
  <c r="G22" i="125"/>
  <c r="AJ194" i="73"/>
  <c r="F666" i="73" s="1"/>
  <c r="Y59" i="109"/>
  <c r="Y43" i="109"/>
  <c r="Y51" i="109"/>
  <c r="G6" i="124"/>
  <c r="AJ179" i="73"/>
  <c r="F651" i="73" s="1"/>
  <c r="FV81" i="63"/>
  <c r="FI81" i="63"/>
  <c r="FV143" i="63"/>
  <c r="FI143" i="63"/>
  <c r="FQ69" i="63"/>
  <c r="FD69" i="63"/>
  <c r="FG6" i="63"/>
  <c r="FT6" i="63"/>
  <c r="FQ9" i="63"/>
  <c r="FD9" i="63"/>
  <c r="FF29" i="63"/>
  <c r="FS29" i="63"/>
  <c r="FP43" i="63"/>
  <c r="FC43" i="63"/>
  <c r="FU55" i="63"/>
  <c r="FH55" i="63"/>
  <c r="FI59" i="63"/>
  <c r="FV59" i="63"/>
  <c r="FO68" i="63"/>
  <c r="FB68" i="63"/>
  <c r="FP76" i="63"/>
  <c r="FC76" i="63"/>
  <c r="FQ84" i="63"/>
  <c r="FD84" i="63"/>
  <c r="FA172" i="63"/>
  <c r="FN172" i="63"/>
  <c r="E722" i="73"/>
  <c r="FV164" i="63"/>
  <c r="FI164" i="63"/>
  <c r="FA160" i="63"/>
  <c r="FN160" i="63"/>
  <c r="FT127" i="63"/>
  <c r="FG127" i="63"/>
  <c r="FB110" i="63"/>
  <c r="FO110" i="63"/>
  <c r="FV106" i="63"/>
  <c r="FI106" i="63"/>
  <c r="FQ89" i="63"/>
  <c r="FD89" i="63"/>
  <c r="FV85" i="63"/>
  <c r="FI85" i="63"/>
  <c r="FQ81" i="63"/>
  <c r="FD81" i="63"/>
  <c r="FO77" i="63"/>
  <c r="FB77" i="63"/>
  <c r="FV69" i="63"/>
  <c r="FI69" i="63"/>
  <c r="FK10" i="63"/>
  <c r="EX10" i="63"/>
  <c r="FU6" i="63"/>
  <c r="FH6" i="63"/>
  <c r="EZ51" i="63"/>
  <c r="FM51" i="63"/>
  <c r="FM35" i="63"/>
  <c r="EZ35" i="63"/>
  <c r="FT17" i="63"/>
  <c r="FG17" i="63"/>
  <c r="FT9" i="63"/>
  <c r="FG9" i="63"/>
  <c r="FV6" i="63"/>
  <c r="FI6" i="63"/>
  <c r="FX5" i="63"/>
  <c r="GH14" i="63"/>
  <c r="GD106" i="63"/>
  <c r="GG81" i="63"/>
  <c r="GD77" i="63"/>
  <c r="FR55" i="63"/>
  <c r="FN139" i="63"/>
  <c r="FB143" i="63"/>
  <c r="EY14" i="63"/>
  <c r="FA98" i="63"/>
  <c r="FG65" i="63"/>
  <c r="GB6" i="63"/>
  <c r="GA13" i="63"/>
  <c r="GD25" i="63"/>
  <c r="GE55" i="63"/>
  <c r="GG127" i="63"/>
  <c r="GG143" i="63"/>
  <c r="GB98" i="63"/>
  <c r="GB110" i="63"/>
  <c r="FR52" i="63"/>
  <c r="FX10" i="63"/>
  <c r="GG9" i="63"/>
  <c r="FX14" i="63"/>
  <c r="GA176" i="63"/>
  <c r="GA160" i="63"/>
  <c r="GG56" i="63"/>
  <c r="GC43" i="63"/>
  <c r="GC59" i="63"/>
  <c r="GD98" i="63"/>
  <c r="GB69" i="63"/>
  <c r="GG73" i="63"/>
  <c r="FD25" i="63"/>
  <c r="FT172" i="63"/>
  <c r="GB17" i="63"/>
  <c r="GG29" i="63"/>
  <c r="GD176" i="63"/>
  <c r="GE47" i="63"/>
  <c r="GB123" i="63"/>
  <c r="GG102" i="63"/>
  <c r="GB118" i="63"/>
  <c r="FY88" i="63"/>
  <c r="GD89" i="63"/>
  <c r="FE39" i="63"/>
  <c r="EY164" i="63"/>
  <c r="CL24" i="126"/>
  <c r="DN11" i="126"/>
  <c r="J576" i="73"/>
  <c r="FD18" i="126"/>
  <c r="AQ158" i="73"/>
  <c r="M583" i="73" s="1"/>
  <c r="CZ14" i="126"/>
  <c r="I579" i="73"/>
  <c r="EB8" i="126"/>
  <c r="AO148" i="73"/>
  <c r="K573" i="73" s="1"/>
  <c r="EB27" i="126"/>
  <c r="AO167" i="73"/>
  <c r="K592" i="73" s="1"/>
  <c r="E131" i="62"/>
  <c r="U32" i="107"/>
  <c r="AG96" i="73"/>
  <c r="CZ22" i="126"/>
  <c r="I587" i="73"/>
  <c r="FO22" i="126"/>
  <c r="BH31" i="126"/>
  <c r="AJ102" i="73"/>
  <c r="FP7" i="126"/>
  <c r="BC8" i="66" s="1"/>
  <c r="AI68" i="73"/>
  <c r="E733" i="73" s="1"/>
  <c r="D16" i="124"/>
  <c r="D19" i="125" s="1"/>
  <c r="U16" i="126"/>
  <c r="AG190" i="73"/>
  <c r="C662" i="73" s="1"/>
  <c r="T32" i="109"/>
  <c r="AI53" i="73"/>
  <c r="Y66" i="109"/>
  <c r="U32" i="110"/>
  <c r="AJ81" i="73"/>
  <c r="AJ166" i="73"/>
  <c r="F591" i="73" s="1"/>
  <c r="G21" i="124"/>
  <c r="AJ195" i="73"/>
  <c r="F667" i="73" s="1"/>
  <c r="FV14" i="63"/>
  <c r="FI14" i="63"/>
  <c r="EX13" i="63"/>
  <c r="FK13" i="63"/>
  <c r="FL89" i="63"/>
  <c r="EY89" i="63"/>
  <c r="FC14" i="63"/>
  <c r="FP14" i="63"/>
  <c r="FT64" i="63"/>
  <c r="FG64" i="63"/>
  <c r="FU72" i="63"/>
  <c r="FH72" i="63"/>
  <c r="FV76" i="63"/>
  <c r="FI76" i="63"/>
  <c r="FO84" i="63"/>
  <c r="FB84" i="63"/>
  <c r="FV172" i="63"/>
  <c r="FI172" i="63"/>
  <c r="FL172" i="63"/>
  <c r="C722" i="73"/>
  <c r="EY172" i="63"/>
  <c r="FN168" i="63"/>
  <c r="FA168" i="63"/>
  <c r="FQ160" i="63"/>
  <c r="FD160" i="63"/>
  <c r="FD156" i="63"/>
  <c r="FQ156" i="63"/>
  <c r="FI139" i="63"/>
  <c r="FV139" i="63"/>
  <c r="FV135" i="63"/>
  <c r="FI135" i="63"/>
  <c r="FN131" i="63"/>
  <c r="FA131" i="63"/>
  <c r="FT118" i="63"/>
  <c r="FG118" i="63"/>
  <c r="EY106" i="63"/>
  <c r="FL106" i="63"/>
  <c r="FI89" i="63"/>
  <c r="FV89" i="63"/>
  <c r="EY85" i="63"/>
  <c r="FL85" i="63"/>
  <c r="FL73" i="63"/>
  <c r="EY73" i="63"/>
  <c r="EY69" i="63"/>
  <c r="FL69" i="63"/>
  <c r="FD65" i="63"/>
  <c r="FQ65" i="63"/>
  <c r="FR56" i="63"/>
  <c r="FE56" i="63"/>
  <c r="EZ48" i="63"/>
  <c r="FM48" i="63"/>
  <c r="FD14" i="63"/>
  <c r="FQ14" i="63"/>
  <c r="FL6" i="63"/>
  <c r="EY6" i="63"/>
  <c r="FI29" i="63"/>
  <c r="FV29" i="63"/>
  <c r="FF25" i="63"/>
  <c r="FS25" i="63"/>
  <c r="FR21" i="63"/>
  <c r="FE21" i="63"/>
  <c r="FN5" i="63"/>
  <c r="FA5" i="63"/>
  <c r="GF6" i="63"/>
  <c r="GD9" i="63"/>
  <c r="GF21" i="63"/>
  <c r="GH176" i="63"/>
  <c r="GA114" i="63"/>
  <c r="GH72" i="63"/>
  <c r="FY89" i="63"/>
  <c r="FB168" i="63"/>
  <c r="FB85" i="63"/>
  <c r="GA17" i="63"/>
  <c r="FZ172" i="63"/>
  <c r="GD168" i="63"/>
  <c r="GF43" i="63"/>
  <c r="GH36" i="63"/>
  <c r="GG147" i="63"/>
  <c r="GA72" i="63"/>
  <c r="GD65" i="63"/>
  <c r="FF21" i="63"/>
  <c r="FG102" i="63"/>
  <c r="GE18" i="63"/>
  <c r="GA9" i="63"/>
  <c r="GE25" i="63"/>
  <c r="GD156" i="63"/>
  <c r="GA168" i="63"/>
  <c r="FX47" i="63"/>
  <c r="GE44" i="63"/>
  <c r="GA98" i="63"/>
  <c r="GD69" i="63"/>
  <c r="FL135" i="63"/>
  <c r="FP35" i="63"/>
  <c r="FQ172" i="63"/>
  <c r="EY110" i="63"/>
  <c r="EY147" i="63"/>
  <c r="GB21" i="63"/>
  <c r="FY156" i="63"/>
  <c r="GD160" i="63"/>
  <c r="FZ48" i="63"/>
  <c r="FZ47" i="63"/>
  <c r="GH52" i="63"/>
  <c r="GG118" i="63"/>
  <c r="FY73" i="63"/>
  <c r="EY13" i="63"/>
  <c r="FF35" i="63"/>
  <c r="FH26" i="63"/>
  <c r="CL26" i="126"/>
  <c r="DN13" i="126"/>
  <c r="J578" i="73"/>
  <c r="FD25" i="126"/>
  <c r="AQ165" i="73"/>
  <c r="M590" i="73" s="1"/>
  <c r="BK16" i="126"/>
  <c r="AJ190" i="73"/>
  <c r="EB12" i="126"/>
  <c r="AO152" i="73"/>
  <c r="K577" i="73" s="1"/>
  <c r="G131" i="62"/>
  <c r="AG34" i="73"/>
  <c r="C730" i="73" s="1"/>
  <c r="R31" i="126"/>
  <c r="AG102" i="73"/>
  <c r="C736" i="73" s="1"/>
  <c r="CZ26" i="126"/>
  <c r="AT32" i="126"/>
  <c r="FQ5" i="126"/>
  <c r="AV31" i="126"/>
  <c r="AI172" i="73"/>
  <c r="E742" i="73" s="1"/>
  <c r="AI136" i="73"/>
  <c r="E739" i="73" s="1"/>
  <c r="G9" i="125"/>
  <c r="F12" i="64"/>
  <c r="Y7" i="109"/>
  <c r="Y9" i="109"/>
  <c r="Y30" i="109"/>
  <c r="T32" i="110"/>
  <c r="AJ39" i="73"/>
  <c r="BF4" i="126"/>
  <c r="AJ6" i="73"/>
  <c r="BI4" i="126"/>
  <c r="AJ108" i="73"/>
  <c r="F488" i="73" s="1"/>
  <c r="G4" i="124"/>
  <c r="AJ178" i="73"/>
  <c r="F650" i="73" s="1"/>
  <c r="F18" i="124"/>
  <c r="AI193" i="73"/>
  <c r="E665" i="73" s="1"/>
  <c r="F22" i="124"/>
  <c r="F25" i="125" s="1"/>
  <c r="AI196" i="73"/>
  <c r="E668" i="73" s="1"/>
  <c r="G22" i="124"/>
  <c r="AJ196" i="73"/>
  <c r="F668" i="73" s="1"/>
  <c r="FK172" i="63"/>
  <c r="EX172" i="63"/>
  <c r="FU13" i="63"/>
  <c r="FH13" i="63"/>
  <c r="FT106" i="63"/>
  <c r="FG106" i="63"/>
  <c r="FL5" i="63"/>
  <c r="EY5" i="63"/>
  <c r="FV13" i="63"/>
  <c r="FI13" i="63"/>
  <c r="FU25" i="63"/>
  <c r="FH25" i="63"/>
  <c r="FK64" i="63"/>
  <c r="EX64" i="63"/>
  <c r="FT80" i="63"/>
  <c r="FG80" i="63"/>
  <c r="FK176" i="63"/>
  <c r="EX176" i="63"/>
  <c r="FH172" i="63"/>
  <c r="FU172" i="63"/>
  <c r="FO160" i="63"/>
  <c r="FB160" i="63"/>
  <c r="FG156" i="63"/>
  <c r="FT156" i="63"/>
  <c r="FL139" i="63"/>
  <c r="EY139" i="63"/>
  <c r="FI110" i="63"/>
  <c r="FV110" i="63"/>
  <c r="FT110" i="63"/>
  <c r="FG110" i="63"/>
  <c r="FO106" i="63"/>
  <c r="FB106" i="63"/>
  <c r="FL77" i="63"/>
  <c r="EY77" i="63"/>
  <c r="FV73" i="63"/>
  <c r="FI73" i="63"/>
  <c r="FO14" i="63"/>
  <c r="FB14" i="63"/>
  <c r="FN6" i="63"/>
  <c r="FA6" i="63"/>
  <c r="FM39" i="63"/>
  <c r="EZ39" i="63"/>
  <c r="FU29" i="63"/>
  <c r="FH29" i="63"/>
  <c r="FG5" i="63"/>
  <c r="FT5" i="63"/>
  <c r="GB13" i="63"/>
  <c r="GC21" i="63"/>
  <c r="FY85" i="63"/>
  <c r="FD176" i="63"/>
  <c r="FD168" i="63"/>
  <c r="FD85" i="63"/>
  <c r="GH6" i="63"/>
  <c r="GB5" i="63"/>
  <c r="GG17" i="63"/>
  <c r="FY14" i="63"/>
  <c r="GC35" i="63"/>
  <c r="GH47" i="63"/>
  <c r="GA131" i="63"/>
  <c r="GG123" i="63"/>
  <c r="GG106" i="63"/>
  <c r="GB114" i="63"/>
  <c r="FY69" i="63"/>
  <c r="GC76" i="63"/>
  <c r="GB77" i="63"/>
  <c r="FB135" i="63"/>
  <c r="FU14" i="63"/>
  <c r="GG6" i="63"/>
  <c r="GH26" i="63"/>
  <c r="GH13" i="63"/>
  <c r="GF29" i="63"/>
  <c r="FY176" i="63"/>
  <c r="GG172" i="63"/>
  <c r="FX56" i="63"/>
  <c r="FZ35" i="63"/>
  <c r="GE51" i="63"/>
  <c r="GF52" i="63"/>
  <c r="FY147" i="63"/>
  <c r="FY106" i="63"/>
  <c r="GG64" i="63"/>
  <c r="FL168" i="63"/>
  <c r="FD98" i="63"/>
  <c r="GF18" i="63"/>
  <c r="FX13" i="63"/>
  <c r="GF25" i="63"/>
  <c r="GD164" i="63"/>
  <c r="GB172" i="63"/>
  <c r="GF35" i="63"/>
  <c r="GH55" i="63"/>
  <c r="FY135" i="63"/>
  <c r="GB143" i="63"/>
  <c r="FY102" i="63"/>
  <c r="GD110" i="63"/>
  <c r="GB68" i="63"/>
  <c r="GG65" i="63"/>
  <c r="GB85" i="63"/>
  <c r="FE47" i="63"/>
  <c r="EZ47" i="63"/>
  <c r="FF18" i="63"/>
  <c r="E37" i="64"/>
  <c r="D37" i="64"/>
  <c r="E12" i="64"/>
  <c r="D12" i="64"/>
  <c r="R40" i="64"/>
  <c r="K27" i="123"/>
  <c r="K4" i="123"/>
  <c r="B81" i="119"/>
  <c r="S81" i="119" s="1"/>
  <c r="S67" i="110"/>
  <c r="AJ34" i="73"/>
  <c r="F730" i="73" s="1"/>
  <c r="U32" i="122"/>
  <c r="U34" i="122" s="1"/>
  <c r="U36" i="122" s="1"/>
  <c r="L73" i="119"/>
  <c r="AO6" i="122"/>
  <c r="AQ6" i="122" s="1"/>
  <c r="F325" i="73"/>
  <c r="BJ15" i="126"/>
  <c r="W61" i="119"/>
  <c r="F736" i="73"/>
  <c r="M31" i="65"/>
  <c r="M33" i="65"/>
  <c r="AE30" i="65"/>
  <c r="AF22" i="65"/>
  <c r="AH20" i="65"/>
  <c r="BL5" i="126"/>
  <c r="V32" i="110"/>
  <c r="W58" i="119"/>
  <c r="B93" i="119"/>
  <c r="S93" i="119" s="1"/>
  <c r="AR20" i="73"/>
  <c r="BL21" i="126"/>
  <c r="F592" i="73"/>
  <c r="AF16" i="65"/>
  <c r="BG31" i="126"/>
  <c r="N74" i="119"/>
  <c r="I92" i="119"/>
  <c r="BJ4" i="126"/>
  <c r="BL4" i="126"/>
  <c r="W32" i="110"/>
  <c r="L31" i="65"/>
  <c r="L33" i="65"/>
  <c r="W67" i="110"/>
  <c r="K14" i="123"/>
  <c r="BK18" i="126"/>
  <c r="BL18" i="126"/>
  <c r="BI30" i="126"/>
  <c r="BI32" i="126"/>
  <c r="W32" i="121"/>
  <c r="W34" i="121"/>
  <c r="W36" i="121"/>
  <c r="G7" i="125"/>
  <c r="R9" i="118"/>
  <c r="G36" i="125"/>
  <c r="K91" i="119"/>
  <c r="AH16" i="65"/>
  <c r="AF18" i="65"/>
  <c r="AD7" i="65"/>
  <c r="Q78" i="119"/>
  <c r="X32" i="121"/>
  <c r="X34" i="121"/>
  <c r="X36" i="121"/>
  <c r="AG30" i="65"/>
  <c r="L75" i="119"/>
  <c r="AQ11" i="121"/>
  <c r="AS11" i="121" s="1"/>
  <c r="BL25" i="126"/>
  <c r="S32" i="110"/>
  <c r="BG3" i="126"/>
  <c r="FO3" i="126"/>
  <c r="G23" i="125"/>
  <c r="F27" i="127"/>
  <c r="M27" i="127" s="1"/>
  <c r="I10" i="121"/>
  <c r="F15" i="129"/>
  <c r="I15" i="129" s="1"/>
  <c r="V23" i="66"/>
  <c r="Y23" i="66" s="1"/>
  <c r="O84" i="119"/>
  <c r="H72" i="119"/>
  <c r="O91" i="119"/>
  <c r="E265" i="73"/>
  <c r="V34" i="121"/>
  <c r="V36" i="121"/>
  <c r="AR24" i="126"/>
  <c r="J33" i="65"/>
  <c r="J94" i="119"/>
  <c r="AB6" i="65"/>
  <c r="AD6" i="65" s="1"/>
  <c r="AS17" i="126"/>
  <c r="P79" i="119"/>
  <c r="S33" i="122"/>
  <c r="S34" i="122"/>
  <c r="S36" i="122" s="1"/>
  <c r="K32" i="65"/>
  <c r="I89" i="119"/>
  <c r="K33" i="65"/>
  <c r="F22" i="129"/>
  <c r="L22" i="129" s="1"/>
  <c r="V10" i="66"/>
  <c r="Y10" i="66" s="1"/>
  <c r="F8" i="127"/>
  <c r="AJ28" i="126"/>
  <c r="V11" i="66"/>
  <c r="I9" i="121"/>
  <c r="M9" i="121" s="1"/>
  <c r="I20" i="121"/>
  <c r="M20" i="121" s="1"/>
  <c r="F4" i="127"/>
  <c r="V8" i="66"/>
  <c r="F18" i="127"/>
  <c r="F27" i="129"/>
  <c r="L27" i="129" s="1"/>
  <c r="W64" i="119"/>
  <c r="R70" i="64"/>
  <c r="T178" i="73"/>
  <c r="E677" i="73" s="1"/>
  <c r="AG32" i="73"/>
  <c r="S202" i="73"/>
  <c r="D701" i="73" s="1"/>
  <c r="W32" i="107"/>
  <c r="E73" i="119"/>
  <c r="N8" i="73"/>
  <c r="X194" i="73"/>
  <c r="I693" i="73" s="1"/>
  <c r="Z186" i="73"/>
  <c r="K685" i="73" s="1"/>
  <c r="H6" i="123"/>
  <c r="Q90" i="119"/>
  <c r="O92" i="119"/>
  <c r="N45" i="73"/>
  <c r="O45" i="73" s="1"/>
  <c r="AG27" i="65"/>
  <c r="CM17" i="126"/>
  <c r="CM7" i="126"/>
  <c r="CM26" i="126"/>
  <c r="DA9" i="126"/>
  <c r="CM19" i="126"/>
  <c r="CM15" i="126"/>
  <c r="CM14" i="126"/>
  <c r="DA13" i="126"/>
  <c r="EP4" i="126"/>
  <c r="AQ172" i="73"/>
  <c r="FD31" i="126"/>
  <c r="AP206" i="73"/>
  <c r="L745" i="73" s="1"/>
  <c r="EQ31" i="126"/>
  <c r="DN24" i="126"/>
  <c r="DO28" i="126"/>
  <c r="Q80" i="119"/>
  <c r="DN5" i="126"/>
  <c r="DO13" i="126"/>
  <c r="DO7" i="126"/>
  <c r="DO27" i="126"/>
  <c r="DO24" i="126"/>
  <c r="E92" i="119"/>
  <c r="V92" i="119" s="1"/>
  <c r="J651" i="73"/>
  <c r="DO5" i="126"/>
  <c r="EB15" i="126"/>
  <c r="AO192" i="73"/>
  <c r="EC18" i="126"/>
  <c r="F77" i="119"/>
  <c r="M88" i="119"/>
  <c r="AO182" i="73"/>
  <c r="K654" i="73" s="1"/>
  <c r="EC8" i="126"/>
  <c r="K73" i="119"/>
  <c r="AO183" i="73"/>
  <c r="EC9" i="126"/>
  <c r="EB19" i="126"/>
  <c r="AO195" i="73"/>
  <c r="K667" i="73" s="1"/>
  <c r="EC21" i="126"/>
  <c r="AO179" i="73"/>
  <c r="K651" i="73" s="1"/>
  <c r="EC5" i="126"/>
  <c r="AP192" i="73"/>
  <c r="EQ18" i="126"/>
  <c r="EP6" i="126"/>
  <c r="EP29" i="126"/>
  <c r="AP194" i="73"/>
  <c r="L666" i="73" s="1"/>
  <c r="EQ20" i="126"/>
  <c r="EP15" i="126"/>
  <c r="AP186" i="73"/>
  <c r="EQ12" i="126"/>
  <c r="AP185" i="73"/>
  <c r="EQ11" i="126"/>
  <c r="FD20" i="126"/>
  <c r="AQ196" i="73"/>
  <c r="M668" i="73" s="1"/>
  <c r="FE22" i="126"/>
  <c r="FD13" i="126"/>
  <c r="AQ184" i="73"/>
  <c r="M656" i="73" s="1"/>
  <c r="FE10" i="126"/>
  <c r="AQ199" i="73"/>
  <c r="FE25" i="126"/>
  <c r="AQ183" i="73"/>
  <c r="M655" i="73" s="1"/>
  <c r="FE9" i="126"/>
  <c r="AQ189" i="73"/>
  <c r="FE15" i="126"/>
  <c r="AQ30" i="73"/>
  <c r="M269" i="73" s="1"/>
  <c r="EZ28" i="126"/>
  <c r="AQ177" i="73"/>
  <c r="FE3" i="126"/>
  <c r="AQ93" i="73"/>
  <c r="FB23" i="126"/>
  <c r="AQ202" i="73"/>
  <c r="FE28" i="126"/>
  <c r="J649" i="73"/>
  <c r="DO3" i="126"/>
  <c r="I656" i="73"/>
  <c r="DA10" i="126"/>
  <c r="AP183" i="73"/>
  <c r="L655" i="73" s="1"/>
  <c r="EQ9" i="126"/>
  <c r="G82" i="119"/>
  <c r="AP189" i="73"/>
  <c r="L661" i="73" s="1"/>
  <c r="EQ15" i="126"/>
  <c r="AQ181" i="73"/>
  <c r="M653" i="73" s="1"/>
  <c r="FE7" i="126"/>
  <c r="ES180" i="63"/>
  <c r="AF123" i="73"/>
  <c r="B503" i="73" s="1"/>
  <c r="H19" i="126"/>
  <c r="AF42" i="73"/>
  <c r="AF50" i="73"/>
  <c r="AF160" i="73"/>
  <c r="B585" i="73" s="1"/>
  <c r="X10" i="113"/>
  <c r="EP7" i="126"/>
  <c r="BK14" i="126"/>
  <c r="BL14" i="126"/>
  <c r="G22" i="123"/>
  <c r="AW5" i="126"/>
  <c r="M87" i="119"/>
  <c r="BK9" i="126"/>
  <c r="BK13" i="126"/>
  <c r="BL13" i="126"/>
  <c r="AW21" i="126"/>
  <c r="BK26" i="126"/>
  <c r="BL26" i="126"/>
  <c r="FD4" i="126"/>
  <c r="AW4" i="126"/>
  <c r="AX4" i="126"/>
  <c r="AQ194" i="73"/>
  <c r="M666" i="73" s="1"/>
  <c r="FE20" i="126"/>
  <c r="U93" i="73"/>
  <c r="F453" i="73" s="1"/>
  <c r="AF59" i="73"/>
  <c r="AF133" i="73"/>
  <c r="B513" i="73" s="1"/>
  <c r="AF191" i="73"/>
  <c r="B663" i="73" s="1"/>
  <c r="AA65" i="62"/>
  <c r="G133" i="62"/>
  <c r="FQ4" i="126"/>
  <c r="GE4" i="126" s="1"/>
  <c r="H17" i="126"/>
  <c r="CN15" i="126"/>
  <c r="AQ102" i="73"/>
  <c r="M736" i="73" s="1"/>
  <c r="FB31" i="126"/>
  <c r="E15" i="62"/>
  <c r="CM5" i="126"/>
  <c r="CM21" i="126"/>
  <c r="B44" i="64"/>
  <c r="CM10" i="126"/>
  <c r="CM22" i="126"/>
  <c r="CM18" i="126"/>
  <c r="CM20" i="126"/>
  <c r="DA21" i="126"/>
  <c r="DN31" i="126"/>
  <c r="EP8" i="126"/>
  <c r="EP12" i="126"/>
  <c r="EK120" i="63"/>
  <c r="DN7" i="126"/>
  <c r="DN23" i="126"/>
  <c r="J657" i="73"/>
  <c r="DO11" i="126"/>
  <c r="DN15" i="126"/>
  <c r="DO19" i="126"/>
  <c r="DO9" i="126"/>
  <c r="DO22" i="126"/>
  <c r="DO23" i="126"/>
  <c r="J654" i="73"/>
  <c r="DO8" i="126"/>
  <c r="EB20" i="126"/>
  <c r="AO178" i="73"/>
  <c r="EC4" i="126"/>
  <c r="AO202" i="73"/>
  <c r="K674" i="73" s="1"/>
  <c r="EC28" i="126"/>
  <c r="EB7" i="126"/>
  <c r="AO187" i="73"/>
  <c r="K659" i="73" s="1"/>
  <c r="EC13" i="126"/>
  <c r="AO201" i="73"/>
  <c r="EC27" i="126"/>
  <c r="AO177" i="73"/>
  <c r="EC3" i="126"/>
  <c r="EB18" i="126"/>
  <c r="AO198" i="73"/>
  <c r="K670" i="73" s="1"/>
  <c r="EC24" i="126"/>
  <c r="AO184" i="73"/>
  <c r="EC10" i="126"/>
  <c r="EP19" i="126"/>
  <c r="AP178" i="73"/>
  <c r="EQ4" i="126"/>
  <c r="EP17" i="126"/>
  <c r="FR17" i="126"/>
  <c r="AP196" i="73"/>
  <c r="L668" i="73" s="1"/>
  <c r="EQ22" i="126"/>
  <c r="EP24" i="126"/>
  <c r="AP198" i="73"/>
  <c r="EQ24" i="126"/>
  <c r="AP188" i="73"/>
  <c r="L660" i="73" s="1"/>
  <c r="EQ14" i="126"/>
  <c r="FD5" i="126"/>
  <c r="FD21" i="126"/>
  <c r="FD17" i="126"/>
  <c r="AQ193" i="73"/>
  <c r="FE19" i="126"/>
  <c r="AQ190" i="73"/>
  <c r="FE16" i="126"/>
  <c r="AQ13" i="73"/>
  <c r="EZ11" i="126"/>
  <c r="AQ62" i="73"/>
  <c r="FA26" i="126"/>
  <c r="AQ114" i="73"/>
  <c r="FC10" i="126"/>
  <c r="AQ124" i="73"/>
  <c r="M504" i="73" s="1"/>
  <c r="FC20" i="126"/>
  <c r="AQ68" i="73"/>
  <c r="FA31" i="126"/>
  <c r="AP197" i="73"/>
  <c r="L669" i="73" s="1"/>
  <c r="EQ23" i="126"/>
  <c r="CZ16" i="126"/>
  <c r="FR16" i="126" s="1"/>
  <c r="J663" i="73"/>
  <c r="DO17" i="126"/>
  <c r="AF102" i="73"/>
  <c r="B736" i="73" s="1"/>
  <c r="D31" i="126"/>
  <c r="R32" i="106"/>
  <c r="AF91" i="73"/>
  <c r="B424" i="73" s="1"/>
  <c r="AF27" i="73"/>
  <c r="AF85" i="73"/>
  <c r="FP15" i="126"/>
  <c r="H6" i="126"/>
  <c r="I660" i="73"/>
  <c r="DA14" i="126"/>
  <c r="AO191" i="73"/>
  <c r="K663" i="73" s="1"/>
  <c r="EC17" i="126"/>
  <c r="EP10" i="126"/>
  <c r="F670" i="73"/>
  <c r="BK24" i="126"/>
  <c r="C9" i="124"/>
  <c r="I668" i="73"/>
  <c r="DA22" i="126"/>
  <c r="C12" i="124"/>
  <c r="C15" i="125" s="1"/>
  <c r="AA62" i="62"/>
  <c r="FO14" i="126"/>
  <c r="AZ15" i="66" s="1"/>
  <c r="FO23" i="126"/>
  <c r="CN10" i="126"/>
  <c r="CN19" i="126"/>
  <c r="CL7" i="126"/>
  <c r="M8" i="123"/>
  <c r="M31" i="123" s="1"/>
  <c r="M33" i="123" s="1"/>
  <c r="M35" i="123" s="1"/>
  <c r="CM9" i="126"/>
  <c r="CM25" i="126"/>
  <c r="CM16" i="126"/>
  <c r="T58" i="62"/>
  <c r="CM6" i="126"/>
  <c r="CN6" i="126"/>
  <c r="CM28" i="126"/>
  <c r="CM24" i="126"/>
  <c r="CN24" i="126"/>
  <c r="CM4" i="126"/>
  <c r="CM27" i="126"/>
  <c r="CN27" i="126"/>
  <c r="DA23" i="126"/>
  <c r="DA29" i="126"/>
  <c r="EP16" i="126"/>
  <c r="AO206" i="73"/>
  <c r="EC31" i="126"/>
  <c r="DN9" i="126"/>
  <c r="DO14" i="126"/>
  <c r="DN22" i="126"/>
  <c r="DO18" i="126"/>
  <c r="DN20" i="126"/>
  <c r="J671" i="73"/>
  <c r="DO25" i="126"/>
  <c r="DN10" i="126"/>
  <c r="DO20" i="126"/>
  <c r="DO10" i="126"/>
  <c r="EB3" i="126"/>
  <c r="EB26" i="126"/>
  <c r="AO185" i="73"/>
  <c r="EC11" i="126"/>
  <c r="EB14" i="126"/>
  <c r="AO193" i="73"/>
  <c r="K665" i="73" s="1"/>
  <c r="EC19" i="126"/>
  <c r="EB4" i="126"/>
  <c r="AO180" i="73"/>
  <c r="EC6" i="126"/>
  <c r="AO196" i="73"/>
  <c r="EC22" i="126"/>
  <c r="AO186" i="73"/>
  <c r="EC12" i="126"/>
  <c r="AO197" i="73"/>
  <c r="EC23" i="126"/>
  <c r="AO190" i="73"/>
  <c r="EC16" i="126"/>
  <c r="EP23" i="126"/>
  <c r="AP187" i="73"/>
  <c r="L659" i="73" s="1"/>
  <c r="EQ13" i="126"/>
  <c r="EP20" i="126"/>
  <c r="AP179" i="73"/>
  <c r="EQ5" i="126"/>
  <c r="AP199" i="73"/>
  <c r="EQ25" i="126"/>
  <c r="AP181" i="73"/>
  <c r="EQ7" i="126"/>
  <c r="AP200" i="73"/>
  <c r="EQ26" i="126"/>
  <c r="AP190" i="73"/>
  <c r="EQ16" i="126"/>
  <c r="M17" i="124"/>
  <c r="FD11" i="126"/>
  <c r="FD26" i="126"/>
  <c r="AQ179" i="73"/>
  <c r="M651" i="73" s="1"/>
  <c r="FE5" i="126"/>
  <c r="FD3" i="126"/>
  <c r="FD24" i="126"/>
  <c r="AQ200" i="73"/>
  <c r="FE26" i="126"/>
  <c r="AQ182" i="73"/>
  <c r="M654" i="73" s="1"/>
  <c r="FE8" i="126"/>
  <c r="AQ192" i="73"/>
  <c r="FE18" i="126"/>
  <c r="AQ180" i="73"/>
  <c r="FE6" i="126"/>
  <c r="AQ91" i="73"/>
  <c r="FB21" i="126"/>
  <c r="AQ129" i="73"/>
  <c r="M509" i="73" s="1"/>
  <c r="FC25" i="126"/>
  <c r="FQ25" i="126"/>
  <c r="GE25" i="126" s="1"/>
  <c r="EP5" i="126"/>
  <c r="I77" i="119"/>
  <c r="DA4" i="126"/>
  <c r="G94" i="119"/>
  <c r="AP203" i="73"/>
  <c r="L675" i="73" s="1"/>
  <c r="EQ29" i="126"/>
  <c r="Q88" i="119"/>
  <c r="G93" i="119"/>
  <c r="G32" i="123"/>
  <c r="AF34" i="73"/>
  <c r="B730" i="73" s="1"/>
  <c r="B31" i="126"/>
  <c r="AF6" i="73"/>
  <c r="H4" i="126"/>
  <c r="O32" i="121"/>
  <c r="O34" i="121"/>
  <c r="O36" i="121"/>
  <c r="AF118" i="73"/>
  <c r="B498" i="73" s="1"/>
  <c r="FQ14" i="126"/>
  <c r="AF62" i="73"/>
  <c r="B348" i="73" s="1"/>
  <c r="FO26" i="126"/>
  <c r="P32" i="121"/>
  <c r="AF125" i="73"/>
  <c r="B505" i="73" s="1"/>
  <c r="FQ21" i="126"/>
  <c r="C21" i="124"/>
  <c r="AP177" i="73"/>
  <c r="L649" i="73" s="1"/>
  <c r="EQ3" i="126"/>
  <c r="I588" i="73"/>
  <c r="CZ23" i="126"/>
  <c r="CZ6" i="126"/>
  <c r="FR6" i="126" s="1"/>
  <c r="BI7" i="66" s="1"/>
  <c r="BK8" i="126"/>
  <c r="BL8" i="126"/>
  <c r="AP195" i="73"/>
  <c r="L667" i="73" s="1"/>
  <c r="EQ21" i="126"/>
  <c r="AB163" i="73"/>
  <c r="M615" i="73" s="1"/>
  <c r="E135" i="62"/>
  <c r="S189" i="73"/>
  <c r="D688" i="73" s="1"/>
  <c r="AF25" i="73"/>
  <c r="B264" i="73" s="1"/>
  <c r="H23" i="126"/>
  <c r="FP11" i="126"/>
  <c r="BC12" i="66" s="1"/>
  <c r="H576" i="73"/>
  <c r="CL11" i="126"/>
  <c r="M12" i="123"/>
  <c r="CN18" i="126"/>
  <c r="CN20" i="126"/>
  <c r="AW25" i="126"/>
  <c r="F24" i="124"/>
  <c r="FF16" i="126"/>
  <c r="CM13" i="126"/>
  <c r="CM29" i="126"/>
  <c r="CN29" i="126"/>
  <c r="CM23" i="126"/>
  <c r="CM12" i="126"/>
  <c r="CM8" i="126"/>
  <c r="CM11" i="126"/>
  <c r="CI31" i="126"/>
  <c r="DA16" i="126"/>
  <c r="DA18" i="126"/>
  <c r="AO172" i="73"/>
  <c r="EB31" i="126"/>
  <c r="AP172" i="73"/>
  <c r="EP31" i="126"/>
  <c r="DN19" i="126"/>
  <c r="DO16" i="126"/>
  <c r="DO4" i="126"/>
  <c r="DO6" i="126"/>
  <c r="S5" i="119"/>
  <c r="D4" i="66"/>
  <c r="DO26" i="126"/>
  <c r="DN12" i="126"/>
  <c r="DO21" i="126"/>
  <c r="DO12" i="126"/>
  <c r="DO15" i="126"/>
  <c r="EB10" i="126"/>
  <c r="EB29" i="126"/>
  <c r="AO188" i="73"/>
  <c r="EC14" i="126"/>
  <c r="EB24" i="126"/>
  <c r="AO199" i="73"/>
  <c r="K671" i="73" s="1"/>
  <c r="EC25" i="126"/>
  <c r="EB28" i="126"/>
  <c r="AO181" i="73"/>
  <c r="EC7" i="126"/>
  <c r="AO200" i="73"/>
  <c r="EC26" i="126"/>
  <c r="EB11" i="126"/>
  <c r="AO194" i="73"/>
  <c r="K666" i="73" s="1"/>
  <c r="EC20" i="126"/>
  <c r="AO189" i="73"/>
  <c r="K661" i="73" s="1"/>
  <c r="EC15" i="126"/>
  <c r="AP193" i="73"/>
  <c r="EQ19" i="126"/>
  <c r="EP26" i="126"/>
  <c r="AP182" i="73"/>
  <c r="L654" i="73" s="1"/>
  <c r="EQ8" i="126"/>
  <c r="AP184" i="73"/>
  <c r="EQ10" i="126"/>
  <c r="AP201" i="73"/>
  <c r="L673" i="73" s="1"/>
  <c r="EQ27" i="126"/>
  <c r="AP202" i="73"/>
  <c r="EQ28" i="126"/>
  <c r="FD15" i="126"/>
  <c r="FD29" i="126"/>
  <c r="AQ188" i="73"/>
  <c r="FE14" i="126"/>
  <c r="FD6" i="126"/>
  <c r="FD23" i="126"/>
  <c r="AQ191" i="73"/>
  <c r="M663" i="73" s="1"/>
  <c r="FE17" i="126"/>
  <c r="AQ197" i="73"/>
  <c r="M669" i="73" s="1"/>
  <c r="FE23" i="126"/>
  <c r="AQ178" i="73"/>
  <c r="FE4" i="126"/>
  <c r="AQ203" i="73"/>
  <c r="FE29" i="126"/>
  <c r="AQ186" i="73"/>
  <c r="M658" i="73" s="1"/>
  <c r="FE12" i="126"/>
  <c r="AQ195" i="73"/>
  <c r="M667" i="73" s="1"/>
  <c r="FE21" i="126"/>
  <c r="AQ201" i="73"/>
  <c r="FE27" i="126"/>
  <c r="AQ185" i="73"/>
  <c r="FE11" i="126"/>
  <c r="AQ46" i="73"/>
  <c r="FA10" i="126"/>
  <c r="FO10" i="126"/>
  <c r="AQ16" i="73"/>
  <c r="EZ14" i="126"/>
  <c r="FF14" i="126"/>
  <c r="AQ51" i="73"/>
  <c r="FA15" i="126"/>
  <c r="AQ65" i="73"/>
  <c r="AR65" i="73" s="1"/>
  <c r="FA29" i="126"/>
  <c r="FO29" i="126"/>
  <c r="AQ73" i="73"/>
  <c r="FB3" i="126"/>
  <c r="AQ87" i="73"/>
  <c r="FB17" i="126"/>
  <c r="AQ117" i="73"/>
  <c r="FC13" i="126"/>
  <c r="FQ13" i="126"/>
  <c r="FD27" i="126"/>
  <c r="EP13" i="126"/>
  <c r="AQ198" i="73"/>
  <c r="M670" i="73"/>
  <c r="FE24" i="126"/>
  <c r="AF88" i="73"/>
  <c r="AF95" i="73"/>
  <c r="AF90" i="73"/>
  <c r="B423" i="73" s="1"/>
  <c r="AF41" i="73"/>
  <c r="B327" i="73" s="1"/>
  <c r="FO5" i="126"/>
  <c r="AF68" i="73"/>
  <c r="B733" i="73"/>
  <c r="C31" i="126"/>
  <c r="AF124" i="73"/>
  <c r="AF84" i="73"/>
  <c r="FP14" i="126"/>
  <c r="AF51" i="73"/>
  <c r="B337" i="73" s="1"/>
  <c r="AF130" i="73"/>
  <c r="AF136" i="73"/>
  <c r="B739" i="73" s="1"/>
  <c r="E31" i="126"/>
  <c r="AF56" i="73"/>
  <c r="B342" i="73" s="1"/>
  <c r="H20" i="126"/>
  <c r="AF57" i="73"/>
  <c r="O32" i="109"/>
  <c r="R102" i="112"/>
  <c r="G23" i="124"/>
  <c r="G26" i="125" s="1"/>
  <c r="C37" i="64"/>
  <c r="B37" i="64"/>
  <c r="L568" i="73"/>
  <c r="EP3" i="126"/>
  <c r="EP30" i="126"/>
  <c r="EP32" i="126"/>
  <c r="AP180" i="73"/>
  <c r="L652" i="73" s="1"/>
  <c r="EQ6" i="126"/>
  <c r="BK10" i="126"/>
  <c r="AQ187" i="73"/>
  <c r="M659" i="73" s="1"/>
  <c r="FE13" i="126"/>
  <c r="C11" i="124"/>
  <c r="C14" i="125"/>
  <c r="BK29" i="126"/>
  <c r="AJ6" i="126"/>
  <c r="AB147" i="73"/>
  <c r="AC147" i="73" s="1"/>
  <c r="DN30" i="126"/>
  <c r="DN32" i="126" s="1"/>
  <c r="C8" i="124"/>
  <c r="C11" i="125"/>
  <c r="B136" i="62"/>
  <c r="B128" i="62"/>
  <c r="B139" i="62"/>
  <c r="B135" i="62"/>
  <c r="B131" i="62"/>
  <c r="B134" i="62"/>
  <c r="B130" i="62"/>
  <c r="B138" i="62"/>
  <c r="B137" i="62"/>
  <c r="B133" i="62"/>
  <c r="B129" i="62"/>
  <c r="B132" i="62"/>
  <c r="AF111" i="73"/>
  <c r="B491" i="73" s="1"/>
  <c r="FO18" i="126"/>
  <c r="GC18" i="126" s="1"/>
  <c r="FQ29" i="126"/>
  <c r="BF30" i="66" s="1"/>
  <c r="FQ10" i="126"/>
  <c r="BF11" i="66" s="1"/>
  <c r="FR22" i="126"/>
  <c r="FP28" i="126"/>
  <c r="GD28" i="126" s="1"/>
  <c r="CN14" i="126"/>
  <c r="CN23" i="126"/>
  <c r="H578" i="73"/>
  <c r="CL13" i="126"/>
  <c r="M16" i="123"/>
  <c r="FF86" i="63"/>
  <c r="FS86" i="63"/>
  <c r="FA128" i="63"/>
  <c r="FN128" i="63"/>
  <c r="FB148" i="63"/>
  <c r="FO148" i="63"/>
  <c r="FG169" i="63"/>
  <c r="FT169" i="63"/>
  <c r="FS58" i="63"/>
  <c r="FF58" i="63"/>
  <c r="FG87" i="63"/>
  <c r="FT87" i="63"/>
  <c r="FM79" i="63"/>
  <c r="EZ79" i="63"/>
  <c r="FP50" i="63"/>
  <c r="FC50" i="63"/>
  <c r="FP42" i="63"/>
  <c r="FC42" i="63"/>
  <c r="FC34" i="63"/>
  <c r="FP34" i="63"/>
  <c r="FN24" i="63"/>
  <c r="FA24" i="63"/>
  <c r="FS19" i="63"/>
  <c r="FF19" i="63"/>
  <c r="FT161" i="63"/>
  <c r="FG161" i="63"/>
  <c r="FN177" i="63"/>
  <c r="FA177" i="63"/>
  <c r="ER6" i="126"/>
  <c r="ER8" i="126"/>
  <c r="ER10" i="126"/>
  <c r="ED28" i="126"/>
  <c r="FR86" i="63"/>
  <c r="FE86" i="63"/>
  <c r="FR74" i="63"/>
  <c r="FE74" i="63"/>
  <c r="FP41" i="63"/>
  <c r="FC41" i="63"/>
  <c r="FP23" i="63"/>
  <c r="FC23" i="63"/>
  <c r="ED11" i="126"/>
  <c r="ED16" i="126"/>
  <c r="ED18" i="126"/>
  <c r="ED21" i="126"/>
  <c r="DP4" i="126"/>
  <c r="DP6" i="126"/>
  <c r="DP8" i="126"/>
  <c r="DP10" i="126"/>
  <c r="DP12" i="126"/>
  <c r="DP14" i="126"/>
  <c r="DP16" i="126"/>
  <c r="DP18" i="126"/>
  <c r="DP28" i="126"/>
  <c r="BL10" i="126"/>
  <c r="BL24" i="126"/>
  <c r="AX10" i="126"/>
  <c r="AX18" i="126"/>
  <c r="AX22" i="126"/>
  <c r="AX28" i="126"/>
  <c r="AJ26" i="126"/>
  <c r="AD30" i="126"/>
  <c r="AJ16" i="126"/>
  <c r="FF26" i="126"/>
  <c r="FF18" i="126"/>
  <c r="FF8" i="126"/>
  <c r="GF19" i="63"/>
  <c r="GE177" i="63"/>
  <c r="J244" i="73"/>
  <c r="I487" i="73"/>
  <c r="BL29" i="126"/>
  <c r="AX6" i="126"/>
  <c r="AX14" i="126"/>
  <c r="AF30" i="126"/>
  <c r="FF25" i="126"/>
  <c r="FF17" i="126"/>
  <c r="G244" i="73"/>
  <c r="H22" i="126"/>
  <c r="FX42" i="63"/>
  <c r="H325" i="73"/>
  <c r="ER12" i="126"/>
  <c r="ER14" i="126"/>
  <c r="AP68" i="73"/>
  <c r="L733" i="73"/>
  <c r="EM31" i="126"/>
  <c r="I244" i="73"/>
  <c r="FR29" i="126"/>
  <c r="AB4" i="65"/>
  <c r="GC20" i="63"/>
  <c r="FA30" i="126"/>
  <c r="FA32" i="126"/>
  <c r="BZ8" i="126"/>
  <c r="J32" i="123"/>
  <c r="GG24" i="63"/>
  <c r="GG161" i="63"/>
  <c r="GA177" i="63"/>
  <c r="GC34" i="63"/>
  <c r="GC50" i="63"/>
  <c r="BF31" i="126"/>
  <c r="BY31" i="126"/>
  <c r="H31" i="124"/>
  <c r="H34" i="125"/>
  <c r="H11" i="126"/>
  <c r="H13" i="126"/>
  <c r="EX42" i="63"/>
  <c r="FC28" i="63"/>
  <c r="FF6" i="126"/>
  <c r="FA41" i="63"/>
  <c r="FA46" i="63"/>
  <c r="EA30" i="126"/>
  <c r="BZ19" i="126"/>
  <c r="G736" i="73"/>
  <c r="BV31" i="126"/>
  <c r="F244" i="73"/>
  <c r="BL22" i="126"/>
  <c r="AX26" i="126"/>
  <c r="GE86" i="63"/>
  <c r="FZ83" i="63"/>
  <c r="FB58" i="63"/>
  <c r="FM70" i="63"/>
  <c r="EY20" i="63"/>
  <c r="GE96" i="63"/>
  <c r="GB67" i="63"/>
  <c r="FR87" i="63"/>
  <c r="FR63" i="63"/>
  <c r="FF79" i="63"/>
  <c r="I325" i="73"/>
  <c r="FG24" i="63"/>
  <c r="FZ111" i="63"/>
  <c r="EZ83" i="63"/>
  <c r="FO24" i="63"/>
  <c r="EZ108" i="63"/>
  <c r="EZ103" i="63"/>
  <c r="I104" i="62"/>
  <c r="GF113" i="63"/>
  <c r="FS113" i="63"/>
  <c r="FF113" i="63"/>
  <c r="ES113" i="63"/>
  <c r="GB113" i="63"/>
  <c r="EO113" i="63"/>
  <c r="FB113" i="63"/>
  <c r="FZ113" i="63"/>
  <c r="FM113" i="63"/>
  <c r="EM113" i="63"/>
  <c r="EQ114" i="63"/>
  <c r="FD114" i="63"/>
  <c r="AQ99" i="73"/>
  <c r="M432" i="73"/>
  <c r="FB29" i="126"/>
  <c r="AQ111" i="73"/>
  <c r="FC7" i="126"/>
  <c r="FQ7" i="126"/>
  <c r="FN153" i="63"/>
  <c r="EZ125" i="63"/>
  <c r="EM125" i="63"/>
  <c r="GD93" i="63"/>
  <c r="FD93" i="63"/>
  <c r="DD120" i="63"/>
  <c r="EQ93" i="63"/>
  <c r="FQ93" i="63"/>
  <c r="GH93" i="63"/>
  <c r="EU93" i="63"/>
  <c r="FU93" i="63"/>
  <c r="FH93" i="63"/>
  <c r="FY93" i="63"/>
  <c r="FL93" i="63"/>
  <c r="EY93" i="63"/>
  <c r="EL93" i="63"/>
  <c r="AO49" i="73"/>
  <c r="K335" i="73" s="1"/>
  <c r="DY13" i="126"/>
  <c r="ED13" i="126"/>
  <c r="AQ115" i="73"/>
  <c r="M495" i="73" s="1"/>
  <c r="FC11" i="126"/>
  <c r="FQ11" i="126"/>
  <c r="FR173" i="63"/>
  <c r="EZ57" i="63"/>
  <c r="FA129" i="63"/>
  <c r="GA129" i="63"/>
  <c r="ED60" i="63"/>
  <c r="FO96" i="63"/>
  <c r="EU123" i="63"/>
  <c r="EU150" i="63"/>
  <c r="EH150" i="63"/>
  <c r="DZ150" i="63"/>
  <c r="EM123" i="63"/>
  <c r="EA150" i="63"/>
  <c r="GE149" i="63"/>
  <c r="FR149" i="63"/>
  <c r="ER149" i="63"/>
  <c r="FE149" i="63"/>
  <c r="GD94" i="63"/>
  <c r="FQ94" i="63"/>
  <c r="EQ94" i="63"/>
  <c r="GG94" i="63"/>
  <c r="FT94" i="63"/>
  <c r="FG94" i="63"/>
  <c r="ET94" i="63"/>
  <c r="EI120" i="63"/>
  <c r="CJ13" i="126"/>
  <c r="CI9" i="126"/>
  <c r="FO9" i="126"/>
  <c r="R67" i="115"/>
  <c r="AO56" i="73"/>
  <c r="K342" i="73" s="1"/>
  <c r="DY20" i="126"/>
  <c r="I712" i="73"/>
  <c r="FR153" i="63"/>
  <c r="GE153" i="63"/>
  <c r="FN46" i="63"/>
  <c r="FE58" i="63"/>
  <c r="I100" i="62"/>
  <c r="FB173" i="63"/>
  <c r="FO173" i="63"/>
  <c r="FN137" i="63"/>
  <c r="FA137" i="63"/>
  <c r="FN170" i="63"/>
  <c r="FA170" i="63"/>
  <c r="FT54" i="63"/>
  <c r="FG54" i="63"/>
  <c r="EZ28" i="63"/>
  <c r="FM28" i="63"/>
  <c r="FI20" i="63"/>
  <c r="FV20" i="63"/>
  <c r="FQ16" i="63"/>
  <c r="FD16" i="63"/>
  <c r="FA37" i="63"/>
  <c r="FN37" i="63"/>
  <c r="FO78" i="63"/>
  <c r="FB78" i="63"/>
  <c r="FM107" i="63"/>
  <c r="EZ107" i="63"/>
  <c r="FM128" i="63"/>
  <c r="EZ128" i="63"/>
  <c r="I406" i="73"/>
  <c r="BL16" i="126"/>
  <c r="AJ18" i="126"/>
  <c r="FK57" i="63"/>
  <c r="EX57" i="63"/>
  <c r="FO23" i="63"/>
  <c r="FB23" i="63"/>
  <c r="I408" i="73"/>
  <c r="CX5" i="126"/>
  <c r="CX12" i="126"/>
  <c r="FP12" i="126"/>
  <c r="I421" i="73"/>
  <c r="CX18" i="126"/>
  <c r="DB18" i="126" s="1"/>
  <c r="J503" i="73"/>
  <c r="DM19" i="126"/>
  <c r="V32" i="114"/>
  <c r="J510" i="73"/>
  <c r="DM26" i="126"/>
  <c r="FQ26" i="126"/>
  <c r="F568" i="73"/>
  <c r="BY32" i="126"/>
  <c r="H24" i="126"/>
  <c r="GC23" i="63"/>
  <c r="GB58" i="63"/>
  <c r="CN7" i="126"/>
  <c r="CN16" i="126"/>
  <c r="CN25" i="126"/>
  <c r="EL30" i="126"/>
  <c r="EL32" i="126"/>
  <c r="ER3" i="126"/>
  <c r="ED7" i="126"/>
  <c r="ED9" i="126"/>
  <c r="DP23" i="126"/>
  <c r="DP25" i="126"/>
  <c r="BZ20" i="126"/>
  <c r="BZ28" i="126"/>
  <c r="BL20" i="126"/>
  <c r="AJ12" i="126"/>
  <c r="BG30" i="126"/>
  <c r="BG32" i="126"/>
  <c r="H21" i="126"/>
  <c r="H9" i="126"/>
  <c r="H12" i="126"/>
  <c r="H3" i="126"/>
  <c r="B30" i="126"/>
  <c r="GB24" i="63"/>
  <c r="GB38" i="63"/>
  <c r="GC42" i="63"/>
  <c r="GB140" i="63"/>
  <c r="AO102" i="73"/>
  <c r="K736" i="73" s="1"/>
  <c r="DZ31" i="126"/>
  <c r="J730" i="73"/>
  <c r="DJ31" i="126"/>
  <c r="DB14" i="126"/>
  <c r="FR8" i="126"/>
  <c r="FF23" i="126"/>
  <c r="FF15" i="126"/>
  <c r="FF5" i="126"/>
  <c r="BZ15" i="126"/>
  <c r="BX30" i="126"/>
  <c r="BX32" i="126"/>
  <c r="AJ8" i="126"/>
  <c r="BZ6" i="126"/>
  <c r="GG49" i="63"/>
  <c r="GG100" i="63"/>
  <c r="FR144" i="63"/>
  <c r="AJ5" i="126"/>
  <c r="AJ11" i="126"/>
  <c r="AJ7" i="126"/>
  <c r="GE119" i="63"/>
  <c r="GG79" i="63"/>
  <c r="FF24" i="126"/>
  <c r="AX17" i="126"/>
  <c r="C30" i="126"/>
  <c r="C32" i="126"/>
  <c r="FB86" i="63"/>
  <c r="FN66" i="63"/>
  <c r="EZ132" i="63"/>
  <c r="FL20" i="63"/>
  <c r="FB38" i="63"/>
  <c r="FM140" i="63"/>
  <c r="K487" i="73"/>
  <c r="DP20" i="126"/>
  <c r="BZ27" i="126"/>
  <c r="G733" i="73"/>
  <c r="BU31" i="126"/>
  <c r="BL17" i="126"/>
  <c r="AF31" i="126"/>
  <c r="P33" i="122"/>
  <c r="GE63" i="63"/>
  <c r="FE96" i="63"/>
  <c r="EM30" i="126"/>
  <c r="EM32" i="126"/>
  <c r="ER15" i="126"/>
  <c r="ER17" i="126"/>
  <c r="ER19" i="126"/>
  <c r="ER21" i="126"/>
  <c r="ER23" i="126"/>
  <c r="ER25" i="126"/>
  <c r="ER27" i="126"/>
  <c r="ER29" i="126"/>
  <c r="ED6" i="126"/>
  <c r="GF95" i="63"/>
  <c r="FR15" i="63"/>
  <c r="FG74" i="63"/>
  <c r="FH53" i="63"/>
  <c r="Z94" i="62"/>
  <c r="Z97" i="62"/>
  <c r="Z98" i="62"/>
  <c r="Z95" i="62"/>
  <c r="FE119" i="63"/>
  <c r="EZ104" i="63"/>
  <c r="FF83" i="63"/>
  <c r="D628" i="73"/>
  <c r="FA104" i="63"/>
  <c r="G30" i="126"/>
  <c r="AW3" i="126"/>
  <c r="F3" i="124"/>
  <c r="FY113" i="63"/>
  <c r="EL113" i="63"/>
  <c r="GE113" i="63"/>
  <c r="FR113" i="63"/>
  <c r="ER113" i="63"/>
  <c r="FX113" i="63"/>
  <c r="EX113" i="63"/>
  <c r="EN114" i="63"/>
  <c r="FA114" i="63"/>
  <c r="ET114" i="63"/>
  <c r="FG114" i="63"/>
  <c r="EG120" i="63"/>
  <c r="FH52" i="63"/>
  <c r="EU52" i="63"/>
  <c r="DY60" i="63"/>
  <c r="EL52" i="63"/>
  <c r="EL60" i="63"/>
  <c r="AO24" i="73"/>
  <c r="DX22" i="126"/>
  <c r="ED22" i="126"/>
  <c r="AO48" i="73"/>
  <c r="DY12" i="126"/>
  <c r="FO12" i="126"/>
  <c r="FH50" i="63"/>
  <c r="FO41" i="63"/>
  <c r="GG93" i="63"/>
  <c r="ET93" i="63"/>
  <c r="GF93" i="63"/>
  <c r="FS93" i="63"/>
  <c r="ES93" i="63"/>
  <c r="ES120" i="63"/>
  <c r="FV93" i="63"/>
  <c r="FI93" i="63"/>
  <c r="CJ9" i="126"/>
  <c r="H429" i="73"/>
  <c r="CJ26" i="126"/>
  <c r="AO5" i="73"/>
  <c r="DX3" i="126"/>
  <c r="S32" i="115"/>
  <c r="AO28" i="73"/>
  <c r="K267" i="73" s="1"/>
  <c r="DX26" i="126"/>
  <c r="ED26" i="126"/>
  <c r="AQ107" i="73"/>
  <c r="M487" i="73" s="1"/>
  <c r="FC3" i="126"/>
  <c r="FC30" i="126"/>
  <c r="B324" i="73"/>
  <c r="GE173" i="63"/>
  <c r="FZ57" i="63"/>
  <c r="FB96" i="63"/>
  <c r="FG93" i="63"/>
  <c r="EC60" i="63"/>
  <c r="EC150" i="63"/>
  <c r="EP123" i="63"/>
  <c r="EP150" i="63"/>
  <c r="FB123" i="63"/>
  <c r="EB150" i="63"/>
  <c r="EO123" i="63"/>
  <c r="GB149" i="63"/>
  <c r="EO149" i="63"/>
  <c r="GA149" i="63"/>
  <c r="EN149" i="63"/>
  <c r="GB94" i="63"/>
  <c r="EO94" i="63"/>
  <c r="FO94" i="63"/>
  <c r="FB94" i="63"/>
  <c r="S67" i="115"/>
  <c r="I469" i="73"/>
  <c r="D545" i="73"/>
  <c r="FO34" i="63"/>
  <c r="F380" i="73"/>
  <c r="FR58" i="63"/>
  <c r="FR148" i="63"/>
  <c r="I647" i="73"/>
  <c r="FA153" i="63"/>
  <c r="CN26" i="126"/>
  <c r="FT66" i="63"/>
  <c r="FG66" i="63"/>
  <c r="FF119" i="63"/>
  <c r="FS119" i="63"/>
  <c r="EZ161" i="63"/>
  <c r="FM161" i="63"/>
  <c r="FN67" i="63"/>
  <c r="E464" i="73"/>
  <c r="FA67" i="63"/>
  <c r="FO87" i="63"/>
  <c r="FB87" i="63"/>
  <c r="FN108" i="63"/>
  <c r="FA108" i="63"/>
  <c r="FN145" i="63"/>
  <c r="FA145" i="63"/>
  <c r="FN178" i="63"/>
  <c r="E728" i="73"/>
  <c r="FA178" i="63"/>
  <c r="FK50" i="63"/>
  <c r="EX50" i="63"/>
  <c r="FU46" i="63"/>
  <c r="FH46" i="63"/>
  <c r="FS8" i="63"/>
  <c r="FF8" i="63"/>
  <c r="FT45" i="63"/>
  <c r="FG45" i="63"/>
  <c r="FR169" i="63"/>
  <c r="FE169" i="63"/>
  <c r="ER5" i="126"/>
  <c r="ER7" i="126"/>
  <c r="ER9" i="126"/>
  <c r="ER11" i="126"/>
  <c r="ED27" i="126"/>
  <c r="ED29" i="126"/>
  <c r="FN119" i="63"/>
  <c r="FA119" i="63"/>
  <c r="FF82" i="63"/>
  <c r="FS82" i="63"/>
  <c r="FO33" i="63"/>
  <c r="FB33" i="63"/>
  <c r="ED15" i="126"/>
  <c r="ED17" i="126"/>
  <c r="ED20" i="126"/>
  <c r="ED23" i="126"/>
  <c r="ED25" i="126"/>
  <c r="DP5" i="126"/>
  <c r="DP7" i="126"/>
  <c r="DP9" i="126"/>
  <c r="DP11" i="126"/>
  <c r="DP13" i="126"/>
  <c r="DP15" i="126"/>
  <c r="DP17" i="126"/>
  <c r="DP19" i="126"/>
  <c r="DP27" i="126"/>
  <c r="AX3" i="126"/>
  <c r="AR30" i="126"/>
  <c r="AR32" i="126"/>
  <c r="AX19" i="126"/>
  <c r="AX21" i="126"/>
  <c r="AX23" i="126"/>
  <c r="AX27" i="126"/>
  <c r="AX29" i="126"/>
  <c r="AJ21" i="126"/>
  <c r="AH30" i="126"/>
  <c r="FF22" i="126"/>
  <c r="FF13" i="126"/>
  <c r="FF4" i="126"/>
  <c r="BZ16" i="126"/>
  <c r="BV30" i="126"/>
  <c r="BV32" i="126"/>
  <c r="AV30" i="126"/>
  <c r="AV32" i="126"/>
  <c r="GF16" i="63"/>
  <c r="GH42" i="63"/>
  <c r="FZ132" i="63"/>
  <c r="GA95" i="63"/>
  <c r="L244" i="73"/>
  <c r="BL28" i="126"/>
  <c r="AX5" i="126"/>
  <c r="AX7" i="126"/>
  <c r="AX11" i="126"/>
  <c r="AX13" i="126"/>
  <c r="AX15" i="126"/>
  <c r="AJ22" i="126"/>
  <c r="FF21" i="126"/>
  <c r="FF12" i="126"/>
  <c r="FF3" i="126"/>
  <c r="EZ30" i="126"/>
  <c r="GE15" i="63"/>
  <c r="GA162" i="63"/>
  <c r="GH38" i="63"/>
  <c r="GH53" i="63"/>
  <c r="FZ128" i="63"/>
  <c r="FZ107" i="63"/>
  <c r="ER13" i="126"/>
  <c r="BZ7" i="126"/>
  <c r="AJ4" i="126"/>
  <c r="BZ12" i="126"/>
  <c r="BZ4" i="126"/>
  <c r="H28" i="126"/>
  <c r="GD16" i="63"/>
  <c r="GE169" i="63"/>
  <c r="GH46" i="63"/>
  <c r="GF58" i="63"/>
  <c r="GE144" i="63"/>
  <c r="FZ108" i="63"/>
  <c r="GE74" i="63"/>
  <c r="GG87" i="63"/>
  <c r="AJ14" i="126"/>
  <c r="DL30" i="126"/>
  <c r="DL32" i="126" s="1"/>
  <c r="BZ13" i="126"/>
  <c r="H7" i="126"/>
  <c r="GE99" i="63"/>
  <c r="FT49" i="63"/>
  <c r="FF10" i="126"/>
  <c r="F27" i="125"/>
  <c r="AH31" i="126"/>
  <c r="I32" i="123"/>
  <c r="Z60" i="62"/>
  <c r="Z58" i="62"/>
  <c r="Z69" i="62"/>
  <c r="Z59" i="62"/>
  <c r="Z65" i="62"/>
  <c r="Z61" i="62"/>
  <c r="AO68" i="73"/>
  <c r="K733" i="73" s="1"/>
  <c r="DY31" i="126"/>
  <c r="J736" i="73"/>
  <c r="DL31" i="126"/>
  <c r="AE31" i="126"/>
  <c r="AE32" i="126"/>
  <c r="T33" i="121"/>
  <c r="T34" i="121"/>
  <c r="T36" i="121"/>
  <c r="GB78" i="63"/>
  <c r="FZ79" i="63"/>
  <c r="BH30" i="126"/>
  <c r="BH32" i="126"/>
  <c r="FO63" i="63"/>
  <c r="ER31" i="126"/>
  <c r="EZ111" i="63"/>
  <c r="FN104" i="63"/>
  <c r="H58" i="62"/>
  <c r="H68" i="62"/>
  <c r="H65" i="62"/>
  <c r="H60" i="62"/>
  <c r="N52" i="62"/>
  <c r="FA162" i="63"/>
  <c r="FB140" i="63"/>
  <c r="FM104" i="63"/>
  <c r="FF67" i="63"/>
  <c r="FE108" i="63"/>
  <c r="FH38" i="63"/>
  <c r="GG113" i="63"/>
  <c r="ET113" i="63"/>
  <c r="GH113" i="63"/>
  <c r="FU113" i="63"/>
  <c r="FH113" i="63"/>
  <c r="EU113" i="63"/>
  <c r="FV113" i="63"/>
  <c r="FI113" i="63"/>
  <c r="FB114" i="63"/>
  <c r="EO114" i="63"/>
  <c r="FF52" i="63"/>
  <c r="ES52" i="63"/>
  <c r="ES60" i="63"/>
  <c r="EF60" i="63"/>
  <c r="ET52" i="63"/>
  <c r="ET60" i="63"/>
  <c r="EG60" i="63"/>
  <c r="CI17" i="126"/>
  <c r="AO21" i="73"/>
  <c r="K260" i="73" s="1"/>
  <c r="DX19" i="126"/>
  <c r="ED19" i="126"/>
  <c r="AO40" i="73"/>
  <c r="K326" i="73" s="1"/>
  <c r="DY4" i="126"/>
  <c r="T32" i="115"/>
  <c r="AO60" i="73"/>
  <c r="DY24" i="126"/>
  <c r="FO24" i="126"/>
  <c r="K392" i="73"/>
  <c r="FU50" i="63"/>
  <c r="L396" i="73"/>
  <c r="GB41" i="63"/>
  <c r="FE125" i="63"/>
  <c r="ER125" i="63"/>
  <c r="GA93" i="63"/>
  <c r="DA120" i="63"/>
  <c r="EN93" i="63"/>
  <c r="GE93" i="63"/>
  <c r="DE120" i="63"/>
  <c r="ER93" i="63"/>
  <c r="ER120" i="63"/>
  <c r="FE93" i="63"/>
  <c r="H326" i="73"/>
  <c r="CI4" i="126"/>
  <c r="CN4" i="126"/>
  <c r="T32" i="112"/>
  <c r="CI13" i="126"/>
  <c r="CN13" i="126"/>
  <c r="AO16" i="73"/>
  <c r="K255" i="73" s="1"/>
  <c r="DX14" i="126"/>
  <c r="ED14" i="126"/>
  <c r="ES125" i="63"/>
  <c r="EC120" i="63"/>
  <c r="EA120" i="63"/>
  <c r="FN93" i="63"/>
  <c r="FC20" i="63"/>
  <c r="ER123" i="63"/>
  <c r="EE150" i="63"/>
  <c r="EQ123" i="63"/>
  <c r="EQ150" i="63"/>
  <c r="ED150" i="63"/>
  <c r="DX150" i="63"/>
  <c r="GG149" i="63"/>
  <c r="ET149" i="63"/>
  <c r="FY94" i="63"/>
  <c r="FL94" i="63"/>
  <c r="EL94" i="63"/>
  <c r="H269" i="73"/>
  <c r="CH28" i="126"/>
  <c r="CJ5" i="126"/>
  <c r="CN5" i="126"/>
  <c r="U32" i="112"/>
  <c r="CJ22" i="126"/>
  <c r="FP22" i="126"/>
  <c r="AO12" i="73"/>
  <c r="DX10" i="126"/>
  <c r="ED10" i="126"/>
  <c r="B401" i="73"/>
  <c r="DE150" i="63"/>
  <c r="I96" i="62"/>
  <c r="CN9" i="126"/>
  <c r="FK27" i="63"/>
  <c r="EX27" i="63"/>
  <c r="FN74" i="63"/>
  <c r="FA74" i="63"/>
  <c r="FB124" i="63"/>
  <c r="FO124" i="63"/>
  <c r="F623" i="73"/>
  <c r="FF144" i="63"/>
  <c r="FS144" i="63"/>
  <c r="FM165" i="63"/>
  <c r="EZ165" i="63"/>
  <c r="FR8" i="63"/>
  <c r="FE8" i="63"/>
  <c r="FM54" i="63"/>
  <c r="EZ54" i="63"/>
  <c r="FM75" i="63"/>
  <c r="EZ75" i="63"/>
  <c r="FN96" i="63"/>
  <c r="FA96" i="63"/>
  <c r="FA116" i="63"/>
  <c r="FN116" i="63"/>
  <c r="FN154" i="63"/>
  <c r="FA154" i="63"/>
  <c r="FI12" i="63"/>
  <c r="FV12" i="63"/>
  <c r="FO100" i="63"/>
  <c r="FB100" i="63"/>
  <c r="FO83" i="63"/>
  <c r="FB83" i="63"/>
  <c r="FB75" i="63"/>
  <c r="FO75" i="63"/>
  <c r="FN50" i="63"/>
  <c r="FA50" i="63"/>
  <c r="FT34" i="63"/>
  <c r="FG34" i="63"/>
  <c r="FI16" i="63"/>
  <c r="FV16" i="63"/>
  <c r="EY8" i="63"/>
  <c r="FL8" i="63"/>
  <c r="C303" i="73"/>
  <c r="FO115" i="63"/>
  <c r="FB115" i="63"/>
  <c r="FG136" i="63"/>
  <c r="FT136" i="63"/>
  <c r="FM157" i="63"/>
  <c r="EZ157" i="63"/>
  <c r="FM119" i="63"/>
  <c r="EZ119" i="63"/>
  <c r="FM82" i="63"/>
  <c r="EZ82" i="63"/>
  <c r="FS66" i="63"/>
  <c r="FF66" i="63"/>
  <c r="CK30" i="126"/>
  <c r="CK32" i="126"/>
  <c r="I412" i="73"/>
  <c r="CX9" i="126"/>
  <c r="DB9" i="126" s="1"/>
  <c r="CX16" i="126"/>
  <c r="I432" i="73"/>
  <c r="CX29" i="126"/>
  <c r="FP29" i="126"/>
  <c r="DM22" i="126"/>
  <c r="DP22" i="126" s="1"/>
  <c r="E244" i="73"/>
  <c r="F30" i="126"/>
  <c r="F32" i="126"/>
  <c r="D568" i="73"/>
  <c r="E568" i="73"/>
  <c r="H29" i="126"/>
  <c r="GG169" i="63"/>
  <c r="GC41" i="63"/>
  <c r="GB148" i="63"/>
  <c r="FZ103" i="63"/>
  <c r="CN12" i="126"/>
  <c r="CN21" i="126"/>
  <c r="CH30" i="126"/>
  <c r="CH32" i="126"/>
  <c r="DZ30" i="126"/>
  <c r="DZ32" i="126"/>
  <c r="DP3" i="126"/>
  <c r="DJ30" i="126"/>
  <c r="DJ32" i="126" s="1"/>
  <c r="DP24" i="126"/>
  <c r="DP26" i="126"/>
  <c r="BU30" i="126"/>
  <c r="BU32" i="126"/>
  <c r="BZ24" i="126"/>
  <c r="BL12" i="126"/>
  <c r="BZ10" i="126"/>
  <c r="BZ11" i="126"/>
  <c r="BT30" i="126"/>
  <c r="BT32" i="126"/>
  <c r="BZ3" i="126"/>
  <c r="AX25" i="126"/>
  <c r="D30" i="126"/>
  <c r="D32" i="126"/>
  <c r="H10" i="126"/>
  <c r="GF8" i="63"/>
  <c r="GC28" i="63"/>
  <c r="GG38" i="63"/>
  <c r="GA128" i="63"/>
  <c r="GF144" i="63"/>
  <c r="GB115" i="63"/>
  <c r="CI30" i="126"/>
  <c r="CI32" i="126"/>
  <c r="EN30" i="126"/>
  <c r="EN32" i="126"/>
  <c r="J487" i="73"/>
  <c r="FF27" i="126"/>
  <c r="FF19" i="126"/>
  <c r="FF9" i="126"/>
  <c r="ER4" i="126"/>
  <c r="BZ14" i="126"/>
  <c r="GE8" i="63"/>
  <c r="AX9" i="126"/>
  <c r="FR14" i="126"/>
  <c r="H27" i="126"/>
  <c r="GA24" i="63"/>
  <c r="GB173" i="63"/>
  <c r="GA170" i="63"/>
  <c r="FX50" i="63"/>
  <c r="GA137" i="63"/>
  <c r="GE108" i="63"/>
  <c r="GB86" i="63"/>
  <c r="GF83" i="63"/>
  <c r="GB63" i="63"/>
  <c r="FE148" i="63"/>
  <c r="AJ27" i="126"/>
  <c r="AJ23" i="126"/>
  <c r="AJ19" i="126"/>
  <c r="AJ20" i="126"/>
  <c r="BZ5" i="126"/>
  <c r="H16" i="126"/>
  <c r="FF29" i="126"/>
  <c r="FF20" i="126"/>
  <c r="E30" i="126"/>
  <c r="E32" i="126"/>
  <c r="AA93" i="62"/>
  <c r="AA97" i="62"/>
  <c r="AA101" i="62"/>
  <c r="AA96" i="62"/>
  <c r="AA102" i="62"/>
  <c r="AA94" i="62"/>
  <c r="AA95" i="62"/>
  <c r="FA95" i="63"/>
  <c r="FB67" i="63"/>
  <c r="AO136" i="73"/>
  <c r="K739" i="73" s="1"/>
  <c r="EA31" i="126"/>
  <c r="DP21" i="126"/>
  <c r="BW30" i="126"/>
  <c r="BZ23" i="126"/>
  <c r="G739" i="73"/>
  <c r="BW31" i="126"/>
  <c r="BF30" i="126"/>
  <c r="BF32" i="126"/>
  <c r="BL6" i="126"/>
  <c r="BL9" i="126"/>
  <c r="D730" i="73"/>
  <c r="AD31" i="126"/>
  <c r="S33" i="121"/>
  <c r="S34" i="121"/>
  <c r="S36" i="121"/>
  <c r="GF86" i="63"/>
  <c r="GF79" i="63"/>
  <c r="FE99" i="63"/>
  <c r="FF95" i="63"/>
  <c r="M3" i="62"/>
  <c r="ER16" i="126"/>
  <c r="ER18" i="126"/>
  <c r="ER20" i="126"/>
  <c r="ER22" i="126"/>
  <c r="ER24" i="126"/>
  <c r="ER26" i="126"/>
  <c r="ER28" i="126"/>
  <c r="GA108" i="63"/>
  <c r="GF82" i="63"/>
  <c r="GA83" i="63"/>
  <c r="I163" i="62"/>
  <c r="I168" i="62"/>
  <c r="FG38" i="63"/>
  <c r="FF16" i="63"/>
  <c r="GC113" i="63"/>
  <c r="FP113" i="63"/>
  <c r="EP113" i="63"/>
  <c r="GD113" i="63"/>
  <c r="FQ113" i="63"/>
  <c r="EQ113" i="63"/>
  <c r="GA113" i="63"/>
  <c r="EN113" i="63"/>
  <c r="FN113" i="63"/>
  <c r="EU114" i="63"/>
  <c r="EH120" i="63"/>
  <c r="EN52" i="63"/>
  <c r="EN60" i="63"/>
  <c r="EA60" i="63"/>
  <c r="ER52" i="63"/>
  <c r="ER60" i="63"/>
  <c r="FE52" i="63"/>
  <c r="EZ52" i="63"/>
  <c r="EM52" i="63"/>
  <c r="EM60" i="63"/>
  <c r="DZ60" i="63"/>
  <c r="AO7" i="73"/>
  <c r="K246" i="73" s="1"/>
  <c r="DX5" i="126"/>
  <c r="ED5" i="126"/>
  <c r="I709" i="73"/>
  <c r="D623" i="73"/>
  <c r="EB120" i="63"/>
  <c r="GC93" i="63"/>
  <c r="FC93" i="63"/>
  <c r="DC120" i="63"/>
  <c r="EP93" i="63"/>
  <c r="EP120" i="63"/>
  <c r="GB93" i="63"/>
  <c r="FO93" i="63"/>
  <c r="FB93" i="63"/>
  <c r="EO93" i="63"/>
  <c r="EO120" i="63"/>
  <c r="FZ93" i="63"/>
  <c r="FM93" i="63"/>
  <c r="EM93" i="63"/>
  <c r="EM120" i="63"/>
  <c r="CJ8" i="126"/>
  <c r="FP8" i="126"/>
  <c r="H420" i="73"/>
  <c r="CJ17" i="126"/>
  <c r="H316" i="73"/>
  <c r="FT93" i="63"/>
  <c r="FG79" i="63"/>
  <c r="FG63" i="63"/>
  <c r="EE60" i="63"/>
  <c r="C12" i="64"/>
  <c r="B12" i="64"/>
  <c r="B3" i="62"/>
  <c r="FG123" i="63"/>
  <c r="ET123" i="63"/>
  <c r="ET150" i="63"/>
  <c r="EG150" i="63"/>
  <c r="EF150" i="63"/>
  <c r="FI123" i="63"/>
  <c r="EI150" i="63"/>
  <c r="GF149" i="63"/>
  <c r="FS149" i="63"/>
  <c r="ES149" i="63"/>
  <c r="FZ149" i="63"/>
  <c r="EZ149" i="63"/>
  <c r="FM149" i="63"/>
  <c r="EM149" i="63"/>
  <c r="GI94" i="63"/>
  <c r="FI94" i="63"/>
  <c r="FV94" i="63"/>
  <c r="AB33" i="121"/>
  <c r="AB34" i="121"/>
  <c r="AB36" i="121"/>
  <c r="P32" i="65"/>
  <c r="P33" i="65"/>
  <c r="AO44" i="73"/>
  <c r="DY8" i="126"/>
  <c r="J304" i="73"/>
  <c r="J473" i="73"/>
  <c r="I481" i="73"/>
  <c r="FB34" i="63"/>
  <c r="CX150" i="63"/>
  <c r="J628" i="73"/>
  <c r="Q74" i="119"/>
  <c r="D18" i="124"/>
  <c r="Q87" i="119"/>
  <c r="Q93" i="119"/>
  <c r="K82" i="119"/>
  <c r="L87" i="119"/>
  <c r="M84" i="119"/>
  <c r="K76" i="119"/>
  <c r="BF25" i="66"/>
  <c r="AZ4" i="66"/>
  <c r="GC3" i="126"/>
  <c r="E84" i="119"/>
  <c r="V84" i="119" s="1"/>
  <c r="AZ24" i="66"/>
  <c r="GC23" i="126"/>
  <c r="T30" i="126"/>
  <c r="F32" i="65"/>
  <c r="F33" i="65"/>
  <c r="R33" i="121"/>
  <c r="R34" i="121"/>
  <c r="R36" i="121"/>
  <c r="C739" i="73"/>
  <c r="S31" i="126"/>
  <c r="BF17" i="66"/>
  <c r="GE16" i="126"/>
  <c r="C568" i="73"/>
  <c r="C742" i="73"/>
  <c r="T31" i="126"/>
  <c r="H32" i="123"/>
  <c r="W16" i="119"/>
  <c r="P15" i="66"/>
  <c r="C93" i="119"/>
  <c r="T93" i="119" s="1"/>
  <c r="V28" i="126"/>
  <c r="AZ23" i="66"/>
  <c r="GC22" i="126"/>
  <c r="BI23" i="66"/>
  <c r="GF22" i="126"/>
  <c r="AZ29" i="66"/>
  <c r="C75" i="119"/>
  <c r="T75" i="119" s="1"/>
  <c r="FP26" i="126"/>
  <c r="FP3" i="126"/>
  <c r="BC20" i="66"/>
  <c r="GD19" i="126"/>
  <c r="AZ17" i="66"/>
  <c r="BB17" i="66" s="1"/>
  <c r="GC16" i="126"/>
  <c r="W42" i="119"/>
  <c r="J91" i="119"/>
  <c r="F91" i="119"/>
  <c r="V32" i="107"/>
  <c r="BC25" i="66"/>
  <c r="GD24" i="126"/>
  <c r="Q32" i="126"/>
  <c r="W40" i="119"/>
  <c r="P5" i="66"/>
  <c r="W44" i="119"/>
  <c r="W62" i="119"/>
  <c r="BF6" i="66"/>
  <c r="GE5" i="126"/>
  <c r="BF10" i="66"/>
  <c r="FN14" i="126"/>
  <c r="V12" i="126"/>
  <c r="FN12" i="126"/>
  <c r="FN20" i="126"/>
  <c r="V11" i="126"/>
  <c r="FN19" i="126"/>
  <c r="FN13" i="126"/>
  <c r="V13" i="126"/>
  <c r="V25" i="126"/>
  <c r="FN25" i="126"/>
  <c r="FN18" i="126"/>
  <c r="FN16" i="126"/>
  <c r="V16" i="126"/>
  <c r="V24" i="126"/>
  <c r="V15" i="126"/>
  <c r="FN15" i="126"/>
  <c r="V23" i="126"/>
  <c r="FN23" i="126"/>
  <c r="V29" i="126"/>
  <c r="FN29" i="126"/>
  <c r="FN7" i="126"/>
  <c r="V4" i="126"/>
  <c r="FN27" i="126"/>
  <c r="V27" i="126"/>
  <c r="FN6" i="126"/>
  <c r="FN10" i="126"/>
  <c r="FN5" i="126"/>
  <c r="B87" i="119"/>
  <c r="S87" i="119" s="1"/>
  <c r="V8" i="126"/>
  <c r="FN8" i="126"/>
  <c r="V9" i="126"/>
  <c r="FN9" i="126"/>
  <c r="V21" i="126"/>
  <c r="FN3" i="126"/>
  <c r="P30" i="126"/>
  <c r="P32" i="126"/>
  <c r="M304" i="73"/>
  <c r="N61" i="73"/>
  <c r="O61" i="73" s="1"/>
  <c r="N53" i="73"/>
  <c r="O53" i="73" s="1"/>
  <c r="N31" i="73"/>
  <c r="D483" i="73"/>
  <c r="B606" i="73"/>
  <c r="N98" i="73"/>
  <c r="O98" i="73" s="1"/>
  <c r="M381" i="73"/>
  <c r="N16" i="73"/>
  <c r="G5" i="121"/>
  <c r="V4" i="66" s="1"/>
  <c r="V26" i="66"/>
  <c r="Y26" i="66" s="1"/>
  <c r="I15" i="121"/>
  <c r="H7" i="127" s="1"/>
  <c r="AA61" i="62"/>
  <c r="AA68" i="62"/>
  <c r="G135" i="62"/>
  <c r="G138" i="62"/>
  <c r="AA63" i="62"/>
  <c r="AA67" i="62"/>
  <c r="AA69" i="62"/>
  <c r="J66" i="62"/>
  <c r="J62" i="62"/>
  <c r="J58" i="62"/>
  <c r="J69" i="62"/>
  <c r="J65" i="62"/>
  <c r="J61" i="62"/>
  <c r="J68" i="62"/>
  <c r="J64" i="62"/>
  <c r="J60" i="62"/>
  <c r="N54" i="62"/>
  <c r="J67" i="62"/>
  <c r="J63" i="62"/>
  <c r="J59" i="62"/>
  <c r="AA66" i="62"/>
  <c r="AF53" i="62"/>
  <c r="AA64" i="62"/>
  <c r="E31" i="62"/>
  <c r="W69" i="62"/>
  <c r="H31" i="62"/>
  <c r="E128" i="62"/>
  <c r="E129" i="62"/>
  <c r="J32" i="62"/>
  <c r="E130" i="62"/>
  <c r="F93" i="62"/>
  <c r="F95" i="62"/>
  <c r="F94" i="62"/>
  <c r="AH28" i="65"/>
  <c r="L97" i="119"/>
  <c r="C23" i="124"/>
  <c r="C26" i="125" s="1"/>
  <c r="AF198" i="73"/>
  <c r="B670" i="73" s="1"/>
  <c r="C5" i="124"/>
  <c r="C8" i="125" s="1"/>
  <c r="AF180" i="73"/>
  <c r="B652" i="73" s="1"/>
  <c r="AD22" i="65"/>
  <c r="AH8" i="65"/>
  <c r="AE21" i="65"/>
  <c r="L89" i="119"/>
  <c r="K81" i="119"/>
  <c r="N91" i="119"/>
  <c r="W17" i="119"/>
  <c r="P14" i="66" s="1"/>
  <c r="I79" i="119"/>
  <c r="W56" i="119"/>
  <c r="G95" i="119"/>
  <c r="W57" i="119"/>
  <c r="M76" i="119"/>
  <c r="N76" i="119"/>
  <c r="AQ23" i="121"/>
  <c r="AS23" i="121" s="1"/>
  <c r="AQ22" i="121"/>
  <c r="AS22" i="121" s="1"/>
  <c r="AC26" i="65"/>
  <c r="AF161" i="73"/>
  <c r="B586" i="73" s="1"/>
  <c r="AD8" i="65"/>
  <c r="O97" i="119"/>
  <c r="W55" i="119"/>
  <c r="L95" i="119"/>
  <c r="E96" i="119"/>
  <c r="V96" i="119" s="1"/>
  <c r="G71" i="119"/>
  <c r="AQ21" i="121"/>
  <c r="AS21" i="121" s="1"/>
  <c r="AR125" i="73"/>
  <c r="M90" i="119"/>
  <c r="X67" i="106"/>
  <c r="AF183" i="73"/>
  <c r="B655" i="73" s="1"/>
  <c r="L24" i="73"/>
  <c r="M21" i="73"/>
  <c r="I34" i="73"/>
  <c r="I732" i="73" s="1"/>
  <c r="H198" i="73"/>
  <c r="M186" i="73"/>
  <c r="AB186" i="73"/>
  <c r="AC186" i="73" s="1"/>
  <c r="H182" i="73"/>
  <c r="G178" i="73"/>
  <c r="G704" i="73" s="1"/>
  <c r="V178" i="73"/>
  <c r="G677" i="73" s="1"/>
  <c r="M165" i="73"/>
  <c r="N165" i="73" s="1"/>
  <c r="AB165" i="73"/>
  <c r="M617" i="73" s="1"/>
  <c r="H161" i="73"/>
  <c r="H640" i="73" s="1"/>
  <c r="G157" i="73"/>
  <c r="V157" i="73"/>
  <c r="G609" i="73" s="1"/>
  <c r="M149" i="73"/>
  <c r="AB149" i="73"/>
  <c r="AC149" i="73" s="1"/>
  <c r="H145" i="73"/>
  <c r="H118" i="73"/>
  <c r="W118" i="73"/>
  <c r="H525" i="73" s="1"/>
  <c r="M97" i="73"/>
  <c r="H93" i="73"/>
  <c r="W93" i="73"/>
  <c r="H453" i="73" s="1"/>
  <c r="G89" i="73"/>
  <c r="M81" i="73"/>
  <c r="H77" i="73"/>
  <c r="W77" i="73"/>
  <c r="H437" i="73" s="1"/>
  <c r="M73" i="73"/>
  <c r="N73" i="73" s="1"/>
  <c r="O73" i="73" s="1"/>
  <c r="E60" i="73"/>
  <c r="H52" i="73"/>
  <c r="J44" i="73"/>
  <c r="J384" i="73" s="1"/>
  <c r="I40" i="73"/>
  <c r="I380" i="73" s="1"/>
  <c r="C26" i="73"/>
  <c r="F18" i="73"/>
  <c r="F10" i="73"/>
  <c r="G6" i="73"/>
  <c r="G299" i="73" s="1"/>
  <c r="H21" i="73"/>
  <c r="H314" i="73" s="1"/>
  <c r="G59" i="73"/>
  <c r="V59" i="73"/>
  <c r="G372" i="73" s="1"/>
  <c r="E88" i="73"/>
  <c r="E129" i="73"/>
  <c r="T129" i="73"/>
  <c r="E536" i="73" s="1"/>
  <c r="E168" i="73"/>
  <c r="K197" i="73"/>
  <c r="B197" i="73"/>
  <c r="B723" i="73" s="1"/>
  <c r="L193" i="73"/>
  <c r="L719" i="73" s="1"/>
  <c r="C185" i="73"/>
  <c r="R185" i="73"/>
  <c r="C684" i="73" s="1"/>
  <c r="B181" i="73"/>
  <c r="B707" i="73" s="1"/>
  <c r="L177" i="73"/>
  <c r="L703" i="73" s="1"/>
  <c r="C164" i="73"/>
  <c r="B152" i="73"/>
  <c r="R148" i="73"/>
  <c r="C600" i="73" s="1"/>
  <c r="AA148" i="73"/>
  <c r="L600" i="73" s="1"/>
  <c r="L133" i="73"/>
  <c r="L567" i="73" s="1"/>
  <c r="B129" i="73"/>
  <c r="Q129" i="73"/>
  <c r="B536" i="73" s="1"/>
  <c r="L125" i="73"/>
  <c r="L559" i="73" s="1"/>
  <c r="AA125" i="73"/>
  <c r="L532" i="73" s="1"/>
  <c r="C117" i="73"/>
  <c r="L117" i="73"/>
  <c r="L551" i="73" s="1"/>
  <c r="L109" i="73"/>
  <c r="B96" i="73"/>
  <c r="B483" i="73" s="1"/>
  <c r="C92" i="73"/>
  <c r="R92" i="73"/>
  <c r="C452" i="73" s="1"/>
  <c r="L92" i="73"/>
  <c r="C84" i="73"/>
  <c r="L84" i="73"/>
  <c r="L471" i="73" s="1"/>
  <c r="L76" i="73"/>
  <c r="AA76" i="73"/>
  <c r="L436" i="73" s="1"/>
  <c r="M59" i="73"/>
  <c r="D51" i="73"/>
  <c r="C47" i="73"/>
  <c r="R47" i="73"/>
  <c r="C360" i="73" s="1"/>
  <c r="M43" i="73"/>
  <c r="L29" i="73"/>
  <c r="I25" i="73"/>
  <c r="X25" i="73"/>
  <c r="I291" i="73" s="1"/>
  <c r="B21" i="73"/>
  <c r="B314" i="73" s="1"/>
  <c r="K13" i="73"/>
  <c r="L9" i="73"/>
  <c r="AA9" i="73"/>
  <c r="L275" i="73" s="1"/>
  <c r="G5" i="73"/>
  <c r="I188" i="73"/>
  <c r="G188" i="73"/>
  <c r="G180" i="73"/>
  <c r="G706" i="73" s="1"/>
  <c r="D167" i="73"/>
  <c r="D646" i="73" s="1"/>
  <c r="I163" i="73"/>
  <c r="I642" i="73" s="1"/>
  <c r="X163" i="73"/>
  <c r="I615" i="73" s="1"/>
  <c r="D159" i="73"/>
  <c r="I155" i="73"/>
  <c r="X155" i="73"/>
  <c r="I607" i="73" s="1"/>
  <c r="G155" i="73"/>
  <c r="G634" i="73" s="1"/>
  <c r="V155" i="73"/>
  <c r="G607" i="73" s="1"/>
  <c r="D151" i="73"/>
  <c r="D630" i="73" s="1"/>
  <c r="I147" i="73"/>
  <c r="X147" i="73"/>
  <c r="I599" i="73" s="1"/>
  <c r="G147" i="73"/>
  <c r="V147" i="73"/>
  <c r="G599" i="73" s="1"/>
  <c r="I132" i="73"/>
  <c r="X132" i="73"/>
  <c r="I539" i="73" s="1"/>
  <c r="G132" i="73"/>
  <c r="V132" i="73"/>
  <c r="G539" i="73" s="1"/>
  <c r="D128" i="73"/>
  <c r="I124" i="73"/>
  <c r="G124" i="73"/>
  <c r="G558" i="73" s="1"/>
  <c r="I116" i="73"/>
  <c r="G116" i="73"/>
  <c r="D112" i="73"/>
  <c r="D546" i="73" s="1"/>
  <c r="I108" i="73"/>
  <c r="G108" i="73"/>
  <c r="G542" i="73" s="1"/>
  <c r="D99" i="73"/>
  <c r="S99" i="73"/>
  <c r="D459" i="73" s="1"/>
  <c r="I95" i="73"/>
  <c r="G95" i="73"/>
  <c r="V95" i="73"/>
  <c r="G455" i="73" s="1"/>
  <c r="D91" i="73"/>
  <c r="D478" i="73" s="1"/>
  <c r="S91" i="73"/>
  <c r="D451" i="73" s="1"/>
  <c r="I87" i="73"/>
  <c r="I474" i="73" s="1"/>
  <c r="G87" i="73"/>
  <c r="D83" i="73"/>
  <c r="D470" i="73" s="1"/>
  <c r="S83" i="73"/>
  <c r="D443" i="73" s="1"/>
  <c r="I79" i="73"/>
  <c r="G79" i="73"/>
  <c r="G466" i="73" s="1"/>
  <c r="G62" i="73"/>
  <c r="G402" i="73" s="1"/>
  <c r="F62" i="73"/>
  <c r="F54" i="73"/>
  <c r="H54" i="73"/>
  <c r="H394" i="73" s="1"/>
  <c r="W54" i="73"/>
  <c r="H367" i="73" s="1"/>
  <c r="T50" i="73"/>
  <c r="E363" i="73" s="1"/>
  <c r="F46" i="73"/>
  <c r="F386" i="73" s="1"/>
  <c r="H46" i="73"/>
  <c r="H386" i="73" s="1"/>
  <c r="T42" i="73"/>
  <c r="E355" i="73" s="1"/>
  <c r="D28" i="73"/>
  <c r="E24" i="73"/>
  <c r="F20" i="73"/>
  <c r="F313" i="73" s="1"/>
  <c r="G12" i="73"/>
  <c r="E75" i="73"/>
  <c r="E462" i="73" s="1"/>
  <c r="T75" i="73"/>
  <c r="E435" i="73" s="1"/>
  <c r="L46" i="73"/>
  <c r="L386" i="73" s="1"/>
  <c r="E95" i="73"/>
  <c r="J196" i="73"/>
  <c r="M24" i="73"/>
  <c r="M317" i="73" s="1"/>
  <c r="D5" i="73"/>
  <c r="M13" i="73"/>
  <c r="E25" i="73"/>
  <c r="E318" i="73" s="1"/>
  <c r="T25" i="73"/>
  <c r="E291" i="73" s="1"/>
  <c r="D13" i="73"/>
  <c r="D306" i="73" s="1"/>
  <c r="C202" i="73"/>
  <c r="R202" i="73"/>
  <c r="C701" i="73" s="1"/>
  <c r="L202" i="73"/>
  <c r="AA202" i="73"/>
  <c r="L701" i="73" s="1"/>
  <c r="B198" i="73"/>
  <c r="B724" i="73" s="1"/>
  <c r="C194" i="73"/>
  <c r="C720" i="73" s="1"/>
  <c r="R194" i="73"/>
  <c r="C693" i="73" s="1"/>
  <c r="L194" i="73"/>
  <c r="L720" i="73" s="1"/>
  <c r="AA194" i="73"/>
  <c r="L693" i="73" s="1"/>
  <c r="B190" i="73"/>
  <c r="C186" i="73"/>
  <c r="R186" i="73"/>
  <c r="C685" i="73" s="1"/>
  <c r="L186" i="73"/>
  <c r="L712" i="73" s="1"/>
  <c r="AA186" i="73"/>
  <c r="L685" i="73" s="1"/>
  <c r="B182" i="73"/>
  <c r="B708" i="73" s="1"/>
  <c r="C178" i="73"/>
  <c r="R178" i="73"/>
  <c r="C677" i="73" s="1"/>
  <c r="L178" i="73"/>
  <c r="AA178" i="73"/>
  <c r="L677" i="73" s="1"/>
  <c r="B169" i="73"/>
  <c r="C165" i="73"/>
  <c r="C644" i="73" s="1"/>
  <c r="R165" i="73"/>
  <c r="C617" i="73" s="1"/>
  <c r="L165" i="73"/>
  <c r="AA165" i="73"/>
  <c r="L617" i="73" s="1"/>
  <c r="B161" i="73"/>
  <c r="C157" i="73"/>
  <c r="R157" i="73"/>
  <c r="C609" i="73" s="1"/>
  <c r="B153" i="73"/>
  <c r="B632" i="73" s="1"/>
  <c r="C149" i="73"/>
  <c r="C628" i="73" s="1"/>
  <c r="R149" i="73"/>
  <c r="C601" i="73" s="1"/>
  <c r="L149" i="73"/>
  <c r="AA149" i="73"/>
  <c r="L601" i="73" s="1"/>
  <c r="B118" i="73"/>
  <c r="Q118" i="73"/>
  <c r="B525" i="73" s="1"/>
  <c r="B110" i="73"/>
  <c r="Q110" i="73"/>
  <c r="B517" i="73" s="1"/>
  <c r="C97" i="73"/>
  <c r="C484" i="73" s="1"/>
  <c r="L97" i="73"/>
  <c r="B93" i="73"/>
  <c r="B480" i="73" s="1"/>
  <c r="Q93" i="73"/>
  <c r="B453" i="73" s="1"/>
  <c r="C89" i="73"/>
  <c r="L89" i="73"/>
  <c r="B85" i="73"/>
  <c r="Q85" i="73"/>
  <c r="B445" i="73" s="1"/>
  <c r="C81" i="73"/>
  <c r="C468" i="73" s="1"/>
  <c r="L81" i="73"/>
  <c r="B77" i="73"/>
  <c r="B464" i="73" s="1"/>
  <c r="Q77" i="73"/>
  <c r="B437" i="73" s="1"/>
  <c r="C73" i="73"/>
  <c r="L73" i="73"/>
  <c r="I60" i="73"/>
  <c r="I400" i="73" s="1"/>
  <c r="L60" i="73"/>
  <c r="C56" i="73"/>
  <c r="C396" i="73" s="1"/>
  <c r="D52" i="73"/>
  <c r="M52" i="73"/>
  <c r="D44" i="73"/>
  <c r="M44" i="73"/>
  <c r="AB44" i="73"/>
  <c r="AC44" i="73" s="1"/>
  <c r="C40" i="73"/>
  <c r="B30" i="73"/>
  <c r="I26" i="73"/>
  <c r="L22" i="73"/>
  <c r="L315" i="73" s="1"/>
  <c r="B22" i="73"/>
  <c r="L18" i="73"/>
  <c r="AA18" i="73"/>
  <c r="L284" i="73" s="1"/>
  <c r="K14" i="73"/>
  <c r="B14" i="73"/>
  <c r="L10" i="73"/>
  <c r="L303" i="73" s="1"/>
  <c r="K6" i="73"/>
  <c r="K299" i="73" s="1"/>
  <c r="B6" i="73"/>
  <c r="B299" i="73" s="1"/>
  <c r="H13" i="73"/>
  <c r="K25" i="73"/>
  <c r="Z25" i="73"/>
  <c r="K291" i="73" s="1"/>
  <c r="G51" i="73"/>
  <c r="K68" i="73"/>
  <c r="E80" i="73"/>
  <c r="F92" i="73"/>
  <c r="K113" i="73"/>
  <c r="E121" i="73"/>
  <c r="E555" i="73" s="1"/>
  <c r="F133" i="73"/>
  <c r="K152" i="73"/>
  <c r="E160" i="73"/>
  <c r="E639" i="73" s="1"/>
  <c r="F177" i="73"/>
  <c r="F703" i="73" s="1"/>
  <c r="E197" i="73"/>
  <c r="E723" i="73" s="1"/>
  <c r="H201" i="73"/>
  <c r="M197" i="73"/>
  <c r="AB197" i="73"/>
  <c r="AC197" i="73" s="1"/>
  <c r="G197" i="73"/>
  <c r="G723" i="73" s="1"/>
  <c r="H193" i="73"/>
  <c r="H719" i="73" s="1"/>
  <c r="W193" i="73"/>
  <c r="H692" i="73" s="1"/>
  <c r="M189" i="73"/>
  <c r="N189" i="73" s="1"/>
  <c r="G189" i="73"/>
  <c r="G715" i="73" s="1"/>
  <c r="V189" i="73"/>
  <c r="G688" i="73" s="1"/>
  <c r="H185" i="73"/>
  <c r="M181" i="73"/>
  <c r="G181" i="73"/>
  <c r="H177" i="73"/>
  <c r="H703" i="73" s="1"/>
  <c r="M168" i="73"/>
  <c r="G168" i="73"/>
  <c r="G647" i="73" s="1"/>
  <c r="H164" i="73"/>
  <c r="H643" i="73" s="1"/>
  <c r="M160" i="73"/>
  <c r="N160" i="73" s="1"/>
  <c r="G160" i="73"/>
  <c r="M152" i="73"/>
  <c r="G152" i="73"/>
  <c r="W148" i="73"/>
  <c r="H600" i="73" s="1"/>
  <c r="M144" i="73"/>
  <c r="M623" i="73" s="1"/>
  <c r="H133" i="73"/>
  <c r="H567" i="73" s="1"/>
  <c r="M129" i="73"/>
  <c r="AB129" i="73"/>
  <c r="G129" i="73"/>
  <c r="G563" i="73" s="1"/>
  <c r="V129" i="73"/>
  <c r="G536" i="73" s="1"/>
  <c r="H125" i="73"/>
  <c r="H559" i="73" s="1"/>
  <c r="M121" i="73"/>
  <c r="G121" i="73"/>
  <c r="H117" i="73"/>
  <c r="H551" i="73" s="1"/>
  <c r="M113" i="73"/>
  <c r="M547" i="73" s="1"/>
  <c r="G113" i="73"/>
  <c r="H109" i="73"/>
  <c r="H543" i="73" s="1"/>
  <c r="M96" i="73"/>
  <c r="N96" i="73" s="1"/>
  <c r="O96" i="73" s="1"/>
  <c r="G96" i="73"/>
  <c r="M88" i="73"/>
  <c r="M475" i="73" s="1"/>
  <c r="G88" i="73"/>
  <c r="H84" i="73"/>
  <c r="M80" i="73"/>
  <c r="G80" i="73"/>
  <c r="I63" i="73"/>
  <c r="I403" i="73" s="1"/>
  <c r="G63" i="73"/>
  <c r="I59" i="73"/>
  <c r="I399" i="73" s="1"/>
  <c r="J55" i="73"/>
  <c r="Y55" i="73"/>
  <c r="J368" i="73" s="1"/>
  <c r="H55" i="73"/>
  <c r="I51" i="73"/>
  <c r="I391" i="73" s="1"/>
  <c r="J47" i="73"/>
  <c r="Y47" i="73"/>
  <c r="J360" i="73" s="1"/>
  <c r="H47" i="73"/>
  <c r="W47" i="73"/>
  <c r="H360" i="73" s="1"/>
  <c r="I43" i="73"/>
  <c r="W39" i="73"/>
  <c r="H352" i="73" s="1"/>
  <c r="C29" i="73"/>
  <c r="C322" i="73" s="1"/>
  <c r="M25" i="73"/>
  <c r="AB25" i="73"/>
  <c r="AC25" i="73" s="1"/>
  <c r="D25" i="73"/>
  <c r="D318" i="73" s="1"/>
  <c r="S25" i="73"/>
  <c r="D291" i="73" s="1"/>
  <c r="F21" i="73"/>
  <c r="E17" i="73"/>
  <c r="T17" i="73"/>
  <c r="E283" i="73" s="1"/>
  <c r="G17" i="73"/>
  <c r="G310" i="73" s="1"/>
  <c r="V17" i="73"/>
  <c r="G283" i="73" s="1"/>
  <c r="F13" i="73"/>
  <c r="F306" i="73" s="1"/>
  <c r="E9" i="73"/>
  <c r="E302" i="73" s="1"/>
  <c r="T9" i="73"/>
  <c r="E275" i="73" s="1"/>
  <c r="G9" i="73"/>
  <c r="V9" i="73"/>
  <c r="G275" i="73" s="1"/>
  <c r="L5" i="73"/>
  <c r="M5" i="73"/>
  <c r="M298" i="73" s="1"/>
  <c r="D192" i="73"/>
  <c r="D718" i="73" s="1"/>
  <c r="J188" i="73"/>
  <c r="L188" i="73"/>
  <c r="J180" i="73"/>
  <c r="J706" i="73" s="1"/>
  <c r="L180" i="73"/>
  <c r="J163" i="73"/>
  <c r="Y163" i="73"/>
  <c r="J615" i="73" s="1"/>
  <c r="L163" i="73"/>
  <c r="AA163" i="73"/>
  <c r="L615" i="73" s="1"/>
  <c r="B159" i="73"/>
  <c r="B638" i="73" s="1"/>
  <c r="J155" i="73"/>
  <c r="J634" i="73" s="1"/>
  <c r="Y155" i="73"/>
  <c r="J607" i="73" s="1"/>
  <c r="B151" i="73"/>
  <c r="B630" i="73" s="1"/>
  <c r="J147" i="73"/>
  <c r="J626" i="73" s="1"/>
  <c r="Y147" i="73"/>
  <c r="J599" i="73" s="1"/>
  <c r="L147" i="73"/>
  <c r="L626" i="73" s="1"/>
  <c r="AA147" i="73"/>
  <c r="L599" i="73" s="1"/>
  <c r="J132" i="73"/>
  <c r="Y132" i="73"/>
  <c r="J539" i="73" s="1"/>
  <c r="L132" i="73"/>
  <c r="AA132" i="73"/>
  <c r="L539" i="73" s="1"/>
  <c r="B128" i="73"/>
  <c r="J124" i="73"/>
  <c r="L124" i="73"/>
  <c r="L558" i="73" s="1"/>
  <c r="B120" i="73"/>
  <c r="B554" i="73" s="1"/>
  <c r="J116" i="73"/>
  <c r="J550" i="73" s="1"/>
  <c r="L116" i="73"/>
  <c r="L550" i="73" s="1"/>
  <c r="L108" i="73"/>
  <c r="B99" i="73"/>
  <c r="Q99" i="73"/>
  <c r="B459" i="73" s="1"/>
  <c r="J95" i="73"/>
  <c r="L95" i="73"/>
  <c r="B91" i="73"/>
  <c r="B478" i="73" s="1"/>
  <c r="Q91" i="73"/>
  <c r="B451" i="73" s="1"/>
  <c r="L87" i="73"/>
  <c r="L474" i="73" s="1"/>
  <c r="B83" i="73"/>
  <c r="B470" i="73" s="1"/>
  <c r="Q83" i="73"/>
  <c r="B443" i="73" s="1"/>
  <c r="J79" i="73"/>
  <c r="L79" i="73"/>
  <c r="B75" i="73"/>
  <c r="B462" i="73" s="1"/>
  <c r="Q75" i="73"/>
  <c r="B435" i="73" s="1"/>
  <c r="M62" i="73"/>
  <c r="L62" i="73"/>
  <c r="K54" i="73"/>
  <c r="M54" i="73"/>
  <c r="R50" i="73"/>
  <c r="C363" i="73" s="1"/>
  <c r="K46" i="73"/>
  <c r="Z46" i="73"/>
  <c r="K359" i="73" s="1"/>
  <c r="M46" i="73"/>
  <c r="R42" i="73"/>
  <c r="C355" i="73" s="1"/>
  <c r="H28" i="73"/>
  <c r="F28" i="73"/>
  <c r="G24" i="73"/>
  <c r="B20" i="73"/>
  <c r="B313" i="73" s="1"/>
  <c r="Q42" i="73"/>
  <c r="B355" i="73" s="1"/>
  <c r="E83" i="73"/>
  <c r="T83" i="73"/>
  <c r="E443" i="73" s="1"/>
  <c r="K28" i="73"/>
  <c r="K79" i="73"/>
  <c r="K466" i="73" s="1"/>
  <c r="E87" i="73"/>
  <c r="E474" i="73" s="1"/>
  <c r="F99" i="73"/>
  <c r="U99" i="73"/>
  <c r="F459" i="73" s="1"/>
  <c r="E132" i="73"/>
  <c r="E566" i="73" s="1"/>
  <c r="T132" i="73"/>
  <c r="E539" i="73" s="1"/>
  <c r="E180" i="73"/>
  <c r="E706" i="73" s="1"/>
  <c r="I196" i="73"/>
  <c r="I722" i="73" s="1"/>
  <c r="X196" i="73"/>
  <c r="I695" i="73" s="1"/>
  <c r="I8" i="73"/>
  <c r="I301" i="73" s="1"/>
  <c r="F22" i="73"/>
  <c r="B60" i="73"/>
  <c r="B400" i="73" s="1"/>
  <c r="E97" i="73"/>
  <c r="E484" i="73" s="1"/>
  <c r="D12" i="73"/>
  <c r="D305" i="73" s="1"/>
  <c r="S50" i="73"/>
  <c r="D363" i="73" s="1"/>
  <c r="M12" i="73"/>
  <c r="C28" i="73"/>
  <c r="C321" i="73" s="1"/>
  <c r="K20" i="73"/>
  <c r="E5" i="73"/>
  <c r="H17" i="73"/>
  <c r="W17" i="73"/>
  <c r="H283" i="73" s="1"/>
  <c r="K29" i="73"/>
  <c r="K322" i="73" s="1"/>
  <c r="C5" i="73"/>
  <c r="H202" i="73"/>
  <c r="H728" i="73" s="1"/>
  <c r="W202" i="73"/>
  <c r="H701" i="73" s="1"/>
  <c r="M198" i="73"/>
  <c r="G198" i="73"/>
  <c r="G724" i="73" s="1"/>
  <c r="H194" i="73"/>
  <c r="H720" i="73" s="1"/>
  <c r="W194" i="73"/>
  <c r="H693" i="73" s="1"/>
  <c r="M190" i="73"/>
  <c r="G190" i="73"/>
  <c r="G716" i="73" s="1"/>
  <c r="H186" i="73"/>
  <c r="W186" i="73"/>
  <c r="H685" i="73" s="1"/>
  <c r="M182" i="73"/>
  <c r="G182" i="73"/>
  <c r="H178" i="73"/>
  <c r="H704" i="73" s="1"/>
  <c r="W178" i="73"/>
  <c r="H677" i="73" s="1"/>
  <c r="M169" i="73"/>
  <c r="G169" i="73"/>
  <c r="H165" i="73"/>
  <c r="H644" i="73" s="1"/>
  <c r="W165" i="73"/>
  <c r="H617" i="73" s="1"/>
  <c r="M161" i="73"/>
  <c r="M640" i="73" s="1"/>
  <c r="G161" i="73"/>
  <c r="G640" i="73" s="1"/>
  <c r="H157" i="73"/>
  <c r="H636" i="73" s="1"/>
  <c r="W157" i="73"/>
  <c r="H609" i="73" s="1"/>
  <c r="M153" i="73"/>
  <c r="G153" i="73"/>
  <c r="H149" i="73"/>
  <c r="W149" i="73"/>
  <c r="H601" i="73" s="1"/>
  <c r="M145" i="73"/>
  <c r="G145" i="73"/>
  <c r="G624" i="73" s="1"/>
  <c r="M126" i="73"/>
  <c r="M560" i="73" s="1"/>
  <c r="AB126" i="73"/>
  <c r="M533" i="73" s="1"/>
  <c r="G126" i="73"/>
  <c r="V126" i="73"/>
  <c r="G533" i="73" s="1"/>
  <c r="M118" i="73"/>
  <c r="N118" i="73" s="1"/>
  <c r="AB118" i="73"/>
  <c r="AC118" i="73" s="1"/>
  <c r="G118" i="73"/>
  <c r="G552" i="73" s="1"/>
  <c r="V118" i="73"/>
  <c r="G525" i="73" s="1"/>
  <c r="M110" i="73"/>
  <c r="M544" i="73" s="1"/>
  <c r="AB110" i="73"/>
  <c r="AC110" i="73" s="1"/>
  <c r="G110" i="73"/>
  <c r="V110" i="73"/>
  <c r="H97" i="73"/>
  <c r="H484" i="73" s="1"/>
  <c r="M93" i="73"/>
  <c r="AB93" i="73"/>
  <c r="AC93" i="73" s="1"/>
  <c r="G93" i="73"/>
  <c r="G480" i="73" s="1"/>
  <c r="V93" i="73"/>
  <c r="G453" i="73" s="1"/>
  <c r="H89" i="73"/>
  <c r="M85" i="73"/>
  <c r="AB85" i="73"/>
  <c r="AC85" i="73" s="1"/>
  <c r="G85" i="73"/>
  <c r="G472" i="73" s="1"/>
  <c r="V85" i="73"/>
  <c r="G445" i="73" s="1"/>
  <c r="H81" i="73"/>
  <c r="H468" i="73" s="1"/>
  <c r="M77" i="73"/>
  <c r="M464" i="73" s="1"/>
  <c r="AB77" i="73"/>
  <c r="AC77" i="73" s="1"/>
  <c r="G77" i="73"/>
  <c r="V77" i="73"/>
  <c r="G437" i="73" s="1"/>
  <c r="H73" i="73"/>
  <c r="H60" i="73"/>
  <c r="H400" i="73" s="1"/>
  <c r="J56" i="73"/>
  <c r="J396" i="73" s="1"/>
  <c r="H56" i="73"/>
  <c r="H396" i="73" s="1"/>
  <c r="I52" i="73"/>
  <c r="I392" i="73" s="1"/>
  <c r="X52" i="73"/>
  <c r="I365" i="73" s="1"/>
  <c r="J48" i="73"/>
  <c r="J388" i="73" s="1"/>
  <c r="H48" i="73"/>
  <c r="I44" i="73"/>
  <c r="J40" i="73"/>
  <c r="J380" i="73" s="1"/>
  <c r="H40" i="73"/>
  <c r="J30" i="73"/>
  <c r="J323" i="73" s="1"/>
  <c r="M26" i="73"/>
  <c r="N26" i="73" s="1"/>
  <c r="H26" i="73"/>
  <c r="J22" i="73"/>
  <c r="E18" i="73"/>
  <c r="E311" i="73" s="1"/>
  <c r="G18" i="73"/>
  <c r="G311" i="73" s="1"/>
  <c r="F14" i="73"/>
  <c r="E10" i="73"/>
  <c r="E303" i="73" s="1"/>
  <c r="G10" i="73"/>
  <c r="F6" i="73"/>
  <c r="K5" i="73"/>
  <c r="K298" i="73" s="1"/>
  <c r="C17" i="73"/>
  <c r="R17" i="73"/>
  <c r="C283" i="73" s="1"/>
  <c r="J25" i="73"/>
  <c r="J318" i="73" s="1"/>
  <c r="Y25" i="73"/>
  <c r="J291" i="73" s="1"/>
  <c r="G43" i="73"/>
  <c r="G383" i="73" s="1"/>
  <c r="L55" i="73"/>
  <c r="C63" i="73"/>
  <c r="F84" i="73"/>
  <c r="K96" i="73"/>
  <c r="E113" i="73"/>
  <c r="F125" i="73"/>
  <c r="F559" i="73" s="1"/>
  <c r="K144" i="73"/>
  <c r="K623" i="73" s="1"/>
  <c r="E152" i="73"/>
  <c r="E631" i="73" s="1"/>
  <c r="F164" i="73"/>
  <c r="K181" i="73"/>
  <c r="K707" i="73" s="1"/>
  <c r="E189" i="73"/>
  <c r="E715" i="73" s="1"/>
  <c r="F201" i="73"/>
  <c r="F727" i="73" s="1"/>
  <c r="C197" i="73"/>
  <c r="L197" i="73"/>
  <c r="B193" i="73"/>
  <c r="B719" i="73" s="1"/>
  <c r="C189" i="73"/>
  <c r="C715" i="73" s="1"/>
  <c r="L189" i="73"/>
  <c r="B185" i="73"/>
  <c r="B711" i="73" s="1"/>
  <c r="C181" i="73"/>
  <c r="C707" i="73" s="1"/>
  <c r="L181" i="73"/>
  <c r="L707" i="73" s="1"/>
  <c r="AA181" i="73"/>
  <c r="L680" i="73" s="1"/>
  <c r="B177" i="73"/>
  <c r="Q177" i="73"/>
  <c r="B676" i="73" s="1"/>
  <c r="L168" i="73"/>
  <c r="L647" i="73" s="1"/>
  <c r="B164" i="73"/>
  <c r="B643" i="73" s="1"/>
  <c r="C160" i="73"/>
  <c r="L160" i="73"/>
  <c r="L639" i="73" s="1"/>
  <c r="B156" i="73"/>
  <c r="B635" i="73" s="1"/>
  <c r="L152" i="73"/>
  <c r="C144" i="73"/>
  <c r="L144" i="73"/>
  <c r="C129" i="73"/>
  <c r="R129" i="73"/>
  <c r="C536" i="73" s="1"/>
  <c r="L129" i="73"/>
  <c r="AA129" i="73"/>
  <c r="L536" i="73" s="1"/>
  <c r="B125" i="73"/>
  <c r="B559" i="73" s="1"/>
  <c r="Q125" i="73"/>
  <c r="B532" i="73" s="1"/>
  <c r="C121" i="73"/>
  <c r="C555" i="73" s="1"/>
  <c r="L121" i="73"/>
  <c r="C113" i="73"/>
  <c r="C547" i="73" s="1"/>
  <c r="L113" i="73"/>
  <c r="B109" i="73"/>
  <c r="C96" i="73"/>
  <c r="L96" i="73"/>
  <c r="L483" i="73" s="1"/>
  <c r="C88" i="73"/>
  <c r="L88" i="73"/>
  <c r="L475" i="73" s="1"/>
  <c r="B84" i="73"/>
  <c r="C80" i="73"/>
  <c r="C467" i="73" s="1"/>
  <c r="L80" i="73"/>
  <c r="B76" i="73"/>
  <c r="B463" i="73" s="1"/>
  <c r="J63" i="73"/>
  <c r="J403" i="73" s="1"/>
  <c r="L63" i="73"/>
  <c r="C59" i="73"/>
  <c r="D55" i="73"/>
  <c r="D395" i="73" s="1"/>
  <c r="M55" i="73"/>
  <c r="N55" i="73" s="1"/>
  <c r="O55" i="73" s="1"/>
  <c r="C51" i="73"/>
  <c r="C391" i="73" s="1"/>
  <c r="D47" i="73"/>
  <c r="D387" i="73" s="1"/>
  <c r="S47" i="73"/>
  <c r="D360" i="73" s="1"/>
  <c r="M47" i="73"/>
  <c r="N47" i="73" s="1"/>
  <c r="O47" i="73" s="1"/>
  <c r="C43" i="73"/>
  <c r="S39" i="73"/>
  <c r="D352" i="73" s="1"/>
  <c r="AB39" i="73"/>
  <c r="AC39" i="73" s="1"/>
  <c r="I29" i="73"/>
  <c r="L25" i="73"/>
  <c r="L318" i="73" s="1"/>
  <c r="AA25" i="73"/>
  <c r="L291" i="73" s="1"/>
  <c r="B25" i="73"/>
  <c r="B318" i="73" s="1"/>
  <c r="Q25" i="73"/>
  <c r="B291" i="73" s="1"/>
  <c r="L21" i="73"/>
  <c r="L314" i="73" s="1"/>
  <c r="K17" i="73"/>
  <c r="Z17" i="73"/>
  <c r="K283" i="73" s="1"/>
  <c r="B17" i="73"/>
  <c r="Q17" i="73"/>
  <c r="B283" i="73" s="1"/>
  <c r="L13" i="73"/>
  <c r="K9" i="73"/>
  <c r="Z9" i="73"/>
  <c r="K275" i="73" s="1"/>
  <c r="B9" i="73"/>
  <c r="B302" i="73" s="1"/>
  <c r="Q9" i="73"/>
  <c r="B275" i="73" s="1"/>
  <c r="G192" i="73"/>
  <c r="G718" i="73" s="1"/>
  <c r="I184" i="73"/>
  <c r="G184" i="73"/>
  <c r="G710" i="73" s="1"/>
  <c r="D180" i="73"/>
  <c r="D706" i="73" s="1"/>
  <c r="I167" i="73"/>
  <c r="G167" i="73"/>
  <c r="G646" i="73" s="1"/>
  <c r="D163" i="73"/>
  <c r="D642" i="73" s="1"/>
  <c r="S163" i="73"/>
  <c r="D615" i="73" s="1"/>
  <c r="I159" i="73"/>
  <c r="I638" i="73" s="1"/>
  <c r="G159" i="73"/>
  <c r="D155" i="73"/>
  <c r="D634" i="73" s="1"/>
  <c r="S155" i="73"/>
  <c r="D607" i="73" s="1"/>
  <c r="G151" i="73"/>
  <c r="D147" i="73"/>
  <c r="S147" i="73"/>
  <c r="D599" i="73" s="1"/>
  <c r="G143" i="73"/>
  <c r="V143" i="73"/>
  <c r="G595" i="73" s="1"/>
  <c r="D132" i="73"/>
  <c r="S132" i="73"/>
  <c r="D539" i="73" s="1"/>
  <c r="I128" i="73"/>
  <c r="G128" i="73"/>
  <c r="D124" i="73"/>
  <c r="I120" i="73"/>
  <c r="I554" i="73" s="1"/>
  <c r="G120" i="73"/>
  <c r="D116" i="73"/>
  <c r="D550" i="73" s="1"/>
  <c r="I112" i="73"/>
  <c r="G112" i="73"/>
  <c r="I99" i="73"/>
  <c r="X99" i="73"/>
  <c r="I459" i="73" s="1"/>
  <c r="G99" i="73"/>
  <c r="V99" i="73"/>
  <c r="G459" i="73" s="1"/>
  <c r="D95" i="73"/>
  <c r="I91" i="73"/>
  <c r="I478" i="73" s="1"/>
  <c r="X91" i="73"/>
  <c r="I451" i="73" s="1"/>
  <c r="G91" i="73"/>
  <c r="G478" i="73" s="1"/>
  <c r="V91" i="73"/>
  <c r="G451" i="73" s="1"/>
  <c r="D87" i="73"/>
  <c r="I83" i="73"/>
  <c r="X83" i="73"/>
  <c r="I443" i="73" s="1"/>
  <c r="G83" i="73"/>
  <c r="V83" i="73"/>
  <c r="G443" i="73" s="1"/>
  <c r="D79" i="73"/>
  <c r="I75" i="73"/>
  <c r="X75" i="73"/>
  <c r="I435" i="73" s="1"/>
  <c r="G75" i="73"/>
  <c r="V75" i="73"/>
  <c r="G435" i="73" s="1"/>
  <c r="E54" i="73"/>
  <c r="E394" i="73" s="1"/>
  <c r="U50" i="73"/>
  <c r="F363" i="73" s="1"/>
  <c r="W50" i="73"/>
  <c r="H363" i="73" s="1"/>
  <c r="E46" i="73"/>
  <c r="E386" i="73" s="1"/>
  <c r="T46" i="73"/>
  <c r="E359" i="73" s="1"/>
  <c r="U42" i="73"/>
  <c r="F355" i="73" s="1"/>
  <c r="W42" i="73"/>
  <c r="H355" i="73" s="1"/>
  <c r="G28" i="73"/>
  <c r="F24" i="73"/>
  <c r="F317" i="73" s="1"/>
  <c r="C24" i="73"/>
  <c r="L20" i="73"/>
  <c r="J12" i="73"/>
  <c r="Q50" i="73"/>
  <c r="B363" i="73" s="1"/>
  <c r="E91" i="73"/>
  <c r="E478" i="73" s="1"/>
  <c r="T91" i="73"/>
  <c r="E451" i="73" s="1"/>
  <c r="L12" i="73"/>
  <c r="L305" i="73" s="1"/>
  <c r="V50" i="73"/>
  <c r="G363" i="73" s="1"/>
  <c r="J62" i="73"/>
  <c r="J402" i="73" s="1"/>
  <c r="E79" i="73"/>
  <c r="E466" i="73" s="1"/>
  <c r="F91" i="73"/>
  <c r="U91" i="73"/>
  <c r="F451" i="73" s="1"/>
  <c r="E108" i="73"/>
  <c r="E147" i="73"/>
  <c r="E626" i="73" s="1"/>
  <c r="T147" i="73"/>
  <c r="E599" i="73" s="1"/>
  <c r="E188" i="73"/>
  <c r="E714" i="73" s="1"/>
  <c r="J200" i="73"/>
  <c r="D16" i="73"/>
  <c r="D309" i="73" s="1"/>
  <c r="F30" i="73"/>
  <c r="E73" i="73"/>
  <c r="E460" i="73" s="1"/>
  <c r="K24" i="73"/>
  <c r="K317" i="73" s="1"/>
  <c r="J54" i="73"/>
  <c r="S42" i="73"/>
  <c r="D355" i="73" s="1"/>
  <c r="E20" i="73"/>
  <c r="H9" i="73"/>
  <c r="W9" i="73"/>
  <c r="H275" i="73" s="1"/>
  <c r="C21" i="73"/>
  <c r="C314" i="73" s="1"/>
  <c r="J29" i="73"/>
  <c r="J322" i="73" s="1"/>
  <c r="B202" i="73"/>
  <c r="Q202" i="73"/>
  <c r="B701" i="73" s="1"/>
  <c r="C198" i="73"/>
  <c r="L198" i="73"/>
  <c r="B194" i="73"/>
  <c r="B720" i="73" s="1"/>
  <c r="Q194" i="73"/>
  <c r="B693" i="73" s="1"/>
  <c r="C190" i="73"/>
  <c r="C716" i="73" s="1"/>
  <c r="L190" i="73"/>
  <c r="B186" i="73"/>
  <c r="Q186" i="73"/>
  <c r="B685" i="73" s="1"/>
  <c r="C182" i="73"/>
  <c r="L182" i="73"/>
  <c r="B178" i="73"/>
  <c r="B704" i="73" s="1"/>
  <c r="Q178" i="73"/>
  <c r="B677" i="73" s="1"/>
  <c r="C169" i="73"/>
  <c r="C648" i="73" s="1"/>
  <c r="C161" i="73"/>
  <c r="L161" i="73"/>
  <c r="B157" i="73"/>
  <c r="B636" i="73" s="1"/>
  <c r="Q157" i="73"/>
  <c r="B609" i="73" s="1"/>
  <c r="C153" i="73"/>
  <c r="C632" i="73" s="1"/>
  <c r="B149" i="73"/>
  <c r="B628" i="73" s="1"/>
  <c r="Q149" i="73"/>
  <c r="B601" i="73" s="1"/>
  <c r="C145" i="73"/>
  <c r="C624" i="73" s="1"/>
  <c r="L145" i="73"/>
  <c r="L624" i="73" s="1"/>
  <c r="C126" i="73"/>
  <c r="C560" i="73" s="1"/>
  <c r="R126" i="73"/>
  <c r="C533" i="73" s="1"/>
  <c r="L126" i="73"/>
  <c r="AA126" i="73"/>
  <c r="L533" i="73" s="1"/>
  <c r="C118" i="73"/>
  <c r="R118" i="73"/>
  <c r="C525" i="73" s="1"/>
  <c r="L118" i="73"/>
  <c r="AA118" i="73"/>
  <c r="L525" i="73" s="1"/>
  <c r="C110" i="73"/>
  <c r="R110" i="73"/>
  <c r="C517" i="73" s="1"/>
  <c r="L110" i="73"/>
  <c r="AA110" i="73"/>
  <c r="L517" i="73" s="1"/>
  <c r="C93" i="73"/>
  <c r="R93" i="73"/>
  <c r="C453" i="73" s="1"/>
  <c r="L93" i="73"/>
  <c r="AA93" i="73"/>
  <c r="L453" i="73" s="1"/>
  <c r="B89" i="73"/>
  <c r="B476" i="73" s="1"/>
  <c r="C85" i="73"/>
  <c r="R85" i="73"/>
  <c r="C445" i="73" s="1"/>
  <c r="L85" i="73"/>
  <c r="L472" i="73" s="1"/>
  <c r="AA85" i="73"/>
  <c r="L445" i="73" s="1"/>
  <c r="B81" i="73"/>
  <c r="B468" i="73" s="1"/>
  <c r="C77" i="73"/>
  <c r="R77" i="73"/>
  <c r="C437" i="73" s="1"/>
  <c r="L77" i="73"/>
  <c r="L464" i="73" s="1"/>
  <c r="AA77" i="73"/>
  <c r="L437" i="73" s="1"/>
  <c r="L64" i="73"/>
  <c r="L404" i="73" s="1"/>
  <c r="C60" i="73"/>
  <c r="C400" i="73" s="1"/>
  <c r="D56" i="73"/>
  <c r="D396" i="73" s="1"/>
  <c r="M56" i="73"/>
  <c r="N56" i="73" s="1"/>
  <c r="O56" i="73" s="1"/>
  <c r="C52" i="73"/>
  <c r="D48" i="73"/>
  <c r="M48" i="73"/>
  <c r="C44" i="73"/>
  <c r="D40" i="73"/>
  <c r="D380" i="73" s="1"/>
  <c r="M40" i="73"/>
  <c r="M380" i="73" s="1"/>
  <c r="E30" i="73"/>
  <c r="L26" i="73"/>
  <c r="L319" i="73" s="1"/>
  <c r="E22" i="73"/>
  <c r="K18" i="73"/>
  <c r="B18" i="73"/>
  <c r="B311" i="73" s="1"/>
  <c r="Q18" i="73"/>
  <c r="B284" i="73" s="1"/>
  <c r="L14" i="73"/>
  <c r="K10" i="73"/>
  <c r="K303" i="73" s="1"/>
  <c r="B10" i="73"/>
  <c r="L6" i="73"/>
  <c r="L299" i="73" s="1"/>
  <c r="C9" i="73"/>
  <c r="R9" i="73"/>
  <c r="C275" i="73" s="1"/>
  <c r="M17" i="73"/>
  <c r="AB17" i="73"/>
  <c r="AC17" i="73" s="1"/>
  <c r="E29" i="73"/>
  <c r="E322" i="73" s="1"/>
  <c r="L47" i="73"/>
  <c r="L387" i="73" s="1"/>
  <c r="AA47" i="73"/>
  <c r="L360" i="73" s="1"/>
  <c r="F76" i="73"/>
  <c r="F463" i="73" s="1"/>
  <c r="K88" i="73"/>
  <c r="E96" i="73"/>
  <c r="E483" i="73" s="1"/>
  <c r="F117" i="73"/>
  <c r="K129" i="73"/>
  <c r="K563" i="73" s="1"/>
  <c r="Z129" i="73"/>
  <c r="K536" i="73" s="1"/>
  <c r="E144" i="73"/>
  <c r="E623" i="73" s="1"/>
  <c r="K168" i="73"/>
  <c r="K647" i="73" s="1"/>
  <c r="E181" i="73"/>
  <c r="T181" i="73"/>
  <c r="E680" i="73" s="1"/>
  <c r="M201" i="73"/>
  <c r="G201" i="73"/>
  <c r="V201" i="73"/>
  <c r="G700" i="73" s="1"/>
  <c r="H197" i="73"/>
  <c r="M193" i="73"/>
  <c r="G193" i="73"/>
  <c r="G719" i="73" s="1"/>
  <c r="H189" i="73"/>
  <c r="M185" i="73"/>
  <c r="G185" i="73"/>
  <c r="G711" i="73" s="1"/>
  <c r="H181" i="73"/>
  <c r="M177" i="73"/>
  <c r="AB177" i="73"/>
  <c r="G177" i="73"/>
  <c r="H168" i="73"/>
  <c r="H647" i="73" s="1"/>
  <c r="M164" i="73"/>
  <c r="G164" i="73"/>
  <c r="G643" i="73" s="1"/>
  <c r="H160" i="73"/>
  <c r="H639" i="73" s="1"/>
  <c r="G156" i="73"/>
  <c r="G635" i="73" s="1"/>
  <c r="H152" i="73"/>
  <c r="AB148" i="73"/>
  <c r="V148" i="73"/>
  <c r="G600" i="73" s="1"/>
  <c r="H144" i="73"/>
  <c r="H623" i="73" s="1"/>
  <c r="M133" i="73"/>
  <c r="G133" i="73"/>
  <c r="H129" i="73"/>
  <c r="H563" i="73" s="1"/>
  <c r="W129" i="73"/>
  <c r="H536" i="73" s="1"/>
  <c r="M125" i="73"/>
  <c r="M559" i="73" s="1"/>
  <c r="G125" i="73"/>
  <c r="G559" i="73" s="1"/>
  <c r="M117" i="73"/>
  <c r="G117" i="73"/>
  <c r="G551" i="73" s="1"/>
  <c r="H113" i="73"/>
  <c r="M109" i="73"/>
  <c r="M543" i="73" s="1"/>
  <c r="G109" i="73"/>
  <c r="G543" i="73" s="1"/>
  <c r="H96" i="73"/>
  <c r="M92" i="73"/>
  <c r="G92" i="73"/>
  <c r="V92" i="73"/>
  <c r="G452" i="73" s="1"/>
  <c r="H88" i="73"/>
  <c r="H475" i="73" s="1"/>
  <c r="M84" i="73"/>
  <c r="N84" i="73" s="1"/>
  <c r="O84" i="73" s="1"/>
  <c r="G84" i="73"/>
  <c r="M76" i="73"/>
  <c r="N76" i="73" s="1"/>
  <c r="O76" i="73" s="1"/>
  <c r="AB76" i="73"/>
  <c r="M436" i="73" s="1"/>
  <c r="H63" i="73"/>
  <c r="J59" i="73"/>
  <c r="J399" i="73" s="1"/>
  <c r="H59" i="73"/>
  <c r="I55" i="73"/>
  <c r="I395" i="73" s="1"/>
  <c r="J51" i="73"/>
  <c r="J391" i="73" s="1"/>
  <c r="H51" i="73"/>
  <c r="I47" i="73"/>
  <c r="H43" i="73"/>
  <c r="M29" i="73"/>
  <c r="D29" i="73"/>
  <c r="D322" i="73" s="1"/>
  <c r="E21" i="73"/>
  <c r="G21" i="73"/>
  <c r="G314" i="73" s="1"/>
  <c r="F17" i="73"/>
  <c r="U17" i="73"/>
  <c r="F283" i="73" s="1"/>
  <c r="E13" i="73"/>
  <c r="G13" i="73"/>
  <c r="F9" i="73"/>
  <c r="U9" i="73"/>
  <c r="F275" i="73" s="1"/>
  <c r="F5" i="73"/>
  <c r="F298" i="73" s="1"/>
  <c r="J5" i="73"/>
  <c r="L192" i="73"/>
  <c r="L718" i="73" s="1"/>
  <c r="B188" i="73"/>
  <c r="J184" i="73"/>
  <c r="L184" i="73"/>
  <c r="J167" i="73"/>
  <c r="J646" i="73" s="1"/>
  <c r="L167" i="73"/>
  <c r="L646" i="73" s="1"/>
  <c r="B163" i="73"/>
  <c r="Q163" i="73"/>
  <c r="B615" i="73" s="1"/>
  <c r="J159" i="73"/>
  <c r="L159" i="73"/>
  <c r="B155" i="73"/>
  <c r="Q155" i="73"/>
  <c r="B607" i="73" s="1"/>
  <c r="J151" i="73"/>
  <c r="L151" i="73"/>
  <c r="B147" i="73"/>
  <c r="B626" i="73" s="1"/>
  <c r="Q147" i="73"/>
  <c r="B599" i="73" s="1"/>
  <c r="J143" i="73"/>
  <c r="J622" i="73" s="1"/>
  <c r="Y143" i="73"/>
  <c r="J595" i="73" s="1"/>
  <c r="L143" i="73"/>
  <c r="L622" i="73" s="1"/>
  <c r="AA143" i="73"/>
  <c r="L595" i="73" s="1"/>
  <c r="B132" i="73"/>
  <c r="B566" i="73" s="1"/>
  <c r="Q132" i="73"/>
  <c r="B539" i="73" s="1"/>
  <c r="J128" i="73"/>
  <c r="J562" i="73" s="1"/>
  <c r="B124" i="73"/>
  <c r="B558" i="73" s="1"/>
  <c r="J120" i="73"/>
  <c r="J554" i="73" s="1"/>
  <c r="L120" i="73"/>
  <c r="AA120" i="73"/>
  <c r="L527" i="73" s="1"/>
  <c r="B116" i="73"/>
  <c r="B550" i="73" s="1"/>
  <c r="J112" i="73"/>
  <c r="L112" i="73"/>
  <c r="L546" i="73" s="1"/>
  <c r="B108" i="73"/>
  <c r="B542" i="73" s="1"/>
  <c r="J99" i="73"/>
  <c r="Y99" i="73"/>
  <c r="J459" i="73" s="1"/>
  <c r="L99" i="73"/>
  <c r="AA99" i="73"/>
  <c r="L459" i="73" s="1"/>
  <c r="B95" i="73"/>
  <c r="B482" i="73" s="1"/>
  <c r="J91" i="73"/>
  <c r="Y91" i="73"/>
  <c r="J451" i="73" s="1"/>
  <c r="L91" i="73"/>
  <c r="AA91" i="73"/>
  <c r="L451" i="73" s="1"/>
  <c r="B87" i="73"/>
  <c r="J83" i="73"/>
  <c r="Y83" i="73"/>
  <c r="J443" i="73" s="1"/>
  <c r="L83" i="73"/>
  <c r="L470" i="73" s="1"/>
  <c r="AA83" i="73"/>
  <c r="L443" i="73" s="1"/>
  <c r="B79" i="73"/>
  <c r="J75" i="73"/>
  <c r="J462" i="73" s="1"/>
  <c r="Y75" i="73"/>
  <c r="J435" i="73" s="1"/>
  <c r="L75" i="73"/>
  <c r="L462" i="73" s="1"/>
  <c r="AA75" i="73"/>
  <c r="C62" i="73"/>
  <c r="C402" i="73" s="1"/>
  <c r="C54" i="73"/>
  <c r="Z50" i="73"/>
  <c r="K363" i="73" s="1"/>
  <c r="AB50" i="73"/>
  <c r="M363" i="73" s="1"/>
  <c r="C46" i="73"/>
  <c r="C386" i="73" s="1"/>
  <c r="R46" i="73"/>
  <c r="C359" i="73" s="1"/>
  <c r="Z42" i="73"/>
  <c r="K355" i="73" s="1"/>
  <c r="AB42" i="73"/>
  <c r="AC42" i="73" s="1"/>
  <c r="I28" i="73"/>
  <c r="D24" i="73"/>
  <c r="D317" i="73" s="1"/>
  <c r="M20" i="73"/>
  <c r="C20" i="73"/>
  <c r="I12" i="73"/>
  <c r="I305" i="73" s="1"/>
  <c r="E99" i="73"/>
  <c r="T99" i="73"/>
  <c r="E459" i="73" s="1"/>
  <c r="H20" i="73"/>
  <c r="V42" i="73"/>
  <c r="G355" i="73" s="1"/>
  <c r="L54" i="73"/>
  <c r="E62" i="73"/>
  <c r="F83" i="73"/>
  <c r="U83" i="73"/>
  <c r="F443" i="73" s="1"/>
  <c r="K95" i="73"/>
  <c r="K482" i="73" s="1"/>
  <c r="E116" i="73"/>
  <c r="E155" i="73"/>
  <c r="E634" i="73" s="1"/>
  <c r="T155" i="73"/>
  <c r="E607" i="73" s="1"/>
  <c r="I192" i="73"/>
  <c r="I200" i="73"/>
  <c r="I16" i="73"/>
  <c r="I309" i="73" s="1"/>
  <c r="B44" i="73"/>
  <c r="Q44" i="73"/>
  <c r="B357" i="73" s="1"/>
  <c r="E81" i="73"/>
  <c r="E468" i="73" s="1"/>
  <c r="M28" i="73"/>
  <c r="J46" i="73"/>
  <c r="J386" i="73" s="1"/>
  <c r="I76" i="73"/>
  <c r="K12" i="73"/>
  <c r="C13" i="73"/>
  <c r="M202" i="73"/>
  <c r="AB202" i="73"/>
  <c r="AC202" i="73" s="1"/>
  <c r="M194" i="73"/>
  <c r="AB194" i="73"/>
  <c r="AC194" i="73" s="1"/>
  <c r="H190" i="73"/>
  <c r="H716" i="73" s="1"/>
  <c r="G186" i="73"/>
  <c r="V186" i="73"/>
  <c r="G685" i="73" s="1"/>
  <c r="M178" i="73"/>
  <c r="AB178" i="73"/>
  <c r="AC178" i="73" s="1"/>
  <c r="H169" i="73"/>
  <c r="H648" i="73" s="1"/>
  <c r="G165" i="73"/>
  <c r="V165" i="73"/>
  <c r="G617" i="73" s="1"/>
  <c r="M157" i="73"/>
  <c r="AB157" i="73"/>
  <c r="AC157" i="73" s="1"/>
  <c r="H153" i="73"/>
  <c r="G149" i="73"/>
  <c r="V149" i="73"/>
  <c r="G601" i="73" s="1"/>
  <c r="H126" i="73"/>
  <c r="W126" i="73"/>
  <c r="H533" i="73" s="1"/>
  <c r="G97" i="73"/>
  <c r="M89" i="73"/>
  <c r="H85" i="73"/>
  <c r="H472" i="73" s="1"/>
  <c r="W85" i="73"/>
  <c r="H445" i="73" s="1"/>
  <c r="G81" i="73"/>
  <c r="G468" i="73" s="1"/>
  <c r="G73" i="73"/>
  <c r="G460" i="73" s="1"/>
  <c r="M60" i="73"/>
  <c r="N60" i="73" s="1"/>
  <c r="O60" i="73" s="1"/>
  <c r="J52" i="73"/>
  <c r="I48" i="73"/>
  <c r="H44" i="73"/>
  <c r="H384" i="73" s="1"/>
  <c r="W44" i="73"/>
  <c r="H357" i="73" s="1"/>
  <c r="I30" i="73"/>
  <c r="K22" i="73"/>
  <c r="G14" i="73"/>
  <c r="E6" i="73"/>
  <c r="M9" i="73"/>
  <c r="AB9" i="73"/>
  <c r="M275" i="73" s="1"/>
  <c r="B47" i="73"/>
  <c r="K80" i="73"/>
  <c r="K467" i="73" s="1"/>
  <c r="F109" i="73"/>
  <c r="U109" i="73"/>
  <c r="F516" i="73" s="1"/>
  <c r="K160" i="73"/>
  <c r="K639" i="73" s="1"/>
  <c r="F185" i="73"/>
  <c r="U185" i="73"/>
  <c r="F684" i="73" s="1"/>
  <c r="L201" i="73"/>
  <c r="L727" i="73" s="1"/>
  <c r="C193" i="73"/>
  <c r="C719" i="73" s="1"/>
  <c r="L185" i="73"/>
  <c r="L711" i="73" s="1"/>
  <c r="C177" i="73"/>
  <c r="R177" i="73"/>
  <c r="C676" i="73" s="1"/>
  <c r="B168" i="73"/>
  <c r="B647" i="73" s="1"/>
  <c r="B160" i="73"/>
  <c r="C133" i="73"/>
  <c r="C76" i="73"/>
  <c r="M63" i="73"/>
  <c r="M403" i="73" s="1"/>
  <c r="C55" i="73"/>
  <c r="C395" i="73" s="1"/>
  <c r="M51" i="73"/>
  <c r="D43" i="73"/>
  <c r="D383" i="73" s="1"/>
  <c r="R39" i="73"/>
  <c r="C352" i="73" s="1"/>
  <c r="F29" i="73"/>
  <c r="K21" i="73"/>
  <c r="K314" i="73" s="1"/>
  <c r="L17" i="73"/>
  <c r="AA17" i="73"/>
  <c r="L283" i="73" s="1"/>
  <c r="B13" i="73"/>
  <c r="B306" i="73" s="1"/>
  <c r="D20" i="73"/>
  <c r="J24" i="73"/>
  <c r="H24" i="73"/>
  <c r="H317" i="73" s="1"/>
  <c r="F75" i="73"/>
  <c r="U75" i="73"/>
  <c r="F435" i="73" s="1"/>
  <c r="K87" i="73"/>
  <c r="Z87" i="73"/>
  <c r="K447" i="73" s="1"/>
  <c r="E124" i="73"/>
  <c r="E558" i="73" s="1"/>
  <c r="E163" i="73"/>
  <c r="T163" i="73"/>
  <c r="E615" i="73" s="1"/>
  <c r="D8" i="73"/>
  <c r="M10" i="73"/>
  <c r="B52" i="73"/>
  <c r="B392" i="73" s="1"/>
  <c r="E89" i="73"/>
  <c r="G20" i="73"/>
  <c r="G313" i="73" s="1"/>
  <c r="I54" i="73"/>
  <c r="I394" i="73" s="1"/>
  <c r="X90" i="62"/>
  <c r="H736" i="73"/>
  <c r="J139" i="62"/>
  <c r="I626" i="73"/>
  <c r="H83" i="119"/>
  <c r="W11" i="119"/>
  <c r="P10" i="66" s="1"/>
  <c r="G12" i="66"/>
  <c r="T13" i="119"/>
  <c r="M8" i="66"/>
  <c r="V9" i="119"/>
  <c r="J8" i="66"/>
  <c r="U9" i="119"/>
  <c r="J10" i="66"/>
  <c r="U11" i="119"/>
  <c r="W20" i="119"/>
  <c r="P21" i="66"/>
  <c r="D20" i="66"/>
  <c r="S22" i="119"/>
  <c r="D17" i="66"/>
  <c r="S18" i="119"/>
  <c r="H730" i="73"/>
  <c r="M7" i="66"/>
  <c r="V7" i="119"/>
  <c r="W24" i="119"/>
  <c r="P23" i="66"/>
  <c r="D25" i="66"/>
  <c r="S27" i="119"/>
  <c r="M5" i="66"/>
  <c r="V6" i="119"/>
  <c r="D10" i="66"/>
  <c r="S11" i="119"/>
  <c r="W21" i="119"/>
  <c r="P19" i="66"/>
  <c r="D26" i="66"/>
  <c r="S25" i="119"/>
  <c r="AP191" i="73"/>
  <c r="L663" i="73" s="1"/>
  <c r="J9" i="66"/>
  <c r="U10" i="119"/>
  <c r="CR150" i="63"/>
  <c r="GE150" i="63"/>
  <c r="W25" i="119"/>
  <c r="P26" i="66" s="1"/>
  <c r="M17" i="66"/>
  <c r="V18" i="119"/>
  <c r="X29" i="119"/>
  <c r="S29" i="66" s="1"/>
  <c r="AF22" i="73"/>
  <c r="AF17" i="73"/>
  <c r="J14" i="66"/>
  <c r="U17" i="119"/>
  <c r="AF8" i="73"/>
  <c r="R102" i="113"/>
  <c r="S12" i="118" s="1"/>
  <c r="X102" i="107"/>
  <c r="D33" i="124"/>
  <c r="O67" i="110"/>
  <c r="M21" i="66"/>
  <c r="V20" i="119"/>
  <c r="GF26" i="63"/>
  <c r="FX156" i="63"/>
  <c r="FY42" i="63"/>
  <c r="GE50" i="63"/>
  <c r="GH149" i="63"/>
  <c r="FZ123" i="63"/>
  <c r="GC66" i="63"/>
  <c r="GD82" i="63"/>
  <c r="M637" i="73"/>
  <c r="M474" i="73"/>
  <c r="N87" i="73"/>
  <c r="O87" i="73" s="1"/>
  <c r="N180" i="73"/>
  <c r="M706" i="73"/>
  <c r="W10" i="119"/>
  <c r="P9" i="66"/>
  <c r="GB10" i="63"/>
  <c r="FX26" i="63"/>
  <c r="FY23" i="63"/>
  <c r="GC178" i="63"/>
  <c r="GE123" i="63"/>
  <c r="FX112" i="63"/>
  <c r="M622" i="73"/>
  <c r="N143" i="73"/>
  <c r="M646" i="73"/>
  <c r="EZ15" i="63"/>
  <c r="FM15" i="63"/>
  <c r="FT41" i="63"/>
  <c r="FG41" i="63"/>
  <c r="FK53" i="63"/>
  <c r="EX53" i="63"/>
  <c r="FS74" i="63"/>
  <c r="FF74" i="63"/>
  <c r="GA10" i="63"/>
  <c r="GE40" i="63"/>
  <c r="FX45" i="63"/>
  <c r="FX78" i="63"/>
  <c r="H592" i="73"/>
  <c r="M29" i="123"/>
  <c r="FZ15" i="63"/>
  <c r="GG28" i="63"/>
  <c r="GG41" i="63"/>
  <c r="GC143" i="63"/>
  <c r="GH144" i="63"/>
  <c r="GD107" i="63"/>
  <c r="GH116" i="63"/>
  <c r="FX87" i="63"/>
  <c r="I23" i="62"/>
  <c r="I34" i="62"/>
  <c r="I26" i="62"/>
  <c r="I29" i="62"/>
  <c r="E137" i="62"/>
  <c r="FH45" i="63"/>
  <c r="H55" i="62"/>
  <c r="B91" i="119"/>
  <c r="S91" i="119" s="1"/>
  <c r="S58" i="119"/>
  <c r="GA98" i="126"/>
  <c r="B84" i="119"/>
  <c r="S84" i="119" s="1"/>
  <c r="S51" i="119"/>
  <c r="D95" i="119"/>
  <c r="U95" i="119" s="1"/>
  <c r="U62" i="119"/>
  <c r="H33" i="62"/>
  <c r="EK90" i="63"/>
  <c r="C82" i="119"/>
  <c r="T82" i="119" s="1"/>
  <c r="T49" i="119"/>
  <c r="D7" i="66"/>
  <c r="S7" i="119"/>
  <c r="D8" i="66"/>
  <c r="S9" i="119"/>
  <c r="X14" i="119"/>
  <c r="S13" i="66" s="1"/>
  <c r="M11" i="66"/>
  <c r="V12" i="119"/>
  <c r="F172" i="62"/>
  <c r="W7" i="119"/>
  <c r="P7" i="66"/>
  <c r="D24" i="66"/>
  <c r="S26" i="119"/>
  <c r="J25" i="66"/>
  <c r="U27" i="119"/>
  <c r="G8" i="66"/>
  <c r="T9" i="119"/>
  <c r="G16" i="66"/>
  <c r="T15" i="119"/>
  <c r="M9" i="66"/>
  <c r="V10" i="119"/>
  <c r="D30" i="66"/>
  <c r="S31" i="119"/>
  <c r="D16" i="66"/>
  <c r="S15" i="119"/>
  <c r="D23" i="66"/>
  <c r="S24" i="119"/>
  <c r="M19" i="66"/>
  <c r="V21" i="119"/>
  <c r="AF16" i="73"/>
  <c r="B255" i="73" s="1"/>
  <c r="I672" i="73"/>
  <c r="K29" i="124"/>
  <c r="J675" i="73"/>
  <c r="M12" i="66"/>
  <c r="V13" i="119"/>
  <c r="AB123" i="73"/>
  <c r="AC123" i="73" s="1"/>
  <c r="M397" i="73"/>
  <c r="N57" i="73"/>
  <c r="O57" i="73" s="1"/>
  <c r="M729" i="73"/>
  <c r="N203" i="73"/>
  <c r="GE156" i="63"/>
  <c r="GB169" i="63"/>
  <c r="FX160" i="63"/>
  <c r="FX48" i="63"/>
  <c r="FX124" i="63"/>
  <c r="GB128" i="63"/>
  <c r="FZ106" i="63"/>
  <c r="FX103" i="63"/>
  <c r="FX70" i="63"/>
  <c r="E30" i="62"/>
  <c r="E29" i="62"/>
  <c r="E28" i="62"/>
  <c r="E26" i="62"/>
  <c r="E25" i="62"/>
  <c r="E27" i="62"/>
  <c r="H571" i="73"/>
  <c r="M6" i="123"/>
  <c r="GE20" i="63"/>
  <c r="FZ56" i="63"/>
  <c r="FX125" i="63"/>
  <c r="FX123" i="63"/>
  <c r="FX82" i="63"/>
  <c r="D314" i="73"/>
  <c r="M709" i="73"/>
  <c r="N183" i="73"/>
  <c r="N196" i="73"/>
  <c r="M722" i="73"/>
  <c r="FR19" i="63"/>
  <c r="I314" i="73"/>
  <c r="FE19" i="63"/>
  <c r="FN57" i="63"/>
  <c r="FA57" i="63"/>
  <c r="FS78" i="63"/>
  <c r="FF78" i="63"/>
  <c r="FX52" i="63"/>
  <c r="FX98" i="63"/>
  <c r="GG107" i="63"/>
  <c r="GD70" i="63"/>
  <c r="E138" i="62"/>
  <c r="H594" i="73"/>
  <c r="M30" i="123"/>
  <c r="C410" i="73"/>
  <c r="GD28" i="63"/>
  <c r="GG57" i="63"/>
  <c r="FX128" i="63"/>
  <c r="GA82" i="63"/>
  <c r="H491" i="73"/>
  <c r="FN82" i="63"/>
  <c r="E133" i="62"/>
  <c r="E134" i="62"/>
  <c r="H254" i="73"/>
  <c r="N18" i="73"/>
  <c r="H93" i="119"/>
  <c r="X60" i="119"/>
  <c r="B74" i="119"/>
  <c r="S41" i="119"/>
  <c r="D13" i="66"/>
  <c r="S14" i="119"/>
  <c r="J15" i="66"/>
  <c r="E79" i="119"/>
  <c r="V79" i="119" s="1"/>
  <c r="V46" i="119"/>
  <c r="J6" i="66"/>
  <c r="U8" i="119"/>
  <c r="G6" i="66"/>
  <c r="T8" i="119"/>
  <c r="G10" i="66"/>
  <c r="T11" i="119"/>
  <c r="M14" i="66"/>
  <c r="V17" i="119"/>
  <c r="AO203" i="73"/>
  <c r="K675" i="73" s="1"/>
  <c r="H78" i="119"/>
  <c r="X12" i="119"/>
  <c r="S11" i="66" s="1"/>
  <c r="M18" i="66"/>
  <c r="V19" i="119"/>
  <c r="J4" i="66"/>
  <c r="U5" i="119"/>
  <c r="J23" i="66"/>
  <c r="U24" i="119"/>
  <c r="D76" i="119"/>
  <c r="U76" i="119" s="1"/>
  <c r="U43" i="119"/>
  <c r="W19" i="119"/>
  <c r="P18" i="66"/>
  <c r="D19" i="66"/>
  <c r="S21" i="119"/>
  <c r="D22" i="66"/>
  <c r="S23" i="119"/>
  <c r="W48" i="119"/>
  <c r="D21" i="66"/>
  <c r="S20" i="119"/>
  <c r="W60" i="119"/>
  <c r="X27" i="119"/>
  <c r="S25" i="66"/>
  <c r="G25" i="66"/>
  <c r="T27" i="119"/>
  <c r="AF28" i="73"/>
  <c r="B267" i="73" s="1"/>
  <c r="D9" i="66"/>
  <c r="S10" i="119"/>
  <c r="M23" i="66"/>
  <c r="V24" i="119"/>
  <c r="M28" i="66"/>
  <c r="V30" i="119"/>
  <c r="W31" i="119"/>
  <c r="P30" i="66"/>
  <c r="N75" i="73"/>
  <c r="O75" i="73" s="1"/>
  <c r="M462" i="73"/>
  <c r="GH135" i="63"/>
  <c r="FX145" i="63"/>
  <c r="FX119" i="63"/>
  <c r="N112" i="73"/>
  <c r="M546" i="73"/>
  <c r="N191" i="73"/>
  <c r="H589" i="73"/>
  <c r="M24" i="123"/>
  <c r="GD10" i="63"/>
  <c r="GG165" i="63"/>
  <c r="FY177" i="63"/>
  <c r="FX147" i="63"/>
  <c r="FY100" i="63"/>
  <c r="F662" i="73"/>
  <c r="G16" i="124"/>
  <c r="G19" i="125" s="1"/>
  <c r="FT33" i="63"/>
  <c r="FG33" i="63"/>
  <c r="FA49" i="63"/>
  <c r="FN49" i="63"/>
  <c r="FR66" i="63"/>
  <c r="FE66" i="63"/>
  <c r="FT82" i="63"/>
  <c r="K479" i="73"/>
  <c r="FG82" i="63"/>
  <c r="GA12" i="63"/>
  <c r="GH45" i="63"/>
  <c r="GC124" i="63"/>
  <c r="GF74" i="63"/>
  <c r="M473" i="73"/>
  <c r="N86" i="73"/>
  <c r="O86" i="73" s="1"/>
  <c r="GE7" i="63"/>
  <c r="FX177" i="63"/>
  <c r="FZ53" i="63"/>
  <c r="GH114" i="63"/>
  <c r="FY95" i="63"/>
  <c r="FY111" i="63"/>
  <c r="GD96" i="63"/>
  <c r="R42" i="64"/>
  <c r="R41" i="64"/>
  <c r="N151" i="73"/>
  <c r="E136" i="62"/>
  <c r="AB64" i="62"/>
  <c r="AB66" i="62"/>
  <c r="AB68" i="62"/>
  <c r="AB69" i="62"/>
  <c r="AB65" i="62"/>
  <c r="AB62" i="62"/>
  <c r="AF54" i="62"/>
  <c r="AB67" i="62"/>
  <c r="AB63" i="62"/>
  <c r="X49" i="119"/>
  <c r="C81" i="119"/>
  <c r="T81" i="119"/>
  <c r="T48" i="119"/>
  <c r="W52" i="119"/>
  <c r="E87" i="119"/>
  <c r="V87" i="119" s="1"/>
  <c r="V54" i="119"/>
  <c r="M13" i="66"/>
  <c r="V14" i="119"/>
  <c r="H76" i="119"/>
  <c r="J7" i="66"/>
  <c r="U7" i="119"/>
  <c r="M6" i="66"/>
  <c r="V8" i="119"/>
  <c r="B76" i="119"/>
  <c r="S43" i="119"/>
  <c r="D11" i="66"/>
  <c r="S12" i="119"/>
  <c r="G7" i="66"/>
  <c r="T7" i="119"/>
  <c r="M26" i="66"/>
  <c r="V25" i="119"/>
  <c r="G27" i="66"/>
  <c r="T28" i="119"/>
  <c r="M20" i="66"/>
  <c r="V22" i="119"/>
  <c r="W14" i="119"/>
  <c r="P13" i="66" s="1"/>
  <c r="D18" i="66"/>
  <c r="S19" i="119"/>
  <c r="D6" i="66"/>
  <c r="S8" i="119"/>
  <c r="E89" i="119"/>
  <c r="V89" i="119" s="1"/>
  <c r="V56" i="119"/>
  <c r="W18" i="119"/>
  <c r="P17" i="66" s="1"/>
  <c r="M22" i="66"/>
  <c r="V23" i="119"/>
  <c r="M24" i="66"/>
  <c r="V26" i="119"/>
  <c r="J27" i="66"/>
  <c r="U28" i="119"/>
  <c r="J29" i="66"/>
  <c r="U29" i="119"/>
  <c r="J26" i="62"/>
  <c r="J11" i="66"/>
  <c r="U12" i="119"/>
  <c r="W23" i="119"/>
  <c r="P22" i="66" s="1"/>
  <c r="AF21" i="73"/>
  <c r="D5" i="66"/>
  <c r="S6" i="119"/>
  <c r="AF7" i="73"/>
  <c r="G15" i="66"/>
  <c r="T16" i="119"/>
  <c r="AB132" i="73"/>
  <c r="AB75" i="73"/>
  <c r="AC75" i="73" s="1"/>
  <c r="FX24" i="63"/>
  <c r="FZ164" i="63"/>
  <c r="FX165" i="63"/>
  <c r="GC170" i="63"/>
  <c r="GF37" i="63"/>
  <c r="N179" i="73"/>
  <c r="M705" i="73"/>
  <c r="H591" i="73"/>
  <c r="M27" i="123"/>
  <c r="I29" i="125" s="1"/>
  <c r="GH77" i="126"/>
  <c r="FX40" i="63"/>
  <c r="FX49" i="63"/>
  <c r="FY148" i="63"/>
  <c r="GH137" i="63"/>
  <c r="GF94" i="63"/>
  <c r="FX99" i="63"/>
  <c r="FZ65" i="63"/>
  <c r="M486" i="73"/>
  <c r="N99" i="73"/>
  <c r="O99" i="73" s="1"/>
  <c r="AB99" i="73"/>
  <c r="M459" i="73" s="1"/>
  <c r="N195" i="73"/>
  <c r="F27" i="124"/>
  <c r="F30" i="125"/>
  <c r="FE22" i="63"/>
  <c r="FR22" i="63"/>
  <c r="I317" i="73"/>
  <c r="FG37" i="63"/>
  <c r="FT37" i="63"/>
  <c r="FA53" i="63"/>
  <c r="FN53" i="63"/>
  <c r="FO70" i="63"/>
  <c r="FB70" i="63"/>
  <c r="C269" i="73"/>
  <c r="GF7" i="63"/>
  <c r="GA49" i="63"/>
  <c r="GG33" i="63"/>
  <c r="GH133" i="63"/>
  <c r="FZ94" i="63"/>
  <c r="GF77" i="63"/>
  <c r="AB115" i="73"/>
  <c r="AC115" i="73" s="1"/>
  <c r="W63" i="62"/>
  <c r="W65" i="62"/>
  <c r="W61" i="62"/>
  <c r="W60" i="62"/>
  <c r="W59" i="62"/>
  <c r="W66" i="62"/>
  <c r="W64" i="62"/>
  <c r="W62" i="62"/>
  <c r="N7" i="73"/>
  <c r="Y17" i="73"/>
  <c r="J283" i="73" s="1"/>
  <c r="AB91" i="73"/>
  <c r="AC91" i="73" s="1"/>
  <c r="N187" i="73"/>
  <c r="M713" i="73"/>
  <c r="N200" i="73"/>
  <c r="FZ160" i="63"/>
  <c r="GE131" i="63"/>
  <c r="FY132" i="63"/>
  <c r="FX107" i="63"/>
  <c r="GD66" i="63"/>
  <c r="W68" i="62"/>
  <c r="E132" i="62"/>
  <c r="AM27" i="66"/>
  <c r="AR31" i="66"/>
  <c r="AR32" i="66" s="1"/>
  <c r="V29" i="66"/>
  <c r="V19" i="66"/>
  <c r="F13" i="127"/>
  <c r="E2" i="140"/>
  <c r="V9" i="66"/>
  <c r="Y9" i="66" s="1"/>
  <c r="F15" i="127"/>
  <c r="F10" i="127"/>
  <c r="M10" i="127" s="1"/>
  <c r="F33" i="129"/>
  <c r="L33" i="129" s="1"/>
  <c r="P91" i="119"/>
  <c r="P85" i="119"/>
  <c r="O93" i="119"/>
  <c r="Q97" i="119"/>
  <c r="O83" i="119"/>
  <c r="Q85" i="119"/>
  <c r="Q83" i="119"/>
  <c r="P87" i="119"/>
  <c r="G23" i="118"/>
  <c r="E143" i="62"/>
  <c r="E3" i="62"/>
  <c r="R67" i="106"/>
  <c r="H579" i="73"/>
  <c r="M15" i="123"/>
  <c r="D667" i="73"/>
  <c r="E21" i="124"/>
  <c r="H584" i="73"/>
  <c r="M19" i="123"/>
  <c r="G8" i="124"/>
  <c r="G11" i="125" s="1"/>
  <c r="E651" i="73"/>
  <c r="F6" i="124"/>
  <c r="F9" i="125" s="1"/>
  <c r="C7" i="124"/>
  <c r="AF181" i="73"/>
  <c r="B653" i="73" s="1"/>
  <c r="F675" i="73"/>
  <c r="G29" i="124"/>
  <c r="G32" i="125"/>
  <c r="E5" i="124"/>
  <c r="E8" i="125" s="1"/>
  <c r="R32" i="114"/>
  <c r="M423" i="73"/>
  <c r="X22" i="113"/>
  <c r="H581" i="73"/>
  <c r="M17" i="123"/>
  <c r="I19" i="125" s="1"/>
  <c r="F17" i="118"/>
  <c r="F35" i="118" s="1"/>
  <c r="R5" i="118"/>
  <c r="H586" i="73"/>
  <c r="M22" i="123"/>
  <c r="G10" i="124"/>
  <c r="G9" i="124"/>
  <c r="G15" i="124"/>
  <c r="F672" i="73"/>
  <c r="G26" i="124"/>
  <c r="E650" i="73"/>
  <c r="F4" i="124"/>
  <c r="F7" i="125"/>
  <c r="O95" i="119"/>
  <c r="L13" i="124"/>
  <c r="L16" i="125" s="1"/>
  <c r="X102" i="108"/>
  <c r="E33" i="124"/>
  <c r="H583" i="73"/>
  <c r="M21" i="123"/>
  <c r="H568" i="73"/>
  <c r="M4" i="123"/>
  <c r="F660" i="73"/>
  <c r="G14" i="124"/>
  <c r="G17" i="125" s="1"/>
  <c r="E18" i="124"/>
  <c r="E21" i="125"/>
  <c r="I73" i="119"/>
  <c r="R32" i="117"/>
  <c r="R10" i="118"/>
  <c r="H570" i="73"/>
  <c r="M7" i="123"/>
  <c r="C653" i="73"/>
  <c r="D7" i="124"/>
  <c r="D17" i="124"/>
  <c r="D20" i="125"/>
  <c r="X49" i="109"/>
  <c r="R49" i="109"/>
  <c r="X25" i="110"/>
  <c r="AJ197" i="73"/>
  <c r="R25" i="110"/>
  <c r="R45" i="109"/>
  <c r="Y45" i="109"/>
  <c r="X45" i="109"/>
  <c r="O67" i="113"/>
  <c r="O67" i="107"/>
  <c r="X40" i="107"/>
  <c r="R40" i="107"/>
  <c r="X51" i="107"/>
  <c r="R51" i="107"/>
  <c r="X55" i="107"/>
  <c r="R55" i="107"/>
  <c r="X63" i="107"/>
  <c r="R63" i="107"/>
  <c r="X46" i="108"/>
  <c r="R46" i="108"/>
  <c r="R15" i="108"/>
  <c r="X15" i="108"/>
  <c r="R31" i="108"/>
  <c r="X31" i="108"/>
  <c r="X14" i="109"/>
  <c r="AI186" i="73"/>
  <c r="R14" i="109"/>
  <c r="X102" i="110"/>
  <c r="G33" i="124"/>
  <c r="X56" i="110"/>
  <c r="R56" i="110"/>
  <c r="O82" i="119"/>
  <c r="X17" i="110"/>
  <c r="AJ189" i="73"/>
  <c r="R17" i="110"/>
  <c r="R13" i="110"/>
  <c r="X13" i="110"/>
  <c r="AJ185" i="73"/>
  <c r="O32" i="113"/>
  <c r="R6" i="113"/>
  <c r="X30" i="113"/>
  <c r="R30" i="113"/>
  <c r="O67" i="112"/>
  <c r="R40" i="112"/>
  <c r="X47" i="107"/>
  <c r="R47" i="107"/>
  <c r="X59" i="107"/>
  <c r="R59" i="107"/>
  <c r="X11" i="108"/>
  <c r="R11" i="108"/>
  <c r="X54" i="108"/>
  <c r="R54" i="108"/>
  <c r="R27" i="108"/>
  <c r="X27" i="108"/>
  <c r="X10" i="109"/>
  <c r="AI182" i="73"/>
  <c r="E654" i="73" s="1"/>
  <c r="R10" i="109"/>
  <c r="X26" i="109"/>
  <c r="AI198" i="73"/>
  <c r="R26" i="109"/>
  <c r="X65" i="109"/>
  <c r="R65" i="109"/>
  <c r="X21" i="110"/>
  <c r="AJ193" i="73"/>
  <c r="AJ204" i="73" s="1"/>
  <c r="AJ205" i="73" s="1"/>
  <c r="R21" i="110"/>
  <c r="X60" i="110"/>
  <c r="R60" i="110"/>
  <c r="X20" i="107"/>
  <c r="R20" i="107"/>
  <c r="R42" i="108"/>
  <c r="X42" i="108"/>
  <c r="F8" i="125"/>
  <c r="R53" i="109"/>
  <c r="Y53" i="109"/>
  <c r="X53" i="109"/>
  <c r="X5" i="107"/>
  <c r="O32" i="107"/>
  <c r="R5" i="107"/>
  <c r="X5" i="112"/>
  <c r="R5" i="112"/>
  <c r="R32" i="112"/>
  <c r="O32" i="112"/>
  <c r="X16" i="107"/>
  <c r="R16" i="107"/>
  <c r="X24" i="107"/>
  <c r="R24" i="107"/>
  <c r="X28" i="107"/>
  <c r="R28" i="107"/>
  <c r="X50" i="108"/>
  <c r="R50" i="108"/>
  <c r="X66" i="108"/>
  <c r="R66" i="108"/>
  <c r="X102" i="109"/>
  <c r="F33" i="124"/>
  <c r="R102" i="110"/>
  <c r="S9" i="118"/>
  <c r="X52" i="110"/>
  <c r="R52" i="110"/>
  <c r="X59" i="112"/>
  <c r="R59" i="112"/>
  <c r="X43" i="107"/>
  <c r="R43" i="107"/>
  <c r="R22" i="109"/>
  <c r="X22" i="109"/>
  <c r="AI194" i="73"/>
  <c r="X62" i="108"/>
  <c r="R62" i="108"/>
  <c r="S11" i="118"/>
  <c r="X8" i="107"/>
  <c r="R8" i="107"/>
  <c r="X12" i="107"/>
  <c r="R12" i="107"/>
  <c r="X19" i="108"/>
  <c r="R19" i="108"/>
  <c r="O67" i="109"/>
  <c r="R41" i="109"/>
  <c r="X41" i="109"/>
  <c r="X18" i="109"/>
  <c r="AI190" i="73"/>
  <c r="R18" i="109"/>
  <c r="X57" i="109"/>
  <c r="R57" i="109"/>
  <c r="Y57" i="109"/>
  <c r="X9" i="110"/>
  <c r="AJ181" i="73"/>
  <c r="F653" i="73" s="1"/>
  <c r="R9" i="110"/>
  <c r="X48" i="110"/>
  <c r="R48" i="110"/>
  <c r="R29" i="110"/>
  <c r="X29" i="110"/>
  <c r="AJ201" i="73"/>
  <c r="O67" i="108"/>
  <c r="FP18" i="63"/>
  <c r="FC18" i="63"/>
  <c r="FR48" i="63"/>
  <c r="FE48" i="63"/>
  <c r="FE40" i="63"/>
  <c r="CR120" i="63"/>
  <c r="GE120" i="63"/>
  <c r="FF26" i="63"/>
  <c r="FE131" i="63"/>
  <c r="FM10" i="63"/>
  <c r="EZ10" i="63"/>
  <c r="FM44" i="63"/>
  <c r="EZ44" i="63"/>
  <c r="FV10" i="63"/>
  <c r="FI10" i="63"/>
  <c r="EY26" i="63"/>
  <c r="FL26" i="63"/>
  <c r="FR156" i="63"/>
  <c r="FT22" i="63"/>
  <c r="FG22" i="63"/>
  <c r="FF48" i="63"/>
  <c r="FS48" i="63"/>
  <c r="FM36" i="63"/>
  <c r="EZ36" i="63"/>
  <c r="FC143" i="63"/>
  <c r="EZ94" i="63"/>
  <c r="ES90" i="63"/>
  <c r="FV26" i="63"/>
  <c r="FI26" i="63"/>
  <c r="B428" i="73"/>
  <c r="M32" i="122"/>
  <c r="G25" i="123"/>
  <c r="AF165" i="73"/>
  <c r="B590" i="73" s="1"/>
  <c r="G15" i="123"/>
  <c r="AF154" i="73"/>
  <c r="B579" i="73" s="1"/>
  <c r="C29" i="124"/>
  <c r="AF203" i="73"/>
  <c r="B675" i="73" s="1"/>
  <c r="D31" i="65"/>
  <c r="AB5" i="65"/>
  <c r="AF74" i="73"/>
  <c r="U32" i="106"/>
  <c r="C22" i="124"/>
  <c r="AF196" i="73"/>
  <c r="B668" i="73" s="1"/>
  <c r="K77" i="119"/>
  <c r="D77" i="119"/>
  <c r="U77" i="119" s="1"/>
  <c r="L84" i="119"/>
  <c r="G72" i="119"/>
  <c r="M91" i="119"/>
  <c r="O73" i="119"/>
  <c r="D73" i="119"/>
  <c r="I85" i="119"/>
  <c r="AJ22" i="122"/>
  <c r="AK22" i="122" s="1"/>
  <c r="AO8" i="122"/>
  <c r="AQ8" i="122" s="1"/>
  <c r="AF199" i="73"/>
  <c r="B671" i="73" s="1"/>
  <c r="C24" i="124"/>
  <c r="AF108" i="73"/>
  <c r="V32" i="106"/>
  <c r="M33" i="122"/>
  <c r="E32" i="65"/>
  <c r="AF153" i="73"/>
  <c r="B578" i="73" s="1"/>
  <c r="G16" i="123"/>
  <c r="AF40" i="73"/>
  <c r="T32" i="106"/>
  <c r="K89" i="119"/>
  <c r="E80" i="119"/>
  <c r="V80" i="119" s="1"/>
  <c r="H79" i="119"/>
  <c r="S32" i="106"/>
  <c r="C28" i="124"/>
  <c r="AF201" i="73"/>
  <c r="B673" i="73" s="1"/>
  <c r="G7" i="123"/>
  <c r="G31" i="123" s="1"/>
  <c r="G33" i="123" s="1"/>
  <c r="G35" i="123" s="1"/>
  <c r="AF145" i="73"/>
  <c r="B570" i="73" s="1"/>
  <c r="C19" i="124"/>
  <c r="AF194" i="73"/>
  <c r="B666" i="73" s="1"/>
  <c r="C27" i="124"/>
  <c r="AF202" i="73"/>
  <c r="B674" i="73" s="1"/>
  <c r="AO16" i="122"/>
  <c r="AQ16" i="122" s="1"/>
  <c r="AF166" i="73"/>
  <c r="B591" i="73" s="1"/>
  <c r="G27" i="123"/>
  <c r="AF144" i="73"/>
  <c r="G5" i="123"/>
  <c r="W32" i="106"/>
  <c r="O78" i="119"/>
  <c r="J72" i="119"/>
  <c r="C4" i="124"/>
  <c r="X32" i="106"/>
  <c r="AF178" i="73"/>
  <c r="B650" i="73" s="1"/>
  <c r="AC5" i="65"/>
  <c r="E31" i="65"/>
  <c r="C6" i="124"/>
  <c r="AF179" i="73"/>
  <c r="B651" i="73" s="1"/>
  <c r="D32" i="65"/>
  <c r="P33" i="121"/>
  <c r="C26" i="124"/>
  <c r="AF200" i="73"/>
  <c r="B672" i="73" s="1"/>
  <c r="L32" i="122"/>
  <c r="L34" i="122" s="1"/>
  <c r="L36" i="122" s="1"/>
  <c r="E78" i="119"/>
  <c r="V78" i="119" s="1"/>
  <c r="L90" i="119"/>
  <c r="K92" i="119"/>
  <c r="N97" i="119"/>
  <c r="K93" i="119"/>
  <c r="AV20" i="121"/>
  <c r="AV21" i="121"/>
  <c r="E76" i="119"/>
  <c r="V76" i="119" s="1"/>
  <c r="B85" i="119"/>
  <c r="S85" i="119"/>
  <c r="J84" i="119"/>
  <c r="Q86" i="119"/>
  <c r="L80" i="119"/>
  <c r="B86" i="119"/>
  <c r="S86" i="119" s="1"/>
  <c r="O90" i="119"/>
  <c r="B97" i="119"/>
  <c r="S97" i="119" s="1"/>
  <c r="D78" i="119"/>
  <c r="U78" i="119" s="1"/>
  <c r="E75" i="119"/>
  <c r="V75" i="119" s="1"/>
  <c r="B73" i="119"/>
  <c r="G76" i="119"/>
  <c r="E83" i="119"/>
  <c r="V83" i="119" s="1"/>
  <c r="N92" i="119"/>
  <c r="O77" i="119"/>
  <c r="P75" i="119"/>
  <c r="FR120" i="63"/>
  <c r="FE120" i="63"/>
  <c r="M599" i="73"/>
  <c r="AV11" i="121"/>
  <c r="W67" i="112"/>
  <c r="M497" i="73"/>
  <c r="X97" i="62"/>
  <c r="X101" i="62"/>
  <c r="X104" i="62"/>
  <c r="X94" i="62"/>
  <c r="X98" i="62"/>
  <c r="X102" i="62"/>
  <c r="X99" i="62"/>
  <c r="X100" i="62"/>
  <c r="X95" i="62"/>
  <c r="X96" i="62"/>
  <c r="X103" i="62"/>
  <c r="H582" i="73"/>
  <c r="M18" i="123"/>
  <c r="K3" i="124"/>
  <c r="O28" i="123"/>
  <c r="J593" i="73"/>
  <c r="P6" i="123"/>
  <c r="K571" i="73"/>
  <c r="R19" i="123"/>
  <c r="M584" i="73"/>
  <c r="EZ168" i="63"/>
  <c r="FM168" i="63"/>
  <c r="FS164" i="63"/>
  <c r="FF164" i="63"/>
  <c r="FH164" i="63"/>
  <c r="FU164" i="63"/>
  <c r="FF156" i="63"/>
  <c r="FS156" i="63"/>
  <c r="FU156" i="63"/>
  <c r="FH156" i="63"/>
  <c r="FF143" i="63"/>
  <c r="FS143" i="63"/>
  <c r="J642" i="73"/>
  <c r="FH143" i="63"/>
  <c r="FU143" i="63"/>
  <c r="FK139" i="63"/>
  <c r="EX139" i="63"/>
  <c r="FS135" i="63"/>
  <c r="FF135" i="63"/>
  <c r="FK131" i="63"/>
  <c r="EX131" i="63"/>
  <c r="FS127" i="63"/>
  <c r="FF127" i="63"/>
  <c r="FF118" i="63"/>
  <c r="FS118" i="63"/>
  <c r="FH118" i="63"/>
  <c r="FU118" i="63"/>
  <c r="FK114" i="63"/>
  <c r="EX114" i="63"/>
  <c r="FS110" i="63"/>
  <c r="J558" i="73"/>
  <c r="FF110" i="63"/>
  <c r="FU110" i="63"/>
  <c r="FH110" i="63"/>
  <c r="FK106" i="63"/>
  <c r="EX106" i="63"/>
  <c r="FS102" i="63"/>
  <c r="FF102" i="63"/>
  <c r="FH102" i="63"/>
  <c r="FU102" i="63"/>
  <c r="FH94" i="63"/>
  <c r="FU94" i="63"/>
  <c r="FK89" i="63"/>
  <c r="EX89" i="63"/>
  <c r="FS85" i="63"/>
  <c r="FF85" i="63"/>
  <c r="FH85" i="63"/>
  <c r="FU85" i="63"/>
  <c r="L482" i="73"/>
  <c r="FK81" i="63"/>
  <c r="EX81" i="63"/>
  <c r="FU77" i="63"/>
  <c r="FH77" i="63"/>
  <c r="FK73" i="63"/>
  <c r="EX73" i="63"/>
  <c r="FF69" i="63"/>
  <c r="FS69" i="63"/>
  <c r="J466" i="73"/>
  <c r="FU69" i="63"/>
  <c r="FH69" i="63"/>
  <c r="FK65" i="63"/>
  <c r="EX65" i="63"/>
  <c r="FI56" i="63"/>
  <c r="FV56" i="63"/>
  <c r="FH56" i="63"/>
  <c r="FU56" i="63"/>
  <c r="L402" i="73"/>
  <c r="FL52" i="63"/>
  <c r="EY52" i="63"/>
  <c r="FG48" i="63"/>
  <c r="FT48" i="63"/>
  <c r="FV48" i="63"/>
  <c r="FI48" i="63"/>
  <c r="FL44" i="63"/>
  <c r="EY44" i="63"/>
  <c r="FG40" i="63"/>
  <c r="FT40" i="63"/>
  <c r="FI40" i="63"/>
  <c r="FV40" i="63"/>
  <c r="FL36" i="63"/>
  <c r="EY36" i="63"/>
  <c r="FQ26" i="63"/>
  <c r="FD26" i="63"/>
  <c r="FO26" i="63"/>
  <c r="FB26" i="63"/>
  <c r="FC22" i="63"/>
  <c r="FP22" i="63"/>
  <c r="EX18" i="63"/>
  <c r="FK18" i="63"/>
  <c r="FS22" i="63"/>
  <c r="J317" i="73"/>
  <c r="FF22" i="63"/>
  <c r="FN65" i="63"/>
  <c r="FA65" i="63"/>
  <c r="CS90" i="63"/>
  <c r="GF90" i="63"/>
  <c r="FR150" i="63"/>
  <c r="FE150" i="63"/>
  <c r="FG26" i="63"/>
  <c r="FT26" i="63"/>
  <c r="FC52" i="63"/>
  <c r="FP52" i="63"/>
  <c r="FT69" i="63"/>
  <c r="FG69" i="63"/>
  <c r="FA77" i="63"/>
  <c r="FN77" i="63"/>
  <c r="FB89" i="63"/>
  <c r="FO89" i="63"/>
  <c r="FN118" i="63"/>
  <c r="FA118" i="63"/>
  <c r="FN156" i="63"/>
  <c r="FA156" i="63"/>
  <c r="FR172" i="63"/>
  <c r="FE172" i="63"/>
  <c r="FR6" i="63"/>
  <c r="FE6" i="63"/>
  <c r="FO20" i="63"/>
  <c r="FB20" i="63"/>
  <c r="FK54" i="63"/>
  <c r="EX54" i="63"/>
  <c r="FA87" i="63"/>
  <c r="FN87" i="63"/>
  <c r="G7" i="121"/>
  <c r="V6" i="66" s="1"/>
  <c r="Y6" i="66" s="1"/>
  <c r="E4" i="140"/>
  <c r="J170" i="62"/>
  <c r="J173" i="62"/>
  <c r="J165" i="62"/>
  <c r="FO10" i="63"/>
  <c r="F90" i="62"/>
  <c r="F15" i="62"/>
  <c r="EV60" i="63"/>
  <c r="C15" i="62"/>
  <c r="F86" i="119"/>
  <c r="N17" i="62"/>
  <c r="H26" i="62"/>
  <c r="N81" i="119"/>
  <c r="P78" i="119"/>
  <c r="M25" i="124"/>
  <c r="M348" i="73"/>
  <c r="W32" i="112"/>
  <c r="M5" i="123"/>
  <c r="H585" i="73"/>
  <c r="M20" i="123"/>
  <c r="O30" i="123"/>
  <c r="J594" i="73"/>
  <c r="P10" i="123"/>
  <c r="P31" i="123" s="1"/>
  <c r="P33" i="123" s="1"/>
  <c r="P35" i="123" s="1"/>
  <c r="K574" i="73"/>
  <c r="R23" i="123"/>
  <c r="M587" i="73"/>
  <c r="P18" i="123"/>
  <c r="K582" i="73"/>
  <c r="FR160" i="63"/>
  <c r="FE160" i="63"/>
  <c r="FC160" i="63"/>
  <c r="FP160" i="63"/>
  <c r="FM156" i="63"/>
  <c r="EZ156" i="63"/>
  <c r="FR147" i="63"/>
  <c r="FE147" i="63"/>
  <c r="FC147" i="63"/>
  <c r="FP147" i="63"/>
  <c r="FM143" i="63"/>
  <c r="EZ143" i="63"/>
  <c r="FE139" i="63"/>
  <c r="FR139" i="63"/>
  <c r="FP139" i="63"/>
  <c r="FC139" i="63"/>
  <c r="EZ135" i="63"/>
  <c r="FM135" i="63"/>
  <c r="FC131" i="63"/>
  <c r="FP131" i="63"/>
  <c r="FM127" i="63"/>
  <c r="D626" i="73"/>
  <c r="EZ127" i="63"/>
  <c r="FR123" i="63"/>
  <c r="FE123" i="63"/>
  <c r="FP123" i="63"/>
  <c r="FC123" i="63"/>
  <c r="FM118" i="63"/>
  <c r="EZ118" i="63"/>
  <c r="FR114" i="63"/>
  <c r="FE114" i="63"/>
  <c r="FP114" i="63"/>
  <c r="G562" i="73"/>
  <c r="FC114" i="63"/>
  <c r="EZ110" i="63"/>
  <c r="FM110" i="63"/>
  <c r="FR106" i="63"/>
  <c r="FE106" i="63"/>
  <c r="FP106" i="63"/>
  <c r="FC106" i="63"/>
  <c r="FM102" i="63"/>
  <c r="EZ102" i="63"/>
  <c r="FR98" i="63"/>
  <c r="FE98" i="63"/>
  <c r="FP98" i="63"/>
  <c r="FC98" i="63"/>
  <c r="FE89" i="63"/>
  <c r="FR89" i="63"/>
  <c r="FP89" i="63"/>
  <c r="G486" i="73"/>
  <c r="FC89" i="63"/>
  <c r="FM85" i="63"/>
  <c r="EZ85" i="63"/>
  <c r="FE81" i="63"/>
  <c r="FR81" i="63"/>
  <c r="FC81" i="63"/>
  <c r="FP81" i="63"/>
  <c r="EZ77" i="63"/>
  <c r="FM77" i="63"/>
  <c r="D474" i="73"/>
  <c r="FE73" i="63"/>
  <c r="FR73" i="63"/>
  <c r="FP73" i="63"/>
  <c r="FC73" i="63"/>
  <c r="EZ69" i="63"/>
  <c r="FM69" i="63"/>
  <c r="CR90" i="63"/>
  <c r="GE90" i="63"/>
  <c r="FR65" i="63"/>
  <c r="FE65" i="63"/>
  <c r="FP65" i="63"/>
  <c r="FC65" i="63"/>
  <c r="FB52" i="63"/>
  <c r="FO52" i="63"/>
  <c r="FD52" i="63"/>
  <c r="FQ52" i="63"/>
  <c r="FN48" i="63"/>
  <c r="FA48" i="63"/>
  <c r="FO44" i="63"/>
  <c r="FB44" i="63"/>
  <c r="FQ44" i="63"/>
  <c r="FD44" i="63"/>
  <c r="FB36" i="63"/>
  <c r="FO36" i="63"/>
  <c r="FQ36" i="63"/>
  <c r="FD36" i="63"/>
  <c r="FP26" i="63"/>
  <c r="G321" i="73"/>
  <c r="FC26" i="63"/>
  <c r="FO22" i="63"/>
  <c r="FB22" i="63"/>
  <c r="FL22" i="63"/>
  <c r="EY22" i="63"/>
  <c r="FU18" i="63"/>
  <c r="FH18" i="63"/>
  <c r="FS10" i="63"/>
  <c r="J305" i="73"/>
  <c r="FF10" i="63"/>
  <c r="FK36" i="63"/>
  <c r="EX36" i="63"/>
  <c r="FN73" i="63"/>
  <c r="FA73" i="63"/>
  <c r="CM120" i="63"/>
  <c r="FZ120" i="63"/>
  <c r="CM180" i="63"/>
  <c r="FZ180" i="63"/>
  <c r="FU10" i="63"/>
  <c r="FH10" i="63"/>
  <c r="FC44" i="63"/>
  <c r="FP44" i="63"/>
  <c r="FS56" i="63"/>
  <c r="FF56" i="63"/>
  <c r="FN69" i="63"/>
  <c r="FA69" i="63"/>
  <c r="FO81" i="63"/>
  <c r="FB81" i="63"/>
  <c r="FA94" i="63"/>
  <c r="FN94" i="63"/>
  <c r="FN127" i="63"/>
  <c r="FA127" i="63"/>
  <c r="FN164" i="63"/>
  <c r="FA164" i="63"/>
  <c r="FS176" i="63"/>
  <c r="FF176" i="63"/>
  <c r="FM14" i="63"/>
  <c r="EZ14" i="63"/>
  <c r="FO28" i="63"/>
  <c r="FB28" i="63"/>
  <c r="FN63" i="63"/>
  <c r="FA63" i="63"/>
  <c r="FN100" i="63"/>
  <c r="FA100" i="63"/>
  <c r="FH135" i="63"/>
  <c r="CO60" i="63"/>
  <c r="GB60" i="63"/>
  <c r="EZ56" i="63"/>
  <c r="FF94" i="63"/>
  <c r="J129" i="62"/>
  <c r="J130" i="62"/>
  <c r="EN150" i="63"/>
  <c r="J25" i="62"/>
  <c r="J31" i="62"/>
  <c r="FU114" i="63"/>
  <c r="FK98" i="63"/>
  <c r="GH84" i="126"/>
  <c r="CN120" i="63"/>
  <c r="GA120" i="63"/>
  <c r="H27" i="62"/>
  <c r="H24" i="62"/>
  <c r="H34" i="62"/>
  <c r="EK60" i="63"/>
  <c r="E85" i="119"/>
  <c r="V85" i="119" s="1"/>
  <c r="AV22" i="121"/>
  <c r="M424" i="73"/>
  <c r="M733" i="73"/>
  <c r="F165" i="62"/>
  <c r="F169" i="62"/>
  <c r="F166" i="62"/>
  <c r="F171" i="62"/>
  <c r="F170" i="62"/>
  <c r="F167" i="62"/>
  <c r="F168" i="62"/>
  <c r="H574" i="73"/>
  <c r="M10" i="123"/>
  <c r="H590" i="73"/>
  <c r="M25" i="123"/>
  <c r="AF51" i="62"/>
  <c r="Y60" i="62"/>
  <c r="Y66" i="62"/>
  <c r="Y63" i="62"/>
  <c r="Y64" i="62"/>
  <c r="Y65" i="62"/>
  <c r="Y67" i="62"/>
  <c r="Y69" i="62"/>
  <c r="Y58" i="62"/>
  <c r="Y61" i="62"/>
  <c r="Y68" i="62"/>
  <c r="Y59" i="62"/>
  <c r="Y62" i="62"/>
  <c r="G66" i="62"/>
  <c r="G62" i="62"/>
  <c r="G69" i="62"/>
  <c r="G65" i="62"/>
  <c r="G61" i="62"/>
  <c r="G68" i="62"/>
  <c r="G64" i="62"/>
  <c r="G60" i="62"/>
  <c r="N51" i="62"/>
  <c r="G67" i="62"/>
  <c r="G63" i="62"/>
  <c r="G59" i="62"/>
  <c r="AD33" i="121"/>
  <c r="R32" i="65"/>
  <c r="O15" i="123"/>
  <c r="S15" i="123" s="1"/>
  <c r="J579" i="73"/>
  <c r="P16" i="123"/>
  <c r="K578" i="73"/>
  <c r="R9" i="123"/>
  <c r="R28" i="123"/>
  <c r="M593" i="73"/>
  <c r="R10" i="123"/>
  <c r="O18" i="123"/>
  <c r="J582" i="73"/>
  <c r="P22" i="123"/>
  <c r="FU168" i="63"/>
  <c r="FH168" i="63"/>
  <c r="FK164" i="63"/>
  <c r="EX164" i="63"/>
  <c r="FS160" i="63"/>
  <c r="FF160" i="63"/>
  <c r="FU160" i="63"/>
  <c r="FH160" i="63"/>
  <c r="FS147" i="63"/>
  <c r="FF147" i="63"/>
  <c r="FU147" i="63"/>
  <c r="FH147" i="63"/>
  <c r="FK143" i="63"/>
  <c r="B642" i="73"/>
  <c r="EX143" i="63"/>
  <c r="FS139" i="63"/>
  <c r="J638" i="73"/>
  <c r="FF139" i="63"/>
  <c r="FU139" i="63"/>
  <c r="FH139" i="63"/>
  <c r="FK135" i="63"/>
  <c r="B634" i="73"/>
  <c r="EX135" i="63"/>
  <c r="FS131" i="63"/>
  <c r="J630" i="73"/>
  <c r="FF131" i="63"/>
  <c r="FU131" i="63"/>
  <c r="L630" i="73"/>
  <c r="FH131" i="63"/>
  <c r="FK127" i="63"/>
  <c r="EX127" i="63"/>
  <c r="FS123" i="63"/>
  <c r="FF123" i="63"/>
  <c r="FU123" i="63"/>
  <c r="FH123" i="63"/>
  <c r="FK118" i="63"/>
  <c r="EX118" i="63"/>
  <c r="FS114" i="63"/>
  <c r="FF114" i="63"/>
  <c r="EX110" i="63"/>
  <c r="FK110" i="63"/>
  <c r="FF106" i="63"/>
  <c r="FS106" i="63"/>
  <c r="FU106" i="63"/>
  <c r="FH106" i="63"/>
  <c r="FK102" i="63"/>
  <c r="EX102" i="63"/>
  <c r="FF98" i="63"/>
  <c r="FS98" i="63"/>
  <c r="FU98" i="63"/>
  <c r="FH98" i="63"/>
  <c r="FK94" i="63"/>
  <c r="EX94" i="63"/>
  <c r="FS89" i="63"/>
  <c r="FF89" i="63"/>
  <c r="FH89" i="63"/>
  <c r="FU89" i="63"/>
  <c r="L486" i="73"/>
  <c r="FK85" i="63"/>
  <c r="EX85" i="63"/>
  <c r="FS81" i="63"/>
  <c r="FF81" i="63"/>
  <c r="FU81" i="63"/>
  <c r="FH81" i="63"/>
  <c r="FK77" i="63"/>
  <c r="B474" i="73"/>
  <c r="EX77" i="63"/>
  <c r="FF73" i="63"/>
  <c r="FS73" i="63"/>
  <c r="FH73" i="63"/>
  <c r="FU73" i="63"/>
  <c r="FK69" i="63"/>
  <c r="EX69" i="63"/>
  <c r="FF65" i="63"/>
  <c r="FS65" i="63"/>
  <c r="FU65" i="63"/>
  <c r="FH65" i="63"/>
  <c r="EY56" i="63"/>
  <c r="FL56" i="63"/>
  <c r="FT52" i="63"/>
  <c r="FG52" i="63"/>
  <c r="FV52" i="63"/>
  <c r="FI52" i="63"/>
  <c r="FL48" i="63"/>
  <c r="C394" i="73"/>
  <c r="EY48" i="63"/>
  <c r="FT44" i="63"/>
  <c r="FG44" i="63"/>
  <c r="FV44" i="63"/>
  <c r="FI44" i="63"/>
  <c r="FT36" i="63"/>
  <c r="FG36" i="63"/>
  <c r="FI36" i="63"/>
  <c r="FV36" i="63"/>
  <c r="FR26" i="63"/>
  <c r="FE26" i="63"/>
  <c r="EZ22" i="63"/>
  <c r="FM22" i="63"/>
  <c r="FI18" i="63"/>
  <c r="FV18" i="63"/>
  <c r="EY18" i="63"/>
  <c r="FL18" i="63"/>
  <c r="FE10" i="63"/>
  <c r="FR10" i="63"/>
  <c r="L487" i="73"/>
  <c r="FK44" i="63"/>
  <c r="EX44" i="63"/>
  <c r="FA81" i="63"/>
  <c r="FN81" i="63"/>
  <c r="CS180" i="63"/>
  <c r="GF180" i="63"/>
  <c r="FQ18" i="63"/>
  <c r="FD18" i="63"/>
  <c r="FP36" i="63"/>
  <c r="FC36" i="63"/>
  <c r="FU48" i="63"/>
  <c r="FH48" i="63"/>
  <c r="FA56" i="63"/>
  <c r="FN56" i="63"/>
  <c r="E402" i="73"/>
  <c r="FO73" i="63"/>
  <c r="FB73" i="63"/>
  <c r="FT85" i="63"/>
  <c r="FG85" i="63"/>
  <c r="FA102" i="63"/>
  <c r="FN102" i="63"/>
  <c r="FN135" i="63"/>
  <c r="FA135" i="63"/>
  <c r="FR168" i="63"/>
  <c r="FE168" i="63"/>
  <c r="FR176" i="63"/>
  <c r="FE176" i="63"/>
  <c r="FE14" i="63"/>
  <c r="FR14" i="63"/>
  <c r="EX38" i="63"/>
  <c r="FK38" i="63"/>
  <c r="B384" i="73"/>
  <c r="FN71" i="63"/>
  <c r="FA71" i="63"/>
  <c r="FF77" i="63"/>
  <c r="CS120" i="63"/>
  <c r="GF120" i="63"/>
  <c r="FQ10" i="63"/>
  <c r="EX123" i="63"/>
  <c r="G90" i="62"/>
  <c r="D160" i="62"/>
  <c r="D55" i="62"/>
  <c r="M94" i="119"/>
  <c r="H30" i="62"/>
  <c r="H32" i="62"/>
  <c r="G78" i="119"/>
  <c r="L74" i="119"/>
  <c r="M80" i="119"/>
  <c r="L29" i="124"/>
  <c r="BU66" i="126"/>
  <c r="M72" i="119"/>
  <c r="J78" i="119"/>
  <c r="X67" i="117"/>
  <c r="J76" i="119"/>
  <c r="M420" i="73"/>
  <c r="H577" i="73"/>
  <c r="M13" i="123"/>
  <c r="H593" i="73"/>
  <c r="M28" i="123"/>
  <c r="G29" i="62"/>
  <c r="G32" i="62"/>
  <c r="G24" i="62"/>
  <c r="G27" i="62"/>
  <c r="G30" i="62"/>
  <c r="G33" i="62"/>
  <c r="G25" i="62"/>
  <c r="G28" i="62"/>
  <c r="N16" i="62"/>
  <c r="G31" i="62"/>
  <c r="G34" i="62"/>
  <c r="G26" i="62"/>
  <c r="O17" i="123"/>
  <c r="J581" i="73"/>
  <c r="Q28" i="123"/>
  <c r="L593" i="73"/>
  <c r="AF33" i="121"/>
  <c r="T32" i="65"/>
  <c r="T33" i="65"/>
  <c r="O25" i="123"/>
  <c r="J590" i="73"/>
  <c r="P26" i="123"/>
  <c r="FR164" i="63"/>
  <c r="FE164" i="63"/>
  <c r="FP164" i="63"/>
  <c r="FC164" i="63"/>
  <c r="FC156" i="63"/>
  <c r="FP156" i="63"/>
  <c r="FM147" i="63"/>
  <c r="EZ147" i="63"/>
  <c r="FR143" i="63"/>
  <c r="FE143" i="63"/>
  <c r="FM139" i="63"/>
  <c r="D638" i="73"/>
  <c r="EZ139" i="63"/>
  <c r="FR135" i="63"/>
  <c r="FE135" i="63"/>
  <c r="FC135" i="63"/>
  <c r="FP135" i="63"/>
  <c r="EZ131" i="63"/>
  <c r="FM131" i="63"/>
  <c r="FP127" i="63"/>
  <c r="FC127" i="63"/>
  <c r="CM150" i="63"/>
  <c r="FZ150" i="63"/>
  <c r="FR118" i="63"/>
  <c r="I566" i="73"/>
  <c r="FE118" i="63"/>
  <c r="FP118" i="63"/>
  <c r="FC118" i="63"/>
  <c r="FM114" i="63"/>
  <c r="D562" i="73"/>
  <c r="EZ114" i="63"/>
  <c r="FE110" i="63"/>
  <c r="FR110" i="63"/>
  <c r="FP110" i="63"/>
  <c r="FC110" i="63"/>
  <c r="FR102" i="63"/>
  <c r="FE102" i="63"/>
  <c r="FP102" i="63"/>
  <c r="G550" i="73"/>
  <c r="FC102" i="63"/>
  <c r="FM98" i="63"/>
  <c r="EZ98" i="63"/>
  <c r="FR94" i="63"/>
  <c r="I542" i="73"/>
  <c r="FE94" i="63"/>
  <c r="FP94" i="63"/>
  <c r="FC94" i="63"/>
  <c r="EZ89" i="63"/>
  <c r="FM89" i="63"/>
  <c r="D486" i="73"/>
  <c r="FR85" i="63"/>
  <c r="FE85" i="63"/>
  <c r="FP85" i="63"/>
  <c r="G482" i="73"/>
  <c r="FC85" i="63"/>
  <c r="EZ81" i="63"/>
  <c r="FM81" i="63"/>
  <c r="FR77" i="63"/>
  <c r="FE77" i="63"/>
  <c r="FP77" i="63"/>
  <c r="FC77" i="63"/>
  <c r="EZ73" i="63"/>
  <c r="FM73" i="63"/>
  <c r="FR69" i="63"/>
  <c r="FE69" i="63"/>
  <c r="FP69" i="63"/>
  <c r="FC69" i="63"/>
  <c r="CM90" i="63"/>
  <c r="FZ90" i="63"/>
  <c r="FM65" i="63"/>
  <c r="FP56" i="63"/>
  <c r="FC56" i="63"/>
  <c r="FO56" i="63"/>
  <c r="F402" i="73"/>
  <c r="FB56" i="63"/>
  <c r="FN52" i="63"/>
  <c r="FA52" i="63"/>
  <c r="FB48" i="63"/>
  <c r="FO48" i="63"/>
  <c r="FN44" i="63"/>
  <c r="FA44" i="63"/>
  <c r="FO40" i="63"/>
  <c r="FB40" i="63"/>
  <c r="FQ40" i="63"/>
  <c r="FD40" i="63"/>
  <c r="FN36" i="63"/>
  <c r="FA36" i="63"/>
  <c r="EZ26" i="63"/>
  <c r="FM26" i="63"/>
  <c r="FN22" i="63"/>
  <c r="FA22" i="63"/>
  <c r="FM18" i="63"/>
  <c r="EZ18" i="63"/>
  <c r="FO18" i="63"/>
  <c r="FB18" i="63"/>
  <c r="FP10" i="63"/>
  <c r="FC10" i="63"/>
  <c r="FN89" i="63"/>
  <c r="E486" i="73"/>
  <c r="FA89" i="63"/>
  <c r="AF85" i="62"/>
  <c r="CS150" i="63"/>
  <c r="GF150" i="63"/>
  <c r="CR180" i="63"/>
  <c r="GE180" i="63"/>
  <c r="FU40" i="63"/>
  <c r="FH40" i="63"/>
  <c r="FB65" i="63"/>
  <c r="FO65" i="63"/>
  <c r="FG77" i="63"/>
  <c r="FT77" i="63"/>
  <c r="FA85" i="63"/>
  <c r="FN85" i="63"/>
  <c r="E482" i="73"/>
  <c r="FN110" i="63"/>
  <c r="FA110" i="63"/>
  <c r="FN143" i="63"/>
  <c r="FA143" i="63"/>
  <c r="FF172" i="63"/>
  <c r="FS172" i="63"/>
  <c r="FM6" i="63"/>
  <c r="EZ6" i="63"/>
  <c r="FV8" i="63"/>
  <c r="FI8" i="63"/>
  <c r="FK46" i="63"/>
  <c r="EX46" i="63"/>
  <c r="FN79" i="63"/>
  <c r="FA79" i="63"/>
  <c r="EZ160" i="63"/>
  <c r="FM123" i="63"/>
  <c r="H174" i="62"/>
  <c r="H166" i="62"/>
  <c r="H169" i="62"/>
  <c r="R22" i="123"/>
  <c r="AI33" i="122"/>
  <c r="AA32" i="65"/>
  <c r="N4" i="124"/>
  <c r="M650" i="73"/>
  <c r="AN5" i="122"/>
  <c r="AP5" i="122" s="1"/>
  <c r="M325" i="73"/>
  <c r="C79" i="119"/>
  <c r="T79" i="119" s="1"/>
  <c r="N88" i="119"/>
  <c r="Q89" i="119"/>
  <c r="N82" i="119"/>
  <c r="O86" i="119"/>
  <c r="D74" i="119"/>
  <c r="I80" i="119"/>
  <c r="Q73" i="119"/>
  <c r="R20" i="123"/>
  <c r="N22" i="124"/>
  <c r="R16" i="123"/>
  <c r="N18" i="125" s="1"/>
  <c r="N10" i="124"/>
  <c r="N24" i="124"/>
  <c r="M671" i="73"/>
  <c r="N25" i="124"/>
  <c r="N20" i="124"/>
  <c r="M664" i="73"/>
  <c r="C94" i="119"/>
  <c r="T94" i="119" s="1"/>
  <c r="S32" i="117"/>
  <c r="AK32" i="121"/>
  <c r="AK34" i="121"/>
  <c r="AK36" i="121"/>
  <c r="AQ29" i="121"/>
  <c r="AS29" i="121" s="1"/>
  <c r="M351" i="73"/>
  <c r="U32" i="117"/>
  <c r="AI32" i="122"/>
  <c r="AI34" i="122" s="1"/>
  <c r="AI36" i="122" s="1"/>
  <c r="V67" i="117"/>
  <c r="V32" i="117"/>
  <c r="T32" i="117"/>
  <c r="Z31" i="65"/>
  <c r="R7" i="123"/>
  <c r="M570" i="73"/>
  <c r="N5" i="124"/>
  <c r="N30" i="124" s="1"/>
  <c r="N32" i="124" s="1"/>
  <c r="N34" i="124" s="1"/>
  <c r="M652" i="73"/>
  <c r="N11" i="124"/>
  <c r="M657" i="73"/>
  <c r="R12" i="123"/>
  <c r="M576" i="73"/>
  <c r="R27" i="123"/>
  <c r="M591" i="73"/>
  <c r="N6" i="124"/>
  <c r="R4" i="123"/>
  <c r="W32" i="117"/>
  <c r="R24" i="123"/>
  <c r="N26" i="124"/>
  <c r="N29" i="125" s="1"/>
  <c r="M672" i="73"/>
  <c r="N8" i="124"/>
  <c r="AL33" i="121"/>
  <c r="Z32" i="65"/>
  <c r="N16" i="124"/>
  <c r="M662" i="73"/>
  <c r="N13" i="124"/>
  <c r="M661" i="73"/>
  <c r="N12" i="124"/>
  <c r="N21" i="124"/>
  <c r="N28" i="124"/>
  <c r="M673" i="73"/>
  <c r="R67" i="117"/>
  <c r="AA31" i="65"/>
  <c r="AC11" i="65"/>
  <c r="AE11" i="65" s="1"/>
  <c r="AO26" i="122"/>
  <c r="AQ26" i="122" s="1"/>
  <c r="AR91" i="73"/>
  <c r="R29" i="123"/>
  <c r="M592" i="73"/>
  <c r="R18" i="123"/>
  <c r="M582" i="73"/>
  <c r="N18" i="124"/>
  <c r="M665" i="73"/>
  <c r="N9" i="124"/>
  <c r="N29" i="124"/>
  <c r="N32" i="125" s="1"/>
  <c r="M675" i="73"/>
  <c r="N3" i="124"/>
  <c r="X32" i="117"/>
  <c r="S67" i="117"/>
  <c r="AD30" i="65"/>
  <c r="P94" i="119"/>
  <c r="O89" i="119"/>
  <c r="E88" i="119"/>
  <c r="V88" i="119" s="1"/>
  <c r="R14" i="123"/>
  <c r="M580" i="73"/>
  <c r="R30" i="123"/>
  <c r="M594" i="73"/>
  <c r="N14" i="124"/>
  <c r="M660" i="73"/>
  <c r="R6" i="123"/>
  <c r="R26" i="123"/>
  <c r="N17" i="124"/>
  <c r="AO27" i="122"/>
  <c r="AQ27" i="122" s="1"/>
  <c r="AL32" i="121"/>
  <c r="AL34" i="121"/>
  <c r="AL36" i="121"/>
  <c r="N10" i="125"/>
  <c r="N27" i="124"/>
  <c r="M674" i="73"/>
  <c r="R16" i="118"/>
  <c r="N36" i="125"/>
  <c r="D17" i="118"/>
  <c r="AV12" i="121"/>
  <c r="Q26" i="123"/>
  <c r="L588" i="73"/>
  <c r="M15" i="124"/>
  <c r="Q20" i="123"/>
  <c r="M22" i="125" s="1"/>
  <c r="L585" i="73"/>
  <c r="M6" i="124"/>
  <c r="L651" i="73"/>
  <c r="M24" i="124"/>
  <c r="L671" i="73"/>
  <c r="Q14" i="123"/>
  <c r="L580" i="73"/>
  <c r="M12" i="124"/>
  <c r="M15" i="125" s="1"/>
  <c r="L658" i="73"/>
  <c r="M11" i="124"/>
  <c r="L657" i="73"/>
  <c r="M18" i="124"/>
  <c r="L665" i="73"/>
  <c r="Q27" i="123"/>
  <c r="L591" i="73"/>
  <c r="M8" i="124"/>
  <c r="Q24" i="123"/>
  <c r="L589" i="73"/>
  <c r="M23" i="124"/>
  <c r="L670" i="73"/>
  <c r="M14" i="124"/>
  <c r="M12" i="125"/>
  <c r="AJ33" i="121"/>
  <c r="X32" i="65"/>
  <c r="X33" i="65"/>
  <c r="M20" i="124"/>
  <c r="L664" i="73"/>
  <c r="Q6" i="123"/>
  <c r="Q30" i="123"/>
  <c r="M19" i="124"/>
  <c r="M7" i="124"/>
  <c r="L653" i="73"/>
  <c r="M26" i="124"/>
  <c r="L672" i="73"/>
  <c r="M16" i="124"/>
  <c r="L662" i="73"/>
  <c r="M6" i="125"/>
  <c r="AI34" i="121"/>
  <c r="AI36" i="121"/>
  <c r="O72" i="119"/>
  <c r="Q19" i="123"/>
  <c r="M4" i="124"/>
  <c r="M30" i="124" s="1"/>
  <c r="M32" i="124" s="1"/>
  <c r="M34" i="124" s="1"/>
  <c r="X32" i="116"/>
  <c r="Q18" i="123"/>
  <c r="S18" i="123" s="1"/>
  <c r="L582" i="73"/>
  <c r="M22" i="124"/>
  <c r="M10" i="124"/>
  <c r="L656" i="73"/>
  <c r="M28" i="124"/>
  <c r="M31" i="125" s="1"/>
  <c r="AG33" i="122"/>
  <c r="AG34" i="122"/>
  <c r="AG36" i="122" s="1"/>
  <c r="Y32" i="65"/>
  <c r="Y33" i="65"/>
  <c r="M27" i="124"/>
  <c r="L674" i="73"/>
  <c r="L20" i="125"/>
  <c r="T14" i="118"/>
  <c r="P11" i="123"/>
  <c r="P30" i="123"/>
  <c r="L14" i="124"/>
  <c r="K660" i="73"/>
  <c r="P24" i="123"/>
  <c r="K589" i="73"/>
  <c r="L24" i="124"/>
  <c r="P5" i="123"/>
  <c r="K569" i="73"/>
  <c r="L5" i="124"/>
  <c r="K652" i="73"/>
  <c r="L3" i="124"/>
  <c r="L6" i="125" s="1"/>
  <c r="X32" i="115"/>
  <c r="P21" i="123"/>
  <c r="L23" i="124"/>
  <c r="L16" i="124"/>
  <c r="K662" i="73"/>
  <c r="P14" i="123"/>
  <c r="L20" i="124"/>
  <c r="K664" i="73"/>
  <c r="L8" i="124"/>
  <c r="C72" i="119"/>
  <c r="G5" i="66"/>
  <c r="AH32" i="121"/>
  <c r="P28" i="123"/>
  <c r="K593" i="73"/>
  <c r="L7" i="124"/>
  <c r="K653" i="73"/>
  <c r="D72" i="119"/>
  <c r="J5" i="66"/>
  <c r="L22" i="124"/>
  <c r="K668" i="73"/>
  <c r="L12" i="124"/>
  <c r="K658" i="73"/>
  <c r="L25" i="124"/>
  <c r="K669" i="73"/>
  <c r="AH33" i="121"/>
  <c r="V32" i="65"/>
  <c r="J77" i="119"/>
  <c r="P20" i="123"/>
  <c r="L4" i="124"/>
  <c r="K650" i="73"/>
  <c r="L27" i="124"/>
  <c r="P8" i="123"/>
  <c r="K572" i="73"/>
  <c r="L15" i="124"/>
  <c r="AE33" i="122"/>
  <c r="W32" i="65"/>
  <c r="W33" i="65"/>
  <c r="L9" i="124"/>
  <c r="K655" i="73"/>
  <c r="L26" i="124"/>
  <c r="K672" i="73"/>
  <c r="P12" i="123"/>
  <c r="K576" i="73"/>
  <c r="L19" i="124"/>
  <c r="L6" i="124"/>
  <c r="AG34" i="121"/>
  <c r="AG36" i="121"/>
  <c r="P4" i="123"/>
  <c r="W32" i="115"/>
  <c r="P27" i="123"/>
  <c r="K591" i="73"/>
  <c r="L11" i="124"/>
  <c r="K657" i="73"/>
  <c r="P15" i="123"/>
  <c r="L17" i="125" s="1"/>
  <c r="L18" i="124"/>
  <c r="L28" i="124"/>
  <c r="K673" i="73"/>
  <c r="P19" i="123"/>
  <c r="L21" i="124"/>
  <c r="L10" i="124"/>
  <c r="K656" i="73"/>
  <c r="K13" i="124"/>
  <c r="J661" i="73"/>
  <c r="O8" i="123"/>
  <c r="J572" i="73"/>
  <c r="O26" i="123"/>
  <c r="K11" i="124"/>
  <c r="D79" i="119"/>
  <c r="U79" i="119" s="1"/>
  <c r="J12" i="66"/>
  <c r="K4" i="124"/>
  <c r="X32" i="114"/>
  <c r="I78" i="119"/>
  <c r="AN7" i="122"/>
  <c r="AP7" i="122" s="1"/>
  <c r="K5" i="124"/>
  <c r="J652" i="73"/>
  <c r="B78" i="119"/>
  <c r="S78" i="119" s="1"/>
  <c r="G29" i="66"/>
  <c r="C95" i="119"/>
  <c r="T95" i="119" s="1"/>
  <c r="K26" i="124"/>
  <c r="J672" i="73"/>
  <c r="O13" i="123"/>
  <c r="J577" i="73"/>
  <c r="K21" i="124"/>
  <c r="J667" i="73"/>
  <c r="K6" i="124"/>
  <c r="J75" i="119"/>
  <c r="M95" i="119"/>
  <c r="O10" i="123"/>
  <c r="K14" i="124"/>
  <c r="J660" i="73"/>
  <c r="L77" i="119"/>
  <c r="O7" i="123"/>
  <c r="W32" i="114"/>
  <c r="K15" i="124"/>
  <c r="J659" i="73"/>
  <c r="K71" i="119"/>
  <c r="L78" i="119"/>
  <c r="K7" i="124"/>
  <c r="J653" i="73"/>
  <c r="C78" i="119"/>
  <c r="T78" i="119" s="1"/>
  <c r="G11" i="66"/>
  <c r="R12" i="119"/>
  <c r="K28" i="124"/>
  <c r="J673" i="73"/>
  <c r="K23" i="124"/>
  <c r="J670" i="73"/>
  <c r="H74" i="119"/>
  <c r="K8" i="124"/>
  <c r="O19" i="123"/>
  <c r="K16" i="124"/>
  <c r="J662" i="73"/>
  <c r="O14" i="123"/>
  <c r="J580" i="73"/>
  <c r="K18" i="124"/>
  <c r="J665" i="73"/>
  <c r="F73" i="119"/>
  <c r="O75" i="119"/>
  <c r="K9" i="124"/>
  <c r="J655" i="73"/>
  <c r="K22" i="124"/>
  <c r="J668" i="73"/>
  <c r="C73" i="119"/>
  <c r="C77" i="119"/>
  <c r="T77" i="119" s="1"/>
  <c r="K25" i="124"/>
  <c r="J669" i="73"/>
  <c r="K10" i="124"/>
  <c r="J656" i="73"/>
  <c r="K97" i="119"/>
  <c r="AA48" i="62"/>
  <c r="AC33" i="122"/>
  <c r="U32" i="65"/>
  <c r="O24" i="123"/>
  <c r="J589" i="73"/>
  <c r="K27" i="124"/>
  <c r="J674" i="73"/>
  <c r="O23" i="123"/>
  <c r="J587" i="73"/>
  <c r="K20" i="124"/>
  <c r="J664" i="73"/>
  <c r="K72" i="119"/>
  <c r="I74" i="119"/>
  <c r="H75" i="119"/>
  <c r="O20" i="123"/>
  <c r="J585" i="73"/>
  <c r="K24" i="124"/>
  <c r="O11" i="123"/>
  <c r="J575" i="73"/>
  <c r="K19" i="124"/>
  <c r="J666" i="73"/>
  <c r="K12" i="124"/>
  <c r="J658" i="73"/>
  <c r="B75" i="119"/>
  <c r="S75" i="119" s="1"/>
  <c r="N125" i="62"/>
  <c r="FT60" i="63"/>
  <c r="FG60" i="63"/>
  <c r="FN120" i="63"/>
  <c r="FA120" i="63"/>
  <c r="M32" i="123"/>
  <c r="FE30" i="63"/>
  <c r="FR30" i="63"/>
  <c r="H71" i="119"/>
  <c r="G93" i="62"/>
  <c r="N86" i="62"/>
  <c r="G98" i="62"/>
  <c r="G95" i="62"/>
  <c r="G100" i="62"/>
  <c r="G103" i="62"/>
  <c r="G96" i="62"/>
  <c r="G102" i="62"/>
  <c r="G99" i="62"/>
  <c r="G97" i="62"/>
  <c r="G104" i="62"/>
  <c r="G101" i="62"/>
  <c r="G94" i="62"/>
  <c r="I36" i="125"/>
  <c r="T11" i="118"/>
  <c r="O5" i="119"/>
  <c r="X5" i="119" s="1"/>
  <c r="O32" i="108"/>
  <c r="X5" i="108"/>
  <c r="R5" i="108"/>
  <c r="R32" i="108"/>
  <c r="F160" i="62"/>
  <c r="F55" i="62"/>
  <c r="I17" i="124"/>
  <c r="I20" i="125" s="1"/>
  <c r="I7" i="124"/>
  <c r="I26" i="124"/>
  <c r="I12" i="124"/>
  <c r="N25" i="123"/>
  <c r="J71" i="119"/>
  <c r="N39" i="62"/>
  <c r="B48" i="62"/>
  <c r="B55" i="62"/>
  <c r="F66" i="62"/>
  <c r="F62" i="62"/>
  <c r="F67" i="62"/>
  <c r="N50" i="62"/>
  <c r="F65" i="62"/>
  <c r="F58" i="62"/>
  <c r="F61" i="62"/>
  <c r="F68" i="62"/>
  <c r="F69" i="62"/>
  <c r="F59" i="62"/>
  <c r="F64" i="62"/>
  <c r="F63" i="62"/>
  <c r="F60" i="62"/>
  <c r="X67" i="112"/>
  <c r="I13" i="124"/>
  <c r="I16" i="125" s="1"/>
  <c r="N13" i="123"/>
  <c r="G24" i="118"/>
  <c r="F143" i="62"/>
  <c r="F3" i="62"/>
  <c r="X32" i="112"/>
  <c r="I4" i="124"/>
  <c r="I28" i="124"/>
  <c r="S22" i="123"/>
  <c r="V22" i="123" s="1"/>
  <c r="I669" i="73"/>
  <c r="J25" i="124"/>
  <c r="EV90" i="63"/>
  <c r="J24" i="124"/>
  <c r="X67" i="114"/>
  <c r="AN206" i="73" s="1"/>
  <c r="Q13" i="123"/>
  <c r="R32" i="123"/>
  <c r="B83" i="119"/>
  <c r="S83" i="119" s="1"/>
  <c r="D14" i="66"/>
  <c r="H84" i="119"/>
  <c r="G85" i="119"/>
  <c r="H88" i="119"/>
  <c r="F94" i="119"/>
  <c r="W94" i="119" s="1"/>
  <c r="D84" i="119"/>
  <c r="U84" i="119" s="1"/>
  <c r="J17" i="66"/>
  <c r="B89" i="119"/>
  <c r="S89" i="119" s="1"/>
  <c r="B90" i="119"/>
  <c r="S90" i="119"/>
  <c r="B92" i="119"/>
  <c r="S92" i="119" s="1"/>
  <c r="D94" i="119"/>
  <c r="U94" i="119" s="1"/>
  <c r="G96" i="119"/>
  <c r="C97" i="119"/>
  <c r="T97" i="119"/>
  <c r="G30" i="66"/>
  <c r="R31" i="119"/>
  <c r="FG18" i="63"/>
  <c r="FT18" i="63"/>
  <c r="K313" i="73"/>
  <c r="J26" i="66"/>
  <c r="D96" i="119"/>
  <c r="U96" i="119"/>
  <c r="J28" i="66"/>
  <c r="CQ30" i="63"/>
  <c r="GD30" i="63"/>
  <c r="FD7" i="63"/>
  <c r="FQ7" i="63"/>
  <c r="FL19" i="63"/>
  <c r="EY19" i="63"/>
  <c r="FF27" i="63"/>
  <c r="FS27" i="63"/>
  <c r="G80" i="119"/>
  <c r="F83" i="119"/>
  <c r="G97" i="119"/>
  <c r="GB96" i="126"/>
  <c r="FN98" i="126"/>
  <c r="FT96" i="126"/>
  <c r="EZ11" i="63"/>
  <c r="FM11" i="63"/>
  <c r="FD178" i="63"/>
  <c r="FQ178" i="63"/>
  <c r="FI174" i="63"/>
  <c r="FV174" i="63"/>
  <c r="FC174" i="63"/>
  <c r="FP174" i="63"/>
  <c r="FD170" i="63"/>
  <c r="FQ170" i="63"/>
  <c r="FI166" i="63"/>
  <c r="FV166" i="63"/>
  <c r="FP166" i="63"/>
  <c r="FC166" i="63"/>
  <c r="FQ162" i="63"/>
  <c r="FD162" i="63"/>
  <c r="FV158" i="63"/>
  <c r="FI158" i="63"/>
  <c r="FC158" i="63"/>
  <c r="FP158" i="63"/>
  <c r="FD154" i="63"/>
  <c r="FQ154" i="63"/>
  <c r="FV149" i="63"/>
  <c r="FI149" i="63"/>
  <c r="FC149" i="63"/>
  <c r="FP149" i="63"/>
  <c r="G648" i="73"/>
  <c r="FD145" i="63"/>
  <c r="FQ145" i="63"/>
  <c r="FI141" i="63"/>
  <c r="FV141" i="63"/>
  <c r="FC141" i="63"/>
  <c r="FP141" i="63"/>
  <c r="FD137" i="63"/>
  <c r="FQ137" i="63"/>
  <c r="FV133" i="63"/>
  <c r="FI133" i="63"/>
  <c r="FP133" i="63"/>
  <c r="G632" i="73"/>
  <c r="FC133" i="63"/>
  <c r="FQ129" i="63"/>
  <c r="FD129" i="63"/>
  <c r="FV125" i="63"/>
  <c r="FI125" i="63"/>
  <c r="FP125" i="63"/>
  <c r="FC125" i="63"/>
  <c r="FD116" i="63"/>
  <c r="FQ116" i="63"/>
  <c r="FI112" i="63"/>
  <c r="FV112" i="63"/>
  <c r="FP112" i="63"/>
  <c r="G560" i="73"/>
  <c r="FC112" i="63"/>
  <c r="FD108" i="63"/>
  <c r="FQ108" i="63"/>
  <c r="FV104" i="63"/>
  <c r="FI104" i="63"/>
  <c r="FP104" i="63"/>
  <c r="FC104" i="63"/>
  <c r="FQ100" i="63"/>
  <c r="FD100" i="63"/>
  <c r="FV96" i="63"/>
  <c r="FI96" i="63"/>
  <c r="FC96" i="63"/>
  <c r="FP96" i="63"/>
  <c r="G544" i="73"/>
  <c r="FD87" i="63"/>
  <c r="FQ87" i="63"/>
  <c r="FI83" i="63"/>
  <c r="FV83" i="63"/>
  <c r="FP83" i="63"/>
  <c r="FC83" i="63"/>
  <c r="FD79" i="63"/>
  <c r="FQ79" i="63"/>
  <c r="H476" i="73"/>
  <c r="FI75" i="63"/>
  <c r="FV75" i="63"/>
  <c r="FC75" i="63"/>
  <c r="FP75" i="63"/>
  <c r="FQ71" i="63"/>
  <c r="FD71" i="63"/>
  <c r="FV67" i="63"/>
  <c r="FI67" i="63"/>
  <c r="FP67" i="63"/>
  <c r="FC67" i="63"/>
  <c r="CQ90" i="63"/>
  <c r="GD90" i="63"/>
  <c r="FQ63" i="63"/>
  <c r="FD63" i="63"/>
  <c r="FV58" i="63"/>
  <c r="FI58" i="63"/>
  <c r="FP58" i="63"/>
  <c r="FC58" i="63"/>
  <c r="FQ54" i="63"/>
  <c r="FD54" i="63"/>
  <c r="FS50" i="63"/>
  <c r="FF50" i="63"/>
  <c r="FQ50" i="63"/>
  <c r="FD50" i="63"/>
  <c r="FR46" i="63"/>
  <c r="FE46" i="63"/>
  <c r="FS42" i="63"/>
  <c r="FF42" i="63"/>
  <c r="FQ42" i="63"/>
  <c r="H388" i="73"/>
  <c r="FD42" i="63"/>
  <c r="FE38" i="63"/>
  <c r="FR38" i="63"/>
  <c r="FS34" i="63"/>
  <c r="FF34" i="63"/>
  <c r="FQ34" i="63"/>
  <c r="FD34" i="63"/>
  <c r="FF28" i="63"/>
  <c r="FS28" i="63"/>
  <c r="FI24" i="63"/>
  <c r="FV24" i="63"/>
  <c r="FQ24" i="63"/>
  <c r="FD24" i="63"/>
  <c r="FS20" i="63"/>
  <c r="FF20" i="63"/>
  <c r="FA16" i="63"/>
  <c r="FN16" i="63"/>
  <c r="FP16" i="63"/>
  <c r="FC16" i="63"/>
  <c r="FB12" i="63"/>
  <c r="FO12" i="63"/>
  <c r="FA8" i="63"/>
  <c r="FN8" i="63"/>
  <c r="FP8" i="63"/>
  <c r="G303" i="73"/>
  <c r="FC8" i="63"/>
  <c r="FB4" i="63"/>
  <c r="FO4" i="63"/>
  <c r="CT30" i="63"/>
  <c r="GG30" i="63"/>
  <c r="FT3" i="63"/>
  <c r="FG3" i="63"/>
  <c r="FL15" i="63"/>
  <c r="EY15" i="63"/>
  <c r="FF23" i="63"/>
  <c r="FS23" i="63"/>
  <c r="FC37" i="63"/>
  <c r="FP37" i="63"/>
  <c r="FH49" i="63"/>
  <c r="FU49" i="63"/>
  <c r="L395" i="73"/>
  <c r="FL57" i="63"/>
  <c r="EY57" i="63"/>
  <c r="FB74" i="63"/>
  <c r="FO74" i="63"/>
  <c r="F471" i="73"/>
  <c r="FT86" i="63"/>
  <c r="FG86" i="63"/>
  <c r="FA99" i="63"/>
  <c r="FN99" i="63"/>
  <c r="FB111" i="63"/>
  <c r="FO111" i="63"/>
  <c r="CT150" i="63"/>
  <c r="GG150" i="63"/>
  <c r="FT124" i="63"/>
  <c r="FG124" i="63"/>
  <c r="FA132" i="63"/>
  <c r="FN132" i="63"/>
  <c r="FB144" i="63"/>
  <c r="FO144" i="63"/>
  <c r="F643" i="73"/>
  <c r="CT180" i="63"/>
  <c r="GG180" i="63"/>
  <c r="FG157" i="63"/>
  <c r="FT157" i="63"/>
  <c r="FN165" i="63"/>
  <c r="FA165" i="63"/>
  <c r="FB177" i="63"/>
  <c r="FO177" i="63"/>
  <c r="B71" i="119"/>
  <c r="EY173" i="63"/>
  <c r="FL173" i="63"/>
  <c r="FU173" i="63"/>
  <c r="FH173" i="63"/>
  <c r="EX169" i="63"/>
  <c r="FK169" i="63"/>
  <c r="FL165" i="63"/>
  <c r="EY165" i="63"/>
  <c r="FH165" i="63"/>
  <c r="FU165" i="63"/>
  <c r="FK161" i="63"/>
  <c r="EX161" i="63"/>
  <c r="EY157" i="63"/>
  <c r="FL157" i="63"/>
  <c r="FH157" i="63"/>
  <c r="FU157" i="63"/>
  <c r="CK180" i="63"/>
  <c r="FX180" i="63"/>
  <c r="FH148" i="63"/>
  <c r="FU148" i="63"/>
  <c r="EX144" i="63"/>
  <c r="FK144" i="63"/>
  <c r="EY140" i="63"/>
  <c r="FL140" i="63"/>
  <c r="FU140" i="63"/>
  <c r="FH140" i="63"/>
  <c r="EX136" i="63"/>
  <c r="FK136" i="63"/>
  <c r="FU132" i="63"/>
  <c r="L631" i="73"/>
  <c r="FH132" i="63"/>
  <c r="CL150" i="63"/>
  <c r="FY150" i="63"/>
  <c r="FL124" i="63"/>
  <c r="EY124" i="63"/>
  <c r="CU150" i="63"/>
  <c r="GH150" i="63"/>
  <c r="FU124" i="63"/>
  <c r="FH124" i="63"/>
  <c r="FL115" i="63"/>
  <c r="EY115" i="63"/>
  <c r="FU115" i="63"/>
  <c r="L563" i="73"/>
  <c r="FH115" i="63"/>
  <c r="EX111" i="63"/>
  <c r="FK111" i="63"/>
  <c r="EY107" i="63"/>
  <c r="FL107" i="63"/>
  <c r="FH107" i="63"/>
  <c r="FU107" i="63"/>
  <c r="EY99" i="63"/>
  <c r="FL99" i="63"/>
  <c r="FH99" i="63"/>
  <c r="FU99" i="63"/>
  <c r="CK120" i="63"/>
  <c r="FX120" i="63"/>
  <c r="FK95" i="63"/>
  <c r="FL86" i="63"/>
  <c r="EY86" i="63"/>
  <c r="FH86" i="63"/>
  <c r="FU86" i="63"/>
  <c r="EY78" i="63"/>
  <c r="FL78" i="63"/>
  <c r="FH78" i="63"/>
  <c r="FU78" i="63"/>
  <c r="FK74" i="63"/>
  <c r="EX74" i="63"/>
  <c r="FL70" i="63"/>
  <c r="EY70" i="63"/>
  <c r="FH70" i="63"/>
  <c r="FU70" i="63"/>
  <c r="FK66" i="63"/>
  <c r="EX66" i="63"/>
  <c r="FS57" i="63"/>
  <c r="FF57" i="63"/>
  <c r="FH57" i="63"/>
  <c r="FU57" i="63"/>
  <c r="L403" i="73"/>
  <c r="FL53" i="63"/>
  <c r="EY53" i="63"/>
  <c r="EZ49" i="63"/>
  <c r="FM49" i="63"/>
  <c r="FI49" i="63"/>
  <c r="FV49" i="63"/>
  <c r="EY45" i="63"/>
  <c r="FL45" i="63"/>
  <c r="FM41" i="63"/>
  <c r="EZ41" i="63"/>
  <c r="FV41" i="63"/>
  <c r="FI41" i="63"/>
  <c r="FL37" i="63"/>
  <c r="EY37" i="63"/>
  <c r="CM60" i="63"/>
  <c r="FZ60" i="63"/>
  <c r="FM33" i="63"/>
  <c r="EZ33" i="63"/>
  <c r="CV60" i="63"/>
  <c r="GI60" i="63"/>
  <c r="FV33" i="63"/>
  <c r="FI33" i="63"/>
  <c r="FR27" i="63"/>
  <c r="FE27" i="63"/>
  <c r="FU23" i="63"/>
  <c r="FH23" i="63"/>
  <c r="FK23" i="63"/>
  <c r="EX23" i="63"/>
  <c r="FU19" i="63"/>
  <c r="FH19" i="63"/>
  <c r="FT15" i="63"/>
  <c r="FG15" i="63"/>
  <c r="EX15" i="63"/>
  <c r="FK15" i="63"/>
  <c r="FH11" i="63"/>
  <c r="FU11" i="63"/>
  <c r="L306" i="73"/>
  <c r="FT7" i="63"/>
  <c r="FG7" i="63"/>
  <c r="FK7" i="63"/>
  <c r="EX7" i="63"/>
  <c r="GA96" i="126"/>
  <c r="AV30" i="121"/>
  <c r="AV15" i="121"/>
  <c r="AV10" i="121"/>
  <c r="AV14" i="121"/>
  <c r="FK119" i="63"/>
  <c r="FK112" i="63"/>
  <c r="EY148" i="63"/>
  <c r="FE50" i="63"/>
  <c r="AF89" i="62"/>
  <c r="AB101" i="62"/>
  <c r="AB93" i="62"/>
  <c r="AB103" i="62"/>
  <c r="AB95" i="62"/>
  <c r="AB102" i="62"/>
  <c r="AB96" i="62"/>
  <c r="AB97" i="62"/>
  <c r="AB99" i="62"/>
  <c r="AB100" i="62"/>
  <c r="AB98" i="62"/>
  <c r="AB94" i="62"/>
  <c r="AB104" i="62"/>
  <c r="N53" i="62"/>
  <c r="I69" i="62"/>
  <c r="I65" i="62"/>
  <c r="I61" i="62"/>
  <c r="I59" i="62"/>
  <c r="I68" i="62"/>
  <c r="I64" i="62"/>
  <c r="I60" i="62"/>
  <c r="I63" i="62"/>
  <c r="I66" i="62"/>
  <c r="I62" i="62"/>
  <c r="I58" i="62"/>
  <c r="I67" i="62"/>
  <c r="J132" i="62"/>
  <c r="FQ70" i="63"/>
  <c r="FK87" i="63"/>
  <c r="FP178" i="63"/>
  <c r="FA12" i="63"/>
  <c r="EY132" i="63"/>
  <c r="AR162" i="73"/>
  <c r="EY23" i="63"/>
  <c r="FC66" i="63"/>
  <c r="FD107" i="63"/>
  <c r="FL100" i="63"/>
  <c r="FT165" i="63"/>
  <c r="FG28" i="63"/>
  <c r="AC146" i="73"/>
  <c r="Q71" i="119"/>
  <c r="E90" i="62"/>
  <c r="E101" i="62"/>
  <c r="E98" i="62"/>
  <c r="E96" i="62"/>
  <c r="E103" i="62"/>
  <c r="E97" i="62"/>
  <c r="N84" i="62"/>
  <c r="E99" i="62"/>
  <c r="E100" i="62"/>
  <c r="E102" i="62"/>
  <c r="E104" i="62"/>
  <c r="G22" i="118"/>
  <c r="D143" i="62"/>
  <c r="D3" i="62"/>
  <c r="R7" i="118"/>
  <c r="E167" i="62"/>
  <c r="E168" i="62"/>
  <c r="E170" i="62"/>
  <c r="E173" i="62"/>
  <c r="E174" i="62"/>
  <c r="E164" i="62"/>
  <c r="E169" i="62"/>
  <c r="E166" i="62"/>
  <c r="E171" i="62"/>
  <c r="E165" i="62"/>
  <c r="E172" i="62"/>
  <c r="N154" i="62"/>
  <c r="E163" i="62"/>
  <c r="Y93" i="62"/>
  <c r="Y95" i="62"/>
  <c r="AF86" i="62"/>
  <c r="Y102" i="62"/>
  <c r="Y94" i="62"/>
  <c r="Y103" i="62"/>
  <c r="Y97" i="62"/>
  <c r="Y104" i="62"/>
  <c r="Y101" i="62"/>
  <c r="Y98" i="62"/>
  <c r="Y100" i="62"/>
  <c r="Y99" i="62"/>
  <c r="Y96" i="62"/>
  <c r="E55" i="62"/>
  <c r="I6" i="124"/>
  <c r="I21" i="124"/>
  <c r="I24" i="125" s="1"/>
  <c r="B90" i="62"/>
  <c r="D15" i="62"/>
  <c r="H15" i="62"/>
  <c r="B15" i="62"/>
  <c r="J15" i="62"/>
  <c r="I15" i="62"/>
  <c r="M15" i="62"/>
  <c r="K15" i="62"/>
  <c r="L15" i="62"/>
  <c r="I10" i="124"/>
  <c r="N5" i="123"/>
  <c r="I18" i="124"/>
  <c r="O32" i="110"/>
  <c r="R5" i="110"/>
  <c r="X5" i="110"/>
  <c r="AJ177" i="73"/>
  <c r="F649" i="73" s="1"/>
  <c r="I20" i="124"/>
  <c r="I11" i="124"/>
  <c r="J5" i="124"/>
  <c r="I591" i="73"/>
  <c r="I675" i="73"/>
  <c r="J29" i="124"/>
  <c r="I650" i="73"/>
  <c r="I664" i="73"/>
  <c r="J20" i="124"/>
  <c r="P32" i="123"/>
  <c r="K742" i="73"/>
  <c r="N31" i="124"/>
  <c r="M31" i="124"/>
  <c r="C80" i="119"/>
  <c r="T80" i="119" s="1"/>
  <c r="G13" i="66"/>
  <c r="R14" i="119"/>
  <c r="C83" i="119"/>
  <c r="T83" i="119" s="1"/>
  <c r="G14" i="66"/>
  <c r="H85" i="119"/>
  <c r="H95" i="119"/>
  <c r="F97" i="119"/>
  <c r="W97" i="119" s="1"/>
  <c r="Q79" i="119"/>
  <c r="C85" i="119"/>
  <c r="T85" i="119" s="1"/>
  <c r="G18" i="66"/>
  <c r="C87" i="119"/>
  <c r="G19" i="66"/>
  <c r="G89" i="119"/>
  <c r="G90" i="119"/>
  <c r="W90" i="119"/>
  <c r="G91" i="119"/>
  <c r="W91" i="119" s="1"/>
  <c r="G92" i="119"/>
  <c r="I93" i="119"/>
  <c r="D97" i="119"/>
  <c r="U97" i="119" s="1"/>
  <c r="J30" i="66"/>
  <c r="FA18" i="63"/>
  <c r="FN18" i="63"/>
  <c r="C65" i="119"/>
  <c r="M93" i="119"/>
  <c r="I95" i="119"/>
  <c r="GE96" i="126"/>
  <c r="FQ98" i="126"/>
  <c r="GE98" i="126"/>
  <c r="EY11" i="63"/>
  <c r="FL11" i="63"/>
  <c r="FI19" i="63"/>
  <c r="FV19" i="63"/>
  <c r="CP60" i="63"/>
  <c r="GC60" i="63"/>
  <c r="FP33" i="63"/>
  <c r="FC33" i="63"/>
  <c r="M82" i="119"/>
  <c r="F87" i="119"/>
  <c r="C92" i="119"/>
  <c r="T92" i="119" s="1"/>
  <c r="G24" i="66"/>
  <c r="H97" i="119"/>
  <c r="CL30" i="63"/>
  <c r="FY30" i="63"/>
  <c r="EY3" i="63"/>
  <c r="FL3" i="63"/>
  <c r="F88" i="119"/>
  <c r="D89" i="119"/>
  <c r="U89" i="119" s="1"/>
  <c r="J22" i="66"/>
  <c r="FK178" i="63"/>
  <c r="EX178" i="63"/>
  <c r="EY174" i="63"/>
  <c r="FL174" i="63"/>
  <c r="FU174" i="63"/>
  <c r="FH174" i="63"/>
  <c r="FK170" i="63"/>
  <c r="EX170" i="63"/>
  <c r="EY166" i="63"/>
  <c r="FL166" i="63"/>
  <c r="FU166" i="63"/>
  <c r="L716" i="73"/>
  <c r="FH166" i="63"/>
  <c r="EX162" i="63"/>
  <c r="FK162" i="63"/>
  <c r="EY158" i="63"/>
  <c r="FL158" i="63"/>
  <c r="FH158" i="63"/>
  <c r="FU158" i="63"/>
  <c r="FK154" i="63"/>
  <c r="EX154" i="63"/>
  <c r="FL149" i="63"/>
  <c r="EY149" i="63"/>
  <c r="EY141" i="63"/>
  <c r="FL141" i="63"/>
  <c r="C640" i="73"/>
  <c r="FU141" i="63"/>
  <c r="FH141" i="63"/>
  <c r="FK137" i="63"/>
  <c r="EX137" i="63"/>
  <c r="EY133" i="63"/>
  <c r="FL133" i="63"/>
  <c r="FK129" i="63"/>
  <c r="EX129" i="63"/>
  <c r="EY125" i="63"/>
  <c r="FL125" i="63"/>
  <c r="FU125" i="63"/>
  <c r="FH125" i="63"/>
  <c r="EX116" i="63"/>
  <c r="FK116" i="63"/>
  <c r="FL112" i="63"/>
  <c r="EY112" i="63"/>
  <c r="FU112" i="63"/>
  <c r="FH112" i="63"/>
  <c r="EX108" i="63"/>
  <c r="FK108" i="63"/>
  <c r="FL104" i="63"/>
  <c r="EY104" i="63"/>
  <c r="FH104" i="63"/>
  <c r="FU104" i="63"/>
  <c r="L552" i="73"/>
  <c r="EX100" i="63"/>
  <c r="FK100" i="63"/>
  <c r="FL96" i="63"/>
  <c r="C544" i="73"/>
  <c r="EY96" i="63"/>
  <c r="FH96" i="63"/>
  <c r="FU96" i="63"/>
  <c r="EY83" i="63"/>
  <c r="FL83" i="63"/>
  <c r="C480" i="73"/>
  <c r="FH83" i="63"/>
  <c r="FU83" i="63"/>
  <c r="EX79" i="63"/>
  <c r="FK79" i="63"/>
  <c r="FL75" i="63"/>
  <c r="EY75" i="63"/>
  <c r="FH75" i="63"/>
  <c r="FU75" i="63"/>
  <c r="FK71" i="63"/>
  <c r="EX71" i="63"/>
  <c r="EY67" i="63"/>
  <c r="FL67" i="63"/>
  <c r="C464" i="73"/>
  <c r="FH67" i="63"/>
  <c r="FU67" i="63"/>
  <c r="CK90" i="63"/>
  <c r="FX90" i="63"/>
  <c r="FK63" i="63"/>
  <c r="EX63" i="63"/>
  <c r="EY58" i="63"/>
  <c r="FL58" i="63"/>
  <c r="FH58" i="63"/>
  <c r="FU58" i="63"/>
  <c r="FL54" i="63"/>
  <c r="EY54" i="63"/>
  <c r="FM50" i="63"/>
  <c r="EZ50" i="63"/>
  <c r="FI50" i="63"/>
  <c r="FV50" i="63"/>
  <c r="EY46" i="63"/>
  <c r="FL46" i="63"/>
  <c r="C392" i="73"/>
  <c r="FM42" i="63"/>
  <c r="EZ42" i="63"/>
  <c r="FI42" i="63"/>
  <c r="FV42" i="63"/>
  <c r="EY38" i="63"/>
  <c r="FL38" i="63"/>
  <c r="FM34" i="63"/>
  <c r="EZ34" i="63"/>
  <c r="FV34" i="63"/>
  <c r="FI34" i="63"/>
  <c r="FA28" i="63"/>
  <c r="FN28" i="63"/>
  <c r="FU24" i="63"/>
  <c r="FH24" i="63"/>
  <c r="FN20" i="63"/>
  <c r="E315" i="73"/>
  <c r="FA20" i="63"/>
  <c r="FT16" i="63"/>
  <c r="FG16" i="63"/>
  <c r="EX16" i="63"/>
  <c r="FK16" i="63"/>
  <c r="FU12" i="63"/>
  <c r="FH12" i="63"/>
  <c r="FG8" i="63"/>
  <c r="FT8" i="63"/>
  <c r="FK8" i="63"/>
  <c r="EX8" i="63"/>
  <c r="FU4" i="63"/>
  <c r="FH4" i="63"/>
  <c r="FL7" i="63"/>
  <c r="EY7" i="63"/>
  <c r="FI15" i="63"/>
  <c r="FV15" i="63"/>
  <c r="FN27" i="63"/>
  <c r="FA27" i="63"/>
  <c r="FH41" i="63"/>
  <c r="FU41" i="63"/>
  <c r="CO90" i="63"/>
  <c r="GB90" i="63"/>
  <c r="FB66" i="63"/>
  <c r="FO66" i="63"/>
  <c r="FT78" i="63"/>
  <c r="K475" i="73"/>
  <c r="FG78" i="63"/>
  <c r="FA86" i="63"/>
  <c r="FN86" i="63"/>
  <c r="FB103" i="63"/>
  <c r="FO103" i="63"/>
  <c r="F551" i="73"/>
  <c r="FT115" i="63"/>
  <c r="FG115" i="63"/>
  <c r="CN150" i="63"/>
  <c r="GA150" i="63"/>
  <c r="FN124" i="63"/>
  <c r="FA124" i="63"/>
  <c r="FB136" i="63"/>
  <c r="FO136" i="63"/>
  <c r="FG148" i="63"/>
  <c r="FT148" i="63"/>
  <c r="CN180" i="63"/>
  <c r="GA180" i="63"/>
  <c r="FN157" i="63"/>
  <c r="FA157" i="63"/>
  <c r="D71" i="119"/>
  <c r="J83" i="119"/>
  <c r="C90" i="119"/>
  <c r="T90" i="119" s="1"/>
  <c r="G23" i="66"/>
  <c r="GD96" i="126"/>
  <c r="FP98" i="126"/>
  <c r="GD98" i="126"/>
  <c r="FI177" i="63"/>
  <c r="FV177" i="63"/>
  <c r="FC177" i="63"/>
  <c r="FP177" i="63"/>
  <c r="FQ173" i="63"/>
  <c r="FD173" i="63"/>
  <c r="FV169" i="63"/>
  <c r="FI169" i="63"/>
  <c r="FP169" i="63"/>
  <c r="FC169" i="63"/>
  <c r="FD165" i="63"/>
  <c r="FQ165" i="63"/>
  <c r="FI161" i="63"/>
  <c r="FV161" i="63"/>
  <c r="FC161" i="63"/>
  <c r="FP161" i="63"/>
  <c r="FD157" i="63"/>
  <c r="FQ157" i="63"/>
  <c r="CV180" i="63"/>
  <c r="GI180" i="63"/>
  <c r="FV153" i="63"/>
  <c r="FI153" i="63"/>
  <c r="CP180" i="63"/>
  <c r="GC180" i="63"/>
  <c r="FC153" i="63"/>
  <c r="FP153" i="63"/>
  <c r="FD148" i="63"/>
  <c r="FQ148" i="63"/>
  <c r="FV144" i="63"/>
  <c r="FI144" i="63"/>
  <c r="FP144" i="63"/>
  <c r="FC144" i="63"/>
  <c r="FD140" i="63"/>
  <c r="FQ140" i="63"/>
  <c r="FV136" i="63"/>
  <c r="FI136" i="63"/>
  <c r="FP136" i="63"/>
  <c r="FC136" i="63"/>
  <c r="FQ132" i="63"/>
  <c r="FD132" i="63"/>
  <c r="FV128" i="63"/>
  <c r="FI128" i="63"/>
  <c r="FC128" i="63"/>
  <c r="FP128" i="63"/>
  <c r="CQ150" i="63"/>
  <c r="GD150" i="63"/>
  <c r="FQ124" i="63"/>
  <c r="FD124" i="63"/>
  <c r="FI119" i="63"/>
  <c r="FV119" i="63"/>
  <c r="FP119" i="63"/>
  <c r="G567" i="73"/>
  <c r="FC119" i="63"/>
  <c r="FD115" i="63"/>
  <c r="FQ115" i="63"/>
  <c r="FV111" i="63"/>
  <c r="FI111" i="63"/>
  <c r="FC111" i="63"/>
  <c r="FP111" i="63"/>
  <c r="FV103" i="63"/>
  <c r="FI103" i="63"/>
  <c r="FC103" i="63"/>
  <c r="FP103" i="63"/>
  <c r="FD99" i="63"/>
  <c r="FQ99" i="63"/>
  <c r="H547" i="73"/>
  <c r="CV120" i="63"/>
  <c r="GI120" i="63"/>
  <c r="FI95" i="63"/>
  <c r="FV95" i="63"/>
  <c r="CP120" i="63"/>
  <c r="GC120" i="63"/>
  <c r="FP95" i="63"/>
  <c r="FC95" i="63"/>
  <c r="FQ86" i="63"/>
  <c r="FD86" i="63"/>
  <c r="FV82" i="63"/>
  <c r="FI82" i="63"/>
  <c r="FP82" i="63"/>
  <c r="FC82" i="63"/>
  <c r="FD78" i="63"/>
  <c r="FQ78" i="63"/>
  <c r="FI74" i="63"/>
  <c r="FV74" i="63"/>
  <c r="FC74" i="63"/>
  <c r="FP74" i="63"/>
  <c r="G471" i="73"/>
  <c r="FI66" i="63"/>
  <c r="FV66" i="63"/>
  <c r="FQ57" i="63"/>
  <c r="H403" i="73"/>
  <c r="FD57" i="63"/>
  <c r="FS53" i="63"/>
  <c r="FF53" i="63"/>
  <c r="FD53" i="63"/>
  <c r="FQ53" i="63"/>
  <c r="H399" i="73"/>
  <c r="FE49" i="63"/>
  <c r="FR49" i="63"/>
  <c r="FF45" i="63"/>
  <c r="FS45" i="63"/>
  <c r="FD45" i="63"/>
  <c r="FQ45" i="63"/>
  <c r="H391" i="73"/>
  <c r="FR41" i="63"/>
  <c r="I387" i="73"/>
  <c r="FE41" i="63"/>
  <c r="FQ37" i="63"/>
  <c r="FD37" i="63"/>
  <c r="CR60" i="63"/>
  <c r="GE60" i="63"/>
  <c r="FE33" i="63"/>
  <c r="FR33" i="63"/>
  <c r="FV27" i="63"/>
  <c r="FI27" i="63"/>
  <c r="EZ27" i="63"/>
  <c r="FM27" i="63"/>
  <c r="FA19" i="63"/>
  <c r="FN19" i="63"/>
  <c r="FP19" i="63"/>
  <c r="FC19" i="63"/>
  <c r="FB15" i="63"/>
  <c r="FO15" i="63"/>
  <c r="FN11" i="63"/>
  <c r="E306" i="73"/>
  <c r="FA11" i="63"/>
  <c r="FP11" i="63"/>
  <c r="FC11" i="63"/>
  <c r="FB7" i="63"/>
  <c r="FO7" i="63"/>
  <c r="CO30" i="63"/>
  <c r="GB30" i="63"/>
  <c r="FO3" i="63"/>
  <c r="FB3" i="63"/>
  <c r="CS30" i="63"/>
  <c r="GF30" i="63"/>
  <c r="FS3" i="63"/>
  <c r="FF3" i="63"/>
  <c r="I6" i="121"/>
  <c r="H21" i="127"/>
  <c r="F12" i="129"/>
  <c r="I12" i="129" s="1"/>
  <c r="F6" i="127"/>
  <c r="Y48" i="62"/>
  <c r="AE48" i="62"/>
  <c r="V48" i="62"/>
  <c r="AC48" i="62"/>
  <c r="W48" i="62"/>
  <c r="X48" i="62"/>
  <c r="U48" i="62"/>
  <c r="AD48" i="62"/>
  <c r="T48" i="62"/>
  <c r="Z48" i="62"/>
  <c r="AV28" i="121"/>
  <c r="AV13" i="121"/>
  <c r="AV27" i="121"/>
  <c r="J133" i="62"/>
  <c r="N124" i="62"/>
  <c r="J136" i="62"/>
  <c r="FO169" i="63"/>
  <c r="EY177" i="63"/>
  <c r="J137" i="62"/>
  <c r="FF7" i="63"/>
  <c r="FK78" i="63"/>
  <c r="FU116" i="63"/>
  <c r="EU60" i="63"/>
  <c r="EX49" i="63"/>
  <c r="EX103" i="63"/>
  <c r="FK125" i="63"/>
  <c r="EX70" i="63"/>
  <c r="FC124" i="63"/>
  <c r="EX128" i="63"/>
  <c r="FK107" i="63"/>
  <c r="FN10" i="63"/>
  <c r="EX24" i="63"/>
  <c r="FD28" i="63"/>
  <c r="EX99" i="63"/>
  <c r="G169" i="62"/>
  <c r="G174" i="62"/>
  <c r="G166" i="62"/>
  <c r="G167" i="62"/>
  <c r="G172" i="62"/>
  <c r="G164" i="62"/>
  <c r="N156" i="62"/>
  <c r="G173" i="62"/>
  <c r="G165" i="62"/>
  <c r="G170" i="62"/>
  <c r="G163" i="62"/>
  <c r="G168" i="62"/>
  <c r="G171" i="62"/>
  <c r="H160" i="62"/>
  <c r="F137" i="62"/>
  <c r="F139" i="62"/>
  <c r="N120" i="62"/>
  <c r="F131" i="62"/>
  <c r="F136" i="62"/>
  <c r="F132" i="62"/>
  <c r="F130" i="62"/>
  <c r="F134" i="62"/>
  <c r="F129" i="62"/>
  <c r="F138" i="62"/>
  <c r="F135" i="62"/>
  <c r="F133" i="62"/>
  <c r="N85" i="62"/>
  <c r="F96" i="62"/>
  <c r="F101" i="62"/>
  <c r="F103" i="62"/>
  <c r="F97" i="62"/>
  <c r="F104" i="62"/>
  <c r="F99" i="62"/>
  <c r="F102" i="62"/>
  <c r="F100" i="62"/>
  <c r="F98" i="62"/>
  <c r="I9" i="124"/>
  <c r="I24" i="124"/>
  <c r="I16" i="124"/>
  <c r="I22" i="124"/>
  <c r="I25" i="125" s="1"/>
  <c r="N9" i="123"/>
  <c r="I661" i="73"/>
  <c r="J13" i="124"/>
  <c r="I23" i="124"/>
  <c r="EV150" i="63"/>
  <c r="I14" i="124"/>
  <c r="J8" i="125"/>
  <c r="I659" i="73"/>
  <c r="J15" i="124"/>
  <c r="O15" i="124" s="1"/>
  <c r="I662" i="73"/>
  <c r="J16" i="124"/>
  <c r="J19" i="125" s="1"/>
  <c r="I667" i="73"/>
  <c r="J21" i="124"/>
  <c r="O32" i="123"/>
  <c r="Q9" i="123"/>
  <c r="S9" i="123" s="1"/>
  <c r="V9" i="123" s="1"/>
  <c r="L573" i="73"/>
  <c r="L31" i="124"/>
  <c r="K745" i="73"/>
  <c r="C71" i="119"/>
  <c r="G4" i="66"/>
  <c r="N79" i="119"/>
  <c r="D80" i="119"/>
  <c r="U80" i="119" s="1"/>
  <c r="J13" i="66"/>
  <c r="M15" i="66"/>
  <c r="G87" i="119"/>
  <c r="J79" i="119"/>
  <c r="D81" i="119"/>
  <c r="U81" i="119" s="1"/>
  <c r="J16" i="66"/>
  <c r="D85" i="119"/>
  <c r="U85" i="119" s="1"/>
  <c r="J18" i="66"/>
  <c r="D87" i="119"/>
  <c r="U87" i="119" s="1"/>
  <c r="J19" i="66"/>
  <c r="H89" i="119"/>
  <c r="H90" i="119"/>
  <c r="H92" i="119"/>
  <c r="E95" i="119"/>
  <c r="M29" i="66"/>
  <c r="FT10" i="63"/>
  <c r="K305" i="73"/>
  <c r="FG10" i="63"/>
  <c r="FH22" i="63"/>
  <c r="FU22" i="63"/>
  <c r="L81" i="119"/>
  <c r="CM30" i="63"/>
  <c r="FZ30" i="63"/>
  <c r="EZ3" i="63"/>
  <c r="FV11" i="63"/>
  <c r="FI11" i="63"/>
  <c r="FA23" i="63"/>
  <c r="FN23" i="63"/>
  <c r="K87" i="119"/>
  <c r="J88" i="119"/>
  <c r="D92" i="119"/>
  <c r="U92" i="119" s="1"/>
  <c r="J24" i="66"/>
  <c r="H82" i="119"/>
  <c r="K88" i="119"/>
  <c r="M25" i="66"/>
  <c r="R27" i="119"/>
  <c r="BZ98" i="126"/>
  <c r="CG66" i="126"/>
  <c r="CA66" i="126"/>
  <c r="FI178" i="63"/>
  <c r="FV178" i="63"/>
  <c r="FQ174" i="63"/>
  <c r="FD174" i="63"/>
  <c r="FV170" i="63"/>
  <c r="FI170" i="63"/>
  <c r="FD166" i="63"/>
  <c r="FQ166" i="63"/>
  <c r="FV162" i="63"/>
  <c r="FI162" i="63"/>
  <c r="FC162" i="63"/>
  <c r="FP162" i="63"/>
  <c r="G712" i="73"/>
  <c r="FQ158" i="63"/>
  <c r="FD158" i="63"/>
  <c r="FV154" i="63"/>
  <c r="FI154" i="63"/>
  <c r="FP154" i="63"/>
  <c r="FC154" i="63"/>
  <c r="FD149" i="63"/>
  <c r="FQ149" i="63"/>
  <c r="FI145" i="63"/>
  <c r="FV145" i="63"/>
  <c r="FP145" i="63"/>
  <c r="FC145" i="63"/>
  <c r="FQ141" i="63"/>
  <c r="FD141" i="63"/>
  <c r="FV137" i="63"/>
  <c r="FI137" i="63"/>
  <c r="FC137" i="63"/>
  <c r="FP137" i="63"/>
  <c r="G636" i="73"/>
  <c r="FQ133" i="63"/>
  <c r="FD133" i="63"/>
  <c r="FI129" i="63"/>
  <c r="FV129" i="63"/>
  <c r="FP129" i="63"/>
  <c r="FC129" i="63"/>
  <c r="FQ125" i="63"/>
  <c r="H624" i="73"/>
  <c r="FD125" i="63"/>
  <c r="FV116" i="63"/>
  <c r="FI116" i="63"/>
  <c r="FP116" i="63"/>
  <c r="FC116" i="63"/>
  <c r="FD112" i="63"/>
  <c r="FQ112" i="63"/>
  <c r="H560" i="73"/>
  <c r="FV108" i="63"/>
  <c r="FI108" i="63"/>
  <c r="FP108" i="63"/>
  <c r="FC108" i="63"/>
  <c r="FD104" i="63"/>
  <c r="FQ104" i="63"/>
  <c r="FI100" i="63"/>
  <c r="FV100" i="63"/>
  <c r="FP100" i="63"/>
  <c r="FC100" i="63"/>
  <c r="FI87" i="63"/>
  <c r="FV87" i="63"/>
  <c r="FP87" i="63"/>
  <c r="FC87" i="63"/>
  <c r="FQ83" i="63"/>
  <c r="H480" i="73"/>
  <c r="FD83" i="63"/>
  <c r="FV79" i="63"/>
  <c r="FI79" i="63"/>
  <c r="FP79" i="63"/>
  <c r="FC79" i="63"/>
  <c r="FD75" i="63"/>
  <c r="FQ75" i="63"/>
  <c r="FV71" i="63"/>
  <c r="FI71" i="63"/>
  <c r="FC71" i="63"/>
  <c r="FP71" i="63"/>
  <c r="FD67" i="63"/>
  <c r="FQ67" i="63"/>
  <c r="CV90" i="63"/>
  <c r="GI90" i="63"/>
  <c r="FI63" i="63"/>
  <c r="FV63" i="63"/>
  <c r="CP90" i="63"/>
  <c r="GC90" i="63"/>
  <c r="FC63" i="63"/>
  <c r="FP63" i="63"/>
  <c r="FD58" i="63"/>
  <c r="FQ58" i="63"/>
  <c r="FV54" i="63"/>
  <c r="FI54" i="63"/>
  <c r="CN60" i="63"/>
  <c r="GA60" i="63"/>
  <c r="FN54" i="63"/>
  <c r="FA54" i="63"/>
  <c r="FS46" i="63"/>
  <c r="FF46" i="63"/>
  <c r="FQ46" i="63"/>
  <c r="FD46" i="63"/>
  <c r="FE42" i="63"/>
  <c r="FR42" i="63"/>
  <c r="FF38" i="63"/>
  <c r="FS38" i="63"/>
  <c r="FQ38" i="63"/>
  <c r="FD38" i="63"/>
  <c r="FE34" i="63"/>
  <c r="FR34" i="63"/>
  <c r="FE28" i="63"/>
  <c r="FR28" i="63"/>
  <c r="EY24" i="63"/>
  <c r="FL24" i="63"/>
  <c r="C319" i="73"/>
  <c r="FT20" i="63"/>
  <c r="FG20" i="63"/>
  <c r="FB16" i="63"/>
  <c r="FO16" i="63"/>
  <c r="FC12" i="63"/>
  <c r="FP12" i="63"/>
  <c r="FB8" i="63"/>
  <c r="FO8" i="63"/>
  <c r="FA4" i="63"/>
  <c r="FN4" i="63"/>
  <c r="FC4" i="63"/>
  <c r="FP4" i="63"/>
  <c r="FV7" i="63"/>
  <c r="FI7" i="63"/>
  <c r="FD19" i="63"/>
  <c r="FQ19" i="63"/>
  <c r="CU60" i="63"/>
  <c r="GH60" i="63"/>
  <c r="FH33" i="63"/>
  <c r="FU33" i="63"/>
  <c r="EX41" i="63"/>
  <c r="FK41" i="63"/>
  <c r="FP53" i="63"/>
  <c r="G399" i="73"/>
  <c r="FC53" i="63"/>
  <c r="CT90" i="63"/>
  <c r="GG90" i="63"/>
  <c r="FT70" i="63"/>
  <c r="FG70" i="63"/>
  <c r="FN78" i="63"/>
  <c r="FA78" i="63"/>
  <c r="CO120" i="63"/>
  <c r="GB120" i="63"/>
  <c r="FO95" i="63"/>
  <c r="FB95" i="63"/>
  <c r="FN115" i="63"/>
  <c r="E563" i="73"/>
  <c r="FA115" i="63"/>
  <c r="CO150" i="63"/>
  <c r="GB150" i="63"/>
  <c r="FO128" i="63"/>
  <c r="FT140" i="63"/>
  <c r="FG140" i="63"/>
  <c r="FA148" i="63"/>
  <c r="FN148" i="63"/>
  <c r="FB161" i="63"/>
  <c r="FO161" i="63"/>
  <c r="FG173" i="63"/>
  <c r="FT173" i="63"/>
  <c r="D82" i="119"/>
  <c r="U82" i="119" s="1"/>
  <c r="F85" i="119"/>
  <c r="J86" i="119"/>
  <c r="K96" i="119"/>
  <c r="GC96" i="126"/>
  <c r="FO98" i="126"/>
  <c r="GC98" i="126"/>
  <c r="FU177" i="63"/>
  <c r="FH177" i="63"/>
  <c r="EX173" i="63"/>
  <c r="FK173" i="63"/>
  <c r="EY169" i="63"/>
  <c r="FL169" i="63"/>
  <c r="FH169" i="63"/>
  <c r="FU169" i="63"/>
  <c r="FL161" i="63"/>
  <c r="EY161" i="63"/>
  <c r="FU161" i="63"/>
  <c r="FH161" i="63"/>
  <c r="FK157" i="63"/>
  <c r="EX157" i="63"/>
  <c r="CL180" i="63"/>
  <c r="FY180" i="63"/>
  <c r="EY153" i="63"/>
  <c r="FL153" i="63"/>
  <c r="CU180" i="63"/>
  <c r="GH180" i="63"/>
  <c r="FU153" i="63"/>
  <c r="FH153" i="63"/>
  <c r="EX148" i="63"/>
  <c r="FK148" i="63"/>
  <c r="FL144" i="63"/>
  <c r="C643" i="73"/>
  <c r="EY144" i="63"/>
  <c r="EX140" i="63"/>
  <c r="FK140" i="63"/>
  <c r="FL136" i="63"/>
  <c r="EY136" i="63"/>
  <c r="FU136" i="63"/>
  <c r="FH136" i="63"/>
  <c r="FK132" i="63"/>
  <c r="B631" i="73"/>
  <c r="EX132" i="63"/>
  <c r="FL128" i="63"/>
  <c r="EY128" i="63"/>
  <c r="FH128" i="63"/>
  <c r="FU128" i="63"/>
  <c r="CK150" i="63"/>
  <c r="FX150" i="63"/>
  <c r="EY119" i="63"/>
  <c r="FL119" i="63"/>
  <c r="FU119" i="63"/>
  <c r="FH119" i="63"/>
  <c r="FK115" i="63"/>
  <c r="B563" i="73"/>
  <c r="EX115" i="63"/>
  <c r="FU111" i="63"/>
  <c r="FH111" i="63"/>
  <c r="EY103" i="63"/>
  <c r="FL103" i="63"/>
  <c r="C551" i="73"/>
  <c r="FU103" i="63"/>
  <c r="FH103" i="63"/>
  <c r="CL120" i="63"/>
  <c r="FY120" i="63"/>
  <c r="CU120" i="63"/>
  <c r="GH120" i="63"/>
  <c r="FU95" i="63"/>
  <c r="FH95" i="63"/>
  <c r="FK86" i="63"/>
  <c r="EX86" i="63"/>
  <c r="FL82" i="63"/>
  <c r="C479" i="73"/>
  <c r="EY82" i="63"/>
  <c r="FH82" i="63"/>
  <c r="FU82" i="63"/>
  <c r="L479" i="73"/>
  <c r="FL74" i="63"/>
  <c r="C471" i="73"/>
  <c r="EY74" i="63"/>
  <c r="FU74" i="63"/>
  <c r="FH74" i="63"/>
  <c r="FL66" i="63"/>
  <c r="EY66" i="63"/>
  <c r="FU66" i="63"/>
  <c r="L463" i="73"/>
  <c r="FH66" i="63"/>
  <c r="FV57" i="63"/>
  <c r="FI57" i="63"/>
  <c r="FI53" i="63"/>
  <c r="FV53" i="63"/>
  <c r="EY49" i="63"/>
  <c r="FL49" i="63"/>
  <c r="FM45" i="63"/>
  <c r="D391" i="73"/>
  <c r="EZ45" i="63"/>
  <c r="FI45" i="63"/>
  <c r="FV45" i="63"/>
  <c r="FL41" i="63"/>
  <c r="EY41" i="63"/>
  <c r="FM37" i="63"/>
  <c r="EZ37" i="63"/>
  <c r="FI37" i="63"/>
  <c r="FV37" i="63"/>
  <c r="CL60" i="63"/>
  <c r="FY60" i="63"/>
  <c r="FL33" i="63"/>
  <c r="EY33" i="63"/>
  <c r="FU27" i="63"/>
  <c r="FH27" i="63"/>
  <c r="FO27" i="63"/>
  <c r="FB27" i="63"/>
  <c r="FR23" i="63"/>
  <c r="FE23" i="63"/>
  <c r="FG19" i="63"/>
  <c r="FT19" i="63"/>
  <c r="EX19" i="63"/>
  <c r="FK19" i="63"/>
  <c r="FU15" i="63"/>
  <c r="L310" i="73"/>
  <c r="FH15" i="63"/>
  <c r="FT11" i="63"/>
  <c r="K306" i="73"/>
  <c r="FG11" i="63"/>
  <c r="EX11" i="63"/>
  <c r="FK11" i="63"/>
  <c r="FU7" i="63"/>
  <c r="FH7" i="63"/>
  <c r="CP30" i="63"/>
  <c r="GC30" i="63"/>
  <c r="FC3" i="63"/>
  <c r="FP3" i="63"/>
  <c r="CK30" i="63"/>
  <c r="FX30" i="63"/>
  <c r="FK3" i="63"/>
  <c r="EX3" i="63"/>
  <c r="AV23" i="121"/>
  <c r="AV7" i="121"/>
  <c r="H132" i="62"/>
  <c r="H137" i="62"/>
  <c r="H129" i="62"/>
  <c r="N122" i="62"/>
  <c r="H138" i="62"/>
  <c r="H130" i="62"/>
  <c r="H135" i="62"/>
  <c r="H136" i="62"/>
  <c r="H128" i="62"/>
  <c r="H133" i="62"/>
  <c r="H134" i="62"/>
  <c r="H139" i="62"/>
  <c r="H131" i="62"/>
  <c r="AV24" i="121"/>
  <c r="AV9" i="121"/>
  <c r="AV18" i="121"/>
  <c r="FK124" i="63"/>
  <c r="FU144" i="63"/>
  <c r="J95" i="62"/>
  <c r="J98" i="62"/>
  <c r="J94" i="62"/>
  <c r="J102" i="62"/>
  <c r="N89" i="62"/>
  <c r="J103" i="62"/>
  <c r="J101" i="62"/>
  <c r="J100" i="62"/>
  <c r="J93" i="62"/>
  <c r="J99" i="62"/>
  <c r="J97" i="62"/>
  <c r="J96" i="62"/>
  <c r="J104" i="62"/>
  <c r="J138" i="62"/>
  <c r="J134" i="62"/>
  <c r="H29" i="62"/>
  <c r="H28" i="62"/>
  <c r="EK150" i="63"/>
  <c r="FK177" i="63"/>
  <c r="EX153" i="63"/>
  <c r="EY111" i="63"/>
  <c r="FK82" i="63"/>
  <c r="FM3" i="63"/>
  <c r="FQ82" i="63"/>
  <c r="EX95" i="63"/>
  <c r="EY42" i="63"/>
  <c r="M71" i="119"/>
  <c r="R6" i="118"/>
  <c r="U55" i="62"/>
  <c r="T65" i="62"/>
  <c r="X62" i="62"/>
  <c r="X69" i="62"/>
  <c r="X63" i="62"/>
  <c r="AF50" i="62"/>
  <c r="X59" i="62"/>
  <c r="X60" i="62"/>
  <c r="X68" i="62"/>
  <c r="X64" i="62"/>
  <c r="X66" i="62"/>
  <c r="X65" i="62"/>
  <c r="X67" i="62"/>
  <c r="X61" i="62"/>
  <c r="L71" i="119"/>
  <c r="EV120" i="63"/>
  <c r="C55" i="62"/>
  <c r="E59" i="62"/>
  <c r="E60" i="62"/>
  <c r="E61" i="62"/>
  <c r="E65" i="62"/>
  <c r="E68" i="62"/>
  <c r="E63" i="62"/>
  <c r="E67" i="62"/>
  <c r="E64" i="62"/>
  <c r="E69" i="62"/>
  <c r="E66" i="62"/>
  <c r="N49" i="62"/>
  <c r="E62" i="62"/>
  <c r="I15" i="124"/>
  <c r="I29" i="124"/>
  <c r="I25" i="124"/>
  <c r="I28" i="125" s="1"/>
  <c r="N21" i="123"/>
  <c r="I655" i="73"/>
  <c r="J9" i="124"/>
  <c r="T90" i="62"/>
  <c r="W96" i="62"/>
  <c r="W103" i="62"/>
  <c r="W97" i="62"/>
  <c r="W98" i="62"/>
  <c r="W93" i="62"/>
  <c r="W101" i="62"/>
  <c r="W104" i="62"/>
  <c r="W94" i="62"/>
  <c r="W95" i="62"/>
  <c r="W102" i="62"/>
  <c r="W99" i="62"/>
  <c r="AF84" i="62"/>
  <c r="W100" i="62"/>
  <c r="I5" i="124"/>
  <c r="I27" i="124"/>
  <c r="I71" i="119"/>
  <c r="F36" i="125"/>
  <c r="I8" i="124"/>
  <c r="N29" i="123"/>
  <c r="G21" i="118"/>
  <c r="C143" i="62"/>
  <c r="C3" i="62"/>
  <c r="I19" i="124"/>
  <c r="J17" i="124"/>
  <c r="I582" i="73"/>
  <c r="J28" i="124"/>
  <c r="Q17" i="123"/>
  <c r="Q5" i="123"/>
  <c r="W32" i="116"/>
  <c r="E71" i="119"/>
  <c r="M4" i="66"/>
  <c r="Q32" i="123"/>
  <c r="L742" i="73"/>
  <c r="H81" i="119"/>
  <c r="F82" i="119"/>
  <c r="W82" i="119"/>
  <c r="G84" i="119"/>
  <c r="H87" i="119"/>
  <c r="G88" i="119"/>
  <c r="E94" i="119"/>
  <c r="V94" i="119" s="1"/>
  <c r="M27" i="66"/>
  <c r="K79" i="119"/>
  <c r="K32" i="119"/>
  <c r="E81" i="119"/>
  <c r="V81" i="119" s="1"/>
  <c r="M16" i="66"/>
  <c r="B82" i="119"/>
  <c r="S82" i="119" s="1"/>
  <c r="D15" i="66"/>
  <c r="I83" i="119"/>
  <c r="C84" i="119"/>
  <c r="T84" i="119" s="1"/>
  <c r="G17" i="66"/>
  <c r="C86" i="119"/>
  <c r="T86" i="119" s="1"/>
  <c r="G21" i="66"/>
  <c r="C88" i="119"/>
  <c r="T88" i="119" s="1"/>
  <c r="G20" i="66"/>
  <c r="F95" i="119"/>
  <c r="FV22" i="63"/>
  <c r="FI22" i="63"/>
  <c r="K80" i="119"/>
  <c r="K86" i="119"/>
  <c r="J87" i="119"/>
  <c r="C91" i="119"/>
  <c r="T91" i="119"/>
  <c r="G26" i="66"/>
  <c r="R25" i="119"/>
  <c r="I94" i="119"/>
  <c r="C96" i="119"/>
  <c r="T96" i="119" s="1"/>
  <c r="G28" i="66"/>
  <c r="CN30" i="63"/>
  <c r="GA30" i="63"/>
  <c r="FN3" i="63"/>
  <c r="FA3" i="63"/>
  <c r="FQ15" i="63"/>
  <c r="FD15" i="63"/>
  <c r="FG27" i="63"/>
  <c r="FT27" i="63"/>
  <c r="G81" i="119"/>
  <c r="D27" i="66"/>
  <c r="R28" i="119"/>
  <c r="B95" i="119"/>
  <c r="S95" i="119" s="1"/>
  <c r="D29" i="66"/>
  <c r="R29" i="119"/>
  <c r="FR7" i="63"/>
  <c r="FE7" i="63"/>
  <c r="M79" i="119"/>
  <c r="J89" i="119"/>
  <c r="F93" i="119"/>
  <c r="FR98" i="126"/>
  <c r="GF98" i="126"/>
  <c r="GF96" i="126"/>
  <c r="EY178" i="63"/>
  <c r="FL178" i="63"/>
  <c r="FU178" i="63"/>
  <c r="FH178" i="63"/>
  <c r="EX174" i="63"/>
  <c r="FK174" i="63"/>
  <c r="FL170" i="63"/>
  <c r="EY170" i="63"/>
  <c r="FU170" i="63"/>
  <c r="FH170" i="63"/>
  <c r="FK166" i="63"/>
  <c r="EX166" i="63"/>
  <c r="FL162" i="63"/>
  <c r="C712" i="73"/>
  <c r="EY162" i="63"/>
  <c r="FH162" i="63"/>
  <c r="FU162" i="63"/>
  <c r="FK158" i="63"/>
  <c r="EX158" i="63"/>
  <c r="EY154" i="63"/>
  <c r="FL154" i="63"/>
  <c r="FH154" i="63"/>
  <c r="FU154" i="63"/>
  <c r="FK149" i="63"/>
  <c r="B648" i="73"/>
  <c r="EX149" i="63"/>
  <c r="EY145" i="63"/>
  <c r="FL145" i="63"/>
  <c r="FU145" i="63"/>
  <c r="L644" i="73"/>
  <c r="FH145" i="63"/>
  <c r="FK141" i="63"/>
  <c r="B640" i="73"/>
  <c r="EX141" i="63"/>
  <c r="EY137" i="63"/>
  <c r="FL137" i="63"/>
  <c r="C636" i="73"/>
  <c r="EX133" i="63"/>
  <c r="FK133" i="63"/>
  <c r="EY129" i="63"/>
  <c r="FL129" i="63"/>
  <c r="FU129" i="63"/>
  <c r="L628" i="73"/>
  <c r="FH129" i="63"/>
  <c r="EY116" i="63"/>
  <c r="FL116" i="63"/>
  <c r="FL108" i="63"/>
  <c r="EY108" i="63"/>
  <c r="FU108" i="63"/>
  <c r="FH108" i="63"/>
  <c r="FK104" i="63"/>
  <c r="B552" i="73"/>
  <c r="EX104" i="63"/>
  <c r="FU100" i="63"/>
  <c r="FH100" i="63"/>
  <c r="FK96" i="63"/>
  <c r="EX96" i="63"/>
  <c r="EY87" i="63"/>
  <c r="FL87" i="63"/>
  <c r="FU87" i="63"/>
  <c r="L484" i="73"/>
  <c r="FH87" i="63"/>
  <c r="EX83" i="63"/>
  <c r="FK83" i="63"/>
  <c r="EY79" i="63"/>
  <c r="FL79" i="63"/>
  <c r="FH79" i="63"/>
  <c r="FU79" i="63"/>
  <c r="L476" i="73"/>
  <c r="EX75" i="63"/>
  <c r="FK75" i="63"/>
  <c r="EY71" i="63"/>
  <c r="FL71" i="63"/>
  <c r="FH71" i="63"/>
  <c r="FU71" i="63"/>
  <c r="EX67" i="63"/>
  <c r="FK67" i="63"/>
  <c r="CL90" i="63"/>
  <c r="FY90" i="63"/>
  <c r="FL63" i="63"/>
  <c r="EY63" i="63"/>
  <c r="CU90" i="63"/>
  <c r="GH90" i="63"/>
  <c r="FH63" i="63"/>
  <c r="FU63" i="63"/>
  <c r="FK58" i="63"/>
  <c r="EX58" i="63"/>
  <c r="FR54" i="63"/>
  <c r="FE54" i="63"/>
  <c r="FU54" i="63"/>
  <c r="FH54" i="63"/>
  <c r="FL50" i="63"/>
  <c r="EY50" i="63"/>
  <c r="FM46" i="63"/>
  <c r="EZ46" i="63"/>
  <c r="FV46" i="63"/>
  <c r="FI46" i="63"/>
  <c r="FM38" i="63"/>
  <c r="EZ38" i="63"/>
  <c r="FI38" i="63"/>
  <c r="FV38" i="63"/>
  <c r="FL34" i="63"/>
  <c r="EY34" i="63"/>
  <c r="EX28" i="63"/>
  <c r="FK28" i="63"/>
  <c r="B323" i="73"/>
  <c r="FR24" i="63"/>
  <c r="FE24" i="63"/>
  <c r="FH20" i="63"/>
  <c r="FU20" i="63"/>
  <c r="FK20" i="63"/>
  <c r="EX20" i="63"/>
  <c r="FU16" i="63"/>
  <c r="L311" i="73"/>
  <c r="FH16" i="63"/>
  <c r="FG12" i="63"/>
  <c r="FT12" i="63"/>
  <c r="FK12" i="63"/>
  <c r="EX12" i="63"/>
  <c r="FU8" i="63"/>
  <c r="FH8" i="63"/>
  <c r="FT4" i="63"/>
  <c r="FG4" i="63"/>
  <c r="FK4" i="63"/>
  <c r="EX4" i="63"/>
  <c r="FQ11" i="63"/>
  <c r="FD11" i="63"/>
  <c r="FT23" i="63"/>
  <c r="FG23" i="63"/>
  <c r="CK60" i="63"/>
  <c r="FX60" i="63"/>
  <c r="FK33" i="63"/>
  <c r="EX33" i="63"/>
  <c r="FP45" i="63"/>
  <c r="FC45" i="63"/>
  <c r="FT57" i="63"/>
  <c r="FG57" i="63"/>
  <c r="CN90" i="63"/>
  <c r="GA90" i="63"/>
  <c r="FN70" i="63"/>
  <c r="FA70" i="63"/>
  <c r="FB82" i="63"/>
  <c r="FO82" i="63"/>
  <c r="F479" i="73"/>
  <c r="CT120" i="63"/>
  <c r="GG120" i="63"/>
  <c r="FT99" i="63"/>
  <c r="FG99" i="63"/>
  <c r="FN107" i="63"/>
  <c r="FA107" i="63"/>
  <c r="FB119" i="63"/>
  <c r="FO119" i="63"/>
  <c r="FT132" i="63"/>
  <c r="K631" i="73"/>
  <c r="FG132" i="63"/>
  <c r="FN140" i="63"/>
  <c r="FA140" i="63"/>
  <c r="CO180" i="63"/>
  <c r="GB180" i="63"/>
  <c r="FO153" i="63"/>
  <c r="FB153" i="63"/>
  <c r="FN173" i="63"/>
  <c r="FA173" i="63"/>
  <c r="P80" i="119"/>
  <c r="I82" i="119"/>
  <c r="K85" i="119"/>
  <c r="P93" i="119"/>
  <c r="E97" i="119"/>
  <c r="M30" i="66"/>
  <c r="FD177" i="63"/>
  <c r="FQ177" i="63"/>
  <c r="FI173" i="63"/>
  <c r="FV173" i="63"/>
  <c r="FP173" i="63"/>
  <c r="FC173" i="63"/>
  <c r="FD169" i="63"/>
  <c r="FQ169" i="63"/>
  <c r="FV165" i="63"/>
  <c r="FI165" i="63"/>
  <c r="FP165" i="63"/>
  <c r="FC165" i="63"/>
  <c r="FD161" i="63"/>
  <c r="FQ161" i="63"/>
  <c r="FI157" i="63"/>
  <c r="FV157" i="63"/>
  <c r="FP157" i="63"/>
  <c r="FC157" i="63"/>
  <c r="CQ180" i="63"/>
  <c r="GD180" i="63"/>
  <c r="FQ153" i="63"/>
  <c r="FD153" i="63"/>
  <c r="FV148" i="63"/>
  <c r="FI148" i="63"/>
  <c r="FC148" i="63"/>
  <c r="FP148" i="63"/>
  <c r="FD144" i="63"/>
  <c r="FQ144" i="63"/>
  <c r="FI140" i="63"/>
  <c r="FV140" i="63"/>
  <c r="FP140" i="63"/>
  <c r="G639" i="73"/>
  <c r="FC140" i="63"/>
  <c r="FD136" i="63"/>
  <c r="FQ136" i="63"/>
  <c r="FV132" i="63"/>
  <c r="FI132" i="63"/>
  <c r="FC132" i="63"/>
  <c r="FP132" i="63"/>
  <c r="FD128" i="63"/>
  <c r="FQ128" i="63"/>
  <c r="CV150" i="63"/>
  <c r="GI150" i="63"/>
  <c r="FI124" i="63"/>
  <c r="FV124" i="63"/>
  <c r="CP150" i="63"/>
  <c r="GC150" i="63"/>
  <c r="FQ119" i="63"/>
  <c r="FD119" i="63"/>
  <c r="FV115" i="63"/>
  <c r="FI115" i="63"/>
  <c r="FP115" i="63"/>
  <c r="FC115" i="63"/>
  <c r="FD111" i="63"/>
  <c r="FQ111" i="63"/>
  <c r="FI107" i="63"/>
  <c r="FV107" i="63"/>
  <c r="FC107" i="63"/>
  <c r="FP107" i="63"/>
  <c r="FQ103" i="63"/>
  <c r="FD103" i="63"/>
  <c r="FV99" i="63"/>
  <c r="FI99" i="63"/>
  <c r="FC99" i="63"/>
  <c r="FP99" i="63"/>
  <c r="G547" i="73"/>
  <c r="CQ120" i="63"/>
  <c r="GD120" i="63"/>
  <c r="FD95" i="63"/>
  <c r="FQ95" i="63"/>
  <c r="FI86" i="63"/>
  <c r="FV86" i="63"/>
  <c r="FP86" i="63"/>
  <c r="G483" i="73"/>
  <c r="FC86" i="63"/>
  <c r="FI78" i="63"/>
  <c r="FV78" i="63"/>
  <c r="FP78" i="63"/>
  <c r="FC78" i="63"/>
  <c r="FQ74" i="63"/>
  <c r="H471" i="73"/>
  <c r="FD74" i="63"/>
  <c r="FV70" i="63"/>
  <c r="FI70" i="63"/>
  <c r="FP70" i="63"/>
  <c r="G467" i="73"/>
  <c r="FC70" i="63"/>
  <c r="FR57" i="63"/>
  <c r="FE57" i="63"/>
  <c r="FP57" i="63"/>
  <c r="G403" i="73"/>
  <c r="FC57" i="63"/>
  <c r="FE53" i="63"/>
  <c r="FR53" i="63"/>
  <c r="FS49" i="63"/>
  <c r="J395" i="73"/>
  <c r="FF49" i="63"/>
  <c r="FD49" i="63"/>
  <c r="FQ49" i="63"/>
  <c r="FR45" i="63"/>
  <c r="FE45" i="63"/>
  <c r="FS41" i="63"/>
  <c r="J387" i="73"/>
  <c r="FF41" i="63"/>
  <c r="FQ41" i="63"/>
  <c r="H387" i="73"/>
  <c r="FD41" i="63"/>
  <c r="FR37" i="63"/>
  <c r="FE37" i="63"/>
  <c r="CS60" i="63"/>
  <c r="GF60" i="63"/>
  <c r="FS33" i="63"/>
  <c r="FF33" i="63"/>
  <c r="CQ60" i="63"/>
  <c r="GD60" i="63"/>
  <c r="FQ33" i="63"/>
  <c r="FD33" i="63"/>
  <c r="FL27" i="63"/>
  <c r="EY27" i="63"/>
  <c r="FV23" i="63"/>
  <c r="FI23" i="63"/>
  <c r="FM23" i="63"/>
  <c r="EZ23" i="63"/>
  <c r="FO19" i="63"/>
  <c r="FB19" i="63"/>
  <c r="FN15" i="63"/>
  <c r="E310" i="73"/>
  <c r="FA15" i="63"/>
  <c r="FP15" i="63"/>
  <c r="FC15" i="63"/>
  <c r="FO11" i="63"/>
  <c r="FB11" i="63"/>
  <c r="FA7" i="63"/>
  <c r="FN7" i="63"/>
  <c r="FP7" i="63"/>
  <c r="G302" i="73"/>
  <c r="FC7" i="63"/>
  <c r="CU30" i="63"/>
  <c r="GH30" i="63"/>
  <c r="FU3" i="63"/>
  <c r="FH3" i="63"/>
  <c r="CV30" i="63"/>
  <c r="GI30" i="63"/>
  <c r="FV3" i="63"/>
  <c r="FI3" i="63"/>
  <c r="AV8" i="121"/>
  <c r="AV5" i="121"/>
  <c r="AV19" i="121"/>
  <c r="Y83" i="62"/>
  <c r="AE83" i="62"/>
  <c r="AD83" i="62"/>
  <c r="AC83" i="62"/>
  <c r="X83" i="62"/>
  <c r="Z83" i="62"/>
  <c r="U83" i="62"/>
  <c r="T83" i="62"/>
  <c r="W83" i="62"/>
  <c r="V83" i="62"/>
  <c r="AB83" i="62"/>
  <c r="AV26" i="121"/>
  <c r="I137" i="62"/>
  <c r="I129" i="62"/>
  <c r="I132" i="62"/>
  <c r="I135" i="62"/>
  <c r="I138" i="62"/>
  <c r="I130" i="62"/>
  <c r="I133" i="62"/>
  <c r="I136" i="62"/>
  <c r="I128" i="62"/>
  <c r="I134" i="62"/>
  <c r="N123" i="62"/>
  <c r="I139" i="62"/>
  <c r="I131" i="62"/>
  <c r="FF37" i="63"/>
  <c r="FP170" i="63"/>
  <c r="J135" i="62"/>
  <c r="FK145" i="63"/>
  <c r="EX165" i="63"/>
  <c r="FK153" i="63"/>
  <c r="FR20" i="63"/>
  <c r="FD96" i="63"/>
  <c r="FH133" i="63"/>
  <c r="EZ53" i="63"/>
  <c r="FH137" i="63"/>
  <c r="FD66" i="63"/>
  <c r="FG107" i="63"/>
  <c r="FH149" i="63"/>
  <c r="FL95" i="63"/>
  <c r="EK180" i="63"/>
  <c r="EO180" i="63"/>
  <c r="V24" i="66"/>
  <c r="Y24" i="66" s="1"/>
  <c r="F16" i="127"/>
  <c r="M16" i="127" s="1"/>
  <c r="F8" i="129"/>
  <c r="L8" i="129" s="1"/>
  <c r="I31" i="121"/>
  <c r="M31" i="121" s="1"/>
  <c r="F22" i="127"/>
  <c r="M22" i="127" s="1"/>
  <c r="F10" i="129"/>
  <c r="L10" i="129" s="1"/>
  <c r="V30" i="66"/>
  <c r="Y30" i="66" s="1"/>
  <c r="F12" i="127"/>
  <c r="AR29" i="122"/>
  <c r="AR30" i="122"/>
  <c r="AR13" i="122"/>
  <c r="AR33" i="122"/>
  <c r="AR14" i="122"/>
  <c r="AR20" i="122"/>
  <c r="AR11" i="122"/>
  <c r="AR18" i="122"/>
  <c r="AR24" i="122"/>
  <c r="AR25" i="122"/>
  <c r="AR28" i="122"/>
  <c r="AR26" i="122"/>
  <c r="AR12" i="122"/>
  <c r="AR17" i="122"/>
  <c r="AR22" i="122"/>
  <c r="AR10" i="122"/>
  <c r="AR8" i="122"/>
  <c r="AR21" i="122"/>
  <c r="AR31" i="122"/>
  <c r="H13" i="127"/>
  <c r="M30" i="121"/>
  <c r="F29" i="129"/>
  <c r="L29" i="129" s="1"/>
  <c r="F17" i="127"/>
  <c r="V22" i="66"/>
  <c r="Y22" i="66" s="1"/>
  <c r="F6" i="129"/>
  <c r="L6" i="129" s="1"/>
  <c r="F29" i="127"/>
  <c r="M29" i="127" s="1"/>
  <c r="V7" i="66"/>
  <c r="I8" i="121"/>
  <c r="L32" i="129"/>
  <c r="I32" i="129"/>
  <c r="F24" i="129"/>
  <c r="L24" i="129" s="1"/>
  <c r="V15" i="66"/>
  <c r="Y15" i="66" s="1"/>
  <c r="I16" i="121"/>
  <c r="M16" i="121" s="1"/>
  <c r="F26" i="127"/>
  <c r="H18" i="127"/>
  <c r="M10" i="121"/>
  <c r="H10" i="127"/>
  <c r="AH9" i="66" s="1"/>
  <c r="I22" i="129"/>
  <c r="Y18" i="109"/>
  <c r="U10" i="126"/>
  <c r="AG184" i="73"/>
  <c r="Y49" i="109"/>
  <c r="ER150" i="63"/>
  <c r="ET120" i="63"/>
  <c r="BZ31" i="126"/>
  <c r="FP18" i="126"/>
  <c r="F95" i="73"/>
  <c r="F482" i="73" s="1"/>
  <c r="C116" i="73"/>
  <c r="C550" i="73" s="1"/>
  <c r="J41" i="73"/>
  <c r="J381" i="73" s="1"/>
  <c r="B15" i="73"/>
  <c r="B308" i="73" s="1"/>
  <c r="K74" i="73"/>
  <c r="K461" i="73" s="1"/>
  <c r="I57" i="73"/>
  <c r="I397" i="73" s="1"/>
  <c r="C200" i="73"/>
  <c r="C726" i="73" s="1"/>
  <c r="K8" i="73"/>
  <c r="K301" i="73" s="1"/>
  <c r="Z8" i="73"/>
  <c r="K274" i="73" s="1"/>
  <c r="G86" i="73"/>
  <c r="G473" i="73" s="1"/>
  <c r="K143" i="73"/>
  <c r="K622" i="73" s="1"/>
  <c r="Z143" i="73"/>
  <c r="K595" i="73" s="1"/>
  <c r="C16" i="73"/>
  <c r="C309" i="73" s="1"/>
  <c r="G23" i="73"/>
  <c r="G316" i="73" s="1"/>
  <c r="V23" i="73"/>
  <c r="G289" i="73" s="1"/>
  <c r="C83" i="73"/>
  <c r="C470" i="73" s="1"/>
  <c r="R83" i="73"/>
  <c r="C443" i="73" s="1"/>
  <c r="D54" i="73"/>
  <c r="D394" i="73" s="1"/>
  <c r="B53" i="73"/>
  <c r="B393" i="73" s="1"/>
  <c r="E11" i="73"/>
  <c r="E304" i="73" s="1"/>
  <c r="T11" i="73"/>
  <c r="E277" i="73" s="1"/>
  <c r="H75" i="73"/>
  <c r="H462" i="73" s="1"/>
  <c r="W75" i="73"/>
  <c r="H435" i="73" s="1"/>
  <c r="J49" i="73"/>
  <c r="J389" i="73" s="1"/>
  <c r="E128" i="73"/>
  <c r="E562" i="73" s="1"/>
  <c r="J8" i="73"/>
  <c r="J301" i="73" s="1"/>
  <c r="C98" i="73"/>
  <c r="I53" i="73"/>
  <c r="I393" i="73" s="1"/>
  <c r="X53" i="73"/>
  <c r="I366" i="73" s="1"/>
  <c r="H112" i="73"/>
  <c r="H546" i="73" s="1"/>
  <c r="E184" i="73"/>
  <c r="E710" i="73" s="1"/>
  <c r="B12" i="73"/>
  <c r="B305" i="73" s="1"/>
  <c r="K163" i="73"/>
  <c r="K642" i="73" s="1"/>
  <c r="Z163" i="73"/>
  <c r="K615" i="73" s="1"/>
  <c r="E15" i="73"/>
  <c r="E308" i="73" s="1"/>
  <c r="H87" i="73"/>
  <c r="H474" i="73" s="1"/>
  <c r="B7" i="73"/>
  <c r="B300" i="73" s="1"/>
  <c r="X42" i="73"/>
  <c r="I355" i="73" s="1"/>
  <c r="L7" i="73"/>
  <c r="L300" i="73" s="1"/>
  <c r="H78" i="73"/>
  <c r="H465" i="73" s="1"/>
  <c r="D200" i="73"/>
  <c r="D726" i="73" s="1"/>
  <c r="C124" i="73"/>
  <c r="C558" i="73" s="1"/>
  <c r="G8" i="73"/>
  <c r="G301" i="73" s="1"/>
  <c r="C91" i="73"/>
  <c r="C478" i="73" s="1"/>
  <c r="R91" i="73"/>
  <c r="C451" i="73" s="1"/>
  <c r="S8" i="118"/>
  <c r="T8" i="118"/>
  <c r="R103" i="109"/>
  <c r="Y102" i="109"/>
  <c r="AI3" i="126"/>
  <c r="AH177" i="73"/>
  <c r="U26" i="126"/>
  <c r="AG200" i="73"/>
  <c r="U14" i="126"/>
  <c r="AG188" i="73"/>
  <c r="Y26" i="109"/>
  <c r="AI24" i="126"/>
  <c r="AJ24" i="126"/>
  <c r="AH199" i="73"/>
  <c r="Y14" i="109"/>
  <c r="AI15" i="126"/>
  <c r="AJ15" i="126"/>
  <c r="AH187" i="73"/>
  <c r="FP9" i="126"/>
  <c r="BC10" i="66" s="1"/>
  <c r="FR23" i="126"/>
  <c r="CL30" i="126"/>
  <c r="BJ31" i="126"/>
  <c r="AJ172" i="73"/>
  <c r="F742" i="73" s="1"/>
  <c r="D44" i="64"/>
  <c r="K75" i="73"/>
  <c r="K462" i="73" s="1"/>
  <c r="Z75" i="73"/>
  <c r="K435" i="73" s="1"/>
  <c r="F163" i="73"/>
  <c r="F642" i="73" s="1"/>
  <c r="U163" i="73"/>
  <c r="F615" i="73" s="1"/>
  <c r="F196" i="73"/>
  <c r="F722" i="73" s="1"/>
  <c r="J20" i="73"/>
  <c r="J313" i="73" s="1"/>
  <c r="C120" i="73"/>
  <c r="C554" i="73" s="1"/>
  <c r="D41" i="73"/>
  <c r="D381" i="73" s="1"/>
  <c r="J31" i="73"/>
  <c r="J324" i="73" s="1"/>
  <c r="C79" i="73"/>
  <c r="C466" i="73" s="1"/>
  <c r="E151" i="73"/>
  <c r="E630" i="73" s="1"/>
  <c r="K19" i="73"/>
  <c r="K312" i="73" s="1"/>
  <c r="F15" i="73"/>
  <c r="F308" i="73" s="1"/>
  <c r="K132" i="73"/>
  <c r="K566" i="73" s="1"/>
  <c r="Z132" i="73"/>
  <c r="K539" i="73" s="1"/>
  <c r="H184" i="73"/>
  <c r="H710" i="73" s="1"/>
  <c r="H79" i="73"/>
  <c r="H466" i="73" s="1"/>
  <c r="E192" i="73"/>
  <c r="E718" i="73" s="1"/>
  <c r="I20" i="73"/>
  <c r="I313" i="73" s="1"/>
  <c r="E82" i="73"/>
  <c r="E469" i="73"/>
  <c r="H192" i="73"/>
  <c r="H718" i="73" s="1"/>
  <c r="L200" i="73"/>
  <c r="L726" i="73" s="1"/>
  <c r="F132" i="73"/>
  <c r="F566" i="73" s="1"/>
  <c r="U132" i="73"/>
  <c r="F539" i="73" s="1"/>
  <c r="H200" i="73"/>
  <c r="H726" i="73" s="1"/>
  <c r="G65" i="73"/>
  <c r="G405" i="73" s="1"/>
  <c r="V65" i="73"/>
  <c r="G378" i="73" s="1"/>
  <c r="E200" i="73"/>
  <c r="E726" i="73" s="1"/>
  <c r="K147" i="73"/>
  <c r="K626" i="73" s="1"/>
  <c r="Z147" i="73"/>
  <c r="K599" i="73" s="1"/>
  <c r="F8" i="73"/>
  <c r="F301" i="73" s="1"/>
  <c r="K91" i="73"/>
  <c r="K478" i="73" s="1"/>
  <c r="Z91" i="73"/>
  <c r="K451" i="73" s="1"/>
  <c r="H95" i="73"/>
  <c r="H482" i="73" s="1"/>
  <c r="F192" i="73"/>
  <c r="F718" i="73" s="1"/>
  <c r="C128" i="73"/>
  <c r="C562" i="73" s="1"/>
  <c r="G19" i="73"/>
  <c r="G312" i="73" s="1"/>
  <c r="F155" i="73"/>
  <c r="F634" i="73" s="1"/>
  <c r="U155" i="73"/>
  <c r="F607" i="73" s="1"/>
  <c r="F188" i="73"/>
  <c r="F714" i="73" s="1"/>
  <c r="F44" i="64"/>
  <c r="AI17" i="126"/>
  <c r="AH191" i="73"/>
  <c r="U5" i="126"/>
  <c r="V5" i="126"/>
  <c r="AG180" i="73"/>
  <c r="U20" i="126"/>
  <c r="V20" i="126"/>
  <c r="AG192" i="73"/>
  <c r="AI9" i="126"/>
  <c r="AH183" i="73"/>
  <c r="DY30" i="126"/>
  <c r="DY32" i="126"/>
  <c r="CN17" i="126"/>
  <c r="EU120" i="63"/>
  <c r="E44" i="64"/>
  <c r="F78" i="73"/>
  <c r="F465" i="73" s="1"/>
  <c r="C155" i="73"/>
  <c r="C634" i="73" s="1"/>
  <c r="R155" i="73"/>
  <c r="C607" i="73" s="1"/>
  <c r="H188" i="73"/>
  <c r="H714" i="73" s="1"/>
  <c r="C167" i="73"/>
  <c r="C646" i="73" s="1"/>
  <c r="B62" i="73"/>
  <c r="B402" i="73" s="1"/>
  <c r="L15" i="73"/>
  <c r="L308" i="73" s="1"/>
  <c r="F128" i="73"/>
  <c r="F562" i="73" s="1"/>
  <c r="L53" i="73"/>
  <c r="L393" i="73" s="1"/>
  <c r="F7" i="73"/>
  <c r="F300" i="73" s="1"/>
  <c r="C180" i="73"/>
  <c r="C706" i="73" s="1"/>
  <c r="E112" i="73"/>
  <c r="E546" i="73" s="1"/>
  <c r="H180" i="73"/>
  <c r="H706" i="73" s="1"/>
  <c r="K167" i="73"/>
  <c r="K646" i="73" s="1"/>
  <c r="D196" i="73"/>
  <c r="D722" i="73" s="1"/>
  <c r="C99" i="73"/>
  <c r="C486" i="73" s="1"/>
  <c r="R99" i="73"/>
  <c r="C459" i="73" s="1"/>
  <c r="J23" i="73"/>
  <c r="J316" i="73" s="1"/>
  <c r="K116" i="73"/>
  <c r="K550" i="73" s="1"/>
  <c r="K31" i="73"/>
  <c r="K324" i="73" s="1"/>
  <c r="K83" i="73"/>
  <c r="K470" i="73" s="1"/>
  <c r="Z83" i="73"/>
  <c r="K443" i="73" s="1"/>
  <c r="G49" i="73"/>
  <c r="G389" i="73" s="1"/>
  <c r="B16" i="73"/>
  <c r="B309" i="73" s="1"/>
  <c r="F124" i="73"/>
  <c r="F558" i="73" s="1"/>
  <c r="I61" i="73"/>
  <c r="I401" i="73" s="1"/>
  <c r="X61" i="73"/>
  <c r="I374" i="73" s="1"/>
  <c r="H120" i="73"/>
  <c r="H554" i="73" s="1"/>
  <c r="W120" i="73"/>
  <c r="H527" i="73" s="1"/>
  <c r="K128" i="73"/>
  <c r="K562" i="73" s="1"/>
  <c r="K200" i="73"/>
  <c r="K726" i="73" s="1"/>
  <c r="H143" i="73"/>
  <c r="H622" i="73" s="1"/>
  <c r="W143" i="73"/>
  <c r="H595" i="73" s="1"/>
  <c r="C12" i="73"/>
  <c r="C305" i="73"/>
  <c r="I45" i="73"/>
  <c r="I385" i="73" s="1"/>
  <c r="X45" i="73"/>
  <c r="I358" i="73" s="1"/>
  <c r="C31" i="73"/>
  <c r="C324" i="73" s="1"/>
  <c r="Y41" i="109"/>
  <c r="Y22" i="109"/>
  <c r="U22" i="126"/>
  <c r="AG196" i="73"/>
  <c r="U3" i="126"/>
  <c r="AG177" i="73"/>
  <c r="C649" i="73" s="1"/>
  <c r="Y65" i="109"/>
  <c r="Y10" i="109"/>
  <c r="AI29" i="126"/>
  <c r="AH203" i="73"/>
  <c r="AR203" i="73" s="1"/>
  <c r="ED12" i="126"/>
  <c r="EO150" i="63"/>
  <c r="FS21" i="126"/>
  <c r="FF28" i="126"/>
  <c r="H124" i="73"/>
  <c r="H558" i="73" s="1"/>
  <c r="L61" i="73"/>
  <c r="L401" i="73" s="1"/>
  <c r="J27" i="73"/>
  <c r="J320" i="73" s="1"/>
  <c r="K196" i="73"/>
  <c r="K722" i="73" s="1"/>
  <c r="L28" i="73"/>
  <c r="L321" i="73" s="1"/>
  <c r="F87" i="73"/>
  <c r="F474" i="73" s="1"/>
  <c r="U87" i="73"/>
  <c r="F447" i="73" s="1"/>
  <c r="K120" i="73"/>
  <c r="K554" i="73" s="1"/>
  <c r="Z120" i="73"/>
  <c r="K527" i="73" s="1"/>
  <c r="G41" i="73"/>
  <c r="G381" i="73" s="1"/>
  <c r="L8" i="73"/>
  <c r="L301" i="73" s="1"/>
  <c r="C95" i="73"/>
  <c r="C482" i="73" s="1"/>
  <c r="D53" i="73"/>
  <c r="D393" i="73" s="1"/>
  <c r="F23" i="73"/>
  <c r="F316" i="73" s="1"/>
  <c r="X50" i="73"/>
  <c r="I363" i="73" s="1"/>
  <c r="I27" i="73"/>
  <c r="I320" i="73" s="1"/>
  <c r="X27" i="73"/>
  <c r="I293" i="73" s="1"/>
  <c r="AA42" i="73"/>
  <c r="L355" i="73" s="1"/>
  <c r="E19" i="73"/>
  <c r="E312" i="73" s="1"/>
  <c r="T19" i="73"/>
  <c r="E285" i="73" s="1"/>
  <c r="L82" i="73"/>
  <c r="L469" i="73" s="1"/>
  <c r="H11" i="73"/>
  <c r="H304" i="73" s="1"/>
  <c r="H99" i="73"/>
  <c r="H486" i="73" s="1"/>
  <c r="W99" i="73"/>
  <c r="H459" i="73" s="1"/>
  <c r="F143" i="73"/>
  <c r="F622" i="73" s="1"/>
  <c r="U143" i="73"/>
  <c r="F595" i="73" s="1"/>
  <c r="F19" i="73"/>
  <c r="F312" i="73" s="1"/>
  <c r="U19" i="73"/>
  <c r="F285" i="73" s="1"/>
  <c r="F79" i="73"/>
  <c r="F466" i="73" s="1"/>
  <c r="U79" i="73"/>
  <c r="F439" i="73" s="1"/>
  <c r="K62" i="73"/>
  <c r="K402" i="73" s="1"/>
  <c r="Z62" i="73"/>
  <c r="K375" i="73" s="1"/>
  <c r="K11" i="73"/>
  <c r="K304" i="73" s="1"/>
  <c r="F112" i="73"/>
  <c r="F546" i="73" s="1"/>
  <c r="H27" i="73"/>
  <c r="H320" i="73" s="1"/>
  <c r="W27" i="73"/>
  <c r="H293" i="73" s="1"/>
  <c r="L16" i="73"/>
  <c r="L309" i="73" s="1"/>
  <c r="F116" i="73"/>
  <c r="F550" i="73" s="1"/>
  <c r="C15" i="73"/>
  <c r="C308" i="73" s="1"/>
  <c r="R15" i="73"/>
  <c r="C281" i="73" s="1"/>
  <c r="H62" i="73"/>
  <c r="H402" i="73" s="1"/>
  <c r="K99" i="73"/>
  <c r="K486" i="73" s="1"/>
  <c r="Z99" i="73"/>
  <c r="K459" i="73" s="1"/>
  <c r="C184" i="73"/>
  <c r="C710" i="73" s="1"/>
  <c r="K15" i="73"/>
  <c r="K308" i="73" s="1"/>
  <c r="C485" i="73"/>
  <c r="AH6" i="65"/>
  <c r="AZ19" i="66"/>
  <c r="BJ30" i="126"/>
  <c r="BJ32" i="126"/>
  <c r="FR4" i="126"/>
  <c r="BI5" i="66" s="1"/>
  <c r="K32" i="123"/>
  <c r="W93" i="119"/>
  <c r="R32" i="110"/>
  <c r="T9" i="118"/>
  <c r="BC29" i="66"/>
  <c r="X67" i="110"/>
  <c r="AJ206" i="73"/>
  <c r="AJ208" i="73" s="1"/>
  <c r="I5" i="121"/>
  <c r="H25" i="127" s="1"/>
  <c r="AH4" i="66" s="1"/>
  <c r="L15" i="129"/>
  <c r="FS4" i="126"/>
  <c r="GG4" i="126" s="1"/>
  <c r="GF6" i="126"/>
  <c r="GC14" i="126"/>
  <c r="BF5" i="66"/>
  <c r="BH5" i="66" s="1"/>
  <c r="GD11" i="126"/>
  <c r="W85" i="119"/>
  <c r="BC9" i="66"/>
  <c r="AZ25" i="66"/>
  <c r="GC24" i="126"/>
  <c r="AZ10" i="66"/>
  <c r="GC9" i="126"/>
  <c r="BF12" i="66"/>
  <c r="GE11" i="126"/>
  <c r="BC19" i="66"/>
  <c r="BF14" i="66"/>
  <c r="GE13" i="126"/>
  <c r="AZ11" i="66"/>
  <c r="GC10" i="126"/>
  <c r="AZ27" i="66"/>
  <c r="GC26" i="126"/>
  <c r="BL5" i="66"/>
  <c r="GF17" i="126"/>
  <c r="BI18" i="66"/>
  <c r="BC23" i="66"/>
  <c r="GD22" i="126"/>
  <c r="BF8" i="66"/>
  <c r="GE7" i="126"/>
  <c r="BF22" i="66"/>
  <c r="GE21" i="126"/>
  <c r="BC13" i="66"/>
  <c r="GD12" i="126"/>
  <c r="BF27" i="66"/>
  <c r="GE26" i="126"/>
  <c r="AZ6" i="66"/>
  <c r="GC5" i="126"/>
  <c r="AZ30" i="66"/>
  <c r="GC29" i="126"/>
  <c r="BL22" i="66"/>
  <c r="BF15" i="66"/>
  <c r="BC30" i="66"/>
  <c r="GD29" i="126"/>
  <c r="GD9" i="126"/>
  <c r="GC12" i="126"/>
  <c r="AZ13" i="66"/>
  <c r="BC15" i="66"/>
  <c r="BC16" i="66"/>
  <c r="GD15" i="126"/>
  <c r="T97" i="62"/>
  <c r="T104" i="62"/>
  <c r="T100" i="62"/>
  <c r="T96" i="62"/>
  <c r="T99" i="62"/>
  <c r="T95" i="62"/>
  <c r="T103" i="62"/>
  <c r="T102" i="62"/>
  <c r="T98" i="62"/>
  <c r="T94" i="62"/>
  <c r="T101" i="62"/>
  <c r="T93" i="62"/>
  <c r="AQ206" i="73"/>
  <c r="M745" i="73" s="1"/>
  <c r="FE31" i="126"/>
  <c r="AJ17" i="126"/>
  <c r="AW20" i="126"/>
  <c r="BK19" i="126"/>
  <c r="BL19" i="126"/>
  <c r="AW24" i="126"/>
  <c r="I674" i="73"/>
  <c r="DA28" i="126"/>
  <c r="FS28" i="126" s="1"/>
  <c r="AW12" i="126"/>
  <c r="J169" i="73"/>
  <c r="J648" i="73" s="1"/>
  <c r="D107" i="73"/>
  <c r="D541" i="73" s="1"/>
  <c r="F107" i="73"/>
  <c r="F541" i="73" s="1"/>
  <c r="G107" i="73"/>
  <c r="G541" i="73" s="1"/>
  <c r="G127" i="73"/>
  <c r="J92" i="73"/>
  <c r="J479" i="73" s="1"/>
  <c r="J89" i="73"/>
  <c r="J476" i="73" s="1"/>
  <c r="BW32" i="126"/>
  <c r="F96" i="73"/>
  <c r="F483" i="73" s="1"/>
  <c r="E194" i="73"/>
  <c r="E720" i="73" s="1"/>
  <c r="T194" i="73"/>
  <c r="E693" i="73" s="1"/>
  <c r="GF14" i="126"/>
  <c r="BI15" i="66"/>
  <c r="T148" i="73"/>
  <c r="E600" i="73" s="1"/>
  <c r="BZ30" i="126"/>
  <c r="BZ32" i="126"/>
  <c r="ED8" i="126"/>
  <c r="G47" i="73"/>
  <c r="G387" i="73" s="1"/>
  <c r="H408" i="73"/>
  <c r="AR75" i="73"/>
  <c r="E107" i="73"/>
  <c r="E541" i="73" s="1"/>
  <c r="F47" i="73"/>
  <c r="F387" i="73" s="1"/>
  <c r="H339" i="73"/>
  <c r="I113" i="73"/>
  <c r="I547" i="73" s="1"/>
  <c r="I164" i="73"/>
  <c r="I643" i="73"/>
  <c r="H18" i="73"/>
  <c r="H311" i="73" s="1"/>
  <c r="D121" i="73"/>
  <c r="D555" i="73" s="1"/>
  <c r="E186" i="73"/>
  <c r="E712" i="73" s="1"/>
  <c r="T186" i="73"/>
  <c r="E685" i="73" s="1"/>
  <c r="E109" i="73"/>
  <c r="E543" i="73" s="1"/>
  <c r="E169" i="73"/>
  <c r="E648" i="73" s="1"/>
  <c r="I197" i="73"/>
  <c r="I723" i="73" s="1"/>
  <c r="B127" i="73"/>
  <c r="B561" i="73" s="1"/>
  <c r="I133" i="73"/>
  <c r="I567" i="73" s="1"/>
  <c r="ED4" i="126"/>
  <c r="F26" i="73"/>
  <c r="F319" i="73" s="1"/>
  <c r="I415" i="73"/>
  <c r="D125" i="73"/>
  <c r="D559" i="73" s="1"/>
  <c r="S125" i="73"/>
  <c r="D532" i="73" s="1"/>
  <c r="I110" i="73"/>
  <c r="I544" i="73" s="1"/>
  <c r="X110" i="73"/>
  <c r="I517" i="73" s="1"/>
  <c r="D93" i="73"/>
  <c r="D480" i="73" s="1"/>
  <c r="S93" i="73"/>
  <c r="D453" i="73" s="1"/>
  <c r="K185" i="73"/>
  <c r="K711" i="73" s="1"/>
  <c r="J21" i="73"/>
  <c r="J314" i="73" s="1"/>
  <c r="CN22" i="126"/>
  <c r="CJ30" i="126"/>
  <c r="CJ32" i="126"/>
  <c r="CN11" i="126"/>
  <c r="EQ30" i="126"/>
  <c r="EQ32" i="126"/>
  <c r="H15" i="126"/>
  <c r="T59" i="62"/>
  <c r="T60" i="62"/>
  <c r="T69" i="62"/>
  <c r="FO17" i="126"/>
  <c r="AR27" i="73"/>
  <c r="B266" i="73"/>
  <c r="C44" i="64"/>
  <c r="FQ22" i="126"/>
  <c r="FO20" i="126"/>
  <c r="B171" i="62"/>
  <c r="B174" i="62"/>
  <c r="B170" i="62"/>
  <c r="B166" i="62"/>
  <c r="B169" i="62"/>
  <c r="B165" i="62"/>
  <c r="B173" i="62"/>
  <c r="B172" i="62"/>
  <c r="B168" i="62"/>
  <c r="B164" i="62"/>
  <c r="B167" i="62"/>
  <c r="CM31" i="126"/>
  <c r="BK31" i="126"/>
  <c r="BK23" i="126"/>
  <c r="M108" i="73"/>
  <c r="D169" i="73"/>
  <c r="H411" i="73"/>
  <c r="H127" i="73"/>
  <c r="H561" i="73" s="1"/>
  <c r="W127" i="73"/>
  <c r="H534" i="73" s="1"/>
  <c r="J96" i="73"/>
  <c r="J483" i="73" s="1"/>
  <c r="F197" i="73"/>
  <c r="F723" i="73" s="1"/>
  <c r="K44" i="73"/>
  <c r="K384" i="73" s="1"/>
  <c r="K193" i="73"/>
  <c r="K719" i="73" s="1"/>
  <c r="H425" i="73"/>
  <c r="AR92" i="73"/>
  <c r="CN28" i="126"/>
  <c r="C108" i="73"/>
  <c r="C542" i="73" s="1"/>
  <c r="ES150" i="63"/>
  <c r="I107" i="73"/>
  <c r="I541" i="73" s="1"/>
  <c r="K346" i="73"/>
  <c r="AR60" i="73"/>
  <c r="L127" i="73"/>
  <c r="L561" i="73" s="1"/>
  <c r="K97" i="73"/>
  <c r="K484" i="73" s="1"/>
  <c r="S148" i="73"/>
  <c r="D600" i="73" s="1"/>
  <c r="I17" i="73"/>
  <c r="I310" i="73" s="1"/>
  <c r="X17" i="73"/>
  <c r="I283" i="73" s="1"/>
  <c r="D152" i="73"/>
  <c r="D631" i="73" s="1"/>
  <c r="ED3" i="126"/>
  <c r="DX30" i="126"/>
  <c r="K107" i="73"/>
  <c r="K541" i="73" s="1"/>
  <c r="K263" i="73"/>
  <c r="C127" i="73"/>
  <c r="C561" i="73" s="1"/>
  <c r="J109" i="73"/>
  <c r="J543" i="73" s="1"/>
  <c r="I73" i="73"/>
  <c r="I460" i="73" s="1"/>
  <c r="F160" i="73"/>
  <c r="F639" i="73" s="1"/>
  <c r="B32" i="126"/>
  <c r="H30" i="126"/>
  <c r="DB29" i="126"/>
  <c r="ER30" i="126"/>
  <c r="ER32" i="126"/>
  <c r="H416" i="73"/>
  <c r="H108" i="73"/>
  <c r="H542" i="73" s="1"/>
  <c r="I169" i="73"/>
  <c r="I648" i="73" s="1"/>
  <c r="E149" i="73"/>
  <c r="E628" i="73" s="1"/>
  <c r="T149" i="73"/>
  <c r="E601" i="73" s="1"/>
  <c r="C107" i="73"/>
  <c r="C541" i="73" s="1"/>
  <c r="L107" i="73"/>
  <c r="L541" i="73" s="1"/>
  <c r="I96" i="73"/>
  <c r="I483" i="73" s="1"/>
  <c r="AK208" i="73"/>
  <c r="G745" i="73"/>
  <c r="G56" i="73"/>
  <c r="G396" i="73" s="1"/>
  <c r="K26" i="73"/>
  <c r="K319" i="73" s="1"/>
  <c r="G22" i="73"/>
  <c r="G315" i="73" s="1"/>
  <c r="AL66" i="73"/>
  <c r="CN8" i="126"/>
  <c r="FP5" i="126"/>
  <c r="H14" i="126"/>
  <c r="FB30" i="126"/>
  <c r="FB32" i="126"/>
  <c r="H18" i="126"/>
  <c r="T63" i="62"/>
  <c r="T64" i="62"/>
  <c r="FP16" i="126"/>
  <c r="FO4" i="126"/>
  <c r="EC30" i="126"/>
  <c r="EC32" i="126"/>
  <c r="H26" i="126"/>
  <c r="B328" i="73"/>
  <c r="FE30" i="126"/>
  <c r="FE32" i="126"/>
  <c r="DO31" i="126"/>
  <c r="AQ34" i="73"/>
  <c r="EZ31" i="126"/>
  <c r="CL31" i="126"/>
  <c r="CL32" i="126"/>
  <c r="BK27" i="126"/>
  <c r="CM3" i="126"/>
  <c r="AW8" i="126"/>
  <c r="AX8" i="126"/>
  <c r="BK15" i="126"/>
  <c r="E127" i="73"/>
  <c r="E561" i="73" s="1"/>
  <c r="T127" i="73"/>
  <c r="E534" i="73" s="1"/>
  <c r="F73" i="73"/>
  <c r="F460" i="73" s="1"/>
  <c r="E157" i="73"/>
  <c r="E636" i="73" s="1"/>
  <c r="T157" i="73"/>
  <c r="E609" i="73" s="1"/>
  <c r="E26" i="73"/>
  <c r="E319" i="73" s="1"/>
  <c r="I10" i="73"/>
  <c r="I303" i="73" s="1"/>
  <c r="F129" i="73"/>
  <c r="F563" i="73" s="1"/>
  <c r="U129" i="73"/>
  <c r="F536" i="73" s="1"/>
  <c r="G30" i="73"/>
  <c r="G323" i="73" s="1"/>
  <c r="D117" i="73"/>
  <c r="D551" i="73" s="1"/>
  <c r="H335" i="73"/>
  <c r="EN120" i="63"/>
  <c r="D89" i="73"/>
  <c r="D476" i="73" s="1"/>
  <c r="I84" i="73"/>
  <c r="I471" i="73" s="1"/>
  <c r="L52" i="73"/>
  <c r="L392" i="73" s="1"/>
  <c r="DM30" i="126"/>
  <c r="L59" i="73"/>
  <c r="L399" i="73" s="1"/>
  <c r="L48" i="73"/>
  <c r="L388" i="73" s="1"/>
  <c r="AH32" i="126"/>
  <c r="AO34" i="73"/>
  <c r="K730" i="73" s="1"/>
  <c r="DX31" i="126"/>
  <c r="F108" i="73"/>
  <c r="F542" i="73" s="1"/>
  <c r="F169" i="73"/>
  <c r="F648" i="73" s="1"/>
  <c r="K244" i="73"/>
  <c r="AR5" i="73"/>
  <c r="H412" i="73"/>
  <c r="AR79" i="73"/>
  <c r="G48" i="73"/>
  <c r="G388" i="73" s="1"/>
  <c r="K108" i="73"/>
  <c r="K542" i="73" s="1"/>
  <c r="EL120" i="63"/>
  <c r="H107" i="73"/>
  <c r="H541" i="73" s="1"/>
  <c r="F127" i="73"/>
  <c r="F561" i="73" s="1"/>
  <c r="J127" i="73"/>
  <c r="J561" i="73" s="1"/>
  <c r="Y127" i="73"/>
  <c r="J534" i="73" s="1"/>
  <c r="EA32" i="126"/>
  <c r="BL31" i="126"/>
  <c r="G40" i="73"/>
  <c r="G380" i="73" s="1"/>
  <c r="AF4" i="65"/>
  <c r="AH4" i="65"/>
  <c r="AD4" i="65"/>
  <c r="B48" i="73"/>
  <c r="B388" i="73" s="1"/>
  <c r="FF7" i="126"/>
  <c r="AD32" i="126"/>
  <c r="ED24" i="126"/>
  <c r="T67" i="62"/>
  <c r="T61" i="62"/>
  <c r="T66" i="62"/>
  <c r="H8" i="126"/>
  <c r="B418" i="73"/>
  <c r="FF11" i="126"/>
  <c r="FF30" i="126"/>
  <c r="FR21" i="126"/>
  <c r="BK3" i="126"/>
  <c r="B97" i="62"/>
  <c r="B104" i="62"/>
  <c r="B100" i="62"/>
  <c r="B96" i="62"/>
  <c r="B99" i="62"/>
  <c r="B103" i="62"/>
  <c r="B95" i="62"/>
  <c r="B102" i="62"/>
  <c r="B98" i="62"/>
  <c r="B94" i="62"/>
  <c r="B101" i="62"/>
  <c r="B93" i="62"/>
  <c r="B62" i="62"/>
  <c r="B69" i="62"/>
  <c r="B65" i="62"/>
  <c r="B61" i="62"/>
  <c r="B68" i="62"/>
  <c r="B64" i="62"/>
  <c r="B58" i="62"/>
  <c r="B60" i="62"/>
  <c r="B67" i="62"/>
  <c r="B63" i="62"/>
  <c r="B59" i="62"/>
  <c r="B66" i="62"/>
  <c r="AQ136" i="73"/>
  <c r="M739" i="73" s="1"/>
  <c r="FC31" i="126"/>
  <c r="FC32" i="126"/>
  <c r="BK7" i="126"/>
  <c r="BL7" i="126"/>
  <c r="E662" i="73"/>
  <c r="AW16" i="126"/>
  <c r="F657" i="73"/>
  <c r="BK11" i="126"/>
  <c r="BL11" i="126"/>
  <c r="C31" i="124"/>
  <c r="G31" i="126"/>
  <c r="G32" i="126"/>
  <c r="K330" i="73"/>
  <c r="D648" i="73"/>
  <c r="G561" i="73"/>
  <c r="E93" i="73"/>
  <c r="E480" i="73" s="1"/>
  <c r="T93" i="73"/>
  <c r="E453" i="73" s="1"/>
  <c r="J93" i="73"/>
  <c r="J480" i="73" s="1"/>
  <c r="Y93" i="73"/>
  <c r="J453" i="73" s="1"/>
  <c r="B56" i="73"/>
  <c r="B396" i="73" s="1"/>
  <c r="J164" i="73"/>
  <c r="J643" i="73" s="1"/>
  <c r="J10" i="73"/>
  <c r="J303" i="73" s="1"/>
  <c r="F168" i="73"/>
  <c r="F647" i="73" s="1"/>
  <c r="J506" i="73"/>
  <c r="I419" i="73"/>
  <c r="K251" i="73"/>
  <c r="K169" i="73"/>
  <c r="K648" i="73" s="1"/>
  <c r="K127" i="73"/>
  <c r="K561" i="73" s="1"/>
  <c r="F88" i="73"/>
  <c r="F475" i="73" s="1"/>
  <c r="I193" i="73"/>
  <c r="I719" i="73" s="1"/>
  <c r="L44" i="73"/>
  <c r="L384" i="73" s="1"/>
  <c r="J18" i="73"/>
  <c r="J311" i="73" s="1"/>
  <c r="Y18" i="73"/>
  <c r="J284" i="73" s="1"/>
  <c r="D63" i="73"/>
  <c r="D403" i="73" s="1"/>
  <c r="J107" i="73"/>
  <c r="J541" i="73" s="1"/>
  <c r="K334" i="73"/>
  <c r="I127" i="73"/>
  <c r="I561" i="73" s="1"/>
  <c r="K89" i="73"/>
  <c r="K476" i="73" s="1"/>
  <c r="K55" i="73"/>
  <c r="K395" i="73" s="1"/>
  <c r="Z55" i="73"/>
  <c r="K368" i="73" s="1"/>
  <c r="BI9" i="66"/>
  <c r="GF8" i="126"/>
  <c r="F44" i="73"/>
  <c r="F384" i="73" s="1"/>
  <c r="G25" i="73"/>
  <c r="G318" i="73" s="1"/>
  <c r="V25" i="73"/>
  <c r="G291" i="73" s="1"/>
  <c r="I177" i="73"/>
  <c r="I703" i="73" s="1"/>
  <c r="H331" i="73"/>
  <c r="AR45" i="73"/>
  <c r="EM150" i="63"/>
  <c r="EQ120" i="63"/>
  <c r="D127" i="73"/>
  <c r="D561" i="73" s="1"/>
  <c r="S127" i="73"/>
  <c r="D534" i="73" s="1"/>
  <c r="F77" i="73"/>
  <c r="F464" i="73" s="1"/>
  <c r="U77" i="73"/>
  <c r="F437" i="73" s="1"/>
  <c r="E201" i="73"/>
  <c r="E727" i="73" s="1"/>
  <c r="BI30" i="66"/>
  <c r="GF29" i="126"/>
  <c r="AF32" i="126"/>
  <c r="I201" i="73"/>
  <c r="I727" i="73" s="1"/>
  <c r="X201" i="73"/>
  <c r="I700" i="73" s="1"/>
  <c r="BI17" i="66"/>
  <c r="GF16" i="126"/>
  <c r="H31" i="126"/>
  <c r="FD30" i="126"/>
  <c r="FD32" i="126"/>
  <c r="EB30" i="126"/>
  <c r="EB32" i="126"/>
  <c r="T62" i="62"/>
  <c r="T68" i="62"/>
  <c r="H25" i="126"/>
  <c r="H5" i="126"/>
  <c r="C24" i="125"/>
  <c r="I654" i="73"/>
  <c r="DA8" i="126"/>
  <c r="J8" i="124"/>
  <c r="B336" i="73"/>
  <c r="AR50" i="73"/>
  <c r="V17" i="126"/>
  <c r="BC27" i="66"/>
  <c r="GD26" i="126"/>
  <c r="V7" i="126"/>
  <c r="R30" i="126"/>
  <c r="R32" i="126"/>
  <c r="C429" i="73"/>
  <c r="T32" i="126"/>
  <c r="C664" i="73"/>
  <c r="BC4" i="66"/>
  <c r="GD3" i="126"/>
  <c r="S32" i="126"/>
  <c r="C503" i="73"/>
  <c r="V19" i="126"/>
  <c r="AG134" i="73"/>
  <c r="AW24" i="66"/>
  <c r="AY24" i="66" s="1"/>
  <c r="GB23" i="126"/>
  <c r="AW19" i="66"/>
  <c r="GB18" i="126"/>
  <c r="AW7" i="66"/>
  <c r="AW8" i="66"/>
  <c r="GB7" i="126"/>
  <c r="AW16" i="66"/>
  <c r="GB15" i="126"/>
  <c r="AW26" i="66"/>
  <c r="GB25" i="126"/>
  <c r="AW6" i="66"/>
  <c r="AY6" i="66" s="1"/>
  <c r="GB5" i="126"/>
  <c r="AW21" i="66"/>
  <c r="GB20" i="126"/>
  <c r="AW10" i="66"/>
  <c r="GB9" i="126"/>
  <c r="AW28" i="66"/>
  <c r="GB27" i="126"/>
  <c r="AW30" i="66"/>
  <c r="AW13" i="66"/>
  <c r="GB12" i="126"/>
  <c r="AW14" i="66"/>
  <c r="GB13" i="126"/>
  <c r="AW9" i="66"/>
  <c r="GB8" i="126"/>
  <c r="AW20" i="66"/>
  <c r="GB19" i="126"/>
  <c r="AW15" i="66"/>
  <c r="GB14" i="126"/>
  <c r="AW11" i="66"/>
  <c r="GB10" i="126"/>
  <c r="AW17" i="66"/>
  <c r="GB16" i="126"/>
  <c r="AW4" i="66"/>
  <c r="GB3" i="126"/>
  <c r="J478" i="73"/>
  <c r="L554" i="73"/>
  <c r="F486" i="73"/>
  <c r="K321" i="73"/>
  <c r="C313" i="73"/>
  <c r="E542" i="73"/>
  <c r="G317" i="73"/>
  <c r="K394" i="73"/>
  <c r="L566" i="73"/>
  <c r="F394" i="73"/>
  <c r="G470" i="73"/>
  <c r="G546" i="73"/>
  <c r="D566" i="73"/>
  <c r="B486" i="73"/>
  <c r="J710" i="73"/>
  <c r="H723" i="73"/>
  <c r="L723" i="73"/>
  <c r="H306" i="73"/>
  <c r="B307" i="73"/>
  <c r="C317" i="73"/>
  <c r="D321" i="73"/>
  <c r="E323" i="73"/>
  <c r="F303" i="73"/>
  <c r="K310" i="73"/>
  <c r="I322" i="73"/>
  <c r="F307" i="73"/>
  <c r="H310" i="73"/>
  <c r="H319" i="73"/>
  <c r="F302" i="73"/>
  <c r="I318" i="73"/>
  <c r="H321" i="73"/>
  <c r="K318" i="73"/>
  <c r="B315" i="73"/>
  <c r="C380" i="73"/>
  <c r="D392" i="73"/>
  <c r="H483" i="73"/>
  <c r="L468" i="73"/>
  <c r="C476" i="73"/>
  <c r="C728" i="73"/>
  <c r="H552" i="73"/>
  <c r="L706" i="73"/>
  <c r="B544" i="73"/>
  <c r="J726" i="73"/>
  <c r="F478" i="73"/>
  <c r="G462" i="73"/>
  <c r="I470" i="73"/>
  <c r="D558" i="73"/>
  <c r="K386" i="73"/>
  <c r="L542" i="73"/>
  <c r="J566" i="73"/>
  <c r="E475" i="73"/>
  <c r="C384" i="73"/>
  <c r="B310" i="73"/>
  <c r="D482" i="73"/>
  <c r="I546" i="73"/>
  <c r="G622" i="73"/>
  <c r="F321" i="73"/>
  <c r="L466" i="73"/>
  <c r="F567" i="73"/>
  <c r="G476" i="73"/>
  <c r="C302" i="73"/>
  <c r="L307" i="73"/>
  <c r="L480" i="73"/>
  <c r="L708" i="73"/>
  <c r="C403" i="73"/>
  <c r="C310" i="73"/>
  <c r="L313" i="73"/>
  <c r="F314" i="73"/>
  <c r="L560" i="73"/>
  <c r="L640" i="73"/>
  <c r="B728" i="73"/>
  <c r="E313" i="73"/>
  <c r="L555" i="73"/>
  <c r="J315" i="73"/>
  <c r="H380" i="73"/>
  <c r="I714" i="73"/>
  <c r="I718" i="73"/>
  <c r="F470" i="73"/>
  <c r="H313" i="73"/>
  <c r="G638" i="73"/>
  <c r="I646" i="73"/>
  <c r="C387" i="73"/>
  <c r="F310" i="73"/>
  <c r="C383" i="73"/>
  <c r="B471" i="73"/>
  <c r="C483" i="73"/>
  <c r="C563" i="73"/>
  <c r="G464" i="73"/>
  <c r="H628" i="73"/>
  <c r="H712" i="73"/>
  <c r="E317" i="73"/>
  <c r="I466" i="73"/>
  <c r="I550" i="73"/>
  <c r="G566" i="73"/>
  <c r="J470" i="73"/>
  <c r="E470" i="73"/>
  <c r="H632" i="73"/>
  <c r="C567" i="73"/>
  <c r="F711" i="73"/>
  <c r="K315" i="73"/>
  <c r="J392" i="73"/>
  <c r="K474" i="73"/>
  <c r="D313" i="73"/>
  <c r="B387" i="73"/>
  <c r="E647" i="73"/>
  <c r="G305" i="73"/>
  <c r="F323" i="73"/>
  <c r="D466" i="73"/>
  <c r="I486" i="73"/>
  <c r="G307" i="73"/>
  <c r="I388" i="73"/>
  <c r="G628" i="73"/>
  <c r="H631" i="73"/>
  <c r="I558" i="73"/>
  <c r="I634" i="73"/>
  <c r="E550" i="73"/>
  <c r="G554" i="73"/>
  <c r="I562" i="73"/>
  <c r="J482" i="73"/>
  <c r="B562" i="73"/>
  <c r="H715" i="73"/>
  <c r="K311" i="73"/>
  <c r="L544" i="73"/>
  <c r="B712" i="73"/>
  <c r="K483" i="73"/>
  <c r="I384" i="73"/>
  <c r="G474" i="73"/>
  <c r="I482" i="73"/>
  <c r="L394" i="73"/>
  <c r="G630" i="73"/>
  <c r="G727" i="73"/>
  <c r="B303" i="73"/>
  <c r="D388" i="73"/>
  <c r="H395" i="73"/>
  <c r="F311" i="73"/>
  <c r="C472" i="73"/>
  <c r="C552" i="73"/>
  <c r="L724" i="73"/>
  <c r="L467" i="73"/>
  <c r="C475" i="73"/>
  <c r="L547" i="73"/>
  <c r="G708" i="73"/>
  <c r="G626" i="73"/>
  <c r="I383" i="73"/>
  <c r="G475" i="73"/>
  <c r="G555" i="73"/>
  <c r="G391" i="73"/>
  <c r="K307" i="73"/>
  <c r="H392" i="73"/>
  <c r="H464" i="73"/>
  <c r="L317" i="73"/>
  <c r="E314" i="73"/>
  <c r="C399" i="73"/>
  <c r="J722" i="73"/>
  <c r="B466" i="73"/>
  <c r="L478" i="73"/>
  <c r="J486" i="73"/>
  <c r="L638" i="73"/>
  <c r="J394" i="73"/>
  <c r="K302" i="73"/>
  <c r="F299" i="73"/>
  <c r="I319" i="73"/>
  <c r="D384" i="73"/>
  <c r="L400" i="73"/>
  <c r="C463" i="73"/>
  <c r="G306" i="73"/>
  <c r="C639" i="73"/>
  <c r="G631" i="73"/>
  <c r="B472" i="73"/>
  <c r="L704" i="73"/>
  <c r="L322" i="73"/>
  <c r="H383" i="73"/>
  <c r="G479" i="73"/>
  <c r="I321" i="73"/>
  <c r="F315" i="73"/>
  <c r="L642" i="73"/>
  <c r="L714" i="73"/>
  <c r="E299" i="73"/>
  <c r="G644" i="73"/>
  <c r="B639" i="73"/>
  <c r="G484" i="73"/>
  <c r="E642" i="73"/>
  <c r="C306" i="73"/>
  <c r="E476" i="73"/>
  <c r="I323" i="73"/>
  <c r="I463" i="73"/>
  <c r="F322" i="73"/>
  <c r="D301" i="73"/>
  <c r="F462" i="73"/>
  <c r="I726" i="73"/>
  <c r="C704" i="73"/>
  <c r="H708" i="73"/>
  <c r="L715" i="73"/>
  <c r="C723" i="73"/>
  <c r="H711" i="73"/>
  <c r="H727" i="73"/>
  <c r="B716" i="73"/>
  <c r="L728" i="73"/>
  <c r="K723" i="73"/>
  <c r="L710" i="73"/>
  <c r="B714" i="73"/>
  <c r="G707" i="73"/>
  <c r="H724" i="73"/>
  <c r="H707" i="73"/>
  <c r="C708" i="73"/>
  <c r="C724" i="73"/>
  <c r="G714" i="73"/>
  <c r="C703" i="73"/>
  <c r="B256" i="73"/>
  <c r="W95" i="119"/>
  <c r="AF206" i="73"/>
  <c r="B745" i="73" s="1"/>
  <c r="B246" i="73"/>
  <c r="B260" i="73"/>
  <c r="F136" i="73"/>
  <c r="F741" i="73" s="1"/>
  <c r="U136" i="73"/>
  <c r="M136" i="73"/>
  <c r="AB136" i="73"/>
  <c r="D102" i="73"/>
  <c r="D738" i="73" s="1"/>
  <c r="J136" i="73"/>
  <c r="Y136" i="73"/>
  <c r="D136" i="73"/>
  <c r="S136" i="73"/>
  <c r="AB172" i="73"/>
  <c r="C102" i="73"/>
  <c r="C738" i="73" s="1"/>
  <c r="L102" i="73"/>
  <c r="L738" i="73" s="1"/>
  <c r="AA102" i="73"/>
  <c r="C136" i="73"/>
  <c r="R136" i="73"/>
  <c r="K102" i="73"/>
  <c r="K738" i="73" s="1"/>
  <c r="Z102" i="73"/>
  <c r="M102" i="73"/>
  <c r="B102" i="73"/>
  <c r="B738" i="73" s="1"/>
  <c r="Q102" i="73"/>
  <c r="B136" i="73"/>
  <c r="Q136" i="73"/>
  <c r="B740" i="73" s="1"/>
  <c r="H102" i="73"/>
  <c r="H738" i="73" s="1"/>
  <c r="M34" i="73"/>
  <c r="N34" i="73" s="1"/>
  <c r="F102" i="73"/>
  <c r="F738" i="73" s="1"/>
  <c r="M68" i="73"/>
  <c r="N68" i="73" s="1"/>
  <c r="O68" i="73" s="1"/>
  <c r="K136" i="73"/>
  <c r="K741" i="73" s="1"/>
  <c r="Z136" i="73"/>
  <c r="M206" i="73"/>
  <c r="N206" i="73" s="1"/>
  <c r="AB206" i="73"/>
  <c r="M746" i="73" s="1"/>
  <c r="S172" i="73"/>
  <c r="D743" i="73" s="1"/>
  <c r="F68" i="73"/>
  <c r="U68" i="73"/>
  <c r="D206" i="73"/>
  <c r="S206" i="73"/>
  <c r="D746" i="73" s="1"/>
  <c r="H76" i="73"/>
  <c r="H463" i="73" s="1"/>
  <c r="D184" i="73"/>
  <c r="D108" i="73"/>
  <c r="D542" i="73" s="1"/>
  <c r="J9" i="73"/>
  <c r="J302" i="73" s="1"/>
  <c r="Y9" i="73"/>
  <c r="J275" i="73" s="1"/>
  <c r="L157" i="73"/>
  <c r="L636" i="73" s="1"/>
  <c r="AA157" i="73"/>
  <c r="L609" i="73" s="1"/>
  <c r="B189" i="73"/>
  <c r="B715" i="73" s="1"/>
  <c r="H110" i="73"/>
  <c r="H544" i="73" s="1"/>
  <c r="W110" i="73"/>
  <c r="H517" i="73" s="1"/>
  <c r="D59" i="73"/>
  <c r="D399" i="73" s="1"/>
  <c r="L51" i="73"/>
  <c r="L391" i="73" s="1"/>
  <c r="C201" i="73"/>
  <c r="C727" i="73" s="1"/>
  <c r="K63" i="73"/>
  <c r="K403" i="73" s="1"/>
  <c r="K121" i="73"/>
  <c r="K555" i="73" s="1"/>
  <c r="B143" i="73"/>
  <c r="B622" i="73" s="1"/>
  <c r="Q143" i="73"/>
  <c r="B595" i="73" s="1"/>
  <c r="B80" i="73"/>
  <c r="B467" i="73" s="1"/>
  <c r="B144" i="73"/>
  <c r="B623" i="73" s="1"/>
  <c r="I180" i="73"/>
  <c r="I706" i="73" s="1"/>
  <c r="L164" i="73"/>
  <c r="L643" i="73" s="1"/>
  <c r="D17" i="73"/>
  <c r="D310" i="73" s="1"/>
  <c r="S17" i="73"/>
  <c r="D283" i="73" s="1"/>
  <c r="B51" i="73"/>
  <c r="B391" i="73" s="1"/>
  <c r="I143" i="73"/>
  <c r="I622" i="73" s="1"/>
  <c r="X143" i="73"/>
  <c r="I595" i="73" s="1"/>
  <c r="F12" i="73"/>
  <c r="F305" i="73" s="1"/>
  <c r="L169" i="73"/>
  <c r="L648" i="73" s="1"/>
  <c r="J28" i="73"/>
  <c r="J321" i="73" s="1"/>
  <c r="V172" i="73"/>
  <c r="E102" i="73"/>
  <c r="E738" i="73" s="1"/>
  <c r="E34" i="73"/>
  <c r="B34" i="73"/>
  <c r="B732" i="73" s="1"/>
  <c r="U172" i="73"/>
  <c r="T172" i="73"/>
  <c r="Z172" i="73"/>
  <c r="K743" i="73" s="1"/>
  <c r="H136" i="73"/>
  <c r="H741" i="73" s="1"/>
  <c r="W136" i="73"/>
  <c r="L136" i="73"/>
  <c r="AA136" i="73"/>
  <c r="C206" i="73"/>
  <c r="R206" i="73"/>
  <c r="C746" i="73" s="1"/>
  <c r="L68" i="73"/>
  <c r="L735" i="73" s="1"/>
  <c r="I68" i="73"/>
  <c r="I735" i="73" s="1"/>
  <c r="X68" i="73"/>
  <c r="G206" i="73"/>
  <c r="V206" i="73"/>
  <c r="G746" i="73" s="1"/>
  <c r="E206" i="73"/>
  <c r="T206" i="73"/>
  <c r="E746" i="73" s="1"/>
  <c r="K206" i="73"/>
  <c r="Z206" i="73"/>
  <c r="K746" i="73" s="1"/>
  <c r="K34" i="73"/>
  <c r="I206" i="73"/>
  <c r="I747" i="73" s="1"/>
  <c r="X206" i="73"/>
  <c r="I746" i="73" s="1"/>
  <c r="R67" i="110"/>
  <c r="B121" i="73"/>
  <c r="L153" i="73"/>
  <c r="L632" i="73" s="1"/>
  <c r="D75" i="73"/>
  <c r="D462" i="73" s="1"/>
  <c r="S75" i="73"/>
  <c r="D435" i="73" s="1"/>
  <c r="C168" i="73"/>
  <c r="C647" i="73" s="1"/>
  <c r="D188" i="73"/>
  <c r="D714" i="73" s="1"/>
  <c r="C125" i="73"/>
  <c r="C559" i="73" s="1"/>
  <c r="B201" i="73"/>
  <c r="B727" i="73" s="1"/>
  <c r="E14" i="73"/>
  <c r="E307" i="73" s="1"/>
  <c r="K189" i="73"/>
  <c r="K715" i="73" s="1"/>
  <c r="B133" i="73"/>
  <c r="B567" i="73" s="1"/>
  <c r="H30" i="73"/>
  <c r="H323" i="73" s="1"/>
  <c r="B112" i="73"/>
  <c r="B546" i="73" s="1"/>
  <c r="B145" i="73"/>
  <c r="B117" i="73"/>
  <c r="B551" i="73" s="1"/>
  <c r="B54" i="73"/>
  <c r="B394" i="73" s="1"/>
  <c r="B97" i="73"/>
  <c r="B484" i="73" s="1"/>
  <c r="G163" i="73"/>
  <c r="G642" i="73" s="1"/>
  <c r="V163" i="73"/>
  <c r="G615" i="73" s="1"/>
  <c r="I46" i="73"/>
  <c r="I386" i="73" s="1"/>
  <c r="G202" i="73"/>
  <c r="G728" i="73" s="1"/>
  <c r="V202" i="73"/>
  <c r="G701" i="73" s="1"/>
  <c r="H92" i="73"/>
  <c r="H479" i="73" s="1"/>
  <c r="I56" i="73"/>
  <c r="I396" i="73" s="1"/>
  <c r="X172" i="73"/>
  <c r="I743" i="73" s="1"/>
  <c r="C68" i="73"/>
  <c r="C735" i="73" s="1"/>
  <c r="E68" i="73"/>
  <c r="E735" i="73" s="1"/>
  <c r="W172" i="73"/>
  <c r="C34" i="73"/>
  <c r="C732" i="73" s="1"/>
  <c r="L34" i="73"/>
  <c r="L732" i="73" s="1"/>
  <c r="J68" i="73"/>
  <c r="L206" i="73"/>
  <c r="L747" i="73" s="1"/>
  <c r="AA206" i="73"/>
  <c r="L746" i="73" s="1"/>
  <c r="F34" i="73"/>
  <c r="F732" i="73" s="1"/>
  <c r="G136" i="73"/>
  <c r="G741" i="73" s="1"/>
  <c r="V136" i="73"/>
  <c r="W87" i="119"/>
  <c r="G68" i="73"/>
  <c r="V68" i="73"/>
  <c r="D68" i="73"/>
  <c r="D735" i="73" s="1"/>
  <c r="C172" i="73"/>
  <c r="C744" i="73" s="1"/>
  <c r="R172" i="73"/>
  <c r="H34" i="73"/>
  <c r="H732" i="73" s="1"/>
  <c r="Y172" i="73"/>
  <c r="J206" i="73"/>
  <c r="Y206" i="73"/>
  <c r="J746" i="73" s="1"/>
  <c r="I102" i="73"/>
  <c r="I738" i="73"/>
  <c r="J102" i="73"/>
  <c r="J738" i="73" s="1"/>
  <c r="I136" i="73"/>
  <c r="I741" i="73" s="1"/>
  <c r="X136" i="73"/>
  <c r="C152" i="73"/>
  <c r="C631" i="73" s="1"/>
  <c r="B113" i="73"/>
  <c r="B547" i="73" s="1"/>
  <c r="B55" i="73"/>
  <c r="B395" i="73" s="1"/>
  <c r="J43" i="73"/>
  <c r="J383" i="73" s="1"/>
  <c r="B26" i="73"/>
  <c r="B319" i="73" s="1"/>
  <c r="C109" i="73"/>
  <c r="C543" i="73" s="1"/>
  <c r="I9" i="73"/>
  <c r="I302" i="73" s="1"/>
  <c r="X9" i="73"/>
  <c r="I275" i="73" s="1"/>
  <c r="J84" i="73"/>
  <c r="J471" i="73" s="1"/>
  <c r="Y84" i="73"/>
  <c r="J444" i="73" s="1"/>
  <c r="H12" i="73"/>
  <c r="H305" i="73" s="1"/>
  <c r="B165" i="73"/>
  <c r="B644" i="73" s="1"/>
  <c r="Q165" i="73"/>
  <c r="B617" i="73" s="1"/>
  <c r="E92" i="73"/>
  <c r="E479" i="73" s="1"/>
  <c r="D62" i="73"/>
  <c r="D402" i="73" s="1"/>
  <c r="D120" i="73"/>
  <c r="D554" i="73" s="1"/>
  <c r="S120" i="73"/>
  <c r="D527" i="73" s="1"/>
  <c r="B184" i="73"/>
  <c r="B710" i="73" s="1"/>
  <c r="K47" i="73"/>
  <c r="K387" i="73" s="1"/>
  <c r="E12" i="73"/>
  <c r="E305" i="73" s="1"/>
  <c r="C25" i="73"/>
  <c r="C318" i="73" s="1"/>
  <c r="R25" i="73"/>
  <c r="C291" i="73" s="1"/>
  <c r="G76" i="73"/>
  <c r="G463" i="73" s="1"/>
  <c r="C48" i="73"/>
  <c r="C388" i="73" s="1"/>
  <c r="H206" i="73"/>
  <c r="H747" i="73" s="1"/>
  <c r="W206" i="73"/>
  <c r="H746" i="73" s="1"/>
  <c r="F206" i="73"/>
  <c r="U206" i="73"/>
  <c r="F746" i="73" s="1"/>
  <c r="H68" i="73"/>
  <c r="B68" i="73"/>
  <c r="B735" i="73" s="1"/>
  <c r="Q68" i="73"/>
  <c r="G34" i="73"/>
  <c r="G732" i="73" s="1"/>
  <c r="B172" i="73"/>
  <c r="B744" i="73" s="1"/>
  <c r="Q172" i="73"/>
  <c r="G102" i="73"/>
  <c r="D34" i="73"/>
  <c r="D732" i="73" s="1"/>
  <c r="B555" i="73"/>
  <c r="J34" i="73"/>
  <c r="J732" i="73" s="1"/>
  <c r="W88" i="119"/>
  <c r="G31" i="66"/>
  <c r="T65" i="119"/>
  <c r="AA172" i="73"/>
  <c r="B206" i="73"/>
  <c r="Q206" i="73"/>
  <c r="B746" i="73" s="1"/>
  <c r="E136" i="73"/>
  <c r="T136" i="73"/>
  <c r="I151" i="73"/>
  <c r="I630" i="73" s="1"/>
  <c r="J87" i="73"/>
  <c r="J474" i="73" s="1"/>
  <c r="E55" i="73"/>
  <c r="E395" i="73" s="1"/>
  <c r="J108" i="73"/>
  <c r="J542" i="73" s="1"/>
  <c r="B46" i="73"/>
  <c r="B386" i="73" s="1"/>
  <c r="G194" i="73"/>
  <c r="G720" i="73" s="1"/>
  <c r="V194" i="73"/>
  <c r="L128" i="73"/>
  <c r="L562" i="73" s="1"/>
  <c r="G144" i="73"/>
  <c r="G623" i="73" s="1"/>
  <c r="B167" i="73"/>
  <c r="B646" i="73" s="1"/>
  <c r="L155" i="73"/>
  <c r="L634" i="73" s="1"/>
  <c r="AA155" i="73"/>
  <c r="L607" i="73" s="1"/>
  <c r="Q148" i="73"/>
  <c r="B600" i="73" s="1"/>
  <c r="H80" i="73"/>
  <c r="H467" i="73" s="1"/>
  <c r="B92" i="73"/>
  <c r="B479" i="73" s="1"/>
  <c r="I22" i="73"/>
  <c r="I315" i="73" s="1"/>
  <c r="U148" i="73"/>
  <c r="F193" i="73"/>
  <c r="F719" i="73" s="1"/>
  <c r="H121" i="73"/>
  <c r="H555" i="73" s="1"/>
  <c r="K30" i="73"/>
  <c r="K323" i="73" s="1"/>
  <c r="B88" i="73"/>
  <c r="B475" i="73" s="1"/>
  <c r="B126" i="73"/>
  <c r="B560" i="73" s="1"/>
  <c r="Q126" i="73"/>
  <c r="B533" i="73" s="1"/>
  <c r="B28" i="73"/>
  <c r="B321" i="73" s="1"/>
  <c r="D143" i="73"/>
  <c r="D622" i="73" s="1"/>
  <c r="S143" i="73"/>
  <c r="D595" i="73" s="1"/>
  <c r="B180" i="73"/>
  <c r="B706" i="73" s="1"/>
  <c r="M332" i="73"/>
  <c r="M34" i="122"/>
  <c r="M36" i="122" s="1"/>
  <c r="X67" i="109"/>
  <c r="C36" i="125"/>
  <c r="T5" i="118"/>
  <c r="X67" i="108"/>
  <c r="R88" i="64"/>
  <c r="T88" i="64"/>
  <c r="R86" i="64"/>
  <c r="R90" i="64"/>
  <c r="T90" i="64"/>
  <c r="R85" i="64"/>
  <c r="T85" i="64"/>
  <c r="R89" i="64"/>
  <c r="T89" i="64"/>
  <c r="R87" i="64"/>
  <c r="T86" i="64"/>
  <c r="R91" i="64"/>
  <c r="N109" i="62"/>
  <c r="AF208" i="73"/>
  <c r="T10" i="118"/>
  <c r="H36" i="125"/>
  <c r="G31" i="124"/>
  <c r="G34" i="125"/>
  <c r="F673" i="73"/>
  <c r="G28" i="124"/>
  <c r="O28" i="124" s="1"/>
  <c r="C656" i="73"/>
  <c r="D10" i="124"/>
  <c r="D20" i="124"/>
  <c r="F665" i="73"/>
  <c r="G18" i="124"/>
  <c r="G21" i="125" s="1"/>
  <c r="E670" i="73"/>
  <c r="F23" i="124"/>
  <c r="D655" i="73"/>
  <c r="E9" i="124"/>
  <c r="E12" i="125"/>
  <c r="J27" i="124"/>
  <c r="G11" i="124"/>
  <c r="G14" i="125" s="1"/>
  <c r="F661" i="73"/>
  <c r="G13" i="124"/>
  <c r="G16" i="125"/>
  <c r="E29" i="124"/>
  <c r="R67" i="107"/>
  <c r="F669" i="73"/>
  <c r="G25" i="124"/>
  <c r="G7" i="124"/>
  <c r="G10" i="125"/>
  <c r="F16" i="124"/>
  <c r="F19" i="125"/>
  <c r="D22" i="124"/>
  <c r="D25" i="125" s="1"/>
  <c r="X32" i="107"/>
  <c r="D3" i="124"/>
  <c r="R32" i="109"/>
  <c r="R67" i="112"/>
  <c r="X67" i="107"/>
  <c r="AG206" i="73"/>
  <c r="F31" i="124"/>
  <c r="F34" i="125"/>
  <c r="D663" i="73"/>
  <c r="E17" i="124"/>
  <c r="C652" i="73"/>
  <c r="D5" i="124"/>
  <c r="O5" i="124" s="1"/>
  <c r="P5" i="124" s="1"/>
  <c r="H649" i="73"/>
  <c r="I3" i="124"/>
  <c r="I6" i="125" s="1"/>
  <c r="R67" i="108"/>
  <c r="F8" i="124"/>
  <c r="X32" i="109"/>
  <c r="D659" i="73"/>
  <c r="E15" i="124"/>
  <c r="E18" i="125"/>
  <c r="R67" i="109"/>
  <c r="Y67" i="109"/>
  <c r="E666" i="73"/>
  <c r="F19" i="124"/>
  <c r="F22" i="125"/>
  <c r="C672" i="73"/>
  <c r="D26" i="124"/>
  <c r="D14" i="124"/>
  <c r="D17" i="125" s="1"/>
  <c r="R32" i="107"/>
  <c r="D671" i="73"/>
  <c r="E24" i="124"/>
  <c r="E27" i="125"/>
  <c r="E658" i="73"/>
  <c r="F12" i="124"/>
  <c r="N12" i="73"/>
  <c r="M305" i="73"/>
  <c r="M321" i="73"/>
  <c r="N28" i="73"/>
  <c r="C34" i="125"/>
  <c r="B245" i="73"/>
  <c r="C25" i="125"/>
  <c r="D33" i="65"/>
  <c r="C27" i="125"/>
  <c r="E33" i="65"/>
  <c r="B569" i="73"/>
  <c r="C18" i="125"/>
  <c r="B488" i="73"/>
  <c r="P34" i="121"/>
  <c r="P36" i="121"/>
  <c r="B407" i="73"/>
  <c r="C32" i="125"/>
  <c r="C29" i="125"/>
  <c r="FS150" i="63"/>
  <c r="FF150" i="63"/>
  <c r="H569" i="73"/>
  <c r="N46" i="73"/>
  <c r="O46" i="73" s="1"/>
  <c r="M386" i="73"/>
  <c r="M18" i="125"/>
  <c r="AJ34" i="121"/>
  <c r="AJ36" i="121"/>
  <c r="FS120" i="63"/>
  <c r="FF120" i="63"/>
  <c r="M313" i="73"/>
  <c r="N20" i="73"/>
  <c r="J546" i="73"/>
  <c r="M494" i="73"/>
  <c r="M337" i="73"/>
  <c r="FO60" i="63"/>
  <c r="FB60" i="63"/>
  <c r="FM180" i="63"/>
  <c r="EZ180" i="63"/>
  <c r="I710" i="73"/>
  <c r="FS90" i="63"/>
  <c r="FF90" i="63"/>
  <c r="M303" i="73"/>
  <c r="N10" i="73"/>
  <c r="EZ150" i="63"/>
  <c r="FM150" i="63"/>
  <c r="EZ120" i="63"/>
  <c r="FM120" i="63"/>
  <c r="I462" i="73"/>
  <c r="I7" i="121"/>
  <c r="M7" i="121" s="1"/>
  <c r="M402" i="73"/>
  <c r="N62" i="73"/>
  <c r="O62" i="73" s="1"/>
  <c r="M255" i="73"/>
  <c r="AE34" i="122"/>
  <c r="AE36" i="122" s="1"/>
  <c r="FR180" i="63"/>
  <c r="FE180" i="63"/>
  <c r="FM90" i="63"/>
  <c r="EZ90" i="63"/>
  <c r="FF180" i="63"/>
  <c r="FS180" i="63"/>
  <c r="FR90" i="63"/>
  <c r="FE90" i="63"/>
  <c r="N54" i="73"/>
  <c r="O54" i="73" s="1"/>
  <c r="M394" i="73"/>
  <c r="M252" i="73"/>
  <c r="N22" i="125"/>
  <c r="M586" i="73"/>
  <c r="AR161" i="73"/>
  <c r="T16" i="118"/>
  <c r="M730" i="73"/>
  <c r="AQ170" i="73"/>
  <c r="N74" i="62"/>
  <c r="N16" i="125"/>
  <c r="N31" i="125"/>
  <c r="N30" i="125"/>
  <c r="N14" i="125"/>
  <c r="N7" i="125"/>
  <c r="M649" i="73"/>
  <c r="N28" i="125"/>
  <c r="N19" i="125"/>
  <c r="N26" i="125"/>
  <c r="M406" i="73"/>
  <c r="N25" i="125"/>
  <c r="AR157" i="73"/>
  <c r="AR166" i="73"/>
  <c r="D35" i="118"/>
  <c r="AJ35" i="122"/>
  <c r="AA33" i="65"/>
  <c r="Z33" i="65"/>
  <c r="N13" i="125"/>
  <c r="N24" i="125"/>
  <c r="N9" i="125"/>
  <c r="N6" i="125"/>
  <c r="M30" i="125"/>
  <c r="M14" i="125"/>
  <c r="M23" i="125"/>
  <c r="M8" i="125"/>
  <c r="M10" i="125"/>
  <c r="L650" i="73"/>
  <c r="M17" i="125"/>
  <c r="M26" i="125"/>
  <c r="M28" i="125"/>
  <c r="K579" i="73"/>
  <c r="L7" i="125"/>
  <c r="L26" i="125"/>
  <c r="L32" i="125"/>
  <c r="L24" i="125"/>
  <c r="L31" i="125"/>
  <c r="L14" i="125"/>
  <c r="L10" i="125"/>
  <c r="V33" i="65"/>
  <c r="AB32" i="65"/>
  <c r="L19" i="125"/>
  <c r="K568" i="73"/>
  <c r="L15" i="125"/>
  <c r="L30" i="125"/>
  <c r="AH34" i="121"/>
  <c r="L8" i="125"/>
  <c r="L27" i="125"/>
  <c r="L18" i="125"/>
  <c r="L12" i="125"/>
  <c r="L11" i="125"/>
  <c r="K649" i="73"/>
  <c r="AR149" i="73"/>
  <c r="J574" i="73"/>
  <c r="J650" i="73"/>
  <c r="AN170" i="73"/>
  <c r="J570" i="73"/>
  <c r="U33" i="65"/>
  <c r="J584" i="73"/>
  <c r="O31" i="123"/>
  <c r="O33" i="123" s="1"/>
  <c r="J588" i="73"/>
  <c r="D58" i="62"/>
  <c r="AV33" i="121"/>
  <c r="V98" i="62"/>
  <c r="V97" i="62"/>
  <c r="V100" i="62"/>
  <c r="V94" i="62"/>
  <c r="V93" i="62"/>
  <c r="V96" i="62"/>
  <c r="V99" i="62"/>
  <c r="V102" i="62"/>
  <c r="V104" i="62"/>
  <c r="V103" i="62"/>
  <c r="V95" i="62"/>
  <c r="V101" i="62"/>
  <c r="AF83" i="62"/>
  <c r="FV30" i="63"/>
  <c r="FI30" i="63"/>
  <c r="FQ60" i="63"/>
  <c r="FD60" i="63"/>
  <c r="FV150" i="63"/>
  <c r="FI150" i="63"/>
  <c r="M707" i="73"/>
  <c r="N181" i="73"/>
  <c r="M723" i="73"/>
  <c r="N197" i="73"/>
  <c r="L569" i="73"/>
  <c r="I22" i="125"/>
  <c r="H654" i="73"/>
  <c r="H674" i="73"/>
  <c r="AF90" i="62"/>
  <c r="I583" i="73"/>
  <c r="H675" i="73"/>
  <c r="T6" i="118"/>
  <c r="D36" i="125"/>
  <c r="W22" i="123"/>
  <c r="FK30" i="63"/>
  <c r="EX30" i="63"/>
  <c r="FL60" i="63"/>
  <c r="EY60" i="63"/>
  <c r="L543" i="73"/>
  <c r="FT90" i="63"/>
  <c r="FG90" i="63"/>
  <c r="M400" i="73"/>
  <c r="FV90" i="63"/>
  <c r="FI90" i="63"/>
  <c r="N89" i="73"/>
  <c r="O89" i="73" s="1"/>
  <c r="M476" i="73"/>
  <c r="M712" i="73"/>
  <c r="N186" i="73"/>
  <c r="M720" i="73"/>
  <c r="N194" i="73"/>
  <c r="N13" i="73"/>
  <c r="M306" i="73"/>
  <c r="H660" i="73"/>
  <c r="I27" i="125"/>
  <c r="V62" i="62"/>
  <c r="V61" i="62"/>
  <c r="V69" i="62"/>
  <c r="V63" i="62"/>
  <c r="V59" i="62"/>
  <c r="V66" i="62"/>
  <c r="V58" i="62"/>
  <c r="V68" i="62"/>
  <c r="V65" i="62"/>
  <c r="AF48" i="62"/>
  <c r="V64" i="62"/>
  <c r="V67" i="62"/>
  <c r="V60" i="62"/>
  <c r="FS30" i="63"/>
  <c r="FF30" i="63"/>
  <c r="N109" i="73"/>
  <c r="M551" i="73"/>
  <c r="N117" i="73"/>
  <c r="N125" i="73"/>
  <c r="G703" i="73"/>
  <c r="M703" i="73"/>
  <c r="N177" i="73"/>
  <c r="FO90" i="63"/>
  <c r="FB90" i="63"/>
  <c r="N40" i="73"/>
  <c r="O40" i="73" s="1"/>
  <c r="FL30" i="63"/>
  <c r="EY30" i="63"/>
  <c r="M314" i="73"/>
  <c r="N21" i="73"/>
  <c r="G3" i="124"/>
  <c r="X32" i="110"/>
  <c r="I13" i="125"/>
  <c r="R107" i="64"/>
  <c r="R101" i="64"/>
  <c r="N144" i="62"/>
  <c r="B153" i="62"/>
  <c r="R106" i="64"/>
  <c r="R102" i="64"/>
  <c r="R105" i="64"/>
  <c r="R103" i="64"/>
  <c r="R104" i="64"/>
  <c r="H651" i="73"/>
  <c r="N160" i="62"/>
  <c r="FT150" i="63"/>
  <c r="FG150" i="63"/>
  <c r="N110" i="73"/>
  <c r="M632" i="73"/>
  <c r="N153" i="73"/>
  <c r="M648" i="73"/>
  <c r="N169" i="73"/>
  <c r="H302" i="73"/>
  <c r="I7" i="125"/>
  <c r="I31" i="124"/>
  <c r="I34" i="125"/>
  <c r="R26" i="64"/>
  <c r="R22" i="64"/>
  <c r="R27" i="64"/>
  <c r="J27" i="125"/>
  <c r="H742" i="73"/>
  <c r="M467" i="73"/>
  <c r="N80" i="73"/>
  <c r="O80" i="73" s="1"/>
  <c r="FC150" i="63"/>
  <c r="FP150" i="63"/>
  <c r="FQ180" i="63"/>
  <c r="FD180" i="63"/>
  <c r="K547" i="73"/>
  <c r="N44" i="73"/>
  <c r="O44" i="73" s="1"/>
  <c r="M384" i="73"/>
  <c r="L460" i="73"/>
  <c r="Q31" i="123"/>
  <c r="Q33" i="123" s="1"/>
  <c r="Q35" i="123" s="1"/>
  <c r="H666" i="73"/>
  <c r="I8" i="125"/>
  <c r="I18" i="125"/>
  <c r="G298" i="73"/>
  <c r="M383" i="73"/>
  <c r="N43" i="73"/>
  <c r="O43" i="73" s="1"/>
  <c r="N59" i="73"/>
  <c r="O59" i="73" s="1"/>
  <c r="M399" i="73"/>
  <c r="FU120" i="63"/>
  <c r="FH120" i="63"/>
  <c r="FL180" i="63"/>
  <c r="EY180" i="63"/>
  <c r="E400" i="73"/>
  <c r="FP90" i="63"/>
  <c r="FC90" i="63"/>
  <c r="M484" i="73"/>
  <c r="N97" i="73"/>
  <c r="O97" i="73" s="1"/>
  <c r="H668" i="73"/>
  <c r="AF55" i="62"/>
  <c r="H671" i="73"/>
  <c r="M6" i="121"/>
  <c r="M567" i="73"/>
  <c r="N133" i="73"/>
  <c r="FQ150" i="63"/>
  <c r="FD150" i="63"/>
  <c r="M643" i="73"/>
  <c r="N164" i="73"/>
  <c r="FV180" i="63"/>
  <c r="FI180" i="63"/>
  <c r="N193" i="73"/>
  <c r="M719" i="73"/>
  <c r="E707" i="73"/>
  <c r="FN150" i="63"/>
  <c r="FA150" i="63"/>
  <c r="N17" i="73"/>
  <c r="M310" i="73"/>
  <c r="M388" i="73"/>
  <c r="N48" i="73"/>
  <c r="O48" i="73" s="1"/>
  <c r="H664" i="73"/>
  <c r="AR184" i="73"/>
  <c r="H656" i="73"/>
  <c r="E36" i="125"/>
  <c r="T7" i="118"/>
  <c r="B543" i="73"/>
  <c r="C623" i="73"/>
  <c r="FT180" i="63"/>
  <c r="FG180" i="63"/>
  <c r="FT30" i="63"/>
  <c r="FG30" i="63"/>
  <c r="H460" i="73"/>
  <c r="M480" i="73"/>
  <c r="N93" i="73"/>
  <c r="O93" i="73" s="1"/>
  <c r="N198" i="73"/>
  <c r="M724" i="73"/>
  <c r="M742" i="73"/>
  <c r="K31" i="124"/>
  <c r="J745" i="73"/>
  <c r="I577" i="73"/>
  <c r="AR152" i="73"/>
  <c r="R23" i="64"/>
  <c r="H653" i="73"/>
  <c r="O71" i="119"/>
  <c r="L298" i="73"/>
  <c r="M483" i="73"/>
  <c r="FQ120" i="63"/>
  <c r="FD120" i="63"/>
  <c r="N129" i="73"/>
  <c r="M563" i="73"/>
  <c r="N144" i="73"/>
  <c r="M631" i="73"/>
  <c r="N152" i="73"/>
  <c r="M647" i="73"/>
  <c r="N168" i="73"/>
  <c r="FT120" i="63"/>
  <c r="FG120" i="63"/>
  <c r="E467" i="73"/>
  <c r="FK60" i="63"/>
  <c r="EX60" i="63"/>
  <c r="M392" i="73"/>
  <c r="N52" i="73"/>
  <c r="O52" i="73" s="1"/>
  <c r="FL90" i="63"/>
  <c r="EY90" i="63"/>
  <c r="M34" i="125"/>
  <c r="L581" i="73"/>
  <c r="H652" i="73"/>
  <c r="H669" i="73"/>
  <c r="H659" i="73"/>
  <c r="AR187" i="73"/>
  <c r="EY120" i="63"/>
  <c r="FL120" i="63"/>
  <c r="FU180" i="63"/>
  <c r="FH180" i="63"/>
  <c r="FO150" i="63"/>
  <c r="FB150" i="63"/>
  <c r="F543" i="73"/>
  <c r="FN60" i="63"/>
  <c r="FA60" i="63"/>
  <c r="N81" i="73"/>
  <c r="O81" i="73" s="1"/>
  <c r="M468" i="73"/>
  <c r="N157" i="73"/>
  <c r="M636" i="73"/>
  <c r="N178" i="73"/>
  <c r="M704" i="73"/>
  <c r="FM30" i="63"/>
  <c r="EZ30" i="63"/>
  <c r="I26" i="125"/>
  <c r="I12" i="125"/>
  <c r="FR60" i="63"/>
  <c r="FE60" i="63"/>
  <c r="M479" i="73"/>
  <c r="N92" i="73"/>
  <c r="O92" i="73" s="1"/>
  <c r="FV120" i="63"/>
  <c r="FI120" i="63"/>
  <c r="FP180" i="63"/>
  <c r="FC180" i="63"/>
  <c r="N185" i="73"/>
  <c r="M711" i="73"/>
  <c r="FA180" i="63"/>
  <c r="FN180" i="63"/>
  <c r="C298" i="73"/>
  <c r="J7" i="125"/>
  <c r="N90" i="62"/>
  <c r="H667" i="73"/>
  <c r="FM60" i="63"/>
  <c r="EZ60" i="63"/>
  <c r="M387" i="73"/>
  <c r="FK120" i="63"/>
  <c r="EX120" i="63"/>
  <c r="L623" i="73"/>
  <c r="FL150" i="63"/>
  <c r="EY150" i="63"/>
  <c r="M319" i="73"/>
  <c r="FQ90" i="63"/>
  <c r="FD90" i="63"/>
  <c r="M624" i="73"/>
  <c r="N145" i="73"/>
  <c r="M708" i="73"/>
  <c r="N182" i="73"/>
  <c r="GH96" i="126"/>
  <c r="FQ30" i="63"/>
  <c r="FD30" i="63"/>
  <c r="N34" i="125"/>
  <c r="I31" i="125"/>
  <c r="H650" i="73"/>
  <c r="N55" i="62"/>
  <c r="M48" i="62"/>
  <c r="F48" i="62"/>
  <c r="D48" i="62"/>
  <c r="H48" i="62"/>
  <c r="I48" i="62"/>
  <c r="E48" i="62"/>
  <c r="J48" i="62"/>
  <c r="G48" i="62"/>
  <c r="C48" i="62"/>
  <c r="L48" i="62"/>
  <c r="K48" i="62"/>
  <c r="R21" i="64"/>
  <c r="R25" i="64"/>
  <c r="B703" i="73"/>
  <c r="FU30" i="63"/>
  <c r="FH30" i="63"/>
  <c r="M318" i="73"/>
  <c r="N25" i="73"/>
  <c r="FS60" i="63"/>
  <c r="FF60" i="63"/>
  <c r="M555" i="73"/>
  <c r="N121" i="73"/>
  <c r="FO180" i="63"/>
  <c r="FB180" i="63"/>
  <c r="FN90" i="63"/>
  <c r="FA90" i="63"/>
  <c r="FU90" i="63"/>
  <c r="FH90" i="63"/>
  <c r="FN30" i="63"/>
  <c r="FA30" i="63"/>
  <c r="J31" i="125"/>
  <c r="I11" i="125"/>
  <c r="I30" i="125"/>
  <c r="J23" i="125"/>
  <c r="S21" i="123"/>
  <c r="V21" i="123" s="1"/>
  <c r="D298" i="73"/>
  <c r="FP30" i="63"/>
  <c r="FC30" i="63"/>
  <c r="N51" i="73"/>
  <c r="O51" i="73" s="1"/>
  <c r="M391" i="73"/>
  <c r="FK150" i="63"/>
  <c r="EX150" i="63"/>
  <c r="C711" i="73"/>
  <c r="FO120" i="63"/>
  <c r="FB120" i="63"/>
  <c r="FU60" i="63"/>
  <c r="FH60" i="63"/>
  <c r="M302" i="73"/>
  <c r="N9" i="73"/>
  <c r="M628" i="73"/>
  <c r="N149" i="73"/>
  <c r="M728" i="73"/>
  <c r="N202" i="73"/>
  <c r="J742" i="73"/>
  <c r="I17" i="125"/>
  <c r="H670" i="73"/>
  <c r="H662" i="73"/>
  <c r="H655" i="73"/>
  <c r="J298" i="73"/>
  <c r="FO30" i="63"/>
  <c r="FB30" i="63"/>
  <c r="M322" i="73"/>
  <c r="N29" i="73"/>
  <c r="FP120" i="63"/>
  <c r="FC120" i="63"/>
  <c r="FK90" i="63"/>
  <c r="EX90" i="63"/>
  <c r="FP60" i="63"/>
  <c r="FC60" i="63"/>
  <c r="L34" i="125"/>
  <c r="I21" i="125"/>
  <c r="I569" i="73"/>
  <c r="AR144" i="73"/>
  <c r="F28" i="62"/>
  <c r="F27" i="62"/>
  <c r="F30" i="62"/>
  <c r="F24" i="62"/>
  <c r="F33" i="62"/>
  <c r="F29" i="62"/>
  <c r="F31" i="62"/>
  <c r="N15" i="62"/>
  <c r="F26" i="62"/>
  <c r="F34" i="62"/>
  <c r="F25" i="62"/>
  <c r="F23" i="62"/>
  <c r="F32" i="62"/>
  <c r="I9" i="125"/>
  <c r="FV60" i="63"/>
  <c r="FI60" i="63"/>
  <c r="FU150" i="63"/>
  <c r="FH150" i="63"/>
  <c r="FK180" i="63"/>
  <c r="EX180" i="63"/>
  <c r="E547" i="73"/>
  <c r="M472" i="73"/>
  <c r="N85" i="73"/>
  <c r="O85" i="73" s="1"/>
  <c r="N190" i="73"/>
  <c r="M716" i="73"/>
  <c r="GB98" i="126"/>
  <c r="FT98" i="126"/>
  <c r="GH98" i="126"/>
  <c r="T22" i="123"/>
  <c r="H661" i="73"/>
  <c r="AR189" i="73"/>
  <c r="R24" i="64"/>
  <c r="H658" i="73"/>
  <c r="H672" i="73"/>
  <c r="AR200" i="73"/>
  <c r="H663" i="73"/>
  <c r="X32" i="108"/>
  <c r="E3" i="124"/>
  <c r="H12" i="127"/>
  <c r="AH19" i="66" s="1"/>
  <c r="H29" i="127"/>
  <c r="AH7" i="66" s="1"/>
  <c r="M8" i="121"/>
  <c r="AW31" i="126"/>
  <c r="AX31" i="126"/>
  <c r="AI206" i="73"/>
  <c r="AI208" i="73" s="1"/>
  <c r="Y32" i="109"/>
  <c r="E31" i="124"/>
  <c r="E34" i="125"/>
  <c r="AH206" i="73"/>
  <c r="AH208" i="73" s="1"/>
  <c r="ED31" i="126"/>
  <c r="FF31" i="126"/>
  <c r="FF32" i="126"/>
  <c r="BC6" i="66"/>
  <c r="GD5" i="126"/>
  <c r="DX32" i="126"/>
  <c r="BF23" i="66"/>
  <c r="AZ18" i="66"/>
  <c r="GC17" i="126"/>
  <c r="AX24" i="126"/>
  <c r="AX20" i="126"/>
  <c r="CN31" i="126"/>
  <c r="FS16" i="126"/>
  <c r="AX16" i="126"/>
  <c r="BI22" i="66"/>
  <c r="FS15" i="126"/>
  <c r="BL16" i="66" s="1"/>
  <c r="BL15" i="126"/>
  <c r="CM30" i="126"/>
  <c r="CM32" i="126"/>
  <c r="CN3" i="126"/>
  <c r="CN30" i="126"/>
  <c r="CN32" i="126"/>
  <c r="ED30" i="126"/>
  <c r="ED32" i="126"/>
  <c r="FS23" i="126"/>
  <c r="BL23" i="126"/>
  <c r="AI31" i="126"/>
  <c r="AJ31" i="126"/>
  <c r="BK30" i="126"/>
  <c r="BK32" i="126"/>
  <c r="BL3" i="126"/>
  <c r="GC4" i="126"/>
  <c r="AZ5" i="66"/>
  <c r="H32" i="126"/>
  <c r="AX12" i="126"/>
  <c r="AX30" i="126"/>
  <c r="AX32" i="126"/>
  <c r="AX33" i="126"/>
  <c r="AJ9" i="126"/>
  <c r="FS9" i="126"/>
  <c r="BL10" i="66" s="1"/>
  <c r="FS8" i="126"/>
  <c r="AW30" i="126"/>
  <c r="AW32" i="126"/>
  <c r="FS13" i="126"/>
  <c r="AJ13" i="126"/>
  <c r="AJ25" i="126"/>
  <c r="EZ32" i="126"/>
  <c r="BL27" i="126"/>
  <c r="BC17" i="66"/>
  <c r="GD16" i="126"/>
  <c r="C5" i="64"/>
  <c r="AJ29" i="126"/>
  <c r="AZ21" i="66"/>
  <c r="AI30" i="126"/>
  <c r="AI32" i="126"/>
  <c r="AJ3" i="126"/>
  <c r="C660" i="73"/>
  <c r="S4" i="66"/>
  <c r="AR192" i="73"/>
  <c r="C668" i="73"/>
  <c r="FS14" i="126"/>
  <c r="V14" i="126"/>
  <c r="V6" i="126"/>
  <c r="U31" i="126"/>
  <c r="U30" i="126"/>
  <c r="V3" i="126"/>
  <c r="FS10" i="126"/>
  <c r="V10" i="126"/>
  <c r="FS26" i="126"/>
  <c r="V26" i="126"/>
  <c r="FS22" i="126"/>
  <c r="V22" i="126"/>
  <c r="FS18" i="126"/>
  <c r="V18" i="126"/>
  <c r="M743" i="73"/>
  <c r="AC136" i="73"/>
  <c r="G5" i="64"/>
  <c r="R10" i="64"/>
  <c r="G693" i="73"/>
  <c r="D710" i="73"/>
  <c r="D5" i="64"/>
  <c r="R7" i="64"/>
  <c r="H5" i="64"/>
  <c r="R11" i="64"/>
  <c r="K118" i="62"/>
  <c r="B118" i="62"/>
  <c r="M118" i="62"/>
  <c r="J118" i="62"/>
  <c r="D118" i="62"/>
  <c r="F118" i="62"/>
  <c r="E118" i="62"/>
  <c r="I118" i="62"/>
  <c r="L118" i="62"/>
  <c r="G118" i="62"/>
  <c r="H118" i="62"/>
  <c r="C118" i="62"/>
  <c r="F11" i="125"/>
  <c r="C745" i="73"/>
  <c r="D31" i="124"/>
  <c r="D34" i="125"/>
  <c r="AG208" i="73"/>
  <c r="E745" i="73"/>
  <c r="F745" i="73"/>
  <c r="F5" i="64"/>
  <c r="AR15" i="122"/>
  <c r="AR6" i="122"/>
  <c r="AR16" i="122"/>
  <c r="AV6" i="121"/>
  <c r="C153" i="62"/>
  <c r="AV29" i="121"/>
  <c r="D83" i="62"/>
  <c r="J83" i="62"/>
  <c r="M83" i="62"/>
  <c r="L83" i="62"/>
  <c r="G83" i="62"/>
  <c r="B83" i="62"/>
  <c r="C83" i="62"/>
  <c r="F83" i="62"/>
  <c r="I83" i="62"/>
  <c r="H83" i="62"/>
  <c r="E83" i="62"/>
  <c r="K83" i="62"/>
  <c r="AR23" i="122"/>
  <c r="AR5" i="122"/>
  <c r="AR27" i="122"/>
  <c r="F153" i="62"/>
  <c r="D153" i="62"/>
  <c r="D165" i="62"/>
  <c r="AR9" i="122"/>
  <c r="AR19" i="122"/>
  <c r="AV16" i="121"/>
  <c r="W12" i="123"/>
  <c r="AH36" i="121"/>
  <c r="AF32" i="65"/>
  <c r="AD32" i="65"/>
  <c r="AH32" i="65"/>
  <c r="B5" i="64"/>
  <c r="R5" i="64"/>
  <c r="E5" i="64"/>
  <c r="AR7" i="122"/>
  <c r="N48" i="62"/>
  <c r="D163" i="62"/>
  <c r="D164" i="62"/>
  <c r="D649" i="73"/>
  <c r="K747" i="73"/>
  <c r="K735" i="73"/>
  <c r="J747" i="73"/>
  <c r="J741" i="73"/>
  <c r="W19" i="123"/>
  <c r="D68" i="62"/>
  <c r="D69" i="62"/>
  <c r="D63" i="62"/>
  <c r="N4" i="62"/>
  <c r="T21" i="123"/>
  <c r="H735" i="73"/>
  <c r="W4" i="123"/>
  <c r="W14" i="123"/>
  <c r="W18" i="123"/>
  <c r="D66" i="62"/>
  <c r="D61" i="62"/>
  <c r="D64" i="62"/>
  <c r="W17" i="123"/>
  <c r="W7" i="123"/>
  <c r="F747" i="73"/>
  <c r="F735" i="73"/>
  <c r="G738" i="73"/>
  <c r="G735" i="73"/>
  <c r="E732" i="73"/>
  <c r="E747" i="73"/>
  <c r="E741" i="73"/>
  <c r="D747" i="73"/>
  <c r="D741" i="73"/>
  <c r="J735" i="73"/>
  <c r="W28" i="123"/>
  <c r="L153" i="62"/>
  <c r="M153" i="62"/>
  <c r="G153" i="62"/>
  <c r="K153" i="62"/>
  <c r="E153" i="62"/>
  <c r="I153" i="62"/>
  <c r="J153" i="62"/>
  <c r="H153" i="62"/>
  <c r="G30" i="124"/>
  <c r="G32" i="124" s="1"/>
  <c r="G34" i="124" s="1"/>
  <c r="C747" i="73"/>
  <c r="C741" i="73"/>
  <c r="G747" i="73"/>
  <c r="B747" i="73"/>
  <c r="B741" i="73"/>
  <c r="M738" i="73"/>
  <c r="D65" i="62"/>
  <c r="D67" i="62"/>
  <c r="D59" i="62"/>
  <c r="E6" i="125"/>
  <c r="W8" i="123"/>
  <c r="L741" i="73"/>
  <c r="W23" i="123"/>
  <c r="K732" i="73"/>
  <c r="D62" i="62"/>
  <c r="D60" i="62"/>
  <c r="R9" i="64"/>
  <c r="R8" i="64"/>
  <c r="D745" i="73"/>
  <c r="AJ30" i="126"/>
  <c r="AJ32" i="126"/>
  <c r="BL14" i="66"/>
  <c r="BL30" i="126"/>
  <c r="BL32" i="126"/>
  <c r="BL9" i="66"/>
  <c r="GG8" i="126"/>
  <c r="R6" i="64"/>
  <c r="BL24" i="66"/>
  <c r="BL17" i="66"/>
  <c r="FT16" i="126"/>
  <c r="U32" i="126"/>
  <c r="BL11" i="66"/>
  <c r="GG10" i="126"/>
  <c r="BL15" i="66"/>
  <c r="BL23" i="66"/>
  <c r="V30" i="126"/>
  <c r="V31" i="126"/>
  <c r="BL27" i="66"/>
  <c r="S117" i="64"/>
  <c r="B13" i="62"/>
  <c r="N118" i="62"/>
  <c r="D136" i="62"/>
  <c r="D128" i="62"/>
  <c r="D132" i="62"/>
  <c r="D138" i="62"/>
  <c r="D131" i="62"/>
  <c r="D134" i="62"/>
  <c r="D139" i="62"/>
  <c r="D135" i="62"/>
  <c r="D137" i="62"/>
  <c r="D129" i="62"/>
  <c r="D133" i="62"/>
  <c r="D130" i="62"/>
  <c r="W16" i="123"/>
  <c r="W27" i="123"/>
  <c r="AV34" i="121"/>
  <c r="AV32" i="121"/>
  <c r="D99" i="62"/>
  <c r="D94" i="62"/>
  <c r="D98" i="62"/>
  <c r="D100" i="62"/>
  <c r="D101" i="62"/>
  <c r="D97" i="62"/>
  <c r="D93" i="62"/>
  <c r="D102" i="62"/>
  <c r="D104" i="62"/>
  <c r="N83" i="62"/>
  <c r="D103" i="62"/>
  <c r="D95" i="62"/>
  <c r="D96" i="62"/>
  <c r="GI50" i="126"/>
  <c r="GI44" i="126"/>
  <c r="W30" i="123"/>
  <c r="S32" i="125"/>
  <c r="W6" i="123"/>
  <c r="C13" i="62"/>
  <c r="C20" i="62"/>
  <c r="F13" i="62"/>
  <c r="F20" i="62"/>
  <c r="D13" i="62"/>
  <c r="D20" i="62"/>
  <c r="D170" i="62"/>
  <c r="W15" i="123"/>
  <c r="W24" i="123"/>
  <c r="W20" i="123"/>
  <c r="AR34" i="122"/>
  <c r="AR32" i="122"/>
  <c r="W26" i="123"/>
  <c r="W11" i="123"/>
  <c r="W10" i="123"/>
  <c r="S10" i="125"/>
  <c r="GI40" i="126"/>
  <c r="GI39" i="126"/>
  <c r="S9" i="125"/>
  <c r="S18" i="125"/>
  <c r="GI48" i="126"/>
  <c r="W5" i="123"/>
  <c r="GI59" i="126"/>
  <c r="S29" i="125"/>
  <c r="S14" i="125"/>
  <c r="S19" i="125"/>
  <c r="GI49" i="126"/>
  <c r="W13" i="123"/>
  <c r="W9" i="123"/>
  <c r="W29" i="123"/>
  <c r="D173" i="62"/>
  <c r="N153" i="62"/>
  <c r="D166" i="62"/>
  <c r="W25" i="123"/>
  <c r="GI60" i="126"/>
  <c r="S30" i="125"/>
  <c r="W32" i="123"/>
  <c r="M13" i="62"/>
  <c r="M20" i="62"/>
  <c r="L13" i="62"/>
  <c r="L20" i="62"/>
  <c r="J13" i="62"/>
  <c r="J20" i="62"/>
  <c r="E13" i="62"/>
  <c r="E20" i="62"/>
  <c r="I13" i="62"/>
  <c r="I20" i="62"/>
  <c r="H13" i="62"/>
  <c r="H20" i="62"/>
  <c r="G13" i="62"/>
  <c r="G20" i="62"/>
  <c r="K13" i="62"/>
  <c r="K20" i="62"/>
  <c r="D171" i="62"/>
  <c r="D169" i="62"/>
  <c r="GI55" i="126"/>
  <c r="S25" i="125"/>
  <c r="W21" i="123"/>
  <c r="M732" i="73"/>
  <c r="S34" i="125"/>
  <c r="N102" i="73"/>
  <c r="O102" i="73" s="1"/>
  <c r="D174" i="62"/>
  <c r="D167" i="62"/>
  <c r="M741" i="73"/>
  <c r="N136" i="73"/>
  <c r="S118" i="64"/>
  <c r="S119" i="64"/>
  <c r="D172" i="62"/>
  <c r="D168" i="62"/>
  <c r="D24" i="62"/>
  <c r="D23" i="62"/>
  <c r="B20" i="62"/>
  <c r="V32" i="126"/>
  <c r="D34" i="62"/>
  <c r="D30" i="62"/>
  <c r="D26" i="62"/>
  <c r="D33" i="62"/>
  <c r="D29" i="62"/>
  <c r="D25" i="62"/>
  <c r="D31" i="62"/>
  <c r="D32" i="62"/>
  <c r="D28" i="62"/>
  <c r="D27" i="62"/>
  <c r="GI62" i="126"/>
  <c r="S20" i="125"/>
  <c r="S24" i="125"/>
  <c r="GI54" i="126"/>
  <c r="S13" i="125"/>
  <c r="GI43" i="126"/>
  <c r="S28" i="125"/>
  <c r="GI58" i="126"/>
  <c r="S11" i="125"/>
  <c r="GI41" i="126"/>
  <c r="S7" i="125"/>
  <c r="GI37" i="126"/>
  <c r="GI38" i="126"/>
  <c r="S8" i="125"/>
  <c r="W31" i="123"/>
  <c r="GI57" i="126"/>
  <c r="S27" i="125"/>
  <c r="S120" i="64"/>
  <c r="S121" i="64"/>
  <c r="S16" i="125"/>
  <c r="GI46" i="126"/>
  <c r="GI47" i="126"/>
  <c r="S17" i="125"/>
  <c r="GI52" i="126"/>
  <c r="S22" i="125"/>
  <c r="S23" i="125"/>
  <c r="GI53" i="126"/>
  <c r="GI51" i="126"/>
  <c r="S21" i="125"/>
  <c r="GI45" i="126"/>
  <c r="S15" i="125"/>
  <c r="GI56" i="126"/>
  <c r="S26" i="125"/>
  <c r="GI61" i="126"/>
  <c r="S31" i="125"/>
  <c r="N13" i="62"/>
  <c r="S12" i="125"/>
  <c r="GI42" i="126"/>
  <c r="B23" i="62"/>
  <c r="B30" i="62"/>
  <c r="B26" i="62"/>
  <c r="B28" i="62"/>
  <c r="B34" i="62"/>
  <c r="B25" i="62"/>
  <c r="B31" i="62"/>
  <c r="B29" i="62"/>
  <c r="B33" i="62"/>
  <c r="N20" i="62"/>
  <c r="B24" i="62"/>
  <c r="B27" i="62"/>
  <c r="B32" i="62"/>
  <c r="W33" i="123"/>
  <c r="S33" i="125"/>
  <c r="S122" i="64"/>
  <c r="S6" i="125"/>
  <c r="GI36" i="126"/>
  <c r="GJ36" i="126"/>
  <c r="S35" i="125"/>
  <c r="S123" i="64"/>
  <c r="D4" i="123"/>
  <c r="E4" i="123" s="1"/>
  <c r="B32" i="158" l="1"/>
  <c r="B33" i="158"/>
  <c r="DI32" i="66"/>
  <c r="BT73" i="66" s="1"/>
  <c r="EH32" i="66"/>
  <c r="BT92" i="66" s="1"/>
  <c r="CM32" i="66"/>
  <c r="BT51" i="66" s="1"/>
  <c r="BT94" i="66"/>
  <c r="CG32" i="66"/>
  <c r="BT45" i="66" s="1"/>
  <c r="EI32" i="66"/>
  <c r="BT93" i="66" s="1"/>
  <c r="BT95" i="66"/>
  <c r="K19" i="125"/>
  <c r="P86" i="119"/>
  <c r="K34" i="125"/>
  <c r="AE34" i="121"/>
  <c r="AE36" i="121" s="1"/>
  <c r="H17" i="118"/>
  <c r="G28" i="118"/>
  <c r="J143" i="62" s="1"/>
  <c r="J44" i="64" s="1"/>
  <c r="R13" i="118"/>
  <c r="K36" i="125" s="1"/>
  <c r="K14" i="125"/>
  <c r="AM30" i="121"/>
  <c r="AR30" i="121"/>
  <c r="AT30" i="121" s="1"/>
  <c r="K23" i="125"/>
  <c r="AM22" i="121"/>
  <c r="AR22" i="121"/>
  <c r="AT22" i="121" s="1"/>
  <c r="K15" i="125"/>
  <c r="AM14" i="121"/>
  <c r="AR14" i="121"/>
  <c r="AT14" i="121" s="1"/>
  <c r="AM6" i="121"/>
  <c r="AR6" i="121"/>
  <c r="AT6" i="121" s="1"/>
  <c r="V67" i="114"/>
  <c r="AR21" i="121"/>
  <c r="AT21" i="121" s="1"/>
  <c r="AM21" i="121"/>
  <c r="K6" i="125"/>
  <c r="AR5" i="121"/>
  <c r="AT5" i="121" s="1"/>
  <c r="AF32" i="121"/>
  <c r="AF34" i="121" s="1"/>
  <c r="AF36" i="121" s="1"/>
  <c r="K29" i="125"/>
  <c r="AR28" i="121"/>
  <c r="AT28" i="121" s="1"/>
  <c r="AR20" i="121"/>
  <c r="AT20" i="121" s="1"/>
  <c r="K21" i="125"/>
  <c r="AM27" i="121"/>
  <c r="AR27" i="121"/>
  <c r="AT27" i="121" s="1"/>
  <c r="K28" i="125"/>
  <c r="AR19" i="121"/>
  <c r="AT19" i="121" s="1"/>
  <c r="AM19" i="121"/>
  <c r="AN19" i="121" s="1"/>
  <c r="K20" i="125"/>
  <c r="AR11" i="121"/>
  <c r="AT11" i="121" s="1"/>
  <c r="AM11" i="121"/>
  <c r="AN11" i="121" s="1"/>
  <c r="K12" i="125"/>
  <c r="T13" i="118"/>
  <c r="AR26" i="121"/>
  <c r="AT26" i="121" s="1"/>
  <c r="K27" i="125"/>
  <c r="AR10" i="121"/>
  <c r="AT10" i="121" s="1"/>
  <c r="K11" i="125"/>
  <c r="AM9" i="121"/>
  <c r="AR9" i="121"/>
  <c r="AT9" i="121" s="1"/>
  <c r="J25" i="64"/>
  <c r="J3" i="62"/>
  <c r="T10" i="62" s="1"/>
  <c r="K25" i="125"/>
  <c r="AR24" i="121"/>
  <c r="AT24" i="121" s="1"/>
  <c r="K9" i="125"/>
  <c r="AR31" i="121"/>
  <c r="AT31" i="121" s="1"/>
  <c r="K32" i="125"/>
  <c r="K16" i="125"/>
  <c r="AM15" i="121"/>
  <c r="K8" i="125"/>
  <c r="AR7" i="121"/>
  <c r="AT7" i="121" s="1"/>
  <c r="K26" i="125"/>
  <c r="O21" i="124"/>
  <c r="FR12" i="126"/>
  <c r="F14" i="66"/>
  <c r="K94" i="119"/>
  <c r="F89" i="119"/>
  <c r="FQ27" i="126"/>
  <c r="O20" i="124"/>
  <c r="O24" i="124"/>
  <c r="FO21" i="126"/>
  <c r="AZ22" i="66" s="1"/>
  <c r="AN11" i="122"/>
  <c r="AP11" i="122" s="1"/>
  <c r="AO23" i="122"/>
  <c r="AQ23" i="122" s="1"/>
  <c r="P17" i="118"/>
  <c r="AO25" i="122"/>
  <c r="AQ25" i="122" s="1"/>
  <c r="BB24" i="66"/>
  <c r="BE15" i="66"/>
  <c r="BK9" i="66"/>
  <c r="BN24" i="66"/>
  <c r="BN17" i="66"/>
  <c r="BN14" i="66"/>
  <c r="BN11" i="66"/>
  <c r="BB5" i="66"/>
  <c r="O16" i="124"/>
  <c r="O27" i="124"/>
  <c r="FR18" i="126"/>
  <c r="W77" i="119"/>
  <c r="N86" i="119"/>
  <c r="N90" i="119"/>
  <c r="J93" i="119"/>
  <c r="X93" i="119" s="1"/>
  <c r="DO29" i="126"/>
  <c r="AC32" i="122"/>
  <c r="AC34" i="122" s="1"/>
  <c r="AC36" i="122" s="1"/>
  <c r="AJ17" i="122"/>
  <c r="AK17" i="122" s="1"/>
  <c r="S23" i="123"/>
  <c r="N17" i="118"/>
  <c r="FP17" i="126"/>
  <c r="FO13" i="126"/>
  <c r="FQ6" i="126"/>
  <c r="AE27" i="65"/>
  <c r="AG15" i="65"/>
  <c r="AE24" i="65"/>
  <c r="AE7" i="65"/>
  <c r="AM10" i="121"/>
  <c r="BH27" i="66"/>
  <c r="AY9" i="66"/>
  <c r="BN22" i="66"/>
  <c r="W89" i="119"/>
  <c r="K13" i="125"/>
  <c r="W8" i="119"/>
  <c r="P6" i="66" s="1"/>
  <c r="W53" i="119"/>
  <c r="I90" i="119"/>
  <c r="M86" i="119"/>
  <c r="AO21" i="122"/>
  <c r="AQ21" i="122" s="1"/>
  <c r="O87" i="119"/>
  <c r="L86" i="119"/>
  <c r="P90" i="119"/>
  <c r="FQ28" i="126"/>
  <c r="O13" i="124"/>
  <c r="FQ15" i="126"/>
  <c r="M17" i="118"/>
  <c r="AE26" i="65"/>
  <c r="AG13" i="65"/>
  <c r="AG22" i="65"/>
  <c r="BB6" i="66"/>
  <c r="BH25" i="66"/>
  <c r="BK23" i="66"/>
  <c r="BK15" i="66"/>
  <c r="AY15" i="66"/>
  <c r="BH12" i="66"/>
  <c r="BH10" i="66"/>
  <c r="O35" i="123"/>
  <c r="O14" i="124"/>
  <c r="M78" i="119"/>
  <c r="M97" i="119"/>
  <c r="FR9" i="126"/>
  <c r="FQ20" i="126"/>
  <c r="FP27" i="126"/>
  <c r="FQ12" i="126"/>
  <c r="AN15" i="122"/>
  <c r="AP15" i="122" s="1"/>
  <c r="I64" i="119"/>
  <c r="J62" i="119"/>
  <c r="P92" i="119"/>
  <c r="I58" i="119"/>
  <c r="I91" i="119" s="1"/>
  <c r="M56" i="119"/>
  <c r="R56" i="119" s="1"/>
  <c r="L55" i="119"/>
  <c r="L88" i="119" s="1"/>
  <c r="N54" i="119"/>
  <c r="R54" i="119" s="1"/>
  <c r="J52" i="119"/>
  <c r="M50" i="119"/>
  <c r="M83" i="119" s="1"/>
  <c r="I48" i="119"/>
  <c r="I81" i="119" s="1"/>
  <c r="L46" i="119"/>
  <c r="N45" i="119"/>
  <c r="N78" i="119" s="1"/>
  <c r="P44" i="119"/>
  <c r="H44" i="119"/>
  <c r="I43" i="119"/>
  <c r="X43" i="119" s="1"/>
  <c r="N39" i="119"/>
  <c r="N72" i="119" s="1"/>
  <c r="AR15" i="121"/>
  <c r="AT15" i="121" s="1"/>
  <c r="BE27" i="66"/>
  <c r="BE8" i="66"/>
  <c r="BH23" i="66"/>
  <c r="BH17" i="66"/>
  <c r="BH15" i="66"/>
  <c r="BN5" i="66"/>
  <c r="K30" i="124"/>
  <c r="K32" i="124" s="1"/>
  <c r="K34" i="124" s="1"/>
  <c r="G32" i="119"/>
  <c r="P84" i="119"/>
  <c r="P72" i="119"/>
  <c r="FO7" i="126"/>
  <c r="O9" i="124"/>
  <c r="R9" i="124" s="1"/>
  <c r="O10" i="124"/>
  <c r="AD29" i="65"/>
  <c r="AH21" i="65"/>
  <c r="AF13" i="65"/>
  <c r="AD5" i="65"/>
  <c r="AQ33" i="121"/>
  <c r="AS33" i="121" s="1"/>
  <c r="AQ24" i="121"/>
  <c r="AS24" i="121" s="1"/>
  <c r="AQ20" i="121"/>
  <c r="AS20" i="121" s="1"/>
  <c r="AQ16" i="121"/>
  <c r="AS16" i="121" s="1"/>
  <c r="AQ12" i="121"/>
  <c r="AS12" i="121" s="1"/>
  <c r="AQ8" i="121"/>
  <c r="AS8" i="121" s="1"/>
  <c r="BE19" i="66"/>
  <c r="BH14" i="66"/>
  <c r="BN27" i="66"/>
  <c r="BH22" i="66"/>
  <c r="O26" i="124"/>
  <c r="O22" i="124"/>
  <c r="L85" i="119"/>
  <c r="S27" i="123"/>
  <c r="FP6" i="126"/>
  <c r="FP13" i="126"/>
  <c r="FO11" i="126"/>
  <c r="AO20" i="122"/>
  <c r="AQ20" i="122" s="1"/>
  <c r="S5" i="123"/>
  <c r="J17" i="118"/>
  <c r="AF28" i="65"/>
  <c r="AD20" i="65"/>
  <c r="AG21" i="65"/>
  <c r="H63" i="119"/>
  <c r="H96" i="119" s="1"/>
  <c r="I57" i="119"/>
  <c r="I42" i="119"/>
  <c r="I75" i="119" s="1"/>
  <c r="I22" i="119"/>
  <c r="I88" i="119" s="1"/>
  <c r="M19" i="119"/>
  <c r="AM26" i="121"/>
  <c r="BE25" i="66"/>
  <c r="BB29" i="66"/>
  <c r="BE29" i="66"/>
  <c r="BK7" i="66"/>
  <c r="BB25" i="66"/>
  <c r="BB11" i="66"/>
  <c r="O96" i="119"/>
  <c r="E72" i="119"/>
  <c r="S17" i="123"/>
  <c r="I17" i="118"/>
  <c r="AH19" i="65"/>
  <c r="AF11" i="65"/>
  <c r="AG20" i="65"/>
  <c r="AG5" i="65"/>
  <c r="AG12" i="65"/>
  <c r="AQ19" i="121"/>
  <c r="AS19" i="121" s="1"/>
  <c r="BB27" i="66"/>
  <c r="BB23" i="66"/>
  <c r="S26" i="123"/>
  <c r="S10" i="123"/>
  <c r="AJ13" i="122"/>
  <c r="AK13" i="122" s="1"/>
  <c r="AN27" i="122"/>
  <c r="AP27" i="122" s="1"/>
  <c r="AO19" i="122"/>
  <c r="AQ19" i="122" s="1"/>
  <c r="AD26" i="65"/>
  <c r="AD18" i="65"/>
  <c r="AG29" i="65"/>
  <c r="BE23" i="66"/>
  <c r="BK17" i="66"/>
  <c r="BH11" i="66"/>
  <c r="N162" i="73"/>
  <c r="M641" i="73"/>
  <c r="B421" i="73"/>
  <c r="AR88" i="73"/>
  <c r="K497" i="73"/>
  <c r="AR117" i="73"/>
  <c r="Q96" i="73"/>
  <c r="B456" i="73" s="1"/>
  <c r="T96" i="73"/>
  <c r="E456" i="73" s="1"/>
  <c r="S111" i="73"/>
  <c r="D518" i="73" s="1"/>
  <c r="T111" i="73"/>
  <c r="E518" i="73" s="1"/>
  <c r="H50" i="73"/>
  <c r="H390" i="73" s="1"/>
  <c r="L50" i="73"/>
  <c r="L390" i="73" s="1"/>
  <c r="M50" i="73"/>
  <c r="J50" i="73"/>
  <c r="J390" i="73" s="1"/>
  <c r="D50" i="73"/>
  <c r="D390" i="73" s="1"/>
  <c r="G50" i="73"/>
  <c r="G390" i="73" s="1"/>
  <c r="E50" i="73"/>
  <c r="E390" i="73" s="1"/>
  <c r="C50" i="73"/>
  <c r="C390" i="73" s="1"/>
  <c r="F50" i="73"/>
  <c r="F390" i="73" s="1"/>
  <c r="I50" i="73"/>
  <c r="I390" i="73" s="1"/>
  <c r="J122" i="73"/>
  <c r="J556" i="73" s="1"/>
  <c r="I122" i="73"/>
  <c r="I556" i="73" s="1"/>
  <c r="AK32" i="73"/>
  <c r="AK209" i="73" s="1"/>
  <c r="AK210" i="73" s="1"/>
  <c r="G249" i="73"/>
  <c r="AL204" i="73"/>
  <c r="AL205" i="73" s="1"/>
  <c r="AR195" i="73"/>
  <c r="AR163" i="73"/>
  <c r="L130" i="73"/>
  <c r="L564" i="73" s="1"/>
  <c r="H172" i="73"/>
  <c r="H744" i="73" s="1"/>
  <c r="AR86" i="73"/>
  <c r="AR85" i="73"/>
  <c r="B50" i="73"/>
  <c r="B390" i="73" s="1"/>
  <c r="B343" i="73"/>
  <c r="AR57" i="73"/>
  <c r="K172" i="73"/>
  <c r="K744" i="73" s="1"/>
  <c r="B345" i="73"/>
  <c r="AR59" i="73"/>
  <c r="B512" i="73"/>
  <c r="AR132" i="73"/>
  <c r="S159" i="73"/>
  <c r="D611" i="73" s="1"/>
  <c r="AA159" i="73"/>
  <c r="L611" i="73" s="1"/>
  <c r="H212" i="73"/>
  <c r="E39" i="73"/>
  <c r="E379" i="73" s="1"/>
  <c r="J114" i="73"/>
  <c r="H219" i="73"/>
  <c r="M114" i="73"/>
  <c r="N114" i="73" s="1"/>
  <c r="D114" i="73"/>
  <c r="D548" i="73" s="1"/>
  <c r="D759" i="73" s="1"/>
  <c r="AR190" i="73"/>
  <c r="M552" i="73"/>
  <c r="AF134" i="73"/>
  <c r="G172" i="73"/>
  <c r="G744" i="73" s="1"/>
  <c r="AR48" i="73"/>
  <c r="D122" i="73"/>
  <c r="D556" i="73" s="1"/>
  <c r="B338" i="73"/>
  <c r="AR52" i="73"/>
  <c r="B493" i="73"/>
  <c r="AR113" i="73"/>
  <c r="H745" i="73"/>
  <c r="AR148" i="73"/>
  <c r="AR108" i="73"/>
  <c r="I172" i="73"/>
  <c r="I744" i="73" s="1"/>
  <c r="E172" i="73"/>
  <c r="E744" i="73" s="1"/>
  <c r="M172" i="73"/>
  <c r="K50" i="73"/>
  <c r="K390" i="73" s="1"/>
  <c r="AC148" i="73"/>
  <c r="M600" i="73"/>
  <c r="M491" i="73"/>
  <c r="AR111" i="73"/>
  <c r="AC65" i="73"/>
  <c r="M378" i="73"/>
  <c r="M307" i="73"/>
  <c r="N14" i="73"/>
  <c r="M477" i="73"/>
  <c r="N90" i="73"/>
  <c r="O90" i="73" s="1"/>
  <c r="AR53" i="73"/>
  <c r="B339" i="73"/>
  <c r="F411" i="73"/>
  <c r="D251" i="73"/>
  <c r="D748" i="73" s="1"/>
  <c r="AR12" i="73"/>
  <c r="J42" i="73"/>
  <c r="J382" i="73" s="1"/>
  <c r="C42" i="73"/>
  <c r="C382" i="73" s="1"/>
  <c r="I42" i="73"/>
  <c r="I382" i="73" s="1"/>
  <c r="G42" i="73"/>
  <c r="G382" i="73" s="1"/>
  <c r="D42" i="73"/>
  <c r="D382" i="73" s="1"/>
  <c r="L42" i="73"/>
  <c r="L382" i="73" s="1"/>
  <c r="F42" i="73"/>
  <c r="F382" i="73" s="1"/>
  <c r="B42" i="73"/>
  <c r="B382" i="73" s="1"/>
  <c r="H42" i="73"/>
  <c r="H382" i="73" s="1"/>
  <c r="J154" i="73"/>
  <c r="J633" i="73" s="1"/>
  <c r="C154" i="73"/>
  <c r="C633" i="73" s="1"/>
  <c r="H154" i="73"/>
  <c r="H633" i="73" s="1"/>
  <c r="H410" i="73"/>
  <c r="AL100" i="73"/>
  <c r="S34" i="73"/>
  <c r="B58" i="73"/>
  <c r="B398" i="73" s="1"/>
  <c r="R34" i="73"/>
  <c r="M42" i="73"/>
  <c r="N42" i="73" s="1"/>
  <c r="O42" i="73" s="1"/>
  <c r="I58" i="73"/>
  <c r="I398" i="73" s="1"/>
  <c r="D487" i="73"/>
  <c r="B325" i="73"/>
  <c r="AR39" i="73"/>
  <c r="K329" i="73"/>
  <c r="K751" i="73" s="1"/>
  <c r="AR43" i="73"/>
  <c r="K509" i="73"/>
  <c r="AR129" i="73"/>
  <c r="AR202" i="73"/>
  <c r="J172" i="73"/>
  <c r="J744" i="73" s="1"/>
  <c r="F172" i="73"/>
  <c r="F744" i="73" s="1"/>
  <c r="D172" i="73"/>
  <c r="D744" i="73" s="1"/>
  <c r="AR7" i="73"/>
  <c r="M58" i="73"/>
  <c r="N111" i="73"/>
  <c r="M545" i="73"/>
  <c r="N30" i="73"/>
  <c r="M323" i="73"/>
  <c r="K250" i="73"/>
  <c r="AO32" i="73"/>
  <c r="B504" i="73"/>
  <c r="AR124" i="73"/>
  <c r="AB30" i="73"/>
  <c r="AC30" i="73" s="1"/>
  <c r="Y30" i="73"/>
  <c r="J296" i="73" s="1"/>
  <c r="C58" i="73"/>
  <c r="C398" i="73" s="1"/>
  <c r="J58" i="73"/>
  <c r="J398" i="73" s="1"/>
  <c r="D58" i="73"/>
  <c r="D398" i="73" s="1"/>
  <c r="G58" i="73"/>
  <c r="G398" i="73" s="1"/>
  <c r="F58" i="73"/>
  <c r="F398" i="73" s="1"/>
  <c r="H58" i="73"/>
  <c r="H398" i="73" s="1"/>
  <c r="K58" i="73"/>
  <c r="K398" i="73" s="1"/>
  <c r="L58" i="73"/>
  <c r="L398" i="73" s="1"/>
  <c r="H235" i="73"/>
  <c r="C130" i="73"/>
  <c r="C564" i="73" s="1"/>
  <c r="H130" i="73"/>
  <c r="H564" i="73" s="1"/>
  <c r="J130" i="73"/>
  <c r="J564" i="73" s="1"/>
  <c r="B130" i="73"/>
  <c r="B564" i="73" s="1"/>
  <c r="I130" i="73"/>
  <c r="I564" i="73" s="1"/>
  <c r="E130" i="73"/>
  <c r="E564" i="73" s="1"/>
  <c r="G130" i="73"/>
  <c r="G564" i="73" s="1"/>
  <c r="D130" i="73"/>
  <c r="D564" i="73" s="1"/>
  <c r="K130" i="73"/>
  <c r="K564" i="73" s="1"/>
  <c r="F130" i="73"/>
  <c r="F564" i="73" s="1"/>
  <c r="C162" i="73"/>
  <c r="C641" i="73" s="1"/>
  <c r="I162" i="73"/>
  <c r="I641" i="73" s="1"/>
  <c r="J162" i="73"/>
  <c r="J641" i="73" s="1"/>
  <c r="K162" i="73"/>
  <c r="K641" i="73" s="1"/>
  <c r="H495" i="73"/>
  <c r="AL134" i="73"/>
  <c r="AL170" i="73"/>
  <c r="AF170" i="73"/>
  <c r="AL32" i="73"/>
  <c r="K42" i="73"/>
  <c r="K382" i="73" s="1"/>
  <c r="E42" i="73"/>
  <c r="E382" i="73" s="1"/>
  <c r="E753" i="73" s="1"/>
  <c r="L415" i="73"/>
  <c r="AR82" i="73"/>
  <c r="AR83" i="73"/>
  <c r="K416" i="73"/>
  <c r="AR21" i="73"/>
  <c r="AR8" i="73"/>
  <c r="AF100" i="73"/>
  <c r="H239" i="73"/>
  <c r="N132" i="73"/>
  <c r="M312" i="73"/>
  <c r="AR16" i="73"/>
  <c r="AR17" i="73"/>
  <c r="N199" i="73"/>
  <c r="AR22" i="73"/>
  <c r="N27" i="73"/>
  <c r="N107" i="73"/>
  <c r="Z22" i="73"/>
  <c r="K288" i="73" s="1"/>
  <c r="R43" i="73"/>
  <c r="C356" i="73" s="1"/>
  <c r="U14" i="73"/>
  <c r="F280" i="73" s="1"/>
  <c r="U133" i="73"/>
  <c r="F540" i="73" s="1"/>
  <c r="S144" i="73"/>
  <c r="D596" i="73" s="1"/>
  <c r="R96" i="73"/>
  <c r="C456" i="73" s="1"/>
  <c r="Z96" i="73"/>
  <c r="K456" i="73" s="1"/>
  <c r="X51" i="73"/>
  <c r="I364" i="73" s="1"/>
  <c r="V80" i="73"/>
  <c r="G440" i="73" s="1"/>
  <c r="AB111" i="73"/>
  <c r="AC111" i="73" s="1"/>
  <c r="AB167" i="73"/>
  <c r="AC167" i="73" s="1"/>
  <c r="S119" i="73"/>
  <c r="D526" i="73" s="1"/>
  <c r="Y167" i="73"/>
  <c r="J619" i="73" s="1"/>
  <c r="T30" i="73"/>
  <c r="E296" i="73" s="1"/>
  <c r="S51" i="73"/>
  <c r="D364" i="73" s="1"/>
  <c r="Z159" i="73"/>
  <c r="K611" i="73" s="1"/>
  <c r="T14" i="73"/>
  <c r="E280" i="73" s="1"/>
  <c r="AA14" i="73"/>
  <c r="L280" i="73" s="1"/>
  <c r="T80" i="73"/>
  <c r="E440" i="73" s="1"/>
  <c r="S58" i="73"/>
  <c r="D371" i="73" s="1"/>
  <c r="AC14" i="73"/>
  <c r="M280" i="73"/>
  <c r="S190" i="73"/>
  <c r="D689" i="73" s="1"/>
  <c r="U190" i="73"/>
  <c r="F689" i="73" s="1"/>
  <c r="S88" i="73"/>
  <c r="D448" i="73" s="1"/>
  <c r="X88" i="73"/>
  <c r="I448" i="73" s="1"/>
  <c r="K21" i="66"/>
  <c r="X6" i="73"/>
  <c r="I272" i="73" s="1"/>
  <c r="S6" i="73"/>
  <c r="D272" i="73" s="1"/>
  <c r="E5" i="66"/>
  <c r="AB6" i="73"/>
  <c r="Y6" i="73"/>
  <c r="J272" i="73" s="1"/>
  <c r="W6" i="73"/>
  <c r="H272" i="73" s="1"/>
  <c r="B261" i="73"/>
  <c r="W34" i="73"/>
  <c r="H731" i="73" s="1"/>
  <c r="U88" i="73"/>
  <c r="F448" i="73" s="1"/>
  <c r="K760" i="73"/>
  <c r="Z80" i="73"/>
  <c r="K440" i="73" s="1"/>
  <c r="W190" i="73"/>
  <c r="H689" i="73" s="1"/>
  <c r="Z58" i="73"/>
  <c r="K371" i="73" s="1"/>
  <c r="U58" i="73"/>
  <c r="F371" i="73" s="1"/>
  <c r="V58" i="73"/>
  <c r="G371" i="73" s="1"/>
  <c r="AB88" i="73"/>
  <c r="Z14" i="73"/>
  <c r="K280" i="73" s="1"/>
  <c r="T58" i="73"/>
  <c r="E371" i="73" s="1"/>
  <c r="V6" i="73"/>
  <c r="G272" i="73" s="1"/>
  <c r="N28" i="66"/>
  <c r="O28" i="66" s="1"/>
  <c r="R132" i="73"/>
  <c r="C539" i="73" s="1"/>
  <c r="Z126" i="73"/>
  <c r="K533" i="73" s="1"/>
  <c r="U126" i="73"/>
  <c r="F533" i="73" s="1"/>
  <c r="Y126" i="73"/>
  <c r="J533" i="73" s="1"/>
  <c r="T126" i="73"/>
  <c r="E533" i="73" s="1"/>
  <c r="S126" i="73"/>
  <c r="D533" i="73" s="1"/>
  <c r="N23" i="66"/>
  <c r="O23" i="66" s="1"/>
  <c r="X126" i="73"/>
  <c r="I533" i="73" s="1"/>
  <c r="X118" i="73"/>
  <c r="I525" i="73" s="1"/>
  <c r="N15" i="66"/>
  <c r="Z118" i="73"/>
  <c r="K525" i="73" s="1"/>
  <c r="U118" i="73"/>
  <c r="F525" i="73" s="1"/>
  <c r="Y118" i="73"/>
  <c r="J525" i="73" s="1"/>
  <c r="T118" i="73"/>
  <c r="E525" i="73" s="1"/>
  <c r="U110" i="73"/>
  <c r="F517" i="73" s="1"/>
  <c r="Y110" i="73"/>
  <c r="J517" i="73" s="1"/>
  <c r="T110" i="73"/>
  <c r="E517" i="73" s="1"/>
  <c r="S110" i="73"/>
  <c r="D517" i="73" s="1"/>
  <c r="N6" i="66"/>
  <c r="O6" i="66" s="1"/>
  <c r="Q27" i="66"/>
  <c r="R166" i="73"/>
  <c r="C618" i="73" s="1"/>
  <c r="T166" i="73"/>
  <c r="E618" i="73" s="1"/>
  <c r="Z166" i="73"/>
  <c r="K618" i="73" s="1"/>
  <c r="X166" i="73"/>
  <c r="I618" i="73" s="1"/>
  <c r="U166" i="73"/>
  <c r="F618" i="73" s="1"/>
  <c r="AB166" i="73"/>
  <c r="AA166" i="73"/>
  <c r="L618" i="73" s="1"/>
  <c r="S166" i="73"/>
  <c r="D618" i="73" s="1"/>
  <c r="V166" i="73"/>
  <c r="G618" i="73" s="1"/>
  <c r="Y166" i="73"/>
  <c r="J618" i="73" s="1"/>
  <c r="Q166" i="73"/>
  <c r="B618" i="73" s="1"/>
  <c r="Q158" i="73"/>
  <c r="B610" i="73" s="1"/>
  <c r="W158" i="73"/>
  <c r="H610" i="73" s="1"/>
  <c r="U158" i="73"/>
  <c r="F610" i="73" s="1"/>
  <c r="Y158" i="73"/>
  <c r="J610" i="73" s="1"/>
  <c r="V158" i="73"/>
  <c r="G610" i="73" s="1"/>
  <c r="Z158" i="73"/>
  <c r="K610" i="73" s="1"/>
  <c r="T158" i="73"/>
  <c r="E610" i="73" s="1"/>
  <c r="R158" i="73"/>
  <c r="C610" i="73" s="1"/>
  <c r="X158" i="73"/>
  <c r="I610" i="73" s="1"/>
  <c r="AA158" i="73"/>
  <c r="L610" i="73" s="1"/>
  <c r="Q21" i="66"/>
  <c r="Q11" i="66"/>
  <c r="W150" i="73"/>
  <c r="H602" i="73" s="1"/>
  <c r="T143" i="73"/>
  <c r="E595" i="73" s="1"/>
  <c r="AB143" i="73"/>
  <c r="Q4" i="66"/>
  <c r="R143" i="73"/>
  <c r="C595" i="73" s="1"/>
  <c r="K59" i="73"/>
  <c r="K399" i="73" s="1"/>
  <c r="E59" i="73"/>
  <c r="E399" i="73" s="1"/>
  <c r="B59" i="73"/>
  <c r="B399" i="73" s="1"/>
  <c r="F59" i="73"/>
  <c r="F399" i="73" s="1"/>
  <c r="F51" i="73"/>
  <c r="F391" i="73" s="1"/>
  <c r="H224" i="73"/>
  <c r="E51" i="73"/>
  <c r="E391" i="73" s="1"/>
  <c r="K51" i="73"/>
  <c r="K391" i="73" s="1"/>
  <c r="B43" i="73"/>
  <c r="B383" i="73" s="1"/>
  <c r="K43" i="73"/>
  <c r="K383" i="73" s="1"/>
  <c r="H216" i="73"/>
  <c r="L43" i="73"/>
  <c r="L383" i="73" s="1"/>
  <c r="F43" i="73"/>
  <c r="F383" i="73" s="1"/>
  <c r="E43" i="73"/>
  <c r="E383" i="73" s="1"/>
  <c r="G131" i="73"/>
  <c r="G565" i="73" s="1"/>
  <c r="I131" i="73"/>
  <c r="I565" i="73" s="1"/>
  <c r="J131" i="73"/>
  <c r="J565" i="73" s="1"/>
  <c r="B131" i="73"/>
  <c r="B565" i="73" s="1"/>
  <c r="L131" i="73"/>
  <c r="L565" i="73" s="1"/>
  <c r="E131" i="73"/>
  <c r="E565" i="73" s="1"/>
  <c r="M131" i="73"/>
  <c r="M565" i="73" s="1"/>
  <c r="D131" i="73"/>
  <c r="D565" i="73" s="1"/>
  <c r="H236" i="73"/>
  <c r="F131" i="73"/>
  <c r="F565" i="73" s="1"/>
  <c r="K131" i="73"/>
  <c r="K565" i="73" s="1"/>
  <c r="H131" i="73"/>
  <c r="H565" i="73" s="1"/>
  <c r="K123" i="73"/>
  <c r="K557" i="73" s="1"/>
  <c r="J123" i="73"/>
  <c r="J557" i="73" s="1"/>
  <c r="L123" i="73"/>
  <c r="L557" i="73" s="1"/>
  <c r="M123" i="73"/>
  <c r="G123" i="73"/>
  <c r="G557" i="73" s="1"/>
  <c r="H228" i="73"/>
  <c r="B123" i="73"/>
  <c r="B557" i="73" s="1"/>
  <c r="H123" i="73"/>
  <c r="H557" i="73" s="1"/>
  <c r="E123" i="73"/>
  <c r="E557" i="73" s="1"/>
  <c r="C123" i="73"/>
  <c r="C557" i="73" s="1"/>
  <c r="I123" i="73"/>
  <c r="I557" i="73" s="1"/>
  <c r="C115" i="73"/>
  <c r="C549" i="73" s="1"/>
  <c r="H220" i="73"/>
  <c r="G115" i="73"/>
  <c r="G549" i="73" s="1"/>
  <c r="E115" i="73"/>
  <c r="E549" i="73" s="1"/>
  <c r="J115" i="73"/>
  <c r="J549" i="73" s="1"/>
  <c r="L115" i="73"/>
  <c r="L549" i="73" s="1"/>
  <c r="D115" i="73"/>
  <c r="D549" i="73" s="1"/>
  <c r="B115" i="73"/>
  <c r="B549" i="73" s="1"/>
  <c r="F115" i="73"/>
  <c r="F549" i="73" s="1"/>
  <c r="I115" i="73"/>
  <c r="I549" i="73" s="1"/>
  <c r="M115" i="73"/>
  <c r="H115" i="73"/>
  <c r="H549" i="73" s="1"/>
  <c r="K115" i="73"/>
  <c r="K549" i="73" s="1"/>
  <c r="C163" i="73"/>
  <c r="C642" i="73" s="1"/>
  <c r="H163" i="73"/>
  <c r="H642" i="73" s="1"/>
  <c r="M163" i="73"/>
  <c r="K155" i="73"/>
  <c r="K634" i="73" s="1"/>
  <c r="H155" i="73"/>
  <c r="H634" i="73" s="1"/>
  <c r="M155" i="73"/>
  <c r="N155" i="73" s="1"/>
  <c r="H147" i="73"/>
  <c r="H626" i="73" s="1"/>
  <c r="F147" i="73"/>
  <c r="F626" i="73" s="1"/>
  <c r="C147" i="73"/>
  <c r="C626" i="73" s="1"/>
  <c r="M147" i="73"/>
  <c r="AK66" i="73"/>
  <c r="G327" i="73"/>
  <c r="AK100" i="73"/>
  <c r="G412" i="73"/>
  <c r="G489" i="73"/>
  <c r="AK134" i="73"/>
  <c r="G574" i="73"/>
  <c r="G760" i="73" s="1"/>
  <c r="AK170" i="73"/>
  <c r="AK204" i="73"/>
  <c r="AK205" i="73" s="1"/>
  <c r="G651" i="73"/>
  <c r="F250" i="73"/>
  <c r="AR11" i="73"/>
  <c r="AA30" i="73"/>
  <c r="L296" i="73" s="1"/>
  <c r="S30" i="73"/>
  <c r="D296" i="73" s="1"/>
  <c r="R30" i="73"/>
  <c r="C296" i="73" s="1"/>
  <c r="E28" i="66"/>
  <c r="Z51" i="73"/>
  <c r="K364" i="73" s="1"/>
  <c r="U51" i="73"/>
  <c r="F364" i="73" s="1"/>
  <c r="H14" i="66"/>
  <c r="I14" i="66" s="1"/>
  <c r="M715" i="73"/>
  <c r="AR197" i="73"/>
  <c r="Y43" i="73"/>
  <c r="J356" i="73" s="1"/>
  <c r="U34" i="73"/>
  <c r="T34" i="73"/>
  <c r="E731" i="73" s="1"/>
  <c r="AA51" i="73"/>
  <c r="L364" i="73" s="1"/>
  <c r="V30" i="73"/>
  <c r="G296" i="73" s="1"/>
  <c r="W88" i="73"/>
  <c r="H448" i="73" s="1"/>
  <c r="V198" i="73"/>
  <c r="G697" i="73" s="1"/>
  <c r="V96" i="73"/>
  <c r="G456" i="73" s="1"/>
  <c r="X34" i="73"/>
  <c r="I731" i="73" s="1"/>
  <c r="S14" i="73"/>
  <c r="D280" i="73" s="1"/>
  <c r="AG66" i="73"/>
  <c r="C332" i="73"/>
  <c r="D257" i="73"/>
  <c r="AH32" i="73"/>
  <c r="AR18" i="73"/>
  <c r="AH100" i="73"/>
  <c r="D408" i="73"/>
  <c r="D754" i="73" s="1"/>
  <c r="AH134" i="73"/>
  <c r="D422" i="73"/>
  <c r="AR89" i="73"/>
  <c r="AH66" i="73"/>
  <c r="AI134" i="73"/>
  <c r="AR31" i="73"/>
  <c r="C754" i="73"/>
  <c r="C248" i="73"/>
  <c r="C748" i="73" s="1"/>
  <c r="AR9" i="73"/>
  <c r="Y80" i="73"/>
  <c r="J440" i="73" s="1"/>
  <c r="S80" i="73"/>
  <c r="D440" i="73" s="1"/>
  <c r="K11" i="66"/>
  <c r="X80" i="73"/>
  <c r="I440" i="73" s="1"/>
  <c r="X58" i="73"/>
  <c r="I371" i="73" s="1"/>
  <c r="H23" i="66"/>
  <c r="I23" i="66" s="1"/>
  <c r="N77" i="73"/>
  <c r="O77" i="73" s="1"/>
  <c r="N88" i="73"/>
  <c r="O88" i="73" s="1"/>
  <c r="Q80" i="73"/>
  <c r="B440" i="73" s="1"/>
  <c r="AB34" i="73"/>
  <c r="AR188" i="73"/>
  <c r="Y58" i="73"/>
  <c r="J371" i="73" s="1"/>
  <c r="Z43" i="73"/>
  <c r="K356" i="73" s="1"/>
  <c r="X30" i="73"/>
  <c r="I296" i="73" s="1"/>
  <c r="W43" i="73"/>
  <c r="H356" i="73" s="1"/>
  <c r="Z88" i="73"/>
  <c r="K448" i="73" s="1"/>
  <c r="U30" i="73"/>
  <c r="F296" i="73" s="1"/>
  <c r="AA88" i="73"/>
  <c r="L448" i="73" s="1"/>
  <c r="AB80" i="73"/>
  <c r="M440" i="73" s="1"/>
  <c r="Z6" i="73"/>
  <c r="K272" i="73" s="1"/>
  <c r="T88" i="73"/>
  <c r="E448" i="73" s="1"/>
  <c r="M465" i="73"/>
  <c r="L508" i="73"/>
  <c r="AR128" i="73"/>
  <c r="S96" i="73"/>
  <c r="D456" i="73" s="1"/>
  <c r="K27" i="66"/>
  <c r="W22" i="73"/>
  <c r="H288" i="73" s="1"/>
  <c r="R22" i="73"/>
  <c r="C288" i="73" s="1"/>
  <c r="E20" i="66"/>
  <c r="F20" i="66" s="1"/>
  <c r="H8" i="66"/>
  <c r="T43" i="73"/>
  <c r="E356" i="73" s="1"/>
  <c r="U43" i="73"/>
  <c r="F356" i="73" s="1"/>
  <c r="Q43" i="73"/>
  <c r="B356" i="73" s="1"/>
  <c r="M471" i="73"/>
  <c r="N5" i="73"/>
  <c r="Q88" i="73"/>
  <c r="B448" i="73" s="1"/>
  <c r="Q58" i="73"/>
  <c r="B371" i="73" s="1"/>
  <c r="Q51" i="73"/>
  <c r="B364" i="73" s="1"/>
  <c r="AR40" i="73"/>
  <c r="AA43" i="73"/>
  <c r="L356" i="73" s="1"/>
  <c r="S43" i="73"/>
  <c r="D356" i="73" s="1"/>
  <c r="U22" i="73"/>
  <c r="F288" i="73" s="1"/>
  <c r="R58" i="73"/>
  <c r="C371" i="73" s="1"/>
  <c r="AB96" i="73"/>
  <c r="AC96" i="73" s="1"/>
  <c r="V51" i="73"/>
  <c r="G364" i="73" s="1"/>
  <c r="Q22" i="73"/>
  <c r="B288" i="73" s="1"/>
  <c r="S22" i="73"/>
  <c r="D288" i="73" s="1"/>
  <c r="M735" i="73"/>
  <c r="M460" i="73"/>
  <c r="N63" i="73"/>
  <c r="O63" i="73" s="1"/>
  <c r="W30" i="73"/>
  <c r="H296" i="73" s="1"/>
  <c r="AR196" i="73"/>
  <c r="X96" i="73"/>
  <c r="I456" i="73" s="1"/>
  <c r="T6" i="73"/>
  <c r="E272" i="73" s="1"/>
  <c r="AA6" i="73"/>
  <c r="L272" i="73" s="1"/>
  <c r="R88" i="73"/>
  <c r="C448" i="73" s="1"/>
  <c r="U6" i="73"/>
  <c r="F272" i="73" s="1"/>
  <c r="Y22" i="73"/>
  <c r="J288" i="73" s="1"/>
  <c r="AB43" i="73"/>
  <c r="AC43" i="73" s="1"/>
  <c r="AB22" i="73"/>
  <c r="AC22" i="73" s="1"/>
  <c r="K411" i="73"/>
  <c r="AO100" i="73"/>
  <c r="E431" i="73"/>
  <c r="AR98" i="73"/>
  <c r="T198" i="73"/>
  <c r="E697" i="73" s="1"/>
  <c r="X198" i="73"/>
  <c r="I697" i="73" s="1"/>
  <c r="Y198" i="73"/>
  <c r="J697" i="73" s="1"/>
  <c r="W14" i="73"/>
  <c r="H280" i="73" s="1"/>
  <c r="X14" i="73"/>
  <c r="I280" i="73" s="1"/>
  <c r="R14" i="73"/>
  <c r="C280" i="73" s="1"/>
  <c r="E13" i="66"/>
  <c r="F13" i="66" s="1"/>
  <c r="Y14" i="73"/>
  <c r="J280" i="73" s="1"/>
  <c r="AO204" i="73"/>
  <c r="Z30" i="73"/>
  <c r="K296" i="73" s="1"/>
  <c r="W80" i="73"/>
  <c r="H440" i="73" s="1"/>
  <c r="Y34" i="73"/>
  <c r="J731" i="73" s="1"/>
  <c r="V34" i="73"/>
  <c r="G731" i="73" s="1"/>
  <c r="Z34" i="73"/>
  <c r="V22" i="73"/>
  <c r="G288" i="73" s="1"/>
  <c r="F5" i="66"/>
  <c r="AB51" i="73"/>
  <c r="AC51" i="73" s="1"/>
  <c r="AB58" i="73"/>
  <c r="AC58" i="73" s="1"/>
  <c r="W51" i="73"/>
  <c r="H364" i="73" s="1"/>
  <c r="T22" i="73"/>
  <c r="E288" i="73" s="1"/>
  <c r="W58" i="73"/>
  <c r="H371" i="73" s="1"/>
  <c r="R51" i="73"/>
  <c r="C364" i="73" s="1"/>
  <c r="AA80" i="73"/>
  <c r="L440" i="73" s="1"/>
  <c r="V43" i="73"/>
  <c r="G356" i="73" s="1"/>
  <c r="V88" i="73"/>
  <c r="G448" i="73" s="1"/>
  <c r="Q14" i="73"/>
  <c r="B280" i="73" s="1"/>
  <c r="AA22" i="73"/>
  <c r="L288" i="73" s="1"/>
  <c r="T51" i="73"/>
  <c r="E364" i="73" s="1"/>
  <c r="R6" i="73"/>
  <c r="C272" i="73" s="1"/>
  <c r="B501" i="73"/>
  <c r="AR121" i="73"/>
  <c r="U182" i="73"/>
  <c r="F681" i="73" s="1"/>
  <c r="X182" i="73"/>
  <c r="I681" i="73" s="1"/>
  <c r="Y182" i="73"/>
  <c r="J681" i="73" s="1"/>
  <c r="AA34" i="73"/>
  <c r="Q34" i="73"/>
  <c r="B731" i="73" s="1"/>
  <c r="Y96" i="73"/>
  <c r="J456" i="73" s="1"/>
  <c r="U96" i="73"/>
  <c r="F456" i="73" s="1"/>
  <c r="U80" i="73"/>
  <c r="F440" i="73" s="1"/>
  <c r="V14" i="73"/>
  <c r="G280" i="73" s="1"/>
  <c r="W96" i="73"/>
  <c r="H456" i="73" s="1"/>
  <c r="AA96" i="73"/>
  <c r="L456" i="73" s="1"/>
  <c r="J204" i="73"/>
  <c r="L32" i="73"/>
  <c r="F414" i="73"/>
  <c r="F754" i="73" s="1"/>
  <c r="AR81" i="73"/>
  <c r="Y88" i="73"/>
  <c r="J448" i="73" s="1"/>
  <c r="G763" i="73"/>
  <c r="BX39" i="66"/>
  <c r="I10" i="66"/>
  <c r="AQ66" i="73"/>
  <c r="AQ100" i="73"/>
  <c r="AN134" i="73"/>
  <c r="AG100" i="73"/>
  <c r="R10" i="66"/>
  <c r="AI100" i="73"/>
  <c r="R9" i="66"/>
  <c r="M32" i="73"/>
  <c r="G751" i="73"/>
  <c r="O15" i="128"/>
  <c r="O30" i="128"/>
  <c r="E17" i="127"/>
  <c r="R15" i="127"/>
  <c r="M6" i="127"/>
  <c r="AM18" i="66"/>
  <c r="J11" i="122"/>
  <c r="E7" i="128"/>
  <c r="J7" i="128" s="1"/>
  <c r="Z10" i="66"/>
  <c r="H20" i="128"/>
  <c r="Z24" i="66"/>
  <c r="E23" i="128"/>
  <c r="M297" i="73"/>
  <c r="AC31" i="73"/>
  <c r="U44" i="73"/>
  <c r="F357" i="73" s="1"/>
  <c r="Z31" i="73"/>
  <c r="K297" i="73" s="1"/>
  <c r="Z167" i="73"/>
  <c r="K619" i="73" s="1"/>
  <c r="W144" i="73"/>
  <c r="H596" i="73" s="1"/>
  <c r="X159" i="73"/>
  <c r="I611" i="73" s="1"/>
  <c r="Q159" i="73"/>
  <c r="B611" i="73" s="1"/>
  <c r="X59" i="73"/>
  <c r="I372" i="73" s="1"/>
  <c r="Q59" i="73"/>
  <c r="B372" i="73" s="1"/>
  <c r="H26" i="66"/>
  <c r="N192" i="73"/>
  <c r="Q19" i="66"/>
  <c r="R19" i="66" s="1"/>
  <c r="U144" i="73"/>
  <c r="F596" i="73" s="1"/>
  <c r="W159" i="73"/>
  <c r="H611" i="73" s="1"/>
  <c r="X111" i="73"/>
  <c r="I518" i="73" s="1"/>
  <c r="Z59" i="73"/>
  <c r="K372" i="73" s="1"/>
  <c r="V31" i="73"/>
  <c r="G297" i="73" s="1"/>
  <c r="V191" i="73"/>
  <c r="G690" i="73" s="1"/>
  <c r="W167" i="73"/>
  <c r="H619" i="73" s="1"/>
  <c r="Y133" i="73"/>
  <c r="J540" i="73" s="1"/>
  <c r="S15" i="73"/>
  <c r="D281" i="73" s="1"/>
  <c r="V183" i="73"/>
  <c r="G682" i="73" s="1"/>
  <c r="Z52" i="73"/>
  <c r="K365" i="73" s="1"/>
  <c r="X7" i="73"/>
  <c r="I273" i="73" s="1"/>
  <c r="Z199" i="73"/>
  <c r="K698" i="73" s="1"/>
  <c r="Q119" i="73"/>
  <c r="B526" i="73" s="1"/>
  <c r="M382" i="73"/>
  <c r="Q167" i="73"/>
  <c r="B619" i="73" s="1"/>
  <c r="I204" i="73"/>
  <c r="J714" i="73"/>
  <c r="J765" i="73" s="1"/>
  <c r="T144" i="73"/>
  <c r="E596" i="73" s="1"/>
  <c r="C32" i="73"/>
  <c r="S167" i="73"/>
  <c r="D619" i="73" s="1"/>
  <c r="Y44" i="73"/>
  <c r="J357" i="73" s="1"/>
  <c r="AB199" i="73"/>
  <c r="AC199" i="73" s="1"/>
  <c r="AB191" i="73"/>
  <c r="M690" i="73" s="1"/>
  <c r="X183" i="73"/>
  <c r="I682" i="73" s="1"/>
  <c r="Y183" i="73"/>
  <c r="J682" i="73" s="1"/>
  <c r="T7" i="73"/>
  <c r="E273" i="73" s="1"/>
  <c r="H9" i="66"/>
  <c r="R159" i="73"/>
  <c r="C611" i="73" s="1"/>
  <c r="Y111" i="73"/>
  <c r="J518" i="73" s="1"/>
  <c r="U31" i="73"/>
  <c r="F297" i="73" s="1"/>
  <c r="Z191" i="73"/>
  <c r="K690" i="73" s="1"/>
  <c r="W15" i="73"/>
  <c r="H281" i="73" s="1"/>
  <c r="Z183" i="73"/>
  <c r="K682" i="73" s="1"/>
  <c r="Z151" i="73"/>
  <c r="K603" i="73" s="1"/>
  <c r="T44" i="73"/>
  <c r="E357" i="73" s="1"/>
  <c r="T199" i="73"/>
  <c r="E698" i="73" s="1"/>
  <c r="AA199" i="73"/>
  <c r="L698" i="73" s="1"/>
  <c r="X119" i="73"/>
  <c r="I526" i="73" s="1"/>
  <c r="W23" i="73"/>
  <c r="H289" i="73" s="1"/>
  <c r="M463" i="73"/>
  <c r="M644" i="73"/>
  <c r="G32" i="73"/>
  <c r="Q144" i="73"/>
  <c r="B596" i="73" s="1"/>
  <c r="AA59" i="73"/>
  <c r="L372" i="73" s="1"/>
  <c r="Z44" i="73"/>
  <c r="K357" i="73" s="1"/>
  <c r="Z15" i="73"/>
  <c r="K281" i="73" s="1"/>
  <c r="Y23" i="73"/>
  <c r="J289" i="73" s="1"/>
  <c r="AA15" i="73"/>
  <c r="L281" i="73" s="1"/>
  <c r="Y31" i="73"/>
  <c r="J297" i="73" s="1"/>
  <c r="AA7" i="73"/>
  <c r="L273" i="73" s="1"/>
  <c r="T15" i="73"/>
  <c r="E281" i="73" s="1"/>
  <c r="M518" i="73"/>
  <c r="AB23" i="73"/>
  <c r="AC23" i="73" s="1"/>
  <c r="Q52" i="73"/>
  <c r="B365" i="73" s="1"/>
  <c r="Y159" i="73"/>
  <c r="J611" i="73" s="1"/>
  <c r="W59" i="73"/>
  <c r="H372" i="73" s="1"/>
  <c r="R44" i="73"/>
  <c r="C357" i="73" s="1"/>
  <c r="AA144" i="73"/>
  <c r="L596" i="73" s="1"/>
  <c r="S44" i="73"/>
  <c r="D357" i="73" s="1"/>
  <c r="E16" i="66"/>
  <c r="N14" i="66"/>
  <c r="T10" i="66"/>
  <c r="N8" i="66"/>
  <c r="O8" i="66" s="1"/>
  <c r="U159" i="73"/>
  <c r="F611" i="73" s="1"/>
  <c r="W111" i="73"/>
  <c r="H518" i="73" s="1"/>
  <c r="R111" i="73"/>
  <c r="C518" i="73" s="1"/>
  <c r="Q31" i="73"/>
  <c r="B297" i="73" s="1"/>
  <c r="U191" i="73"/>
  <c r="F690" i="73" s="1"/>
  <c r="AB15" i="73"/>
  <c r="AC15" i="73" s="1"/>
  <c r="U183" i="73"/>
  <c r="F682" i="73" s="1"/>
  <c r="V44" i="73"/>
  <c r="G357" i="73" s="1"/>
  <c r="R199" i="73"/>
  <c r="C698" i="73" s="1"/>
  <c r="W199" i="73"/>
  <c r="H698" i="73" s="1"/>
  <c r="T119" i="73"/>
  <c r="E526" i="73" s="1"/>
  <c r="AA23" i="73"/>
  <c r="L289" i="73" s="1"/>
  <c r="N126" i="73"/>
  <c r="M763" i="73"/>
  <c r="V144" i="73"/>
  <c r="G596" i="73" s="1"/>
  <c r="X133" i="73"/>
  <c r="I540" i="73" s="1"/>
  <c r="U15" i="73"/>
  <c r="F281" i="73" s="1"/>
  <c r="N131" i="73"/>
  <c r="AB119" i="73"/>
  <c r="Y52" i="73"/>
  <c r="J365" i="73" s="1"/>
  <c r="V133" i="73"/>
  <c r="G540" i="73" s="1"/>
  <c r="V167" i="73"/>
  <c r="G619" i="73" s="1"/>
  <c r="W133" i="73"/>
  <c r="H540" i="73" s="1"/>
  <c r="W52" i="73"/>
  <c r="H365" i="73" s="1"/>
  <c r="AB183" i="73"/>
  <c r="M682" i="73" s="1"/>
  <c r="X23" i="73"/>
  <c r="I289" i="73" s="1"/>
  <c r="T18" i="66"/>
  <c r="AB159" i="73"/>
  <c r="AC159" i="73" s="1"/>
  <c r="AA111" i="73"/>
  <c r="L518" i="73" s="1"/>
  <c r="V111" i="73"/>
  <c r="G518" i="73" s="1"/>
  <c r="S31" i="73"/>
  <c r="D297" i="73" s="1"/>
  <c r="R191" i="73"/>
  <c r="C690" i="73" s="1"/>
  <c r="AA191" i="73"/>
  <c r="L690" i="73" s="1"/>
  <c r="V15" i="73"/>
  <c r="G281" i="73" s="1"/>
  <c r="AA183" i="73"/>
  <c r="L682" i="73" s="1"/>
  <c r="W7" i="73"/>
  <c r="H273" i="73" s="1"/>
  <c r="Y199" i="73"/>
  <c r="J698" i="73" s="1"/>
  <c r="S199" i="73"/>
  <c r="D698" i="73" s="1"/>
  <c r="Y119" i="73"/>
  <c r="J526" i="73" s="1"/>
  <c r="R23" i="73"/>
  <c r="C289" i="73" s="1"/>
  <c r="AC206" i="73"/>
  <c r="M396" i="73"/>
  <c r="R31" i="73"/>
  <c r="C297" i="73" s="1"/>
  <c r="Y151" i="73"/>
  <c r="J603" i="73" s="1"/>
  <c r="Y59" i="73"/>
  <c r="J372" i="73" s="1"/>
  <c r="R144" i="73"/>
  <c r="C596" i="73" s="1"/>
  <c r="Z144" i="73"/>
  <c r="K596" i="73" s="1"/>
  <c r="X44" i="73"/>
  <c r="I357" i="73" s="1"/>
  <c r="AB52" i="73"/>
  <c r="AC52" i="73" s="1"/>
  <c r="AB59" i="73"/>
  <c r="AC59" i="73" s="1"/>
  <c r="N124" i="73"/>
  <c r="S23" i="73"/>
  <c r="D289" i="73" s="1"/>
  <c r="T167" i="73"/>
  <c r="E619" i="73" s="1"/>
  <c r="T25" i="66"/>
  <c r="N30" i="66"/>
  <c r="M300" i="73"/>
  <c r="T159" i="73"/>
  <c r="E611" i="73" s="1"/>
  <c r="U111" i="73"/>
  <c r="F518" i="73" s="1"/>
  <c r="Z111" i="73"/>
  <c r="K518" i="73" s="1"/>
  <c r="X31" i="73"/>
  <c r="I297" i="73" s="1"/>
  <c r="T191" i="73"/>
  <c r="E690" i="73" s="1"/>
  <c r="W191" i="73"/>
  <c r="H690" i="73" s="1"/>
  <c r="S133" i="73"/>
  <c r="D540" i="73" s="1"/>
  <c r="Y15" i="73"/>
  <c r="J281" i="73" s="1"/>
  <c r="W183" i="73"/>
  <c r="H682" i="73" s="1"/>
  <c r="AB7" i="73"/>
  <c r="M273" i="73" s="1"/>
  <c r="X199" i="73"/>
  <c r="I698" i="73" s="1"/>
  <c r="AA119" i="73"/>
  <c r="L526" i="73" s="1"/>
  <c r="R119" i="73"/>
  <c r="C526" i="73" s="1"/>
  <c r="Z23" i="73"/>
  <c r="K289" i="73" s="1"/>
  <c r="Q133" i="73"/>
  <c r="B540" i="73" s="1"/>
  <c r="S59" i="73"/>
  <c r="D372" i="73" s="1"/>
  <c r="L302" i="73"/>
  <c r="L750" i="73" s="1"/>
  <c r="U23" i="73"/>
  <c r="F289" i="73" s="1"/>
  <c r="R167" i="73"/>
  <c r="C619" i="73" s="1"/>
  <c r="I26" i="66"/>
  <c r="N74" i="73"/>
  <c r="O74" i="73" s="1"/>
  <c r="M714" i="73"/>
  <c r="N94" i="73"/>
  <c r="O94" i="73" s="1"/>
  <c r="R133" i="73"/>
  <c r="C540" i="73" s="1"/>
  <c r="AB133" i="73"/>
  <c r="V159" i="73"/>
  <c r="G611" i="73" s="1"/>
  <c r="X167" i="73"/>
  <c r="I619" i="73" s="1"/>
  <c r="R59" i="73"/>
  <c r="C372" i="73" s="1"/>
  <c r="AB144" i="73"/>
  <c r="AC144" i="73" s="1"/>
  <c r="E22" i="66"/>
  <c r="H17" i="66"/>
  <c r="I17" i="66" s="1"/>
  <c r="Y144" i="73"/>
  <c r="J596" i="73" s="1"/>
  <c r="Q111" i="73"/>
  <c r="B518" i="73" s="1"/>
  <c r="U59" i="73"/>
  <c r="F372" i="73" s="1"/>
  <c r="W31" i="73"/>
  <c r="H297" i="73" s="1"/>
  <c r="Y191" i="73"/>
  <c r="J690" i="73" s="1"/>
  <c r="S191" i="73"/>
  <c r="D690" i="73" s="1"/>
  <c r="Z133" i="73"/>
  <c r="K540" i="73" s="1"/>
  <c r="T183" i="73"/>
  <c r="E682" i="73" s="1"/>
  <c r="S183" i="73"/>
  <c r="D682" i="73" s="1"/>
  <c r="T52" i="73"/>
  <c r="E365" i="73" s="1"/>
  <c r="V7" i="73"/>
  <c r="G273" i="73" s="1"/>
  <c r="V199" i="73"/>
  <c r="G698" i="73" s="1"/>
  <c r="U119" i="73"/>
  <c r="F526" i="73" s="1"/>
  <c r="V119" i="73"/>
  <c r="G526" i="73" s="1"/>
  <c r="T23" i="73"/>
  <c r="E289" i="73" s="1"/>
  <c r="L763" i="73"/>
  <c r="AA52" i="73"/>
  <c r="L365" i="73" s="1"/>
  <c r="U7" i="73"/>
  <c r="F273" i="73" s="1"/>
  <c r="Q7" i="73"/>
  <c r="B273" i="73" s="1"/>
  <c r="M619" i="73"/>
  <c r="AA167" i="73"/>
  <c r="L619" i="73" s="1"/>
  <c r="R52" i="73"/>
  <c r="C365" i="73" s="1"/>
  <c r="S52" i="73"/>
  <c r="D365" i="73" s="1"/>
  <c r="AA133" i="73"/>
  <c r="L540" i="73" s="1"/>
  <c r="AA31" i="73"/>
  <c r="L297" i="73" s="1"/>
  <c r="R7" i="73"/>
  <c r="C273" i="73" s="1"/>
  <c r="X144" i="73"/>
  <c r="I596" i="73" s="1"/>
  <c r="U167" i="73"/>
  <c r="F619" i="73" s="1"/>
  <c r="W119" i="73"/>
  <c r="H526" i="73" s="1"/>
  <c r="B760" i="73"/>
  <c r="H760" i="73"/>
  <c r="C757" i="73"/>
  <c r="G754" i="73"/>
  <c r="G748" i="73"/>
  <c r="H748" i="73"/>
  <c r="H763" i="73"/>
  <c r="K763" i="73"/>
  <c r="C763" i="73"/>
  <c r="F763" i="73"/>
  <c r="J763" i="73"/>
  <c r="M760" i="73"/>
  <c r="E760" i="73"/>
  <c r="J760" i="73"/>
  <c r="G757" i="73"/>
  <c r="D757" i="73"/>
  <c r="E757" i="73"/>
  <c r="H757" i="73"/>
  <c r="H754" i="73"/>
  <c r="H751" i="73"/>
  <c r="D751" i="73"/>
  <c r="GD18" i="126"/>
  <c r="GF4" i="126"/>
  <c r="AY16" i="66"/>
  <c r="GD14" i="126"/>
  <c r="BO20" i="66"/>
  <c r="GC21" i="126"/>
  <c r="BO6" i="66"/>
  <c r="BO15" i="66"/>
  <c r="BO16" i="66"/>
  <c r="BO7" i="66"/>
  <c r="BO9" i="66"/>
  <c r="GG22" i="126"/>
  <c r="GG15" i="126"/>
  <c r="BK30" i="66"/>
  <c r="BB22" i="66"/>
  <c r="BE10" i="66"/>
  <c r="BE12" i="66"/>
  <c r="BO24" i="66"/>
  <c r="GA4" i="126"/>
  <c r="GG23" i="126"/>
  <c r="GG13" i="126"/>
  <c r="GA23" i="126"/>
  <c r="BO12" i="66"/>
  <c r="BE30" i="66"/>
  <c r="GE10" i="126"/>
  <c r="GD7" i="126"/>
  <c r="FX30" i="126"/>
  <c r="FX32" i="126" s="1"/>
  <c r="GA7" i="126"/>
  <c r="GA10" i="126"/>
  <c r="M693" i="73"/>
  <c r="T30" i="66"/>
  <c r="X179" i="73"/>
  <c r="I678" i="73" s="1"/>
  <c r="W179" i="73"/>
  <c r="H678" i="73" s="1"/>
  <c r="X195" i="73"/>
  <c r="I694" i="73" s="1"/>
  <c r="W195" i="73"/>
  <c r="H694" i="73" s="1"/>
  <c r="U187" i="73"/>
  <c r="F686" i="73" s="1"/>
  <c r="R203" i="73"/>
  <c r="C702" i="73" s="1"/>
  <c r="AB187" i="73"/>
  <c r="Y203" i="73"/>
  <c r="J702" i="73" s="1"/>
  <c r="R179" i="73"/>
  <c r="C678" i="73" s="1"/>
  <c r="R195" i="73"/>
  <c r="C694" i="73" s="1"/>
  <c r="X187" i="73"/>
  <c r="I686" i="73" s="1"/>
  <c r="W187" i="73"/>
  <c r="H686" i="73" s="1"/>
  <c r="Q203" i="73"/>
  <c r="B702" i="73" s="1"/>
  <c r="AB203" i="73"/>
  <c r="AC203" i="73" s="1"/>
  <c r="AB195" i="73"/>
  <c r="M694" i="73" s="1"/>
  <c r="S179" i="73"/>
  <c r="D678" i="73" s="1"/>
  <c r="V179" i="73"/>
  <c r="G678" i="73" s="1"/>
  <c r="V195" i="73"/>
  <c r="G694" i="73" s="1"/>
  <c r="T187" i="73"/>
  <c r="E686" i="73" s="1"/>
  <c r="S187" i="73"/>
  <c r="D686" i="73" s="1"/>
  <c r="Z203" i="73"/>
  <c r="K702" i="73" s="1"/>
  <c r="AB179" i="73"/>
  <c r="M678" i="73" s="1"/>
  <c r="T16" i="66"/>
  <c r="T22" i="66"/>
  <c r="Q179" i="73"/>
  <c r="B678" i="73" s="1"/>
  <c r="Q195" i="73"/>
  <c r="B694" i="73" s="1"/>
  <c r="R187" i="73"/>
  <c r="C686" i="73" s="1"/>
  <c r="U203" i="73"/>
  <c r="F702" i="73" s="1"/>
  <c r="Z179" i="73"/>
  <c r="K678" i="73" s="1"/>
  <c r="Z195" i="73"/>
  <c r="K694" i="73" s="1"/>
  <c r="V187" i="73"/>
  <c r="G686" i="73" s="1"/>
  <c r="AA203" i="73"/>
  <c r="L702" i="73" s="1"/>
  <c r="U179" i="73"/>
  <c r="F678" i="73" s="1"/>
  <c r="U195" i="73"/>
  <c r="F694" i="73" s="1"/>
  <c r="Q187" i="73"/>
  <c r="B686" i="73" s="1"/>
  <c r="X203" i="73"/>
  <c r="I702" i="73" s="1"/>
  <c r="W203" i="73"/>
  <c r="H702" i="73" s="1"/>
  <c r="T7" i="66"/>
  <c r="Y179" i="73"/>
  <c r="J678" i="73" s="1"/>
  <c r="Y195" i="73"/>
  <c r="J694" i="73" s="1"/>
  <c r="T203" i="73"/>
  <c r="E702" i="73" s="1"/>
  <c r="H232" i="73"/>
  <c r="M522" i="73"/>
  <c r="Q92" i="73"/>
  <c r="B452" i="73" s="1"/>
  <c r="T92" i="73"/>
  <c r="E452" i="73" s="1"/>
  <c r="W92" i="73"/>
  <c r="H452" i="73" s="1"/>
  <c r="X84" i="73"/>
  <c r="I444" i="73" s="1"/>
  <c r="U84" i="73"/>
  <c r="F444" i="73" s="1"/>
  <c r="AN7" i="66"/>
  <c r="AO7" i="66" s="1"/>
  <c r="I14" i="128"/>
  <c r="S84" i="73"/>
  <c r="D444" i="73" s="1"/>
  <c r="Z92" i="73"/>
  <c r="K452" i="73" s="1"/>
  <c r="V84" i="73"/>
  <c r="G444" i="73" s="1"/>
  <c r="AB92" i="73"/>
  <c r="AC92" i="73" s="1"/>
  <c r="AA84" i="73"/>
  <c r="L444" i="73" s="1"/>
  <c r="Y76" i="73"/>
  <c r="J436" i="73" s="1"/>
  <c r="K23" i="66"/>
  <c r="K15" i="66"/>
  <c r="L15" i="66" s="1"/>
  <c r="Q107" i="73"/>
  <c r="B514" i="73" s="1"/>
  <c r="T84" i="73"/>
  <c r="E444" i="73" s="1"/>
  <c r="X92" i="73"/>
  <c r="I452" i="73" s="1"/>
  <c r="V76" i="73"/>
  <c r="G436" i="73" s="1"/>
  <c r="R76" i="73"/>
  <c r="C436" i="73" s="1"/>
  <c r="V114" i="73"/>
  <c r="G521" i="73" s="1"/>
  <c r="T76" i="73"/>
  <c r="E436" i="73" s="1"/>
  <c r="Z84" i="73"/>
  <c r="K444" i="73" s="1"/>
  <c r="K28" i="128"/>
  <c r="W76" i="73"/>
  <c r="H436" i="73" s="1"/>
  <c r="Y92" i="73"/>
  <c r="J452" i="73" s="1"/>
  <c r="X76" i="73"/>
  <c r="I436" i="73" s="1"/>
  <c r="AB84" i="73"/>
  <c r="Q84" i="73"/>
  <c r="B444" i="73" s="1"/>
  <c r="R84" i="73"/>
  <c r="C444" i="73" s="1"/>
  <c r="K6" i="66"/>
  <c r="L6" i="66" s="1"/>
  <c r="S76" i="73"/>
  <c r="D436" i="73" s="1"/>
  <c r="U92" i="73"/>
  <c r="F452" i="73" s="1"/>
  <c r="Z76" i="73"/>
  <c r="K436" i="73" s="1"/>
  <c r="U76" i="73"/>
  <c r="F436" i="73" s="1"/>
  <c r="AA92" i="73"/>
  <c r="L452" i="73" s="1"/>
  <c r="K13" i="128"/>
  <c r="V107" i="73"/>
  <c r="G514" i="73" s="1"/>
  <c r="AC76" i="73"/>
  <c r="AN10" i="66"/>
  <c r="I28" i="128"/>
  <c r="M395" i="73"/>
  <c r="M685" i="73"/>
  <c r="M639" i="73"/>
  <c r="H28" i="128"/>
  <c r="H13" i="128"/>
  <c r="H14" i="128"/>
  <c r="K27" i="127"/>
  <c r="AN27" i="66"/>
  <c r="F38" i="128"/>
  <c r="H9" i="128"/>
  <c r="I9" i="128"/>
  <c r="F35" i="128"/>
  <c r="N4" i="127"/>
  <c r="AI29" i="66"/>
  <c r="L7" i="127"/>
  <c r="S7" i="127" s="1"/>
  <c r="V7" i="127" s="1"/>
  <c r="R4" i="127"/>
  <c r="L13" i="127"/>
  <c r="R8" i="127"/>
  <c r="L18" i="127"/>
  <c r="AI14" i="66"/>
  <c r="K9" i="127"/>
  <c r="F4" i="129"/>
  <c r="L4" i="129" s="1"/>
  <c r="M21" i="121"/>
  <c r="M5" i="121"/>
  <c r="H22" i="127"/>
  <c r="K4" i="127"/>
  <c r="F25" i="127"/>
  <c r="M25" i="127" s="1"/>
  <c r="I26" i="121"/>
  <c r="V25" i="66"/>
  <c r="Y25" i="66" s="1"/>
  <c r="V12" i="66"/>
  <c r="Y12" i="66" s="1"/>
  <c r="AV31" i="66"/>
  <c r="F23" i="129"/>
  <c r="L23" i="129" s="1"/>
  <c r="R30" i="127"/>
  <c r="O14" i="128"/>
  <c r="R12" i="127"/>
  <c r="AC163" i="73"/>
  <c r="AC165" i="73"/>
  <c r="AC80" i="73"/>
  <c r="AC60" i="73"/>
  <c r="M373" i="73"/>
  <c r="B763" i="73"/>
  <c r="L760" i="73"/>
  <c r="E740" i="73"/>
  <c r="B734" i="73"/>
  <c r="J743" i="73"/>
  <c r="H740" i="73"/>
  <c r="F734" i="73"/>
  <c r="K737" i="73"/>
  <c r="J740" i="73"/>
  <c r="K494" i="73"/>
  <c r="AO134" i="73"/>
  <c r="W196" i="73"/>
  <c r="H695" i="73" s="1"/>
  <c r="AB196" i="73"/>
  <c r="AC196" i="73" s="1"/>
  <c r="Q196" i="73"/>
  <c r="B695" i="73" s="1"/>
  <c r="T196" i="73"/>
  <c r="E695" i="73" s="1"/>
  <c r="R196" i="73"/>
  <c r="C695" i="73" s="1"/>
  <c r="AA196" i="73"/>
  <c r="L695" i="73" s="1"/>
  <c r="T23" i="66"/>
  <c r="Z196" i="73"/>
  <c r="K695" i="73" s="1"/>
  <c r="Y196" i="73"/>
  <c r="J695" i="73" s="1"/>
  <c r="S196" i="73"/>
  <c r="D695" i="73" s="1"/>
  <c r="U90" i="73"/>
  <c r="F450" i="73" s="1"/>
  <c r="R90" i="73"/>
  <c r="C450" i="73" s="1"/>
  <c r="Y74" i="73"/>
  <c r="J434" i="73" s="1"/>
  <c r="AA74" i="73"/>
  <c r="L434" i="73" s="1"/>
  <c r="S20" i="73"/>
  <c r="D286" i="73" s="1"/>
  <c r="V20" i="73"/>
  <c r="G286" i="73" s="1"/>
  <c r="W239" i="73"/>
  <c r="Z68" i="73"/>
  <c r="N17" i="66"/>
  <c r="O17" i="66" s="1"/>
  <c r="U120" i="73"/>
  <c r="F527" i="73" s="1"/>
  <c r="T120" i="73"/>
  <c r="E527" i="73" s="1"/>
  <c r="V120" i="73"/>
  <c r="G527" i="73" s="1"/>
  <c r="Y120" i="73"/>
  <c r="J527" i="73" s="1"/>
  <c r="X120" i="73"/>
  <c r="I527" i="73" s="1"/>
  <c r="AB120" i="73"/>
  <c r="M527" i="73" s="1"/>
  <c r="R120" i="73"/>
  <c r="C527" i="73" s="1"/>
  <c r="Q28" i="66"/>
  <c r="X168" i="73"/>
  <c r="I620" i="73" s="1"/>
  <c r="Y168" i="73"/>
  <c r="J620" i="73" s="1"/>
  <c r="T168" i="73"/>
  <c r="E620" i="73" s="1"/>
  <c r="AB168" i="73"/>
  <c r="AC168" i="73" s="1"/>
  <c r="W168" i="73"/>
  <c r="H620" i="73" s="1"/>
  <c r="Q168" i="73"/>
  <c r="B620" i="73" s="1"/>
  <c r="AA168" i="73"/>
  <c r="L620" i="73" s="1"/>
  <c r="Z168" i="73"/>
  <c r="K620" i="73" s="1"/>
  <c r="T156" i="73"/>
  <c r="E608" i="73" s="1"/>
  <c r="Z156" i="73"/>
  <c r="K608" i="73" s="1"/>
  <c r="X156" i="73"/>
  <c r="I608" i="73" s="1"/>
  <c r="V156" i="73"/>
  <c r="G608" i="73" s="1"/>
  <c r="Q17" i="66"/>
  <c r="R17" i="66" s="1"/>
  <c r="U156" i="73"/>
  <c r="F608" i="73" s="1"/>
  <c r="Q156" i="73"/>
  <c r="B608" i="73" s="1"/>
  <c r="AA156" i="73"/>
  <c r="L608" i="73" s="1"/>
  <c r="S156" i="73"/>
  <c r="D608" i="73" s="1"/>
  <c r="AG204" i="73"/>
  <c r="AG205" i="73" s="1"/>
  <c r="D32" i="73"/>
  <c r="K32" i="73"/>
  <c r="AR158" i="73"/>
  <c r="AR182" i="73"/>
  <c r="AN204" i="73"/>
  <c r="AR146" i="73"/>
  <c r="AP204" i="73"/>
  <c r="AQ204" i="73"/>
  <c r="B326" i="73"/>
  <c r="AF204" i="73"/>
  <c r="AF205" i="73" s="1"/>
  <c r="Q180" i="73"/>
  <c r="B679" i="73" s="1"/>
  <c r="Y102" i="73"/>
  <c r="F731" i="73"/>
  <c r="Y68" i="73"/>
  <c r="C731" i="73"/>
  <c r="T68" i="73"/>
  <c r="R168" i="73"/>
  <c r="C620" i="73" s="1"/>
  <c r="E743" i="73"/>
  <c r="G743" i="73"/>
  <c r="AA164" i="73"/>
  <c r="L616" i="73" s="1"/>
  <c r="AB68" i="73"/>
  <c r="M740" i="73"/>
  <c r="U168" i="73"/>
  <c r="F620" i="73" s="1"/>
  <c r="Y164" i="73"/>
  <c r="J616" i="73" s="1"/>
  <c r="B510" i="73"/>
  <c r="AR130" i="73"/>
  <c r="B417" i="73"/>
  <c r="AR84" i="73"/>
  <c r="AJ100" i="73"/>
  <c r="AI66" i="73"/>
  <c r="E339" i="73"/>
  <c r="E751" i="73" s="1"/>
  <c r="F594" i="73"/>
  <c r="F760" i="73" s="1"/>
  <c r="AR169" i="73"/>
  <c r="N91" i="73"/>
  <c r="O91" i="73" s="1"/>
  <c r="M478" i="73"/>
  <c r="B332" i="73"/>
  <c r="AR46" i="73"/>
  <c r="F335" i="73"/>
  <c r="AJ66" i="73"/>
  <c r="F510" i="73"/>
  <c r="F757" i="73" s="1"/>
  <c r="AJ134" i="73"/>
  <c r="AJ170" i="73"/>
  <c r="E661" i="73"/>
  <c r="E763" i="73" s="1"/>
  <c r="AI204" i="73"/>
  <c r="AI205" i="73" s="1"/>
  <c r="L743" i="73"/>
  <c r="B743" i="73"/>
  <c r="C743" i="73"/>
  <c r="L737" i="73"/>
  <c r="AR93" i="73"/>
  <c r="M426" i="73"/>
  <c r="M754" i="73" s="1"/>
  <c r="AP100" i="73"/>
  <c r="L406" i="73"/>
  <c r="L754" i="73" s="1"/>
  <c r="J502" i="73"/>
  <c r="AR122" i="73"/>
  <c r="M489" i="73"/>
  <c r="M757" i="73" s="1"/>
  <c r="AR109" i="73"/>
  <c r="C760" i="73"/>
  <c r="E269" i="73"/>
  <c r="E748" i="73" s="1"/>
  <c r="AI32" i="73"/>
  <c r="E427" i="73"/>
  <c r="AR94" i="73"/>
  <c r="X188" i="73"/>
  <c r="I687" i="73" s="1"/>
  <c r="Q188" i="73"/>
  <c r="B687" i="73" s="1"/>
  <c r="AB188" i="73"/>
  <c r="AC188" i="73" s="1"/>
  <c r="T15" i="66"/>
  <c r="AA188" i="73"/>
  <c r="L687" i="73" s="1"/>
  <c r="V188" i="73"/>
  <c r="G687" i="73" s="1"/>
  <c r="W188" i="73"/>
  <c r="H687" i="73" s="1"/>
  <c r="Z188" i="73"/>
  <c r="K687" i="73" s="1"/>
  <c r="U188" i="73"/>
  <c r="F687" i="73" s="1"/>
  <c r="Z184" i="73"/>
  <c r="K683" i="73" s="1"/>
  <c r="U184" i="73"/>
  <c r="F683" i="73" s="1"/>
  <c r="T16" i="73"/>
  <c r="E282" i="73" s="1"/>
  <c r="AB16" i="73"/>
  <c r="AC16" i="73" s="1"/>
  <c r="Z16" i="73"/>
  <c r="K282" i="73" s="1"/>
  <c r="E15" i="66"/>
  <c r="F15" i="66" s="1"/>
  <c r="W16" i="73"/>
  <c r="H282" i="73" s="1"/>
  <c r="Y16" i="73"/>
  <c r="J282" i="73" s="1"/>
  <c r="U16" i="73"/>
  <c r="F282" i="73" s="1"/>
  <c r="S16" i="73"/>
  <c r="D282" i="73" s="1"/>
  <c r="W223" i="73"/>
  <c r="V16" i="73"/>
  <c r="G282" i="73" s="1"/>
  <c r="X16" i="73"/>
  <c r="I282" i="73" s="1"/>
  <c r="R16" i="73"/>
  <c r="C282" i="73" s="1"/>
  <c r="Z53" i="73"/>
  <c r="K366" i="73" s="1"/>
  <c r="U53" i="73"/>
  <c r="F366" i="73" s="1"/>
  <c r="W53" i="73"/>
  <c r="H366" i="73" s="1"/>
  <c r="T53" i="73"/>
  <c r="E366" i="73" s="1"/>
  <c r="R53" i="73"/>
  <c r="C366" i="73" s="1"/>
  <c r="AB53" i="73"/>
  <c r="AC53" i="73" s="1"/>
  <c r="Y53" i="73"/>
  <c r="J366" i="73" s="1"/>
  <c r="AA53" i="73"/>
  <c r="L366" i="73" s="1"/>
  <c r="S53" i="73"/>
  <c r="D366" i="73" s="1"/>
  <c r="AB127" i="73"/>
  <c r="AC127" i="73" s="1"/>
  <c r="V127" i="73"/>
  <c r="G534" i="73" s="1"/>
  <c r="Y116" i="73"/>
  <c r="J523" i="73" s="1"/>
  <c r="V116" i="73"/>
  <c r="G523" i="73" s="1"/>
  <c r="Z112" i="73"/>
  <c r="K519" i="73" s="1"/>
  <c r="X112" i="73"/>
  <c r="I519" i="73" s="1"/>
  <c r="AA112" i="73"/>
  <c r="L519" i="73" s="1"/>
  <c r="R112" i="73"/>
  <c r="C519" i="73" s="1"/>
  <c r="N9" i="66"/>
  <c r="T112" i="73"/>
  <c r="E519" i="73" s="1"/>
  <c r="Y112" i="73"/>
  <c r="J519" i="73" s="1"/>
  <c r="I734" i="73"/>
  <c r="AL209" i="73"/>
  <c r="AL210" i="73" s="1"/>
  <c r="AH204" i="73"/>
  <c r="AH205" i="73" s="1"/>
  <c r="J32" i="73"/>
  <c r="AR183" i="73"/>
  <c r="AR178" i="73"/>
  <c r="N24" i="73"/>
  <c r="I32" i="73"/>
  <c r="AP170" i="73"/>
  <c r="AO170" i="73"/>
  <c r="AR73" i="73"/>
  <c r="AF66" i="73"/>
  <c r="AF32" i="73"/>
  <c r="D675" i="73"/>
  <c r="D763" i="73" s="1"/>
  <c r="V102" i="73"/>
  <c r="W68" i="73"/>
  <c r="I740" i="73"/>
  <c r="S68" i="73"/>
  <c r="Q112" i="73"/>
  <c r="B519" i="73" s="1"/>
  <c r="K731" i="73"/>
  <c r="AA68" i="73"/>
  <c r="L740" i="73"/>
  <c r="AB102" i="73"/>
  <c r="C740" i="73"/>
  <c r="R102" i="73"/>
  <c r="D740" i="73"/>
  <c r="AR96" i="73"/>
  <c r="X127" i="73"/>
  <c r="I534" i="73" s="1"/>
  <c r="Z127" i="73"/>
  <c r="K534" i="73" s="1"/>
  <c r="AR126" i="73"/>
  <c r="Q127" i="73"/>
  <c r="B534" i="73" s="1"/>
  <c r="AO66" i="73"/>
  <c r="AA16" i="73"/>
  <c r="L282" i="73" s="1"/>
  <c r="U112" i="73"/>
  <c r="F519" i="73" s="1"/>
  <c r="Q16" i="73"/>
  <c r="B282" i="73" s="1"/>
  <c r="W112" i="73"/>
  <c r="H519" i="73" s="1"/>
  <c r="AB156" i="73"/>
  <c r="T188" i="73"/>
  <c r="E687" i="73" s="1"/>
  <c r="U28" i="73"/>
  <c r="F294" i="73" s="1"/>
  <c r="Q120" i="73"/>
  <c r="B527" i="73" s="1"/>
  <c r="S112" i="73"/>
  <c r="D519" i="73" s="1"/>
  <c r="R188" i="73"/>
  <c r="C687" i="73" s="1"/>
  <c r="N159" i="73"/>
  <c r="M638" i="73"/>
  <c r="AC166" i="73"/>
  <c r="M618" i="73"/>
  <c r="N116" i="73"/>
  <c r="M550" i="73"/>
  <c r="V98" i="73"/>
  <c r="G458" i="73" s="1"/>
  <c r="V196" i="73"/>
  <c r="G695" i="73" s="1"/>
  <c r="M645" i="73"/>
  <c r="N166" i="73"/>
  <c r="S168" i="73"/>
  <c r="D620" i="73" s="1"/>
  <c r="N127" i="73"/>
  <c r="M561" i="73"/>
  <c r="V53" i="73"/>
  <c r="G366" i="73" s="1"/>
  <c r="N79" i="73"/>
  <c r="O79" i="73" s="1"/>
  <c r="M466" i="73"/>
  <c r="L246" i="73"/>
  <c r="L748" i="73" s="1"/>
  <c r="AP32" i="73"/>
  <c r="AR76" i="73"/>
  <c r="K409" i="73"/>
  <c r="J245" i="73"/>
  <c r="AN32" i="73"/>
  <c r="L333" i="73"/>
  <c r="AR47" i="73"/>
  <c r="J327" i="73"/>
  <c r="J751" i="73" s="1"/>
  <c r="AN66" i="73"/>
  <c r="AR41" i="73"/>
  <c r="AR14" i="73"/>
  <c r="B253" i="73"/>
  <c r="D731" i="73"/>
  <c r="G734" i="73"/>
  <c r="B737" i="73"/>
  <c r="AC172" i="73"/>
  <c r="F245" i="73"/>
  <c r="AJ32" i="73"/>
  <c r="K499" i="73"/>
  <c r="AR119" i="73"/>
  <c r="J254" i="73"/>
  <c r="AR15" i="73"/>
  <c r="L511" i="73"/>
  <c r="AR131" i="73"/>
  <c r="J428" i="73"/>
  <c r="J754" i="73" s="1"/>
  <c r="AR95" i="73"/>
  <c r="M350" i="73"/>
  <c r="M751" i="73" s="1"/>
  <c r="AR64" i="73"/>
  <c r="F340" i="73"/>
  <c r="F751" i="73" s="1"/>
  <c r="AR54" i="73"/>
  <c r="V180" i="73"/>
  <c r="G679" i="73" s="1"/>
  <c r="AA180" i="73"/>
  <c r="L679" i="73" s="1"/>
  <c r="T180" i="73"/>
  <c r="E679" i="73" s="1"/>
  <c r="Y180" i="73"/>
  <c r="J679" i="73" s="1"/>
  <c r="S180" i="73"/>
  <c r="D679" i="73" s="1"/>
  <c r="Z180" i="73"/>
  <c r="K679" i="73" s="1"/>
  <c r="AB180" i="73"/>
  <c r="AC180" i="73" s="1"/>
  <c r="R180" i="73"/>
  <c r="C679" i="73" s="1"/>
  <c r="W180" i="73"/>
  <c r="H679" i="73" s="1"/>
  <c r="Y82" i="73"/>
  <c r="J442" i="73" s="1"/>
  <c r="V82" i="73"/>
  <c r="G442" i="73" s="1"/>
  <c r="Q24" i="73"/>
  <c r="B290" i="73" s="1"/>
  <c r="X24" i="73"/>
  <c r="I290" i="73" s="1"/>
  <c r="AB24" i="73"/>
  <c r="M290" i="73" s="1"/>
  <c r="AA24" i="73"/>
  <c r="L290" i="73" s="1"/>
  <c r="V24" i="73"/>
  <c r="G290" i="73" s="1"/>
  <c r="R24" i="73"/>
  <c r="C290" i="73" s="1"/>
  <c r="Y24" i="73"/>
  <c r="J290" i="73" s="1"/>
  <c r="W24" i="73"/>
  <c r="H290" i="73" s="1"/>
  <c r="T24" i="73"/>
  <c r="E290" i="73" s="1"/>
  <c r="U24" i="73"/>
  <c r="F290" i="73" s="1"/>
  <c r="S24" i="73"/>
  <c r="D290" i="73" s="1"/>
  <c r="AB8" i="73"/>
  <c r="AC8" i="73" s="1"/>
  <c r="W8" i="73"/>
  <c r="H274" i="73" s="1"/>
  <c r="S8" i="73"/>
  <c r="D274" i="73" s="1"/>
  <c r="E6" i="66"/>
  <c r="F6" i="66" s="1"/>
  <c r="X8" i="73"/>
  <c r="I274" i="73" s="1"/>
  <c r="T8" i="73"/>
  <c r="E274" i="73" s="1"/>
  <c r="V8" i="73"/>
  <c r="G274" i="73" s="1"/>
  <c r="U8" i="73"/>
  <c r="F274" i="73" s="1"/>
  <c r="AA8" i="73"/>
  <c r="L274" i="73" s="1"/>
  <c r="R8" i="73"/>
  <c r="C274" i="73" s="1"/>
  <c r="Y8" i="73"/>
  <c r="J274" i="73" s="1"/>
  <c r="Z60" i="73"/>
  <c r="K373" i="73" s="1"/>
  <c r="S60" i="73"/>
  <c r="D373" i="73" s="1"/>
  <c r="H24" i="66"/>
  <c r="I24" i="66" s="1"/>
  <c r="T60" i="73"/>
  <c r="E373" i="73" s="1"/>
  <c r="AA60" i="73"/>
  <c r="L373" i="73" s="1"/>
  <c r="Q60" i="73"/>
  <c r="B373" i="73" s="1"/>
  <c r="W60" i="73"/>
  <c r="H373" i="73" s="1"/>
  <c r="Y60" i="73"/>
  <c r="J373" i="73" s="1"/>
  <c r="R60" i="73"/>
  <c r="C373" i="73" s="1"/>
  <c r="X60" i="73"/>
  <c r="I373" i="73" s="1"/>
  <c r="V45" i="73"/>
  <c r="G358" i="73" s="1"/>
  <c r="AB45" i="73"/>
  <c r="AC45" i="73" s="1"/>
  <c r="Z45" i="73"/>
  <c r="K358" i="73" s="1"/>
  <c r="T45" i="73"/>
  <c r="E358" i="73" s="1"/>
  <c r="Q45" i="73"/>
  <c r="B358" i="73" s="1"/>
  <c r="W45" i="73"/>
  <c r="H358" i="73" s="1"/>
  <c r="AA45" i="73"/>
  <c r="L358" i="73" s="1"/>
  <c r="S45" i="73"/>
  <c r="D358" i="73" s="1"/>
  <c r="U45" i="73"/>
  <c r="F358" i="73" s="1"/>
  <c r="Y45" i="73"/>
  <c r="J358" i="73" s="1"/>
  <c r="T164" i="73"/>
  <c r="E616" i="73" s="1"/>
  <c r="Q24" i="66"/>
  <c r="W164" i="73"/>
  <c r="H616" i="73" s="1"/>
  <c r="V164" i="73"/>
  <c r="G616" i="73" s="1"/>
  <c r="Z164" i="73"/>
  <c r="K616" i="73" s="1"/>
  <c r="R164" i="73"/>
  <c r="C616" i="73" s="1"/>
  <c r="U164" i="73"/>
  <c r="F616" i="73" s="1"/>
  <c r="Q164" i="73"/>
  <c r="B616" i="73" s="1"/>
  <c r="AB164" i="73"/>
  <c r="AQ32" i="73"/>
  <c r="AQ134" i="73"/>
  <c r="X102" i="73"/>
  <c r="G740" i="73"/>
  <c r="L731" i="73"/>
  <c r="H743" i="73"/>
  <c r="R68" i="73"/>
  <c r="S188" i="73"/>
  <c r="D687" i="73" s="1"/>
  <c r="F743" i="73"/>
  <c r="T102" i="73"/>
  <c r="X180" i="73"/>
  <c r="I679" i="73" s="1"/>
  <c r="K740" i="73"/>
  <c r="U102" i="73"/>
  <c r="W102" i="73"/>
  <c r="S102" i="73"/>
  <c r="F740" i="73"/>
  <c r="B247" i="73"/>
  <c r="B748" i="73" s="1"/>
  <c r="AR56" i="73"/>
  <c r="U127" i="73"/>
  <c r="F534" i="73" s="1"/>
  <c r="R127" i="73"/>
  <c r="C534" i="73" s="1"/>
  <c r="AA127" i="73"/>
  <c r="L534" i="73" s="1"/>
  <c r="X164" i="73"/>
  <c r="I616" i="73" s="1"/>
  <c r="U196" i="73"/>
  <c r="F695" i="73" s="1"/>
  <c r="Q53" i="73"/>
  <c r="B366" i="73" s="1"/>
  <c r="M204" i="73"/>
  <c r="Z24" i="73"/>
  <c r="K290" i="73" s="1"/>
  <c r="Y188" i="73"/>
  <c r="J687" i="73" s="1"/>
  <c r="W156" i="73"/>
  <c r="H608" i="73" s="1"/>
  <c r="V168" i="73"/>
  <c r="G620" i="73" s="1"/>
  <c r="R156" i="73"/>
  <c r="C608" i="73" s="1"/>
  <c r="AG170" i="73"/>
  <c r="AG209" i="73" s="1"/>
  <c r="AG210" i="73" s="1"/>
  <c r="W215" i="73"/>
  <c r="AB112" i="73"/>
  <c r="AC112" i="73" s="1"/>
  <c r="U60" i="73"/>
  <c r="F373" i="73" s="1"/>
  <c r="R45" i="73"/>
  <c r="C358" i="73" s="1"/>
  <c r="Y156" i="73"/>
  <c r="J608" i="73" s="1"/>
  <c r="Q8" i="73"/>
  <c r="B274" i="73" s="1"/>
  <c r="B495" i="73"/>
  <c r="AR115" i="73"/>
  <c r="R21" i="66"/>
  <c r="N23" i="73"/>
  <c r="M316" i="73"/>
  <c r="C751" i="73"/>
  <c r="K262" i="73"/>
  <c r="K748" i="73" s="1"/>
  <c r="AR23" i="73"/>
  <c r="L498" i="73"/>
  <c r="AP134" i="73"/>
  <c r="M264" i="73"/>
  <c r="M748" i="73" s="1"/>
  <c r="AR25" i="73"/>
  <c r="B500" i="73"/>
  <c r="AR120" i="73"/>
  <c r="F23" i="66"/>
  <c r="F204" i="73"/>
  <c r="N119" i="73"/>
  <c r="M553" i="73"/>
  <c r="N49" i="73"/>
  <c r="O49" i="73" s="1"/>
  <c r="M389" i="73"/>
  <c r="M308" i="73"/>
  <c r="N15" i="73"/>
  <c r="M315" i="73"/>
  <c r="N22" i="73"/>
  <c r="N184" i="73"/>
  <c r="M710" i="73"/>
  <c r="B410" i="73"/>
  <c r="AR77" i="73"/>
  <c r="B432" i="73"/>
  <c r="AR99" i="73"/>
  <c r="L329" i="73"/>
  <c r="AP66" i="73"/>
  <c r="D579" i="73"/>
  <c r="D760" i="73" s="1"/>
  <c r="AH170" i="73"/>
  <c r="L16" i="66"/>
  <c r="L14" i="66"/>
  <c r="F22" i="66"/>
  <c r="L22" i="66"/>
  <c r="D100" i="73"/>
  <c r="E100" i="73"/>
  <c r="K204" i="73"/>
  <c r="F100" i="73"/>
  <c r="R5" i="66"/>
  <c r="I21" i="66"/>
  <c r="R27" i="66"/>
  <c r="H215" i="73"/>
  <c r="BT88" i="66"/>
  <c r="EF32" i="66"/>
  <c r="BT90" i="66" s="1"/>
  <c r="BW83" i="66"/>
  <c r="D6" i="123"/>
  <c r="G30" i="141"/>
  <c r="D34" i="123" s="1"/>
  <c r="O22" i="128"/>
  <c r="AO22" i="66"/>
  <c r="K25" i="128"/>
  <c r="O26" i="128"/>
  <c r="O25" i="128"/>
  <c r="D19" i="128"/>
  <c r="O23" i="128"/>
  <c r="H27" i="128"/>
  <c r="O7" i="128"/>
  <c r="O16" i="128"/>
  <c r="O6" i="128"/>
  <c r="K29" i="127"/>
  <c r="BO31" i="66"/>
  <c r="BA34" i="66"/>
  <c r="BO27" i="66"/>
  <c r="BO19" i="66"/>
  <c r="BO17" i="66"/>
  <c r="BO18" i="66"/>
  <c r="BO14" i="66"/>
  <c r="BO8" i="66"/>
  <c r="BO22" i="66"/>
  <c r="BO21" i="66"/>
  <c r="BO10" i="66"/>
  <c r="AY30" i="66"/>
  <c r="BO30" i="66"/>
  <c r="BO29" i="66"/>
  <c r="AY28" i="66"/>
  <c r="BO28" i="66"/>
  <c r="BO23" i="66"/>
  <c r="BO11" i="66"/>
  <c r="BO5" i="66"/>
  <c r="BO26" i="66"/>
  <c r="BB15" i="66"/>
  <c r="BN9" i="66"/>
  <c r="BN16" i="66"/>
  <c r="BE6" i="66"/>
  <c r="AY11" i="66"/>
  <c r="BE16" i="66"/>
  <c r="GE14" i="126"/>
  <c r="BE13" i="66"/>
  <c r="BB19" i="66"/>
  <c r="GE9" i="126"/>
  <c r="FV30" i="126"/>
  <c r="FV32" i="126" s="1"/>
  <c r="GA20" i="126"/>
  <c r="GA22" i="126"/>
  <c r="BK22" i="66"/>
  <c r="AY14" i="66"/>
  <c r="AY26" i="66"/>
  <c r="AY19" i="66"/>
  <c r="FY30" i="126"/>
  <c r="FY32" i="126" s="1"/>
  <c r="GA29" i="126"/>
  <c r="BN23" i="66"/>
  <c r="GG16" i="126"/>
  <c r="GF21" i="126"/>
  <c r="BB18" i="66"/>
  <c r="BE9" i="66"/>
  <c r="BH6" i="66"/>
  <c r="GD17" i="126"/>
  <c r="GA17" i="126"/>
  <c r="GA16" i="126"/>
  <c r="GH16" i="126" s="1"/>
  <c r="GI16" i="126" s="1"/>
  <c r="BN15" i="66"/>
  <c r="BE17" i="66"/>
  <c r="AY10" i="66"/>
  <c r="BB13" i="66"/>
  <c r="GG21" i="126"/>
  <c r="BK18" i="66"/>
  <c r="GD8" i="126"/>
  <c r="FW30" i="126"/>
  <c r="FW32" i="126" s="1"/>
  <c r="FZ30" i="126"/>
  <c r="FZ32" i="126" s="1"/>
  <c r="GA24" i="126"/>
  <c r="GA15" i="126"/>
  <c r="GA8" i="126"/>
  <c r="BM33" i="66"/>
  <c r="BJ33" i="66"/>
  <c r="GG26" i="126"/>
  <c r="AY20" i="66"/>
  <c r="AY13" i="66"/>
  <c r="FU30" i="126"/>
  <c r="BG33" i="66"/>
  <c r="BB21" i="66"/>
  <c r="BN10" i="66"/>
  <c r="GE22" i="126"/>
  <c r="GB29" i="126"/>
  <c r="AY21" i="66"/>
  <c r="AY8" i="66"/>
  <c r="BB30" i="66"/>
  <c r="BH8" i="66"/>
  <c r="BK5" i="66"/>
  <c r="BE20" i="66"/>
  <c r="BH30" i="66"/>
  <c r="GA21" i="126"/>
  <c r="GA12" i="126"/>
  <c r="AY7" i="66"/>
  <c r="GC20" i="126"/>
  <c r="AY17" i="66"/>
  <c r="GB6" i="126"/>
  <c r="BB10" i="66"/>
  <c r="GE29" i="126"/>
  <c r="GA14" i="126"/>
  <c r="GA9" i="126"/>
  <c r="GA6" i="126"/>
  <c r="BE4" i="66"/>
  <c r="BD33" i="66"/>
  <c r="BA33" i="66"/>
  <c r="BB4" i="66"/>
  <c r="BO4" i="66"/>
  <c r="AX33" i="66"/>
  <c r="AY4" i="66"/>
  <c r="AN12" i="66"/>
  <c r="AN17" i="66"/>
  <c r="AO17" i="66" s="1"/>
  <c r="O9" i="128"/>
  <c r="H25" i="128"/>
  <c r="H12" i="128"/>
  <c r="K22" i="128"/>
  <c r="I24" i="128"/>
  <c r="O21" i="128"/>
  <c r="K24" i="128"/>
  <c r="I32" i="122"/>
  <c r="I34" i="122" s="1"/>
  <c r="H38" i="128" s="1"/>
  <c r="C32" i="158"/>
  <c r="AN30" i="66"/>
  <c r="O20" i="128"/>
  <c r="O4" i="128"/>
  <c r="AN5" i="66"/>
  <c r="AS31" i="66"/>
  <c r="AS32" i="66" s="1"/>
  <c r="F5" i="129"/>
  <c r="L5" i="129" s="1"/>
  <c r="H30" i="127"/>
  <c r="AH6" i="66" s="1"/>
  <c r="AJ6" i="66" s="1"/>
  <c r="K23" i="127"/>
  <c r="F21" i="127"/>
  <c r="K18" i="127"/>
  <c r="F30" i="127"/>
  <c r="L32" i="121"/>
  <c r="L34" i="121" s="1"/>
  <c r="K34" i="127" s="1"/>
  <c r="N34" i="121"/>
  <c r="I34" i="127"/>
  <c r="R28" i="127"/>
  <c r="N28" i="127"/>
  <c r="W32" i="66"/>
  <c r="H30" i="128"/>
  <c r="K19" i="127"/>
  <c r="D29" i="140"/>
  <c r="D31" i="140" s="1"/>
  <c r="BR22" i="66"/>
  <c r="AA32" i="66"/>
  <c r="L16" i="129"/>
  <c r="I16" i="129"/>
  <c r="L13" i="129"/>
  <c r="I13" i="129"/>
  <c r="M14" i="121"/>
  <c r="H27" i="127"/>
  <c r="H4" i="127"/>
  <c r="M12" i="121"/>
  <c r="F5" i="127"/>
  <c r="M5" i="127" s="1"/>
  <c r="I28" i="121"/>
  <c r="F34" i="129"/>
  <c r="I34" i="129" s="1"/>
  <c r="V27" i="66"/>
  <c r="Y27" i="66" s="1"/>
  <c r="M13" i="121"/>
  <c r="H15" i="127"/>
  <c r="L15" i="127" s="1"/>
  <c r="H6" i="127"/>
  <c r="AH26" i="66" s="1"/>
  <c r="M27" i="121"/>
  <c r="M11" i="121"/>
  <c r="H8" i="127"/>
  <c r="AH10" i="66" s="1"/>
  <c r="L28" i="129"/>
  <c r="I28" i="129"/>
  <c r="M25" i="121"/>
  <c r="M19" i="121"/>
  <c r="F25" i="129"/>
  <c r="F7" i="127"/>
  <c r="Z11" i="66"/>
  <c r="AC11" i="66" s="1"/>
  <c r="G29" i="121"/>
  <c r="G32" i="121" s="1"/>
  <c r="G34" i="121" s="1"/>
  <c r="L19" i="127"/>
  <c r="S18" i="127" s="1"/>
  <c r="V18" i="127" s="1"/>
  <c r="F28" i="127"/>
  <c r="M28" i="127" s="1"/>
  <c r="R18" i="127"/>
  <c r="Z29" i="66"/>
  <c r="AO29" i="66" s="1"/>
  <c r="E14" i="140"/>
  <c r="I23" i="121"/>
  <c r="F11" i="127"/>
  <c r="I24" i="121"/>
  <c r="F7" i="129"/>
  <c r="L7" i="129" s="1"/>
  <c r="F14" i="127"/>
  <c r="M14" i="127" s="1"/>
  <c r="H26" i="127"/>
  <c r="L26" i="127" s="1"/>
  <c r="AH5" i="65"/>
  <c r="I17" i="121"/>
  <c r="I18" i="121"/>
  <c r="E5" i="129"/>
  <c r="H32" i="121"/>
  <c r="H34" i="121" s="1"/>
  <c r="K7" i="127"/>
  <c r="AI20" i="66"/>
  <c r="E6" i="128"/>
  <c r="I6" i="128" s="1"/>
  <c r="L6" i="128" s="1"/>
  <c r="H9" i="127"/>
  <c r="AH21" i="66" s="1"/>
  <c r="AJ21" i="66" s="1"/>
  <c r="V14" i="66"/>
  <c r="Y14" i="66" s="1"/>
  <c r="F19" i="129"/>
  <c r="L19" i="129" s="1"/>
  <c r="R9" i="127"/>
  <c r="AF29" i="65"/>
  <c r="E4" i="128"/>
  <c r="N18" i="127"/>
  <c r="F32" i="122"/>
  <c r="J32" i="122" s="1"/>
  <c r="M15" i="121"/>
  <c r="AD13" i="65"/>
  <c r="M747" i="73"/>
  <c r="B765" i="73"/>
  <c r="G765" i="73"/>
  <c r="C765" i="73"/>
  <c r="H765" i="73"/>
  <c r="B204" i="73"/>
  <c r="C204" i="73"/>
  <c r="L765" i="73"/>
  <c r="F710" i="73"/>
  <c r="F765" i="73" s="1"/>
  <c r="D204" i="73"/>
  <c r="G204" i="73"/>
  <c r="N201" i="73"/>
  <c r="N204" i="73" s="1"/>
  <c r="M727" i="73"/>
  <c r="K765" i="73"/>
  <c r="I765" i="73"/>
  <c r="E765" i="73"/>
  <c r="H756" i="73"/>
  <c r="M100" i="73"/>
  <c r="J756" i="73"/>
  <c r="N95" i="73"/>
  <c r="O95" i="73" s="1"/>
  <c r="F472" i="73"/>
  <c r="F756" i="73" s="1"/>
  <c r="D467" i="73"/>
  <c r="D756" i="73" s="1"/>
  <c r="E465" i="73"/>
  <c r="E756" i="73" s="1"/>
  <c r="J100" i="73"/>
  <c r="H100" i="73"/>
  <c r="L100" i="73"/>
  <c r="I756" i="73"/>
  <c r="L756" i="73"/>
  <c r="N83" i="73"/>
  <c r="O83" i="73" s="1"/>
  <c r="G756" i="73"/>
  <c r="C100" i="73"/>
  <c r="K756" i="73"/>
  <c r="D750" i="73"/>
  <c r="J750" i="73"/>
  <c r="G750" i="73"/>
  <c r="C750" i="73"/>
  <c r="I750" i="73"/>
  <c r="K750" i="73"/>
  <c r="E32" i="73"/>
  <c r="D703" i="73"/>
  <c r="D765" i="73" s="1"/>
  <c r="H204" i="73"/>
  <c r="C460" i="73"/>
  <c r="C756" i="73" s="1"/>
  <c r="K100" i="73"/>
  <c r="V15" i="62"/>
  <c r="N23" i="64" s="1"/>
  <c r="K23" i="64" s="1"/>
  <c r="AB62" i="64" s="1"/>
  <c r="G100" i="73"/>
  <c r="I100" i="73"/>
  <c r="B42" i="64"/>
  <c r="S101" i="64" s="1"/>
  <c r="M42" i="64"/>
  <c r="AB112" i="64" s="1"/>
  <c r="L42" i="64"/>
  <c r="AB111" i="64" s="1"/>
  <c r="J42" i="64"/>
  <c r="C42" i="64"/>
  <c r="S102" i="64" s="1"/>
  <c r="E42" i="64"/>
  <c r="S104" i="64" s="1"/>
  <c r="F42" i="64"/>
  <c r="S105" i="64" s="1"/>
  <c r="H42" i="64"/>
  <c r="K42" i="64"/>
  <c r="AB110" i="64" s="1"/>
  <c r="D42" i="64"/>
  <c r="S103" i="64" s="1"/>
  <c r="G42" i="64"/>
  <c r="S106" i="64" s="1"/>
  <c r="I42" i="64"/>
  <c r="E204" i="73"/>
  <c r="L204" i="73"/>
  <c r="H750" i="73"/>
  <c r="F750" i="73"/>
  <c r="H32" i="73"/>
  <c r="F32" i="73"/>
  <c r="D10" i="64"/>
  <c r="S23" i="64" s="1"/>
  <c r="K10" i="64"/>
  <c r="AB30" i="64" s="1"/>
  <c r="F10" i="64"/>
  <c r="S25" i="64" s="1"/>
  <c r="H10" i="64"/>
  <c r="B10" i="64"/>
  <c r="S21" i="64" s="1"/>
  <c r="J10" i="64"/>
  <c r="E10" i="64"/>
  <c r="S24" i="64" s="1"/>
  <c r="L10" i="64"/>
  <c r="AB31" i="64" s="1"/>
  <c r="I10" i="64"/>
  <c r="G10" i="64"/>
  <c r="S26" i="64" s="1"/>
  <c r="M10" i="64"/>
  <c r="AB32" i="64" s="1"/>
  <c r="C10" i="64"/>
  <c r="S22" i="64" s="1"/>
  <c r="E298" i="73"/>
  <c r="D19" i="129"/>
  <c r="D5" i="129"/>
  <c r="AG27" i="66"/>
  <c r="AG21" i="66"/>
  <c r="V153" i="73"/>
  <c r="G605" i="73" s="1"/>
  <c r="B21" i="129"/>
  <c r="Q153" i="73"/>
  <c r="B605" i="73" s="1"/>
  <c r="Y153" i="73"/>
  <c r="J605" i="73" s="1"/>
  <c r="T145" i="73"/>
  <c r="E597" i="73" s="1"/>
  <c r="U153" i="73"/>
  <c r="F605" i="73" s="1"/>
  <c r="B26" i="129"/>
  <c r="D26" i="129" s="1"/>
  <c r="AA145" i="73"/>
  <c r="L597" i="73" s="1"/>
  <c r="Y145" i="73"/>
  <c r="J597" i="73" s="1"/>
  <c r="D4" i="129"/>
  <c r="AE32" i="66"/>
  <c r="AB161" i="73"/>
  <c r="AC161" i="73" s="1"/>
  <c r="U161" i="73"/>
  <c r="F613" i="73" s="1"/>
  <c r="M610" i="73"/>
  <c r="W161" i="73"/>
  <c r="H613" i="73" s="1"/>
  <c r="W238" i="73"/>
  <c r="X161" i="73"/>
  <c r="I613" i="73" s="1"/>
  <c r="M525" i="73"/>
  <c r="K12" i="128"/>
  <c r="D15" i="128"/>
  <c r="AP8" i="66"/>
  <c r="AQ8" i="66" s="1"/>
  <c r="AQ10" i="66"/>
  <c r="M530" i="73"/>
  <c r="D12" i="128"/>
  <c r="AP13" i="66"/>
  <c r="AQ13" i="66" s="1"/>
  <c r="AC10" i="66"/>
  <c r="AO10" i="66"/>
  <c r="J9" i="128"/>
  <c r="W121" i="73"/>
  <c r="H528" i="73" s="1"/>
  <c r="W78" i="73"/>
  <c r="H438" i="73" s="1"/>
  <c r="W113" i="73"/>
  <c r="H520" i="73" s="1"/>
  <c r="AA121" i="73"/>
  <c r="L528" i="73" s="1"/>
  <c r="Q86" i="73"/>
  <c r="B446" i="73" s="1"/>
  <c r="Z121" i="73"/>
  <c r="K528" i="73" s="1"/>
  <c r="U78" i="73"/>
  <c r="F438" i="73" s="1"/>
  <c r="AB94" i="73"/>
  <c r="AE5" i="65"/>
  <c r="K26" i="128"/>
  <c r="R94" i="73"/>
  <c r="C454" i="73" s="1"/>
  <c r="Y78" i="73"/>
  <c r="J438" i="73" s="1"/>
  <c r="AI5" i="65"/>
  <c r="X113" i="73"/>
  <c r="I520" i="73" s="1"/>
  <c r="V86" i="73"/>
  <c r="G446" i="73" s="1"/>
  <c r="M453" i="73"/>
  <c r="AA113" i="73"/>
  <c r="L520" i="73" s="1"/>
  <c r="AQ23" i="66"/>
  <c r="Q113" i="73"/>
  <c r="B520" i="73" s="1"/>
  <c r="Q121" i="73"/>
  <c r="B528" i="73" s="1"/>
  <c r="S121" i="73"/>
  <c r="D528" i="73" s="1"/>
  <c r="R113" i="73"/>
  <c r="C520" i="73" s="1"/>
  <c r="B34" i="127"/>
  <c r="X31" i="66"/>
  <c r="F30" i="66"/>
  <c r="R24" i="127"/>
  <c r="K28" i="127"/>
  <c r="E14" i="127"/>
  <c r="E21" i="127"/>
  <c r="R5" i="127"/>
  <c r="Y16" i="66"/>
  <c r="M289" i="73"/>
  <c r="M17" i="127"/>
  <c r="M18" i="127"/>
  <c r="I19" i="129"/>
  <c r="C21" i="129"/>
  <c r="K26" i="127"/>
  <c r="Y18" i="66"/>
  <c r="M12" i="127"/>
  <c r="N26" i="127"/>
  <c r="D29" i="129"/>
  <c r="M26" i="127"/>
  <c r="AG10" i="66"/>
  <c r="AG8" i="66"/>
  <c r="D7" i="129"/>
  <c r="K25" i="127"/>
  <c r="L12" i="127"/>
  <c r="I24" i="129"/>
  <c r="X46" i="73"/>
  <c r="I359" i="73" s="1"/>
  <c r="Z26" i="73"/>
  <c r="K292" i="73" s="1"/>
  <c r="M356" i="73"/>
  <c r="AB18" i="73"/>
  <c r="AC18" i="73" s="1"/>
  <c r="Q10" i="73"/>
  <c r="B276" i="73" s="1"/>
  <c r="Z18" i="73"/>
  <c r="K284" i="73" s="1"/>
  <c r="AA10" i="73"/>
  <c r="L276" i="73" s="1"/>
  <c r="W46" i="73"/>
  <c r="H359" i="73" s="1"/>
  <c r="U54" i="73"/>
  <c r="F367" i="73" s="1"/>
  <c r="K30" i="127"/>
  <c r="W10" i="73"/>
  <c r="H276" i="73" s="1"/>
  <c r="S61" i="73"/>
  <c r="D374" i="73" s="1"/>
  <c r="V46" i="73"/>
  <c r="G359" i="73" s="1"/>
  <c r="S18" i="73"/>
  <c r="D284" i="73" s="1"/>
  <c r="AB10" i="73"/>
  <c r="Y54" i="73"/>
  <c r="J367" i="73" s="1"/>
  <c r="T10" i="73"/>
  <c r="E276" i="73" s="1"/>
  <c r="S10" i="73"/>
  <c r="D276" i="73" s="1"/>
  <c r="U61" i="73"/>
  <c r="F374" i="73" s="1"/>
  <c r="X18" i="73"/>
  <c r="I284" i="73" s="1"/>
  <c r="S54" i="73"/>
  <c r="D367" i="73" s="1"/>
  <c r="X54" i="73"/>
  <c r="I367" i="73" s="1"/>
  <c r="Z10" i="73"/>
  <c r="K276" i="73" s="1"/>
  <c r="AB54" i="73"/>
  <c r="AC54" i="73" s="1"/>
  <c r="U46" i="73"/>
  <c r="F359" i="73" s="1"/>
  <c r="E27" i="127"/>
  <c r="E9" i="66"/>
  <c r="F9" i="66" s="1"/>
  <c r="R29" i="127"/>
  <c r="AH29" i="65"/>
  <c r="R10" i="73"/>
  <c r="C276" i="73" s="1"/>
  <c r="T61" i="73"/>
  <c r="E374" i="73" s="1"/>
  <c r="R18" i="73"/>
  <c r="C284" i="73" s="1"/>
  <c r="I31" i="66"/>
  <c r="AJ4" i="66"/>
  <c r="U26" i="73"/>
  <c r="F292" i="73" s="1"/>
  <c r="L21" i="127"/>
  <c r="W26" i="73"/>
  <c r="H292" i="73" s="1"/>
  <c r="U10" i="73"/>
  <c r="F276" i="73" s="1"/>
  <c r="AD21" i="65"/>
  <c r="H11" i="66"/>
  <c r="I11" i="66" s="1"/>
  <c r="W61" i="73"/>
  <c r="H374" i="73" s="1"/>
  <c r="E5" i="127"/>
  <c r="M371" i="73"/>
  <c r="X10" i="73"/>
  <c r="I276" i="73" s="1"/>
  <c r="AA61" i="73"/>
  <c r="L374" i="73" s="1"/>
  <c r="Y46" i="73"/>
  <c r="J359" i="73" s="1"/>
  <c r="R54" i="73"/>
  <c r="C367" i="73" s="1"/>
  <c r="AA26" i="73"/>
  <c r="L292" i="73" s="1"/>
  <c r="T54" i="73"/>
  <c r="E367" i="73" s="1"/>
  <c r="AB46" i="73"/>
  <c r="M359" i="73" s="1"/>
  <c r="Z54" i="73"/>
  <c r="K367" i="73" s="1"/>
  <c r="X26" i="73"/>
  <c r="I292" i="73" s="1"/>
  <c r="AB61" i="73"/>
  <c r="AC61" i="73" s="1"/>
  <c r="AM13" i="66"/>
  <c r="AH13" i="65"/>
  <c r="S26" i="73"/>
  <c r="D292" i="73" s="1"/>
  <c r="Q61" i="73"/>
  <c r="B374" i="73" s="1"/>
  <c r="V54" i="73"/>
  <c r="G367" i="73" s="1"/>
  <c r="AF21" i="65"/>
  <c r="AF5" i="65"/>
  <c r="Q46" i="73"/>
  <c r="B359" i="73" s="1"/>
  <c r="Q26" i="73"/>
  <c r="B292" i="73" s="1"/>
  <c r="AA54" i="73"/>
  <c r="L367" i="73" s="1"/>
  <c r="V18" i="73"/>
  <c r="G284" i="73" s="1"/>
  <c r="AB26" i="73"/>
  <c r="AC26" i="73" s="1"/>
  <c r="AA46" i="73"/>
  <c r="L359" i="73" s="1"/>
  <c r="U18" i="73"/>
  <c r="F284" i="73" s="1"/>
  <c r="H25" i="66"/>
  <c r="I25" i="66" s="1"/>
  <c r="V26" i="73"/>
  <c r="G292" i="73" s="1"/>
  <c r="Z61" i="73"/>
  <c r="K374" i="73" s="1"/>
  <c r="Q54" i="73"/>
  <c r="B367" i="73" s="1"/>
  <c r="Y10" i="73"/>
  <c r="J276" i="73" s="1"/>
  <c r="T26" i="73"/>
  <c r="E292" i="73" s="1"/>
  <c r="W18" i="73"/>
  <c r="H284" i="73" s="1"/>
  <c r="M13" i="127"/>
  <c r="Y61" i="73"/>
  <c r="J374" i="73" s="1"/>
  <c r="AH8" i="66"/>
  <c r="AJ8" i="66" s="1"/>
  <c r="L22" i="127"/>
  <c r="AM24" i="66"/>
  <c r="R16" i="127"/>
  <c r="L25" i="127"/>
  <c r="S26" i="127" s="1"/>
  <c r="V26" i="127" s="1"/>
  <c r="I33" i="129"/>
  <c r="F8" i="66"/>
  <c r="R20" i="73"/>
  <c r="C286" i="73" s="1"/>
  <c r="Y40" i="73"/>
  <c r="J353" i="73" s="1"/>
  <c r="AK5" i="66"/>
  <c r="AM5" i="66" s="1"/>
  <c r="AI28" i="66"/>
  <c r="U12" i="73"/>
  <c r="F278" i="73" s="1"/>
  <c r="M296" i="73"/>
  <c r="R63" i="73"/>
  <c r="C376" i="73" s="1"/>
  <c r="R20" i="127"/>
  <c r="U56" i="73"/>
  <c r="F369" i="73" s="1"/>
  <c r="E22" i="127"/>
  <c r="M283" i="73"/>
  <c r="F7" i="66"/>
  <c r="AA63" i="73"/>
  <c r="L376" i="73" s="1"/>
  <c r="R22" i="127"/>
  <c r="E30" i="127"/>
  <c r="E21" i="66"/>
  <c r="F21" i="66" s="1"/>
  <c r="BR30" i="66"/>
  <c r="I8" i="129"/>
  <c r="M291" i="73"/>
  <c r="AI9" i="66"/>
  <c r="AJ9" i="66" s="1"/>
  <c r="E13" i="127"/>
  <c r="O13" i="127" s="1"/>
  <c r="L10" i="127"/>
  <c r="AA28" i="73"/>
  <c r="L294" i="73" s="1"/>
  <c r="Z12" i="73"/>
  <c r="K278" i="73" s="1"/>
  <c r="E28" i="127"/>
  <c r="AD11" i="65"/>
  <c r="I10" i="129"/>
  <c r="I23" i="129"/>
  <c r="N15" i="127"/>
  <c r="M364" i="73"/>
  <c r="Z63" i="73"/>
  <c r="K376" i="73" s="1"/>
  <c r="AA48" i="73"/>
  <c r="L361" i="73" s="1"/>
  <c r="R12" i="73"/>
  <c r="C278" i="73" s="1"/>
  <c r="X20" i="73"/>
  <c r="I286" i="73" s="1"/>
  <c r="AC7" i="73"/>
  <c r="S40" i="73"/>
  <c r="D353" i="73" s="1"/>
  <c r="Z20" i="73"/>
  <c r="K286" i="73" s="1"/>
  <c r="S12" i="73"/>
  <c r="D278" i="73" s="1"/>
  <c r="U20" i="73"/>
  <c r="F286" i="73" s="1"/>
  <c r="C11" i="129"/>
  <c r="N7" i="127"/>
  <c r="T28" i="73"/>
  <c r="E294" i="73" s="1"/>
  <c r="U48" i="73"/>
  <c r="F361" i="73" s="1"/>
  <c r="AA56" i="73"/>
  <c r="L369" i="73" s="1"/>
  <c r="AG29" i="66"/>
  <c r="AG28" i="66"/>
  <c r="D20" i="129"/>
  <c r="R48" i="73"/>
  <c r="C361" i="73" s="1"/>
  <c r="T12" i="73"/>
  <c r="E278" i="73" s="1"/>
  <c r="V48" i="73"/>
  <c r="G361" i="73" s="1"/>
  <c r="AB63" i="73"/>
  <c r="AC63" i="73" s="1"/>
  <c r="W20" i="73"/>
  <c r="H286" i="73" s="1"/>
  <c r="AB20" i="73"/>
  <c r="AC20" i="73" s="1"/>
  <c r="Y12" i="73"/>
  <c r="J278" i="73" s="1"/>
  <c r="V28" i="73"/>
  <c r="G294" i="73" s="1"/>
  <c r="Y63" i="73"/>
  <c r="J376" i="73" s="1"/>
  <c r="W56" i="73"/>
  <c r="H369" i="73" s="1"/>
  <c r="W28" i="73"/>
  <c r="H294" i="73" s="1"/>
  <c r="V63" i="73"/>
  <c r="G376" i="73" s="1"/>
  <c r="X40" i="73"/>
  <c r="I353" i="73" s="1"/>
  <c r="Y4" i="66"/>
  <c r="Q63" i="73"/>
  <c r="B376" i="73" s="1"/>
  <c r="N22" i="127"/>
  <c r="H5" i="66"/>
  <c r="I5" i="66" s="1"/>
  <c r="T48" i="73"/>
  <c r="E361" i="73" s="1"/>
  <c r="T56" i="73"/>
  <c r="E369" i="73" s="1"/>
  <c r="AH20" i="66"/>
  <c r="S63" i="73"/>
  <c r="D376" i="73" s="1"/>
  <c r="Q56" i="73"/>
  <c r="B369" i="73" s="1"/>
  <c r="Y20" i="73"/>
  <c r="J286" i="73" s="1"/>
  <c r="AB56" i="73"/>
  <c r="T20" i="73"/>
  <c r="E286" i="73" s="1"/>
  <c r="R28" i="73"/>
  <c r="C294" i="73" s="1"/>
  <c r="N29" i="127"/>
  <c r="H13" i="66"/>
  <c r="I13" i="66" s="1"/>
  <c r="H20" i="66"/>
  <c r="I20" i="66" s="1"/>
  <c r="E27" i="66"/>
  <c r="F27" i="66" s="1"/>
  <c r="E23" i="127"/>
  <c r="E11" i="66"/>
  <c r="F11" i="66" s="1"/>
  <c r="E15" i="127"/>
  <c r="U40" i="73"/>
  <c r="F353" i="73" s="1"/>
  <c r="Z48" i="73"/>
  <c r="K361" i="73" s="1"/>
  <c r="Z56" i="73"/>
  <c r="K369" i="73" s="1"/>
  <c r="AM19" i="66"/>
  <c r="D33" i="129"/>
  <c r="BR23" i="66"/>
  <c r="X56" i="73"/>
  <c r="I369" i="73" s="1"/>
  <c r="Y28" i="73"/>
  <c r="J294" i="73" s="1"/>
  <c r="Y19" i="66"/>
  <c r="W63" i="73"/>
  <c r="H376" i="73" s="1"/>
  <c r="AA12" i="73"/>
  <c r="L278" i="73" s="1"/>
  <c r="AA20" i="73"/>
  <c r="L286" i="73" s="1"/>
  <c r="W48" i="73"/>
  <c r="H361" i="73" s="1"/>
  <c r="Y56" i="73"/>
  <c r="J369" i="73" s="1"/>
  <c r="Q20" i="73"/>
  <c r="B286" i="73" s="1"/>
  <c r="X63" i="73"/>
  <c r="I376" i="73" s="1"/>
  <c r="R40" i="73"/>
  <c r="C353" i="73" s="1"/>
  <c r="N9" i="127"/>
  <c r="E24" i="127"/>
  <c r="AL12" i="66"/>
  <c r="AM12" i="66" s="1"/>
  <c r="AA40" i="73"/>
  <c r="L353" i="73" s="1"/>
  <c r="AH29" i="66"/>
  <c r="I29" i="129"/>
  <c r="W12" i="73"/>
  <c r="H278" i="73" s="1"/>
  <c r="V40" i="73"/>
  <c r="G353" i="73" s="1"/>
  <c r="Q12" i="73"/>
  <c r="B278" i="73" s="1"/>
  <c r="X48" i="73"/>
  <c r="I361" i="73" s="1"/>
  <c r="AB48" i="73"/>
  <c r="S56" i="73"/>
  <c r="D369" i="73" s="1"/>
  <c r="AB12" i="73"/>
  <c r="S28" i="73"/>
  <c r="D294" i="73" s="1"/>
  <c r="M8" i="127"/>
  <c r="AH11" i="65"/>
  <c r="E9" i="127"/>
  <c r="E20" i="127"/>
  <c r="N23" i="127"/>
  <c r="H29" i="66"/>
  <c r="D35" i="129"/>
  <c r="AM4" i="66"/>
  <c r="T40" i="73"/>
  <c r="E353" i="73" s="1"/>
  <c r="Q48" i="73"/>
  <c r="B361" i="73" s="1"/>
  <c r="I15" i="66"/>
  <c r="AB28" i="73"/>
  <c r="X12" i="73"/>
  <c r="I278" i="73" s="1"/>
  <c r="X28" i="73"/>
  <c r="I294" i="73" s="1"/>
  <c r="W40" i="73"/>
  <c r="H353" i="73" s="1"/>
  <c r="Y48" i="73"/>
  <c r="J361" i="73" s="1"/>
  <c r="Z28" i="73"/>
  <c r="K294" i="73" s="1"/>
  <c r="R56" i="73"/>
  <c r="C369" i="73" s="1"/>
  <c r="M7" i="127"/>
  <c r="E7" i="127"/>
  <c r="D31" i="129"/>
  <c r="E25" i="127"/>
  <c r="BR20" i="66"/>
  <c r="U63" i="73"/>
  <c r="F376" i="73" s="1"/>
  <c r="Q40" i="73"/>
  <c r="B353" i="73" s="1"/>
  <c r="AB40" i="73"/>
  <c r="M353" i="73" s="1"/>
  <c r="R26" i="124"/>
  <c r="P26" i="124"/>
  <c r="R22" i="124"/>
  <c r="P22" i="124"/>
  <c r="R10" i="124"/>
  <c r="P10" i="124"/>
  <c r="R16" i="124"/>
  <c r="P16" i="124"/>
  <c r="P21" i="124"/>
  <c r="R21" i="124"/>
  <c r="P13" i="124"/>
  <c r="R13" i="124"/>
  <c r="P20" i="124"/>
  <c r="R20" i="124"/>
  <c r="P24" i="124"/>
  <c r="R24" i="124"/>
  <c r="R28" i="124"/>
  <c r="P28" i="124"/>
  <c r="R14" i="124"/>
  <c r="P14" i="124"/>
  <c r="E30" i="124"/>
  <c r="E32" i="124" s="1"/>
  <c r="E34" i="124" s="1"/>
  <c r="D1048573" i="124"/>
  <c r="M7" i="125"/>
  <c r="I30" i="124"/>
  <c r="D8" i="125"/>
  <c r="O25" i="124"/>
  <c r="L22" i="125"/>
  <c r="L23" i="125"/>
  <c r="N8" i="125"/>
  <c r="E24" i="125"/>
  <c r="W189" i="73"/>
  <c r="H688" i="73" s="1"/>
  <c r="R189" i="73"/>
  <c r="C688" i="73" s="1"/>
  <c r="T189" i="73"/>
  <c r="E688" i="73" s="1"/>
  <c r="AB182" i="73"/>
  <c r="M681" i="73" s="1"/>
  <c r="Q190" i="73"/>
  <c r="B689" i="73" s="1"/>
  <c r="F6" i="125"/>
  <c r="C16" i="125"/>
  <c r="W216" i="73"/>
  <c r="Z182" i="73"/>
  <c r="K681" i="73" s="1"/>
  <c r="Z198" i="73"/>
  <c r="K697" i="73" s="1"/>
  <c r="D6" i="125"/>
  <c r="L29" i="125"/>
  <c r="O4" i="124"/>
  <c r="U181" i="73"/>
  <c r="F680" i="73" s="1"/>
  <c r="M19" i="125"/>
  <c r="Q189" i="73"/>
  <c r="B688" i="73" s="1"/>
  <c r="M698" i="73"/>
  <c r="AA190" i="73"/>
  <c r="L689" i="73" s="1"/>
  <c r="R198" i="73"/>
  <c r="C697" i="73" s="1"/>
  <c r="R181" i="73"/>
  <c r="C680" i="73" s="1"/>
  <c r="AA197" i="73"/>
  <c r="L696" i="73" s="1"/>
  <c r="AB189" i="73"/>
  <c r="AC189" i="73" s="1"/>
  <c r="Q197" i="73"/>
  <c r="B696" i="73" s="1"/>
  <c r="W198" i="73"/>
  <c r="H697" i="73" s="1"/>
  <c r="S197" i="73"/>
  <c r="D696" i="73" s="1"/>
  <c r="W232" i="73"/>
  <c r="X232" i="73" s="1"/>
  <c r="T26" i="66"/>
  <c r="T190" i="73"/>
  <c r="E689" i="73" s="1"/>
  <c r="Y181" i="73"/>
  <c r="J680" i="73" s="1"/>
  <c r="S182" i="73"/>
  <c r="D681" i="73" s="1"/>
  <c r="S198" i="73"/>
  <c r="D697" i="73" s="1"/>
  <c r="U189" i="73"/>
  <c r="F688" i="73" s="1"/>
  <c r="F18" i="125"/>
  <c r="D18" i="125"/>
  <c r="F14" i="125"/>
  <c r="D23" i="125"/>
  <c r="H29" i="125"/>
  <c r="K22" i="125"/>
  <c r="Z181" i="73"/>
  <c r="K680" i="73" s="1"/>
  <c r="T14" i="66"/>
  <c r="F21" i="125"/>
  <c r="O29" i="124"/>
  <c r="X197" i="73"/>
  <c r="I696" i="73" s="1"/>
  <c r="I23" i="125"/>
  <c r="W181" i="73"/>
  <c r="H680" i="73" s="1"/>
  <c r="W197" i="73"/>
  <c r="H696" i="73" s="1"/>
  <c r="V190" i="73"/>
  <c r="G689" i="73" s="1"/>
  <c r="AB198" i="73"/>
  <c r="V181" i="73"/>
  <c r="G680" i="73" s="1"/>
  <c r="T197" i="73"/>
  <c r="E696" i="73" s="1"/>
  <c r="U198" i="73"/>
  <c r="F697" i="73" s="1"/>
  <c r="T17" i="66"/>
  <c r="N27" i="125"/>
  <c r="N15" i="125"/>
  <c r="C31" i="125"/>
  <c r="Z190" i="73"/>
  <c r="K689" i="73" s="1"/>
  <c r="X181" i="73"/>
  <c r="I680" i="73" s="1"/>
  <c r="Y189" i="73"/>
  <c r="J688" i="73" s="1"/>
  <c r="D21" i="125"/>
  <c r="D31" i="125"/>
  <c r="F30" i="124"/>
  <c r="F32" i="124" s="1"/>
  <c r="F34" i="124" s="1"/>
  <c r="H30" i="124"/>
  <c r="H32" i="124" s="1"/>
  <c r="Z189" i="73"/>
  <c r="K688" i="73" s="1"/>
  <c r="U197" i="73"/>
  <c r="F696" i="73" s="1"/>
  <c r="M696" i="73"/>
  <c r="N12" i="125"/>
  <c r="AA182" i="73"/>
  <c r="L681" i="73" s="1"/>
  <c r="R190" i="73"/>
  <c r="C689" i="73" s="1"/>
  <c r="R197" i="73"/>
  <c r="C696" i="73" s="1"/>
  <c r="Z197" i="73"/>
  <c r="K696" i="73" s="1"/>
  <c r="G29" i="125"/>
  <c r="W224" i="73"/>
  <c r="M27" i="125"/>
  <c r="E13" i="125"/>
  <c r="K24" i="125"/>
  <c r="N17" i="125"/>
  <c r="K7" i="125"/>
  <c r="Y190" i="73"/>
  <c r="J689" i="73" s="1"/>
  <c r="S181" i="73"/>
  <c r="D680" i="73" s="1"/>
  <c r="X189" i="73"/>
  <c r="I688" i="73" s="1"/>
  <c r="L30" i="124"/>
  <c r="L32" i="124" s="1"/>
  <c r="L34" i="124" s="1"/>
  <c r="C30" i="124"/>
  <c r="C32" i="124" s="1"/>
  <c r="C34" i="124" s="1"/>
  <c r="O17" i="124"/>
  <c r="V182" i="73"/>
  <c r="G681" i="73" s="1"/>
  <c r="AB190" i="73"/>
  <c r="M689" i="73" s="1"/>
  <c r="AB181" i="73"/>
  <c r="AC181" i="73" s="1"/>
  <c r="Q198" i="73"/>
  <c r="B697" i="73" s="1"/>
  <c r="Q181" i="73"/>
  <c r="B680" i="73" s="1"/>
  <c r="T9" i="66"/>
  <c r="J24" i="125"/>
  <c r="X190" i="73"/>
  <c r="I689" i="73" s="1"/>
  <c r="T182" i="73"/>
  <c r="E681" i="73" s="1"/>
  <c r="Y197" i="73"/>
  <c r="J696" i="73" s="1"/>
  <c r="F15" i="125"/>
  <c r="G12" i="125"/>
  <c r="L25" i="125"/>
  <c r="R182" i="73"/>
  <c r="C681" i="73" s="1"/>
  <c r="W182" i="73"/>
  <c r="H681" i="73" s="1"/>
  <c r="T24" i="66"/>
  <c r="C10" i="125"/>
  <c r="E26" i="125"/>
  <c r="T18" i="123"/>
  <c r="V18" i="123"/>
  <c r="V5" i="123"/>
  <c r="T5" i="123"/>
  <c r="T17" i="123"/>
  <c r="V17" i="123"/>
  <c r="L35" i="123"/>
  <c r="BX66" i="126"/>
  <c r="T23" i="123"/>
  <c r="V23" i="123"/>
  <c r="T15" i="123"/>
  <c r="V15" i="123"/>
  <c r="T10" i="123"/>
  <c r="V10" i="123"/>
  <c r="T27" i="123"/>
  <c r="V27" i="123"/>
  <c r="V26" i="123"/>
  <c r="T26" i="123"/>
  <c r="C12" i="125"/>
  <c r="F13" i="125"/>
  <c r="K31" i="125"/>
  <c r="O31" i="125" s="1"/>
  <c r="P31" i="125" s="1"/>
  <c r="K10" i="125"/>
  <c r="K17" i="125"/>
  <c r="L28" i="125"/>
  <c r="M20" i="125"/>
  <c r="S30" i="123"/>
  <c r="AA153" i="73"/>
  <c r="L605" i="73" s="1"/>
  <c r="AA169" i="73"/>
  <c r="L621" i="73" s="1"/>
  <c r="T169" i="73"/>
  <c r="E621" i="73" s="1"/>
  <c r="V145" i="73"/>
  <c r="G597" i="73" s="1"/>
  <c r="AB153" i="73"/>
  <c r="Q16" i="66"/>
  <c r="D13" i="129"/>
  <c r="X145" i="73"/>
  <c r="I597" i="73" s="1"/>
  <c r="T161" i="73"/>
  <c r="E613" i="73" s="1"/>
  <c r="X153" i="73"/>
  <c r="I605" i="73" s="1"/>
  <c r="S13" i="123"/>
  <c r="Z169" i="73"/>
  <c r="K621" i="73" s="1"/>
  <c r="U169" i="73"/>
  <c r="F621" i="73" s="1"/>
  <c r="S169" i="73"/>
  <c r="D621" i="73" s="1"/>
  <c r="R145" i="73"/>
  <c r="C597" i="73" s="1"/>
  <c r="AA161" i="73"/>
  <c r="L613" i="73" s="1"/>
  <c r="Q169" i="73"/>
  <c r="B621" i="73" s="1"/>
  <c r="W145" i="73"/>
  <c r="H597" i="73" s="1"/>
  <c r="Q30" i="66"/>
  <c r="R30" i="66" s="1"/>
  <c r="D23" i="129"/>
  <c r="B11" i="129"/>
  <c r="AG5" i="66"/>
  <c r="H19" i="125"/>
  <c r="S145" i="73"/>
  <c r="D597" i="73" s="1"/>
  <c r="T153" i="73"/>
  <c r="E605" i="73" s="1"/>
  <c r="C9" i="125"/>
  <c r="S6" i="123"/>
  <c r="W169" i="73"/>
  <c r="H621" i="73" s="1"/>
  <c r="AB145" i="73"/>
  <c r="V169" i="73"/>
  <c r="G621" i="73" s="1"/>
  <c r="S19" i="123"/>
  <c r="V19" i="123" s="1"/>
  <c r="Z145" i="73"/>
  <c r="K597" i="73" s="1"/>
  <c r="D7" i="125"/>
  <c r="J12" i="125"/>
  <c r="J32" i="125"/>
  <c r="G6" i="125"/>
  <c r="C20" i="125"/>
  <c r="M11" i="125"/>
  <c r="M33" i="125" s="1"/>
  <c r="M35" i="125" s="1"/>
  <c r="M37" i="125" s="1"/>
  <c r="S25" i="123"/>
  <c r="R31" i="123"/>
  <c r="R33" i="123" s="1"/>
  <c r="R35" i="123" s="1"/>
  <c r="R161" i="73"/>
  <c r="C613" i="73" s="1"/>
  <c r="AB152" i="73"/>
  <c r="AC152" i="73" s="1"/>
  <c r="Q161" i="73"/>
  <c r="B613" i="73" s="1"/>
  <c r="H31" i="123"/>
  <c r="H33" i="123" s="1"/>
  <c r="H35" i="123" s="1"/>
  <c r="Q7" i="66"/>
  <c r="R7" i="66" s="1"/>
  <c r="S161" i="73"/>
  <c r="D613" i="73" s="1"/>
  <c r="F26" i="125"/>
  <c r="G31" i="125"/>
  <c r="F20" i="125"/>
  <c r="G28" i="125"/>
  <c r="G13" i="125"/>
  <c r="D13" i="125"/>
  <c r="H12" i="125"/>
  <c r="H30" i="125"/>
  <c r="H21" i="125"/>
  <c r="D10" i="125"/>
  <c r="C13" i="125"/>
  <c r="I32" i="125"/>
  <c r="I15" i="125"/>
  <c r="H10" i="125"/>
  <c r="H31" i="125"/>
  <c r="C30" i="125"/>
  <c r="E23" i="125"/>
  <c r="E32" i="125"/>
  <c r="L13" i="125"/>
  <c r="K18" i="125"/>
  <c r="E4" i="129"/>
  <c r="H4" i="129" s="1"/>
  <c r="S29" i="123"/>
  <c r="D29" i="125"/>
  <c r="Q145" i="73"/>
  <c r="B597" i="73" s="1"/>
  <c r="K31" i="123"/>
  <c r="K33" i="123" s="1"/>
  <c r="K35" i="123" s="1"/>
  <c r="W153" i="73"/>
  <c r="H605" i="73" s="1"/>
  <c r="V161" i="73"/>
  <c r="G613" i="73" s="1"/>
  <c r="AB169" i="73"/>
  <c r="Q22" i="66"/>
  <c r="R22" i="66" s="1"/>
  <c r="Z161" i="73"/>
  <c r="K613" i="73" s="1"/>
  <c r="S153" i="73"/>
  <c r="D605" i="73" s="1"/>
  <c r="K30" i="125"/>
  <c r="AD4" i="66"/>
  <c r="X169" i="73"/>
  <c r="I621" i="73" s="1"/>
  <c r="Y169" i="73"/>
  <c r="J621" i="73" s="1"/>
  <c r="R153" i="73"/>
  <c r="C605" i="73" s="1"/>
  <c r="O27" i="125"/>
  <c r="R27" i="125" s="1"/>
  <c r="F34" i="122"/>
  <c r="E38" i="128" s="1"/>
  <c r="BW66" i="126"/>
  <c r="W36" i="122"/>
  <c r="O23" i="125"/>
  <c r="C17" i="125"/>
  <c r="E20" i="125"/>
  <c r="R114" i="73"/>
  <c r="C521" i="73" s="1"/>
  <c r="C7" i="125"/>
  <c r="S122" i="73"/>
  <c r="D529" i="73" s="1"/>
  <c r="R95" i="73"/>
  <c r="C455" i="73" s="1"/>
  <c r="AB32" i="122"/>
  <c r="AB34" i="122" s="1"/>
  <c r="AB36" i="122" s="1"/>
  <c r="J25" i="128"/>
  <c r="AJ9" i="122"/>
  <c r="AK9" i="122" s="1"/>
  <c r="AJ12" i="122"/>
  <c r="AK12" i="122" s="1"/>
  <c r="AN16" i="122"/>
  <c r="AP16" i="122" s="1"/>
  <c r="V122" i="73"/>
  <c r="G529" i="73" s="1"/>
  <c r="T114" i="73"/>
  <c r="E521" i="73" s="1"/>
  <c r="AA79" i="73"/>
  <c r="L439" i="73" s="1"/>
  <c r="S128" i="73"/>
  <c r="D535" i="73" s="1"/>
  <c r="AO13" i="122"/>
  <c r="AQ13" i="122" s="1"/>
  <c r="AI29" i="65"/>
  <c r="J24" i="122"/>
  <c r="AO11" i="122"/>
  <c r="AQ11" i="122" s="1"/>
  <c r="AN31" i="122"/>
  <c r="AP31" i="122" s="1"/>
  <c r="F12" i="125"/>
  <c r="AN12" i="122"/>
  <c r="AP12" i="122" s="1"/>
  <c r="U114" i="73"/>
  <c r="F521" i="73" s="1"/>
  <c r="AO30" i="122"/>
  <c r="AQ30" i="122" s="1"/>
  <c r="O8" i="125"/>
  <c r="P8" i="125" s="1"/>
  <c r="I14" i="125"/>
  <c r="AA107" i="73"/>
  <c r="L514" i="73" s="1"/>
  <c r="T122" i="73"/>
  <c r="E529" i="73" s="1"/>
  <c r="R128" i="73"/>
  <c r="C535" i="73" s="1"/>
  <c r="L18" i="66"/>
  <c r="AN6" i="122"/>
  <c r="AP6" i="122" s="1"/>
  <c r="G18" i="125"/>
  <c r="AB79" i="73"/>
  <c r="Q122" i="73"/>
  <c r="B529" i="73" s="1"/>
  <c r="T87" i="73"/>
  <c r="E447" i="73" s="1"/>
  <c r="Y79" i="73"/>
  <c r="J439" i="73" s="1"/>
  <c r="AA95" i="73"/>
  <c r="L455" i="73" s="1"/>
  <c r="AA114" i="73"/>
  <c r="L521" i="73" s="1"/>
  <c r="AJ30" i="122"/>
  <c r="AK30" i="122" s="1"/>
  <c r="N11" i="66"/>
  <c r="K25" i="66"/>
  <c r="L25" i="66" s="1"/>
  <c r="C21" i="125"/>
  <c r="H6" i="125"/>
  <c r="AO14" i="122"/>
  <c r="AQ14" i="122" s="1"/>
  <c r="AB107" i="73"/>
  <c r="M514" i="73" s="1"/>
  <c r="Y122" i="73"/>
  <c r="J529" i="73" s="1"/>
  <c r="AJ18" i="122"/>
  <c r="AK18" i="122" s="1"/>
  <c r="O32" i="122"/>
  <c r="O34" i="122" s="1"/>
  <c r="O36" i="122" s="1"/>
  <c r="V32" i="122"/>
  <c r="V34" i="122" s="1"/>
  <c r="D4" i="128"/>
  <c r="AO7" i="122"/>
  <c r="AQ7" i="122" s="1"/>
  <c r="AN9" i="122"/>
  <c r="AP9" i="122" s="1"/>
  <c r="I10" i="125"/>
  <c r="Z114" i="73"/>
  <c r="K521" i="73" s="1"/>
  <c r="U107" i="73"/>
  <c r="F514" i="73" s="1"/>
  <c r="U128" i="73"/>
  <c r="F535" i="73" s="1"/>
  <c r="AJ27" i="122"/>
  <c r="AK27" i="122" s="1"/>
  <c r="AJ23" i="122"/>
  <c r="AK23" i="122" s="1"/>
  <c r="Z95" i="73"/>
  <c r="K455" i="73" s="1"/>
  <c r="Q95" i="73"/>
  <c r="B455" i="73" s="1"/>
  <c r="S95" i="73"/>
  <c r="D455" i="73" s="1"/>
  <c r="V128" i="73"/>
  <c r="G535" i="73" s="1"/>
  <c r="V87" i="73"/>
  <c r="G447" i="73" s="1"/>
  <c r="X95" i="73"/>
  <c r="I455" i="73" s="1"/>
  <c r="G25" i="125"/>
  <c r="O25" i="125" s="1"/>
  <c r="N21" i="66"/>
  <c r="O21" i="66" s="1"/>
  <c r="E30" i="128"/>
  <c r="J30" i="128" s="1"/>
  <c r="Z12" i="66"/>
  <c r="AF32" i="122"/>
  <c r="AF34" i="122" s="1"/>
  <c r="AF36" i="122" s="1"/>
  <c r="W128" i="73"/>
  <c r="H535" i="73" s="1"/>
  <c r="U122" i="73"/>
  <c r="F529" i="73" s="1"/>
  <c r="AO18" i="122"/>
  <c r="AQ18" i="122" s="1"/>
  <c r="R107" i="73"/>
  <c r="C514" i="73" s="1"/>
  <c r="Z128" i="73"/>
  <c r="K535" i="73" s="1"/>
  <c r="R79" i="73"/>
  <c r="C439" i="73" s="1"/>
  <c r="T128" i="73"/>
  <c r="E535" i="73" s="1"/>
  <c r="AJ19" i="122"/>
  <c r="AK19" i="122" s="1"/>
  <c r="AJ20" i="122"/>
  <c r="AK20" i="122" s="1"/>
  <c r="Y128" i="73"/>
  <c r="J535" i="73" s="1"/>
  <c r="W122" i="73"/>
  <c r="H529" i="73" s="1"/>
  <c r="Z79" i="73"/>
  <c r="K439" i="73" s="1"/>
  <c r="Y95" i="73"/>
  <c r="J455" i="73" s="1"/>
  <c r="AB122" i="73"/>
  <c r="G24" i="125"/>
  <c r="AQ14" i="66"/>
  <c r="N4" i="66"/>
  <c r="O4" i="66" s="1"/>
  <c r="Z28" i="66"/>
  <c r="AC28" i="66" s="1"/>
  <c r="J11" i="128"/>
  <c r="Z122" i="73"/>
  <c r="K529" i="73" s="1"/>
  <c r="AO29" i="122"/>
  <c r="AQ29" i="122" s="1"/>
  <c r="N20" i="125"/>
  <c r="AA128" i="73"/>
  <c r="L535" i="73" s="1"/>
  <c r="Y107" i="73"/>
  <c r="J514" i="73" s="1"/>
  <c r="W107" i="73"/>
  <c r="H514" i="73" s="1"/>
  <c r="Z107" i="73"/>
  <c r="K514" i="73" s="1"/>
  <c r="X107" i="73"/>
  <c r="X122" i="73"/>
  <c r="I529" i="73" s="1"/>
  <c r="S107" i="73"/>
  <c r="D514" i="73" s="1"/>
  <c r="U95" i="73"/>
  <c r="F455" i="73" s="1"/>
  <c r="AB87" i="73"/>
  <c r="AC87" i="73" s="1"/>
  <c r="AB128" i="73"/>
  <c r="AC128" i="73" s="1"/>
  <c r="Q87" i="73"/>
  <c r="B447" i="73" s="1"/>
  <c r="Q114" i="73"/>
  <c r="B521" i="73" s="1"/>
  <c r="S87" i="73"/>
  <c r="D447" i="73" s="1"/>
  <c r="X128" i="73"/>
  <c r="I535" i="73" s="1"/>
  <c r="AA122" i="73"/>
  <c r="L529" i="73" s="1"/>
  <c r="V79" i="73"/>
  <c r="G439" i="73" s="1"/>
  <c r="X87" i="73"/>
  <c r="I447" i="73" s="1"/>
  <c r="R87" i="73"/>
  <c r="C447" i="73" s="1"/>
  <c r="K10" i="66"/>
  <c r="L10" i="66" s="1"/>
  <c r="AP7" i="66"/>
  <c r="AQ7" i="66" s="1"/>
  <c r="E27" i="128"/>
  <c r="I27" i="128" s="1"/>
  <c r="E19" i="125"/>
  <c r="E33" i="125" s="1"/>
  <c r="E35" i="125" s="1"/>
  <c r="E37" i="125" s="1"/>
  <c r="P32" i="122"/>
  <c r="P34" i="122" s="1"/>
  <c r="P36" i="122" s="1"/>
  <c r="S114" i="73"/>
  <c r="D521" i="73" s="1"/>
  <c r="AO28" i="122"/>
  <c r="AQ28" i="122" s="1"/>
  <c r="AJ5" i="122"/>
  <c r="AN28" i="122"/>
  <c r="AP28" i="122" s="1"/>
  <c r="AN13" i="122"/>
  <c r="AP13" i="122" s="1"/>
  <c r="L9" i="125"/>
  <c r="C22" i="125"/>
  <c r="Y87" i="73"/>
  <c r="J447" i="73" s="1"/>
  <c r="W95" i="73"/>
  <c r="H455" i="73" s="1"/>
  <c r="W79" i="73"/>
  <c r="H439" i="73" s="1"/>
  <c r="AJ8" i="122"/>
  <c r="AK8" i="122" s="1"/>
  <c r="AJ15" i="122"/>
  <c r="AK15" i="122" s="1"/>
  <c r="AB114" i="73"/>
  <c r="T79" i="73"/>
  <c r="E439" i="73" s="1"/>
  <c r="AA87" i="73"/>
  <c r="L447" i="73" s="1"/>
  <c r="AB95" i="73"/>
  <c r="N24" i="66"/>
  <c r="O24" i="66" s="1"/>
  <c r="J29" i="122"/>
  <c r="Z25" i="66"/>
  <c r="BR25" i="66" s="1"/>
  <c r="AC24" i="66"/>
  <c r="Z6" i="66"/>
  <c r="AC6" i="66" s="1"/>
  <c r="J13" i="122"/>
  <c r="X114" i="73"/>
  <c r="I521" i="73" s="1"/>
  <c r="AO10" i="122"/>
  <c r="AQ10" i="122" s="1"/>
  <c r="AQ24" i="66"/>
  <c r="AN17" i="122"/>
  <c r="AP17" i="122" s="1"/>
  <c r="W87" i="73"/>
  <c r="H447" i="73" s="1"/>
  <c r="AN8" i="122"/>
  <c r="AP8" i="122" s="1"/>
  <c r="Q79" i="73"/>
  <c r="B439" i="73" s="1"/>
  <c r="S79" i="73"/>
  <c r="D439" i="73" s="1"/>
  <c r="W114" i="73"/>
  <c r="H521" i="73" s="1"/>
  <c r="F10" i="125"/>
  <c r="J21" i="128"/>
  <c r="AN22" i="122"/>
  <c r="AP22" i="122" s="1"/>
  <c r="AO15" i="122"/>
  <c r="AQ15" i="122" s="1"/>
  <c r="AN26" i="122"/>
  <c r="AP26" i="122" s="1"/>
  <c r="AN19" i="122"/>
  <c r="AP19" i="122" s="1"/>
  <c r="D28" i="128"/>
  <c r="L28" i="128" s="1"/>
  <c r="O26" i="66"/>
  <c r="D17" i="128"/>
  <c r="D22" i="128"/>
  <c r="D11" i="128"/>
  <c r="H24" i="128"/>
  <c r="H22" i="128"/>
  <c r="H11" i="128"/>
  <c r="K21" i="128"/>
  <c r="I11" i="128"/>
  <c r="R121" i="73"/>
  <c r="C528" i="73" s="1"/>
  <c r="T113" i="73"/>
  <c r="E520" i="73" s="1"/>
  <c r="V113" i="73"/>
  <c r="G520" i="73" s="1"/>
  <c r="W218" i="73"/>
  <c r="K16" i="128"/>
  <c r="H4" i="128"/>
  <c r="AP20" i="66"/>
  <c r="AQ20" i="66" s="1"/>
  <c r="AN21" i="66"/>
  <c r="AO21" i="66" s="1"/>
  <c r="K4" i="128"/>
  <c r="AC22" i="66"/>
  <c r="J4" i="128"/>
  <c r="S113" i="73"/>
  <c r="D520" i="73" s="1"/>
  <c r="AA86" i="73"/>
  <c r="L446" i="73" s="1"/>
  <c r="Y86" i="73"/>
  <c r="J446" i="73" s="1"/>
  <c r="AA94" i="73"/>
  <c r="L454" i="73" s="1"/>
  <c r="S78" i="73"/>
  <c r="D438" i="73" s="1"/>
  <c r="V78" i="73"/>
  <c r="G438" i="73" s="1"/>
  <c r="Z113" i="73"/>
  <c r="K520" i="73" s="1"/>
  <c r="W217" i="73"/>
  <c r="AN24" i="66"/>
  <c r="AO24" i="66" s="1"/>
  <c r="D16" i="128"/>
  <c r="K9" i="66"/>
  <c r="L9" i="66" s="1"/>
  <c r="K24" i="66"/>
  <c r="L24" i="66" s="1"/>
  <c r="Y113" i="73"/>
  <c r="J520" i="73" s="1"/>
  <c r="S86" i="73"/>
  <c r="D446" i="73" s="1"/>
  <c r="R86" i="73"/>
  <c r="C446" i="73" s="1"/>
  <c r="S94" i="73"/>
  <c r="D454" i="73" s="1"/>
  <c r="AA78" i="73"/>
  <c r="L438" i="73" s="1"/>
  <c r="Z78" i="73"/>
  <c r="K438" i="73" s="1"/>
  <c r="AB113" i="73"/>
  <c r="AI20" i="65"/>
  <c r="W233" i="73"/>
  <c r="AQ25" i="66"/>
  <c r="N18" i="66"/>
  <c r="O18" i="66" s="1"/>
  <c r="D25" i="128"/>
  <c r="K18" i="128"/>
  <c r="U113" i="73"/>
  <c r="F520" i="73" s="1"/>
  <c r="W86" i="73"/>
  <c r="H446" i="73" s="1"/>
  <c r="Z86" i="73"/>
  <c r="K446" i="73" s="1"/>
  <c r="Y94" i="73"/>
  <c r="J454" i="73" s="1"/>
  <c r="X78" i="73"/>
  <c r="I438" i="73" s="1"/>
  <c r="X121" i="73"/>
  <c r="I528" i="73" s="1"/>
  <c r="W225" i="73"/>
  <c r="D20" i="128"/>
  <c r="D8" i="128"/>
  <c r="D21" i="128"/>
  <c r="AE12" i="65"/>
  <c r="AC23" i="66"/>
  <c r="I23" i="128"/>
  <c r="X86" i="73"/>
  <c r="I446" i="73" s="1"/>
  <c r="Z94" i="73"/>
  <c r="K454" i="73" s="1"/>
  <c r="T78" i="73"/>
  <c r="E438" i="73" s="1"/>
  <c r="Y121" i="73"/>
  <c r="J528" i="73" s="1"/>
  <c r="W94" i="73"/>
  <c r="H454" i="73" s="1"/>
  <c r="K20" i="128"/>
  <c r="AC25" i="66"/>
  <c r="J5" i="128"/>
  <c r="AE20" i="65"/>
  <c r="T86" i="73"/>
  <c r="E446" i="73" s="1"/>
  <c r="T94" i="73"/>
  <c r="E454" i="73" s="1"/>
  <c r="AB78" i="73"/>
  <c r="U121" i="73"/>
  <c r="F528" i="73" s="1"/>
  <c r="V121" i="73"/>
  <c r="G528" i="73" s="1"/>
  <c r="AB86" i="73"/>
  <c r="AC86" i="73" s="1"/>
  <c r="Q94" i="73"/>
  <c r="B454" i="73" s="1"/>
  <c r="X94" i="73"/>
  <c r="I454" i="73" s="1"/>
  <c r="Q78" i="73"/>
  <c r="B438" i="73" s="1"/>
  <c r="K5" i="128"/>
  <c r="AP4" i="66"/>
  <c r="AQ4" i="66" s="1"/>
  <c r="L7" i="66"/>
  <c r="AB121" i="73"/>
  <c r="AC121" i="73" s="1"/>
  <c r="I4" i="128"/>
  <c r="L4" i="128" s="1"/>
  <c r="U94" i="73"/>
  <c r="F454" i="73" s="1"/>
  <c r="I18" i="128"/>
  <c r="K17" i="66"/>
  <c r="L17" i="66" s="1"/>
  <c r="AI12" i="65"/>
  <c r="D27" i="128"/>
  <c r="AO30" i="66"/>
  <c r="AQ27" i="66"/>
  <c r="B31" i="128"/>
  <c r="D24" i="128"/>
  <c r="R109" i="73"/>
  <c r="C516" i="73" s="1"/>
  <c r="Q117" i="73"/>
  <c r="B524" i="73" s="1"/>
  <c r="R98" i="73"/>
  <c r="C458" i="73" s="1"/>
  <c r="V117" i="73"/>
  <c r="G524" i="73" s="1"/>
  <c r="AE22" i="65"/>
  <c r="H29" i="128"/>
  <c r="K28" i="66"/>
  <c r="L28" i="66" s="1"/>
  <c r="AI22" i="65"/>
  <c r="T125" i="73"/>
  <c r="E532" i="73" s="1"/>
  <c r="Q98" i="73"/>
  <c r="B458" i="73" s="1"/>
  <c r="W131" i="73"/>
  <c r="H538" i="73" s="1"/>
  <c r="Y90" i="73"/>
  <c r="J450" i="73" s="1"/>
  <c r="T74" i="73"/>
  <c r="E434" i="73" s="1"/>
  <c r="R82" i="73"/>
  <c r="C442" i="73" s="1"/>
  <c r="D14" i="128"/>
  <c r="M437" i="73"/>
  <c r="Y109" i="73"/>
  <c r="J516" i="73" s="1"/>
  <c r="AB74" i="73"/>
  <c r="AC74" i="73" s="1"/>
  <c r="V109" i="73"/>
  <c r="G516" i="73" s="1"/>
  <c r="AB117" i="73"/>
  <c r="AI13" i="65"/>
  <c r="Q74" i="73"/>
  <c r="B434" i="73" s="1"/>
  <c r="Q90" i="73"/>
  <c r="B450" i="73" s="1"/>
  <c r="K9" i="128"/>
  <c r="K20" i="66"/>
  <c r="S98" i="73"/>
  <c r="D458" i="73" s="1"/>
  <c r="X131" i="73"/>
  <c r="I538" i="73" s="1"/>
  <c r="W90" i="73"/>
  <c r="H450" i="73" s="1"/>
  <c r="V90" i="73"/>
  <c r="G450" i="73" s="1"/>
  <c r="U74" i="73"/>
  <c r="F434" i="73" s="1"/>
  <c r="W82" i="73"/>
  <c r="H442" i="73" s="1"/>
  <c r="Z82" i="73"/>
  <c r="K442" i="73" s="1"/>
  <c r="W125" i="73"/>
  <c r="H532" i="73" s="1"/>
  <c r="AA109" i="73"/>
  <c r="L516" i="73" s="1"/>
  <c r="D9" i="128"/>
  <c r="L9" i="128" s="1"/>
  <c r="N22" i="66"/>
  <c r="O22" i="66" s="1"/>
  <c r="N16" i="66"/>
  <c r="O16" i="66" s="1"/>
  <c r="K23" i="128"/>
  <c r="J14" i="128"/>
  <c r="Y98" i="73"/>
  <c r="J458" i="73" s="1"/>
  <c r="T131" i="73"/>
  <c r="E538" i="73" s="1"/>
  <c r="X90" i="73"/>
  <c r="I450" i="73" s="1"/>
  <c r="S109" i="73"/>
  <c r="D516" i="73" s="1"/>
  <c r="S74" i="73"/>
  <c r="D434" i="73" s="1"/>
  <c r="X82" i="73"/>
  <c r="I442" i="73" s="1"/>
  <c r="R125" i="73"/>
  <c r="C532" i="73" s="1"/>
  <c r="S117" i="73"/>
  <c r="D524" i="73" s="1"/>
  <c r="AB90" i="73"/>
  <c r="AC90" i="73" s="1"/>
  <c r="AB131" i="73"/>
  <c r="AC131" i="73" s="1"/>
  <c r="AB109" i="73"/>
  <c r="V125" i="73"/>
  <c r="G532" i="73" s="1"/>
  <c r="AG26" i="65"/>
  <c r="AA98" i="73"/>
  <c r="L458" i="73" s="1"/>
  <c r="K11" i="128"/>
  <c r="K13" i="66"/>
  <c r="L13" i="66" s="1"/>
  <c r="U98" i="73"/>
  <c r="F458" i="73" s="1"/>
  <c r="X117" i="73"/>
  <c r="I524" i="73" s="1"/>
  <c r="Y131" i="73"/>
  <c r="J538" i="73" s="1"/>
  <c r="AA90" i="73"/>
  <c r="L450" i="73" s="1"/>
  <c r="X109" i="73"/>
  <c r="I516" i="73" s="1"/>
  <c r="X74" i="73"/>
  <c r="I434" i="73" s="1"/>
  <c r="S82" i="73"/>
  <c r="D442" i="73" s="1"/>
  <c r="T109" i="73"/>
  <c r="E516" i="73" s="1"/>
  <c r="AA82" i="73"/>
  <c r="L442" i="73" s="1"/>
  <c r="AC83" i="73"/>
  <c r="AB82" i="73"/>
  <c r="W117" i="73"/>
  <c r="H524" i="73" s="1"/>
  <c r="AA117" i="73"/>
  <c r="L524" i="73" s="1"/>
  <c r="J28" i="128"/>
  <c r="K5" i="66"/>
  <c r="L5" i="66" s="1"/>
  <c r="Z98" i="73"/>
  <c r="K458" i="73" s="1"/>
  <c r="Y117" i="73"/>
  <c r="J524" i="73" s="1"/>
  <c r="AA131" i="73"/>
  <c r="L538" i="73" s="1"/>
  <c r="R131" i="73"/>
  <c r="C538" i="73" s="1"/>
  <c r="S90" i="73"/>
  <c r="D450" i="73" s="1"/>
  <c r="Z109" i="73"/>
  <c r="K516" i="73" s="1"/>
  <c r="R74" i="73"/>
  <c r="C434" i="73" s="1"/>
  <c r="Q82" i="73"/>
  <c r="B442" i="73" s="1"/>
  <c r="T82" i="73"/>
  <c r="E442" i="73" s="1"/>
  <c r="O9" i="66"/>
  <c r="AB98" i="73"/>
  <c r="AC98" i="73" s="1"/>
  <c r="AB125" i="73"/>
  <c r="U117" i="73"/>
  <c r="F524" i="73" s="1"/>
  <c r="U125" i="73"/>
  <c r="F532" i="73" s="1"/>
  <c r="N7" i="66"/>
  <c r="O7" i="66" s="1"/>
  <c r="AP9" i="66"/>
  <c r="AQ9" i="66" s="1"/>
  <c r="Y125" i="73"/>
  <c r="J532" i="73" s="1"/>
  <c r="T98" i="73"/>
  <c r="E458" i="73" s="1"/>
  <c r="T117" i="73"/>
  <c r="E524" i="73" s="1"/>
  <c r="Q131" i="73"/>
  <c r="B538" i="73" s="1"/>
  <c r="V131" i="73"/>
  <c r="G538" i="73" s="1"/>
  <c r="T90" i="73"/>
  <c r="E450" i="73" s="1"/>
  <c r="W74" i="73"/>
  <c r="H434" i="73" s="1"/>
  <c r="V74" i="73"/>
  <c r="G434" i="73" s="1"/>
  <c r="U82" i="73"/>
  <c r="F442" i="73" s="1"/>
  <c r="Z74" i="73"/>
  <c r="K434" i="73" s="1"/>
  <c r="Q109" i="73"/>
  <c r="B516" i="73" s="1"/>
  <c r="R117" i="73"/>
  <c r="C524" i="73" s="1"/>
  <c r="Z90" i="73"/>
  <c r="K450" i="73" s="1"/>
  <c r="N29" i="66"/>
  <c r="O29" i="66" s="1"/>
  <c r="W98" i="73"/>
  <c r="H458" i="73" s="1"/>
  <c r="U131" i="73"/>
  <c r="F538" i="73" s="1"/>
  <c r="C35" i="128"/>
  <c r="C38" i="128"/>
  <c r="J22" i="128"/>
  <c r="K30" i="128"/>
  <c r="I21" i="128"/>
  <c r="AO16" i="66"/>
  <c r="K10" i="128"/>
  <c r="H26" i="128"/>
  <c r="H16" i="128"/>
  <c r="H17" i="128"/>
  <c r="D23" i="128"/>
  <c r="D26" i="128"/>
  <c r="D10" i="128"/>
  <c r="B35" i="128"/>
  <c r="B38" i="128"/>
  <c r="AB31" i="66"/>
  <c r="AB32" i="66" s="1"/>
  <c r="W81" i="73"/>
  <c r="H441" i="73" s="1"/>
  <c r="AI15" i="65"/>
  <c r="AC4" i="66"/>
  <c r="H21" i="128"/>
  <c r="AN25" i="66"/>
  <c r="AO25" i="66" s="1"/>
  <c r="AN4" i="66"/>
  <c r="AO4" i="66" s="1"/>
  <c r="K8" i="128"/>
  <c r="U116" i="73"/>
  <c r="F523" i="73" s="1"/>
  <c r="AC120" i="73"/>
  <c r="C31" i="128"/>
  <c r="N13" i="66"/>
  <c r="O13" i="66" s="1"/>
  <c r="AC7" i="66"/>
  <c r="J10" i="128"/>
  <c r="AB124" i="73"/>
  <c r="M531" i="73" s="1"/>
  <c r="Q97" i="73"/>
  <c r="B457" i="73" s="1"/>
  <c r="J23" i="128"/>
  <c r="Q81" i="73"/>
  <c r="B441" i="73" s="1"/>
  <c r="R97" i="73"/>
  <c r="C457" i="73" s="1"/>
  <c r="K15" i="128"/>
  <c r="O17" i="128"/>
  <c r="H10" i="128"/>
  <c r="I15" i="128"/>
  <c r="L15" i="128" s="1"/>
  <c r="J18" i="128"/>
  <c r="AA89" i="73"/>
  <c r="L449" i="73" s="1"/>
  <c r="V89" i="73"/>
  <c r="G449" i="73" s="1"/>
  <c r="AP22" i="66"/>
  <c r="AQ22" i="66" s="1"/>
  <c r="H15" i="128"/>
  <c r="O18" i="128"/>
  <c r="O8" i="128"/>
  <c r="O28" i="128"/>
  <c r="Z89" i="73"/>
  <c r="K449" i="73" s="1"/>
  <c r="AB116" i="73"/>
  <c r="AC116" i="73" s="1"/>
  <c r="D5" i="128"/>
  <c r="K14" i="128"/>
  <c r="AP21" i="66"/>
  <c r="AQ21" i="66" s="1"/>
  <c r="AC18" i="66"/>
  <c r="R200" i="73"/>
  <c r="C699" i="73" s="1"/>
  <c r="AA192" i="73"/>
  <c r="L691" i="73" s="1"/>
  <c r="K676" i="73"/>
  <c r="Q184" i="73"/>
  <c r="B683" i="73" s="1"/>
  <c r="Q201" i="73"/>
  <c r="B700" i="73" s="1"/>
  <c r="R201" i="73"/>
  <c r="C700" i="73" s="1"/>
  <c r="T201" i="73"/>
  <c r="E700" i="73" s="1"/>
  <c r="R184" i="73"/>
  <c r="C683" i="73" s="1"/>
  <c r="M688" i="73"/>
  <c r="Z185" i="73"/>
  <c r="K684" i="73" s="1"/>
  <c r="AA200" i="73"/>
  <c r="L699" i="73" s="1"/>
  <c r="M677" i="73"/>
  <c r="AA201" i="73"/>
  <c r="L700" i="73" s="1"/>
  <c r="M676" i="73"/>
  <c r="X184" i="73"/>
  <c r="I683" i="73" s="1"/>
  <c r="Q185" i="73"/>
  <c r="B684" i="73" s="1"/>
  <c r="R192" i="73"/>
  <c r="C691" i="73" s="1"/>
  <c r="T21" i="66"/>
  <c r="T177" i="73"/>
  <c r="T193" i="73"/>
  <c r="E692" i="73" s="1"/>
  <c r="X185" i="73"/>
  <c r="I684" i="73" s="1"/>
  <c r="V192" i="73"/>
  <c r="G691" i="73" s="1"/>
  <c r="S184" i="73"/>
  <c r="D683" i="73" s="1"/>
  <c r="X193" i="73"/>
  <c r="I692" i="73" s="1"/>
  <c r="W192" i="73"/>
  <c r="H691" i="73" s="1"/>
  <c r="W184" i="73"/>
  <c r="H683" i="73" s="1"/>
  <c r="AC177" i="73"/>
  <c r="AA184" i="73"/>
  <c r="L683" i="73" s="1"/>
  <c r="V193" i="73"/>
  <c r="G692" i="73" s="1"/>
  <c r="AB201" i="73"/>
  <c r="W185" i="73"/>
  <c r="H684" i="73" s="1"/>
  <c r="U177" i="73"/>
  <c r="AB192" i="73"/>
  <c r="T27" i="66"/>
  <c r="V200" i="73"/>
  <c r="G699" i="73" s="1"/>
  <c r="T200" i="73"/>
  <c r="E699" i="73" s="1"/>
  <c r="AA185" i="73"/>
  <c r="L684" i="73" s="1"/>
  <c r="X192" i="73"/>
  <c r="I691" i="73" s="1"/>
  <c r="U201" i="73"/>
  <c r="F700" i="73" s="1"/>
  <c r="AA193" i="73"/>
  <c r="L692" i="73" s="1"/>
  <c r="Q192" i="73"/>
  <c r="B691" i="73" s="1"/>
  <c r="W227" i="73"/>
  <c r="T11" i="66"/>
  <c r="T19" i="66"/>
  <c r="Z192" i="73"/>
  <c r="K691" i="73" s="1"/>
  <c r="Z201" i="73"/>
  <c r="K700" i="73" s="1"/>
  <c r="U200" i="73"/>
  <c r="F699" i="73" s="1"/>
  <c r="U193" i="73"/>
  <c r="F692" i="73" s="1"/>
  <c r="X177" i="73"/>
  <c r="U192" i="73"/>
  <c r="F691" i="73" s="1"/>
  <c r="T192" i="73"/>
  <c r="E691" i="73" s="1"/>
  <c r="S200" i="73"/>
  <c r="D699" i="73" s="1"/>
  <c r="Y184" i="73"/>
  <c r="J683" i="73" s="1"/>
  <c r="V185" i="73"/>
  <c r="G684" i="73" s="1"/>
  <c r="AB193" i="73"/>
  <c r="W177" i="73"/>
  <c r="AB200" i="73"/>
  <c r="Q200" i="73"/>
  <c r="B699" i="73" s="1"/>
  <c r="T4" i="66"/>
  <c r="U4" i="66" s="1"/>
  <c r="Y177" i="73"/>
  <c r="Y192" i="73"/>
  <c r="J691" i="73" s="1"/>
  <c r="Y201" i="73"/>
  <c r="J700" i="73" s="1"/>
  <c r="Z200" i="73"/>
  <c r="K699" i="73" s="1"/>
  <c r="W200" i="73"/>
  <c r="H699" i="73" s="1"/>
  <c r="X200" i="73"/>
  <c r="I699" i="73" s="1"/>
  <c r="Z193" i="73"/>
  <c r="K692" i="73" s="1"/>
  <c r="T184" i="73"/>
  <c r="E683" i="73" s="1"/>
  <c r="M695" i="73"/>
  <c r="R193" i="73"/>
  <c r="C692" i="73" s="1"/>
  <c r="V177" i="73"/>
  <c r="V184" i="73"/>
  <c r="G683" i="73" s="1"/>
  <c r="Q193" i="73"/>
  <c r="B692" i="73" s="1"/>
  <c r="AA177" i="73"/>
  <c r="AB184" i="73"/>
  <c r="V240" i="73"/>
  <c r="S177" i="73"/>
  <c r="S201" i="73"/>
  <c r="D700" i="73" s="1"/>
  <c r="M701" i="73"/>
  <c r="AB185" i="73"/>
  <c r="T185" i="73"/>
  <c r="E684" i="73" s="1"/>
  <c r="M607" i="73"/>
  <c r="H162" i="73"/>
  <c r="H641" i="73" s="1"/>
  <c r="L162" i="73"/>
  <c r="L641" i="73" s="1"/>
  <c r="B162" i="73"/>
  <c r="B641" i="73" s="1"/>
  <c r="F240" i="73"/>
  <c r="E162" i="73"/>
  <c r="E641" i="73" s="1"/>
  <c r="N161" i="73"/>
  <c r="D162" i="73"/>
  <c r="D641" i="73" s="1"/>
  <c r="F162" i="73"/>
  <c r="F641" i="73" s="1"/>
  <c r="H231" i="73"/>
  <c r="G162" i="73"/>
  <c r="G641" i="73" s="1"/>
  <c r="B624" i="73"/>
  <c r="T151" i="73"/>
  <c r="E603" i="73" s="1"/>
  <c r="M611" i="73"/>
  <c r="AB154" i="73"/>
  <c r="L156" i="73"/>
  <c r="L635" i="73" s="1"/>
  <c r="AA160" i="73"/>
  <c r="L612" i="73" s="1"/>
  <c r="Q150" i="73"/>
  <c r="B602" i="73" s="1"/>
  <c r="X150" i="73"/>
  <c r="I602" i="73" s="1"/>
  <c r="AB162" i="73"/>
  <c r="R151" i="73"/>
  <c r="C603" i="73" s="1"/>
  <c r="Y152" i="73"/>
  <c r="J604" i="73" s="1"/>
  <c r="U154" i="73"/>
  <c r="F606" i="73" s="1"/>
  <c r="I146" i="73"/>
  <c r="I625" i="73" s="1"/>
  <c r="H223" i="73"/>
  <c r="E156" i="73"/>
  <c r="E635" i="73" s="1"/>
  <c r="K154" i="73"/>
  <c r="K633" i="73" s="1"/>
  <c r="G146" i="73"/>
  <c r="H146" i="73"/>
  <c r="B146" i="73"/>
  <c r="B625" i="73" s="1"/>
  <c r="B148" i="73"/>
  <c r="B627" i="73" s="1"/>
  <c r="X151" i="73"/>
  <c r="I603" i="73" s="1"/>
  <c r="AB151" i="73"/>
  <c r="Q160" i="73"/>
  <c r="B612" i="73" s="1"/>
  <c r="G148" i="73"/>
  <c r="G627" i="73" s="1"/>
  <c r="M156" i="73"/>
  <c r="F156" i="73"/>
  <c r="F635" i="73" s="1"/>
  <c r="Q151" i="73"/>
  <c r="B603" i="73" s="1"/>
  <c r="C156" i="73"/>
  <c r="C635" i="73" s="1"/>
  <c r="W151" i="73"/>
  <c r="H603" i="73" s="1"/>
  <c r="U240" i="73"/>
  <c r="AA150" i="73"/>
  <c r="L602" i="73" s="1"/>
  <c r="T150" i="73"/>
  <c r="E602" i="73" s="1"/>
  <c r="S160" i="73"/>
  <c r="D612" i="73" s="1"/>
  <c r="U152" i="73"/>
  <c r="F604" i="73" s="1"/>
  <c r="E148" i="73"/>
  <c r="E627" i="73" s="1"/>
  <c r="M601" i="73"/>
  <c r="M629" i="73"/>
  <c r="W160" i="73"/>
  <c r="H612" i="73" s="1"/>
  <c r="R160" i="73"/>
  <c r="C612" i="73" s="1"/>
  <c r="H156" i="73"/>
  <c r="H635" i="73" s="1"/>
  <c r="T160" i="73"/>
  <c r="E612" i="73" s="1"/>
  <c r="L148" i="73"/>
  <c r="L627" i="73" s="1"/>
  <c r="Z150" i="73"/>
  <c r="K602" i="73" s="1"/>
  <c r="S150" i="73"/>
  <c r="D602" i="73" s="1"/>
  <c r="Y160" i="73"/>
  <c r="J612" i="73" s="1"/>
  <c r="V162" i="73"/>
  <c r="G614" i="73" s="1"/>
  <c r="T162" i="73"/>
  <c r="E614" i="73" s="1"/>
  <c r="X152" i="73"/>
  <c r="I604" i="73" s="1"/>
  <c r="X154" i="73"/>
  <c r="I606" i="73" s="1"/>
  <c r="D156" i="73"/>
  <c r="D635" i="73" s="1"/>
  <c r="D146" i="73"/>
  <c r="D625" i="73" s="1"/>
  <c r="I154" i="73"/>
  <c r="I633" i="73" s="1"/>
  <c r="L146" i="73"/>
  <c r="E154" i="73"/>
  <c r="E633" i="73" s="1"/>
  <c r="K148" i="73"/>
  <c r="K627" i="73" s="1"/>
  <c r="I148" i="73"/>
  <c r="I627" i="73" s="1"/>
  <c r="M148" i="73"/>
  <c r="H148" i="73"/>
  <c r="H627" i="73" s="1"/>
  <c r="V160" i="73"/>
  <c r="G612" i="73" s="1"/>
  <c r="S151" i="73"/>
  <c r="D603" i="73" s="1"/>
  <c r="V150" i="73"/>
  <c r="G602" i="73" s="1"/>
  <c r="R150" i="73"/>
  <c r="C602" i="73" s="1"/>
  <c r="X160" i="73"/>
  <c r="I612" i="73" s="1"/>
  <c r="Z162" i="73"/>
  <c r="K614" i="73" s="1"/>
  <c r="Y162" i="73"/>
  <c r="J614" i="73" s="1"/>
  <c r="Q13" i="66"/>
  <c r="R13" i="66" s="1"/>
  <c r="S154" i="73"/>
  <c r="D606" i="73" s="1"/>
  <c r="T154" i="73"/>
  <c r="E606" i="73" s="1"/>
  <c r="K156" i="73"/>
  <c r="K635" i="73" s="1"/>
  <c r="G154" i="73"/>
  <c r="G633" i="73" s="1"/>
  <c r="U160" i="73"/>
  <c r="F612" i="73" s="1"/>
  <c r="Z160" i="73"/>
  <c r="K612" i="73" s="1"/>
  <c r="AA151" i="73"/>
  <c r="L603" i="73" s="1"/>
  <c r="W152" i="73"/>
  <c r="H604" i="73" s="1"/>
  <c r="V151" i="73"/>
  <c r="G603" i="73" s="1"/>
  <c r="AA152" i="73"/>
  <c r="L604" i="73" s="1"/>
  <c r="V152" i="73"/>
  <c r="G604" i="73" s="1"/>
  <c r="Z152" i="73"/>
  <c r="K604" i="73" s="1"/>
  <c r="C148" i="73"/>
  <c r="C627" i="73" s="1"/>
  <c r="W219" i="73"/>
  <c r="Q23" i="66"/>
  <c r="R23" i="66" s="1"/>
  <c r="Y150" i="73"/>
  <c r="R162" i="73"/>
  <c r="C614" i="73" s="1"/>
  <c r="AA154" i="73"/>
  <c r="L606" i="73" s="1"/>
  <c r="Q15" i="66"/>
  <c r="R15" i="66" s="1"/>
  <c r="J146" i="73"/>
  <c r="D154" i="73"/>
  <c r="D633" i="73" s="1"/>
  <c r="F146" i="73"/>
  <c r="B154" i="73"/>
  <c r="B633" i="73" s="1"/>
  <c r="F154" i="73"/>
  <c r="F633" i="73" s="1"/>
  <c r="L154" i="73"/>
  <c r="L633" i="73" s="1"/>
  <c r="K146" i="73"/>
  <c r="F148" i="73"/>
  <c r="F627" i="73" s="1"/>
  <c r="S152" i="73"/>
  <c r="D604" i="73" s="1"/>
  <c r="D148" i="73"/>
  <c r="D627" i="73" s="1"/>
  <c r="AB160" i="73"/>
  <c r="Q152" i="73"/>
  <c r="B604" i="73" s="1"/>
  <c r="U151" i="73"/>
  <c r="F603" i="73" s="1"/>
  <c r="W231" i="73"/>
  <c r="M154" i="73"/>
  <c r="U150" i="73"/>
  <c r="F602" i="73" s="1"/>
  <c r="U162" i="73"/>
  <c r="F614" i="73" s="1"/>
  <c r="M146" i="73"/>
  <c r="V154" i="73"/>
  <c r="G606" i="73" s="1"/>
  <c r="I156" i="73"/>
  <c r="I635" i="73" s="1"/>
  <c r="H217" i="73"/>
  <c r="E146" i="73"/>
  <c r="C146" i="73"/>
  <c r="R152" i="73"/>
  <c r="C604" i="73" s="1"/>
  <c r="AB150" i="73"/>
  <c r="AA162" i="73"/>
  <c r="L614" i="73" s="1"/>
  <c r="R154" i="73"/>
  <c r="C606" i="73" s="1"/>
  <c r="F600" i="73"/>
  <c r="M596" i="73"/>
  <c r="M609" i="73"/>
  <c r="M564" i="73"/>
  <c r="M445" i="73"/>
  <c r="N128" i="73"/>
  <c r="AO27" i="66"/>
  <c r="M451" i="73"/>
  <c r="AO11" i="66"/>
  <c r="J24" i="128"/>
  <c r="AE13" i="65"/>
  <c r="BR19" i="66"/>
  <c r="S240" i="73"/>
  <c r="H23" i="128"/>
  <c r="H18" i="128"/>
  <c r="G31" i="128"/>
  <c r="G39" i="128" s="1"/>
  <c r="BR17" i="66"/>
  <c r="I10" i="128"/>
  <c r="BR7" i="66"/>
  <c r="M534" i="73"/>
  <c r="M435" i="73"/>
  <c r="AO19" i="66"/>
  <c r="M515" i="73"/>
  <c r="AC108" i="73"/>
  <c r="J134" i="73"/>
  <c r="J548" i="73"/>
  <c r="N113" i="73"/>
  <c r="Y108" i="73"/>
  <c r="J515" i="73" s="1"/>
  <c r="AA130" i="73"/>
  <c r="L537" i="73" s="1"/>
  <c r="W108" i="73"/>
  <c r="H515" i="73" s="1"/>
  <c r="Z97" i="73"/>
  <c r="K457" i="73" s="1"/>
  <c r="B73" i="73"/>
  <c r="B114" i="73"/>
  <c r="E114" i="73"/>
  <c r="T108" i="73"/>
  <c r="E515" i="73" s="1"/>
  <c r="W73" i="73"/>
  <c r="H433" i="73" s="1"/>
  <c r="H122" i="73"/>
  <c r="H556" i="73" s="1"/>
  <c r="L122" i="73"/>
  <c r="L556" i="73" s="1"/>
  <c r="W116" i="73"/>
  <c r="H523" i="73" s="1"/>
  <c r="O10" i="128"/>
  <c r="AN18" i="66"/>
  <c r="AO18" i="66" s="1"/>
  <c r="I22" i="128"/>
  <c r="K29" i="66"/>
  <c r="L29" i="66" s="1"/>
  <c r="H8" i="128"/>
  <c r="AN8" i="66"/>
  <c r="AI7" i="65"/>
  <c r="S130" i="73"/>
  <c r="D537" i="73" s="1"/>
  <c r="F122" i="73"/>
  <c r="F556" i="73" s="1"/>
  <c r="J759" i="73"/>
  <c r="T89" i="73"/>
  <c r="E449" i="73" s="1"/>
  <c r="G122" i="73"/>
  <c r="G556" i="73" s="1"/>
  <c r="Q124" i="73"/>
  <c r="B531" i="73" s="1"/>
  <c r="Q73" i="73"/>
  <c r="B433" i="73" s="1"/>
  <c r="T73" i="73"/>
  <c r="E433" i="73" s="1"/>
  <c r="AA81" i="73"/>
  <c r="L441" i="73" s="1"/>
  <c r="R89" i="73"/>
  <c r="C449" i="73" s="1"/>
  <c r="V108" i="73"/>
  <c r="G515" i="73" s="1"/>
  <c r="X116" i="73"/>
  <c r="I523" i="73" s="1"/>
  <c r="AB73" i="73"/>
  <c r="M433" i="73" s="1"/>
  <c r="Z124" i="73"/>
  <c r="K531" i="73" s="1"/>
  <c r="W221" i="73"/>
  <c r="W229" i="73"/>
  <c r="K7" i="128"/>
  <c r="N20" i="66"/>
  <c r="O20" i="66" s="1"/>
  <c r="AN26" i="66"/>
  <c r="AO26" i="66" s="1"/>
  <c r="H19" i="128"/>
  <c r="S81" i="73"/>
  <c r="D441" i="73" s="1"/>
  <c r="X130" i="73"/>
  <c r="I537" i="73" s="1"/>
  <c r="Y73" i="73"/>
  <c r="J433" i="73" s="1"/>
  <c r="F114" i="73"/>
  <c r="C545" i="73"/>
  <c r="H227" i="73"/>
  <c r="N108" i="73"/>
  <c r="S89" i="73"/>
  <c r="D449" i="73" s="1"/>
  <c r="U73" i="73"/>
  <c r="F433" i="73" s="1"/>
  <c r="Z116" i="73"/>
  <c r="K523" i="73" s="1"/>
  <c r="R124" i="73"/>
  <c r="C531" i="73" s="1"/>
  <c r="M447" i="73"/>
  <c r="AB89" i="73"/>
  <c r="M449" i="73" s="1"/>
  <c r="S124" i="73"/>
  <c r="D531" i="73" s="1"/>
  <c r="H114" i="73"/>
  <c r="T97" i="73"/>
  <c r="E457" i="73" s="1"/>
  <c r="AA108" i="73"/>
  <c r="L515" i="73" s="1"/>
  <c r="C122" i="73"/>
  <c r="C556" i="73" s="1"/>
  <c r="M122" i="73"/>
  <c r="K29" i="128"/>
  <c r="K12" i="66"/>
  <c r="L12" i="66" s="1"/>
  <c r="H7" i="128"/>
  <c r="AG7" i="65"/>
  <c r="X81" i="73"/>
  <c r="I441" i="73" s="1"/>
  <c r="T130" i="73"/>
  <c r="E537" i="73" s="1"/>
  <c r="S73" i="73"/>
  <c r="D433" i="73" s="1"/>
  <c r="M542" i="73"/>
  <c r="C114" i="73"/>
  <c r="C548" i="73" s="1"/>
  <c r="AC99" i="73"/>
  <c r="K114" i="73"/>
  <c r="R108" i="73"/>
  <c r="C515" i="73" s="1"/>
  <c r="W124" i="73"/>
  <c r="H531" i="73" s="1"/>
  <c r="O30" i="66"/>
  <c r="Q116" i="73"/>
  <c r="B523" i="73" s="1"/>
  <c r="Q130" i="73"/>
  <c r="B537" i="73" s="1"/>
  <c r="W97" i="73"/>
  <c r="H457" i="73" s="1"/>
  <c r="AA124" i="73"/>
  <c r="L531" i="73" s="1"/>
  <c r="AA73" i="73"/>
  <c r="L433" i="73" s="1"/>
  <c r="R81" i="73"/>
  <c r="C441" i="73" s="1"/>
  <c r="R130" i="73"/>
  <c r="C537" i="73" s="1"/>
  <c r="X108" i="73"/>
  <c r="I515" i="73" s="1"/>
  <c r="V124" i="73"/>
  <c r="G531" i="73" s="1"/>
  <c r="AB97" i="73"/>
  <c r="V130" i="73"/>
  <c r="G537" i="73" s="1"/>
  <c r="F31" i="128"/>
  <c r="H5" i="128"/>
  <c r="AE15" i="65"/>
  <c r="U81" i="73"/>
  <c r="F441" i="73" s="1"/>
  <c r="Y97" i="73"/>
  <c r="J457" i="73" s="1"/>
  <c r="Y130" i="73"/>
  <c r="J537" i="73" s="1"/>
  <c r="Z73" i="73"/>
  <c r="K433" i="73" s="1"/>
  <c r="K122" i="73"/>
  <c r="K556" i="73" s="1"/>
  <c r="I114" i="73"/>
  <c r="E240" i="73"/>
  <c r="S108" i="73"/>
  <c r="D515" i="73" s="1"/>
  <c r="Z108" i="73"/>
  <c r="K515" i="73" s="1"/>
  <c r="R116" i="73"/>
  <c r="C523" i="73" s="1"/>
  <c r="M517" i="73"/>
  <c r="T124" i="73"/>
  <c r="E531" i="73" s="1"/>
  <c r="V73" i="73"/>
  <c r="G433" i="73" s="1"/>
  <c r="V97" i="73"/>
  <c r="G457" i="73" s="1"/>
  <c r="AB130" i="73"/>
  <c r="T116" i="73"/>
  <c r="E523" i="73" s="1"/>
  <c r="S116" i="73"/>
  <c r="D523" i="73" s="1"/>
  <c r="AA116" i="73"/>
  <c r="L523" i="73" s="1"/>
  <c r="L114" i="73"/>
  <c r="J15" i="128"/>
  <c r="N27" i="66"/>
  <c r="O27" i="66" s="1"/>
  <c r="K19" i="66"/>
  <c r="L19" i="66" s="1"/>
  <c r="T240" i="73"/>
  <c r="K19" i="128"/>
  <c r="Y81" i="73"/>
  <c r="J441" i="73" s="1"/>
  <c r="S97" i="73"/>
  <c r="D457" i="73" s="1"/>
  <c r="U130" i="73"/>
  <c r="F537" i="73" s="1"/>
  <c r="X89" i="73"/>
  <c r="I449" i="73" s="1"/>
  <c r="E122" i="73"/>
  <c r="E556" i="73" s="1"/>
  <c r="Y89" i="73"/>
  <c r="J449" i="73" s="1"/>
  <c r="U124" i="73"/>
  <c r="F531" i="73" s="1"/>
  <c r="T81" i="73"/>
  <c r="E441" i="73" s="1"/>
  <c r="Q108" i="73"/>
  <c r="B515" i="73" s="1"/>
  <c r="Q89" i="73"/>
  <c r="B449" i="73" s="1"/>
  <c r="W89" i="73"/>
  <c r="H449" i="73" s="1"/>
  <c r="W130" i="73"/>
  <c r="H537" i="73" s="1"/>
  <c r="Y124" i="73"/>
  <c r="J531" i="73" s="1"/>
  <c r="R73" i="73"/>
  <c r="C433" i="73" s="1"/>
  <c r="AA97" i="73"/>
  <c r="L457" i="73" s="1"/>
  <c r="AB81" i="73"/>
  <c r="I29" i="128"/>
  <c r="AI27" i="65"/>
  <c r="W213" i="73"/>
  <c r="AN14" i="66"/>
  <c r="AO14" i="66" s="1"/>
  <c r="N5" i="66"/>
  <c r="O5" i="66" s="1"/>
  <c r="K4" i="66"/>
  <c r="L4" i="66" s="1"/>
  <c r="Z81" i="73"/>
  <c r="K441" i="73" s="1"/>
  <c r="U97" i="73"/>
  <c r="F457" i="73" s="1"/>
  <c r="U108" i="73"/>
  <c r="F515" i="73" s="1"/>
  <c r="I20" i="128"/>
  <c r="B122" i="73"/>
  <c r="B556" i="73" s="1"/>
  <c r="G114" i="73"/>
  <c r="I7" i="128"/>
  <c r="AC126" i="73"/>
  <c r="L27" i="66"/>
  <c r="O14" i="66"/>
  <c r="BR24" i="66"/>
  <c r="AO15" i="66"/>
  <c r="AO13" i="66"/>
  <c r="C31" i="65"/>
  <c r="C33" i="65" s="1"/>
  <c r="B33" i="125"/>
  <c r="B35" i="125" s="1"/>
  <c r="AC20" i="66"/>
  <c r="AO20" i="66"/>
  <c r="AC132" i="73"/>
  <c r="M539" i="73"/>
  <c r="L18" i="128"/>
  <c r="G517" i="73"/>
  <c r="M448" i="73"/>
  <c r="AC88" i="73"/>
  <c r="AC129" i="73"/>
  <c r="M536" i="73"/>
  <c r="AC124" i="73"/>
  <c r="I514" i="73"/>
  <c r="AC5" i="66"/>
  <c r="AO5" i="66"/>
  <c r="BR5" i="66"/>
  <c r="L24" i="128"/>
  <c r="AC8" i="66"/>
  <c r="I433" i="73"/>
  <c r="C438" i="73"/>
  <c r="L25" i="128"/>
  <c r="P29" i="128"/>
  <c r="J17" i="128"/>
  <c r="I17" i="128"/>
  <c r="J8" i="128"/>
  <c r="I8" i="128"/>
  <c r="AC119" i="73"/>
  <c r="M526" i="73"/>
  <c r="L435" i="73"/>
  <c r="AI21" i="65"/>
  <c r="AO23" i="66"/>
  <c r="L23" i="66"/>
  <c r="AI6" i="65"/>
  <c r="AE6" i="65"/>
  <c r="L26" i="66"/>
  <c r="BR8" i="66"/>
  <c r="AG6" i="65"/>
  <c r="I18" i="129"/>
  <c r="L17" i="129"/>
  <c r="M64" i="73"/>
  <c r="E8" i="127"/>
  <c r="E18" i="127"/>
  <c r="O18" i="127" s="1"/>
  <c r="AJ29" i="66"/>
  <c r="Y29" i="66"/>
  <c r="AC9" i="73"/>
  <c r="M281" i="73"/>
  <c r="M11" i="127"/>
  <c r="M15" i="127"/>
  <c r="C64" i="73"/>
  <c r="C404" i="73" s="1"/>
  <c r="M4" i="127"/>
  <c r="H237" i="73"/>
  <c r="AH5" i="66"/>
  <c r="F16" i="66"/>
  <c r="I8" i="66"/>
  <c r="AH14" i="66"/>
  <c r="J64" i="73"/>
  <c r="J404" i="73" s="1"/>
  <c r="U25" i="66"/>
  <c r="O11" i="66"/>
  <c r="H64" i="73"/>
  <c r="H404" i="73" s="1"/>
  <c r="E29" i="127"/>
  <c r="N12" i="127"/>
  <c r="N19" i="127"/>
  <c r="I64" i="73"/>
  <c r="I404" i="73" s="1"/>
  <c r="D64" i="73"/>
  <c r="D404" i="73" s="1"/>
  <c r="M30" i="127"/>
  <c r="B64" i="73"/>
  <c r="B404" i="73" s="1"/>
  <c r="AF26" i="65"/>
  <c r="AM7" i="66"/>
  <c r="E19" i="127"/>
  <c r="AL8" i="66"/>
  <c r="AM8" i="66" s="1"/>
  <c r="M355" i="73"/>
  <c r="F64" i="73"/>
  <c r="F404" i="73" s="1"/>
  <c r="O19" i="66"/>
  <c r="G64" i="73"/>
  <c r="G404" i="73" s="1"/>
  <c r="E12" i="127"/>
  <c r="C240" i="73"/>
  <c r="AH30" i="66"/>
  <c r="AJ30" i="66" s="1"/>
  <c r="K10" i="127"/>
  <c r="AF4" i="66"/>
  <c r="F17" i="66"/>
  <c r="AM10" i="66"/>
  <c r="G5" i="129"/>
  <c r="J5" i="129" s="1"/>
  <c r="F26" i="129"/>
  <c r="I26" i="129" s="1"/>
  <c r="I5" i="129"/>
  <c r="I6" i="129"/>
  <c r="BR10" i="66"/>
  <c r="AC50" i="73"/>
  <c r="I27" i="129"/>
  <c r="K13" i="127"/>
  <c r="AM22" i="66"/>
  <c r="N8" i="127"/>
  <c r="AC27" i="73"/>
  <c r="M293" i="73"/>
  <c r="Q62" i="73"/>
  <c r="B375" i="73" s="1"/>
  <c r="O15" i="66"/>
  <c r="I29" i="66"/>
  <c r="AB19" i="73"/>
  <c r="C39" i="73"/>
  <c r="Q47" i="73"/>
  <c r="B360" i="73" s="1"/>
  <c r="T62" i="73"/>
  <c r="E375" i="73" s="1"/>
  <c r="X47" i="73"/>
  <c r="I360" i="73" s="1"/>
  <c r="Y62" i="73"/>
  <c r="J375" i="73" s="1"/>
  <c r="M39" i="73"/>
  <c r="AA55" i="73"/>
  <c r="L368" i="73" s="1"/>
  <c r="U62" i="73"/>
  <c r="F375" i="73" s="1"/>
  <c r="AD28" i="65"/>
  <c r="X62" i="73"/>
  <c r="I375" i="73" s="1"/>
  <c r="K11" i="127"/>
  <c r="N11" i="127"/>
  <c r="W234" i="73"/>
  <c r="W235" i="73"/>
  <c r="V11" i="73"/>
  <c r="G277" i="73" s="1"/>
  <c r="W19" i="73"/>
  <c r="H285" i="73" s="1"/>
  <c r="S27" i="73"/>
  <c r="D293" i="73" s="1"/>
  <c r="L12" i="129"/>
  <c r="T55" i="73"/>
  <c r="E368" i="73" s="1"/>
  <c r="BR26" i="66"/>
  <c r="Y27" i="73"/>
  <c r="J293" i="73" s="1"/>
  <c r="V19" i="73"/>
  <c r="G285" i="73" s="1"/>
  <c r="U55" i="73"/>
  <c r="F368" i="73" s="1"/>
  <c r="D39" i="73"/>
  <c r="H39" i="73"/>
  <c r="V62" i="73"/>
  <c r="G375" i="73" s="1"/>
  <c r="E10" i="66"/>
  <c r="F10" i="66" s="1"/>
  <c r="S11" i="73"/>
  <c r="D277" i="73" s="1"/>
  <c r="Q19" i="73"/>
  <c r="B285" i="73" s="1"/>
  <c r="T27" i="73"/>
  <c r="E293" i="73" s="1"/>
  <c r="L29" i="127"/>
  <c r="L16" i="127"/>
  <c r="W62" i="73"/>
  <c r="H375" i="73" s="1"/>
  <c r="W11" i="73"/>
  <c r="H277" i="73" s="1"/>
  <c r="M274" i="73"/>
  <c r="U29" i="66"/>
  <c r="V39" i="73"/>
  <c r="G352" i="73" s="1"/>
  <c r="AB55" i="73"/>
  <c r="AA62" i="73"/>
  <c r="L375" i="73" s="1"/>
  <c r="Y39" i="73"/>
  <c r="J352" i="73" s="1"/>
  <c r="H12" i="66"/>
  <c r="I12" i="66" s="1"/>
  <c r="K16" i="127"/>
  <c r="R23" i="127"/>
  <c r="Y11" i="73"/>
  <c r="J277" i="73" s="1"/>
  <c r="U27" i="73"/>
  <c r="F293" i="73" s="1"/>
  <c r="F39" i="73"/>
  <c r="AF20" i="65"/>
  <c r="S62" i="73"/>
  <c r="D375" i="73" s="1"/>
  <c r="Z39" i="73"/>
  <c r="K352" i="73" s="1"/>
  <c r="M352" i="73"/>
  <c r="U47" i="73"/>
  <c r="F360" i="73" s="1"/>
  <c r="Z19" i="73"/>
  <c r="K285" i="73" s="1"/>
  <c r="T47" i="73"/>
  <c r="E360" i="73" s="1"/>
  <c r="R18" i="66"/>
  <c r="G39" i="73"/>
  <c r="X39" i="73"/>
  <c r="I352" i="73" s="1"/>
  <c r="J39" i="73"/>
  <c r="Q39" i="73"/>
  <c r="B352" i="73" s="1"/>
  <c r="U11" i="73"/>
  <c r="F277" i="73" s="1"/>
  <c r="AA19" i="73"/>
  <c r="L285" i="73" s="1"/>
  <c r="Q27" i="73"/>
  <c r="B293" i="73" s="1"/>
  <c r="U39" i="73"/>
  <c r="F352" i="73" s="1"/>
  <c r="I4" i="129"/>
  <c r="K39" i="73"/>
  <c r="BR4" i="66"/>
  <c r="V47" i="73"/>
  <c r="G360" i="73" s="1"/>
  <c r="I9" i="129"/>
  <c r="M277" i="73"/>
  <c r="BT98" i="66"/>
  <c r="L30" i="66"/>
  <c r="R55" i="73"/>
  <c r="C368" i="73" s="1"/>
  <c r="R62" i="73"/>
  <c r="C375" i="73" s="1"/>
  <c r="I39" i="73"/>
  <c r="AB47" i="73"/>
  <c r="AC47" i="73" s="1"/>
  <c r="S55" i="73"/>
  <c r="D368" i="73" s="1"/>
  <c r="AB62" i="73"/>
  <c r="M375" i="73" s="1"/>
  <c r="W55" i="73"/>
  <c r="H368" i="73" s="1"/>
  <c r="B39" i="73"/>
  <c r="B379" i="73" s="1"/>
  <c r="AA39" i="73"/>
  <c r="L352" i="73" s="1"/>
  <c r="H4" i="66"/>
  <c r="I4" i="66" s="1"/>
  <c r="AI7" i="66"/>
  <c r="AJ7" i="66" s="1"/>
  <c r="W226" i="73"/>
  <c r="X11" i="73"/>
  <c r="I277" i="73" s="1"/>
  <c r="Q11" i="73"/>
  <c r="B277" i="73" s="1"/>
  <c r="S19" i="73"/>
  <c r="D285" i="73" s="1"/>
  <c r="R27" i="73"/>
  <c r="C293" i="73" s="1"/>
  <c r="Q55" i="73"/>
  <c r="B368" i="73" s="1"/>
  <c r="M357" i="73"/>
  <c r="Z11" i="73"/>
  <c r="K277" i="73" s="1"/>
  <c r="L11" i="66"/>
  <c r="I27" i="66"/>
  <c r="O12" i="66"/>
  <c r="R26" i="66"/>
  <c r="F26" i="66"/>
  <c r="F25" i="66"/>
  <c r="L8" i="66"/>
  <c r="X55" i="73"/>
  <c r="I368" i="73" s="1"/>
  <c r="L39" i="73"/>
  <c r="E18" i="66"/>
  <c r="F18" i="66" s="1"/>
  <c r="R6" i="66"/>
  <c r="AM17" i="66"/>
  <c r="AM23" i="66"/>
  <c r="AM28" i="66"/>
  <c r="B31" i="127"/>
  <c r="B35" i="127" s="1"/>
  <c r="AM25" i="66"/>
  <c r="K12" i="127"/>
  <c r="K6" i="127"/>
  <c r="B31" i="65"/>
  <c r="B33" i="65" s="1"/>
  <c r="Q240" i="73"/>
  <c r="F31" i="129"/>
  <c r="I31" i="129" s="1"/>
  <c r="Y41" i="73"/>
  <c r="J354" i="73" s="1"/>
  <c r="AH26" i="65"/>
  <c r="U5" i="73"/>
  <c r="F271" i="73" s="1"/>
  <c r="Y11" i="66"/>
  <c r="Y8" i="66"/>
  <c r="I19" i="66"/>
  <c r="N5" i="127"/>
  <c r="Y17" i="66"/>
  <c r="F24" i="66"/>
  <c r="Y7" i="66"/>
  <c r="M367" i="73"/>
  <c r="R6" i="127"/>
  <c r="AH18" i="65"/>
  <c r="W21" i="73"/>
  <c r="H287" i="73" s="1"/>
  <c r="K5" i="127"/>
  <c r="AI26" i="66"/>
  <c r="BR18" i="66"/>
  <c r="K20" i="127"/>
  <c r="K22" i="127"/>
  <c r="B271" i="73"/>
  <c r="T29" i="73"/>
  <c r="E295" i="73" s="1"/>
  <c r="U29" i="73"/>
  <c r="F295" i="73" s="1"/>
  <c r="Q29" i="73"/>
  <c r="B295" i="73" s="1"/>
  <c r="W236" i="73"/>
  <c r="S29" i="73"/>
  <c r="D295" i="73" s="1"/>
  <c r="W29" i="73"/>
  <c r="H295" i="73" s="1"/>
  <c r="E29" i="66"/>
  <c r="R29" i="73"/>
  <c r="C295" i="73" s="1"/>
  <c r="X29" i="73"/>
  <c r="I295" i="73" s="1"/>
  <c r="V29" i="73"/>
  <c r="G295" i="73" s="1"/>
  <c r="AA29" i="73"/>
  <c r="L295" i="73" s="1"/>
  <c r="Z29" i="73"/>
  <c r="K295" i="73" s="1"/>
  <c r="Y29" i="73"/>
  <c r="J295" i="73" s="1"/>
  <c r="W228" i="73"/>
  <c r="U21" i="73"/>
  <c r="F287" i="73" s="1"/>
  <c r="AA21" i="73"/>
  <c r="L287" i="73" s="1"/>
  <c r="Z21" i="73"/>
  <c r="K287" i="73" s="1"/>
  <c r="Y21" i="73"/>
  <c r="J287" i="73" s="1"/>
  <c r="AB21" i="73"/>
  <c r="T21" i="73"/>
  <c r="E287" i="73" s="1"/>
  <c r="S21" i="73"/>
  <c r="D287" i="73" s="1"/>
  <c r="X21" i="73"/>
  <c r="I287" i="73" s="1"/>
  <c r="R21" i="73"/>
  <c r="C287" i="73" s="1"/>
  <c r="V21" i="73"/>
  <c r="G287" i="73" s="1"/>
  <c r="E19" i="66"/>
  <c r="F19" i="66" s="1"/>
  <c r="E12" i="66"/>
  <c r="R13" i="73"/>
  <c r="C279" i="73" s="1"/>
  <c r="W220" i="73"/>
  <c r="Z13" i="73"/>
  <c r="K279" i="73" s="1"/>
  <c r="W13" i="73"/>
  <c r="H279" i="73" s="1"/>
  <c r="T13" i="73"/>
  <c r="E279" i="73" s="1"/>
  <c r="AB13" i="73"/>
  <c r="V13" i="73"/>
  <c r="G279" i="73" s="1"/>
  <c r="Y13" i="73"/>
  <c r="J279" i="73" s="1"/>
  <c r="X13" i="73"/>
  <c r="I279" i="73" s="1"/>
  <c r="U13" i="73"/>
  <c r="F279" i="73" s="1"/>
  <c r="AA13" i="73"/>
  <c r="L279" i="73" s="1"/>
  <c r="Q13" i="73"/>
  <c r="B279" i="73" s="1"/>
  <c r="R5" i="73"/>
  <c r="B5" i="73"/>
  <c r="W212" i="73"/>
  <c r="S5" i="73"/>
  <c r="T5" i="73"/>
  <c r="Y5" i="73"/>
  <c r="X5" i="73"/>
  <c r="W5" i="73"/>
  <c r="AA5" i="73"/>
  <c r="V5" i="73"/>
  <c r="Z5" i="73"/>
  <c r="E4" i="66"/>
  <c r="F4" i="66" s="1"/>
  <c r="AB5" i="73"/>
  <c r="W237" i="73"/>
  <c r="Z64" i="73"/>
  <c r="K377" i="73" s="1"/>
  <c r="S64" i="73"/>
  <c r="D377" i="73" s="1"/>
  <c r="H28" i="66"/>
  <c r="I28" i="66" s="1"/>
  <c r="Q64" i="73"/>
  <c r="B377" i="73" s="1"/>
  <c r="AB64" i="73"/>
  <c r="U64" i="73"/>
  <c r="F377" i="73" s="1"/>
  <c r="X64" i="73"/>
  <c r="I377" i="73" s="1"/>
  <c r="R64" i="73"/>
  <c r="C377" i="73" s="1"/>
  <c r="T64" i="73"/>
  <c r="E377" i="73" s="1"/>
  <c r="W64" i="73"/>
  <c r="H377" i="73" s="1"/>
  <c r="V64" i="73"/>
  <c r="G377" i="73" s="1"/>
  <c r="AA64" i="73"/>
  <c r="L377" i="73" s="1"/>
  <c r="S57" i="73"/>
  <c r="D370" i="73" s="1"/>
  <c r="Y57" i="73"/>
  <c r="J370" i="73" s="1"/>
  <c r="T57" i="73"/>
  <c r="E370" i="73" s="1"/>
  <c r="X57" i="73"/>
  <c r="I370" i="73" s="1"/>
  <c r="R57" i="73"/>
  <c r="C370" i="73" s="1"/>
  <c r="AA57" i="73"/>
  <c r="L370" i="73" s="1"/>
  <c r="H22" i="66"/>
  <c r="V57" i="73"/>
  <c r="G370" i="73" s="1"/>
  <c r="U57" i="73"/>
  <c r="F370" i="73" s="1"/>
  <c r="W230" i="73"/>
  <c r="Z57" i="73"/>
  <c r="K370" i="73" s="1"/>
  <c r="AB57" i="73"/>
  <c r="Q57" i="73"/>
  <c r="B370" i="73" s="1"/>
  <c r="Y49" i="73"/>
  <c r="J362" i="73" s="1"/>
  <c r="R49" i="73"/>
  <c r="C362" i="73" s="1"/>
  <c r="S49" i="73"/>
  <c r="D362" i="73" s="1"/>
  <c r="W222" i="73"/>
  <c r="Z49" i="73"/>
  <c r="K362" i="73" s="1"/>
  <c r="H16" i="66"/>
  <c r="I16" i="66" s="1"/>
  <c r="AB49" i="73"/>
  <c r="Q49" i="73"/>
  <c r="B362" i="73" s="1"/>
  <c r="T49" i="73"/>
  <c r="E362" i="73" s="1"/>
  <c r="W49" i="73"/>
  <c r="H362" i="73" s="1"/>
  <c r="AA49" i="73"/>
  <c r="L362" i="73" s="1"/>
  <c r="U49" i="73"/>
  <c r="F362" i="73" s="1"/>
  <c r="V49" i="73"/>
  <c r="G362" i="73" s="1"/>
  <c r="U41" i="73"/>
  <c r="S41" i="73"/>
  <c r="Z41" i="73"/>
  <c r="W41" i="73"/>
  <c r="H354" i="73" s="1"/>
  <c r="R240" i="73"/>
  <c r="AB41" i="73"/>
  <c r="Q41" i="73"/>
  <c r="H7" i="66"/>
  <c r="I7" i="66" s="1"/>
  <c r="AA41" i="73"/>
  <c r="W214" i="73"/>
  <c r="X41" i="73"/>
  <c r="T41" i="73"/>
  <c r="E354" i="73" s="1"/>
  <c r="V41" i="73"/>
  <c r="N6" i="127"/>
  <c r="D31" i="127"/>
  <c r="AL26" i="66"/>
  <c r="AM26" i="66" s="1"/>
  <c r="G31" i="127"/>
  <c r="L27" i="127"/>
  <c r="AH13" i="66"/>
  <c r="AJ13" i="66" s="1"/>
  <c r="E352" i="73"/>
  <c r="C354" i="73"/>
  <c r="AK15" i="66"/>
  <c r="AM15" i="66" s="1"/>
  <c r="E26" i="127"/>
  <c r="O26" i="127" s="1"/>
  <c r="C31" i="127"/>
  <c r="C35" i="127" s="1"/>
  <c r="J31" i="127"/>
  <c r="J35" i="127" s="1"/>
  <c r="K15" i="127"/>
  <c r="R19" i="127"/>
  <c r="AI18" i="66"/>
  <c r="AJ18" i="66" s="1"/>
  <c r="K14" i="127"/>
  <c r="L14" i="127"/>
  <c r="S15" i="127" s="1"/>
  <c r="V15" i="127" s="1"/>
  <c r="N14" i="127"/>
  <c r="AI5" i="66"/>
  <c r="N21" i="127"/>
  <c r="K21" i="127"/>
  <c r="R17" i="127"/>
  <c r="R25" i="127"/>
  <c r="N24" i="127"/>
  <c r="K24" i="127"/>
  <c r="AI25" i="66"/>
  <c r="AC46" i="73"/>
  <c r="L14" i="129"/>
  <c r="I14" i="129"/>
  <c r="L30" i="129"/>
  <c r="I30" i="129"/>
  <c r="E16" i="127"/>
  <c r="N16" i="127"/>
  <c r="K17" i="127"/>
  <c r="AI22" i="66"/>
  <c r="R14" i="127"/>
  <c r="N17" i="127"/>
  <c r="K8" i="127"/>
  <c r="I31" i="127"/>
  <c r="AI10" i="66"/>
  <c r="R13" i="127"/>
  <c r="AL16" i="66"/>
  <c r="AM16" i="66" s="1"/>
  <c r="E11" i="127"/>
  <c r="AC29" i="73"/>
  <c r="M295" i="73"/>
  <c r="AL9" i="66"/>
  <c r="AM9" i="66" s="1"/>
  <c r="E10" i="127"/>
  <c r="N10" i="127"/>
  <c r="I6" i="66"/>
  <c r="F11" i="129"/>
  <c r="R14" i="66"/>
  <c r="AM6" i="66"/>
  <c r="AM20" i="66"/>
  <c r="I18" i="66"/>
  <c r="M21" i="127"/>
  <c r="O7" i="127"/>
  <c r="AM29" i="66"/>
  <c r="AJ19" i="66"/>
  <c r="AM14" i="66"/>
  <c r="AM11" i="66"/>
  <c r="R25" i="66"/>
  <c r="BR9" i="66"/>
  <c r="F28" i="66"/>
  <c r="BR21" i="66"/>
  <c r="BF4" i="66"/>
  <c r="BH4" i="66" s="1"/>
  <c r="GE3" i="126"/>
  <c r="R17" i="124"/>
  <c r="P17" i="124"/>
  <c r="AZ14" i="66"/>
  <c r="BB14" i="66" s="1"/>
  <c r="GC13" i="126"/>
  <c r="BF7" i="66"/>
  <c r="BH7" i="66" s="1"/>
  <c r="GE6" i="126"/>
  <c r="BP30" i="66"/>
  <c r="U30" i="66"/>
  <c r="P25" i="124"/>
  <c r="R25" i="124"/>
  <c r="I265" i="73"/>
  <c r="AR26" i="73"/>
  <c r="CY19" i="126"/>
  <c r="FQ19" i="126" s="1"/>
  <c r="CY8" i="126"/>
  <c r="FQ8" i="126" s="1"/>
  <c r="S49" i="113"/>
  <c r="B47" i="119"/>
  <c r="J28" i="125"/>
  <c r="O28" i="125" s="1"/>
  <c r="AR114" i="73"/>
  <c r="AI26" i="65"/>
  <c r="BC18" i="66"/>
  <c r="BE18" i="66" s="1"/>
  <c r="AM8" i="121"/>
  <c r="R41" i="113"/>
  <c r="AM20" i="121"/>
  <c r="AH14" i="65"/>
  <c r="AF14" i="65"/>
  <c r="AD14" i="65"/>
  <c r="BF19" i="66"/>
  <c r="BH19" i="66" s="1"/>
  <c r="GE18" i="126"/>
  <c r="BF28" i="66"/>
  <c r="BH28" i="66" s="1"/>
  <c r="GE27" i="126"/>
  <c r="AG23" i="65"/>
  <c r="AI23" i="65"/>
  <c r="AE23" i="65"/>
  <c r="AE8" i="65"/>
  <c r="AI8" i="65"/>
  <c r="AG24" i="65"/>
  <c r="AI24" i="65"/>
  <c r="AF38" i="62"/>
  <c r="K18" i="64"/>
  <c r="M18" i="64"/>
  <c r="L18" i="64"/>
  <c r="AH17" i="65"/>
  <c r="AD17" i="65"/>
  <c r="AF17" i="65"/>
  <c r="AH25" i="65"/>
  <c r="AD25" i="65"/>
  <c r="AF25" i="65"/>
  <c r="W45" i="119"/>
  <c r="F78" i="119"/>
  <c r="AM28" i="121"/>
  <c r="AQ28" i="121"/>
  <c r="AS28" i="121" s="1"/>
  <c r="AR154" i="73"/>
  <c r="AI11" i="65"/>
  <c r="AU19" i="121"/>
  <c r="B32" i="119"/>
  <c r="G22" i="66"/>
  <c r="J29" i="125"/>
  <c r="O29" i="125" s="1"/>
  <c r="G9" i="66"/>
  <c r="I9" i="66" s="1"/>
  <c r="AM16" i="121"/>
  <c r="G75" i="119"/>
  <c r="X24" i="119"/>
  <c r="S23" i="66" s="1"/>
  <c r="X11" i="119"/>
  <c r="S10" i="66" s="1"/>
  <c r="U10" i="66" s="1"/>
  <c r="Q77" i="119"/>
  <c r="N11" i="123"/>
  <c r="S11" i="123" s="1"/>
  <c r="CZ10" i="126"/>
  <c r="FR10" i="126" s="1"/>
  <c r="I507" i="73"/>
  <c r="AR127" i="73"/>
  <c r="AR133" i="73"/>
  <c r="I513" i="73"/>
  <c r="BC28" i="66"/>
  <c r="BE28" i="66" s="1"/>
  <c r="GD27" i="126"/>
  <c r="FP23" i="126"/>
  <c r="DB23" i="126"/>
  <c r="AR25" i="121"/>
  <c r="AT25" i="121" s="1"/>
  <c r="AM25" i="121"/>
  <c r="AR13" i="121"/>
  <c r="AT13" i="121" s="1"/>
  <c r="AM13" i="121"/>
  <c r="X21" i="119"/>
  <c r="S19" i="66" s="1"/>
  <c r="N87" i="119"/>
  <c r="J20" i="125"/>
  <c r="AC31" i="65"/>
  <c r="J17" i="125"/>
  <c r="C89" i="119"/>
  <c r="T89" i="119" s="1"/>
  <c r="C76" i="119"/>
  <c r="AR62" i="73"/>
  <c r="X46" i="119"/>
  <c r="S30" i="119"/>
  <c r="DB16" i="126"/>
  <c r="O76" i="119"/>
  <c r="S44" i="119"/>
  <c r="B77" i="119"/>
  <c r="S77" i="119" s="1"/>
  <c r="GD6" i="126"/>
  <c r="BC7" i="66"/>
  <c r="BE7" i="66" s="1"/>
  <c r="FN21" i="126"/>
  <c r="I268" i="73"/>
  <c r="AR29" i="73"/>
  <c r="BF16" i="66"/>
  <c r="BH16" i="66" s="1"/>
  <c r="GE15" i="126"/>
  <c r="AH12" i="65"/>
  <c r="AF12" i="65"/>
  <c r="AD12" i="65"/>
  <c r="AG16" i="65"/>
  <c r="AI16" i="65"/>
  <c r="AE16" i="65"/>
  <c r="AI10" i="65"/>
  <c r="AG10" i="65"/>
  <c r="AE10" i="65"/>
  <c r="AF19" i="65"/>
  <c r="AD19" i="65"/>
  <c r="AG11" i="65"/>
  <c r="R21" i="119"/>
  <c r="X6" i="119"/>
  <c r="S5" i="66" s="1"/>
  <c r="CY30" i="126"/>
  <c r="X56" i="119"/>
  <c r="V53" i="119"/>
  <c r="E86" i="119"/>
  <c r="V86" i="119" s="1"/>
  <c r="CZ5" i="126"/>
  <c r="FR5" i="126" s="1"/>
  <c r="GF5" i="126" s="1"/>
  <c r="N7" i="123"/>
  <c r="S7" i="123" s="1"/>
  <c r="W50" i="119"/>
  <c r="G83" i="119"/>
  <c r="W83" i="119" s="1"/>
  <c r="N14" i="123"/>
  <c r="CZ15" i="126"/>
  <c r="B12" i="118"/>
  <c r="AC35" i="121"/>
  <c r="AJ31" i="122"/>
  <c r="AK31" i="122" s="1"/>
  <c r="AO31" i="122"/>
  <c r="AQ31" i="122" s="1"/>
  <c r="AM23" i="121"/>
  <c r="AR23" i="121"/>
  <c r="AT23" i="121" s="1"/>
  <c r="AM18" i="121"/>
  <c r="AR18" i="121"/>
  <c r="AT18" i="121" s="1"/>
  <c r="CV26" i="126"/>
  <c r="FN26" i="126" s="1"/>
  <c r="CV22" i="126"/>
  <c r="CW15" i="126"/>
  <c r="FO15" i="126" s="1"/>
  <c r="CX4" i="126"/>
  <c r="FP4" i="126" s="1"/>
  <c r="B63" i="119"/>
  <c r="S63" i="119" s="1"/>
  <c r="S65" i="113"/>
  <c r="S41" i="113"/>
  <c r="B39" i="119"/>
  <c r="B72" i="119" s="1"/>
  <c r="P9" i="124"/>
  <c r="AU11" i="121"/>
  <c r="S34" i="123"/>
  <c r="AJ28" i="122"/>
  <c r="AK28" i="122" s="1"/>
  <c r="I72" i="119"/>
  <c r="CZ25" i="126"/>
  <c r="FR25" i="126" s="1"/>
  <c r="DA17" i="126"/>
  <c r="FS17" i="126" s="1"/>
  <c r="E91" i="119"/>
  <c r="V91" i="119" s="1"/>
  <c r="V58" i="119"/>
  <c r="AE18" i="65"/>
  <c r="AI18" i="65"/>
  <c r="AG18" i="65"/>
  <c r="BF24" i="66"/>
  <c r="BH24" i="66" s="1"/>
  <c r="GE23" i="126"/>
  <c r="AI4" i="65"/>
  <c r="AE4" i="65"/>
  <c r="AG4" i="65"/>
  <c r="AZ8" i="66"/>
  <c r="BB8" i="66" s="1"/>
  <c r="GC7" i="126"/>
  <c r="AJ24" i="122"/>
  <c r="AK24" i="122" s="1"/>
  <c r="AO24" i="122"/>
  <c r="AQ24" i="122" s="1"/>
  <c r="AR29" i="121"/>
  <c r="AT29" i="121" s="1"/>
  <c r="AM29" i="121"/>
  <c r="AR17" i="121"/>
  <c r="AT17" i="121" s="1"/>
  <c r="AM17" i="121"/>
  <c r="AN10" i="121"/>
  <c r="AU10" i="121"/>
  <c r="CZ19" i="126"/>
  <c r="FR19" i="126" s="1"/>
  <c r="S57" i="113"/>
  <c r="B55" i="119"/>
  <c r="BF26" i="66"/>
  <c r="BH26" i="66" s="1"/>
  <c r="J13" i="125"/>
  <c r="Q32" i="119"/>
  <c r="D93" i="119"/>
  <c r="R6" i="119"/>
  <c r="R45" i="119"/>
  <c r="X45" i="119"/>
  <c r="W41" i="119"/>
  <c r="F74" i="119"/>
  <c r="AZ12" i="66"/>
  <c r="BB12" i="66" s="1"/>
  <c r="GC11" i="126"/>
  <c r="G27" i="118"/>
  <c r="AM5" i="121"/>
  <c r="AQ5" i="121"/>
  <c r="AS5" i="121" s="1"/>
  <c r="X87" i="119"/>
  <c r="CV28" i="126"/>
  <c r="FN28" i="126" s="1"/>
  <c r="CV11" i="126"/>
  <c r="FN11" i="126" s="1"/>
  <c r="C32" i="119"/>
  <c r="R24" i="119"/>
  <c r="G86" i="119"/>
  <c r="W86" i="119" s="1"/>
  <c r="G65" i="119"/>
  <c r="P83" i="119"/>
  <c r="CV24" i="126"/>
  <c r="FN24" i="126" s="1"/>
  <c r="J63" i="119"/>
  <c r="X65" i="113"/>
  <c r="L61" i="119"/>
  <c r="L94" i="119" s="1"/>
  <c r="X63" i="113"/>
  <c r="K57" i="119"/>
  <c r="X59" i="113"/>
  <c r="X55" i="113"/>
  <c r="H53" i="119"/>
  <c r="R53" i="119" s="1"/>
  <c r="K51" i="119"/>
  <c r="K84" i="119" s="1"/>
  <c r="X53" i="113"/>
  <c r="X49" i="113"/>
  <c r="J47" i="119"/>
  <c r="J65" i="119" s="1"/>
  <c r="K42" i="119"/>
  <c r="K75" i="119" s="1"/>
  <c r="X44" i="113"/>
  <c r="K41" i="119"/>
  <c r="K74" i="119" s="1"/>
  <c r="K67" i="113"/>
  <c r="M40" i="119"/>
  <c r="X42" i="113"/>
  <c r="P38" i="119"/>
  <c r="X40" i="113"/>
  <c r="G74" i="119"/>
  <c r="O94" i="119"/>
  <c r="AF7" i="65"/>
  <c r="W53" i="113"/>
  <c r="W41" i="113"/>
  <c r="W22" i="113"/>
  <c r="N20" i="123" s="1"/>
  <c r="S20" i="123" s="1"/>
  <c r="T20" i="123" s="1"/>
  <c r="X5" i="113"/>
  <c r="S102" i="113"/>
  <c r="V102" i="113"/>
  <c r="T102" i="113"/>
  <c r="W102" i="113"/>
  <c r="N34" i="123" s="1"/>
  <c r="U102" i="113"/>
  <c r="X60" i="113"/>
  <c r="X57" i="113"/>
  <c r="X47" i="113"/>
  <c r="R42" i="113"/>
  <c r="AJ11" i="122"/>
  <c r="AK11" i="122" s="1"/>
  <c r="AM12" i="121"/>
  <c r="AR58" i="73"/>
  <c r="W22" i="119"/>
  <c r="P20" i="66" s="1"/>
  <c r="R20" i="66" s="1"/>
  <c r="O85" i="119"/>
  <c r="X20" i="119"/>
  <c r="S21" i="66" s="1"/>
  <c r="CX21" i="126"/>
  <c r="FP21" i="126" s="1"/>
  <c r="R31" i="65"/>
  <c r="R33" i="65" s="1"/>
  <c r="X55" i="119"/>
  <c r="X25" i="119"/>
  <c r="S26" i="66" s="1"/>
  <c r="P81" i="119"/>
  <c r="P77" i="119"/>
  <c r="AD15" i="65"/>
  <c r="AH15" i="65"/>
  <c r="CX25" i="126"/>
  <c r="FP25" i="126" s="1"/>
  <c r="S31" i="65"/>
  <c r="AM24" i="121"/>
  <c r="AF6" i="65"/>
  <c r="AR97" i="73"/>
  <c r="X28" i="119"/>
  <c r="S27" i="66" s="1"/>
  <c r="X54" i="119"/>
  <c r="Q82" i="119"/>
  <c r="W12" i="119"/>
  <c r="P11" i="66" s="1"/>
  <c r="BP11" i="66" s="1"/>
  <c r="AR10" i="73"/>
  <c r="V60" i="119"/>
  <c r="R60" i="119"/>
  <c r="E93" i="119"/>
  <c r="V93" i="119" s="1"/>
  <c r="M81" i="119"/>
  <c r="M32" i="119"/>
  <c r="BL18" i="66"/>
  <c r="BN18" i="66" s="1"/>
  <c r="GG17" i="126"/>
  <c r="BP25" i="66"/>
  <c r="O25" i="66"/>
  <c r="U20" i="119"/>
  <c r="D86" i="119"/>
  <c r="J21" i="66"/>
  <c r="R20" i="119"/>
  <c r="X58" i="119"/>
  <c r="H91" i="119"/>
  <c r="X91" i="119" s="1"/>
  <c r="AF27" i="65"/>
  <c r="AH27" i="65"/>
  <c r="AD27" i="65"/>
  <c r="AB31" i="65"/>
  <c r="T9" i="123"/>
  <c r="P15" i="124"/>
  <c r="R15" i="124"/>
  <c r="I76" i="119"/>
  <c r="I32" i="119"/>
  <c r="X15" i="119"/>
  <c r="S16" i="66" s="1"/>
  <c r="J81" i="119"/>
  <c r="O8" i="124"/>
  <c r="J11" i="125"/>
  <c r="O11" i="125" s="1"/>
  <c r="V20" i="123"/>
  <c r="U13" i="66"/>
  <c r="BP13" i="66"/>
  <c r="R27" i="124"/>
  <c r="P27" i="124"/>
  <c r="S76" i="119"/>
  <c r="BL19" i="66"/>
  <c r="BN19" i="66" s="1"/>
  <c r="FT18" i="126"/>
  <c r="GH18" i="126" s="1"/>
  <c r="GI18" i="126" s="1"/>
  <c r="GG14" i="126"/>
  <c r="FT14" i="126"/>
  <c r="GH14" i="126" s="1"/>
  <c r="GI14" i="126" s="1"/>
  <c r="BL29" i="66"/>
  <c r="BN29" i="66" s="1"/>
  <c r="GG28" i="126"/>
  <c r="V11" i="119"/>
  <c r="V32" i="119" s="1"/>
  <c r="R11" i="119"/>
  <c r="M10" i="66"/>
  <c r="E77" i="119"/>
  <c r="E32" i="119"/>
  <c r="GG18" i="126"/>
  <c r="R5" i="124"/>
  <c r="GG9" i="126"/>
  <c r="FT9" i="126"/>
  <c r="I30" i="66"/>
  <c r="V97" i="119"/>
  <c r="T32" i="119"/>
  <c r="BI6" i="66"/>
  <c r="BK6" i="66" s="1"/>
  <c r="BF18" i="66"/>
  <c r="GE17" i="126"/>
  <c r="AK5" i="122"/>
  <c r="J19" i="124"/>
  <c r="O19" i="124" s="1"/>
  <c r="DA20" i="126"/>
  <c r="FS20" i="126" s="1"/>
  <c r="S17" i="118"/>
  <c r="R29" i="66"/>
  <c r="BP29" i="66"/>
  <c r="BI24" i="66"/>
  <c r="BK24" i="66" s="1"/>
  <c r="GF23" i="126"/>
  <c r="W78" i="119"/>
  <c r="T87" i="119"/>
  <c r="R87" i="119"/>
  <c r="V95" i="119"/>
  <c r="U93" i="119"/>
  <c r="AR33" i="121"/>
  <c r="AT33" i="121" s="1"/>
  <c r="AM33" i="121"/>
  <c r="FR15" i="126"/>
  <c r="DB15" i="126"/>
  <c r="O88" i="119"/>
  <c r="X88" i="119" s="1"/>
  <c r="X22" i="119"/>
  <c r="S20" i="66" s="1"/>
  <c r="U20" i="66" s="1"/>
  <c r="H94" i="119"/>
  <c r="AD10" i="65"/>
  <c r="AF10" i="65"/>
  <c r="AH10" i="65"/>
  <c r="AD9" i="65"/>
  <c r="AH9" i="65"/>
  <c r="AF9" i="65"/>
  <c r="DA27" i="126"/>
  <c r="FS27" i="126" s="1"/>
  <c r="I84" i="119"/>
  <c r="X51" i="119"/>
  <c r="DB22" i="126"/>
  <c r="FN22" i="126"/>
  <c r="DA25" i="126"/>
  <c r="FS25" i="126" s="1"/>
  <c r="M89" i="119"/>
  <c r="G79" i="119"/>
  <c r="W46" i="119"/>
  <c r="O74" i="119"/>
  <c r="X41" i="119"/>
  <c r="X44" i="119"/>
  <c r="N77" i="119"/>
  <c r="B79" i="119"/>
  <c r="D12" i="66"/>
  <c r="S13" i="119"/>
  <c r="S32" i="119" s="1"/>
  <c r="FR26" i="126"/>
  <c r="DB26" i="126"/>
  <c r="I96" i="119"/>
  <c r="X30" i="119"/>
  <c r="S28" i="66" s="1"/>
  <c r="U28" i="66" s="1"/>
  <c r="CZ27" i="126"/>
  <c r="FR27" i="126" s="1"/>
  <c r="DA6" i="126"/>
  <c r="FS6" i="126" s="1"/>
  <c r="W65" i="113"/>
  <c r="R65" i="113"/>
  <c r="R61" i="113"/>
  <c r="W61" i="113"/>
  <c r="R57" i="113"/>
  <c r="W57" i="113"/>
  <c r="R49" i="113"/>
  <c r="W49" i="113"/>
  <c r="W45" i="113"/>
  <c r="R45" i="113"/>
  <c r="W30" i="113"/>
  <c r="F30" i="119"/>
  <c r="R26" i="113"/>
  <c r="W26" i="113"/>
  <c r="F15" i="119"/>
  <c r="W15" i="113"/>
  <c r="R15" i="113"/>
  <c r="F13" i="119"/>
  <c r="R13" i="113"/>
  <c r="W9" i="113"/>
  <c r="R9" i="113"/>
  <c r="F32" i="113"/>
  <c r="W5" i="113"/>
  <c r="V59" i="113"/>
  <c r="E57" i="119"/>
  <c r="R59" i="113"/>
  <c r="V51" i="113"/>
  <c r="R51" i="113"/>
  <c r="E67" i="113"/>
  <c r="R43" i="113"/>
  <c r="E41" i="119"/>
  <c r="V43" i="113"/>
  <c r="U22" i="113"/>
  <c r="Z21" i="122"/>
  <c r="D32" i="113"/>
  <c r="R22" i="113"/>
  <c r="AR8" i="121"/>
  <c r="AT8" i="121" s="1"/>
  <c r="AD32" i="121"/>
  <c r="J3" i="124"/>
  <c r="DA3" i="126"/>
  <c r="Z32" i="122"/>
  <c r="F39" i="119"/>
  <c r="CW19" i="126"/>
  <c r="CV17" i="126"/>
  <c r="V32" i="113"/>
  <c r="CX10" i="126"/>
  <c r="CW8" i="126"/>
  <c r="CW6" i="126"/>
  <c r="T32" i="113"/>
  <c r="S32" i="113"/>
  <c r="CV4" i="126"/>
  <c r="X102" i="113"/>
  <c r="J33" i="124" s="1"/>
  <c r="R63" i="113"/>
  <c r="S63" i="113"/>
  <c r="B61" i="119"/>
  <c r="R55" i="113"/>
  <c r="S55" i="113"/>
  <c r="S47" i="113"/>
  <c r="R47" i="113"/>
  <c r="AM31" i="121"/>
  <c r="AQ31" i="121"/>
  <c r="AS31" i="121" s="1"/>
  <c r="AC32" i="121"/>
  <c r="AM7" i="121"/>
  <c r="R66" i="113"/>
  <c r="X66" i="113"/>
  <c r="X64" i="113"/>
  <c r="R64" i="113"/>
  <c r="R62" i="113"/>
  <c r="X62" i="113"/>
  <c r="M59" i="119"/>
  <c r="X59" i="119" s="1"/>
  <c r="X61" i="113"/>
  <c r="X58" i="113"/>
  <c r="R58" i="113"/>
  <c r="X56" i="113"/>
  <c r="R56" i="113"/>
  <c r="R54" i="113"/>
  <c r="X54" i="113"/>
  <c r="K50" i="119"/>
  <c r="X52" i="113"/>
  <c r="M67" i="113"/>
  <c r="X51" i="113"/>
  <c r="R50" i="113"/>
  <c r="O48" i="119"/>
  <c r="X50" i="113"/>
  <c r="H67" i="113"/>
  <c r="H47" i="119"/>
  <c r="R48" i="113"/>
  <c r="J67" i="113"/>
  <c r="X48" i="113"/>
  <c r="X46" i="113"/>
  <c r="R46" i="113"/>
  <c r="P67" i="113"/>
  <c r="Q42" i="119"/>
  <c r="Q67" i="113"/>
  <c r="I67" i="113"/>
  <c r="X43" i="113"/>
  <c r="L39" i="119"/>
  <c r="X41" i="113"/>
  <c r="L67" i="113"/>
  <c r="N67" i="113"/>
  <c r="R40" i="113"/>
  <c r="N38" i="119"/>
  <c r="R31" i="113"/>
  <c r="R27" i="113"/>
  <c r="J26" i="119"/>
  <c r="X26" i="113"/>
  <c r="R23" i="113"/>
  <c r="N23" i="119"/>
  <c r="X23" i="119" s="1"/>
  <c r="S22" i="66" s="1"/>
  <c r="R20" i="113"/>
  <c r="R21" i="113"/>
  <c r="X21" i="113"/>
  <c r="N18" i="119"/>
  <c r="R18" i="113"/>
  <c r="J16" i="119"/>
  <c r="R16" i="113"/>
  <c r="L17" i="119"/>
  <c r="R17" i="113"/>
  <c r="M32" i="113"/>
  <c r="X14" i="113"/>
  <c r="R14" i="113"/>
  <c r="X13" i="113"/>
  <c r="O13" i="119"/>
  <c r="Q32" i="113"/>
  <c r="I32" i="113"/>
  <c r="R12" i="113"/>
  <c r="L32" i="113"/>
  <c r="R10" i="113"/>
  <c r="L10" i="119"/>
  <c r="X10" i="119" s="1"/>
  <c r="S9" i="66" s="1"/>
  <c r="N9" i="119"/>
  <c r="X9" i="113"/>
  <c r="P32" i="113"/>
  <c r="P7" i="119"/>
  <c r="H32" i="113"/>
  <c r="X7" i="113"/>
  <c r="H7" i="119"/>
  <c r="R7" i="113"/>
  <c r="J8" i="119"/>
  <c r="R8" i="113"/>
  <c r="J32" i="113"/>
  <c r="K32" i="113"/>
  <c r="F47" i="119"/>
  <c r="F51" i="119"/>
  <c r="F59" i="119"/>
  <c r="F5" i="119"/>
  <c r="AE19" i="65"/>
  <c r="AG19" i="65"/>
  <c r="AI19" i="65"/>
  <c r="K25" i="64"/>
  <c r="L25" i="64"/>
  <c r="N73" i="62"/>
  <c r="M25" i="64"/>
  <c r="CW27" i="126"/>
  <c r="CW25" i="126"/>
  <c r="AJ25" i="122"/>
  <c r="AN25" i="122"/>
  <c r="AP25" i="122" s="1"/>
  <c r="E49" i="119"/>
  <c r="I108" i="62"/>
  <c r="R12" i="118"/>
  <c r="T12" i="118" s="1"/>
  <c r="T67" i="113"/>
  <c r="AO5" i="122"/>
  <c r="AQ5" i="122" s="1"/>
  <c r="AA32" i="122"/>
  <c r="R60" i="113"/>
  <c r="D58" i="119"/>
  <c r="D50" i="119"/>
  <c r="U52" i="113"/>
  <c r="R52" i="113"/>
  <c r="U44" i="113"/>
  <c r="D67" i="113"/>
  <c r="Z33" i="122" s="1"/>
  <c r="R44" i="113"/>
  <c r="D42" i="119"/>
  <c r="AJ29" i="122"/>
  <c r="AN29" i="122"/>
  <c r="AP29" i="122" s="1"/>
  <c r="CZ20" i="126"/>
  <c r="FR20" i="126" s="1"/>
  <c r="W13" i="113"/>
  <c r="D22" i="119"/>
  <c r="F63" i="119"/>
  <c r="F9" i="119"/>
  <c r="F43" i="119"/>
  <c r="F26" i="119"/>
  <c r="F67" i="113"/>
  <c r="M31" i="64"/>
  <c r="L31" i="64"/>
  <c r="AF73" i="62"/>
  <c r="W47" i="62"/>
  <c r="X47" i="62"/>
  <c r="Y47" i="62"/>
  <c r="T47" i="62"/>
  <c r="U47" i="62"/>
  <c r="V47" i="62"/>
  <c r="AJ10" i="122"/>
  <c r="AN10" i="122"/>
  <c r="AP10" i="122" s="1"/>
  <c r="BV81" i="66"/>
  <c r="BV83" i="66" s="1"/>
  <c r="BT66" i="66"/>
  <c r="I12" i="128"/>
  <c r="P12" i="128" s="1"/>
  <c r="J12" i="128"/>
  <c r="J13" i="128"/>
  <c r="I13" i="128"/>
  <c r="P13" i="128" s="1"/>
  <c r="BR13" i="66"/>
  <c r="AO9" i="66"/>
  <c r="AC14" i="66"/>
  <c r="AC15" i="66"/>
  <c r="AC9" i="66"/>
  <c r="AC13" i="66"/>
  <c r="AC21" i="66"/>
  <c r="I5" i="128"/>
  <c r="P11" i="128"/>
  <c r="BR15" i="66"/>
  <c r="D12" i="123"/>
  <c r="AC16" i="66"/>
  <c r="BR16" i="66"/>
  <c r="I16" i="128"/>
  <c r="J16" i="128"/>
  <c r="D27" i="123"/>
  <c r="D23" i="123"/>
  <c r="D19" i="123"/>
  <c r="D15" i="123"/>
  <c r="D10" i="123"/>
  <c r="K4" i="129"/>
  <c r="I19" i="128"/>
  <c r="J19" i="128"/>
  <c r="D30" i="123"/>
  <c r="D26" i="123"/>
  <c r="D22" i="123"/>
  <c r="D18" i="123"/>
  <c r="D14" i="123"/>
  <c r="D9" i="123"/>
  <c r="D29" i="123"/>
  <c r="D25" i="123"/>
  <c r="D21" i="123"/>
  <c r="D17" i="123"/>
  <c r="D13" i="123"/>
  <c r="D8" i="123"/>
  <c r="D5" i="123"/>
  <c r="G4" i="129"/>
  <c r="D28" i="123"/>
  <c r="D24" i="123"/>
  <c r="D20" i="123"/>
  <c r="D16" i="123"/>
  <c r="D11" i="123"/>
  <c r="D7" i="123"/>
  <c r="AH29" i="149"/>
  <c r="E26" i="128"/>
  <c r="H36" i="122"/>
  <c r="J36" i="121"/>
  <c r="L35" i="121"/>
  <c r="L36" i="121" s="1"/>
  <c r="K36" i="121"/>
  <c r="I35" i="122"/>
  <c r="I36" i="122" s="1"/>
  <c r="G36" i="122"/>
  <c r="BT96" i="66" l="1"/>
  <c r="R78" i="119"/>
  <c r="X78" i="119"/>
  <c r="T19" i="123"/>
  <c r="GE12" i="126"/>
  <c r="BF13" i="66"/>
  <c r="BH13" i="66" s="1"/>
  <c r="X61" i="119"/>
  <c r="J757" i="73"/>
  <c r="GD13" i="126"/>
  <c r="BC14" i="66"/>
  <c r="BE14" i="66" s="1"/>
  <c r="R44" i="119"/>
  <c r="H77" i="119"/>
  <c r="AU6" i="121"/>
  <c r="AN6" i="121"/>
  <c r="AN30" i="121"/>
  <c r="AU30" i="121"/>
  <c r="X94" i="119"/>
  <c r="BF21" i="66"/>
  <c r="BH21" i="66" s="1"/>
  <c r="GE20" i="126"/>
  <c r="DO30" i="126"/>
  <c r="DO32" i="126" s="1"/>
  <c r="DP29" i="126"/>
  <c r="DP30" i="126" s="1"/>
  <c r="FS29" i="126"/>
  <c r="BI10" i="66"/>
  <c r="BK10" i="66" s="1"/>
  <c r="GF9" i="126"/>
  <c r="AN15" i="121"/>
  <c r="AU15" i="121"/>
  <c r="AU14" i="121"/>
  <c r="AN14" i="121"/>
  <c r="R93" i="119"/>
  <c r="AU26" i="121"/>
  <c r="AN26" i="121"/>
  <c r="L79" i="119"/>
  <c r="R46" i="119"/>
  <c r="AU27" i="121"/>
  <c r="AN27" i="121"/>
  <c r="R19" i="119"/>
  <c r="M85" i="119"/>
  <c r="X85" i="119" s="1"/>
  <c r="X19" i="119"/>
  <c r="S18" i="66" s="1"/>
  <c r="BP18" i="66" s="1"/>
  <c r="R62" i="119"/>
  <c r="J95" i="119"/>
  <c r="X62" i="119"/>
  <c r="BF29" i="66"/>
  <c r="BH29" i="66" s="1"/>
  <c r="GE28" i="126"/>
  <c r="AN21" i="121"/>
  <c r="AU21" i="121"/>
  <c r="X77" i="119"/>
  <c r="I97" i="119"/>
  <c r="R64" i="119"/>
  <c r="X64" i="119"/>
  <c r="I65" i="119"/>
  <c r="BI13" i="66"/>
  <c r="BK13" i="66" s="1"/>
  <c r="GF12" i="126"/>
  <c r="AU9" i="121"/>
  <c r="AN9" i="121"/>
  <c r="AU22" i="121"/>
  <c r="AN22" i="121"/>
  <c r="J85" i="119"/>
  <c r="R52" i="119"/>
  <c r="X52" i="119"/>
  <c r="GF18" i="126"/>
  <c r="BI19" i="66"/>
  <c r="BK19" i="66" s="1"/>
  <c r="AN136" i="73"/>
  <c r="J739" i="73" s="1"/>
  <c r="DM31" i="126"/>
  <c r="M398" i="73"/>
  <c r="N58" i="73"/>
  <c r="O58" i="73" s="1"/>
  <c r="M744" i="73"/>
  <c r="N172" i="73"/>
  <c r="E66" i="73"/>
  <c r="AC24" i="73"/>
  <c r="B66" i="73"/>
  <c r="M134" i="73"/>
  <c r="M456" i="73"/>
  <c r="AC191" i="73"/>
  <c r="M288" i="73"/>
  <c r="M390" i="73"/>
  <c r="N50" i="73"/>
  <c r="O50" i="73" s="1"/>
  <c r="M284" i="73"/>
  <c r="M548" i="73"/>
  <c r="K754" i="73"/>
  <c r="M634" i="73"/>
  <c r="L751" i="73"/>
  <c r="B753" i="73"/>
  <c r="D134" i="73"/>
  <c r="N32" i="73"/>
  <c r="F748" i="73"/>
  <c r="M519" i="73"/>
  <c r="M765" i="73"/>
  <c r="AC40" i="73"/>
  <c r="U16" i="66"/>
  <c r="M365" i="73"/>
  <c r="AC195" i="73"/>
  <c r="M366" i="73"/>
  <c r="AC183" i="73"/>
  <c r="M626" i="73"/>
  <c r="N147" i="73"/>
  <c r="M452" i="73"/>
  <c r="R11" i="66"/>
  <c r="N115" i="73"/>
  <c r="M549" i="73"/>
  <c r="AC6" i="73"/>
  <c r="M272" i="73"/>
  <c r="E754" i="73"/>
  <c r="AC34" i="73"/>
  <c r="M731" i="73"/>
  <c r="N123" i="73"/>
  <c r="M557" i="73"/>
  <c r="AC143" i="73"/>
  <c r="M595" i="73"/>
  <c r="M372" i="73"/>
  <c r="M613" i="73"/>
  <c r="L757" i="73"/>
  <c r="M642" i="73"/>
  <c r="N163" i="73"/>
  <c r="AO12" i="66"/>
  <c r="P21" i="128"/>
  <c r="L14" i="128"/>
  <c r="AJ10" i="66"/>
  <c r="L8" i="127"/>
  <c r="S29" i="64"/>
  <c r="X2" i="62"/>
  <c r="B751" i="73"/>
  <c r="AC133" i="73"/>
  <c r="M540" i="73"/>
  <c r="M750" i="73"/>
  <c r="J748" i="73"/>
  <c r="M756" i="73"/>
  <c r="S109" i="64"/>
  <c r="X7" i="62"/>
  <c r="AQ209" i="73"/>
  <c r="AQ210" i="73" s="1"/>
  <c r="B757" i="73"/>
  <c r="B754" i="73"/>
  <c r="AI209" i="73"/>
  <c r="AI210" i="73" s="1"/>
  <c r="GA30" i="126"/>
  <c r="GA32" i="126" s="1"/>
  <c r="FU32" i="126"/>
  <c r="AC179" i="73"/>
  <c r="M702" i="73"/>
  <c r="M679" i="73"/>
  <c r="AC182" i="73"/>
  <c r="AC190" i="73"/>
  <c r="M686" i="73"/>
  <c r="AC187" i="73"/>
  <c r="X215" i="73"/>
  <c r="J6" i="128"/>
  <c r="P8" i="128"/>
  <c r="P25" i="128"/>
  <c r="AC84" i="73"/>
  <c r="M444" i="73"/>
  <c r="I7" i="129"/>
  <c r="M282" i="73"/>
  <c r="L34" i="129"/>
  <c r="O12" i="127"/>
  <c r="O22" i="127"/>
  <c r="BR27" i="66"/>
  <c r="F35" i="129"/>
  <c r="I35" i="129" s="1"/>
  <c r="AJ14" i="66"/>
  <c r="O19" i="127"/>
  <c r="P16" i="128"/>
  <c r="E29" i="140"/>
  <c r="H24" i="127"/>
  <c r="M26" i="121"/>
  <c r="G35" i="121"/>
  <c r="M376" i="73"/>
  <c r="M358" i="73"/>
  <c r="C764" i="73"/>
  <c r="M680" i="73"/>
  <c r="M687" i="73"/>
  <c r="J737" i="73"/>
  <c r="J755" i="73" s="1"/>
  <c r="M374" i="73"/>
  <c r="C759" i="73"/>
  <c r="I762" i="73"/>
  <c r="B762" i="73"/>
  <c r="BQ11" i="66"/>
  <c r="H737" i="73"/>
  <c r="H755" i="73" s="1"/>
  <c r="AJ209" i="73"/>
  <c r="AJ210" i="73" s="1"/>
  <c r="AC102" i="73"/>
  <c r="M737" i="73"/>
  <c r="H734" i="73"/>
  <c r="J734" i="73"/>
  <c r="J752" i="73" s="1"/>
  <c r="K734" i="73"/>
  <c r="K757" i="73"/>
  <c r="G737" i="73"/>
  <c r="M535" i="73"/>
  <c r="AC107" i="73"/>
  <c r="D762" i="73"/>
  <c r="B170" i="73"/>
  <c r="M620" i="73"/>
  <c r="S108" i="64"/>
  <c r="N100" i="73"/>
  <c r="N101" i="73" s="1"/>
  <c r="AH209" i="73"/>
  <c r="AH210" i="73" s="1"/>
  <c r="F737" i="73"/>
  <c r="F755" i="73" s="1"/>
  <c r="I737" i="73"/>
  <c r="I755" i="73" s="1"/>
  <c r="AC164" i="73"/>
  <c r="M616" i="73"/>
  <c r="AO209" i="73"/>
  <c r="AO210" i="73" s="1"/>
  <c r="C737" i="73"/>
  <c r="AF209" i="73"/>
  <c r="AF210" i="73" s="1"/>
  <c r="AC68" i="73"/>
  <c r="M734" i="73"/>
  <c r="E734" i="73"/>
  <c r="E752" i="73" s="1"/>
  <c r="D737" i="73"/>
  <c r="D755" i="73" s="1"/>
  <c r="M608" i="73"/>
  <c r="AC156" i="73"/>
  <c r="D734" i="73"/>
  <c r="M292" i="73"/>
  <c r="S28" i="64"/>
  <c r="D23" i="64"/>
  <c r="S55" i="64" s="1"/>
  <c r="E737" i="73"/>
  <c r="E755" i="73" s="1"/>
  <c r="C734" i="73"/>
  <c r="C752" i="73" s="1"/>
  <c r="AP209" i="73"/>
  <c r="AP210" i="73" s="1"/>
  <c r="L734" i="73"/>
  <c r="BR29" i="66"/>
  <c r="AC29" i="66"/>
  <c r="E6" i="123"/>
  <c r="AD6" i="66"/>
  <c r="AF6" i="66" s="1"/>
  <c r="P17" i="128"/>
  <c r="P27" i="128"/>
  <c r="L6" i="127"/>
  <c r="S6" i="127" s="1"/>
  <c r="V6" i="127" s="1"/>
  <c r="S10" i="127"/>
  <c r="V10" i="127" s="1"/>
  <c r="AJ26" i="66"/>
  <c r="GH9" i="126"/>
  <c r="GI9" i="126" s="1"/>
  <c r="H35" i="128"/>
  <c r="L9" i="127"/>
  <c r="S8" i="127" s="1"/>
  <c r="V8" i="127" s="1"/>
  <c r="AH12" i="66"/>
  <c r="AJ12" i="66" s="1"/>
  <c r="L30" i="127"/>
  <c r="S29" i="127" s="1"/>
  <c r="V29" i="127" s="1"/>
  <c r="BR14" i="66"/>
  <c r="AJ20" i="66"/>
  <c r="O10" i="127"/>
  <c r="BR11" i="66"/>
  <c r="O21" i="127"/>
  <c r="G34" i="127"/>
  <c r="H36" i="121"/>
  <c r="L4" i="127"/>
  <c r="AH11" i="66"/>
  <c r="AJ11" i="66" s="1"/>
  <c r="K5" i="129"/>
  <c r="H5" i="129"/>
  <c r="H23" i="127"/>
  <c r="M24" i="121"/>
  <c r="V28" i="66"/>
  <c r="Y28" i="66" s="1"/>
  <c r="F20" i="129"/>
  <c r="F20" i="127"/>
  <c r="I29" i="121"/>
  <c r="G35" i="127"/>
  <c r="H28" i="127"/>
  <c r="M18" i="121"/>
  <c r="AH15" i="66"/>
  <c r="AJ15" i="66" s="1"/>
  <c r="H11" i="127"/>
  <c r="M17" i="121"/>
  <c r="M23" i="121"/>
  <c r="H17" i="127"/>
  <c r="F34" i="127"/>
  <c r="I35" i="121"/>
  <c r="G36" i="121"/>
  <c r="V31" i="66"/>
  <c r="L25" i="129"/>
  <c r="I25" i="129"/>
  <c r="H5" i="127"/>
  <c r="M28" i="121"/>
  <c r="E23" i="64"/>
  <c r="S56" i="64" s="1"/>
  <c r="H23" i="64"/>
  <c r="S59" i="64" s="1"/>
  <c r="G241" i="73"/>
  <c r="N205" i="73"/>
  <c r="J23" i="64"/>
  <c r="B23" i="64"/>
  <c r="S53" i="64" s="1"/>
  <c r="L23" i="64"/>
  <c r="AB63" i="64" s="1"/>
  <c r="I23" i="64"/>
  <c r="F23" i="64"/>
  <c r="S57" i="64" s="1"/>
  <c r="M23" i="64"/>
  <c r="AB64" i="64" s="1"/>
  <c r="G23" i="64"/>
  <c r="S58" i="64" s="1"/>
  <c r="C23" i="64"/>
  <c r="S54" i="64" s="1"/>
  <c r="B241" i="73"/>
  <c r="N33" i="73"/>
  <c r="S107" i="64"/>
  <c r="E750" i="73"/>
  <c r="S27" i="64"/>
  <c r="D21" i="129"/>
  <c r="E761" i="73"/>
  <c r="M604" i="73"/>
  <c r="AO6" i="66"/>
  <c r="BR6" i="66"/>
  <c r="X224" i="73"/>
  <c r="J27" i="128"/>
  <c r="L21" i="128"/>
  <c r="L11" i="128"/>
  <c r="P9" i="128"/>
  <c r="I30" i="128"/>
  <c r="L30" i="128" s="1"/>
  <c r="AC94" i="73"/>
  <c r="M454" i="73"/>
  <c r="M446" i="73"/>
  <c r="B755" i="73"/>
  <c r="E31" i="128"/>
  <c r="M528" i="73"/>
  <c r="P4" i="128"/>
  <c r="M286" i="73"/>
  <c r="X32" i="66"/>
  <c r="AG31" i="66"/>
  <c r="C36" i="129"/>
  <c r="O25" i="127"/>
  <c r="M276" i="73"/>
  <c r="AC10" i="73"/>
  <c r="AK31" i="66"/>
  <c r="AJ5" i="66"/>
  <c r="AC62" i="73"/>
  <c r="BQ29" i="66"/>
  <c r="BQ30" i="66"/>
  <c r="M361" i="73"/>
  <c r="AC48" i="73"/>
  <c r="AC28" i="73"/>
  <c r="M294" i="73"/>
  <c r="M369" i="73"/>
  <c r="AC56" i="73"/>
  <c r="X216" i="73"/>
  <c r="AC12" i="73"/>
  <c r="M278" i="73"/>
  <c r="O16" i="127"/>
  <c r="O24" i="125"/>
  <c r="R24" i="125" s="1"/>
  <c r="I33" i="125"/>
  <c r="I35" i="125" s="1"/>
  <c r="I37" i="125" s="1"/>
  <c r="O12" i="125"/>
  <c r="H34" i="124"/>
  <c r="BY66" i="126"/>
  <c r="B764" i="73"/>
  <c r="N33" i="125"/>
  <c r="N35" i="125" s="1"/>
  <c r="N37" i="125" s="1"/>
  <c r="H33" i="125"/>
  <c r="H35" i="125" s="1"/>
  <c r="K33" i="125"/>
  <c r="K35" i="125" s="1"/>
  <c r="K37" i="125" s="1"/>
  <c r="R4" i="124"/>
  <c r="P4" i="124"/>
  <c r="O17" i="125"/>
  <c r="R17" i="125" s="1"/>
  <c r="O32" i="125"/>
  <c r="O20" i="125"/>
  <c r="P27" i="125"/>
  <c r="F33" i="125"/>
  <c r="F35" i="125" s="1"/>
  <c r="F37" i="125" s="1"/>
  <c r="D33" i="125"/>
  <c r="D35" i="125" s="1"/>
  <c r="D37" i="125" s="1"/>
  <c r="C1048573" i="124"/>
  <c r="R29" i="124"/>
  <c r="P29" i="124"/>
  <c r="AC198" i="73"/>
  <c r="M697" i="73"/>
  <c r="I32" i="124"/>
  <c r="I34" i="124" s="1"/>
  <c r="M621" i="73"/>
  <c r="AC169" i="73"/>
  <c r="X238" i="73" s="1"/>
  <c r="T13" i="123"/>
  <c r="V13" i="123"/>
  <c r="V25" i="123"/>
  <c r="T25" i="123"/>
  <c r="V30" i="123"/>
  <c r="T30" i="123"/>
  <c r="L33" i="125"/>
  <c r="L35" i="125" s="1"/>
  <c r="L37" i="125" s="1"/>
  <c r="O7" i="125"/>
  <c r="M597" i="73"/>
  <c r="AC145" i="73"/>
  <c r="B36" i="129"/>
  <c r="D11" i="129"/>
  <c r="O13" i="125"/>
  <c r="T29" i="123"/>
  <c r="V29" i="123"/>
  <c r="M605" i="73"/>
  <c r="AC153" i="73"/>
  <c r="T6" i="123"/>
  <c r="V6" i="123"/>
  <c r="P25" i="125"/>
  <c r="R25" i="125"/>
  <c r="BQ25" i="66"/>
  <c r="R8" i="125"/>
  <c r="O19" i="125"/>
  <c r="G33" i="125"/>
  <c r="G35" i="125" s="1"/>
  <c r="G37" i="125" s="1"/>
  <c r="AC79" i="73"/>
  <c r="M439" i="73"/>
  <c r="R31" i="125"/>
  <c r="AO28" i="66"/>
  <c r="L22" i="128"/>
  <c r="L23" i="128"/>
  <c r="L27" i="128"/>
  <c r="AC95" i="73"/>
  <c r="X234" i="73" s="1"/>
  <c r="M455" i="73"/>
  <c r="AC122" i="73"/>
  <c r="M529" i="73"/>
  <c r="AC12" i="66"/>
  <c r="BR12" i="66"/>
  <c r="C33" i="125"/>
  <c r="C35" i="125" s="1"/>
  <c r="C37" i="125" s="1"/>
  <c r="R23" i="125"/>
  <c r="P23" i="125"/>
  <c r="V36" i="122"/>
  <c r="BV66" i="126"/>
  <c r="BZ66" i="126"/>
  <c r="H37" i="125"/>
  <c r="B39" i="128"/>
  <c r="AC114" i="73"/>
  <c r="M521" i="73"/>
  <c r="J34" i="122"/>
  <c r="I38" i="128" s="1"/>
  <c r="Z31" i="66"/>
  <c r="AC31" i="66" s="1"/>
  <c r="F36" i="122"/>
  <c r="K758" i="73"/>
  <c r="Z100" i="73"/>
  <c r="N32" i="66"/>
  <c r="M523" i="73"/>
  <c r="M438" i="73"/>
  <c r="AC78" i="73"/>
  <c r="AC113" i="73"/>
  <c r="M520" i="73"/>
  <c r="M458" i="73"/>
  <c r="L10" i="128"/>
  <c r="AA100" i="73"/>
  <c r="S134" i="73"/>
  <c r="M450" i="73"/>
  <c r="M538" i="73"/>
  <c r="K32" i="66"/>
  <c r="G755" i="73"/>
  <c r="L755" i="73"/>
  <c r="AB134" i="73"/>
  <c r="D758" i="73"/>
  <c r="V134" i="73"/>
  <c r="J758" i="73"/>
  <c r="U21" i="66"/>
  <c r="R100" i="73"/>
  <c r="G758" i="73"/>
  <c r="AC89" i="73"/>
  <c r="AC117" i="73"/>
  <c r="M524" i="73"/>
  <c r="M434" i="73"/>
  <c r="AC82" i="73"/>
  <c r="M442" i="73"/>
  <c r="B758" i="73"/>
  <c r="AC109" i="73"/>
  <c r="M516" i="73"/>
  <c r="T134" i="73"/>
  <c r="U134" i="73"/>
  <c r="AC125" i="73"/>
  <c r="M532" i="73"/>
  <c r="P23" i="128"/>
  <c r="C755" i="73"/>
  <c r="C758" i="73"/>
  <c r="L758" i="73"/>
  <c r="AN31" i="66"/>
  <c r="AO31" i="66" s="1"/>
  <c r="AE31" i="65"/>
  <c r="T100" i="73"/>
  <c r="X100" i="73"/>
  <c r="AO8" i="66"/>
  <c r="P18" i="128"/>
  <c r="E758" i="73"/>
  <c r="X134" i="73"/>
  <c r="R134" i="73"/>
  <c r="K755" i="73"/>
  <c r="U11" i="66"/>
  <c r="U100" i="73"/>
  <c r="I758" i="73"/>
  <c r="Z134" i="73"/>
  <c r="U19" i="66"/>
  <c r="S100" i="73"/>
  <c r="AA134" i="73"/>
  <c r="H758" i="73"/>
  <c r="Q134" i="73"/>
  <c r="Q100" i="73"/>
  <c r="D31" i="128"/>
  <c r="C39" i="128"/>
  <c r="AP31" i="66"/>
  <c r="AQ31" i="66" s="1"/>
  <c r="K764" i="73"/>
  <c r="T32" i="66"/>
  <c r="D676" i="73"/>
  <c r="D764" i="73" s="1"/>
  <c r="S204" i="73"/>
  <c r="M692" i="73"/>
  <c r="AC193" i="73"/>
  <c r="AC184" i="73"/>
  <c r="M683" i="73"/>
  <c r="M691" i="73"/>
  <c r="AC192" i="73"/>
  <c r="E676" i="73"/>
  <c r="E764" i="73" s="1"/>
  <c r="T204" i="73"/>
  <c r="L676" i="73"/>
  <c r="L764" i="73" s="1"/>
  <c r="AA204" i="73"/>
  <c r="J676" i="73"/>
  <c r="J764" i="73" s="1"/>
  <c r="Y204" i="73"/>
  <c r="F676" i="73"/>
  <c r="F764" i="73" s="1"/>
  <c r="U204" i="73"/>
  <c r="AC185" i="73"/>
  <c r="M684" i="73"/>
  <c r="Q204" i="73"/>
  <c r="Q205" i="73" s="1"/>
  <c r="M700" i="73"/>
  <c r="AC201" i="73"/>
  <c r="AB204" i="73"/>
  <c r="G676" i="73"/>
  <c r="G764" i="73" s="1"/>
  <c r="V204" i="73"/>
  <c r="V205" i="73" s="1"/>
  <c r="AC200" i="73"/>
  <c r="M699" i="73"/>
  <c r="I676" i="73"/>
  <c r="I764" i="73" s="1"/>
  <c r="X204" i="73"/>
  <c r="H676" i="73"/>
  <c r="H764" i="73" s="1"/>
  <c r="W204" i="73"/>
  <c r="R204" i="73"/>
  <c r="Z204" i="73"/>
  <c r="K761" i="73"/>
  <c r="H240" i="73"/>
  <c r="H761" i="73"/>
  <c r="Q32" i="66"/>
  <c r="L761" i="73"/>
  <c r="D761" i="73"/>
  <c r="BQ13" i="66"/>
  <c r="C761" i="73"/>
  <c r="G761" i="73"/>
  <c r="V170" i="73"/>
  <c r="AB170" i="73"/>
  <c r="I761" i="73"/>
  <c r="W170" i="73"/>
  <c r="B761" i="73"/>
  <c r="F170" i="73"/>
  <c r="F625" i="73"/>
  <c r="F762" i="73" s="1"/>
  <c r="M627" i="73"/>
  <c r="N148" i="73"/>
  <c r="M170" i="73"/>
  <c r="G170" i="73"/>
  <c r="G625" i="73"/>
  <c r="G762" i="73" s="1"/>
  <c r="M614" i="73"/>
  <c r="AC162" i="73"/>
  <c r="X231" i="73" s="1"/>
  <c r="AC151" i="73"/>
  <c r="M603" i="73"/>
  <c r="X170" i="73"/>
  <c r="M5" i="129"/>
  <c r="T170" i="73"/>
  <c r="Z170" i="73"/>
  <c r="J625" i="73"/>
  <c r="J762" i="73" s="1"/>
  <c r="J170" i="73"/>
  <c r="U170" i="73"/>
  <c r="D170" i="73"/>
  <c r="F761" i="73"/>
  <c r="R170" i="73"/>
  <c r="Q170" i="73"/>
  <c r="M612" i="73"/>
  <c r="AC160" i="73"/>
  <c r="C170" i="73"/>
  <c r="C625" i="73"/>
  <c r="C762" i="73" s="1"/>
  <c r="M633" i="73"/>
  <c r="N154" i="73"/>
  <c r="K625" i="73"/>
  <c r="K762" i="73" s="1"/>
  <c r="K170" i="73"/>
  <c r="S170" i="73"/>
  <c r="AC150" i="73"/>
  <c r="M602" i="73"/>
  <c r="M625" i="73"/>
  <c r="N146" i="73"/>
  <c r="AA170" i="73"/>
  <c r="E625" i="73"/>
  <c r="E762" i="73" s="1"/>
  <c r="E170" i="73"/>
  <c r="M635" i="73"/>
  <c r="N156" i="73"/>
  <c r="AC154" i="73"/>
  <c r="X223" i="73" s="1"/>
  <c r="M606" i="73"/>
  <c r="I170" i="73"/>
  <c r="J602" i="73"/>
  <c r="J761" i="73" s="1"/>
  <c r="Y170" i="73"/>
  <c r="L625" i="73"/>
  <c r="L762" i="73" s="1"/>
  <c r="L170" i="73"/>
  <c r="H625" i="73"/>
  <c r="H762" i="73" s="1"/>
  <c r="H170" i="73"/>
  <c r="W134" i="73"/>
  <c r="F758" i="73"/>
  <c r="Y134" i="73"/>
  <c r="Y100" i="73"/>
  <c r="Z101" i="73" s="1"/>
  <c r="AC130" i="73"/>
  <c r="M537" i="73"/>
  <c r="H134" i="73"/>
  <c r="H548" i="73"/>
  <c r="H759" i="73" s="1"/>
  <c r="F134" i="73"/>
  <c r="F548" i="73"/>
  <c r="F759" i="73" s="1"/>
  <c r="B548" i="73"/>
  <c r="B759" i="73" s="1"/>
  <c r="B134" i="73"/>
  <c r="W100" i="73"/>
  <c r="X101" i="73" s="1"/>
  <c r="K548" i="73"/>
  <c r="K759" i="73" s="1"/>
  <c r="K134" i="73"/>
  <c r="B460" i="73"/>
  <c r="B756" i="73" s="1"/>
  <c r="B100" i="73"/>
  <c r="L29" i="128"/>
  <c r="P30" i="128"/>
  <c r="I548" i="73"/>
  <c r="I759" i="73" s="1"/>
  <c r="I134" i="73"/>
  <c r="F39" i="128"/>
  <c r="H31" i="128"/>
  <c r="H39" i="128" s="1"/>
  <c r="O31" i="128"/>
  <c r="K31" i="128"/>
  <c r="L7" i="128"/>
  <c r="P7" i="128"/>
  <c r="AC81" i="73"/>
  <c r="M441" i="73"/>
  <c r="AC73" i="73"/>
  <c r="AB100" i="73"/>
  <c r="C134" i="73"/>
  <c r="G548" i="73"/>
  <c r="G759" i="73" s="1"/>
  <c r="G134" i="73"/>
  <c r="L134" i="73"/>
  <c r="L548" i="73"/>
  <c r="L759" i="73" s="1"/>
  <c r="AC97" i="73"/>
  <c r="M457" i="73"/>
  <c r="N122" i="73"/>
  <c r="N134" i="73" s="1"/>
  <c r="M556" i="73"/>
  <c r="M759" i="73" s="1"/>
  <c r="V100" i="73"/>
  <c r="P19" i="128"/>
  <c r="L20" i="128"/>
  <c r="E548" i="73"/>
  <c r="E759" i="73" s="1"/>
  <c r="E134" i="73"/>
  <c r="P20" i="128"/>
  <c r="L17" i="128"/>
  <c r="L8" i="128"/>
  <c r="P10" i="128"/>
  <c r="F29" i="66"/>
  <c r="I22" i="66"/>
  <c r="M404" i="73"/>
  <c r="N64" i="73"/>
  <c r="O64" i="73" s="1"/>
  <c r="Y66" i="73"/>
  <c r="J66" i="73"/>
  <c r="J379" i="73"/>
  <c r="J753" i="73" s="1"/>
  <c r="L379" i="73"/>
  <c r="L753" i="73" s="1"/>
  <c r="L66" i="73"/>
  <c r="C379" i="73"/>
  <c r="C753" i="73" s="1"/>
  <c r="C66" i="73"/>
  <c r="I379" i="73"/>
  <c r="I753" i="73" s="1"/>
  <c r="I66" i="73"/>
  <c r="M360" i="73"/>
  <c r="G379" i="73"/>
  <c r="G753" i="73" s="1"/>
  <c r="G66" i="73"/>
  <c r="AC19" i="73"/>
  <c r="X226" i="73" s="1"/>
  <c r="M285" i="73"/>
  <c r="O29" i="127"/>
  <c r="F379" i="73"/>
  <c r="F753" i="73" s="1"/>
  <c r="F66" i="73"/>
  <c r="AC55" i="73"/>
  <c r="M368" i="73"/>
  <c r="N39" i="73"/>
  <c r="M379" i="73"/>
  <c r="M66" i="73"/>
  <c r="K379" i="73"/>
  <c r="K753" i="73" s="1"/>
  <c r="K66" i="73"/>
  <c r="H379" i="73"/>
  <c r="H753" i="73" s="1"/>
  <c r="H66" i="73"/>
  <c r="D379" i="73"/>
  <c r="D753" i="73" s="1"/>
  <c r="D66" i="73"/>
  <c r="I11" i="129"/>
  <c r="H32" i="66"/>
  <c r="B749" i="73"/>
  <c r="T66" i="73"/>
  <c r="AC41" i="73"/>
  <c r="M354" i="73"/>
  <c r="AB66" i="73"/>
  <c r="AC13" i="73"/>
  <c r="M279" i="73"/>
  <c r="G354" i="73"/>
  <c r="G752" i="73" s="1"/>
  <c r="V66" i="73"/>
  <c r="L271" i="73"/>
  <c r="AA32" i="73"/>
  <c r="C271" i="73"/>
  <c r="R32" i="73"/>
  <c r="F749" i="73"/>
  <c r="R31" i="127"/>
  <c r="R32" i="127" s="1"/>
  <c r="I35" i="127"/>
  <c r="N31" i="127"/>
  <c r="H271" i="73"/>
  <c r="W32" i="73"/>
  <c r="Q32" i="73"/>
  <c r="K31" i="127"/>
  <c r="K35" i="127" s="1"/>
  <c r="D35" i="127"/>
  <c r="E31" i="127"/>
  <c r="I354" i="73"/>
  <c r="I752" i="73" s="1"/>
  <c r="X66" i="73"/>
  <c r="K354" i="73"/>
  <c r="K752" i="73" s="1"/>
  <c r="Z66" i="73"/>
  <c r="I271" i="73"/>
  <c r="X32" i="73"/>
  <c r="G271" i="73"/>
  <c r="V32" i="73"/>
  <c r="AI31" i="66"/>
  <c r="O8" i="127"/>
  <c r="S13" i="127"/>
  <c r="V13" i="127" s="1"/>
  <c r="D354" i="73"/>
  <c r="D752" i="73" s="1"/>
  <c r="S66" i="73"/>
  <c r="AC49" i="73"/>
  <c r="M362" i="73"/>
  <c r="M370" i="73"/>
  <c r="AC57" i="73"/>
  <c r="Y32" i="73"/>
  <c r="J271" i="73"/>
  <c r="S25" i="127"/>
  <c r="V25" i="127" s="1"/>
  <c r="W66" i="73"/>
  <c r="AA66" i="73"/>
  <c r="L354" i="73"/>
  <c r="L752" i="73" s="1"/>
  <c r="F354" i="73"/>
  <c r="F752" i="73" s="1"/>
  <c r="U66" i="73"/>
  <c r="AC5" i="73"/>
  <c r="M271" i="73"/>
  <c r="AB32" i="73"/>
  <c r="E271" i="73"/>
  <c r="T32" i="73"/>
  <c r="AC21" i="73"/>
  <c r="M287" i="73"/>
  <c r="O15" i="127"/>
  <c r="S16" i="127"/>
  <c r="V16" i="127" s="1"/>
  <c r="AL31" i="66"/>
  <c r="S19" i="127"/>
  <c r="V19" i="127" s="1"/>
  <c r="O14" i="127"/>
  <c r="O27" i="127"/>
  <c r="S27" i="127"/>
  <c r="V27" i="127" s="1"/>
  <c r="H752" i="73"/>
  <c r="E32" i="66"/>
  <c r="D271" i="73"/>
  <c r="S32" i="73"/>
  <c r="B298" i="73"/>
  <c r="B32" i="73"/>
  <c r="R66" i="73"/>
  <c r="U32" i="73"/>
  <c r="Q66" i="73"/>
  <c r="B354" i="73"/>
  <c r="B752" i="73" s="1"/>
  <c r="AC64" i="73"/>
  <c r="X237" i="73" s="1"/>
  <c r="M377" i="73"/>
  <c r="K271" i="73"/>
  <c r="Z32" i="73"/>
  <c r="AF31" i="65"/>
  <c r="AF33" i="65" s="1"/>
  <c r="U23" i="66"/>
  <c r="BP23" i="66"/>
  <c r="BQ23" i="66"/>
  <c r="BP27" i="66"/>
  <c r="U27" i="66"/>
  <c r="BQ27" i="66"/>
  <c r="X40" i="119"/>
  <c r="R40" i="119"/>
  <c r="M73" i="119"/>
  <c r="X63" i="119"/>
  <c r="J96" i="119"/>
  <c r="AW12" i="66"/>
  <c r="AY12" i="66" s="1"/>
  <c r="GB11" i="126"/>
  <c r="BI20" i="66"/>
  <c r="BK20" i="66" s="1"/>
  <c r="GF19" i="126"/>
  <c r="GC15" i="126"/>
  <c r="AZ16" i="66"/>
  <c r="BB16" i="66" s="1"/>
  <c r="S14" i="123"/>
  <c r="J16" i="125"/>
  <c r="O16" i="125" s="1"/>
  <c r="AO6" i="64"/>
  <c r="AA48" i="64"/>
  <c r="I420" i="73"/>
  <c r="AR87" i="73"/>
  <c r="GE8" i="126"/>
  <c r="BF9" i="66"/>
  <c r="BH9" i="66" s="1"/>
  <c r="I492" i="73"/>
  <c r="AR112" i="73"/>
  <c r="U26" i="66"/>
  <c r="BP26" i="66"/>
  <c r="BQ26" i="66"/>
  <c r="AU12" i="121"/>
  <c r="AN12" i="121"/>
  <c r="GB28" i="126"/>
  <c r="AW29" i="66"/>
  <c r="AY29" i="66" s="1"/>
  <c r="AR165" i="73"/>
  <c r="I590" i="73"/>
  <c r="BQ5" i="66"/>
  <c r="BP5" i="66"/>
  <c r="U5" i="66"/>
  <c r="AA46" i="64"/>
  <c r="GE19" i="126"/>
  <c r="BF20" i="66"/>
  <c r="BH20" i="66" s="1"/>
  <c r="AR191" i="73"/>
  <c r="I663" i="73"/>
  <c r="I337" i="73"/>
  <c r="AR51" i="73"/>
  <c r="AU25" i="121"/>
  <c r="AN25" i="121"/>
  <c r="I498" i="73"/>
  <c r="AR118" i="73"/>
  <c r="AU24" i="121"/>
  <c r="AN24" i="121"/>
  <c r="I269" i="73"/>
  <c r="AR30" i="73"/>
  <c r="BI26" i="66"/>
  <c r="BK26" i="66" s="1"/>
  <c r="GF25" i="126"/>
  <c r="I263" i="73"/>
  <c r="AR24" i="73"/>
  <c r="V7" i="123"/>
  <c r="T7" i="123"/>
  <c r="R85" i="119"/>
  <c r="I335" i="73"/>
  <c r="AR49" i="73"/>
  <c r="AU16" i="121"/>
  <c r="AN16" i="121"/>
  <c r="AB47" i="62"/>
  <c r="V3" i="62"/>
  <c r="Z47" i="62"/>
  <c r="U65" i="62" s="1"/>
  <c r="AD47" i="62"/>
  <c r="AC47" i="62"/>
  <c r="AE47" i="62"/>
  <c r="AA47" i="62"/>
  <c r="I503" i="73"/>
  <c r="AR123" i="73"/>
  <c r="I581" i="73"/>
  <c r="AR156" i="73"/>
  <c r="I584" i="73"/>
  <c r="AR159" i="73"/>
  <c r="AU23" i="121"/>
  <c r="AN23" i="121"/>
  <c r="R44" i="64"/>
  <c r="X96" i="119"/>
  <c r="X57" i="119"/>
  <c r="K90" i="119"/>
  <c r="X90" i="119" s="1"/>
  <c r="R13" i="125"/>
  <c r="P13" i="125"/>
  <c r="AU17" i="121"/>
  <c r="AN17" i="121"/>
  <c r="J80" i="119"/>
  <c r="GB26" i="126"/>
  <c r="AW27" i="66"/>
  <c r="AY27" i="66" s="1"/>
  <c r="I570" i="73"/>
  <c r="AR145" i="73"/>
  <c r="AW22" i="66"/>
  <c r="AY22" i="66" s="1"/>
  <c r="GB21" i="126"/>
  <c r="FT21" i="126"/>
  <c r="GH21" i="126" s="1"/>
  <c r="GI21" i="126" s="1"/>
  <c r="P20" i="125"/>
  <c r="R20" i="125"/>
  <c r="BC24" i="66"/>
  <c r="BE24" i="66" s="1"/>
  <c r="GD23" i="126"/>
  <c r="FT23" i="126"/>
  <c r="GH23" i="126" s="1"/>
  <c r="GI23" i="126" s="1"/>
  <c r="AR150" i="73"/>
  <c r="I575" i="73"/>
  <c r="AU20" i="121"/>
  <c r="AN20" i="121"/>
  <c r="P28" i="125"/>
  <c r="R28" i="125"/>
  <c r="FQ30" i="126"/>
  <c r="GE30" i="126" s="1"/>
  <c r="X53" i="119"/>
  <c r="H86" i="119"/>
  <c r="X86" i="119" s="1"/>
  <c r="AG31" i="65"/>
  <c r="S67" i="113"/>
  <c r="BC26" i="66"/>
  <c r="BE26" i="66" s="1"/>
  <c r="GD25" i="126"/>
  <c r="BC22" i="66"/>
  <c r="BE22" i="66" s="1"/>
  <c r="GD21" i="126"/>
  <c r="I267" i="73"/>
  <c r="AR28" i="73"/>
  <c r="I38" i="62"/>
  <c r="B17" i="118"/>
  <c r="DB21" i="126"/>
  <c r="BI11" i="66"/>
  <c r="BK11" i="66" s="1"/>
  <c r="GF10" i="126"/>
  <c r="R29" i="125"/>
  <c r="P29" i="125"/>
  <c r="AU28" i="121"/>
  <c r="AN28" i="121"/>
  <c r="BP19" i="66"/>
  <c r="I252" i="73"/>
  <c r="AR13" i="73"/>
  <c r="W67" i="113"/>
  <c r="P71" i="119"/>
  <c r="P65" i="119"/>
  <c r="AU5" i="121"/>
  <c r="AN5" i="121"/>
  <c r="B88" i="119"/>
  <c r="S88" i="119" s="1"/>
  <c r="R55" i="119"/>
  <c r="S55" i="119"/>
  <c r="AU29" i="121"/>
  <c r="AN29" i="121"/>
  <c r="GD4" i="126"/>
  <c r="BC5" i="66"/>
  <c r="BE5" i="66" s="1"/>
  <c r="I580" i="73"/>
  <c r="AR155" i="73"/>
  <c r="V11" i="123"/>
  <c r="T11" i="123"/>
  <c r="AA47" i="64"/>
  <c r="S47" i="119"/>
  <c r="B80" i="119"/>
  <c r="S80" i="119" s="1"/>
  <c r="AW25" i="66"/>
  <c r="AY25" i="66" s="1"/>
  <c r="GB24" i="126"/>
  <c r="U67" i="113"/>
  <c r="G98" i="119"/>
  <c r="I143" i="62"/>
  <c r="G32" i="118"/>
  <c r="BQ19" i="66"/>
  <c r="I407" i="73"/>
  <c r="AR74" i="73"/>
  <c r="AU18" i="121"/>
  <c r="AN18" i="121"/>
  <c r="T76" i="119"/>
  <c r="C98" i="119"/>
  <c r="AN13" i="121"/>
  <c r="AU13" i="121"/>
  <c r="B96" i="119"/>
  <c r="S96" i="119" s="1"/>
  <c r="R45" i="64"/>
  <c r="I490" i="73"/>
  <c r="AR110" i="73"/>
  <c r="AU8" i="121"/>
  <c r="AN8" i="121"/>
  <c r="U22" i="66"/>
  <c r="BP22" i="66"/>
  <c r="BQ22" i="66"/>
  <c r="CX31" i="126"/>
  <c r="FP31" i="126" s="1"/>
  <c r="BQ9" i="66"/>
  <c r="BP9" i="66"/>
  <c r="U9" i="66"/>
  <c r="W26" i="119"/>
  <c r="P24" i="66" s="1"/>
  <c r="F92" i="119"/>
  <c r="R26" i="119"/>
  <c r="AO32" i="122"/>
  <c r="AQ32" i="122" s="1"/>
  <c r="I347" i="73"/>
  <c r="AR61" i="73"/>
  <c r="AA63" i="64"/>
  <c r="W47" i="119"/>
  <c r="F80" i="119"/>
  <c r="R47" i="119"/>
  <c r="R67" i="113"/>
  <c r="X42" i="119"/>
  <c r="Q65" i="119"/>
  <c r="Q75" i="119"/>
  <c r="Q98" i="119" s="1"/>
  <c r="FO8" i="126"/>
  <c r="DB8" i="126"/>
  <c r="FO19" i="126"/>
  <c r="AA33" i="122"/>
  <c r="AO33" i="122" s="1"/>
  <c r="AQ33" i="122" s="1"/>
  <c r="S32" i="65"/>
  <c r="AR167" i="73"/>
  <c r="I592" i="73"/>
  <c r="F12" i="66"/>
  <c r="B33" i="119"/>
  <c r="U86" i="119"/>
  <c r="R86" i="119"/>
  <c r="W43" i="119"/>
  <c r="F76" i="119"/>
  <c r="R43" i="119"/>
  <c r="AN33" i="122"/>
  <c r="AP33" i="122" s="1"/>
  <c r="FO25" i="126"/>
  <c r="DB25" i="126"/>
  <c r="AA62" i="64"/>
  <c r="P73" i="119"/>
  <c r="P32" i="119"/>
  <c r="L83" i="119"/>
  <c r="X17" i="119"/>
  <c r="S14" i="66" s="1"/>
  <c r="R17" i="119"/>
  <c r="N89" i="119"/>
  <c r="X89" i="119" s="1"/>
  <c r="R23" i="119"/>
  <c r="AU31" i="121"/>
  <c r="AN31" i="121"/>
  <c r="I330" i="73"/>
  <c r="AR44" i="73"/>
  <c r="I341" i="73"/>
  <c r="AR55" i="73"/>
  <c r="CZ7" i="126"/>
  <c r="N8" i="123"/>
  <c r="W30" i="119"/>
  <c r="P28" i="66" s="1"/>
  <c r="R30" i="119"/>
  <c r="F96" i="119"/>
  <c r="GF27" i="126"/>
  <c r="BI28" i="66"/>
  <c r="BK28" i="66" s="1"/>
  <c r="S79" i="119"/>
  <c r="BI16" i="66"/>
  <c r="BK16" i="66" s="1"/>
  <c r="GF15" i="126"/>
  <c r="FT15" i="126"/>
  <c r="GH15" i="126" s="1"/>
  <c r="GI15" i="126" s="1"/>
  <c r="R11" i="125"/>
  <c r="P11" i="125"/>
  <c r="R76" i="64"/>
  <c r="W9" i="119"/>
  <c r="P8" i="66" s="1"/>
  <c r="F75" i="119"/>
  <c r="W75" i="119" s="1"/>
  <c r="R9" i="119"/>
  <c r="CW31" i="126"/>
  <c r="FO31" i="126" s="1"/>
  <c r="FO27" i="126"/>
  <c r="DB27" i="126"/>
  <c r="O81" i="119"/>
  <c r="X81" i="119" s="1"/>
  <c r="X48" i="119"/>
  <c r="O65" i="119"/>
  <c r="R48" i="119"/>
  <c r="FN4" i="126"/>
  <c r="DB4" i="126"/>
  <c r="CV30" i="126"/>
  <c r="FP10" i="126"/>
  <c r="DB10" i="126"/>
  <c r="R39" i="119"/>
  <c r="F72" i="119"/>
  <c r="F65" i="119"/>
  <c r="W65" i="119" s="1"/>
  <c r="P31" i="66" s="1"/>
  <c r="CZ28" i="126"/>
  <c r="N28" i="123"/>
  <c r="BL26" i="66"/>
  <c r="BN26" i="66" s="1"/>
  <c r="GG25" i="126"/>
  <c r="AU33" i="121"/>
  <c r="AN33" i="121"/>
  <c r="BH18" i="66"/>
  <c r="BF33" i="66"/>
  <c r="BH33" i="66" s="1"/>
  <c r="R8" i="124"/>
  <c r="P8" i="124"/>
  <c r="AK10" i="122"/>
  <c r="U82" i="62"/>
  <c r="V82" i="62"/>
  <c r="W82" i="62"/>
  <c r="X82" i="62"/>
  <c r="Y82" i="62"/>
  <c r="T82" i="62"/>
  <c r="AD82" i="62"/>
  <c r="AE82" i="62"/>
  <c r="Z82" i="62"/>
  <c r="AA82" i="62"/>
  <c r="V5" i="62"/>
  <c r="AB82" i="62"/>
  <c r="AC82" i="62"/>
  <c r="W63" i="119"/>
  <c r="R63" i="119"/>
  <c r="I349" i="73"/>
  <c r="AR63" i="73"/>
  <c r="J7" i="124"/>
  <c r="O7" i="124" s="1"/>
  <c r="DA7" i="126"/>
  <c r="FS7" i="126" s="1"/>
  <c r="O79" i="119"/>
  <c r="X79" i="119" s="1"/>
  <c r="O32" i="119"/>
  <c r="X16" i="119"/>
  <c r="S15" i="66" s="1"/>
  <c r="R16" i="119"/>
  <c r="J82" i="119"/>
  <c r="X82" i="119" s="1"/>
  <c r="DA24" i="126"/>
  <c r="FS24" i="126" s="1"/>
  <c r="J23" i="124"/>
  <c r="O23" i="124" s="1"/>
  <c r="X67" i="113"/>
  <c r="CV31" i="126"/>
  <c r="I245" i="73"/>
  <c r="AM32" i="73"/>
  <c r="AR6" i="73"/>
  <c r="AR80" i="73"/>
  <c r="I413" i="73"/>
  <c r="AN32" i="122"/>
  <c r="Z34" i="122"/>
  <c r="AN21" i="122"/>
  <c r="AP21" i="122" s="1"/>
  <c r="J22" i="125"/>
  <c r="O22" i="125" s="1"/>
  <c r="AJ21" i="122"/>
  <c r="F79" i="119"/>
  <c r="W79" i="119" s="1"/>
  <c r="W13" i="119"/>
  <c r="P12" i="66" s="1"/>
  <c r="R12" i="66" s="1"/>
  <c r="R13" i="119"/>
  <c r="I671" i="73"/>
  <c r="AR199" i="73"/>
  <c r="BL28" i="66"/>
  <c r="BN28" i="66" s="1"/>
  <c r="GG27" i="126"/>
  <c r="GG20" i="126"/>
  <c r="BL21" i="66"/>
  <c r="BN21" i="66" s="1"/>
  <c r="R77" i="64"/>
  <c r="BI21" i="66"/>
  <c r="BK21" i="66" s="1"/>
  <c r="GF20" i="126"/>
  <c r="V49" i="119"/>
  <c r="R49" i="119"/>
  <c r="E82" i="119"/>
  <c r="AA64" i="64"/>
  <c r="AO7" i="64"/>
  <c r="X8" i="119"/>
  <c r="S6" i="66" s="1"/>
  <c r="R8" i="119"/>
  <c r="J74" i="119"/>
  <c r="J32" i="119"/>
  <c r="N75" i="119"/>
  <c r="X75" i="119" s="1"/>
  <c r="N32" i="119"/>
  <c r="J11" i="124"/>
  <c r="O11" i="124" s="1"/>
  <c r="DA11" i="126"/>
  <c r="FS11" i="126" s="1"/>
  <c r="J92" i="119"/>
  <c r="X26" i="119"/>
  <c r="S24" i="66" s="1"/>
  <c r="U24" i="66" s="1"/>
  <c r="L72" i="119"/>
  <c r="L65" i="119"/>
  <c r="FS3" i="126"/>
  <c r="CX20" i="126"/>
  <c r="CX30" i="126" s="1"/>
  <c r="CX32" i="126" s="1"/>
  <c r="U32" i="113"/>
  <c r="V57" i="119"/>
  <c r="E90" i="119"/>
  <c r="R57" i="119"/>
  <c r="N32" i="123"/>
  <c r="S32" i="123" s="1"/>
  <c r="CZ31" i="126"/>
  <c r="FR31" i="126" s="1"/>
  <c r="X13" i="119"/>
  <c r="S12" i="66" s="1"/>
  <c r="U12" i="66" s="1"/>
  <c r="I673" i="73"/>
  <c r="AR201" i="73"/>
  <c r="R19" i="124"/>
  <c r="P19" i="124"/>
  <c r="U22" i="119"/>
  <c r="U32" i="119" s="1"/>
  <c r="R22" i="119"/>
  <c r="D88" i="119"/>
  <c r="J20" i="66"/>
  <c r="J36" i="125"/>
  <c r="R17" i="118"/>
  <c r="AA79" i="64"/>
  <c r="CZ11" i="126"/>
  <c r="N12" i="123"/>
  <c r="D83" i="119"/>
  <c r="R50" i="119"/>
  <c r="U50" i="119"/>
  <c r="N108" i="62"/>
  <c r="I117" i="62" s="1"/>
  <c r="K37" i="64"/>
  <c r="I3" i="62"/>
  <c r="L37" i="64"/>
  <c r="M37" i="64"/>
  <c r="I585" i="73"/>
  <c r="AR160" i="73"/>
  <c r="R60" i="64"/>
  <c r="W5" i="119"/>
  <c r="R5" i="119"/>
  <c r="F32" i="119"/>
  <c r="F71" i="119"/>
  <c r="R32" i="113"/>
  <c r="L76" i="119"/>
  <c r="X76" i="119" s="1"/>
  <c r="L32" i="119"/>
  <c r="N84" i="119"/>
  <c r="X84" i="119" s="1"/>
  <c r="R18" i="119"/>
  <c r="X18" i="119"/>
  <c r="S17" i="66" s="1"/>
  <c r="I328" i="73"/>
  <c r="AR42" i="73"/>
  <c r="AM66" i="73"/>
  <c r="I496" i="73"/>
  <c r="AR116" i="73"/>
  <c r="AM134" i="73"/>
  <c r="O3" i="124"/>
  <c r="V67" i="113"/>
  <c r="CZ13" i="126"/>
  <c r="N16" i="123"/>
  <c r="X9" i="119"/>
  <c r="S8" i="66" s="1"/>
  <c r="U8" i="66" s="1"/>
  <c r="I666" i="73"/>
  <c r="AR194" i="73"/>
  <c r="V77" i="119"/>
  <c r="R77" i="119"/>
  <c r="R10" i="119"/>
  <c r="U63" i="62"/>
  <c r="U64" i="62"/>
  <c r="U58" i="62"/>
  <c r="U59" i="62"/>
  <c r="U60" i="62"/>
  <c r="AF47" i="62"/>
  <c r="U61" i="62"/>
  <c r="U67" i="62"/>
  <c r="U62" i="62"/>
  <c r="AO8" i="64"/>
  <c r="AA80" i="64"/>
  <c r="AK29" i="122"/>
  <c r="U58" i="119"/>
  <c r="R58" i="119"/>
  <c r="D91" i="119"/>
  <c r="R61" i="64"/>
  <c r="W59" i="119"/>
  <c r="R59" i="119"/>
  <c r="H73" i="119"/>
  <c r="R7" i="119"/>
  <c r="X7" i="119"/>
  <c r="H32" i="119"/>
  <c r="J12" i="124"/>
  <c r="DA12" i="126"/>
  <c r="DA19" i="126"/>
  <c r="FS19" i="126" s="1"/>
  <c r="J18" i="124"/>
  <c r="AM32" i="121"/>
  <c r="AN7" i="121"/>
  <c r="AU7" i="121"/>
  <c r="S61" i="119"/>
  <c r="R61" i="119"/>
  <c r="B65" i="119"/>
  <c r="B94" i="119"/>
  <c r="I258" i="73"/>
  <c r="AR19" i="73"/>
  <c r="I649" i="73"/>
  <c r="AR177" i="73"/>
  <c r="V41" i="119"/>
  <c r="R41" i="119"/>
  <c r="E74" i="119"/>
  <c r="E65" i="119"/>
  <c r="CZ3" i="126"/>
  <c r="N4" i="123"/>
  <c r="W32" i="113"/>
  <c r="F81" i="119"/>
  <c r="R15" i="119"/>
  <c r="W15" i="119"/>
  <c r="P16" i="66" s="1"/>
  <c r="BL7" i="66"/>
  <c r="BN7" i="66" s="1"/>
  <c r="GG6" i="126"/>
  <c r="GF26" i="126"/>
  <c r="BI27" i="66"/>
  <c r="BK27" i="66" s="1"/>
  <c r="FT26" i="126"/>
  <c r="GH26" i="126" s="1"/>
  <c r="GI26" i="126" s="1"/>
  <c r="AJ32" i="122"/>
  <c r="BQ10" i="66"/>
  <c r="BP10" i="66"/>
  <c r="O10" i="66"/>
  <c r="B98" i="119"/>
  <c r="AD31" i="65"/>
  <c r="AB33" i="65"/>
  <c r="D32" i="119"/>
  <c r="U42" i="119"/>
  <c r="D75" i="119"/>
  <c r="R42" i="119"/>
  <c r="D65" i="119"/>
  <c r="AK25" i="122"/>
  <c r="B82" i="62"/>
  <c r="C82" i="62"/>
  <c r="D82" i="62"/>
  <c r="E82" i="62"/>
  <c r="F82" i="62"/>
  <c r="G82" i="62"/>
  <c r="V4" i="62"/>
  <c r="H82" i="62"/>
  <c r="I82" i="62"/>
  <c r="K82" i="62"/>
  <c r="J82" i="62"/>
  <c r="L82" i="62"/>
  <c r="M82" i="62"/>
  <c r="W51" i="119"/>
  <c r="R51" i="119"/>
  <c r="F84" i="119"/>
  <c r="AM204" i="73"/>
  <c r="J6" i="124"/>
  <c r="DA5" i="126"/>
  <c r="X32" i="113"/>
  <c r="N71" i="119"/>
  <c r="N65" i="119"/>
  <c r="R38" i="119"/>
  <c r="X47" i="119"/>
  <c r="H65" i="119"/>
  <c r="H80" i="119"/>
  <c r="X80" i="119" s="1"/>
  <c r="X50" i="119"/>
  <c r="K83" i="119"/>
  <c r="K65" i="119"/>
  <c r="M92" i="119"/>
  <c r="M98" i="119" s="1"/>
  <c r="M65" i="119"/>
  <c r="AC34" i="121"/>
  <c r="AQ32" i="121"/>
  <c r="AS32" i="121" s="1"/>
  <c r="FO6" i="126"/>
  <c r="CW30" i="126"/>
  <c r="CW32" i="126" s="1"/>
  <c r="DB6" i="126"/>
  <c r="FN17" i="126"/>
  <c r="DB17" i="126"/>
  <c r="AD34" i="121"/>
  <c r="AR32" i="121"/>
  <c r="AT32" i="121" s="1"/>
  <c r="N24" i="123"/>
  <c r="CZ24" i="126"/>
  <c r="I652" i="73"/>
  <c r="AR180" i="73"/>
  <c r="AW23" i="66"/>
  <c r="AY23" i="66" s="1"/>
  <c r="GB22" i="126"/>
  <c r="FT22" i="126"/>
  <c r="GH22" i="126" s="1"/>
  <c r="GI22" i="126" s="1"/>
  <c r="I98" i="119"/>
  <c r="BQ21" i="66"/>
  <c r="L21" i="66"/>
  <c r="BP21" i="66"/>
  <c r="L5" i="128"/>
  <c r="P6" i="128"/>
  <c r="L12" i="128"/>
  <c r="P5" i="128"/>
  <c r="E12" i="123"/>
  <c r="E23" i="129"/>
  <c r="AD12" i="66"/>
  <c r="AF12" i="66" s="1"/>
  <c r="L13" i="128"/>
  <c r="P15" i="128"/>
  <c r="I31" i="128"/>
  <c r="E39" i="128"/>
  <c r="J31" i="128"/>
  <c r="AD11" i="66"/>
  <c r="AF11" i="66" s="1"/>
  <c r="E27" i="129"/>
  <c r="E11" i="123"/>
  <c r="E13" i="129"/>
  <c r="AD8" i="66"/>
  <c r="AF8" i="66" s="1"/>
  <c r="E8" i="123"/>
  <c r="AD17" i="66"/>
  <c r="AF17" i="66" s="1"/>
  <c r="E17" i="123"/>
  <c r="E7" i="129"/>
  <c r="E25" i="123"/>
  <c r="E9" i="129"/>
  <c r="AD25" i="66"/>
  <c r="AF25" i="66" s="1"/>
  <c r="E14" i="129"/>
  <c r="AD9" i="66"/>
  <c r="AF9" i="66" s="1"/>
  <c r="E9" i="123"/>
  <c r="AD10" i="66"/>
  <c r="AF10" i="66" s="1"/>
  <c r="E22" i="129"/>
  <c r="E10" i="123"/>
  <c r="E17" i="129"/>
  <c r="AD19" i="66"/>
  <c r="AF19" i="66" s="1"/>
  <c r="E19" i="123"/>
  <c r="E27" i="123"/>
  <c r="AD27" i="66"/>
  <c r="AF27" i="66" s="1"/>
  <c r="E34" i="129"/>
  <c r="E25" i="129"/>
  <c r="AD16" i="66"/>
  <c r="AF16" i="66" s="1"/>
  <c r="E16" i="123"/>
  <c r="E24" i="123"/>
  <c r="E8" i="129"/>
  <c r="AD24" i="66"/>
  <c r="AF24" i="66" s="1"/>
  <c r="M4" i="129"/>
  <c r="J4" i="129"/>
  <c r="AD18" i="66"/>
  <c r="AF18" i="66" s="1"/>
  <c r="E18" i="123"/>
  <c r="E16" i="129"/>
  <c r="E26" i="123"/>
  <c r="AD26" i="66"/>
  <c r="AF26" i="66" s="1"/>
  <c r="E33" i="129"/>
  <c r="L19" i="128"/>
  <c r="P22" i="128"/>
  <c r="I26" i="128"/>
  <c r="P24" i="128" s="1"/>
  <c r="J26" i="128"/>
  <c r="E7" i="123"/>
  <c r="E6" i="129"/>
  <c r="AD7" i="66"/>
  <c r="AF7" i="66" s="1"/>
  <c r="E5" i="123"/>
  <c r="E12" i="129"/>
  <c r="AD5" i="66"/>
  <c r="AF5" i="66" s="1"/>
  <c r="D31" i="123"/>
  <c r="AD13" i="66"/>
  <c r="AF13" i="66" s="1"/>
  <c r="E15" i="129"/>
  <c r="E13" i="123"/>
  <c r="E21" i="123"/>
  <c r="E32" i="129"/>
  <c r="AD21" i="66"/>
  <c r="AF21" i="66" s="1"/>
  <c r="AD15" i="66"/>
  <c r="AF15" i="66" s="1"/>
  <c r="E24" i="129"/>
  <c r="E15" i="123"/>
  <c r="E23" i="123"/>
  <c r="E19" i="129"/>
  <c r="AD23" i="66"/>
  <c r="AF23" i="66" s="1"/>
  <c r="E20" i="123"/>
  <c r="AD20" i="66"/>
  <c r="AF20" i="66" s="1"/>
  <c r="E18" i="129"/>
  <c r="E28" i="123"/>
  <c r="E20" i="129"/>
  <c r="AD28" i="66"/>
  <c r="E29" i="123"/>
  <c r="E30" i="129"/>
  <c r="AD29" i="66"/>
  <c r="AF29" i="66" s="1"/>
  <c r="AD14" i="66"/>
  <c r="AF14" i="66" s="1"/>
  <c r="E14" i="123"/>
  <c r="E28" i="129"/>
  <c r="AD22" i="66"/>
  <c r="AF22" i="66" s="1"/>
  <c r="E29" i="129"/>
  <c r="E22" i="123"/>
  <c r="E10" i="129"/>
  <c r="E30" i="123"/>
  <c r="AD30" i="66"/>
  <c r="AF30" i="66" s="1"/>
  <c r="L16" i="128"/>
  <c r="P14" i="128"/>
  <c r="C101" i="62" l="1"/>
  <c r="C100" i="62"/>
  <c r="X97" i="119"/>
  <c r="R97" i="119"/>
  <c r="U66" i="62"/>
  <c r="GG29" i="126"/>
  <c r="BL30" i="66"/>
  <c r="BN30" i="66" s="1"/>
  <c r="FT29" i="126"/>
  <c r="GH29" i="126" s="1"/>
  <c r="GI29" i="126" s="1"/>
  <c r="BQ18" i="66"/>
  <c r="U101" i="62"/>
  <c r="U100" i="62"/>
  <c r="P24" i="125"/>
  <c r="AN209" i="73"/>
  <c r="AN210" i="73" s="1"/>
  <c r="U69" i="62"/>
  <c r="U18" i="66"/>
  <c r="DP31" i="126"/>
  <c r="DP32" i="126" s="1"/>
  <c r="DM32" i="126"/>
  <c r="X95" i="119"/>
  <c r="R95" i="119"/>
  <c r="M762" i="73"/>
  <c r="X213" i="73"/>
  <c r="AR134" i="73"/>
  <c r="X225" i="73"/>
  <c r="R205" i="73"/>
  <c r="S101" i="73"/>
  <c r="S30" i="127"/>
  <c r="V30" i="127" s="1"/>
  <c r="M753" i="73"/>
  <c r="D241" i="73"/>
  <c r="S61" i="64"/>
  <c r="X4" i="62"/>
  <c r="R33" i="73"/>
  <c r="N170" i="73"/>
  <c r="F241" i="73" s="1"/>
  <c r="V32" i="66"/>
  <c r="AF28" i="66"/>
  <c r="AM31" i="66"/>
  <c r="BR28" i="66"/>
  <c r="O9" i="127"/>
  <c r="O6" i="127"/>
  <c r="AH25" i="66"/>
  <c r="AJ25" i="66" s="1"/>
  <c r="L24" i="127"/>
  <c r="T205" i="73"/>
  <c r="X236" i="73"/>
  <c r="U205" i="73"/>
  <c r="AA101" i="73"/>
  <c r="AA171" i="73"/>
  <c r="Q135" i="73"/>
  <c r="S135" i="73"/>
  <c r="S138" i="73" s="1"/>
  <c r="X239" i="73"/>
  <c r="T135" i="73"/>
  <c r="Z67" i="73"/>
  <c r="Q33" i="73"/>
  <c r="X235" i="73"/>
  <c r="X233" i="73"/>
  <c r="Q101" i="73"/>
  <c r="S60" i="64"/>
  <c r="Q67" i="73"/>
  <c r="Q171" i="73"/>
  <c r="O30" i="127"/>
  <c r="Y31" i="66"/>
  <c r="AH16" i="66"/>
  <c r="L11" i="127"/>
  <c r="F31" i="127"/>
  <c r="M20" i="127"/>
  <c r="L20" i="129"/>
  <c r="I20" i="129"/>
  <c r="F21" i="129"/>
  <c r="O4" i="127"/>
  <c r="S4" i="127"/>
  <c r="V4" i="127" s="1"/>
  <c r="M29" i="121"/>
  <c r="H20" i="127"/>
  <c r="H31" i="127" s="1"/>
  <c r="L28" i="127"/>
  <c r="AH17" i="66"/>
  <c r="AJ17" i="66" s="1"/>
  <c r="I32" i="121"/>
  <c r="AH23" i="66"/>
  <c r="AJ23" i="66" s="1"/>
  <c r="L23" i="127"/>
  <c r="AH27" i="66"/>
  <c r="AJ27" i="66" s="1"/>
  <c r="L5" i="127"/>
  <c r="AH22" i="66"/>
  <c r="AJ22" i="66" s="1"/>
  <c r="L17" i="127"/>
  <c r="S17" i="127" s="1"/>
  <c r="V17" i="127" s="1"/>
  <c r="X171" i="73"/>
  <c r="U135" i="73"/>
  <c r="P28" i="128"/>
  <c r="V135" i="73"/>
  <c r="X218" i="73"/>
  <c r="W135" i="73"/>
  <c r="AB135" i="73"/>
  <c r="X227" i="73"/>
  <c r="D36" i="129"/>
  <c r="X217" i="73"/>
  <c r="X221" i="73"/>
  <c r="AA67" i="73"/>
  <c r="X229" i="73"/>
  <c r="J30" i="124"/>
  <c r="P32" i="125"/>
  <c r="R32" i="125"/>
  <c r="P17" i="125"/>
  <c r="R12" i="125"/>
  <c r="P12" i="125"/>
  <c r="P7" i="125"/>
  <c r="R7" i="125"/>
  <c r="R19" i="125"/>
  <c r="P19" i="125"/>
  <c r="X219" i="73"/>
  <c r="BR31" i="66"/>
  <c r="Z32" i="66"/>
  <c r="AB101" i="73"/>
  <c r="T101" i="73"/>
  <c r="X212" i="73"/>
  <c r="X222" i="73"/>
  <c r="Y135" i="73"/>
  <c r="U101" i="73"/>
  <c r="AC134" i="73"/>
  <c r="X230" i="73"/>
  <c r="M755" i="73"/>
  <c r="M758" i="73"/>
  <c r="X228" i="73"/>
  <c r="X214" i="73"/>
  <c r="AA135" i="73"/>
  <c r="R135" i="73"/>
  <c r="V101" i="73"/>
  <c r="AC100" i="73"/>
  <c r="Z135" i="73"/>
  <c r="Z138" i="73" s="1"/>
  <c r="R101" i="73"/>
  <c r="X220" i="73"/>
  <c r="AB205" i="73"/>
  <c r="Y205" i="73"/>
  <c r="W205" i="73"/>
  <c r="M764" i="73"/>
  <c r="AC204" i="73"/>
  <c r="V241" i="73" s="1"/>
  <c r="X205" i="73"/>
  <c r="AA205" i="73"/>
  <c r="S205" i="73"/>
  <c r="Z205" i="73"/>
  <c r="M761" i="73"/>
  <c r="T171" i="73"/>
  <c r="W171" i="73"/>
  <c r="V171" i="73"/>
  <c r="Z171" i="73"/>
  <c r="Y171" i="73"/>
  <c r="R171" i="73"/>
  <c r="U171" i="73"/>
  <c r="AC170" i="73"/>
  <c r="U241" i="73" s="1"/>
  <c r="AB171" i="73"/>
  <c r="S171" i="73"/>
  <c r="Y101" i="73"/>
  <c r="X135" i="73"/>
  <c r="X138" i="73" s="1"/>
  <c r="N135" i="73"/>
  <c r="E241" i="73"/>
  <c r="W101" i="73"/>
  <c r="AB33" i="73"/>
  <c r="N66" i="73"/>
  <c r="O39" i="73"/>
  <c r="U67" i="73"/>
  <c r="S33" i="73"/>
  <c r="Z33" i="73"/>
  <c r="X33" i="73"/>
  <c r="Y33" i="73"/>
  <c r="X67" i="73"/>
  <c r="U33" i="73"/>
  <c r="V67" i="73"/>
  <c r="B750" i="73"/>
  <c r="S67" i="73"/>
  <c r="L749" i="73"/>
  <c r="T33" i="73"/>
  <c r="T67" i="73"/>
  <c r="E749" i="73"/>
  <c r="W67" i="73"/>
  <c r="Y67" i="73"/>
  <c r="J749" i="73"/>
  <c r="I749" i="73"/>
  <c r="D749" i="73"/>
  <c r="M749" i="73"/>
  <c r="AB67" i="73"/>
  <c r="K749" i="73"/>
  <c r="AC32" i="73"/>
  <c r="V33" i="73"/>
  <c r="W33" i="73"/>
  <c r="C749" i="73"/>
  <c r="M752" i="73"/>
  <c r="R67" i="73"/>
  <c r="G749" i="73"/>
  <c r="H749" i="73"/>
  <c r="AA33" i="73"/>
  <c r="AC66" i="73"/>
  <c r="U68" i="62"/>
  <c r="AR66" i="73"/>
  <c r="AR67" i="73" s="1"/>
  <c r="J98" i="119"/>
  <c r="G32" i="66"/>
  <c r="T98" i="119"/>
  <c r="N143" i="62"/>
  <c r="M44" i="64"/>
  <c r="L44" i="64"/>
  <c r="K44" i="64"/>
  <c r="O33" i="124"/>
  <c r="R33" i="124" s="1"/>
  <c r="G35" i="118"/>
  <c r="AJ33" i="122"/>
  <c r="H33" i="119"/>
  <c r="P98" i="119"/>
  <c r="AM35" i="121"/>
  <c r="B35" i="118"/>
  <c r="R16" i="125"/>
  <c r="P16" i="125"/>
  <c r="N38" i="62"/>
  <c r="L12" i="64"/>
  <c r="K12" i="64"/>
  <c r="M12" i="64"/>
  <c r="V14" i="123"/>
  <c r="T14" i="123"/>
  <c r="R89" i="119"/>
  <c r="O30" i="124"/>
  <c r="R65" i="119"/>
  <c r="Y4" i="62"/>
  <c r="AM34" i="121"/>
  <c r="AO32" i="121"/>
  <c r="AN32" i="121"/>
  <c r="AU32" i="121"/>
  <c r="GB17" i="126"/>
  <c r="AW18" i="66"/>
  <c r="AY18" i="66" s="1"/>
  <c r="FT17" i="126"/>
  <c r="GH17" i="126" s="1"/>
  <c r="GI17" i="126" s="1"/>
  <c r="N98" i="119"/>
  <c r="R16" i="66"/>
  <c r="BP16" i="66"/>
  <c r="BQ16" i="66"/>
  <c r="R74" i="119"/>
  <c r="E98" i="119"/>
  <c r="S94" i="119"/>
  <c r="R94" i="119"/>
  <c r="I665" i="73"/>
  <c r="AR193" i="73"/>
  <c r="P4" i="66"/>
  <c r="W32" i="119"/>
  <c r="R93" i="64"/>
  <c r="U83" i="119"/>
  <c r="R83" i="119"/>
  <c r="L20" i="66"/>
  <c r="BQ20" i="66"/>
  <c r="BP20" i="66"/>
  <c r="X92" i="119"/>
  <c r="AK21" i="122"/>
  <c r="AR32" i="73"/>
  <c r="I670" i="73"/>
  <c r="AR198" i="73"/>
  <c r="R7" i="124"/>
  <c r="P7" i="124"/>
  <c r="BP8" i="66"/>
  <c r="BQ8" i="66"/>
  <c r="R8" i="66"/>
  <c r="J21" i="125"/>
  <c r="O21" i="125" s="1"/>
  <c r="O18" i="124"/>
  <c r="AA95" i="64"/>
  <c r="J14" i="125"/>
  <c r="O14" i="125" s="1"/>
  <c r="S12" i="123"/>
  <c r="U88" i="119"/>
  <c r="R88" i="119"/>
  <c r="I423" i="73"/>
  <c r="AR90" i="73"/>
  <c r="AR100" i="73" s="1"/>
  <c r="AR101" i="73" s="1"/>
  <c r="GG11" i="126"/>
  <c r="BL12" i="66"/>
  <c r="BN12" i="66" s="1"/>
  <c r="BQ6" i="66"/>
  <c r="BP6" i="66"/>
  <c r="U6" i="66"/>
  <c r="R22" i="125"/>
  <c r="P22" i="125"/>
  <c r="W96" i="119"/>
  <c r="R96" i="119"/>
  <c r="U14" i="66"/>
  <c r="BQ14" i="66"/>
  <c r="BP14" i="66"/>
  <c r="AZ26" i="66"/>
  <c r="BB26" i="66" s="1"/>
  <c r="GC25" i="126"/>
  <c r="FT25" i="126"/>
  <c r="GH25" i="126" s="1"/>
  <c r="GI25" i="126" s="1"/>
  <c r="DB19" i="126"/>
  <c r="BC31" i="66"/>
  <c r="GD31" i="126"/>
  <c r="X83" i="119"/>
  <c r="K98" i="119"/>
  <c r="U75" i="119"/>
  <c r="R75" i="119"/>
  <c r="D98" i="119"/>
  <c r="D31" i="66"/>
  <c r="D32" i="66" s="1"/>
  <c r="S65" i="119"/>
  <c r="H98" i="119"/>
  <c r="R73" i="119"/>
  <c r="I589" i="73"/>
  <c r="AR164" i="73"/>
  <c r="FS5" i="126"/>
  <c r="DB5" i="126"/>
  <c r="AK32" i="122"/>
  <c r="AJ34" i="122"/>
  <c r="AL21" i="122" s="1"/>
  <c r="W81" i="119"/>
  <c r="R81" i="119"/>
  <c r="GG19" i="126"/>
  <c r="BL20" i="66"/>
  <c r="BN20" i="66" s="1"/>
  <c r="S16" i="123"/>
  <c r="J18" i="125"/>
  <c r="O18" i="125" s="1"/>
  <c r="AR135" i="73"/>
  <c r="AS134" i="73"/>
  <c r="R92" i="64"/>
  <c r="AR151" i="73"/>
  <c r="I576" i="73"/>
  <c r="BI31" i="66"/>
  <c r="GF31" i="126"/>
  <c r="DB20" i="126"/>
  <c r="FP20" i="126"/>
  <c r="FP30" i="126" s="1"/>
  <c r="R11" i="124"/>
  <c r="P11" i="124"/>
  <c r="AR168" i="73"/>
  <c r="I593" i="73"/>
  <c r="BC11" i="66"/>
  <c r="GD10" i="126"/>
  <c r="FT10" i="126"/>
  <c r="GH10" i="126" s="1"/>
  <c r="GI10" i="126" s="1"/>
  <c r="BQ12" i="66"/>
  <c r="AZ20" i="66"/>
  <c r="BB20" i="66" s="1"/>
  <c r="GC19" i="126"/>
  <c r="FT19" i="126"/>
  <c r="GH19" i="126" s="1"/>
  <c r="GI19" i="126" s="1"/>
  <c r="W80" i="119"/>
  <c r="R80" i="119"/>
  <c r="AA34" i="122"/>
  <c r="I736" i="73"/>
  <c r="AR102" i="73"/>
  <c r="AS102" i="73" s="1"/>
  <c r="FR24" i="126"/>
  <c r="DB24" i="126"/>
  <c r="J9" i="125"/>
  <c r="O9" i="125" s="1"/>
  <c r="O6" i="124"/>
  <c r="AM205" i="73"/>
  <c r="N3" i="62"/>
  <c r="DB11" i="126"/>
  <c r="FR11" i="126"/>
  <c r="I742" i="73"/>
  <c r="AR172" i="73"/>
  <c r="AS172" i="73" s="1"/>
  <c r="DA30" i="126"/>
  <c r="I657" i="73"/>
  <c r="AR185" i="73"/>
  <c r="Z36" i="122"/>
  <c r="AN34" i="122"/>
  <c r="AP34" i="122" s="1"/>
  <c r="FN31" i="126"/>
  <c r="U15" i="66"/>
  <c r="BQ15" i="66"/>
  <c r="BP15" i="66"/>
  <c r="S28" i="123"/>
  <c r="J30" i="125"/>
  <c r="O30" i="125" s="1"/>
  <c r="CV32" i="126"/>
  <c r="AZ28" i="66"/>
  <c r="BB28" i="66" s="1"/>
  <c r="GC27" i="126"/>
  <c r="FT27" i="126"/>
  <c r="GH27" i="126" s="1"/>
  <c r="GI27" i="126" s="1"/>
  <c r="R28" i="66"/>
  <c r="BQ28" i="66"/>
  <c r="BP28" i="66"/>
  <c r="AK33" i="122"/>
  <c r="BP12" i="66"/>
  <c r="O98" i="119"/>
  <c r="DB12" i="126"/>
  <c r="FS12" i="126"/>
  <c r="I578" i="73"/>
  <c r="AR153" i="73"/>
  <c r="S24" i="123"/>
  <c r="J26" i="125"/>
  <c r="O26" i="125" s="1"/>
  <c r="X65" i="119"/>
  <c r="S31" i="66" s="1"/>
  <c r="H66" i="119"/>
  <c r="I651" i="73"/>
  <c r="AR179" i="73"/>
  <c r="C98" i="62"/>
  <c r="C99" i="62"/>
  <c r="C94" i="62"/>
  <c r="N82" i="62"/>
  <c r="C96" i="62"/>
  <c r="C95" i="62"/>
  <c r="C103" i="62"/>
  <c r="C93" i="62"/>
  <c r="C102" i="62"/>
  <c r="C104" i="62"/>
  <c r="C97" i="62"/>
  <c r="AB34" i="65"/>
  <c r="AD33" i="65"/>
  <c r="J6" i="125"/>
  <c r="N31" i="123"/>
  <c r="S4" i="123"/>
  <c r="O12" i="124"/>
  <c r="J15" i="125"/>
  <c r="O15" i="125" s="1"/>
  <c r="DB13" i="126"/>
  <c r="FR13" i="126"/>
  <c r="AA94" i="64"/>
  <c r="V32" i="123"/>
  <c r="T32" i="123"/>
  <c r="GG3" i="126"/>
  <c r="BL4" i="66"/>
  <c r="AP32" i="122"/>
  <c r="I730" i="73"/>
  <c r="I748" i="73" s="1"/>
  <c r="AR34" i="73"/>
  <c r="AS34" i="73" s="1"/>
  <c r="FR28" i="126"/>
  <c r="DB28" i="126"/>
  <c r="AZ31" i="66"/>
  <c r="GC31" i="126"/>
  <c r="S8" i="123"/>
  <c r="J10" i="125"/>
  <c r="O10" i="125" s="1"/>
  <c r="AZ9" i="66"/>
  <c r="BB9" i="66" s="1"/>
  <c r="GC8" i="126"/>
  <c r="FT8" i="126"/>
  <c r="GH8" i="126" s="1"/>
  <c r="GI8" i="126" s="1"/>
  <c r="W92" i="119"/>
  <c r="R92" i="119"/>
  <c r="AZ7" i="66"/>
  <c r="GC6" i="126"/>
  <c r="FT6" i="126"/>
  <c r="GH6" i="126" s="1"/>
  <c r="GI6" i="126" s="1"/>
  <c r="FO30" i="126"/>
  <c r="AC36" i="121"/>
  <c r="AQ34" i="121"/>
  <c r="AS34" i="121" s="1"/>
  <c r="W84" i="119"/>
  <c r="R84" i="119"/>
  <c r="AR143" i="73"/>
  <c r="AM170" i="73"/>
  <c r="I568" i="73"/>
  <c r="I658" i="73"/>
  <c r="AR186" i="73"/>
  <c r="CY31" i="126"/>
  <c r="F98" i="119"/>
  <c r="W98" i="119" s="1"/>
  <c r="R71" i="119"/>
  <c r="F117" i="62"/>
  <c r="G117" i="62"/>
  <c r="B117" i="62"/>
  <c r="C117" i="62"/>
  <c r="D117" i="62"/>
  <c r="E117" i="62"/>
  <c r="V6" i="62"/>
  <c r="L117" i="62"/>
  <c r="H117" i="62"/>
  <c r="M117" i="62"/>
  <c r="J117" i="62"/>
  <c r="K117" i="62"/>
  <c r="AM100" i="73"/>
  <c r="J31" i="124"/>
  <c r="J32" i="124" s="1"/>
  <c r="DA31" i="126"/>
  <c r="FS31" i="126" s="1"/>
  <c r="R31" i="66"/>
  <c r="BX48" i="66"/>
  <c r="FT4" i="126"/>
  <c r="GH4" i="126" s="1"/>
  <c r="GI4" i="126" s="1"/>
  <c r="AW5" i="66"/>
  <c r="GB4" i="126"/>
  <c r="FN30" i="126"/>
  <c r="I733" i="73"/>
  <c r="I751" i="73" s="1"/>
  <c r="AR68" i="73"/>
  <c r="AS68" i="73" s="1"/>
  <c r="R79" i="119"/>
  <c r="I572" i="73"/>
  <c r="AR147" i="73"/>
  <c r="W76" i="119"/>
  <c r="R76" i="119"/>
  <c r="L5" i="64"/>
  <c r="R24" i="66"/>
  <c r="BQ24" i="66"/>
  <c r="BP24" i="66"/>
  <c r="S98" i="119"/>
  <c r="DB3" i="126"/>
  <c r="FR3" i="126"/>
  <c r="CZ30" i="126"/>
  <c r="CZ32" i="126" s="1"/>
  <c r="P3" i="124"/>
  <c r="R3" i="124"/>
  <c r="O36" i="125"/>
  <c r="V90" i="119"/>
  <c r="R90" i="119"/>
  <c r="L98" i="119"/>
  <c r="V82" i="119"/>
  <c r="R82" i="119"/>
  <c r="I754" i="73"/>
  <c r="P23" i="124"/>
  <c r="R23" i="124"/>
  <c r="I653" i="73"/>
  <c r="AR181" i="73"/>
  <c r="R72" i="119"/>
  <c r="DB7" i="126"/>
  <c r="FR7" i="126"/>
  <c r="K5" i="64"/>
  <c r="AD36" i="121"/>
  <c r="AR34" i="121"/>
  <c r="AT34" i="121" s="1"/>
  <c r="J31" i="66"/>
  <c r="U65" i="119"/>
  <c r="V65" i="119"/>
  <c r="M31" i="66"/>
  <c r="S7" i="66"/>
  <c r="X32" i="119"/>
  <c r="R91" i="119"/>
  <c r="U91" i="119"/>
  <c r="U17" i="66"/>
  <c r="BP17" i="66"/>
  <c r="BQ17" i="66"/>
  <c r="R32" i="119"/>
  <c r="BV34" i="66" s="1"/>
  <c r="AO9" i="64"/>
  <c r="AA96" i="64"/>
  <c r="BL25" i="66"/>
  <c r="BN25" i="66" s="1"/>
  <c r="GG24" i="126"/>
  <c r="BL8" i="66"/>
  <c r="BN8" i="66" s="1"/>
  <c r="GG7" i="126"/>
  <c r="U99" i="62"/>
  <c r="U98" i="62"/>
  <c r="U104" i="62"/>
  <c r="U102" i="62"/>
  <c r="U97" i="62"/>
  <c r="AF82" i="62"/>
  <c r="U96" i="62"/>
  <c r="U94" i="62"/>
  <c r="U103" i="62"/>
  <c r="U95" i="62"/>
  <c r="U93" i="62"/>
  <c r="T17" i="118"/>
  <c r="S33" i="65"/>
  <c r="AC32" i="65"/>
  <c r="K23" i="129"/>
  <c r="G23" i="129"/>
  <c r="H23" i="129"/>
  <c r="H30" i="129"/>
  <c r="K30" i="129"/>
  <c r="G30" i="129"/>
  <c r="H19" i="129"/>
  <c r="K19" i="129"/>
  <c r="G19" i="129"/>
  <c r="H32" i="129"/>
  <c r="E35" i="129"/>
  <c r="K32" i="129"/>
  <c r="G32" i="129"/>
  <c r="L26" i="128"/>
  <c r="P26" i="128"/>
  <c r="G33" i="129"/>
  <c r="H33" i="129"/>
  <c r="K33" i="129"/>
  <c r="G16" i="129"/>
  <c r="K16" i="129"/>
  <c r="H16" i="129"/>
  <c r="H25" i="129"/>
  <c r="K25" i="129"/>
  <c r="G25" i="129"/>
  <c r="K17" i="129"/>
  <c r="H17" i="129"/>
  <c r="G17" i="129"/>
  <c r="H14" i="129"/>
  <c r="G14" i="129"/>
  <c r="K14" i="129"/>
  <c r="H13" i="129"/>
  <c r="K13" i="129"/>
  <c r="G13" i="129"/>
  <c r="K28" i="129"/>
  <c r="G28" i="129"/>
  <c r="H28" i="129"/>
  <c r="K29" i="129"/>
  <c r="H29" i="129"/>
  <c r="G29" i="129"/>
  <c r="K20" i="129"/>
  <c r="H20" i="129"/>
  <c r="G20" i="129"/>
  <c r="H24" i="129"/>
  <c r="K24" i="129"/>
  <c r="G24" i="129"/>
  <c r="G15" i="129"/>
  <c r="H15" i="129"/>
  <c r="K15" i="129"/>
  <c r="H10" i="129"/>
  <c r="K10" i="129"/>
  <c r="G10" i="129"/>
  <c r="G12" i="129"/>
  <c r="E21" i="129"/>
  <c r="K12" i="129"/>
  <c r="H12" i="129"/>
  <c r="K6" i="129"/>
  <c r="H6" i="129"/>
  <c r="G6" i="129"/>
  <c r="E11" i="129"/>
  <c r="G18" i="129"/>
  <c r="K18" i="129"/>
  <c r="H18" i="129"/>
  <c r="D33" i="123"/>
  <c r="F31" i="123" s="1"/>
  <c r="E31" i="123"/>
  <c r="H34" i="129"/>
  <c r="G34" i="129"/>
  <c r="K34" i="129"/>
  <c r="H7" i="129"/>
  <c r="K7" i="129"/>
  <c r="G7" i="129"/>
  <c r="H8" i="129"/>
  <c r="G8" i="129"/>
  <c r="K8" i="129"/>
  <c r="H22" i="129"/>
  <c r="K22" i="129"/>
  <c r="G22" i="129"/>
  <c r="E26" i="129"/>
  <c r="H9" i="129"/>
  <c r="K9" i="129"/>
  <c r="G9" i="129"/>
  <c r="E31" i="129"/>
  <c r="K27" i="129"/>
  <c r="H27" i="129"/>
  <c r="G27" i="129"/>
  <c r="D36" i="128"/>
  <c r="P31" i="128"/>
  <c r="I39" i="128"/>
  <c r="L31" i="128"/>
  <c r="D37" i="128"/>
  <c r="C136" i="62" l="1"/>
  <c r="C135" i="62"/>
  <c r="AG38" i="62"/>
  <c r="R241" i="73"/>
  <c r="AG73" i="62"/>
  <c r="N30" i="64" s="1"/>
  <c r="J30" i="64" s="1"/>
  <c r="X5" i="62" s="1"/>
  <c r="T241" i="73"/>
  <c r="Q241" i="73"/>
  <c r="W241" i="73"/>
  <c r="O73" i="62"/>
  <c r="N24" i="64" s="1"/>
  <c r="B24" i="64" s="1"/>
  <c r="B26" i="64" s="1"/>
  <c r="S241" i="73"/>
  <c r="N171" i="73"/>
  <c r="P32" i="66"/>
  <c r="AS66" i="73"/>
  <c r="S12" i="127"/>
  <c r="V12" i="127" s="1"/>
  <c r="S11" i="127"/>
  <c r="V11" i="127" s="1"/>
  <c r="S22" i="127"/>
  <c r="V22" i="127" s="1"/>
  <c r="S23" i="127"/>
  <c r="V23" i="127" s="1"/>
  <c r="Q138" i="73"/>
  <c r="AA138" i="73"/>
  <c r="T138" i="73"/>
  <c r="O24" i="127"/>
  <c r="S24" i="127"/>
  <c r="V24" i="127" s="1"/>
  <c r="V138" i="73"/>
  <c r="W138" i="73"/>
  <c r="I21" i="129"/>
  <c r="F36" i="129"/>
  <c r="I36" i="129" s="1"/>
  <c r="M32" i="121"/>
  <c r="I34" i="121"/>
  <c r="S14" i="127"/>
  <c r="V14" i="127" s="1"/>
  <c r="O17" i="127"/>
  <c r="S28" i="127"/>
  <c r="V28" i="127" s="1"/>
  <c r="O28" i="127"/>
  <c r="L31" i="127"/>
  <c r="AH28" i="66"/>
  <c r="AJ28" i="66" s="1"/>
  <c r="L20" i="127"/>
  <c r="F35" i="127"/>
  <c r="M31" i="127"/>
  <c r="O5" i="127"/>
  <c r="S5" i="127"/>
  <c r="V5" i="127" s="1"/>
  <c r="S9" i="127"/>
  <c r="V9" i="127" s="1"/>
  <c r="O11" i="127"/>
  <c r="S21" i="127"/>
  <c r="V21" i="127" s="1"/>
  <c r="O23" i="127"/>
  <c r="AJ16" i="66"/>
  <c r="U138" i="73"/>
  <c r="AB138" i="73"/>
  <c r="Y138" i="73"/>
  <c r="AL33" i="122"/>
  <c r="AH73" i="62"/>
  <c r="I30" i="64"/>
  <c r="M30" i="64"/>
  <c r="Q80" i="64" s="1"/>
  <c r="L30" i="64"/>
  <c r="Q79" i="64" s="1"/>
  <c r="D30" i="64"/>
  <c r="Q71" i="64" s="1"/>
  <c r="R138" i="73"/>
  <c r="G30" i="64"/>
  <c r="Q74" i="64" s="1"/>
  <c r="B30" i="64"/>
  <c r="Q69" i="64" s="1"/>
  <c r="E30" i="64"/>
  <c r="E32" i="64" s="1"/>
  <c r="U5" i="62"/>
  <c r="W5" i="62" s="1"/>
  <c r="F30" i="64"/>
  <c r="Q73" i="64" s="1"/>
  <c r="K30" i="64"/>
  <c r="Q78" i="64" s="1"/>
  <c r="C30" i="64"/>
  <c r="Q70" i="64" s="1"/>
  <c r="H30" i="64"/>
  <c r="H32" i="64" s="1"/>
  <c r="K24" i="64"/>
  <c r="Q62" i="64" s="1"/>
  <c r="AC135" i="73"/>
  <c r="O143" i="62"/>
  <c r="AC205" i="73"/>
  <c r="O108" i="62"/>
  <c r="AC171" i="73"/>
  <c r="AC101" i="73"/>
  <c r="Q77" i="64"/>
  <c r="J32" i="64"/>
  <c r="AP8" i="64" s="1"/>
  <c r="C241" i="73"/>
  <c r="N67" i="73"/>
  <c r="H241" i="73"/>
  <c r="AC67" i="73"/>
  <c r="O38" i="62"/>
  <c r="AH38" i="62"/>
  <c r="N17" i="64"/>
  <c r="U3" i="62"/>
  <c r="W3" i="62" s="1"/>
  <c r="AC33" i="73"/>
  <c r="V2" i="62"/>
  <c r="V8" i="62" s="1"/>
  <c r="L47" i="62"/>
  <c r="J47" i="62"/>
  <c r="K47" i="62"/>
  <c r="M47" i="62"/>
  <c r="H47" i="62"/>
  <c r="B47" i="62"/>
  <c r="C47" i="62"/>
  <c r="D47" i="62"/>
  <c r="E47" i="62"/>
  <c r="G47" i="62"/>
  <c r="F47" i="62"/>
  <c r="AA112" i="64"/>
  <c r="AO10" i="64"/>
  <c r="R109" i="64"/>
  <c r="DB31" i="126"/>
  <c r="AR204" i="73"/>
  <c r="AR205" i="73" s="1"/>
  <c r="FS30" i="126"/>
  <c r="FS32" i="126" s="1"/>
  <c r="GG32" i="126" s="1"/>
  <c r="AA30" i="64"/>
  <c r="AO5" i="64"/>
  <c r="AA32" i="64"/>
  <c r="R29" i="64"/>
  <c r="J5" i="64"/>
  <c r="AA110" i="64"/>
  <c r="I47" i="62"/>
  <c r="AA111" i="64"/>
  <c r="M5" i="64"/>
  <c r="AM209" i="73"/>
  <c r="AM210" i="73" s="1"/>
  <c r="R28" i="64"/>
  <c r="I5" i="64"/>
  <c r="R108" i="64"/>
  <c r="V7" i="62"/>
  <c r="J152" i="62"/>
  <c r="K152" i="62"/>
  <c r="L152" i="62"/>
  <c r="M152" i="62"/>
  <c r="H152" i="62"/>
  <c r="B152" i="62"/>
  <c r="G152" i="62"/>
  <c r="C152" i="62"/>
  <c r="D152" i="62"/>
  <c r="E152" i="62"/>
  <c r="F152" i="62"/>
  <c r="AA31" i="64"/>
  <c r="I152" i="62"/>
  <c r="J34" i="124"/>
  <c r="O32" i="124"/>
  <c r="Q30" i="124" s="1"/>
  <c r="GF7" i="126"/>
  <c r="BI8" i="66"/>
  <c r="BK8" i="66" s="1"/>
  <c r="FT7" i="126"/>
  <c r="GH7" i="126" s="1"/>
  <c r="GI7" i="126" s="1"/>
  <c r="BI4" i="66"/>
  <c r="GF3" i="126"/>
  <c r="FT3" i="126"/>
  <c r="FR30" i="126"/>
  <c r="BI14" i="66"/>
  <c r="BK14" i="66" s="1"/>
  <c r="GF13" i="126"/>
  <c r="FT13" i="126"/>
  <c r="GH13" i="126" s="1"/>
  <c r="GI13" i="126" s="1"/>
  <c r="T4" i="123"/>
  <c r="V4" i="123"/>
  <c r="T28" i="123"/>
  <c r="V28" i="123"/>
  <c r="B12" i="62"/>
  <c r="C12" i="62"/>
  <c r="D12" i="62"/>
  <c r="E12" i="62"/>
  <c r="F12" i="62"/>
  <c r="G12" i="62"/>
  <c r="K12" i="62"/>
  <c r="L12" i="62"/>
  <c r="J12" i="62"/>
  <c r="H12" i="62"/>
  <c r="M12" i="62"/>
  <c r="GF24" i="126"/>
  <c r="BI25" i="66"/>
  <c r="BK25" i="66" s="1"/>
  <c r="FT24" i="126"/>
  <c r="GH24" i="126" s="1"/>
  <c r="GI24" i="126" s="1"/>
  <c r="BC21" i="66"/>
  <c r="BE21" i="66" s="1"/>
  <c r="GD20" i="126"/>
  <c r="FT20" i="126"/>
  <c r="GH20" i="126" s="1"/>
  <c r="GI20" i="126" s="1"/>
  <c r="P21" i="125"/>
  <c r="R21" i="125"/>
  <c r="DB30" i="126"/>
  <c r="DB32" i="126" s="1"/>
  <c r="AY5" i="66"/>
  <c r="AW33" i="66"/>
  <c r="AY33" i="66" s="1"/>
  <c r="R98" i="119"/>
  <c r="B11" i="62" s="1"/>
  <c r="BI29" i="66"/>
  <c r="BK29" i="66" s="1"/>
  <c r="GF28" i="126"/>
  <c r="FT28" i="126"/>
  <c r="GH28" i="126" s="1"/>
  <c r="GI28" i="126" s="1"/>
  <c r="BN4" i="66"/>
  <c r="N33" i="123"/>
  <c r="S31" i="123"/>
  <c r="AR33" i="73"/>
  <c r="AS32" i="73"/>
  <c r="L31" i="66"/>
  <c r="BX42" i="66"/>
  <c r="J33" i="125"/>
  <c r="O6" i="125"/>
  <c r="BL13" i="66"/>
  <c r="BN13" i="66" s="1"/>
  <c r="FT12" i="126"/>
  <c r="GH12" i="126" s="1"/>
  <c r="GI12" i="126" s="1"/>
  <c r="GG12" i="126"/>
  <c r="DA32" i="126"/>
  <c r="V98" i="119"/>
  <c r="M32" i="66"/>
  <c r="FO32" i="126"/>
  <c r="GC32" i="126" s="1"/>
  <c r="GC30" i="126"/>
  <c r="AA36" i="122"/>
  <c r="AO34" i="122"/>
  <c r="AQ34" i="122" s="1"/>
  <c r="BI34" i="66"/>
  <c r="BK34" i="66" s="1"/>
  <c r="BK31" i="66"/>
  <c r="AL23" i="122"/>
  <c r="AJ36" i="122"/>
  <c r="AK34" i="122"/>
  <c r="AL16" i="122"/>
  <c r="AL18" i="122"/>
  <c r="AL17" i="122"/>
  <c r="AL13" i="122"/>
  <c r="AL27" i="122"/>
  <c r="AL22" i="122"/>
  <c r="AL26" i="122"/>
  <c r="AL28" i="122"/>
  <c r="AL11" i="122"/>
  <c r="AL31" i="122"/>
  <c r="AL8" i="122"/>
  <c r="AL5" i="122"/>
  <c r="AL34" i="122"/>
  <c r="AL9" i="122"/>
  <c r="AL14" i="122"/>
  <c r="AL12" i="122"/>
  <c r="AL30" i="122"/>
  <c r="AL20" i="122"/>
  <c r="AL19" i="122"/>
  <c r="AL15" i="122"/>
  <c r="AL7" i="122"/>
  <c r="AL24" i="122"/>
  <c r="AL6" i="122"/>
  <c r="AL10" i="122"/>
  <c r="AL25" i="122"/>
  <c r="AL29" i="122"/>
  <c r="X98" i="119"/>
  <c r="S32" i="66" s="1"/>
  <c r="V12" i="123"/>
  <c r="T12" i="123"/>
  <c r="R30" i="124"/>
  <c r="P30" i="124"/>
  <c r="AI32" i="65"/>
  <c r="AE32" i="65"/>
  <c r="AG32" i="65"/>
  <c r="AG33" i="65" s="1"/>
  <c r="AC33" i="65"/>
  <c r="I760" i="73"/>
  <c r="R10" i="125"/>
  <c r="P10" i="125"/>
  <c r="AL32" i="122"/>
  <c r="BE31" i="66"/>
  <c r="BC34" i="66"/>
  <c r="BE34" i="66" s="1"/>
  <c r="P14" i="125"/>
  <c r="R14" i="125"/>
  <c r="BL31" i="66"/>
  <c r="GG31" i="126"/>
  <c r="FQ31" i="126"/>
  <c r="FT31" i="126" s="1"/>
  <c r="GH31" i="126" s="1"/>
  <c r="CY32" i="126"/>
  <c r="T8" i="123"/>
  <c r="V8" i="123"/>
  <c r="AS100" i="73"/>
  <c r="R15" i="125"/>
  <c r="P15" i="125"/>
  <c r="U31" i="66"/>
  <c r="BX51" i="66"/>
  <c r="AW31" i="66"/>
  <c r="GB31" i="126"/>
  <c r="GF11" i="126"/>
  <c r="BI12" i="66"/>
  <c r="BK12" i="66" s="1"/>
  <c r="FT11" i="126"/>
  <c r="GH11" i="126" s="1"/>
  <c r="GI11" i="126" s="1"/>
  <c r="R6" i="124"/>
  <c r="Q6" i="124"/>
  <c r="P6" i="124"/>
  <c r="GD30" i="126"/>
  <c r="FP32" i="126"/>
  <c r="GD32" i="126" s="1"/>
  <c r="P18" i="125"/>
  <c r="R18" i="125"/>
  <c r="BX36" i="66"/>
  <c r="F31" i="66"/>
  <c r="BQ31" i="66"/>
  <c r="BT97" i="66"/>
  <c r="BT99" i="66" s="1"/>
  <c r="BP31" i="66"/>
  <c r="R4" i="66"/>
  <c r="BQ4" i="66"/>
  <c r="BP4" i="66"/>
  <c r="BV40" i="66"/>
  <c r="BU40" i="66" s="1"/>
  <c r="BV49" i="66"/>
  <c r="BU49" i="66" s="1"/>
  <c r="BV37" i="66"/>
  <c r="BU37" i="66" s="1"/>
  <c r="BV46" i="66"/>
  <c r="BU46" i="66" s="1"/>
  <c r="BV43" i="66"/>
  <c r="BU43" i="66" s="1"/>
  <c r="BU34" i="66"/>
  <c r="BQ7" i="66"/>
  <c r="U7" i="66"/>
  <c r="BP7" i="66"/>
  <c r="AM208" i="73"/>
  <c r="AR206" i="73"/>
  <c r="I745" i="73"/>
  <c r="I763" i="73" s="1"/>
  <c r="C134" i="62"/>
  <c r="C133" i="62"/>
  <c r="C130" i="62"/>
  <c r="C128" i="62"/>
  <c r="C131" i="62"/>
  <c r="C129" i="62"/>
  <c r="C132" i="62"/>
  <c r="C138" i="62"/>
  <c r="C139" i="62"/>
  <c r="C137" i="62"/>
  <c r="N117" i="62"/>
  <c r="I739" i="73"/>
  <c r="I757" i="73" s="1"/>
  <c r="AR136" i="73"/>
  <c r="AS136" i="73" s="1"/>
  <c r="AR170" i="73"/>
  <c r="BB7" i="66"/>
  <c r="AZ33" i="66"/>
  <c r="BB33" i="66" s="1"/>
  <c r="P12" i="124"/>
  <c r="R12" i="124"/>
  <c r="R26" i="125"/>
  <c r="P26" i="125"/>
  <c r="P9" i="125"/>
  <c r="R9" i="125"/>
  <c r="T16" i="123"/>
  <c r="V16" i="123"/>
  <c r="J32" i="66"/>
  <c r="U98" i="119"/>
  <c r="AO25" i="121"/>
  <c r="AO6" i="121"/>
  <c r="AO19" i="121"/>
  <c r="AO30" i="121"/>
  <c r="AO27" i="121"/>
  <c r="AO23" i="121"/>
  <c r="AO12" i="121"/>
  <c r="AO18" i="121"/>
  <c r="AO21" i="121"/>
  <c r="AO9" i="121"/>
  <c r="AO5" i="121"/>
  <c r="AO24" i="121"/>
  <c r="AO20" i="121"/>
  <c r="AO16" i="121"/>
  <c r="AO28" i="121"/>
  <c r="AO17" i="121"/>
  <c r="AO13" i="121"/>
  <c r="AO14" i="121"/>
  <c r="AU34" i="121"/>
  <c r="AO29" i="121"/>
  <c r="AO11" i="121"/>
  <c r="AO15" i="121"/>
  <c r="AM36" i="121"/>
  <c r="AO10" i="121"/>
  <c r="AO22" i="121"/>
  <c r="AN34" i="121"/>
  <c r="AO34" i="121"/>
  <c r="AO26" i="121"/>
  <c r="AO8" i="121"/>
  <c r="AO33" i="121"/>
  <c r="AO7" i="121"/>
  <c r="AO31" i="121"/>
  <c r="BX45" i="66"/>
  <c r="O31" i="66"/>
  <c r="AA14" i="64"/>
  <c r="AA15" i="64"/>
  <c r="GB30" i="126"/>
  <c r="FN32" i="126"/>
  <c r="O31" i="124"/>
  <c r="J34" i="125"/>
  <c r="O34" i="125" s="1"/>
  <c r="AZ34" i="66"/>
  <c r="BB34" i="66" s="1"/>
  <c r="BB31" i="66"/>
  <c r="V24" i="123"/>
  <c r="T24" i="123"/>
  <c r="P30" i="125"/>
  <c r="R30" i="125"/>
  <c r="I12" i="62"/>
  <c r="BE11" i="66"/>
  <c r="BL6" i="66"/>
  <c r="BN6" i="66" s="1"/>
  <c r="FT5" i="126"/>
  <c r="GH5" i="126" s="1"/>
  <c r="GI5" i="126" s="1"/>
  <c r="GG5" i="126"/>
  <c r="R18" i="124"/>
  <c r="P18" i="124"/>
  <c r="M23" i="129"/>
  <c r="J23" i="129"/>
  <c r="M14" i="129"/>
  <c r="J14" i="129"/>
  <c r="J32" i="129"/>
  <c r="M32" i="129"/>
  <c r="J19" i="129"/>
  <c r="M19" i="129"/>
  <c r="J18" i="129"/>
  <c r="M18" i="129"/>
  <c r="M7" i="129"/>
  <c r="J7" i="129"/>
  <c r="J34" i="129"/>
  <c r="M34" i="129"/>
  <c r="F6" i="123"/>
  <c r="E33" i="123"/>
  <c r="F12" i="123"/>
  <c r="F33" i="123"/>
  <c r="D35" i="123"/>
  <c r="F4" i="123"/>
  <c r="AD31" i="66"/>
  <c r="F18" i="123"/>
  <c r="F26" i="123"/>
  <c r="F7" i="123"/>
  <c r="F5" i="123"/>
  <c r="F13" i="123"/>
  <c r="F21" i="123"/>
  <c r="F15" i="123"/>
  <c r="F23" i="123"/>
  <c r="F20" i="123"/>
  <c r="F28" i="123"/>
  <c r="F29" i="123"/>
  <c r="F14" i="123"/>
  <c r="F22" i="123"/>
  <c r="F30" i="123"/>
  <c r="F11" i="123"/>
  <c r="F8" i="123"/>
  <c r="F17" i="123"/>
  <c r="F25" i="123"/>
  <c r="F9" i="123"/>
  <c r="F10" i="123"/>
  <c r="F19" i="123"/>
  <c r="F27" i="123"/>
  <c r="F16" i="123"/>
  <c r="F24" i="123"/>
  <c r="G11" i="129"/>
  <c r="J11" i="129" s="1"/>
  <c r="H11" i="129"/>
  <c r="E36" i="129"/>
  <c r="M10" i="129"/>
  <c r="J10" i="129"/>
  <c r="M29" i="129"/>
  <c r="J29" i="129"/>
  <c r="J28" i="129"/>
  <c r="M28" i="129"/>
  <c r="J17" i="129"/>
  <c r="M17" i="129"/>
  <c r="J16" i="129"/>
  <c r="M16" i="129"/>
  <c r="G35" i="129"/>
  <c r="J35" i="129" s="1"/>
  <c r="H35" i="129"/>
  <c r="M9" i="129"/>
  <c r="J9" i="129"/>
  <c r="J8" i="129"/>
  <c r="M8" i="129"/>
  <c r="H21" i="129"/>
  <c r="G21" i="129"/>
  <c r="J21" i="129" s="1"/>
  <c r="M12" i="129"/>
  <c r="J12" i="129"/>
  <c r="J25" i="129"/>
  <c r="M25" i="129"/>
  <c r="J33" i="129"/>
  <c r="M33" i="129"/>
  <c r="H31" i="129"/>
  <c r="G31" i="129"/>
  <c r="J31" i="129" s="1"/>
  <c r="H26" i="129"/>
  <c r="G26" i="129"/>
  <c r="J26" i="129" s="1"/>
  <c r="J6" i="129"/>
  <c r="M6" i="129"/>
  <c r="M15" i="129"/>
  <c r="J15" i="129"/>
  <c r="J20" i="129"/>
  <c r="M20" i="129"/>
  <c r="J30" i="129"/>
  <c r="M30" i="129"/>
  <c r="J27" i="129"/>
  <c r="M27" i="129"/>
  <c r="J22" i="129"/>
  <c r="M22" i="129"/>
  <c r="J24" i="129"/>
  <c r="M24" i="129"/>
  <c r="M13" i="129"/>
  <c r="J13" i="129"/>
  <c r="C31" i="62" l="1"/>
  <c r="C30" i="62"/>
  <c r="GG30" i="126"/>
  <c r="C171" i="62"/>
  <c r="C170" i="62"/>
  <c r="Q18" i="124"/>
  <c r="Q12" i="124"/>
  <c r="C66" i="62"/>
  <c r="C65" i="62"/>
  <c r="Q53" i="64"/>
  <c r="Q73" i="62"/>
  <c r="H24" i="64"/>
  <c r="H26" i="64" s="1"/>
  <c r="L24" i="64"/>
  <c r="Q63" i="64" s="1"/>
  <c r="G24" i="64"/>
  <c r="Q58" i="64" s="1"/>
  <c r="I24" i="64"/>
  <c r="I26" i="64" s="1"/>
  <c r="F24" i="64"/>
  <c r="F26" i="64" s="1"/>
  <c r="J24" i="64"/>
  <c r="J26" i="64" s="1"/>
  <c r="AP7" i="64" s="1"/>
  <c r="U4" i="62"/>
  <c r="W4" i="62" s="1"/>
  <c r="E24" i="64"/>
  <c r="Q56" i="64" s="1"/>
  <c r="D24" i="64"/>
  <c r="Q55" i="64" s="1"/>
  <c r="M24" i="64"/>
  <c r="AN7" i="64" s="1"/>
  <c r="C24" i="64"/>
  <c r="Q54" i="64" s="1"/>
  <c r="AS204" i="73"/>
  <c r="Q76" i="64"/>
  <c r="U76" i="64" s="1"/>
  <c r="AH31" i="66"/>
  <c r="AJ31" i="66" s="1"/>
  <c r="S20" i="127"/>
  <c r="V20" i="127" s="1"/>
  <c r="O20" i="127"/>
  <c r="I36" i="121"/>
  <c r="H34" i="127"/>
  <c r="H35" i="127" s="1"/>
  <c r="M34" i="121"/>
  <c r="L34" i="127" s="1"/>
  <c r="L35" i="127" s="1"/>
  <c r="D33" i="127"/>
  <c r="O31" i="127"/>
  <c r="S31" i="127"/>
  <c r="D32" i="127"/>
  <c r="AC138" i="73"/>
  <c r="K32" i="64"/>
  <c r="M32" i="64"/>
  <c r="B32" i="64"/>
  <c r="D32" i="64"/>
  <c r="AN8" i="64"/>
  <c r="I32" i="64"/>
  <c r="Q59" i="64"/>
  <c r="U59" i="64" s="1"/>
  <c r="Q72" i="64"/>
  <c r="T72" i="64" s="1"/>
  <c r="Q61" i="64"/>
  <c r="T61" i="64" s="1"/>
  <c r="C32" i="64"/>
  <c r="G32" i="64"/>
  <c r="L32" i="64"/>
  <c r="E26" i="64"/>
  <c r="D26" i="64"/>
  <c r="Y5" i="62"/>
  <c r="M26" i="64"/>
  <c r="F32" i="64"/>
  <c r="K26" i="64"/>
  <c r="L26" i="64"/>
  <c r="Q75" i="64"/>
  <c r="T75" i="64" s="1"/>
  <c r="Q64" i="64"/>
  <c r="U64" i="64" s="1"/>
  <c r="Q143" i="62"/>
  <c r="U7" i="62"/>
  <c r="W7" i="62" s="1"/>
  <c r="N43" i="64"/>
  <c r="Q108" i="62"/>
  <c r="N36" i="64"/>
  <c r="N3" i="64" s="1"/>
  <c r="U6" i="62"/>
  <c r="W6" i="62" s="1"/>
  <c r="U63" i="64"/>
  <c r="T63" i="64"/>
  <c r="T56" i="64"/>
  <c r="U56" i="64"/>
  <c r="U53" i="64"/>
  <c r="T53" i="64"/>
  <c r="U69" i="64"/>
  <c r="T69" i="64"/>
  <c r="U70" i="64"/>
  <c r="T70" i="64"/>
  <c r="T78" i="64"/>
  <c r="U78" i="64"/>
  <c r="U73" i="64"/>
  <c r="T73" i="64"/>
  <c r="T79" i="64"/>
  <c r="U79" i="64"/>
  <c r="T77" i="64"/>
  <c r="U77" i="64"/>
  <c r="T80" i="64"/>
  <c r="U80" i="64"/>
  <c r="U54" i="64"/>
  <c r="T54" i="64"/>
  <c r="T58" i="64"/>
  <c r="U58" i="64"/>
  <c r="T62" i="64"/>
  <c r="U62" i="64"/>
  <c r="T74" i="64"/>
  <c r="U74" i="64"/>
  <c r="I17" i="64"/>
  <c r="E17" i="64"/>
  <c r="G17" i="64"/>
  <c r="J17" i="64"/>
  <c r="X3" i="62" s="1"/>
  <c r="L17" i="64"/>
  <c r="K17" i="64"/>
  <c r="H17" i="64"/>
  <c r="F17" i="64"/>
  <c r="B17" i="64"/>
  <c r="C17" i="64"/>
  <c r="D17" i="64"/>
  <c r="M17" i="64"/>
  <c r="Q38" i="62"/>
  <c r="N11" i="64"/>
  <c r="O3" i="62"/>
  <c r="U2" i="62"/>
  <c r="V9" i="62"/>
  <c r="C166" i="62"/>
  <c r="N152" i="62"/>
  <c r="C167" i="62"/>
  <c r="C174" i="62"/>
  <c r="C165" i="62"/>
  <c r="C173" i="62"/>
  <c r="C164" i="62"/>
  <c r="C172" i="62"/>
  <c r="C163" i="62"/>
  <c r="C169" i="62"/>
  <c r="C168" i="62"/>
  <c r="R12" i="64"/>
  <c r="S124" i="64"/>
  <c r="C67" i="62"/>
  <c r="C58" i="62"/>
  <c r="C69" i="62"/>
  <c r="C64" i="62"/>
  <c r="C63" i="62"/>
  <c r="C62" i="62"/>
  <c r="N47" i="62"/>
  <c r="C68" i="62"/>
  <c r="C60" i="62"/>
  <c r="C59" i="62"/>
  <c r="C61" i="62"/>
  <c r="R13" i="64"/>
  <c r="S125" i="64"/>
  <c r="AA16" i="64"/>
  <c r="AC128" i="64"/>
  <c r="BC33" i="66"/>
  <c r="BE33" i="66" s="1"/>
  <c r="BL33" i="66"/>
  <c r="BN33" i="66" s="1"/>
  <c r="Y7" i="62"/>
  <c r="Y2" i="62"/>
  <c r="P34" i="125"/>
  <c r="R34" i="125"/>
  <c r="FQ32" i="126"/>
  <c r="GE32" i="126" s="1"/>
  <c r="BF31" i="66"/>
  <c r="GE31" i="126"/>
  <c r="BK4" i="66"/>
  <c r="BI33" i="66"/>
  <c r="BK33" i="66" s="1"/>
  <c r="Q31" i="124"/>
  <c r="P31" i="124"/>
  <c r="R31" i="124"/>
  <c r="GB32" i="126"/>
  <c r="BN31" i="66"/>
  <c r="BL34" i="66"/>
  <c r="BN34" i="66" s="1"/>
  <c r="AR209" i="73"/>
  <c r="AR210" i="73" s="1"/>
  <c r="AS170" i="73"/>
  <c r="AR171" i="73"/>
  <c r="C29" i="62"/>
  <c r="C28" i="62"/>
  <c r="C24" i="62"/>
  <c r="C32" i="62"/>
  <c r="C25" i="62"/>
  <c r="C26" i="62"/>
  <c r="C33" i="62"/>
  <c r="N12" i="62"/>
  <c r="C23" i="62"/>
  <c r="C34" i="62"/>
  <c r="C27" i="62"/>
  <c r="AS206" i="73"/>
  <c r="AY31" i="66"/>
  <c r="AW34" i="66"/>
  <c r="AY34" i="66" s="1"/>
  <c r="R6" i="125"/>
  <c r="P6" i="125"/>
  <c r="Q27" i="124"/>
  <c r="Q22" i="124"/>
  <c r="Q9" i="124"/>
  <c r="Q26" i="124"/>
  <c r="Q14" i="124"/>
  <c r="Q10" i="124"/>
  <c r="Q25" i="124"/>
  <c r="O34" i="124"/>
  <c r="R34" i="124" s="1"/>
  <c r="Q13" i="124"/>
  <c r="Q16" i="124"/>
  <c r="Q20" i="124"/>
  <c r="Q33" i="124"/>
  <c r="Q24" i="124"/>
  <c r="Q15" i="124"/>
  <c r="Q32" i="124"/>
  <c r="Q17" i="124"/>
  <c r="P32" i="124"/>
  <c r="R32" i="124"/>
  <c r="Q28" i="124"/>
  <c r="Q4" i="124"/>
  <c r="Q21" i="124"/>
  <c r="Q29" i="124"/>
  <c r="Q5" i="124"/>
  <c r="Q8" i="124"/>
  <c r="Q19" i="124"/>
  <c r="Q23" i="124"/>
  <c r="Q11" i="124"/>
  <c r="Q7" i="124"/>
  <c r="Q3" i="124"/>
  <c r="J35" i="125"/>
  <c r="J37" i="125" s="1"/>
  <c r="O33" i="125"/>
  <c r="V31" i="123"/>
  <c r="T31" i="123"/>
  <c r="FR32" i="126"/>
  <c r="GF32" i="126" s="1"/>
  <c r="GF30" i="126"/>
  <c r="AC34" i="65"/>
  <c r="AE33" i="65"/>
  <c r="N35" i="123"/>
  <c r="S33" i="123"/>
  <c r="GH3" i="126"/>
  <c r="GI3" i="126" s="1"/>
  <c r="GJ3" i="126" s="1"/>
  <c r="FT30" i="126"/>
  <c r="GH30" i="126" s="1"/>
  <c r="AD32" i="66"/>
  <c r="AF31" i="66"/>
  <c r="H36" i="129"/>
  <c r="G36" i="129"/>
  <c r="J36" i="129" s="1"/>
  <c r="T129" i="64" l="1"/>
  <c r="AC127" i="64"/>
  <c r="AC126" i="64"/>
  <c r="Q57" i="64"/>
  <c r="T57" i="64" s="1"/>
  <c r="C26" i="64"/>
  <c r="G26" i="64"/>
  <c r="Q60" i="64"/>
  <c r="T60" i="64" s="1"/>
  <c r="T76" i="64"/>
  <c r="U60" i="64"/>
  <c r="U9" i="62"/>
  <c r="T59" i="64"/>
  <c r="U75" i="64"/>
  <c r="U72" i="64"/>
  <c r="U61" i="64"/>
  <c r="T64" i="64"/>
  <c r="E43" i="64"/>
  <c r="C43" i="64"/>
  <c r="H43" i="64"/>
  <c r="I43" i="64"/>
  <c r="K43" i="64"/>
  <c r="L43" i="64"/>
  <c r="M43" i="64"/>
  <c r="D43" i="64"/>
  <c r="F43" i="64"/>
  <c r="J43" i="64"/>
  <c r="G43" i="64"/>
  <c r="B43" i="64"/>
  <c r="L36" i="64"/>
  <c r="L3" i="64" s="1"/>
  <c r="AB15" i="64" s="1"/>
  <c r="J36" i="64"/>
  <c r="H36" i="64"/>
  <c r="H3" i="64" s="1"/>
  <c r="S11" i="64" s="1"/>
  <c r="M36" i="64"/>
  <c r="C36" i="64"/>
  <c r="C3" i="64" s="1"/>
  <c r="S6" i="64" s="1"/>
  <c r="K36" i="64"/>
  <c r="K3" i="64" s="1"/>
  <c r="AB14" i="64" s="1"/>
  <c r="D36" i="64"/>
  <c r="D3" i="64" s="1"/>
  <c r="S7" i="64" s="1"/>
  <c r="F36" i="64"/>
  <c r="F3" i="64" s="1"/>
  <c r="S9" i="64" s="1"/>
  <c r="G36" i="64"/>
  <c r="B36" i="64"/>
  <c r="B3" i="64" s="1"/>
  <c r="S5" i="64" s="1"/>
  <c r="E36" i="64"/>
  <c r="E3" i="64" s="1"/>
  <c r="S8" i="64" s="1"/>
  <c r="I36" i="64"/>
  <c r="W2" i="62"/>
  <c r="Q2" i="62"/>
  <c r="Q4" i="62"/>
  <c r="Q6" i="62"/>
  <c r="Q7" i="62"/>
  <c r="Q5" i="62"/>
  <c r="U8" i="62"/>
  <c r="W8" i="62" s="1"/>
  <c r="Q3" i="62"/>
  <c r="Q41" i="64"/>
  <c r="F19" i="64"/>
  <c r="Q46" i="64"/>
  <c r="K19" i="64"/>
  <c r="Q48" i="64"/>
  <c r="AN6" i="64"/>
  <c r="M19" i="64"/>
  <c r="Q47" i="64"/>
  <c r="L19" i="64"/>
  <c r="Q43" i="64"/>
  <c r="H19" i="64"/>
  <c r="Q39" i="64"/>
  <c r="D19" i="64"/>
  <c r="Q45" i="64"/>
  <c r="J19" i="64"/>
  <c r="AP6" i="64" s="1"/>
  <c r="Q38" i="64"/>
  <c r="C19" i="64"/>
  <c r="G19" i="64"/>
  <c r="Q42" i="64"/>
  <c r="G3" i="64"/>
  <c r="S10" i="64" s="1"/>
  <c r="B19" i="64"/>
  <c r="Q37" i="64"/>
  <c r="Q40" i="64"/>
  <c r="E19" i="64"/>
  <c r="E11" i="64"/>
  <c r="H11" i="64"/>
  <c r="M11" i="64"/>
  <c r="K11" i="64"/>
  <c r="J11" i="64"/>
  <c r="B11" i="64"/>
  <c r="D11" i="64"/>
  <c r="C11" i="64"/>
  <c r="L11" i="64"/>
  <c r="N4" i="64"/>
  <c r="F11" i="64"/>
  <c r="G11" i="64"/>
  <c r="I11" i="64"/>
  <c r="Q44" i="64"/>
  <c r="I19" i="64"/>
  <c r="FT32" i="126"/>
  <c r="GH32" i="126" s="1"/>
  <c r="T11" i="62" s="1"/>
  <c r="R33" i="125"/>
  <c r="P33" i="125"/>
  <c r="O35" i="125"/>
  <c r="BH31" i="66"/>
  <c r="BF34" i="66"/>
  <c r="BH34" i="66" s="1"/>
  <c r="T33" i="123"/>
  <c r="U6" i="123"/>
  <c r="U13" i="123"/>
  <c r="S35" i="123"/>
  <c r="U25" i="123"/>
  <c r="U17" i="123"/>
  <c r="U11" i="123"/>
  <c r="U10" i="123"/>
  <c r="U33" i="123"/>
  <c r="U15" i="123"/>
  <c r="U7" i="123"/>
  <c r="U30" i="123"/>
  <c r="U27" i="123"/>
  <c r="U18" i="123"/>
  <c r="U29" i="123"/>
  <c r="U26" i="123"/>
  <c r="U5" i="123"/>
  <c r="V33" i="123"/>
  <c r="U23" i="123"/>
  <c r="U22" i="123"/>
  <c r="T34" i="123"/>
  <c r="U19" i="123"/>
  <c r="U21" i="123"/>
  <c r="U9" i="123"/>
  <c r="U14" i="123"/>
  <c r="U20" i="123"/>
  <c r="U32" i="123"/>
  <c r="U28" i="123"/>
  <c r="U12" i="123"/>
  <c r="U8" i="123"/>
  <c r="U24" i="123"/>
  <c r="U4" i="123"/>
  <c r="U16" i="123"/>
  <c r="U31" i="123"/>
  <c r="U57" i="64" l="1"/>
  <c r="J3" i="64"/>
  <c r="S13" i="64" s="1"/>
  <c r="X6" i="62"/>
  <c r="Y6" i="62" s="1"/>
  <c r="I3" i="64"/>
  <c r="S12" i="64" s="1"/>
  <c r="D45" i="64"/>
  <c r="Q103" i="64"/>
  <c r="Q111" i="64"/>
  <c r="L45" i="64"/>
  <c r="Q110" i="64"/>
  <c r="K45" i="64"/>
  <c r="B45" i="64"/>
  <c r="Q101" i="64"/>
  <c r="Q108" i="64"/>
  <c r="I45" i="64"/>
  <c r="Q106" i="64"/>
  <c r="G45" i="64"/>
  <c r="Q107" i="64"/>
  <c r="H45" i="64"/>
  <c r="M45" i="64"/>
  <c r="Q112" i="64"/>
  <c r="AN10" i="64"/>
  <c r="Q109" i="64"/>
  <c r="J45" i="64"/>
  <c r="AP10" i="64" s="1"/>
  <c r="C45" i="64"/>
  <c r="Q102" i="64"/>
  <c r="Q105" i="64"/>
  <c r="F45" i="64"/>
  <c r="Q104" i="64"/>
  <c r="E45" i="64"/>
  <c r="D38" i="64"/>
  <c r="Q87" i="64"/>
  <c r="Q94" i="64"/>
  <c r="T94" i="64" s="1"/>
  <c r="K38" i="64"/>
  <c r="I38" i="64"/>
  <c r="Q92" i="64"/>
  <c r="T92" i="64" s="1"/>
  <c r="Q96" i="64"/>
  <c r="T96" i="64" s="1"/>
  <c r="AN9" i="64"/>
  <c r="M38" i="64"/>
  <c r="M3" i="64"/>
  <c r="AB16" i="64" s="1"/>
  <c r="Q88" i="64"/>
  <c r="E38" i="64"/>
  <c r="Q91" i="64"/>
  <c r="T91" i="64" s="1"/>
  <c r="H38" i="64"/>
  <c r="F38" i="64"/>
  <c r="Q89" i="64"/>
  <c r="Q86" i="64"/>
  <c r="C38" i="64"/>
  <c r="B38" i="64"/>
  <c r="Q85" i="64"/>
  <c r="Q93" i="64"/>
  <c r="T93" i="64" s="1"/>
  <c r="J38" i="64"/>
  <c r="AP9" i="64" s="1"/>
  <c r="Q90" i="64"/>
  <c r="G38" i="64"/>
  <c r="Q95" i="64"/>
  <c r="T95" i="64" s="1"/>
  <c r="L38" i="64"/>
  <c r="U48" i="64"/>
  <c r="T48" i="64"/>
  <c r="G13" i="64"/>
  <c r="Q26" i="64"/>
  <c r="G4" i="64"/>
  <c r="Q30" i="64"/>
  <c r="K4" i="64"/>
  <c r="K13" i="64"/>
  <c r="U37" i="64"/>
  <c r="T37" i="64"/>
  <c r="T44" i="64"/>
  <c r="U44" i="64"/>
  <c r="J4" i="64"/>
  <c r="Q29" i="64"/>
  <c r="J13" i="64"/>
  <c r="AP5" i="64" s="1"/>
  <c r="T38" i="64"/>
  <c r="U38" i="64"/>
  <c r="Q25" i="64"/>
  <c r="F4" i="64"/>
  <c r="F13" i="64"/>
  <c r="U45" i="64"/>
  <c r="T45" i="64"/>
  <c r="Q27" i="64"/>
  <c r="H4" i="64"/>
  <c r="H13" i="64"/>
  <c r="Q28" i="64"/>
  <c r="I4" i="64"/>
  <c r="I13" i="64"/>
  <c r="U43" i="64"/>
  <c r="T43" i="64"/>
  <c r="Q32" i="64"/>
  <c r="AN5" i="64"/>
  <c r="M4" i="64"/>
  <c r="M13" i="64"/>
  <c r="L4" i="64"/>
  <c r="Q31" i="64"/>
  <c r="L13" i="64"/>
  <c r="Y3" i="62"/>
  <c r="E13" i="64"/>
  <c r="E4" i="64"/>
  <c r="Q24" i="64"/>
  <c r="T42" i="64"/>
  <c r="U42" i="64"/>
  <c r="T46" i="64"/>
  <c r="U46" i="64"/>
  <c r="C13" i="64"/>
  <c r="C4" i="64"/>
  <c r="Q22" i="64"/>
  <c r="U47" i="64"/>
  <c r="T47" i="64"/>
  <c r="Q21" i="64"/>
  <c r="B4" i="64"/>
  <c r="B13" i="64"/>
  <c r="U41" i="64"/>
  <c r="T41" i="64"/>
  <c r="Q23" i="64"/>
  <c r="D13" i="64"/>
  <c r="D4" i="64"/>
  <c r="U40" i="64"/>
  <c r="T40" i="64"/>
  <c r="Q8" i="62"/>
  <c r="Q25" i="125"/>
  <c r="O37" i="125"/>
  <c r="Q23" i="125"/>
  <c r="Q13" i="125"/>
  <c r="Q20" i="125"/>
  <c r="Q35" i="125"/>
  <c r="Q8" i="125"/>
  <c r="Q32" i="125"/>
  <c r="Q19" i="125"/>
  <c r="Q29" i="125"/>
  <c r="Q12" i="125"/>
  <c r="Q27" i="125"/>
  <c r="Q28" i="125"/>
  <c r="Q24" i="125"/>
  <c r="R35" i="125"/>
  <c r="P35" i="125"/>
  <c r="Q7" i="125"/>
  <c r="Q16" i="125"/>
  <c r="Q31" i="125"/>
  <c r="Q17" i="125"/>
  <c r="Q11" i="125"/>
  <c r="Q22" i="125"/>
  <c r="Q26" i="125"/>
  <c r="Q10" i="125"/>
  <c r="Q14" i="125"/>
  <c r="Q30" i="125"/>
  <c r="Q21" i="125"/>
  <c r="Q18" i="125"/>
  <c r="Q9" i="125"/>
  <c r="Q15" i="125"/>
  <c r="Q34" i="125"/>
  <c r="Q6" i="125"/>
  <c r="Q33" i="125"/>
  <c r="T104" i="64" l="1"/>
  <c r="U104" i="64"/>
  <c r="U112" i="64"/>
  <c r="T112" i="64"/>
  <c r="T101" i="64"/>
  <c r="U101" i="64"/>
  <c r="U105" i="64"/>
  <c r="T105" i="64"/>
  <c r="U110" i="64"/>
  <c r="T110" i="64"/>
  <c r="U102" i="64"/>
  <c r="T102" i="64"/>
  <c r="U106" i="64"/>
  <c r="T106" i="64"/>
  <c r="T111" i="64"/>
  <c r="U111" i="64"/>
  <c r="T107" i="64"/>
  <c r="U107" i="64"/>
  <c r="U109" i="64"/>
  <c r="T109" i="64"/>
  <c r="T108" i="64"/>
  <c r="U108" i="64"/>
  <c r="X8" i="62"/>
  <c r="X9" i="62" s="1"/>
  <c r="E6" i="64"/>
  <c r="Q8" i="64"/>
  <c r="Q16" i="64"/>
  <c r="M6" i="64"/>
  <c r="C6" i="64"/>
  <c r="Q6" i="64"/>
  <c r="H6" i="64"/>
  <c r="Q11" i="64"/>
  <c r="U29" i="64"/>
  <c r="T29" i="64"/>
  <c r="T30" i="64"/>
  <c r="U30" i="64"/>
  <c r="Q5" i="64"/>
  <c r="B6" i="64"/>
  <c r="Q13" i="64"/>
  <c r="J6" i="64"/>
  <c r="G6" i="64"/>
  <c r="Q10" i="64"/>
  <c r="T27" i="64"/>
  <c r="U27" i="64"/>
  <c r="U21" i="64"/>
  <c r="T21" i="64"/>
  <c r="T31" i="64"/>
  <c r="U31" i="64"/>
  <c r="U26" i="64"/>
  <c r="T26" i="64"/>
  <c r="U32" i="64"/>
  <c r="T32" i="64"/>
  <c r="D6" i="64"/>
  <c r="Q7" i="64"/>
  <c r="Q15" i="64"/>
  <c r="L6" i="64"/>
  <c r="Q12" i="64"/>
  <c r="I6" i="64"/>
  <c r="Q9" i="64"/>
  <c r="F6" i="64"/>
  <c r="T24" i="64"/>
  <c r="U24" i="64"/>
  <c r="U28" i="64"/>
  <c r="T28" i="64"/>
  <c r="U25" i="64"/>
  <c r="T25" i="64"/>
  <c r="Q14" i="64"/>
  <c r="K6" i="64"/>
  <c r="U22" i="64"/>
  <c r="T22" i="64"/>
  <c r="Y8" i="62" l="1"/>
  <c r="T11" i="64"/>
  <c r="U11" i="64"/>
  <c r="T6" i="64"/>
  <c r="U6" i="64"/>
  <c r="T5" i="64"/>
  <c r="U5" i="64"/>
  <c r="U14" i="64"/>
  <c r="T14" i="64"/>
  <c r="T10" i="64"/>
  <c r="U10" i="64"/>
  <c r="U9" i="64"/>
  <c r="T9" i="64"/>
  <c r="T12" i="64"/>
  <c r="U12" i="64"/>
  <c r="U16" i="64"/>
  <c r="T16" i="64"/>
  <c r="U8" i="64"/>
  <c r="T8" i="64"/>
  <c r="T15" i="64"/>
  <c r="U15" i="64"/>
  <c r="U13" i="64"/>
  <c r="T13" i="64"/>
</calcChain>
</file>

<file path=xl/comments1.xml><?xml version="1.0" encoding="utf-8"?>
<comments xmlns="http://schemas.openxmlformats.org/spreadsheetml/2006/main">
  <authors>
    <author>Marcos Cristino</author>
  </authors>
  <commentList>
    <comment ref="F3" authorId="0" shapeId="0">
      <text>
        <r>
          <rPr>
            <b/>
            <sz val="9"/>
            <color indexed="81"/>
            <rFont val="Segoe UI"/>
            <family val="2"/>
          </rPr>
          <t>Marcos Cristino:</t>
        </r>
        <r>
          <rPr>
            <sz val="9"/>
            <color indexed="81"/>
            <rFont val="Segoe UI"/>
            <family val="2"/>
          </rPr>
          <t xml:space="preserve">
Ajustado
De acordo com a GERFIN, a receita de RRT contém a receita com RRT Extemporâneo</t>
        </r>
      </text>
    </comment>
    <comment ref="G5" authorId="0" shapeId="0">
      <text>
        <r>
          <rPr>
            <b/>
            <sz val="9"/>
            <color indexed="81"/>
            <rFont val="Segoe UI"/>
            <family val="2"/>
          </rPr>
          <t>Marcos Cristino:</t>
        </r>
        <r>
          <rPr>
            <sz val="9"/>
            <color indexed="81"/>
            <rFont val="Segoe UI"/>
            <family val="2"/>
          </rPr>
          <t xml:space="preserve">
Os valores referentes à "Taxa Expediente - RRT Extemporâneo" foi realocado para a coluna à esquerda de "RRT", conforme procedimento orientado pela GERFIN-CAU/BR.
24/02/2020</t>
        </r>
      </text>
    </comment>
  </commentList>
</comments>
</file>

<file path=xl/comments2.xml><?xml version="1.0" encoding="utf-8"?>
<comments xmlns="http://schemas.openxmlformats.org/spreadsheetml/2006/main">
  <authors>
    <author>tc={7E564A3A-4A4B-4569-A074-12D48F10BEEB}</author>
    <author>Marcos Cristino de Oliveira</author>
  </authors>
  <commentList>
    <comment ref="T8" authorId="0" shapeId="0">
      <text>
        <r>
          <rPr>
            <sz val="11"/>
            <color theme="1"/>
            <rFont val="Calibri"/>
            <family val="2"/>
            <scheme val="minor"/>
          </rPr>
          <t>Esse percentual é o q vale, pois é a média geral de todos ufs e fontes de receitas dos últimos 3 anos, ajustar mensalmente selecionando o período acumulado (janeiro até o mês atual)</t>
        </r>
      </text>
    </comment>
    <comment ref="O38" authorId="1" shapeId="0">
      <text>
        <r>
          <rPr>
            <b/>
            <sz val="9"/>
            <color indexed="81"/>
            <rFont val="Segoe UI"/>
            <family val="2"/>
          </rPr>
          <t>Marcos Cristino de Oliveira:</t>
        </r>
        <r>
          <rPr>
            <sz val="9"/>
            <color indexed="81"/>
            <rFont val="Segoe UI"/>
            <family val="2"/>
          </rPr>
          <t xml:space="preserve">
Utilizar o previsto para o ano (valor vai fazer parte de uma fórmula acima)</t>
        </r>
      </text>
    </comment>
    <comment ref="AG38" authorId="1" shapeId="0">
      <text>
        <r>
          <rPr>
            <b/>
            <sz val="9"/>
            <color indexed="81"/>
            <rFont val="Segoe UI"/>
            <family val="2"/>
          </rPr>
          <t>Marcos Cristino de Oliveira:</t>
        </r>
        <r>
          <rPr>
            <sz val="9"/>
            <color indexed="81"/>
            <rFont val="Segoe UI"/>
            <family val="2"/>
          </rPr>
          <t xml:space="preserve">
Utilizar o previsto para o ano (valor vai fazer parte de uma fórmula acima)</t>
        </r>
      </text>
    </comment>
    <comment ref="O73" authorId="1" shapeId="0">
      <text>
        <r>
          <rPr>
            <b/>
            <sz val="9"/>
            <color indexed="81"/>
            <rFont val="Segoe UI"/>
            <family val="2"/>
          </rPr>
          <t>Marcos Cristino de Oliveira:</t>
        </r>
        <r>
          <rPr>
            <sz val="9"/>
            <color indexed="81"/>
            <rFont val="Segoe UI"/>
            <family val="2"/>
          </rPr>
          <t xml:space="preserve">
Utilizar o previsto para o ano (valor vai fazer parte de uma fórmula acima)</t>
        </r>
      </text>
    </comment>
    <comment ref="AG73" authorId="1" shapeId="0">
      <text>
        <r>
          <rPr>
            <b/>
            <sz val="9"/>
            <color indexed="81"/>
            <rFont val="Segoe UI"/>
            <family val="2"/>
          </rPr>
          <t>Marcos Cristino de Oliveira:</t>
        </r>
        <r>
          <rPr>
            <sz val="9"/>
            <color indexed="81"/>
            <rFont val="Segoe UI"/>
            <family val="2"/>
          </rPr>
          <t xml:space="preserve">
Utilizar o previsto para o ano (valor vai fazer parte de uma fórmula acima)</t>
        </r>
      </text>
    </comment>
    <comment ref="O108" authorId="1" shapeId="0">
      <text>
        <r>
          <rPr>
            <b/>
            <sz val="9"/>
            <color indexed="81"/>
            <rFont val="Segoe UI"/>
            <family val="2"/>
          </rPr>
          <t>Marcos Cristino de Oliveira:</t>
        </r>
        <r>
          <rPr>
            <sz val="9"/>
            <color indexed="81"/>
            <rFont val="Segoe UI"/>
            <family val="2"/>
          </rPr>
          <t xml:space="preserve">
Utilizar o previsto para o ano (valor vai fazer parte de uma fórmula acima)</t>
        </r>
      </text>
    </comment>
    <comment ref="O143" authorId="1" shapeId="0">
      <text>
        <r>
          <rPr>
            <b/>
            <sz val="9"/>
            <color indexed="81"/>
            <rFont val="Segoe UI"/>
            <family val="2"/>
          </rPr>
          <t>Marcos Cristino de Oliveira:</t>
        </r>
        <r>
          <rPr>
            <sz val="9"/>
            <color indexed="81"/>
            <rFont val="Segoe UI"/>
            <family val="2"/>
          </rPr>
          <t xml:space="preserve">
Utilizar o previsto para o ano (valor vai fazer parte de uma fórmula acima)</t>
        </r>
      </text>
    </comment>
  </commentList>
</comments>
</file>

<file path=xl/sharedStrings.xml><?xml version="1.0" encoding="utf-8"?>
<sst xmlns="http://schemas.openxmlformats.org/spreadsheetml/2006/main" count="13684" uniqueCount="725">
  <si>
    <t>ACRE</t>
  </si>
  <si>
    <t>ALAGOAS</t>
  </si>
  <si>
    <t>AMAPÁ</t>
  </si>
  <si>
    <t>AMAZONAS</t>
  </si>
  <si>
    <t>BAHIA</t>
  </si>
  <si>
    <t>CEARÁ</t>
  </si>
  <si>
    <t>DISTRITO FEDERAL</t>
  </si>
  <si>
    <t>ESPíRITO SANTO</t>
  </si>
  <si>
    <t>GOIÁS</t>
  </si>
  <si>
    <t>MARANHÃO</t>
  </si>
  <si>
    <t>MATO GROSSO</t>
  </si>
  <si>
    <t>MATO GROSSO DO SUL</t>
  </si>
  <si>
    <t>MINAS GERAIS</t>
  </si>
  <si>
    <t>PARANÁ</t>
  </si>
  <si>
    <t>PARAÍBA</t>
  </si>
  <si>
    <t>PARÁ</t>
  </si>
  <si>
    <t>PERNAMBUCO</t>
  </si>
  <si>
    <t>PIAUÍ</t>
  </si>
  <si>
    <t>RIO DE JANEIRO</t>
  </si>
  <si>
    <t>RIO GRANDE DO SUL</t>
  </si>
  <si>
    <t>RIO GRANDE DO NORTE</t>
  </si>
  <si>
    <t>RONDÔNIA</t>
  </si>
  <si>
    <t>RORAIMA</t>
  </si>
  <si>
    <t>SANTA CATARINA</t>
  </si>
  <si>
    <t>SERGIPE</t>
  </si>
  <si>
    <t>SÃO PAULO</t>
  </si>
  <si>
    <t>TOCANTINS</t>
  </si>
  <si>
    <t>ANUIDADE-PF</t>
  </si>
  <si>
    <t>RRT</t>
  </si>
  <si>
    <t>ANUIDADE-PJ</t>
  </si>
  <si>
    <t>TX SELIC</t>
  </si>
  <si>
    <t>DOCUMENTO DE FISCALIZAÇÃO</t>
  </si>
  <si>
    <t>MULTA-ANUI</t>
  </si>
  <si>
    <t xml:space="preserve">RECEITAS </t>
  </si>
  <si>
    <t xml:space="preserve">TOTAL </t>
  </si>
  <si>
    <t>CERTIDÃO DE ACERVO TÉCNICO COM ATESTADO</t>
  </si>
  <si>
    <t>TAXA EXPEDIENTE - RRT EXTEMPORÂNEO</t>
  </si>
  <si>
    <t>TOTAIS</t>
  </si>
  <si>
    <t>CONTROLE  DE RECEITA TOTAL (100%)</t>
  </si>
  <si>
    <t>ARRECADAÇÃO MENSAL POR RECEITA</t>
  </si>
  <si>
    <t>REGISTRO DE DIREITO AUTORAL</t>
  </si>
  <si>
    <t>MULTA - MORA - ANUIDADE</t>
  </si>
  <si>
    <t>MULTA ÉTICA</t>
  </si>
  <si>
    <t>Do Exercício</t>
  </si>
  <si>
    <t>Exercícios Anteriores</t>
  </si>
  <si>
    <t>MULTA AUSÊNCIA NA ELEIÇÃO</t>
  </si>
  <si>
    <t>CONTROLE  DE RECEITA TOTAL (100%) - COM REGISTRO</t>
  </si>
  <si>
    <t>* Valor calculado sobre o relatório dos convênios com registro de cada CAUUF, tendo em vista que não há arquivo de retorno do CAUBR com a partição (20%).</t>
  </si>
  <si>
    <t>* Valor calculado sobre o relatório dos convênios com registro de cada CAUUF, tendo em vista que não há arquivo de retorno do CAUUF com a partição (80%).</t>
  </si>
  <si>
    <t>DÍVIDA ATIVA</t>
  </si>
  <si>
    <t>CUSTAS JUDICIAIS</t>
  </si>
  <si>
    <t>HONORÁRIOS</t>
  </si>
  <si>
    <t>DIVITA ATIVA</t>
  </si>
  <si>
    <t>CONTROLE  DE RECEITA JANEIRO - UF - COM REGISTRO</t>
  </si>
  <si>
    <t>CONTROLE  DE RECEITA JANEIRO - BR - COM REGISTRO*</t>
  </si>
  <si>
    <t>CONTROLE  DE RECEITA FEVEREIRO - UF - COM REGISTRO</t>
  </si>
  <si>
    <t>CONTROLE  DE RECEITA FEVEREIRO - BR - COM REGISTRO*</t>
  </si>
  <si>
    <t>CONTROLE  DE RECEITA MARÇO - UF - COM REGISTRO</t>
  </si>
  <si>
    <t>CONTROLE  DE RECEITA MARÇO - BR - COM REGISTRO*</t>
  </si>
  <si>
    <t>CONTROLE  DE RECEITA ABRIL - BR - COM REGISTRO*</t>
  </si>
  <si>
    <t>CONTROLE  DE RECEITA ABRIL - UF - COM REGISTRO</t>
  </si>
  <si>
    <t>CONTROLE  DE RECEITA MAIO - UF - COM REGISTRO</t>
  </si>
  <si>
    <t>CONTROLE  DE RECEITA MAIO - BR - COM REGISTRO*</t>
  </si>
  <si>
    <t>CONTROLE  DE RECEITA JUNHO - UF - COM REGISTRO</t>
  </si>
  <si>
    <t>CONTROLE  DE RECEITA JUNHO - BR - COM REGISTRO*</t>
  </si>
  <si>
    <t>CONTROLE  DE RECEITA JULHO - UF - COM REGISTRO</t>
  </si>
  <si>
    <t>CONTROLE  DE RECEITA JULHO - BR - COM REGISTRO*</t>
  </si>
  <si>
    <t>CONTROLE  DE RECEITA AGOSTO - UF - COM REGISTRO</t>
  </si>
  <si>
    <t>CONTROLE  DE RECEITA AGOSTO - BR - COM REGISTRO*</t>
  </si>
  <si>
    <t>CONTROLE  DE RECEITA SETEMBRO - UF - COM REGISTRO</t>
  </si>
  <si>
    <t>CONTROLE  DE RECEITA SETEMBRO - BR - COM REGISTRO*</t>
  </si>
  <si>
    <t>CONTROLE  DE RECEITA OUTUBRO - UF - COM REGISTRO</t>
  </si>
  <si>
    <t>CONTROLE  DE RECEITA OUTUBRO - BR - COM REGISTRO*</t>
  </si>
  <si>
    <t>CONTROLE  DE RECEITA NOVEMBRO - UF - COM REGISTRO</t>
  </si>
  <si>
    <t>CONTROLE  DE RECEITA NOVEMBRO - BR - COM REGISTRO*</t>
  </si>
  <si>
    <t>CONTROLE  DE RECEITA DEZEMBRO - UF - COM REGISTRO</t>
  </si>
  <si>
    <t>CONTROLE  DE RECEITA DEZEMBRO - BR - COM REGISTRO*</t>
  </si>
  <si>
    <t>AC</t>
  </si>
  <si>
    <t>AL</t>
  </si>
  <si>
    <t>AP</t>
  </si>
  <si>
    <t>AM</t>
  </si>
  <si>
    <t>BA</t>
  </si>
  <si>
    <t>CE</t>
  </si>
  <si>
    <t>DF</t>
  </si>
  <si>
    <t>ES</t>
  </si>
  <si>
    <t>GO</t>
  </si>
  <si>
    <t>MA</t>
  </si>
  <si>
    <t>MT</t>
  </si>
  <si>
    <t>MS</t>
  </si>
  <si>
    <t>MG</t>
  </si>
  <si>
    <t>PA</t>
  </si>
  <si>
    <t>PB</t>
  </si>
  <si>
    <t>PR</t>
  </si>
  <si>
    <t>PE</t>
  </si>
  <si>
    <t>PI</t>
  </si>
  <si>
    <t>RJ</t>
  </si>
  <si>
    <t>RN</t>
  </si>
  <si>
    <t>RS</t>
  </si>
  <si>
    <t>RO</t>
  </si>
  <si>
    <t>RR</t>
  </si>
  <si>
    <t>SC</t>
  </si>
  <si>
    <t>SP</t>
  </si>
  <si>
    <t>SE</t>
  </si>
  <si>
    <t>TO</t>
  </si>
  <si>
    <t>TOTAL - Exercício</t>
  </si>
  <si>
    <t>Exerc./Mês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</si>
  <si>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</si>
  <si>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</si>
  <si>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</si>
  <si>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</si>
  <si>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</si>
  <si>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</si>
  <si>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</si>
  <si>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</si>
  <si>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</si>
  <si>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</si>
  <si>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</si>
  <si>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</si>
  <si>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</si>
  <si>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PREVISTO</t>
  </si>
  <si>
    <t>Jan</t>
  </si>
  <si>
    <t>Jan-Fev</t>
  </si>
  <si>
    <t>Jan-Mar</t>
  </si>
  <si>
    <t>Jan-Abr</t>
  </si>
  <si>
    <t>Jan-Mai</t>
  </si>
  <si>
    <t>Jan-Jun</t>
  </si>
  <si>
    <t>Jan-Jul</t>
  </si>
  <si>
    <t>Jan-Ago</t>
  </si>
  <si>
    <t>Jan-Set</t>
  </si>
  <si>
    <t>Jan-Out</t>
  </si>
  <si>
    <t>Jan-Nov</t>
  </si>
  <si>
    <t>Jan-Dez</t>
  </si>
  <si>
    <t>Taxas e Multas</t>
  </si>
  <si>
    <t>2017 - PF - Anuidade PF - Exercício (100%)</t>
  </si>
  <si>
    <t>Média 2018</t>
  </si>
  <si>
    <t>Média 2017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</si>
  <si>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</si>
  <si>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</si>
  <si>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</si>
  <si>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</si>
  <si>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</si>
  <si>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</si>
  <si>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</si>
  <si>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</si>
  <si>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</si>
  <si>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</si>
  <si>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</si>
  <si>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 xml:space="preserve">jan </t>
  </si>
  <si>
    <t>jan - fev</t>
  </si>
  <si>
    <t>jan  - março</t>
  </si>
  <si>
    <t>jan - abril</t>
  </si>
  <si>
    <t>jan - maio</t>
  </si>
  <si>
    <t>jan - jun</t>
  </si>
  <si>
    <t>jan - jul</t>
  </si>
  <si>
    <t>jan - ago</t>
  </si>
  <si>
    <t>jan - set</t>
  </si>
  <si>
    <t>jan - out</t>
  </si>
  <si>
    <t>jan - nov</t>
  </si>
  <si>
    <t>jan - dez</t>
  </si>
  <si>
    <t>2017 - PF - Anuidade PF - Exercício Anterior (100%)</t>
  </si>
  <si>
    <t>2017 - PJ - Anuidade PJ - Exercício  (100%)</t>
  </si>
  <si>
    <t>2017 - PJ - Anuidade PJ - Exercício  Anterior (100%)</t>
  </si>
  <si>
    <t>2018 - RRT (100%)</t>
  </si>
  <si>
    <t>2017 - RRT (100%)</t>
  </si>
  <si>
    <t>2018 - TAXAS E MULTAS (100%)</t>
  </si>
  <si>
    <t>2017 - TAXAS E MULTAS (100%)</t>
  </si>
  <si>
    <t>Previsto</t>
  </si>
  <si>
    <t>Executado</t>
  </si>
  <si>
    <t>% Executado</t>
  </si>
  <si>
    <t>CAU/UF</t>
  </si>
  <si>
    <t>Total</t>
  </si>
  <si>
    <t>CAU/BR</t>
  </si>
  <si>
    <t>UF</t>
  </si>
  <si>
    <t>PF</t>
  </si>
  <si>
    <t>PJ</t>
  </si>
  <si>
    <t>Taxas</t>
  </si>
  <si>
    <t>2018 - Anuidade PF - Exercício (100%)</t>
  </si>
  <si>
    <t>2018 - Anuidade PF - Exercícios Anteriores (100%)</t>
  </si>
  <si>
    <t>2018 - Anuidade PF - Exercício  (100%)</t>
  </si>
  <si>
    <t>2018 - Anuidade PJ - Exercícios  Anteriores (100%)</t>
  </si>
  <si>
    <t>jan  - mar</t>
  </si>
  <si>
    <t>jan - abr</t>
  </si>
  <si>
    <t>jan - mai</t>
  </si>
  <si>
    <t>Mês</t>
  </si>
  <si>
    <t>PF ant</t>
  </si>
  <si>
    <t>PJ ant</t>
  </si>
  <si>
    <t>% Exec.</t>
  </si>
  <si>
    <t>Anuid. PF - Exerc.</t>
  </si>
  <si>
    <t>Anuid. PJ - Exerc. Ant.</t>
  </si>
  <si>
    <t>Anuid. PF - Exerc. Ant.</t>
  </si>
  <si>
    <t>Arrecadação Total</t>
  </si>
  <si>
    <t>Meta</t>
  </si>
  <si>
    <t>Valor Realizado</t>
  </si>
  <si>
    <t>Valor acima da Meta</t>
  </si>
  <si>
    <t>Valor abaixo da Meta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</si>
  <si>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</si>
  <si>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</si>
  <si>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</si>
  <si>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</si>
  <si>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</si>
  <si>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</si>
  <si>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</si>
  <si>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</si>
  <si>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</si>
  <si>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</si>
  <si>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</si>
  <si>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</si>
  <si>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Anuidade PF - Exercícios Anteriores</t>
  </si>
  <si>
    <t>Anuidade PJ - Exercícios Anteriores</t>
  </si>
  <si>
    <t>Arrecadação - desconsiderando a inadimplência</t>
  </si>
  <si>
    <t>PF - 100%</t>
  </si>
  <si>
    <t>PJ - 100%</t>
  </si>
  <si>
    <t>Anuid. PJ - Exerc.</t>
  </si>
  <si>
    <t xml:space="preserve">                                                                                                                                                   </t>
  </si>
  <si>
    <t>Potencial</t>
  </si>
  <si>
    <t>Previsto - Entrantes</t>
  </si>
  <si>
    <t>Entrantes</t>
  </si>
  <si>
    <t>Feminino</t>
  </si>
  <si>
    <t>Masculino</t>
  </si>
  <si>
    <t>Previsto PJ</t>
  </si>
  <si>
    <t>Previsto PF</t>
  </si>
  <si>
    <t>PJ Ativos</t>
  </si>
  <si>
    <t>% de Part.</t>
  </si>
  <si>
    <t>Brasil</t>
  </si>
  <si>
    <t>BR</t>
  </si>
  <si>
    <t>Norte</t>
  </si>
  <si>
    <t>Sul</t>
  </si>
  <si>
    <t>Sudeste</t>
  </si>
  <si>
    <t>Nordeste</t>
  </si>
  <si>
    <t>Centro-oeste</t>
  </si>
  <si>
    <t>Soma de Feminino</t>
  </si>
  <si>
    <t>Soma de Masculino</t>
  </si>
  <si>
    <t>Soma de Méd/Prof
Previsto</t>
  </si>
  <si>
    <t>Soma de Méd/Prof
Executado</t>
  </si>
  <si>
    <t>Soma de Previsto PJ</t>
  </si>
  <si>
    <t>Soma de PJ Ativos</t>
  </si>
  <si>
    <t>Região</t>
  </si>
  <si>
    <t>Méd/Prof
Previsto</t>
  </si>
  <si>
    <t>Méd/Prof
Executado</t>
  </si>
  <si>
    <t>TAXAS</t>
  </si>
  <si>
    <t>GÊNERO</t>
  </si>
  <si>
    <t>QUANTITATIVO</t>
  </si>
  <si>
    <t>ARRECADAÇÃO</t>
  </si>
  <si>
    <t>EXECUTADO</t>
  </si>
  <si>
    <t>POTENCIAL</t>
  </si>
  <si>
    <t>ANUIDADE-PF - EXERCÍCIOS ANTERIOES</t>
  </si>
  <si>
    <t>ANUIDADE-PJ - EXERCÍCIOS ANTERIORES</t>
  </si>
  <si>
    <t>RECEITAS DE ARRECADAÇÃO</t>
  </si>
  <si>
    <t>Anuidade - PF</t>
  </si>
  <si>
    <t>Anuidade- PJ</t>
  </si>
  <si>
    <t>Taxas 
e Multas</t>
  </si>
  <si>
    <t>Exercício</t>
  </si>
  <si>
    <t xml:space="preserve">Exerc. Anteriores </t>
  </si>
  <si>
    <t>TIPO</t>
  </si>
  <si>
    <t>FONTE</t>
  </si>
  <si>
    <t xml:space="preserve">RECEITA </t>
  </si>
  <si>
    <t>Rótulos de Linha</t>
  </si>
  <si>
    <t>Total Geral</t>
  </si>
  <si>
    <t>1 - Projeto</t>
  </si>
  <si>
    <t>2 - Execução</t>
  </si>
  <si>
    <t>3 - Gestão</t>
  </si>
  <si>
    <t>6 - Ensino e Pesquisa</t>
  </si>
  <si>
    <t>Previsto - RRT</t>
  </si>
  <si>
    <t>Soma de Previsto - RRT</t>
  </si>
  <si>
    <t>ADIMPLÊNCIA</t>
  </si>
  <si>
    <t>Comparativo de Receitas - YoY</t>
  </si>
  <si>
    <t>B/A</t>
  </si>
  <si>
    <t>C/A</t>
  </si>
  <si>
    <t>% acumulado até o mês atual</t>
  </si>
  <si>
    <t>Comparativo YOY</t>
  </si>
  <si>
    <t>Variação YOY</t>
  </si>
  <si>
    <t>PREVISTO (A)
para o período acumulado</t>
  </si>
  <si>
    <t>EXECUTADO (B)
no período acumulado</t>
  </si>
  <si>
    <t>POTENCIAL (C )
para o período acumulado</t>
  </si>
  <si>
    <t>2019 - Anuidade PF - Exercício (100%)</t>
  </si>
  <si>
    <t>2019 - Anuidade PF - Exercícios Anteriores (100%)</t>
  </si>
  <si>
    <t>2019 - Anuidade PJ - Exercícios  Anteriores (100%)</t>
  </si>
  <si>
    <t>2019 - RRT (100%)</t>
  </si>
  <si>
    <t>2019 - TAXAS E MULTAS (100%)</t>
  </si>
  <si>
    <t>TAXA EXPEDIENTE - REATIVAÇÃO DE REGISTRO</t>
  </si>
  <si>
    <t>DEZEMBRO</t>
  </si>
  <si>
    <t>NOVEMBRO</t>
  </si>
  <si>
    <t>OUTUBRO</t>
  </si>
  <si>
    <t>SETEMBRO</t>
  </si>
  <si>
    <t>AGOSTO</t>
  </si>
  <si>
    <t>JULHO</t>
  </si>
  <si>
    <t>JUNHO</t>
  </si>
  <si>
    <t>MAIO</t>
  </si>
  <si>
    <t>ABRIL</t>
  </si>
  <si>
    <t>FEVEREIRO</t>
  </si>
  <si>
    <t>JANEIRO</t>
  </si>
  <si>
    <t>PF Ant</t>
  </si>
  <si>
    <t>PJ Ant</t>
  </si>
  <si>
    <t>2019 - Anuidade PJ - Exercício  (100%)</t>
  </si>
  <si>
    <t>Média 2019</t>
  </si>
  <si>
    <t>Média - Período de 2017 a 2019 - PF</t>
  </si>
  <si>
    <t>Média - Período de 2017 a 2019 - PF - Exercícios Anteriores</t>
  </si>
  <si>
    <t>Média - Período de 2017 a 2019 - PJ</t>
  </si>
  <si>
    <t>Média - Período de 2017 a 2019 - PJ - Exercícios Anteriores</t>
  </si>
  <si>
    <t>Média - Período de 2017 a 2019 - RRT</t>
  </si>
  <si>
    <t>Média - Período de 2017 a 2019 - Taxas e Multas</t>
  </si>
  <si>
    <t>Estado</t>
  </si>
  <si>
    <t>ESPÍRITO SANTO</t>
  </si>
  <si>
    <t>BRASIL</t>
  </si>
  <si>
    <t>TOTAL 100 % PJ</t>
  </si>
  <si>
    <t>EXECUÇÃO % (C = B/A)</t>
  </si>
  <si>
    <t>A RECEBER (D = A - B)</t>
  </si>
  <si>
    <t>TOTAL - Exercício e Exercícios Anteriores (100%)</t>
  </si>
  <si>
    <t>% de Exec. PF</t>
  </si>
  <si>
    <t>CAU/UFs</t>
  </si>
  <si>
    <t>% de Exec. PF - Ex. Ant.</t>
  </si>
  <si>
    <t>% de Exec. PJ</t>
  </si>
  <si>
    <t>% de Exec. PJ - Exerc. Ant.</t>
  </si>
  <si>
    <t>% de Exec. RRT</t>
  </si>
  <si>
    <t>% de Exec. Taxas</t>
  </si>
  <si>
    <t>Ajustar o Gráfico do realizado e Potencial mensalmente</t>
  </si>
  <si>
    <t>Somente pagamentos quitados no à vista (1/1)</t>
  </si>
  <si>
    <t>YOY</t>
  </si>
  <si>
    <t>exc. Anter</t>
  </si>
  <si>
    <t xml:space="preserve">exer. </t>
  </si>
  <si>
    <t>Exerc. Anteriores</t>
  </si>
  <si>
    <t xml:space="preserve">MARÇO </t>
  </si>
  <si>
    <t>Parcelados</t>
  </si>
  <si>
    <t>À vista</t>
  </si>
  <si>
    <t>Potencial Pagantes</t>
  </si>
  <si>
    <t>Isentos</t>
  </si>
  <si>
    <t>Quantidade Ativos</t>
  </si>
  <si>
    <t>Valor
Exercícios Anteriores</t>
  </si>
  <si>
    <t>Valor
Exercício</t>
  </si>
  <si>
    <t>Total de Pagantes</t>
  </si>
  <si>
    <t>Quantidade Potencial Pagantes</t>
  </si>
  <si>
    <t>Participação %</t>
  </si>
  <si>
    <t>Realização %</t>
  </si>
  <si>
    <t>VALOR ACUMULADO</t>
  </si>
  <si>
    <t>VALOR TOTAL REALIZADO</t>
  </si>
  <si>
    <t>Adimplência %</t>
  </si>
  <si>
    <t>YoY</t>
  </si>
  <si>
    <t>Ant</t>
  </si>
  <si>
    <t>Exc</t>
  </si>
  <si>
    <t>Quantidade Pagantes</t>
  </si>
  <si>
    <t xml:space="preserve">VALOR TOTAL REALIZADO </t>
  </si>
  <si>
    <t>Valor</t>
  </si>
  <si>
    <t>Qtde</t>
  </si>
  <si>
    <t>Partic %</t>
  </si>
  <si>
    <t>Realiz %</t>
  </si>
  <si>
    <t>Multas</t>
  </si>
  <si>
    <t>TOTAL GERAL</t>
  </si>
  <si>
    <t>PARTICIPAÇÃO (%)</t>
  </si>
  <si>
    <t>REALIZAÇÃO (%)</t>
  </si>
  <si>
    <t>TOTAL CAU/UF</t>
  </si>
  <si>
    <t>Ufs com arrecadação superior ao ano anterior</t>
  </si>
  <si>
    <t>Δ Adimplência 
(p. percent.)</t>
  </si>
  <si>
    <t>Quantidade 
Ativos</t>
  </si>
  <si>
    <t xml:space="preserve">À vista </t>
  </si>
  <si>
    <t>Potencial 
Pagantes</t>
  </si>
  <si>
    <t>%  Adimplência</t>
  </si>
  <si>
    <t>Total de Ativos
(Potencial Pagantes)</t>
  </si>
  <si>
    <t>Quantidade
Ativos</t>
  </si>
  <si>
    <t xml:space="preserve">UF </t>
  </si>
  <si>
    <t>% de Inad.</t>
  </si>
  <si>
    <t>%Δ Previsto x Executado</t>
  </si>
  <si>
    <t>Arquitetos e Urbanistas</t>
  </si>
  <si>
    <t>Período: Janeiro a Dezembro/14</t>
  </si>
  <si>
    <t>% Adimplência</t>
  </si>
  <si>
    <t xml:space="preserve"> Empresas </t>
  </si>
  <si>
    <t>% EXECUÇÃO</t>
  </si>
  <si>
    <t xml:space="preserve">Total RRT </t>
  </si>
  <si>
    <t>RRT por Profissional</t>
  </si>
  <si>
    <t>Ativos PF</t>
  </si>
  <si>
    <t>Soma (N)</t>
  </si>
  <si>
    <t>Soma (NE)</t>
  </si>
  <si>
    <t>Soma (CO)</t>
  </si>
  <si>
    <t>Soma (SE)</t>
  </si>
  <si>
    <t>Soma (S)</t>
  </si>
  <si>
    <t>Ano anterior
TOTAL acumulado</t>
  </si>
  <si>
    <t>Execução</t>
  </si>
  <si>
    <t>Gestão</t>
  </si>
  <si>
    <t xml:space="preserve"> </t>
  </si>
  <si>
    <t>Valor realizado</t>
  </si>
  <si>
    <t>uf</t>
  </si>
  <si>
    <t>Projeto</t>
  </si>
  <si>
    <t>Atividades Especiais</t>
  </si>
  <si>
    <t>Ensino e Pesquisa</t>
  </si>
  <si>
    <t>(A)
PF Isentos</t>
  </si>
  <si>
    <t>Média</t>
  </si>
  <si>
    <t>(B)
PF Ativos</t>
  </si>
  <si>
    <t>(D)
Variação acumulada</t>
  </si>
  <si>
    <t>(F)
RRT Pagos</t>
  </si>
  <si>
    <t>(G)
PJ Ativos</t>
  </si>
  <si>
    <t>(I)
Variação acumulada</t>
  </si>
  <si>
    <t>(D) Variação Acumulada = (B) - (C)</t>
  </si>
  <si>
    <t>(I) Variação Acumulada = (G) - (H)</t>
  </si>
  <si>
    <t>Jan. a Dez./2019</t>
  </si>
  <si>
    <t xml:space="preserve">Adimplência acima ou igual a média Nacional </t>
  </si>
  <si>
    <t xml:space="preserve">Adimplência abaixo da média Nacional </t>
  </si>
  <si>
    <t>Soma de Previsto PF</t>
  </si>
  <si>
    <t>% de exerc. - PF</t>
  </si>
  <si>
    <t>% de exerc. - PJ</t>
  </si>
  <si>
    <t>% de exerc. - Entrantes</t>
  </si>
  <si>
    <t>YOY
% de exerc.</t>
  </si>
  <si>
    <t>Soma de % de exerc. - PF</t>
  </si>
  <si>
    <t>Soma de % de exerc. - PJ</t>
  </si>
  <si>
    <t>Soma de Ano anterior
TOTAL acumulado</t>
  </si>
  <si>
    <t xml:space="preserve">                  </t>
  </si>
  <si>
    <t>Executado - Jan. a Dez.(B)</t>
  </si>
  <si>
    <t>2020 - Anuidade PF - Exercício (100%)</t>
  </si>
  <si>
    <t>2020 - Anuidade PF - Exercícios Anteriores (100%)</t>
  </si>
  <si>
    <t>2020 - Anuidade PJ - Exercício  (100%)</t>
  </si>
  <si>
    <t>2020 - Anuidade PJ - Exercícios  Anteriores (100%)</t>
  </si>
  <si>
    <t>2020 - RRT (100%)</t>
  </si>
  <si>
    <t>2020- TAXAS E MULTAS (100%)</t>
  </si>
  <si>
    <t>Média 2020</t>
  </si>
  <si>
    <t>Total de Pagantes
2021</t>
  </si>
  <si>
    <t>ARRECADAÇÃO EXECUTADA</t>
  </si>
  <si>
    <t>Jan. a Dez./2020</t>
  </si>
  <si>
    <t>Comparativo % Jan. a Dez.-20 x Jan. a Dez.-19</t>
  </si>
  <si>
    <t>Comparativo % Jan. a Dez.-21 x Jan. a Dez.-20</t>
  </si>
  <si>
    <t>Total de Ativos PF</t>
  </si>
  <si>
    <t>Soma UF</t>
  </si>
  <si>
    <t>Anuidade PF - Exercício</t>
  </si>
  <si>
    <t>Anuidade PJ - Exercício</t>
  </si>
  <si>
    <t>PJ - 2021</t>
  </si>
  <si>
    <t>RRT 2021</t>
  </si>
  <si>
    <t>Média - Período de 2017 a 2020 - PF</t>
  </si>
  <si>
    <t>Média - Período de 2017 a 2020 - PF - Exercícios Anteriores</t>
  </si>
  <si>
    <t>Média - Período de 2017 a 2020 - PJ</t>
  </si>
  <si>
    <t>Média - Período de 2017 a 2020 - PJ - Exercícios Anteriores</t>
  </si>
  <si>
    <t>Média - Período de 2017 a 2020 - RRT</t>
  </si>
  <si>
    <t>Média - Período de 2017 a 2020 - Taxas e Multas</t>
  </si>
  <si>
    <t>Média - Período de 2018 a 2020 - PF</t>
  </si>
  <si>
    <t>Média - Período de 2018 a 2020 - PF - Exercícios Anteriores</t>
  </si>
  <si>
    <t>Média - Período de 2018 a 2020 - PJ</t>
  </si>
  <si>
    <t>Média - Período de 2018 a 2020 - PJ - Exercícios Anteriores</t>
  </si>
  <si>
    <t>Média - Período de 2018 a 2020 - Taxas e Multas</t>
  </si>
  <si>
    <t xml:space="preserve">Quantidade Ativos </t>
  </si>
  <si>
    <t>AU Isentos</t>
  </si>
  <si>
    <t>Arrecadação de Exercícios Anteriores</t>
  </si>
  <si>
    <t>IGEO - Repositório</t>
  </si>
  <si>
    <t>Jan. a Dez./2021</t>
  </si>
  <si>
    <t>Tipo de Receita / Total de receita
(PREVISTO)</t>
  </si>
  <si>
    <t>Tipo de Receita</t>
  </si>
  <si>
    <t>RASCUNHO</t>
  </si>
  <si>
    <t xml:space="preserve"> Anuidade PF - Exerc.</t>
  </si>
  <si>
    <t xml:space="preserve"> PF Ativos</t>
  </si>
  <si>
    <t>Receita
PF
2021</t>
  </si>
  <si>
    <t>Var
PF
YOY</t>
  </si>
  <si>
    <t>Receita
PF
2020</t>
  </si>
  <si>
    <t>Receita
PJ
2021</t>
  </si>
  <si>
    <t>Receita
PJ
2020</t>
  </si>
  <si>
    <t>Var
PJ
YOY</t>
  </si>
  <si>
    <t>Receita
RRT
2021</t>
  </si>
  <si>
    <t>Receita
RRT
2020</t>
  </si>
  <si>
    <t>Var
Taxas
YOY</t>
  </si>
  <si>
    <t>Var
RRT
YOY</t>
  </si>
  <si>
    <t>Receita
Taxas
2021</t>
  </si>
  <si>
    <t>Receita
Taxas
2020</t>
  </si>
  <si>
    <t>Anuidade PF - Exerc.
Previsto</t>
  </si>
  <si>
    <t>Anuidade PF - Exerc.
Exec. %</t>
  </si>
  <si>
    <t>Anuidade PF - Exerc.
Exec.</t>
  </si>
  <si>
    <t>Anuidade PF - Ex. Ant.
Exec.</t>
  </si>
  <si>
    <t>Anuidade PF - Ex. Ant.
Previsto</t>
  </si>
  <si>
    <t>Anuidade PF - Ex. Ant.
Exec. %</t>
  </si>
  <si>
    <t>Anuidade PJ - Exerc.
Previsto</t>
  </si>
  <si>
    <t>Anuidade PJ - Exerc.
Exec. %</t>
  </si>
  <si>
    <t>Anuidade PJ - Ex. Ant.
Previsto</t>
  </si>
  <si>
    <t>Anuidade PJ - Ex. Ant.
Exec. %</t>
  </si>
  <si>
    <t>RRT
Previsto</t>
  </si>
  <si>
    <t>RRT
Exec. %</t>
  </si>
  <si>
    <t>Taxas
Previsto</t>
  </si>
  <si>
    <t>Taxas
Exec. %</t>
  </si>
  <si>
    <t>Anuidade PJ - Exerc.
Exec.</t>
  </si>
  <si>
    <t>Anuidade PJ - Ex. Ant.
Exec.</t>
  </si>
  <si>
    <t>RRT
Exec.</t>
  </si>
  <si>
    <t>Taxas
Exec.</t>
  </si>
  <si>
    <t>PF Ativos
Exec.</t>
  </si>
  <si>
    <t>Var
PF - Ativos
2021 x 2020</t>
  </si>
  <si>
    <t>Soma de Anuidade PF - Exerc.
Exec.</t>
  </si>
  <si>
    <t>Soma de Anuidade PF - Exerc.
Previsto</t>
  </si>
  <si>
    <t>Soma de Anuidade PF - Exerc.
Exec. %</t>
  </si>
  <si>
    <t>Soma de Anuidade PF - Ex. Ant.
Exec.</t>
  </si>
  <si>
    <t>Soma de Anuidade PF - Ex. Ant.
Previsto</t>
  </si>
  <si>
    <t>Soma de Anuidade PF - Ex. Ant.
Exec. %</t>
  </si>
  <si>
    <t>Soma de Anuidade PJ - Exerc.
Exec.</t>
  </si>
  <si>
    <t>Soma de Anuidade PJ - Exerc.
Previsto</t>
  </si>
  <si>
    <t>Soma de Anuidade PJ - Exerc.
Exec. %</t>
  </si>
  <si>
    <t>Soma de Anuidade PJ - Ex. Ant.
Exec.</t>
  </si>
  <si>
    <t>Soma de Anuidade PJ - Ex. Ant.
Previsto</t>
  </si>
  <si>
    <t>Soma de Anuidade PJ - Ex. Ant.
Exec. %</t>
  </si>
  <si>
    <t>Soma de RRT
Exec.</t>
  </si>
  <si>
    <t>Soma de RRT
Previsto</t>
  </si>
  <si>
    <t>Soma de RRT
Exec. %</t>
  </si>
  <si>
    <t>Soma de Taxas
Exec.</t>
  </si>
  <si>
    <t>Soma de Taxas
Previsto</t>
  </si>
  <si>
    <t>Soma de Taxas
Exec. %</t>
  </si>
  <si>
    <t>Soma de PF Ativos
Exec.</t>
  </si>
  <si>
    <t>Soma de Receita
PF
2021</t>
  </si>
  <si>
    <t>Soma de Var
PF
YOY</t>
  </si>
  <si>
    <t>Soma de Receita
PJ
2021</t>
  </si>
  <si>
    <t>Soma de Var
PJ
YOY</t>
  </si>
  <si>
    <t>Soma de Receita
RRT
2021</t>
  </si>
  <si>
    <t>Soma de Var
RRT
YOY</t>
  </si>
  <si>
    <t>Soma de Receita
Taxas
2021</t>
  </si>
  <si>
    <t>Soma de Var
Taxas
YOY</t>
  </si>
  <si>
    <t>Adimp. PF
Previsto</t>
  </si>
  <si>
    <t>Adimp. PF
Exec.</t>
  </si>
  <si>
    <t>Adimp. PJ
Exec.</t>
  </si>
  <si>
    <t>Adimp. PJ
Previsto PJ</t>
  </si>
  <si>
    <t>Soma de Adimp. PF
Exec.</t>
  </si>
  <si>
    <t>Soma de Adimp. PF
Previsto</t>
  </si>
  <si>
    <t>PF
Qnt Pot Pag.
Previsto</t>
  </si>
  <si>
    <t>PF
Qnt Pot Pag.
Exec.</t>
  </si>
  <si>
    <t>PF Qnt Pag.
Exec.</t>
  </si>
  <si>
    <t>PF Qnt Pag.
Previsto</t>
  </si>
  <si>
    <t>PJ Pagantes
Exec.</t>
  </si>
  <si>
    <t>PJ Pagante
Previsto</t>
  </si>
  <si>
    <t>Soma de PF
Qnt Pot Pag.
Exec.</t>
  </si>
  <si>
    <t>Soma de PF Qnt Pag.
Exec.</t>
  </si>
  <si>
    <t>Soma de PF
Qnt Pot Pag.
Previsto</t>
  </si>
  <si>
    <t>Soma de PF Qnt Pag.
Previsto</t>
  </si>
  <si>
    <t>Soma de PJ Pagantes
Exec.</t>
  </si>
  <si>
    <t>Soma de Adimp. PJ
Exec.</t>
  </si>
  <si>
    <t>Soma de PJ Pagante
Previsto</t>
  </si>
  <si>
    <t>Soma de Adimp. PJ
Previsto PJ</t>
  </si>
  <si>
    <t>% de exec.
x Previsto</t>
  </si>
  <si>
    <t>Soma de % de exec.
x Previsto</t>
  </si>
  <si>
    <t>% de exec.
X Previsto</t>
  </si>
  <si>
    <t>PF + PJ</t>
  </si>
  <si>
    <t>Receita Total UF - exec.</t>
  </si>
  <si>
    <t>Receita Total UF - previsto</t>
  </si>
  <si>
    <t>% de Exec. Receita Total UF</t>
  </si>
  <si>
    <t>Receita Total BR - exec.</t>
  </si>
  <si>
    <t>Receita Total BR - previsto</t>
  </si>
  <si>
    <t>% de Exec. Receita Total BR</t>
  </si>
  <si>
    <t>PJ
Exerc.</t>
  </si>
  <si>
    <t>PF
Exercício</t>
  </si>
  <si>
    <t>PF
Exerc. Anter.</t>
  </si>
  <si>
    <t>PJ
Exerc. Anter.</t>
  </si>
  <si>
    <t>YOY
% de exec.</t>
  </si>
  <si>
    <t>Soma de YOY
% de exec.</t>
  </si>
  <si>
    <t xml:space="preserve"> PF + PJ</t>
  </si>
  <si>
    <t>Rótulos de Coluna</t>
  </si>
  <si>
    <t>Valores</t>
  </si>
  <si>
    <t>%  
Adimplência</t>
  </si>
  <si>
    <t xml:space="preserve">     </t>
  </si>
  <si>
    <t>Receita
PF - Ex Ant
2021</t>
  </si>
  <si>
    <t>Var
PJ Ex Ant
YOY</t>
  </si>
  <si>
    <t>Var
PF Ex Ant
YOY</t>
  </si>
  <si>
    <t>Receita
PJ - Ex Ant
2021</t>
  </si>
  <si>
    <t>Soma de Receita
PF - Ex Ant
2021</t>
  </si>
  <si>
    <t>Soma de Var
PF Ex Ant
YOY</t>
  </si>
  <si>
    <t>Soma de Receita
PJ - Ex Ant
2021</t>
  </si>
  <si>
    <t>Soma de Var
PJ Ex Ant
YOY</t>
  </si>
  <si>
    <t>Acompanhamento da Receita de Arrecadação de Anuidade de Pessoa Física</t>
  </si>
  <si>
    <t>Acompanhamento da Receita de Arrecadação de Anuidade de Pessoa Jurídica</t>
  </si>
  <si>
    <t>(E)
Egressos</t>
  </si>
  <si>
    <t>EGRESSOS</t>
  </si>
  <si>
    <t>Egressos</t>
  </si>
  <si>
    <t>Previsto - Egressos</t>
  </si>
  <si>
    <t>% de exec. - Egressos</t>
  </si>
  <si>
    <t>RRT  e anuidades de exercícios anteriores não tem inadimplência</t>
  </si>
  <si>
    <t>Soma de Egressos</t>
  </si>
  <si>
    <t>Soma de Previsto - Egressos</t>
  </si>
  <si>
    <t>Soma de % de exec. - Egressos</t>
  </si>
  <si>
    <t>(C)
Dez. 2021</t>
  </si>
  <si>
    <t>(H)
Dez. 2021</t>
  </si>
  <si>
    <t>Comparativo % Jan. a Dez.-22 x Jan. a Dez.-21</t>
  </si>
  <si>
    <t>2021 - Anuidade PF - Exercício (100%)</t>
  </si>
  <si>
    <t>2021 - Anuidade PF - Exercícios Anteriores (100%)</t>
  </si>
  <si>
    <t>2021 - Anuidade PJ - Exercício  (100%)</t>
  </si>
  <si>
    <t>2021 - Anuidade PJ - Exercícios  Anteriores (100%)</t>
  </si>
  <si>
    <t>2021 - RRT (100%)</t>
  </si>
  <si>
    <t>2021- TAXAS E MULTAS (100%)</t>
  </si>
  <si>
    <t>PREVISTO para 2022(A)</t>
  </si>
  <si>
    <t>*Documento da Programação 2022 (valores 80%)</t>
  </si>
  <si>
    <t>Total de Pagantes
2022</t>
  </si>
  <si>
    <t>ARRECADAÇÃO PREVISTA 2022</t>
  </si>
  <si>
    <t>RRT por Profissional abaixo do valor previsto para 2022.</t>
  </si>
  <si>
    <t>RRT por Profissional acima ou igual do valor previsto para 2022.</t>
  </si>
  <si>
    <t>Média 2021</t>
  </si>
  <si>
    <t>Média - Período de 2019 à 2021 - RRT</t>
  </si>
  <si>
    <t>Média - Período de 2019 à 2021 - Taxas e Multas</t>
  </si>
  <si>
    <t>Média - Período de 2019 à 2021 - PJ - Exercícios Anteriores</t>
  </si>
  <si>
    <t>Média - Período de 2019 à 2021 - PJ</t>
  </si>
  <si>
    <t>Média - Período de 2019 a 2021 - PF - Exercícios Anteriores</t>
  </si>
  <si>
    <t>Média - Período de 2019 à 2021 - PF</t>
  </si>
  <si>
    <t>(C) Dez. 2021 - Posição final do quantitativo de PF Ativos em 31/12/2021, informações do Cenário de Arrecadação de Dezembro de 2021, disponível no Portal da Transparência do CAU/BR.</t>
  </si>
  <si>
    <t>(H) Dez. 2021 - Posição final do quantitativo de PJ Ativos em 31/12/2021, informações do Cenário de Arrecadação de Dezembro de 2021, disponível no Portal da Transparência do CAU/BR.</t>
  </si>
  <si>
    <t>Jan. a Dez./2022</t>
  </si>
  <si>
    <t>Média 19 a 21</t>
  </si>
  <si>
    <t>periodo</t>
  </si>
  <si>
    <t>qtde_total</t>
  </si>
  <si>
    <t>Meio Ambiente e Planejamento Regional e Urbano</t>
  </si>
  <si>
    <t>Atividades Especiais em Arquitetura e Urbanismo</t>
  </si>
  <si>
    <t>Engenharia de Segurança do Trabalho</t>
  </si>
  <si>
    <t>Resolução 21</t>
  </si>
  <si>
    <t>Engenharia de Seg. Trab.</t>
  </si>
  <si>
    <t>Meio Ambiente e Plan. Reg. Urb.</t>
  </si>
  <si>
    <t>5 - Ativ. Especiais</t>
  </si>
  <si>
    <t>7 - Eng. Seg. Trab.</t>
  </si>
  <si>
    <t>Var
PF - Ativos
2022 x 2021</t>
  </si>
  <si>
    <t>Var
PJ - Ativos
2022 x 2021</t>
  </si>
  <si>
    <t>RRT
Executado</t>
  </si>
  <si>
    <t>Receita
PF
2022</t>
  </si>
  <si>
    <t>Receita
PF - Ex Ant
2022</t>
  </si>
  <si>
    <t>Receita
PJ
2022</t>
  </si>
  <si>
    <t>Receita
PJ - Ex Ant
2022</t>
  </si>
  <si>
    <t>Receita
RRT
2022</t>
  </si>
  <si>
    <t>Receita
Taxas
2022</t>
  </si>
  <si>
    <t>Soma de Var
PF - Ativos
2022 x 2021</t>
  </si>
  <si>
    <t>Soma de Var
PJ - Ativos
2022 x 2021</t>
  </si>
  <si>
    <t>Soma de RRT
Executado</t>
  </si>
  <si>
    <t>Soma de Receita
PF
2022</t>
  </si>
  <si>
    <t>Soma de Receita
PF - Ex Ant
2022</t>
  </si>
  <si>
    <t>Soma de Receita
PJ
2022</t>
  </si>
  <si>
    <t>Soma de Receita
PJ - Ex Ant
2022</t>
  </si>
  <si>
    <t>Soma de Receita
RRT
2022</t>
  </si>
  <si>
    <t>Soma de Receita
Taxas
2022</t>
  </si>
  <si>
    <t>Soma de PF + PJ</t>
  </si>
  <si>
    <t>QUANTIDADE  TOTAL REALIZADO</t>
  </si>
  <si>
    <t>ARRECADAÇÃO TOTAL -  JANEIRO A DEZEMBRO 2022</t>
  </si>
  <si>
    <t>CONTROLE  DE RECEITA TOTAL 2022 - UF</t>
  </si>
  <si>
    <t>CONTROLE  DE RECEITA TOTAL 2022 - BR</t>
  </si>
  <si>
    <t xml:space="preserve">Marcos, precisamos alinhar como iremos proceder com os valores que estão divergentes </t>
  </si>
  <si>
    <t>4 - Meio Amb.</t>
  </si>
  <si>
    <t>SIGLA</t>
  </si>
  <si>
    <t>ESTADO</t>
  </si>
  <si>
    <t>SIGLA_1</t>
  </si>
  <si>
    <t>REGIAO</t>
  </si>
  <si>
    <t>BANDEIRA</t>
  </si>
  <si>
    <t>Acre</t>
  </si>
  <si>
    <t>https://upload.wikimedia.org/wikipedia/commons/thumb/4/4c/Bandeira_do_Acre.svg/500px-Bandeira_do_Acre.svg.png</t>
  </si>
  <si>
    <t>Alagoas</t>
  </si>
  <si>
    <t>https://upload.wikimedia.org/wikipedia/commons/thumb/8/88/Bandeira_de_Alagoas.svg/120px-Bandeira_de_Alagoas.svg.png</t>
  </si>
  <si>
    <t>Amapa</t>
  </si>
  <si>
    <t>https://upload.wikimedia.org/wikipedia/commons/thumb/0/0c/Bandeira_do_Amap%C3%A1.svg/120px-Bandeira_do_Amap%C3%A1.svg.png</t>
  </si>
  <si>
    <t>Amazonas</t>
  </si>
  <si>
    <t>https://upload.wikimedia.org/wikipedia/commons/thumb/6/6b/Bandeira_do_Amazonas.svg/120px-Bandeira_do_Amazonas.svg.png</t>
  </si>
  <si>
    <t>Bahia</t>
  </si>
  <si>
    <t>https://upload.wikimedia.org/wikipedia/commons/thumb/2/28/Bandeira_da_Bahia.svg/120px-Bandeira_da_Bahia.svg.png</t>
  </si>
  <si>
    <t>Ceara</t>
  </si>
  <si>
    <t>https://upload.wikimedia.org/wikipedia/commons/thumb/2/2e/Bandeira_do_Cear%C3%A1.svg/120px-Bandeira_do_Cear%C3%A1.svg.png</t>
  </si>
  <si>
    <t>Distrito Federal</t>
  </si>
  <si>
    <t>Centro-Oeste</t>
  </si>
  <si>
    <t>https://upload.wikimedia.org/wikipedia/commons/thumb/3/3c/Bandeira_do_Distrito_Federal_%28Brasil%29.svg/120px-Bandeira_do_Distrito_Federal_%28Brasil%29.svg.png</t>
  </si>
  <si>
    <t>Espirito Santo</t>
  </si>
  <si>
    <t>https://upload.wikimedia.org/wikipedia/commons/thumb/4/43/Bandeira_do_Esp%C3%ADrito_Santo.svg/120px-Bandeira_do_Esp%C3%ADrito_Santo.svg.png</t>
  </si>
  <si>
    <t>Goias</t>
  </si>
  <si>
    <t>https://upload.wikimedia.org/wikipedia/commons/thumb/0/0b/Bandeira_de_Mato_Grosso.svg/120px-Bandeira_de_Mato_Grosso.svg.png</t>
  </si>
  <si>
    <t>Maranhao</t>
  </si>
  <si>
    <t>https://upload.wikimedia.org/wikipedia/commons/thumb/4/45/Bandeira_do_Maranh%C3%A3o.svg/120px-Bandeira_do_Maranh%C3%A3o.svg.png</t>
  </si>
  <si>
    <t>Mato Grosso</t>
  </si>
  <si>
    <t>Mato Grosso do Sul</t>
  </si>
  <si>
    <t>https://upload.wikimedia.org/wikipedia/commons/thumb/6/64/Bandeira_de_Mato_Grosso_do_Sul.svg/120px-Bandeira_de_Mato_Grosso_do_Sul.svg.png</t>
  </si>
  <si>
    <t>Minas Gerais</t>
  </si>
  <si>
    <t>https://upload.wikimedia.org/wikipedia/commons/thumb/f/f4/Bandeira_de_Minas_Gerais.svg/120px-Bandeira_de_Minas_Gerais.svg.png</t>
  </si>
  <si>
    <t>Para</t>
  </si>
  <si>
    <t>https://upload.wikimedia.org/wikipedia/commons/thumb/0/02/Bandeira_do_Par%C3%A1.svg/120px-Bandeira_do_Par%C3%A1.svg.png</t>
  </si>
  <si>
    <t>Paraiba</t>
  </si>
  <si>
    <t>https://upload.wikimedia.org/wikipedia/commons/thumb/b/bb/Bandeira_da_Para%C3%ADba.svg/120px-Bandeira_da_Para%C3%ADba.svg.png</t>
  </si>
  <si>
    <t>Parana</t>
  </si>
  <si>
    <t>https://upload.wikimedia.org/wikipedia/commons/thumb/9/93/Bandeira_do_Paran%C3%A1.svg/120px-Bandeira_do_Paran%C3%A1.svg.png</t>
  </si>
  <si>
    <t>Pernambuco</t>
  </si>
  <si>
    <t>Piaui</t>
  </si>
  <si>
    <t>https://upload.wikimedia.org/wikipedia/commons/thumb/3/33/Bandeira_do_Piau%C3%AD.svg/120px-Bandeira_do_Piau%C3%AD.svg.png</t>
  </si>
  <si>
    <t>Rio de Janeiro</t>
  </si>
  <si>
    <t>https://upload.wikimedia.org/wikipedia/commons/thumb/7/73/Bandeira_do_estado_do_Rio_de_Janeiro.svg/120px-Bandeira_do_estado_do_Rio_de_Janeiro.svg.png</t>
  </si>
  <si>
    <t>Rio Grande do Norte</t>
  </si>
  <si>
    <t>https://upload.wikimedia.org/wikipedia/commons/thumb/3/30/Bandeira_do_Rio_Grande_do_Norte.svg/120px-Bandeira_do_Rio_Grande_do_Norte.svg.png</t>
  </si>
  <si>
    <t>Rio Grande do Sul</t>
  </si>
  <si>
    <t>https://upload.wikimedia.org/wikipedia/commons/thumb/6/63/Bandeira_do_Rio_Grande_do_Sul.svg/120px-Bandeira_do_Rio_Grande_do_Sul.svg.png</t>
  </si>
  <si>
    <t>Rondonia</t>
  </si>
  <si>
    <t>https://upload.wikimedia.org/wikipedia/commons/thumb/f/fa/Bandeira_de_Rond%C3%B4nia.svg/120px-Bandeira_de_Rond%C3%B4nia.svg.png</t>
  </si>
  <si>
    <t>Roraima</t>
  </si>
  <si>
    <t>https://upload.wikimedia.org/wikipedia/commons/thumb/9/98/Bandeira_de_Roraima.svg/120px-Bandeira_de_Roraima.svg.png</t>
  </si>
  <si>
    <t>Santa Catarina</t>
  </si>
  <si>
    <t>https://upload.wikimedia.org/wikipedia/commons/thumb/1/1a/Bandeira_de_Santa_Catarina.svg/120px-Bandeira_de_Santa_Catarina.svg.png</t>
  </si>
  <si>
    <t>Sao Paulo</t>
  </si>
  <si>
    <t>https://upload.wikimedia.org/wikipedia/commons/thumb/2/2b/Bandeira_do_estado_de_S%C3%A3o_Paulo.svg/120px-Bandeira_do_estado_de_S%C3%A3o_Paulo.svg.png</t>
  </si>
  <si>
    <t>Sergipe</t>
  </si>
  <si>
    <t>https://upload.wikimedia.org/wikipedia/commons/thumb/b/be/Bandeira_de_Sergipe.svg/120px-Bandeira_de_Sergipe.svg.png</t>
  </si>
  <si>
    <t>Tocantins</t>
  </si>
  <si>
    <t>https://upload.wikimedia.org/wikipedia/commons/thumb/f/ff/Bandeira_do_Tocantins.svg/120px-Bandeira_do_Tocantins.svg.png</t>
  </si>
  <si>
    <t>Nome da Receita</t>
  </si>
  <si>
    <t>Anuidade de PF do Exercício</t>
  </si>
  <si>
    <t>$ PF Ex.</t>
  </si>
  <si>
    <t>Anuidade de PF de Exercícios Anteriores</t>
  </si>
  <si>
    <t>$ PF Ex. Ant.</t>
  </si>
  <si>
    <t>Anuidade de PJ do Exercício</t>
  </si>
  <si>
    <t>$ PJ Ex.</t>
  </si>
  <si>
    <t>Anuidade de PJ de Exercícios Anteriores</t>
  </si>
  <si>
    <t>$ PJ. Ex. Ant</t>
  </si>
  <si>
    <t>$ RRT</t>
  </si>
  <si>
    <t>$ Taxas</t>
  </si>
  <si>
    <t>Data</t>
  </si>
  <si>
    <t>PF Ativos</t>
  </si>
  <si>
    <t>PF Isentos</t>
  </si>
  <si>
    <t>PF Masc</t>
  </si>
  <si>
    <t>PF Fem</t>
  </si>
  <si>
    <t>PF Egressos</t>
  </si>
  <si>
    <t>PF Pagantes</t>
  </si>
  <si>
    <t>PF Pag à vista</t>
  </si>
  <si>
    <t>PJ Pagantes</t>
  </si>
  <si>
    <t>PJ Pag à vista</t>
  </si>
  <si>
    <t>$ PF</t>
  </si>
  <si>
    <t>$ PF ant</t>
  </si>
  <si>
    <t>$ PJ</t>
  </si>
  <si>
    <t>$ PJ ant</t>
  </si>
  <si>
    <t>2020</t>
  </si>
  <si>
    <t>2021</t>
  </si>
  <si>
    <t>2022</t>
  </si>
  <si>
    <t>Inadimplência PF Média</t>
  </si>
  <si>
    <t>Inadimplência PJ Média</t>
  </si>
  <si>
    <t>Inadimplência PF</t>
  </si>
  <si>
    <t>Inadimplência PJ</t>
  </si>
  <si>
    <t>RRT Pagos</t>
  </si>
  <si>
    <t>Soma de RRT Pagos</t>
  </si>
  <si>
    <t>(Tudo)</t>
  </si>
  <si>
    <t>Soma de qtde_total</t>
  </si>
  <si>
    <t>(A) PF Isentos - Informações vindas do relatório BR_profissionais_planejamento do repositório do IGEO (filtro de isento = SIM; e ativo = SIM), e data_fim_registro_ultimo = vazia e a partir de 01/10/2022), do mês 09_2022.</t>
  </si>
  <si>
    <t>(B) PF Ativos - Informações vindas do relatório BR_profissionais_planejamento do repositório do IGEO (filtro de: ativo = SIM; e data_fim_registro_ultimo = vazia e a partir de 01/10/2022), do mês 09_2022.</t>
  </si>
  <si>
    <t>(E) Egressos - Informações vindas do relatório BR_profissionais_planejamento do repositório do IGEO (filtro de: ativo = SIM; data_fim_registro_ultimo = tudo; Data Início do Registro Atual = 2022; data_fim_registro_ultimo = vazia e a partir de 01/10/2022; e Data de Formação = 2022, do mês 09_2022.</t>
  </si>
  <si>
    <t>(F) RRT Pagos - Informações vindas do  BR_Qtde_RRTs_PAGOS_por_UF_GrupoAtiv do repositório do IGEO (sem necessidade de filtros), do mês 09_2022, de forma acumulada na aba RRT.</t>
  </si>
  <si>
    <t>(G) PJ Ativos - Informações vindas do relatório BR_empresas_planejamento do repositório do IGEO (filtro de: ativa = SIM), do mês 09_2022.</t>
  </si>
  <si>
    <r>
      <t xml:space="preserve"> OBS: Informações retiradas 
da Tabelas Diretrizes de </t>
    </r>
    <r>
      <rPr>
        <b/>
        <sz val="11"/>
        <color theme="1"/>
        <rFont val="Calibri"/>
        <family val="2"/>
        <scheme val="minor"/>
      </rPr>
      <t>Reprogramação 2022 - sem inadimplência</t>
    </r>
    <r>
      <rPr>
        <sz val="11"/>
        <color theme="1"/>
        <rFont val="Calibri"/>
        <family val="2"/>
        <scheme val="minor"/>
      </rPr>
      <t xml:space="preserve">
(todos os potenciais pagantes (PF) e pagantes (PJ) pagando a anuidade, impactando em anuidades do exercício PF, PJ e Taxas e Multas)
</t>
    </r>
    <r>
      <rPr>
        <b/>
        <sz val="11"/>
        <color theme="1"/>
        <rFont val="Calibri"/>
        <family val="2"/>
        <scheme val="minor"/>
      </rPr>
      <t xml:space="preserve">As receitas de exercícios anteriores e RRT estão vinculadas com as abas Anuid PF; Anuid PJ e RRT
</t>
    </r>
    <r>
      <rPr>
        <sz val="11"/>
        <color theme="1"/>
        <rFont val="Calibri"/>
        <family val="2"/>
        <scheme val="minor"/>
      </rPr>
      <t xml:space="preserve">
Gerando assim as receitas de arrecadação potenciais</t>
    </r>
  </si>
  <si>
    <r>
      <t xml:space="preserve">Esta tabela é vinculada com as abas
</t>
    </r>
    <r>
      <rPr>
        <b/>
        <i/>
        <sz val="11"/>
        <color theme="1"/>
        <rFont val="Calibri"/>
        <family val="2"/>
        <scheme val="minor"/>
      </rPr>
      <t xml:space="preserve">Anuid PF
Anuid PJ
RRT
Taxas e Multas.
</t>
    </r>
    <r>
      <rPr>
        <b/>
        <sz val="11"/>
        <color theme="1"/>
        <rFont val="Calibri"/>
        <family val="2"/>
        <scheme val="minor"/>
      </rPr>
      <t xml:space="preserve">
Atualizar os valores nas guias acima de acordo com os planos de ação (resumo no Documento)  mais atuais de cada UF e BR (valores de 80% para os UF)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</si>
</sst>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6" formatCode="&quot;R$&quot;\ #,##0;[Red]\-&quot;R$&quot;\ #,##0"/>
    <numFmt numFmtId="8" formatCode="&quot;R$&quot;\ #,##0.00;[Red]\-&quot;R$&quot;\ #,##0.00"/>
    <numFmt numFmtId="42" formatCode="_-&quot;R$&quot;\ * #,##0_-;\-&quot;R$&quot;\ * #,##0_-;_-&quot;R$&quot;\ 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_);_(* \(#,##0\);_(* &quot;-&quot;_);_(@_)"/>
    <numFmt numFmtId="166" formatCode="_(* #,##0.00_);_(* \(#,##0.00\);_(* &quot;-&quot;??_);_(@_)"/>
    <numFmt numFmtId="167" formatCode="_-* #,##0_-;\-* #,##0_-;_-* &quot;-&quot;??_-;_-@_-"/>
    <numFmt numFmtId="168" formatCode="0.0%"/>
    <numFmt numFmtId="169" formatCode="_-* #,##0.0_-;\-* #,##0.0_-;_-* &quot;-&quot;??_-;_-@_-"/>
    <numFmt numFmtId="170" formatCode="_-&quot;R$&quot;\ * #,##0_-;\-&quot;R$&quot;\ * #,##0_-;_-&quot;R$&quot;\ * &quot;-&quot;??_-;_-@_-"/>
    <numFmt numFmtId="171" formatCode="_-[$R$-416]\ * #,##0_-;\-[$R$-416]\ * #,##0_-;_-[$R$-416]\ * &quot;-&quot;??_-;_-@_-"/>
    <numFmt numFmtId="172" formatCode="&quot;R$&quot;\ #,##0"/>
    <numFmt numFmtId="173" formatCode="0.0"/>
    <numFmt numFmtId="174" formatCode="#,##0.0"/>
    <numFmt numFmtId="175" formatCode="_-* #,##0.0_-;\-* #,##0.0_-;_-* &quot;-&quot;?_-;_-@_-"/>
    <numFmt numFmtId="176" formatCode="[$-416]mmm\-yy;@"/>
    <numFmt numFmtId="177" formatCode="_(* #,##0_);_(* \(#,##0\);_(* &quot;-&quot;??_);_(@_)"/>
    <numFmt numFmtId="178" formatCode="_-* #,##0.000000000000_-;\-* #,##0.000000000000_-;_-* &quot;-&quot;??_-;_-@_-"/>
    <numFmt numFmtId="179" formatCode="_-* #,##0.0000_-;\-* #,##0.0000_-;_-* &quot;-&quot;??_-;_-@_-"/>
  </numFmts>
  <fonts count="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sz val="3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sz val="8"/>
      <color theme="1"/>
      <name val="Calibri"/>
      <family val="2"/>
    </font>
    <font>
      <b/>
      <sz val="11"/>
      <color theme="0"/>
      <name val="Dax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Arial"/>
      <family val="2"/>
    </font>
    <font>
      <sz val="12"/>
      <color theme="0"/>
      <name val="Arial"/>
      <family val="2"/>
    </font>
    <font>
      <sz val="16"/>
      <color theme="1"/>
      <name val="Arial"/>
      <family val="2"/>
    </font>
    <font>
      <sz val="8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4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2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9"/>
      <color theme="0" tint="-0.499984740745262"/>
      <name val="Cambria"/>
      <family val="1"/>
      <scheme val="major"/>
    </font>
    <font>
      <sz val="10"/>
      <name val="Arial"/>
      <family val="2"/>
    </font>
    <font>
      <sz val="11"/>
      <color rgb="FF000000"/>
      <name val="Calibri"/>
      <family val="2"/>
      <charset val="1"/>
    </font>
    <font>
      <sz val="11"/>
      <color rgb="FFFFFFFF"/>
      <name val="Calibri"/>
      <family val="2"/>
      <scheme val="minor"/>
    </font>
    <font>
      <b/>
      <sz val="16"/>
      <color rgb="FFFFFFFF"/>
      <name val="Calibri"/>
      <family val="2"/>
      <scheme val="minor"/>
    </font>
    <font>
      <sz val="8"/>
      <color rgb="FFFFFFFF"/>
      <name val="Calibri"/>
      <family val="2"/>
      <scheme val="minor"/>
    </font>
    <font>
      <sz val="9"/>
      <color rgb="FFFFFFFF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16"/>
      <color theme="1"/>
      <name val="Calibri"/>
      <family val="2"/>
    </font>
    <font>
      <b/>
      <sz val="16"/>
      <color rgb="FF00000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2"/>
      <color rgb="FF000000"/>
      <name val="Calibri"/>
      <family val="2"/>
    </font>
    <font>
      <u/>
      <sz val="12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7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871"/>
        <bgColor indexed="64"/>
      </patternFill>
    </fill>
    <fill>
      <patternFill patternType="solid">
        <fgColor rgb="FFFFFADE"/>
        <bgColor indexed="64"/>
      </patternFill>
    </fill>
    <fill>
      <patternFill patternType="solid">
        <fgColor rgb="FF2A5664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21586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15967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D0DDE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EDE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DE5C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749992370372631"/>
        <bgColor indexed="64"/>
      </patternFill>
    </fill>
    <fill>
      <patternFill patternType="solid">
        <fgColor theme="4" tint="0.59999389629810485"/>
        <bgColor indexed="64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 style="thin">
        <color theme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medium">
        <color rgb="FFFFFFFF"/>
      </left>
      <right/>
      <top/>
      <bottom/>
      <diagonal/>
    </border>
  </borders>
  <cellStyleXfs count="84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0" fillId="0" borderId="60" applyNumberFormat="0" applyFill="0" applyAlignment="0" applyProtection="0"/>
    <xf numFmtId="0" fontId="31" fillId="0" borderId="61" applyNumberFormat="0" applyFill="0" applyAlignment="0" applyProtection="0"/>
    <xf numFmtId="0" fontId="32" fillId="0" borderId="62" applyNumberFormat="0" applyFill="0" applyAlignment="0" applyProtection="0"/>
    <xf numFmtId="0" fontId="32" fillId="0" borderId="0" applyNumberFormat="0" applyFill="0" applyBorder="0" applyAlignment="0" applyProtection="0"/>
    <xf numFmtId="0" fontId="33" fillId="20" borderId="0" applyNumberFormat="0" applyBorder="0" applyAlignment="0" applyProtection="0"/>
    <xf numFmtId="0" fontId="34" fillId="21" borderId="0" applyNumberFormat="0" applyBorder="0" applyAlignment="0" applyProtection="0"/>
    <xf numFmtId="0" fontId="35" fillId="23" borderId="63" applyNumberFormat="0" applyAlignment="0" applyProtection="0"/>
    <xf numFmtId="0" fontId="36" fillId="24" borderId="64" applyNumberFormat="0" applyAlignment="0" applyProtection="0"/>
    <xf numFmtId="0" fontId="37" fillId="24" borderId="63" applyNumberFormat="0" applyAlignment="0" applyProtection="0"/>
    <xf numFmtId="0" fontId="38" fillId="0" borderId="65" applyNumberFormat="0" applyFill="0" applyAlignment="0" applyProtection="0"/>
    <xf numFmtId="0" fontId="9" fillId="25" borderId="66" applyNumberFormat="0" applyAlignment="0" applyProtection="0"/>
    <xf numFmtId="0" fontId="39" fillId="0" borderId="0" applyNumberFormat="0" applyFill="0" applyBorder="0" applyAlignment="0" applyProtection="0"/>
    <xf numFmtId="0" fontId="1" fillId="26" borderId="67" applyNumberFormat="0" applyFont="0" applyAlignment="0" applyProtection="0"/>
    <xf numFmtId="0" fontId="40" fillId="0" borderId="0" applyNumberFormat="0" applyFill="0" applyBorder="0" applyAlignment="0" applyProtection="0"/>
    <xf numFmtId="0" fontId="2" fillId="0" borderId="68" applyNumberFormat="0" applyFill="0" applyAlignment="0" applyProtection="0"/>
    <xf numFmtId="0" fontId="1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0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41" fillId="22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50" borderId="0" applyNumberFormat="0" applyBorder="0" applyAlignment="0" applyProtection="0"/>
    <xf numFmtId="0" fontId="4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66" fillId="0" borderId="0"/>
    <xf numFmtId="166" fontId="1" fillId="0" borderId="0" applyFont="0" applyFill="0" applyBorder="0" applyAlignment="0" applyProtection="0"/>
    <xf numFmtId="0" fontId="69" fillId="0" borderId="0">
      <alignment horizontal="left" vertical="top" indent="1"/>
    </xf>
    <xf numFmtId="43" fontId="70" fillId="0" borderId="0" applyFont="0" applyFill="0" applyBorder="0" applyAlignment="0" applyProtection="0"/>
    <xf numFmtId="0" fontId="71" fillId="0" borderId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39">
    <xf numFmtId="0" fontId="0" fillId="0" borderId="0" xfId="0"/>
    <xf numFmtId="0" fontId="3" fillId="0" borderId="1" xfId="0" applyFont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166" fontId="2" fillId="0" borderId="1" xfId="1" applyFont="1" applyBorder="1"/>
    <xf numFmtId="0" fontId="4" fillId="3" borderId="1" xfId="0" applyFont="1" applyFill="1" applyBorder="1" applyAlignment="1">
      <alignment horizontal="left" vertical="center"/>
    </xf>
    <xf numFmtId="166" fontId="2" fillId="3" borderId="1" xfId="1" applyFont="1" applyFill="1" applyBorder="1"/>
    <xf numFmtId="0" fontId="3" fillId="3" borderId="1" xfId="0" applyFont="1" applyFill="1" applyBorder="1" applyAlignment="1">
      <alignment vertical="center"/>
    </xf>
    <xf numFmtId="166" fontId="3" fillId="3" borderId="1" xfId="0" applyNumberFormat="1" applyFont="1" applyFill="1" applyBorder="1" applyAlignment="1">
      <alignment vertical="center"/>
    </xf>
    <xf numFmtId="166" fontId="2" fillId="2" borderId="1" xfId="1" applyFont="1" applyFill="1" applyBorder="1"/>
    <xf numFmtId="166" fontId="2" fillId="3" borderId="3" xfId="1" applyFont="1" applyFill="1" applyBorder="1"/>
    <xf numFmtId="0" fontId="0" fillId="2" borderId="0" xfId="0" applyFill="1"/>
    <xf numFmtId="166" fontId="0" fillId="0" borderId="0" xfId="0" applyNumberFormat="1"/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49" fontId="3" fillId="4" borderId="1" xfId="0" applyNumberFormat="1" applyFont="1" applyFill="1" applyBorder="1" applyAlignment="1">
      <alignment horizontal="left" vertical="center"/>
    </xf>
    <xf numFmtId="166" fontId="0" fillId="0" borderId="0" xfId="1" applyFont="1"/>
    <xf numFmtId="166" fontId="0" fillId="2" borderId="1" xfId="1" applyFont="1" applyFill="1" applyBorder="1"/>
    <xf numFmtId="166" fontId="3" fillId="3" borderId="1" xfId="1" applyFont="1" applyFill="1" applyBorder="1" applyAlignment="1">
      <alignment vertical="center"/>
    </xf>
    <xf numFmtId="4" fontId="2" fillId="4" borderId="1" xfId="0" applyNumberFormat="1" applyFont="1" applyFill="1" applyBorder="1"/>
    <xf numFmtId="0" fontId="0" fillId="0" borderId="0" xfId="0" applyFill="1"/>
    <xf numFmtId="166" fontId="0" fillId="0" borderId="1" xfId="1" applyFont="1" applyBorder="1"/>
    <xf numFmtId="166" fontId="0" fillId="0" borderId="1" xfId="1" applyFont="1" applyFill="1" applyBorder="1"/>
    <xf numFmtId="166" fontId="2" fillId="0" borderId="1" xfId="1" applyFont="1" applyFill="1" applyBorder="1"/>
    <xf numFmtId="0" fontId="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9" fillId="6" borderId="17" xfId="0" applyFont="1" applyFill="1" applyBorder="1" applyAlignment="1">
      <alignment horizontal="center"/>
    </xf>
    <xf numFmtId="167" fontId="0" fillId="0" borderId="2" xfId="1" applyNumberFormat="1" applyFont="1" applyBorder="1"/>
    <xf numFmtId="167" fontId="0" fillId="0" borderId="1" xfId="1" applyNumberFormat="1" applyFont="1" applyBorder="1"/>
    <xf numFmtId="167" fontId="2" fillId="7" borderId="1" xfId="1" applyNumberFormat="1" applyFont="1" applyFill="1" applyBorder="1"/>
    <xf numFmtId="167" fontId="0" fillId="7" borderId="2" xfId="1" applyNumberFormat="1" applyFont="1" applyFill="1" applyBorder="1"/>
    <xf numFmtId="167" fontId="0" fillId="7" borderId="1" xfId="1" applyNumberFormat="1" applyFont="1" applyFill="1" applyBorder="1"/>
    <xf numFmtId="168" fontId="0" fillId="0" borderId="2" xfId="2" applyNumberFormat="1" applyFont="1" applyBorder="1"/>
    <xf numFmtId="168" fontId="0" fillId="0" borderId="1" xfId="2" applyNumberFormat="1" applyFont="1" applyBorder="1"/>
    <xf numFmtId="168" fontId="0" fillId="0" borderId="2" xfId="0" applyNumberFormat="1" applyBorder="1"/>
    <xf numFmtId="168" fontId="0" fillId="0" borderId="1" xfId="0" applyNumberFormat="1" applyBorder="1"/>
    <xf numFmtId="168" fontId="0" fillId="0" borderId="0" xfId="0" applyNumberFormat="1"/>
    <xf numFmtId="168" fontId="0" fillId="0" borderId="10" xfId="0" applyNumberFormat="1" applyBorder="1"/>
    <xf numFmtId="168" fontId="0" fillId="0" borderId="3" xfId="0" applyNumberFormat="1" applyBorder="1"/>
    <xf numFmtId="0" fontId="9" fillId="6" borderId="17" xfId="0" applyFont="1" applyFill="1" applyBorder="1" applyAlignment="1">
      <alignment horizontal="center" vertical="center"/>
    </xf>
    <xf numFmtId="168" fontId="0" fillId="0" borderId="0" xfId="2" applyNumberFormat="1" applyFont="1"/>
    <xf numFmtId="167" fontId="0" fillId="0" borderId="0" xfId="1" applyNumberFormat="1" applyFont="1"/>
    <xf numFmtId="167" fontId="0" fillId="0" borderId="0" xfId="0" applyNumberFormat="1"/>
    <xf numFmtId="167" fontId="0" fillId="8" borderId="0" xfId="1" applyNumberFormat="1" applyFont="1" applyFill="1"/>
    <xf numFmtId="167" fontId="0" fillId="0" borderId="1" xfId="0" applyNumberFormat="1" applyBorder="1"/>
    <xf numFmtId="167" fontId="9" fillId="6" borderId="1" xfId="1" applyNumberFormat="1" applyFont="1" applyFill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167" fontId="14" fillId="9" borderId="5" xfId="1" applyNumberFormat="1" applyFont="1" applyFill="1" applyBorder="1" applyAlignment="1">
      <alignment horizontal="center" vertical="center"/>
    </xf>
    <xf numFmtId="167" fontId="14" fillId="10" borderId="5" xfId="1" applyNumberFormat="1" applyFont="1" applyFill="1" applyBorder="1" applyAlignment="1">
      <alignment horizontal="center" vertical="center"/>
    </xf>
    <xf numFmtId="167" fontId="0" fillId="0" borderId="1" xfId="1" applyNumberFormat="1" applyFont="1" applyBorder="1" applyAlignment="1">
      <alignment horizontal="center"/>
    </xf>
    <xf numFmtId="168" fontId="0" fillId="9" borderId="1" xfId="2" applyNumberFormat="1" applyFont="1" applyFill="1" applyBorder="1" applyAlignment="1">
      <alignment horizontal="center"/>
    </xf>
    <xf numFmtId="168" fontId="0" fillId="10" borderId="1" xfId="2" applyNumberFormat="1" applyFont="1" applyFill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168" fontId="9" fillId="6" borderId="1" xfId="2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vertical="center"/>
    </xf>
    <xf numFmtId="0" fontId="16" fillId="0" borderId="8" xfId="0" applyFont="1" applyFill="1" applyBorder="1" applyAlignment="1">
      <alignment vertical="center"/>
    </xf>
    <xf numFmtId="166" fontId="16" fillId="0" borderId="8" xfId="0" applyNumberFormat="1" applyFont="1" applyFill="1" applyBorder="1" applyAlignment="1">
      <alignment vertical="center"/>
    </xf>
    <xf numFmtId="0" fontId="9" fillId="6" borderId="0" xfId="0" applyFont="1" applyFill="1" applyAlignment="1">
      <alignment horizontal="center"/>
    </xf>
    <xf numFmtId="0" fontId="18" fillId="0" borderId="0" xfId="0" applyFont="1"/>
    <xf numFmtId="167" fontId="18" fillId="0" borderId="0" xfId="0" applyNumberFormat="1" applyFont="1"/>
    <xf numFmtId="166" fontId="18" fillId="0" borderId="0" xfId="0" applyNumberFormat="1" applyFont="1"/>
    <xf numFmtId="0" fontId="0" fillId="0" borderId="0" xfId="0" applyFont="1"/>
    <xf numFmtId="0" fontId="0" fillId="0" borderId="0" xfId="0" applyFont="1" applyBorder="1" applyAlignment="1">
      <alignment horizontal="center" vertical="center"/>
    </xf>
    <xf numFmtId="168" fontId="0" fillId="0" borderId="0" xfId="2" applyNumberFormat="1" applyFont="1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0" fillId="0" borderId="0" xfId="0" applyFont="1"/>
    <xf numFmtId="170" fontId="20" fillId="0" borderId="0" xfId="3" applyNumberFormat="1" applyFont="1"/>
    <xf numFmtId="0" fontId="21" fillId="13" borderId="27" xfId="0" applyFont="1" applyFill="1" applyBorder="1" applyAlignment="1">
      <alignment horizontal="center" vertical="center" wrapText="1"/>
    </xf>
    <xf numFmtId="0" fontId="21" fillId="13" borderId="28" xfId="0" applyFont="1" applyFill="1" applyBorder="1" applyAlignment="1">
      <alignment horizontal="center" vertical="center" wrapText="1"/>
    </xf>
    <xf numFmtId="0" fontId="21" fillId="13" borderId="2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30" xfId="0" applyFont="1" applyBorder="1" applyAlignment="1">
      <alignment horizontal="center" vertical="center"/>
    </xf>
    <xf numFmtId="171" fontId="20" fillId="0" borderId="31" xfId="0" applyNumberFormat="1" applyFont="1" applyBorder="1"/>
    <xf numFmtId="0" fontId="20" fillId="0" borderId="33" xfId="0" applyFont="1" applyBorder="1"/>
    <xf numFmtId="167" fontId="20" fillId="0" borderId="33" xfId="0" applyNumberFormat="1" applyFont="1" applyBorder="1"/>
    <xf numFmtId="171" fontId="20" fillId="0" borderId="34" xfId="0" applyNumberFormat="1" applyFont="1" applyBorder="1"/>
    <xf numFmtId="171" fontId="20" fillId="0" borderId="0" xfId="0" applyNumberFormat="1" applyFont="1" applyBorder="1"/>
    <xf numFmtId="166" fontId="0" fillId="2" borderId="4" xfId="1" applyFont="1" applyFill="1" applyBorder="1"/>
    <xf numFmtId="0" fontId="22" fillId="0" borderId="0" xfId="0" applyFont="1" applyAlignment="1">
      <alignment horizontal="center"/>
    </xf>
    <xf numFmtId="0" fontId="0" fillId="0" borderId="0" xfId="2" applyNumberFormat="1" applyFont="1" applyFill="1" applyBorder="1" applyAlignment="1">
      <alignment horizontal="center" vertical="center"/>
    </xf>
    <xf numFmtId="167" fontId="0" fillId="0" borderId="0" xfId="0" applyNumberFormat="1" applyFill="1" applyBorder="1" applyAlignment="1">
      <alignment horizontal="center" vertical="center"/>
    </xf>
    <xf numFmtId="167" fontId="0" fillId="0" borderId="0" xfId="1" applyNumberFormat="1" applyFont="1" applyFill="1" applyBorder="1" applyAlignment="1">
      <alignment horizontal="center" vertical="center"/>
    </xf>
    <xf numFmtId="9" fontId="0" fillId="0" borderId="0" xfId="2" applyFont="1" applyFill="1" applyBorder="1" applyAlignment="1">
      <alignment horizontal="center" vertical="center"/>
    </xf>
    <xf numFmtId="167" fontId="9" fillId="0" borderId="0" xfId="1" applyNumberFormat="1" applyFont="1" applyFill="1" applyBorder="1" applyAlignment="1">
      <alignment horizontal="center" vertical="center"/>
    </xf>
    <xf numFmtId="0" fontId="9" fillId="0" borderId="0" xfId="2" applyNumberFormat="1" applyFont="1" applyFill="1" applyBorder="1" applyAlignment="1">
      <alignment horizontal="center" vertic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169" fontId="0" fillId="0" borderId="0" xfId="1" applyNumberFormat="1" applyFont="1"/>
    <xf numFmtId="0" fontId="0" fillId="8" borderId="0" xfId="0" applyFill="1" applyAlignment="1">
      <alignment horizontal="center"/>
    </xf>
    <xf numFmtId="0" fontId="0" fillId="8" borderId="0" xfId="0" applyFill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8" borderId="36" xfId="0" applyFill="1" applyBorder="1" applyAlignment="1">
      <alignment horizontal="center"/>
    </xf>
    <xf numFmtId="167" fontId="2" fillId="0" borderId="0" xfId="1" applyNumberFormat="1" applyFont="1" applyFill="1" applyBorder="1" applyAlignment="1">
      <alignment horizontal="center" vertical="center"/>
    </xf>
    <xf numFmtId="0" fontId="2" fillId="0" borderId="0" xfId="2" applyNumberFormat="1" applyFont="1" applyFill="1" applyBorder="1" applyAlignment="1">
      <alignment horizontal="center" vertical="center"/>
    </xf>
    <xf numFmtId="0" fontId="0" fillId="8" borderId="37" xfId="0" applyFill="1" applyBorder="1" applyAlignment="1">
      <alignment horizontal="center"/>
    </xf>
    <xf numFmtId="167" fontId="2" fillId="0" borderId="0" xfId="1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8" fontId="0" fillId="0" borderId="1" xfId="2" applyNumberFormat="1" applyFont="1" applyBorder="1" applyAlignment="1">
      <alignment horizontal="center" vertical="center"/>
    </xf>
    <xf numFmtId="17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pivotButton="1"/>
    <xf numFmtId="0" fontId="9" fillId="6" borderId="3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167" fontId="0" fillId="0" borderId="1" xfId="1" applyNumberFormat="1" applyFont="1" applyBorder="1" applyAlignment="1">
      <alignment horizontal="center" vertical="center"/>
    </xf>
    <xf numFmtId="0" fontId="0" fillId="8" borderId="35" xfId="0" applyFill="1" applyBorder="1" applyAlignment="1">
      <alignment horizontal="center"/>
    </xf>
    <xf numFmtId="0" fontId="0" fillId="0" borderId="36" xfId="0" applyFill="1" applyBorder="1" applyAlignment="1">
      <alignment horizontal="center"/>
    </xf>
    <xf numFmtId="0" fontId="0" fillId="8" borderId="36" xfId="0" applyFill="1" applyBorder="1" applyAlignment="1">
      <alignment horizontal="center" vertical="center"/>
    </xf>
    <xf numFmtId="0" fontId="0" fillId="8" borderId="35" xfId="0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168" fontId="0" fillId="11" borderId="1" xfId="0" applyNumberFormat="1" applyFill="1" applyBorder="1"/>
    <xf numFmtId="0" fontId="0" fillId="16" borderId="36" xfId="0" applyFill="1" applyBorder="1" applyAlignment="1">
      <alignment horizontal="center"/>
    </xf>
    <xf numFmtId="0" fontId="0" fillId="0" borderId="0" xfId="0" applyAlignment="1">
      <alignment wrapText="1"/>
    </xf>
    <xf numFmtId="0" fontId="9" fillId="6" borderId="0" xfId="0" applyFont="1" applyFill="1" applyAlignment="1">
      <alignment horizontal="center"/>
    </xf>
    <xf numFmtId="167" fontId="0" fillId="11" borderId="1" xfId="1" applyNumberFormat="1" applyFont="1" applyFill="1" applyBorder="1"/>
    <xf numFmtId="168" fontId="0" fillId="11" borderId="0" xfId="2" applyNumberFormat="1" applyFont="1" applyFill="1"/>
    <xf numFmtId="167" fontId="0" fillId="0" borderId="0" xfId="1" applyNumberFormat="1" applyFont="1" applyBorder="1"/>
    <xf numFmtId="168" fontId="0" fillId="0" borderId="0" xfId="0" applyNumberFormat="1" applyAlignment="1">
      <alignment wrapText="1"/>
    </xf>
    <xf numFmtId="167" fontId="0" fillId="0" borderId="0" xfId="1" applyNumberFormat="1" applyFont="1" applyAlignment="1">
      <alignment wrapText="1"/>
    </xf>
    <xf numFmtId="168" fontId="0" fillId="0" borderId="0" xfId="2" applyNumberFormat="1" applyFont="1" applyAlignment="1">
      <alignment wrapText="1"/>
    </xf>
    <xf numFmtId="0" fontId="0" fillId="0" borderId="0" xfId="0" applyFill="1" applyAlignment="1">
      <alignment wrapText="1"/>
    </xf>
    <xf numFmtId="168" fontId="0" fillId="2" borderId="1" xfId="2" applyNumberFormat="1" applyFont="1" applyFill="1" applyBorder="1"/>
    <xf numFmtId="0" fontId="9" fillId="6" borderId="0" xfId="0" applyFont="1" applyFill="1" applyAlignment="1">
      <alignment horizontal="center"/>
    </xf>
    <xf numFmtId="170" fontId="0" fillId="0" borderId="0" xfId="3" applyNumberFormat="1" applyFont="1"/>
    <xf numFmtId="0" fontId="9" fillId="6" borderId="0" xfId="0" applyFont="1" applyFill="1" applyAlignment="1">
      <alignment horizontal="center"/>
    </xf>
    <xf numFmtId="166" fontId="2" fillId="2" borderId="4" xfId="2" applyNumberFormat="1" applyFont="1" applyFill="1" applyBorder="1"/>
    <xf numFmtId="0" fontId="9" fillId="6" borderId="1" xfId="0" applyFont="1" applyFill="1" applyBorder="1" applyAlignment="1">
      <alignment horizontal="center" vertical="center"/>
    </xf>
    <xf numFmtId="167" fontId="0" fillId="0" borderId="0" xfId="1" applyNumberFormat="1" applyFont="1" applyFill="1" applyBorder="1"/>
    <xf numFmtId="0" fontId="28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168" fontId="0" fillId="2" borderId="2" xfId="2" applyNumberFormat="1" applyFont="1" applyFill="1" applyBorder="1"/>
    <xf numFmtId="167" fontId="3" fillId="0" borderId="1" xfId="1" applyNumberFormat="1" applyFont="1" applyFill="1" applyBorder="1" applyAlignment="1">
      <alignment horizontal="center" vertical="center"/>
    </xf>
    <xf numFmtId="167" fontId="3" fillId="0" borderId="1" xfId="1" applyNumberFormat="1" applyFont="1" applyFill="1" applyBorder="1" applyAlignment="1">
      <alignment vertical="center"/>
    </xf>
    <xf numFmtId="167" fontId="3" fillId="0" borderId="0" xfId="1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vertical="center"/>
    </xf>
    <xf numFmtId="167" fontId="0" fillId="0" borderId="0" xfId="1" applyNumberFormat="1" applyFont="1" applyFill="1"/>
    <xf numFmtId="168" fontId="0" fillId="0" borderId="0" xfId="2" applyNumberFormat="1" applyFont="1" applyAlignment="1">
      <alignment horizontal="left"/>
    </xf>
    <xf numFmtId="168" fontId="0" fillId="11" borderId="7" xfId="0" applyNumberFormat="1" applyFill="1" applyBorder="1"/>
    <xf numFmtId="168" fontId="0" fillId="11" borderId="58" xfId="0" applyNumberFormat="1" applyFill="1" applyBorder="1"/>
    <xf numFmtId="0" fontId="0" fillId="0" borderId="0" xfId="0"/>
    <xf numFmtId="168" fontId="0" fillId="18" borderId="0" xfId="2" applyNumberFormat="1" applyFont="1" applyFill="1" applyAlignment="1">
      <alignment wrapText="1"/>
    </xf>
    <xf numFmtId="168" fontId="0" fillId="18" borderId="13" xfId="2" applyNumberFormat="1" applyFont="1" applyFill="1" applyBorder="1" applyAlignment="1">
      <alignment wrapText="1"/>
    </xf>
    <xf numFmtId="168" fontId="0" fillId="18" borderId="0" xfId="2" applyNumberFormat="1" applyFont="1" applyFill="1"/>
    <xf numFmtId="0" fontId="0" fillId="19" borderId="0" xfId="0" applyFill="1" applyAlignment="1">
      <alignment wrapText="1"/>
    </xf>
    <xf numFmtId="168" fontId="0" fillId="19" borderId="0" xfId="2" applyNumberFormat="1" applyFont="1" applyFill="1" applyAlignment="1">
      <alignment wrapText="1"/>
    </xf>
    <xf numFmtId="171" fontId="20" fillId="11" borderId="31" xfId="0" applyNumberFormat="1" applyFont="1" applyFill="1" applyBorder="1"/>
    <xf numFmtId="171" fontId="20" fillId="11" borderId="0" xfId="0" applyNumberFormat="1" applyFont="1" applyFill="1" applyBorder="1"/>
    <xf numFmtId="171" fontId="20" fillId="11" borderId="34" xfId="0" applyNumberFormat="1" applyFont="1" applyFill="1" applyBorder="1"/>
    <xf numFmtId="171" fontId="20" fillId="11" borderId="32" xfId="0" applyNumberFormat="1" applyFont="1" applyFill="1" applyBorder="1"/>
    <xf numFmtId="0" fontId="44" fillId="0" borderId="0" xfId="0" applyFont="1"/>
    <xf numFmtId="0" fontId="12" fillId="0" borderId="0" xfId="0" applyFont="1"/>
    <xf numFmtId="166" fontId="12" fillId="0" borderId="0" xfId="1" applyFont="1"/>
    <xf numFmtId="0" fontId="45" fillId="0" borderId="0" xfId="0" applyFont="1"/>
    <xf numFmtId="14" fontId="45" fillId="2" borderId="0" xfId="0" applyNumberFormat="1" applyFont="1" applyFill="1" applyAlignment="1">
      <alignment horizontal="center"/>
    </xf>
    <xf numFmtId="166" fontId="45" fillId="2" borderId="0" xfId="1" applyFont="1" applyFill="1" applyBorder="1"/>
    <xf numFmtId="166" fontId="45" fillId="0" borderId="0" xfId="1" applyFont="1"/>
    <xf numFmtId="17" fontId="45" fillId="0" borderId="0" xfId="0" applyNumberFormat="1" applyFont="1"/>
    <xf numFmtId="0" fontId="47" fillId="2" borderId="0" xfId="0" applyFont="1" applyFill="1"/>
    <xf numFmtId="166" fontId="47" fillId="2" borderId="0" xfId="1" applyFont="1" applyFill="1" applyBorder="1"/>
    <xf numFmtId="0" fontId="27" fillId="0" borderId="0" xfId="0" applyFont="1"/>
    <xf numFmtId="0" fontId="48" fillId="2" borderId="0" xfId="0" applyFont="1" applyFill="1"/>
    <xf numFmtId="0" fontId="46" fillId="0" borderId="0" xfId="0" applyFon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/>
    <xf numFmtId="0" fontId="0" fillId="2" borderId="0" xfId="0" applyFill="1" applyAlignment="1">
      <alignment horizontal="center" vertical="center"/>
    </xf>
    <xf numFmtId="166" fontId="52" fillId="0" borderId="0" xfId="1" applyFont="1"/>
    <xf numFmtId="0" fontId="45" fillId="2" borderId="0" xfId="0" applyFont="1" applyFill="1"/>
    <xf numFmtId="0" fontId="43" fillId="0" borderId="0" xfId="0" applyFont="1"/>
    <xf numFmtId="166" fontId="12" fillId="0" borderId="0" xfId="1" applyFont="1" applyBorder="1"/>
    <xf numFmtId="166" fontId="12" fillId="0" borderId="0" xfId="0" applyNumberFormat="1" applyFont="1"/>
    <xf numFmtId="173" fontId="0" fillId="0" borderId="0" xfId="0" applyNumberFormat="1"/>
    <xf numFmtId="166" fontId="12" fillId="0" borderId="1" xfId="1" applyFont="1" applyBorder="1"/>
    <xf numFmtId="168" fontId="12" fillId="0" borderId="1" xfId="2" applyNumberFormat="1" applyFont="1" applyBorder="1"/>
    <xf numFmtId="173" fontId="24" fillId="7" borderId="1" xfId="0" applyNumberFormat="1" applyFont="1" applyFill="1" applyBorder="1"/>
    <xf numFmtId="0" fontId="24" fillId="7" borderId="5" xfId="0" applyFont="1" applyFill="1" applyBorder="1"/>
    <xf numFmtId="0" fontId="10" fillId="0" borderId="0" xfId="0" applyFont="1"/>
    <xf numFmtId="166" fontId="24" fillId="7" borderId="5" xfId="0" applyNumberFormat="1" applyFont="1" applyFill="1" applyBorder="1" applyAlignment="1">
      <alignment horizontal="center" vertical="center"/>
    </xf>
    <xf numFmtId="165" fontId="10" fillId="0" borderId="0" xfId="0" applyNumberFormat="1" applyFont="1" applyAlignment="1">
      <alignment vertical="center"/>
    </xf>
    <xf numFmtId="0" fontId="9" fillId="0" borderId="77" xfId="0" applyFont="1" applyBorder="1" applyAlignment="1">
      <alignment vertical="center"/>
    </xf>
    <xf numFmtId="166" fontId="0" fillId="0" borderId="0" xfId="0" applyNumberFormat="1" applyAlignment="1">
      <alignment vertical="center"/>
    </xf>
    <xf numFmtId="166" fontId="0" fillId="0" borderId="0" xfId="1" applyFont="1" applyAlignment="1">
      <alignment vertical="center"/>
    </xf>
    <xf numFmtId="173" fontId="24" fillId="7" borderId="1" xfId="0" applyNumberFormat="1" applyFont="1" applyFill="1" applyBorder="1" applyAlignment="1">
      <alignment vertical="center"/>
    </xf>
    <xf numFmtId="0" fontId="24" fillId="7" borderId="70" xfId="0" applyFont="1" applyFill="1" applyBorder="1" applyAlignment="1">
      <alignment horizontal="center" vertical="center" wrapText="1"/>
    </xf>
    <xf numFmtId="165" fontId="9" fillId="59" borderId="0" xfId="0" applyNumberFormat="1" applyFont="1" applyFill="1" applyAlignment="1">
      <alignment vertical="center"/>
    </xf>
    <xf numFmtId="3" fontId="2" fillId="0" borderId="72" xfId="0" applyNumberFormat="1" applyFont="1" applyBorder="1" applyAlignment="1">
      <alignment vertical="center"/>
    </xf>
    <xf numFmtId="173" fontId="12" fillId="2" borderId="1" xfId="0" applyNumberFormat="1" applyFont="1" applyFill="1" applyBorder="1"/>
    <xf numFmtId="173" fontId="12" fillId="0" borderId="1" xfId="0" applyNumberFormat="1" applyFont="1" applyBorder="1"/>
    <xf numFmtId="0" fontId="24" fillId="0" borderId="1" xfId="0" applyFont="1" applyBorder="1" applyAlignment="1">
      <alignment horizontal="center"/>
    </xf>
    <xf numFmtId="0" fontId="0" fillId="7" borderId="0" xfId="0" applyFill="1"/>
    <xf numFmtId="0" fontId="3" fillId="0" borderId="0" xfId="0" applyFont="1" applyAlignment="1">
      <alignment vertical="center"/>
    </xf>
    <xf numFmtId="3" fontId="0" fillId="2" borderId="0" xfId="0" applyNumberFormat="1" applyFill="1"/>
    <xf numFmtId="173" fontId="9" fillId="60" borderId="50" xfId="0" applyNumberFormat="1" applyFont="1" applyFill="1" applyBorder="1" applyAlignment="1">
      <alignment horizontal="right"/>
    </xf>
    <xf numFmtId="167" fontId="9" fillId="60" borderId="49" xfId="0" applyNumberFormat="1" applyFont="1" applyFill="1" applyBorder="1" applyAlignment="1">
      <alignment horizontal="right"/>
    </xf>
    <xf numFmtId="167" fontId="9" fillId="60" borderId="50" xfId="0" applyNumberFormat="1" applyFont="1" applyFill="1" applyBorder="1" applyAlignment="1">
      <alignment horizontal="right"/>
    </xf>
    <xf numFmtId="167" fontId="9" fillId="60" borderId="5" xfId="0" applyNumberFormat="1" applyFont="1" applyFill="1" applyBorder="1" applyAlignment="1">
      <alignment horizontal="right"/>
    </xf>
    <xf numFmtId="167" fontId="9" fillId="61" borderId="1" xfId="0" applyNumberFormat="1" applyFont="1" applyFill="1" applyBorder="1" applyAlignment="1">
      <alignment horizontal="right"/>
    </xf>
    <xf numFmtId="167" fontId="9" fillId="60" borderId="1" xfId="0" applyNumberFormat="1" applyFont="1" applyFill="1" applyBorder="1" applyAlignment="1">
      <alignment horizontal="right"/>
    </xf>
    <xf numFmtId="167" fontId="9" fillId="61" borderId="1" xfId="0" applyNumberFormat="1" applyFont="1" applyFill="1" applyBorder="1" applyAlignment="1">
      <alignment horizontal="right" vertical="center"/>
    </xf>
    <xf numFmtId="0" fontId="9" fillId="61" borderId="1" xfId="0" applyFont="1" applyFill="1" applyBorder="1" applyAlignment="1">
      <alignment horizontal="center"/>
    </xf>
    <xf numFmtId="173" fontId="0" fillId="62" borderId="79" xfId="0" applyNumberFormat="1" applyFill="1" applyBorder="1" applyAlignment="1">
      <alignment horizontal="right"/>
    </xf>
    <xf numFmtId="173" fontId="0" fillId="12" borderId="51" xfId="0" applyNumberFormat="1" applyFill="1" applyBorder="1" applyAlignment="1">
      <alignment horizontal="right"/>
    </xf>
    <xf numFmtId="167" fontId="0" fillId="62" borderId="5" xfId="0" applyNumberFormat="1" applyFill="1" applyBorder="1" applyAlignment="1">
      <alignment horizontal="right"/>
    </xf>
    <xf numFmtId="167" fontId="0" fillId="12" borderId="1" xfId="0" applyNumberFormat="1" applyFill="1" applyBorder="1" applyAlignment="1">
      <alignment horizontal="right"/>
    </xf>
    <xf numFmtId="167" fontId="0" fillId="62" borderId="1" xfId="0" applyNumberFormat="1" applyFill="1" applyBorder="1" applyAlignment="1">
      <alignment horizontal="right"/>
    </xf>
    <xf numFmtId="167" fontId="0" fillId="12" borderId="51" xfId="0" applyNumberFormat="1" applyFill="1" applyBorder="1" applyAlignment="1">
      <alignment horizontal="right"/>
    </xf>
    <xf numFmtId="0" fontId="2" fillId="12" borderId="1" xfId="0" applyFont="1" applyFill="1" applyBorder="1" applyAlignment="1">
      <alignment horizontal="center"/>
    </xf>
    <xf numFmtId="173" fontId="9" fillId="60" borderId="51" xfId="0" applyNumberFormat="1" applyFont="1" applyFill="1" applyBorder="1" applyAlignment="1">
      <alignment horizontal="right"/>
    </xf>
    <xf numFmtId="167" fontId="10" fillId="60" borderId="1" xfId="0" applyNumberFormat="1" applyFont="1" applyFill="1" applyBorder="1" applyAlignment="1">
      <alignment horizontal="right"/>
    </xf>
    <xf numFmtId="167" fontId="9" fillId="60" borderId="51" xfId="0" applyNumberFormat="1" applyFont="1" applyFill="1" applyBorder="1" applyAlignment="1">
      <alignment horizontal="right"/>
    </xf>
    <xf numFmtId="173" fontId="0" fillId="12" borderId="55" xfId="0" applyNumberFormat="1" applyFill="1" applyBorder="1" applyAlignment="1">
      <alignment horizontal="right"/>
    </xf>
    <xf numFmtId="1" fontId="0" fillId="7" borderId="71" xfId="0" applyNumberFormat="1" applyFill="1" applyBorder="1" applyAlignment="1">
      <alignment horizontal="right"/>
    </xf>
    <xf numFmtId="173" fontId="9" fillId="61" borderId="48" xfId="0" applyNumberFormat="1" applyFont="1" applyFill="1" applyBorder="1" applyAlignment="1">
      <alignment horizontal="center" vertical="center" wrapText="1"/>
    </xf>
    <xf numFmtId="173" fontId="9" fillId="61" borderId="1" xfId="0" applyNumberFormat="1" applyFont="1" applyFill="1" applyBorder="1" applyAlignment="1">
      <alignment horizontal="center" vertical="center" wrapText="1"/>
    </xf>
    <xf numFmtId="176" fontId="9" fillId="61" borderId="5" xfId="0" applyNumberFormat="1" applyFont="1" applyFill="1" applyBorder="1" applyAlignment="1">
      <alignment horizontal="center" vertical="center" wrapText="1"/>
    </xf>
    <xf numFmtId="176" fontId="9" fillId="61" borderId="1" xfId="0" applyNumberFormat="1" applyFont="1" applyFill="1" applyBorder="1" applyAlignment="1">
      <alignment horizontal="center" vertical="center" wrapText="1"/>
    </xf>
    <xf numFmtId="166" fontId="44" fillId="2" borderId="0" xfId="1" applyFont="1" applyFill="1" applyBorder="1"/>
    <xf numFmtId="0" fontId="44" fillId="2" borderId="0" xfId="0" applyFont="1" applyFill="1"/>
    <xf numFmtId="168" fontId="44" fillId="0" borderId="0" xfId="2" applyNumberFormat="1" applyFont="1" applyAlignment="1">
      <alignment vertical="center"/>
    </xf>
    <xf numFmtId="166" fontId="44" fillId="0" borderId="0" xfId="1" applyFont="1"/>
    <xf numFmtId="17" fontId="44" fillId="0" borderId="0" xfId="0" applyNumberFormat="1" applyFont="1"/>
    <xf numFmtId="14" fontId="44" fillId="2" borderId="0" xfId="0" applyNumberFormat="1" applyFont="1" applyFill="1"/>
    <xf numFmtId="0" fontId="54" fillId="2" borderId="0" xfId="0" applyFont="1" applyFill="1"/>
    <xf numFmtId="166" fontId="54" fillId="2" borderId="0" xfId="1" applyFont="1" applyFill="1" applyBorder="1"/>
    <xf numFmtId="0" fontId="18" fillId="10" borderId="0" xfId="0" applyFont="1" applyFill="1"/>
    <xf numFmtId="166" fontId="18" fillId="10" borderId="0" xfId="1" applyFont="1" applyFill="1"/>
    <xf numFmtId="173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27" fillId="0" borderId="0" xfId="0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74" fontId="19" fillId="60" borderId="41" xfId="0" applyNumberFormat="1" applyFont="1" applyFill="1" applyBorder="1" applyAlignment="1">
      <alignment horizontal="center" vertical="center"/>
    </xf>
    <xf numFmtId="3" fontId="19" fillId="60" borderId="41" xfId="0" applyNumberFormat="1" applyFont="1" applyFill="1" applyBorder="1" applyAlignment="1">
      <alignment horizontal="center" vertical="center"/>
    </xf>
    <xf numFmtId="168" fontId="56" fillId="60" borderId="41" xfId="2" applyNumberFormat="1" applyFont="1" applyFill="1" applyBorder="1" applyAlignment="1">
      <alignment horizontal="center" vertical="center"/>
    </xf>
    <xf numFmtId="0" fontId="19" fillId="60" borderId="72" xfId="0" applyFont="1" applyFill="1" applyBorder="1" applyAlignment="1">
      <alignment horizontal="center" vertical="center"/>
    </xf>
    <xf numFmtId="174" fontId="55" fillId="64" borderId="41" xfId="0" applyNumberFormat="1" applyFont="1" applyFill="1" applyBorder="1" applyAlignment="1">
      <alignment horizontal="center" vertical="center"/>
    </xf>
    <xf numFmtId="3" fontId="57" fillId="7" borderId="41" xfId="0" applyNumberFormat="1" applyFont="1" applyFill="1" applyBorder="1" applyAlignment="1">
      <alignment horizontal="center" vertical="center"/>
    </xf>
    <xf numFmtId="3" fontId="55" fillId="7" borderId="41" xfId="0" applyNumberFormat="1" applyFont="1" applyFill="1" applyBorder="1" applyAlignment="1">
      <alignment horizontal="center" vertical="center"/>
    </xf>
    <xf numFmtId="168" fontId="55" fillId="63" borderId="41" xfId="2" applyNumberFormat="1" applyFont="1" applyFill="1" applyBorder="1" applyAlignment="1">
      <alignment horizontal="center" vertical="center"/>
    </xf>
    <xf numFmtId="3" fontId="55" fillId="2" borderId="41" xfId="0" applyNumberFormat="1" applyFont="1" applyFill="1" applyBorder="1" applyAlignment="1">
      <alignment horizontal="center" vertical="center"/>
    </xf>
    <xf numFmtId="0" fontId="58" fillId="2" borderId="72" xfId="0" applyFont="1" applyFill="1" applyBorder="1" applyAlignment="1">
      <alignment horizontal="center" vertical="center"/>
    </xf>
    <xf numFmtId="9" fontId="0" fillId="0" borderId="0" xfId="2" applyFont="1" applyAlignment="1">
      <alignment horizontal="center" vertical="center"/>
    </xf>
    <xf numFmtId="0" fontId="59" fillId="56" borderId="84" xfId="0" applyFont="1" applyFill="1" applyBorder="1" applyAlignment="1">
      <alignment horizontal="center" vertical="center" wrapText="1"/>
    </xf>
    <xf numFmtId="0" fontId="59" fillId="56" borderId="72" xfId="0" applyFont="1" applyFill="1" applyBorder="1" applyAlignment="1">
      <alignment horizontal="center" vertical="center" wrapText="1"/>
    </xf>
    <xf numFmtId="0" fontId="59" fillId="56" borderId="75" xfId="0" applyFont="1" applyFill="1" applyBorder="1" applyAlignment="1">
      <alignment horizontal="center" vertical="center" wrapText="1"/>
    </xf>
    <xf numFmtId="0" fontId="19" fillId="60" borderId="72" xfId="0" applyFont="1" applyFill="1" applyBorder="1" applyAlignment="1">
      <alignment horizontal="center" vertical="center" wrapText="1"/>
    </xf>
    <xf numFmtId="0" fontId="59" fillId="56" borderId="41" xfId="0" applyFont="1" applyFill="1" applyBorder="1" applyAlignment="1">
      <alignment horizontal="center" vertical="center" wrapText="1"/>
    </xf>
    <xf numFmtId="0" fontId="59" fillId="56" borderId="85" xfId="0" applyFont="1" applyFill="1" applyBorder="1" applyAlignment="1">
      <alignment horizontal="center" vertical="center"/>
    </xf>
    <xf numFmtId="0" fontId="59" fillId="56" borderId="42" xfId="0" applyFont="1" applyFill="1" applyBorder="1" applyAlignment="1">
      <alignment horizontal="center" vertical="center"/>
    </xf>
    <xf numFmtId="0" fontId="2" fillId="2" borderId="0" xfId="0" applyFont="1" applyFill="1"/>
    <xf numFmtId="0" fontId="0" fillId="10" borderId="0" xfId="0" applyFill="1"/>
    <xf numFmtId="166" fontId="0" fillId="10" borderId="0" xfId="1" applyFont="1" applyFill="1"/>
    <xf numFmtId="0" fontId="43" fillId="0" borderId="0" xfId="0" applyFont="1" applyAlignment="1">
      <alignment vertical="center"/>
    </xf>
    <xf numFmtId="168" fontId="43" fillId="0" borderId="0" xfId="0" applyNumberFormat="1" applyFont="1"/>
    <xf numFmtId="173" fontId="43" fillId="2" borderId="0" xfId="0" applyNumberFormat="1" applyFont="1" applyFill="1"/>
    <xf numFmtId="167" fontId="43" fillId="8" borderId="0" xfId="1" applyNumberFormat="1" applyFont="1" applyFill="1"/>
    <xf numFmtId="3" fontId="43" fillId="8" borderId="0" xfId="0" applyNumberFormat="1" applyFont="1" applyFill="1"/>
    <xf numFmtId="0" fontId="43" fillId="0" borderId="0" xfId="0" applyFont="1" applyAlignment="1">
      <alignment horizontal="left" vertical="center"/>
    </xf>
    <xf numFmtId="173" fontId="43" fillId="8" borderId="0" xfId="0" applyNumberFormat="1" applyFont="1" applyFill="1"/>
    <xf numFmtId="3" fontId="43" fillId="0" borderId="0" xfId="0" applyNumberFormat="1" applyFont="1"/>
    <xf numFmtId="169" fontId="60" fillId="9" borderId="41" xfId="1" applyNumberFormat="1" applyFont="1" applyFill="1" applyBorder="1" applyAlignment="1">
      <alignment horizontal="right" vertical="center"/>
    </xf>
    <xf numFmtId="174" fontId="60" fillId="63" borderId="41" xfId="0" applyNumberFormat="1" applyFont="1" applyFill="1" applyBorder="1" applyAlignment="1">
      <alignment horizontal="right" vertical="center"/>
    </xf>
    <xf numFmtId="3" fontId="60" fillId="7" borderId="41" xfId="0" applyNumberFormat="1" applyFont="1" applyFill="1" applyBorder="1" applyAlignment="1">
      <alignment horizontal="right" vertical="center"/>
    </xf>
    <xf numFmtId="174" fontId="62" fillId="7" borderId="41" xfId="1" applyNumberFormat="1" applyFont="1" applyFill="1" applyBorder="1" applyAlignment="1">
      <alignment horizontal="center" vertical="center"/>
    </xf>
    <xf numFmtId="3" fontId="29" fillId="7" borderId="41" xfId="0" applyNumberFormat="1" applyFont="1" applyFill="1" applyBorder="1" applyAlignment="1">
      <alignment horizontal="center" vertical="center"/>
    </xf>
    <xf numFmtId="168" fontId="62" fillId="7" borderId="41" xfId="2" applyNumberFormat="1" applyFont="1" applyFill="1" applyBorder="1" applyAlignment="1">
      <alignment horizontal="center" vertical="center"/>
    </xf>
    <xf numFmtId="0" fontId="29" fillId="7" borderId="72" xfId="0" applyFont="1" applyFill="1" applyBorder="1" applyAlignment="1">
      <alignment horizontal="center" vertical="center"/>
    </xf>
    <xf numFmtId="168" fontId="62" fillId="63" borderId="41" xfId="2" applyNumberFormat="1" applyFont="1" applyFill="1" applyBorder="1" applyAlignment="1">
      <alignment horizontal="center" vertical="center"/>
    </xf>
    <xf numFmtId="3" fontId="62" fillId="7" borderId="41" xfId="0" applyNumberFormat="1" applyFont="1" applyFill="1" applyBorder="1" applyAlignment="1">
      <alignment horizontal="center" vertical="center"/>
    </xf>
    <xf numFmtId="3" fontId="62" fillId="2" borderId="41" xfId="0" applyNumberFormat="1" applyFont="1" applyFill="1" applyBorder="1" applyAlignment="1">
      <alignment horizontal="center" vertical="center"/>
    </xf>
    <xf numFmtId="0" fontId="29" fillId="2" borderId="72" xfId="0" applyFont="1" applyFill="1" applyBorder="1" applyAlignment="1">
      <alignment horizontal="center" vertical="center"/>
    </xf>
    <xf numFmtId="0" fontId="29" fillId="4" borderId="75" xfId="0" applyFont="1" applyFill="1" applyBorder="1" applyAlignment="1">
      <alignment horizontal="center" vertical="center" wrapText="1"/>
    </xf>
    <xf numFmtId="0" fontId="29" fillId="4" borderId="87" xfId="0" applyFont="1" applyFill="1" applyBorder="1" applyAlignment="1">
      <alignment horizontal="center" vertical="center" wrapText="1"/>
    </xf>
    <xf numFmtId="0" fontId="63" fillId="4" borderId="85" xfId="0" applyFont="1" applyFill="1" applyBorder="1" applyAlignment="1">
      <alignment horizontal="center" vertical="center"/>
    </xf>
    <xf numFmtId="0" fontId="63" fillId="4" borderId="42" xfId="0" applyFont="1" applyFill="1" applyBorder="1" applyAlignment="1">
      <alignment vertical="center"/>
    </xf>
    <xf numFmtId="0" fontId="58" fillId="7" borderId="75" xfId="0" applyFont="1" applyFill="1" applyBorder="1" applyAlignment="1">
      <alignment horizontal="center" vertical="center" wrapText="1"/>
    </xf>
    <xf numFmtId="3" fontId="64" fillId="63" borderId="41" xfId="0" applyNumberFormat="1" applyFont="1" applyFill="1" applyBorder="1" applyAlignment="1">
      <alignment vertical="center"/>
    </xf>
    <xf numFmtId="167" fontId="27" fillId="63" borderId="41" xfId="1" applyNumberFormat="1" applyFont="1" applyFill="1" applyBorder="1" applyAlignment="1">
      <alignment vertical="center"/>
    </xf>
    <xf numFmtId="169" fontId="64" fillId="7" borderId="41" xfId="1" applyNumberFormat="1" applyFont="1" applyFill="1" applyBorder="1" applyAlignment="1">
      <alignment vertical="center"/>
    </xf>
    <xf numFmtId="167" fontId="64" fillId="63" borderId="41" xfId="1" applyNumberFormat="1" applyFont="1" applyFill="1" applyBorder="1" applyAlignment="1">
      <alignment vertical="center"/>
    </xf>
    <xf numFmtId="169" fontId="57" fillId="7" borderId="41" xfId="1" applyNumberFormat="1" applyFont="1" applyFill="1" applyBorder="1" applyAlignment="1">
      <alignment horizontal="right" vertical="center"/>
    </xf>
    <xf numFmtId="169" fontId="64" fillId="65" borderId="41" xfId="1" applyNumberFormat="1" applyFont="1" applyFill="1" applyBorder="1" applyAlignment="1">
      <alignment horizontal="center" vertical="center"/>
    </xf>
    <xf numFmtId="3" fontId="27" fillId="63" borderId="41" xfId="0" applyNumberFormat="1" applyFont="1" applyFill="1" applyBorder="1" applyAlignment="1">
      <alignment vertical="center"/>
    </xf>
    <xf numFmtId="0" fontId="2" fillId="7" borderId="17" xfId="0" applyFont="1" applyFill="1" applyBorder="1"/>
    <xf numFmtId="3" fontId="58" fillId="7" borderId="41" xfId="0" applyNumberFormat="1" applyFont="1" applyFill="1" applyBorder="1" applyAlignment="1">
      <alignment vertical="center"/>
    </xf>
    <xf numFmtId="174" fontId="58" fillId="7" borderId="41" xfId="0" applyNumberFormat="1" applyFont="1" applyFill="1" applyBorder="1" applyAlignment="1">
      <alignment vertical="center"/>
    </xf>
    <xf numFmtId="169" fontId="55" fillId="7" borderId="41" xfId="1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left"/>
    </xf>
    <xf numFmtId="3" fontId="58" fillId="7" borderId="41" xfId="0" applyNumberFormat="1" applyFont="1" applyFill="1" applyBorder="1" applyAlignment="1">
      <alignment horizontal="right" vertical="center"/>
    </xf>
    <xf numFmtId="167" fontId="58" fillId="2" borderId="0" xfId="1" applyNumberFormat="1" applyFont="1" applyFill="1" applyBorder="1" applyAlignment="1">
      <alignment horizontal="right" vertical="center"/>
    </xf>
    <xf numFmtId="169" fontId="55" fillId="2" borderId="0" xfId="1" applyNumberFormat="1" applyFont="1" applyFill="1" applyBorder="1" applyAlignment="1">
      <alignment horizontal="right" vertical="center"/>
    </xf>
    <xf numFmtId="3" fontId="0" fillId="0" borderId="0" xfId="0" applyNumberFormat="1" applyAlignment="1">
      <alignment vertical="center"/>
    </xf>
    <xf numFmtId="173" fontId="0" fillId="0" borderId="0" xfId="0" applyNumberFormat="1" applyAlignment="1">
      <alignment vertical="center"/>
    </xf>
    <xf numFmtId="166" fontId="0" fillId="0" borderId="0" xfId="1" applyFont="1" applyAlignment="1">
      <alignment horizontal="left" vertical="center"/>
    </xf>
    <xf numFmtId="0" fontId="0" fillId="0" borderId="0" xfId="0" applyAlignment="1">
      <alignment horizontal="left" vertical="center"/>
    </xf>
    <xf numFmtId="167" fontId="0" fillId="0" borderId="0" xfId="0" applyNumberFormat="1" applyAlignment="1">
      <alignment vertical="center"/>
    </xf>
    <xf numFmtId="0" fontId="27" fillId="2" borderId="0" xfId="0" applyFont="1" applyFill="1"/>
    <xf numFmtId="177" fontId="0" fillId="0" borderId="0" xfId="0" applyNumberFormat="1"/>
    <xf numFmtId="168" fontId="0" fillId="0" borderId="0" xfId="2" applyNumberFormat="1" applyFont="1" applyAlignment="1">
      <alignment horizontal="center" vertical="center"/>
    </xf>
    <xf numFmtId="3" fontId="0" fillId="0" borderId="0" xfId="0" applyNumberFormat="1" applyAlignment="1">
      <alignment wrapText="1"/>
    </xf>
    <xf numFmtId="178" fontId="52" fillId="0" borderId="0" xfId="1" applyNumberFormat="1" applyFont="1"/>
    <xf numFmtId="0" fontId="0" fillId="0" borderId="0" xfId="0" applyAlignment="1">
      <alignment horizontal="center"/>
    </xf>
    <xf numFmtId="3" fontId="0" fillId="0" borderId="17" xfId="0" applyNumberFormat="1" applyBorder="1" applyAlignment="1">
      <alignment horizontal="center" vertical="center"/>
    </xf>
    <xf numFmtId="3" fontId="9" fillId="6" borderId="17" xfId="0" applyNumberFormat="1" applyFont="1" applyFill="1" applyBorder="1" applyAlignment="1">
      <alignment horizontal="center" vertical="center"/>
    </xf>
    <xf numFmtId="3" fontId="0" fillId="7" borderId="17" xfId="0" applyNumberFormat="1" applyFill="1" applyBorder="1" applyAlignment="1">
      <alignment horizontal="center" vertical="center"/>
    </xf>
    <xf numFmtId="168" fontId="0" fillId="2" borderId="0" xfId="0" applyNumberFormat="1" applyFill="1"/>
    <xf numFmtId="0" fontId="9" fillId="6" borderId="28" xfId="0" applyFont="1" applyFill="1" applyBorder="1" applyAlignment="1">
      <alignment horizontal="center" vertical="center" wrapText="1"/>
    </xf>
    <xf numFmtId="0" fontId="9" fillId="6" borderId="91" xfId="0" applyFont="1" applyFill="1" applyBorder="1" applyAlignment="1">
      <alignment horizontal="center" vertical="center" wrapText="1"/>
    </xf>
    <xf numFmtId="174" fontId="48" fillId="0" borderId="90" xfId="0" applyNumberFormat="1" applyFont="1" applyFill="1" applyBorder="1" applyAlignment="1">
      <alignment vertical="center"/>
    </xf>
    <xf numFmtId="174" fontId="48" fillId="0" borderId="0" xfId="0" applyNumberFormat="1" applyFont="1" applyFill="1" applyBorder="1" applyAlignment="1">
      <alignment vertical="center"/>
    </xf>
    <xf numFmtId="3" fontId="19" fillId="60" borderId="88" xfId="0" applyNumberFormat="1" applyFont="1" applyFill="1" applyBorder="1" applyAlignment="1">
      <alignment horizontal="center" vertical="center"/>
    </xf>
    <xf numFmtId="0" fontId="19" fillId="60" borderId="77" xfId="0" applyFont="1" applyFill="1" applyBorder="1" applyAlignment="1">
      <alignment horizontal="center" vertical="center"/>
    </xf>
    <xf numFmtId="168" fontId="55" fillId="0" borderId="41" xfId="2" applyNumberFormat="1" applyFont="1" applyFill="1" applyBorder="1" applyAlignment="1">
      <alignment vertical="center"/>
    </xf>
    <xf numFmtId="168" fontId="55" fillId="0" borderId="83" xfId="2" applyNumberFormat="1" applyFont="1" applyFill="1" applyBorder="1" applyAlignment="1">
      <alignment vertical="center"/>
    </xf>
    <xf numFmtId="176" fontId="9" fillId="61" borderId="1" xfId="0" applyNumberFormat="1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/>
    </xf>
    <xf numFmtId="0" fontId="9" fillId="61" borderId="1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173" fontId="9" fillId="61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7" fontId="0" fillId="12" borderId="1" xfId="0" applyNumberFormat="1" applyFont="1" applyFill="1" applyBorder="1" applyAlignment="1">
      <alignment horizontal="right"/>
    </xf>
    <xf numFmtId="167" fontId="0" fillId="62" borderId="1" xfId="0" applyNumberFormat="1" applyFont="1" applyFill="1" applyBorder="1" applyAlignment="1">
      <alignment horizontal="right"/>
    </xf>
    <xf numFmtId="167" fontId="9" fillId="60" borderId="1" xfId="0" applyNumberFormat="1" applyFont="1" applyFill="1" applyBorder="1" applyAlignment="1">
      <alignment horizontal="right"/>
    </xf>
    <xf numFmtId="167" fontId="9" fillId="61" borderId="1" xfId="0" applyNumberFormat="1" applyFont="1" applyFill="1" applyBorder="1" applyAlignment="1">
      <alignment horizontal="right"/>
    </xf>
    <xf numFmtId="173" fontId="9" fillId="61" borderId="48" xfId="0" applyNumberFormat="1" applyFont="1" applyFill="1" applyBorder="1" applyAlignment="1">
      <alignment horizontal="center" vertical="center" wrapText="1"/>
    </xf>
    <xf numFmtId="176" fontId="9" fillId="61" borderId="5" xfId="0" applyNumberFormat="1" applyFont="1" applyFill="1" applyBorder="1" applyAlignment="1">
      <alignment horizontal="center" vertical="center" wrapText="1"/>
    </xf>
    <xf numFmtId="169" fontId="0" fillId="12" borderId="1" xfId="0" applyNumberFormat="1" applyFont="1" applyFill="1" applyBorder="1" applyAlignment="1">
      <alignment horizontal="right"/>
    </xf>
    <xf numFmtId="173" fontId="9" fillId="60" borderId="51" xfId="0" applyNumberFormat="1" applyFont="1" applyFill="1" applyBorder="1" applyAlignment="1">
      <alignment horizontal="right"/>
    </xf>
    <xf numFmtId="167" fontId="0" fillId="12" borderId="51" xfId="0" applyNumberFormat="1" applyFont="1" applyFill="1" applyBorder="1" applyAlignment="1">
      <alignment horizontal="right"/>
    </xf>
    <xf numFmtId="167" fontId="9" fillId="60" borderId="51" xfId="0" applyNumberFormat="1" applyFont="1" applyFill="1" applyBorder="1" applyAlignment="1">
      <alignment horizontal="right"/>
    </xf>
    <xf numFmtId="173" fontId="9" fillId="60" borderId="79" xfId="0" applyNumberFormat="1" applyFont="1" applyFill="1" applyBorder="1" applyAlignment="1">
      <alignment horizontal="right"/>
    </xf>
    <xf numFmtId="167" fontId="9" fillId="60" borderId="50" xfId="0" applyNumberFormat="1" applyFont="1" applyFill="1" applyBorder="1" applyAlignment="1">
      <alignment horizontal="right"/>
    </xf>
    <xf numFmtId="167" fontId="9" fillId="60" borderId="49" xfId="0" applyNumberFormat="1" applyFont="1" applyFill="1" applyBorder="1" applyAlignment="1">
      <alignment horizontal="right"/>
    </xf>
    <xf numFmtId="173" fontId="9" fillId="60" borderId="50" xfId="0" applyNumberFormat="1" applyFont="1" applyFill="1" applyBorder="1" applyAlignment="1">
      <alignment horizontal="right"/>
    </xf>
    <xf numFmtId="173" fontId="9" fillId="60" borderId="78" xfId="0" applyNumberFormat="1" applyFont="1" applyFill="1" applyBorder="1" applyAlignment="1">
      <alignment horizontal="right"/>
    </xf>
    <xf numFmtId="168" fontId="55" fillId="67" borderId="57" xfId="2" applyNumberFormat="1" applyFont="1" applyFill="1" applyBorder="1" applyAlignment="1">
      <alignment horizontal="left" vertical="center"/>
    </xf>
    <xf numFmtId="3" fontId="61" fillId="2" borderId="0" xfId="0" applyNumberFormat="1" applyFont="1" applyFill="1" applyAlignment="1">
      <alignment vertical="center"/>
    </xf>
    <xf numFmtId="174" fontId="60" fillId="2" borderId="41" xfId="0" applyNumberFormat="1" applyFont="1" applyFill="1" applyBorder="1" applyAlignment="1">
      <alignment vertical="center"/>
    </xf>
    <xf numFmtId="167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66" fontId="18" fillId="0" borderId="0" xfId="0" applyNumberFormat="1" applyFont="1" applyAlignment="1">
      <alignment horizontal="left"/>
    </xf>
    <xf numFmtId="0" fontId="12" fillId="0" borderId="0" xfId="0" applyFont="1" applyAlignment="1">
      <alignment horizontal="left" vertical="center"/>
    </xf>
    <xf numFmtId="177" fontId="0" fillId="0" borderId="0" xfId="0" applyNumberFormat="1" applyAlignment="1">
      <alignment wrapText="1"/>
    </xf>
    <xf numFmtId="173" fontId="0" fillId="0" borderId="0" xfId="2" applyNumberFormat="1" applyFont="1" applyAlignment="1">
      <alignment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7" borderId="4" xfId="0" applyFont="1" applyFill="1" applyBorder="1" applyAlignment="1">
      <alignment vertical="center"/>
    </xf>
    <xf numFmtId="10" fontId="0" fillId="7" borderId="0" xfId="0" applyNumberFormat="1" applyFont="1" applyFill="1"/>
    <xf numFmtId="10" fontId="0" fillId="7" borderId="0" xfId="0" applyNumberFormat="1" applyFont="1" applyFill="1" applyBorder="1"/>
    <xf numFmtId="166" fontId="0" fillId="7" borderId="0" xfId="0" applyNumberFormat="1" applyFont="1" applyFill="1"/>
    <xf numFmtId="0" fontId="0" fillId="7" borderId="0" xfId="0" applyFont="1" applyFill="1"/>
    <xf numFmtId="0" fontId="2" fillId="7" borderId="0" xfId="0" applyFont="1" applyFill="1"/>
    <xf numFmtId="0" fontId="0" fillId="2" borderId="0" xfId="0" applyFont="1" applyFill="1"/>
    <xf numFmtId="0" fontId="3" fillId="2" borderId="0" xfId="0" applyFont="1" applyFill="1" applyBorder="1" applyAlignment="1">
      <alignment vertical="center"/>
    </xf>
    <xf numFmtId="166" fontId="3" fillId="2" borderId="0" xfId="0" applyNumberFormat="1" applyFont="1" applyFill="1" applyBorder="1" applyAlignment="1">
      <alignment vertical="center"/>
    </xf>
    <xf numFmtId="166" fontId="2" fillId="2" borderId="0" xfId="1" applyFont="1" applyFill="1" applyBorder="1"/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6" fontId="0" fillId="2" borderId="0" xfId="0" applyNumberFormat="1" applyFont="1" applyFill="1"/>
    <xf numFmtId="0" fontId="3" fillId="2" borderId="8" xfId="0" applyFont="1" applyFill="1" applyBorder="1" applyAlignment="1">
      <alignment vertical="center"/>
    </xf>
    <xf numFmtId="166" fontId="3" fillId="2" borderId="8" xfId="0" applyNumberFormat="1" applyFont="1" applyFill="1" applyBorder="1" applyAlignment="1">
      <alignment vertical="center"/>
    </xf>
    <xf numFmtId="166" fontId="2" fillId="2" borderId="8" xfId="1" applyFont="1" applyFill="1" applyBorder="1"/>
    <xf numFmtId="0" fontId="3" fillId="2" borderId="9" xfId="0" applyFont="1" applyFill="1" applyBorder="1" applyAlignment="1">
      <alignment vertical="center"/>
    </xf>
    <xf numFmtId="166" fontId="3" fillId="2" borderId="9" xfId="0" applyNumberFormat="1" applyFont="1" applyFill="1" applyBorder="1" applyAlignment="1">
      <alignment vertical="center"/>
    </xf>
    <xf numFmtId="166" fontId="2" fillId="2" borderId="9" xfId="1" applyFont="1" applyFill="1" applyBorder="1"/>
    <xf numFmtId="166" fontId="0" fillId="2" borderId="0" xfId="1" applyFont="1" applyFill="1"/>
    <xf numFmtId="166" fontId="0" fillId="2" borderId="0" xfId="0" applyNumberFormat="1" applyFill="1"/>
    <xf numFmtId="0" fontId="0" fillId="2" borderId="0" xfId="0" applyFont="1" applyFill="1" applyAlignment="1">
      <alignment horizontal="center"/>
    </xf>
    <xf numFmtId="10" fontId="0" fillId="2" borderId="0" xfId="0" applyNumberFormat="1" applyFont="1" applyFill="1"/>
    <xf numFmtId="10" fontId="0" fillId="2" borderId="0" xfId="0" applyNumberFormat="1" applyFont="1" applyFill="1" applyBorder="1"/>
    <xf numFmtId="0" fontId="0" fillId="2" borderId="0" xfId="0" applyFill="1" applyAlignment="1">
      <alignment vertical="center"/>
    </xf>
    <xf numFmtId="166" fontId="0" fillId="2" borderId="0" xfId="0" applyNumberFormat="1" applyFont="1" applyFill="1" applyBorder="1"/>
    <xf numFmtId="166" fontId="0" fillId="0" borderId="101" xfId="0" applyNumberFormat="1" applyFont="1" applyBorder="1"/>
    <xf numFmtId="166" fontId="0" fillId="0" borderId="100" xfId="0" applyNumberFormat="1" applyFont="1" applyBorder="1"/>
    <xf numFmtId="166" fontId="0" fillId="4" borderId="100" xfId="0" applyNumberFormat="1" applyFont="1" applyFill="1" applyBorder="1"/>
    <xf numFmtId="167" fontId="0" fillId="9" borderId="1" xfId="0" applyNumberFormat="1" applyFont="1" applyFill="1" applyBorder="1" applyAlignment="1">
      <alignment horizontal="center"/>
    </xf>
    <xf numFmtId="167" fontId="0" fillId="10" borderId="1" xfId="0" applyNumberFormat="1" applyFont="1" applyFill="1" applyBorder="1" applyAlignment="1">
      <alignment horizontal="center"/>
    </xf>
    <xf numFmtId="167" fontId="0" fillId="0" borderId="0" xfId="0" applyNumberFormat="1" applyFont="1"/>
    <xf numFmtId="0" fontId="0" fillId="0" borderId="0" xfId="0" applyFont="1" applyAlignment="1">
      <alignment wrapText="1"/>
    </xf>
    <xf numFmtId="0" fontId="10" fillId="6" borderId="2" xfId="0" applyFont="1" applyFill="1" applyBorder="1" applyAlignment="1">
      <alignment horizontal="center" wrapText="1"/>
    </xf>
    <xf numFmtId="0" fontId="10" fillId="6" borderId="1" xfId="0" applyFont="1" applyFill="1" applyBorder="1" applyAlignment="1">
      <alignment horizontal="center" wrapText="1"/>
    </xf>
    <xf numFmtId="0" fontId="0" fillId="0" borderId="0" xfId="0" applyFont="1" applyAlignment="1">
      <alignment vertical="center" wrapText="1"/>
    </xf>
    <xf numFmtId="2" fontId="0" fillId="0" borderId="0" xfId="0" applyNumberFormat="1" applyAlignment="1">
      <alignment wrapText="1"/>
    </xf>
    <xf numFmtId="0" fontId="27" fillId="0" borderId="0" xfId="0" applyFont="1" applyAlignment="1">
      <alignment horizontal="center" vertical="center" wrapText="1"/>
    </xf>
    <xf numFmtId="0" fontId="19" fillId="6" borderId="0" xfId="0" applyFont="1" applyFill="1" applyBorder="1" applyAlignment="1">
      <alignment horizontal="center" vertical="center" wrapText="1"/>
    </xf>
    <xf numFmtId="43" fontId="0" fillId="2" borderId="0" xfId="0" applyNumberFormat="1" applyFont="1" applyFill="1"/>
    <xf numFmtId="166" fontId="0" fillId="2" borderId="0" xfId="1" applyFont="1" applyFill="1" applyBorder="1"/>
    <xf numFmtId="1" fontId="0" fillId="0" borderId="0" xfId="1" applyNumberFormat="1" applyFont="1" applyAlignment="1">
      <alignment wrapText="1"/>
    </xf>
    <xf numFmtId="43" fontId="0" fillId="2" borderId="1" xfId="59" applyFont="1" applyFill="1" applyBorder="1"/>
    <xf numFmtId="0" fontId="67" fillId="0" borderId="0" xfId="0" applyFont="1"/>
    <xf numFmtId="0" fontId="9" fillId="6" borderId="17" xfId="0" applyFont="1" applyFill="1" applyBorder="1" applyAlignment="1">
      <alignment horizontal="center"/>
    </xf>
    <xf numFmtId="0" fontId="9" fillId="6" borderId="0" xfId="0" applyFont="1" applyFill="1" applyAlignment="1">
      <alignment horizontal="center"/>
    </xf>
    <xf numFmtId="0" fontId="9" fillId="6" borderId="0" xfId="0" applyFont="1" applyFill="1" applyAlignment="1">
      <alignment horizontal="center"/>
    </xf>
    <xf numFmtId="177" fontId="9" fillId="6" borderId="0" xfId="1" applyNumberFormat="1" applyFont="1" applyFill="1" applyAlignment="1">
      <alignment horizontal="center"/>
    </xf>
    <xf numFmtId="177" fontId="0" fillId="2" borderId="1" xfId="1" applyNumberFormat="1" applyFont="1" applyFill="1" applyBorder="1"/>
    <xf numFmtId="177" fontId="0" fillId="0" borderId="1" xfId="1" applyNumberFormat="1" applyFont="1" applyBorder="1"/>
    <xf numFmtId="177" fontId="0" fillId="0" borderId="0" xfId="1" applyNumberFormat="1" applyFont="1"/>
    <xf numFmtId="177" fontId="18" fillId="0" borderId="0" xfId="1" applyNumberFormat="1" applyFont="1"/>
    <xf numFmtId="0" fontId="1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67" fontId="0" fillId="0" borderId="0" xfId="0" applyNumberFormat="1" applyFill="1" applyBorder="1"/>
    <xf numFmtId="167" fontId="0" fillId="0" borderId="0" xfId="0" applyNumberFormat="1" applyFill="1"/>
    <xf numFmtId="0" fontId="27" fillId="2" borderId="0" xfId="0" applyFont="1" applyFill="1" applyAlignment="1">
      <alignment horizontal="center"/>
    </xf>
    <xf numFmtId="0" fontId="46" fillId="0" borderId="0" xfId="0" applyFont="1" applyAlignment="1">
      <alignment horizontal="center" vertical="center"/>
    </xf>
    <xf numFmtId="0" fontId="48" fillId="2" borderId="0" xfId="0" applyFont="1" applyFill="1" applyAlignment="1">
      <alignment horizontal="center"/>
    </xf>
    <xf numFmtId="177" fontId="0" fillId="5" borderId="1" xfId="1" applyNumberFormat="1" applyFont="1" applyFill="1" applyBorder="1"/>
    <xf numFmtId="177" fontId="0" fillId="5" borderId="7" xfId="1" applyNumberFormat="1" applyFont="1" applyFill="1" applyBorder="1"/>
    <xf numFmtId="177" fontId="0" fillId="5" borderId="59" xfId="1" applyNumberFormat="1" applyFont="1" applyFill="1" applyBorder="1"/>
    <xf numFmtId="177" fontId="0" fillId="11" borderId="1" xfId="1" applyNumberFormat="1" applyFont="1" applyFill="1" applyBorder="1"/>
    <xf numFmtId="177" fontId="0" fillId="0" borderId="2" xfId="1" applyNumberFormat="1" applyFont="1" applyBorder="1" applyAlignment="1">
      <alignment horizontal="center"/>
    </xf>
    <xf numFmtId="177" fontId="0" fillId="0" borderId="0" xfId="1" applyNumberFormat="1" applyFont="1" applyAlignment="1">
      <alignment wrapText="1"/>
    </xf>
    <xf numFmtId="168" fontId="0" fillId="0" borderId="0" xfId="0" applyNumberFormat="1" applyFill="1" applyBorder="1"/>
    <xf numFmtId="0" fontId="0" fillId="0" borderId="0" xfId="0" applyFill="1" applyAlignment="1">
      <alignment horizontal="left"/>
    </xf>
    <xf numFmtId="0" fontId="51" fillId="6" borderId="17" xfId="0" applyFont="1" applyFill="1" applyBorder="1" applyAlignment="1">
      <alignment horizontal="center"/>
    </xf>
    <xf numFmtId="0" fontId="51" fillId="6" borderId="19" xfId="0" applyFont="1" applyFill="1" applyBorder="1" applyAlignment="1">
      <alignment horizontal="center"/>
    </xf>
    <xf numFmtId="0" fontId="72" fillId="0" borderId="0" xfId="0" applyFont="1" applyAlignment="1">
      <alignment horizontal="center"/>
    </xf>
    <xf numFmtId="0" fontId="72" fillId="0" borderId="0" xfId="0" applyFont="1"/>
    <xf numFmtId="0" fontId="51" fillId="0" borderId="17" xfId="0" applyFont="1" applyFill="1" applyBorder="1" applyAlignment="1">
      <alignment horizontal="center"/>
    </xf>
    <xf numFmtId="0" fontId="51" fillId="6" borderId="56" xfId="0" applyFont="1" applyFill="1" applyBorder="1" applyAlignment="1">
      <alignment horizontal="center"/>
    </xf>
    <xf numFmtId="0" fontId="51" fillId="6" borderId="20" xfId="0" applyFont="1" applyFill="1" applyBorder="1" applyAlignment="1">
      <alignment horizontal="center"/>
    </xf>
    <xf numFmtId="0" fontId="51" fillId="6" borderId="21" xfId="0" applyFont="1" applyFill="1" applyBorder="1" applyAlignment="1">
      <alignment horizontal="center"/>
    </xf>
    <xf numFmtId="0" fontId="51" fillId="6" borderId="22" xfId="0" applyFont="1" applyFill="1" applyBorder="1" applyAlignment="1">
      <alignment horizontal="center"/>
    </xf>
    <xf numFmtId="0" fontId="72" fillId="0" borderId="0" xfId="0" applyFont="1" applyFill="1"/>
    <xf numFmtId="0" fontId="74" fillId="0" borderId="0" xfId="0" applyFont="1" applyAlignment="1">
      <alignment horizontal="left" wrapText="1"/>
    </xf>
    <xf numFmtId="0" fontId="51" fillId="6" borderId="17" xfId="0" applyFont="1" applyFill="1" applyBorder="1" applyAlignment="1">
      <alignment horizontal="center" vertical="center"/>
    </xf>
    <xf numFmtId="0" fontId="51" fillId="6" borderId="18" xfId="0" applyFont="1" applyFill="1" applyBorder="1" applyAlignment="1">
      <alignment horizontal="center" vertical="center"/>
    </xf>
    <xf numFmtId="0" fontId="72" fillId="0" borderId="0" xfId="0" applyFont="1" applyAlignment="1">
      <alignment horizontal="left"/>
    </xf>
    <xf numFmtId="168" fontId="72" fillId="0" borderId="0" xfId="0" applyNumberFormat="1" applyFont="1" applyFill="1" applyBorder="1"/>
    <xf numFmtId="0" fontId="72" fillId="0" borderId="0" xfId="0" applyFont="1" applyFill="1" applyAlignment="1">
      <alignment horizontal="left"/>
    </xf>
    <xf numFmtId="0" fontId="13" fillId="0" borderId="0" xfId="0" applyFont="1" applyFill="1" applyBorder="1" applyAlignment="1">
      <alignment vertical="center"/>
    </xf>
    <xf numFmtId="0" fontId="51" fillId="0" borderId="0" xfId="0" applyFont="1" applyFill="1" applyBorder="1" applyAlignment="1">
      <alignment horizontal="center"/>
    </xf>
    <xf numFmtId="0" fontId="51" fillId="0" borderId="0" xfId="0" applyFont="1" applyFill="1" applyBorder="1" applyAlignment="1">
      <alignment horizontal="center" vertical="center"/>
    </xf>
    <xf numFmtId="167" fontId="72" fillId="0" borderId="0" xfId="1" applyNumberFormat="1" applyFont="1" applyFill="1" applyBorder="1"/>
    <xf numFmtId="167" fontId="6" fillId="0" borderId="0" xfId="1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167" fontId="7" fillId="0" borderId="0" xfId="1" applyNumberFormat="1" applyFont="1" applyFill="1" applyBorder="1"/>
    <xf numFmtId="0" fontId="6" fillId="0" borderId="0" xfId="0" applyFont="1" applyFill="1" applyBorder="1"/>
    <xf numFmtId="0" fontId="72" fillId="0" borderId="0" xfId="0" applyFont="1" applyFill="1" applyBorder="1" applyAlignment="1">
      <alignment horizontal="center"/>
    </xf>
    <xf numFmtId="168" fontId="6" fillId="0" borderId="0" xfId="2" applyNumberFormat="1" applyFont="1" applyFill="1" applyBorder="1"/>
    <xf numFmtId="168" fontId="6" fillId="0" borderId="0" xfId="0" applyNumberFormat="1" applyFont="1" applyFill="1" applyBorder="1"/>
    <xf numFmtId="0" fontId="72" fillId="0" borderId="0" xfId="0" applyFont="1" applyFill="1" applyBorder="1"/>
    <xf numFmtId="0" fontId="7" fillId="0" borderId="0" xfId="0" applyFont="1" applyFill="1" applyBorder="1" applyAlignment="1">
      <alignment horizontal="center"/>
    </xf>
    <xf numFmtId="167" fontId="51" fillId="0" borderId="0" xfId="1" applyNumberFormat="1" applyFont="1" applyFill="1" applyBorder="1"/>
    <xf numFmtId="0" fontId="51" fillId="6" borderId="23" xfId="0" applyFont="1" applyFill="1" applyBorder="1" applyAlignment="1">
      <alignment horizontal="center"/>
    </xf>
    <xf numFmtId="0" fontId="51" fillId="6" borderId="24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168" fontId="0" fillId="0" borderId="0" xfId="2" applyNumberFormat="1" applyFont="1" applyFill="1" applyBorder="1"/>
    <xf numFmtId="167" fontId="9" fillId="0" borderId="0" xfId="1" applyNumberFormat="1" applyFont="1" applyFill="1" applyBorder="1" applyAlignment="1">
      <alignment horizontal="center"/>
    </xf>
    <xf numFmtId="168" fontId="9" fillId="0" borderId="0" xfId="2" applyNumberFormat="1" applyFont="1" applyFill="1" applyBorder="1"/>
    <xf numFmtId="167" fontId="9" fillId="0" borderId="0" xfId="0" applyNumberFormat="1" applyFont="1" applyFill="1" applyBorder="1"/>
    <xf numFmtId="168" fontId="9" fillId="0" borderId="0" xfId="2" applyNumberFormat="1" applyFont="1" applyFill="1" applyBorder="1" applyAlignment="1">
      <alignment horizontal="right"/>
    </xf>
    <xf numFmtId="0" fontId="0" fillId="0" borderId="0" xfId="0" applyFill="1" applyBorder="1"/>
    <xf numFmtId="0" fontId="51" fillId="6" borderId="1" xfId="0" applyFont="1" applyFill="1" applyBorder="1" applyAlignment="1">
      <alignment horizontal="center"/>
    </xf>
    <xf numFmtId="0" fontId="51" fillId="6" borderId="1" xfId="0" applyFont="1" applyFill="1" applyBorder="1" applyAlignment="1">
      <alignment horizontal="center" vertical="center"/>
    </xf>
    <xf numFmtId="0" fontId="29" fillId="69" borderId="75" xfId="0" applyFont="1" applyFill="1" applyBorder="1" applyAlignment="1">
      <alignment horizontal="center" vertical="center" wrapText="1"/>
    </xf>
    <xf numFmtId="0" fontId="8" fillId="69" borderId="75" xfId="0" applyFont="1" applyFill="1" applyBorder="1" applyAlignment="1">
      <alignment horizontal="center" vertical="center" wrapText="1"/>
    </xf>
    <xf numFmtId="174" fontId="62" fillId="70" borderId="41" xfId="1" applyNumberFormat="1" applyFont="1" applyFill="1" applyBorder="1" applyAlignment="1">
      <alignment horizontal="center" vertical="center"/>
    </xf>
    <xf numFmtId="168" fontId="48" fillId="70" borderId="93" xfId="2" applyNumberFormat="1" applyFont="1" applyFill="1" applyBorder="1" applyAlignment="1">
      <alignment horizontal="left" vertical="center"/>
    </xf>
    <xf numFmtId="0" fontId="58" fillId="70" borderId="75" xfId="0" applyFont="1" applyFill="1" applyBorder="1" applyAlignment="1">
      <alignment horizontal="center" vertical="center" wrapText="1"/>
    </xf>
    <xf numFmtId="3" fontId="58" fillId="70" borderId="41" xfId="0" applyNumberFormat="1" applyFont="1" applyFill="1" applyBorder="1" applyAlignment="1">
      <alignment horizontal="center" vertical="center"/>
    </xf>
    <xf numFmtId="167" fontId="58" fillId="70" borderId="41" xfId="1" applyNumberFormat="1" applyFont="1" applyFill="1" applyBorder="1" applyAlignment="1">
      <alignment horizontal="right" vertical="center"/>
    </xf>
    <xf numFmtId="169" fontId="58" fillId="70" borderId="41" xfId="1" applyNumberFormat="1" applyFont="1" applyFill="1" applyBorder="1" applyAlignment="1">
      <alignment horizontal="right" vertical="center"/>
    </xf>
    <xf numFmtId="169" fontId="55" fillId="70" borderId="41" xfId="1" applyNumberFormat="1" applyFont="1" applyFill="1" applyBorder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0" fontId="73" fillId="2" borderId="0" xfId="0" applyFont="1" applyFill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167" fontId="0" fillId="2" borderId="0" xfId="1" applyNumberFormat="1" applyFont="1" applyFill="1" applyBorder="1"/>
    <xf numFmtId="167" fontId="18" fillId="2" borderId="0" xfId="0" applyNumberFormat="1" applyFont="1" applyFill="1"/>
    <xf numFmtId="0" fontId="18" fillId="2" borderId="0" xfId="0" applyFont="1" applyFill="1"/>
    <xf numFmtId="166" fontId="18" fillId="2" borderId="0" xfId="0" applyNumberFormat="1" applyFont="1" applyFill="1"/>
    <xf numFmtId="0" fontId="72" fillId="2" borderId="0" xfId="0" applyFont="1" applyFill="1"/>
    <xf numFmtId="0" fontId="75" fillId="6" borderId="1" xfId="0" applyFont="1" applyFill="1" applyBorder="1" applyAlignment="1">
      <alignment horizontal="center" vertical="center" wrapText="1"/>
    </xf>
    <xf numFmtId="0" fontId="59" fillId="6" borderId="1" xfId="0" applyFont="1" applyFill="1" applyBorder="1" applyAlignment="1">
      <alignment horizontal="center" vertical="center"/>
    </xf>
    <xf numFmtId="0" fontId="59" fillId="6" borderId="5" xfId="0" applyFont="1" applyFill="1" applyBorder="1" applyAlignment="1">
      <alignment horizontal="center" vertical="center"/>
    </xf>
    <xf numFmtId="0" fontId="59" fillId="6" borderId="0" xfId="0" applyFont="1" applyFill="1" applyBorder="1" applyAlignment="1">
      <alignment horizontal="center" vertical="center"/>
    </xf>
    <xf numFmtId="0" fontId="72" fillId="0" borderId="0" xfId="0" applyFont="1" applyFill="1" applyAlignment="1">
      <alignment horizontal="center"/>
    </xf>
    <xf numFmtId="0" fontId="73" fillId="0" borderId="0" xfId="0" applyFont="1" applyFill="1" applyBorder="1" applyAlignment="1">
      <alignment horizontal="center" vertical="center"/>
    </xf>
    <xf numFmtId="0" fontId="0" fillId="7" borderId="1" xfId="0" applyFill="1" applyBorder="1"/>
    <xf numFmtId="169" fontId="0" fillId="7" borderId="1" xfId="0" applyNumberFormat="1" applyFill="1" applyBorder="1"/>
    <xf numFmtId="168" fontId="0" fillId="7" borderId="1" xfId="2" applyNumberFormat="1" applyFont="1" applyFill="1" applyBorder="1"/>
    <xf numFmtId="170" fontId="0" fillId="0" borderId="0" xfId="0" applyNumberFormat="1" applyAlignment="1">
      <alignment wrapText="1"/>
    </xf>
    <xf numFmtId="0" fontId="9" fillId="6" borderId="1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 vertical="center"/>
    </xf>
    <xf numFmtId="176" fontId="9" fillId="61" borderId="1" xfId="0" applyNumberFormat="1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/>
    </xf>
    <xf numFmtId="0" fontId="9" fillId="6" borderId="16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8" fontId="0" fillId="0" borderId="7" xfId="2" applyNumberFormat="1" applyFont="1" applyBorder="1" applyAlignment="1">
      <alignment horizontal="center" vertical="center"/>
    </xf>
    <xf numFmtId="168" fontId="0" fillId="2" borderId="1" xfId="2" applyNumberFormat="1" applyFont="1" applyFill="1" applyBorder="1" applyAlignment="1">
      <alignment horizontal="center" vertical="center"/>
    </xf>
    <xf numFmtId="167" fontId="0" fillId="2" borderId="1" xfId="1" applyNumberFormat="1" applyFont="1" applyFill="1" applyBorder="1" applyAlignment="1">
      <alignment horizontal="center" vertical="center"/>
    </xf>
    <xf numFmtId="169" fontId="0" fillId="2" borderId="1" xfId="1" applyNumberFormat="1" applyFont="1" applyFill="1" applyBorder="1" applyAlignment="1">
      <alignment horizontal="center" vertical="center"/>
    </xf>
    <xf numFmtId="169" fontId="0" fillId="0" borderId="1" xfId="1" applyNumberFormat="1" applyFont="1" applyBorder="1" applyAlignment="1">
      <alignment horizontal="center" vertical="center"/>
    </xf>
    <xf numFmtId="168" fontId="0" fillId="0" borderId="5" xfId="2" applyNumberFormat="1" applyFont="1" applyBorder="1" applyAlignment="1">
      <alignment horizontal="center" vertical="center"/>
    </xf>
    <xf numFmtId="167" fontId="0" fillId="0" borderId="7" xfId="1" applyNumberFormat="1" applyFont="1" applyBorder="1" applyAlignment="1">
      <alignment horizontal="center" vertical="center"/>
    </xf>
    <xf numFmtId="167" fontId="0" fillId="2" borderId="7" xfId="1" applyNumberFormat="1" applyFont="1" applyFill="1" applyBorder="1" applyAlignment="1">
      <alignment horizontal="center" vertical="center"/>
    </xf>
    <xf numFmtId="169" fontId="0" fillId="0" borderId="7" xfId="1" applyNumberFormat="1" applyFont="1" applyBorder="1" applyAlignment="1">
      <alignment horizontal="center" vertical="center"/>
    </xf>
    <xf numFmtId="168" fontId="0" fillId="2" borderId="7" xfId="2" applyNumberFormat="1" applyFont="1" applyFill="1" applyBorder="1" applyAlignment="1">
      <alignment horizontal="center" vertical="center"/>
    </xf>
    <xf numFmtId="168" fontId="0" fillId="0" borderId="15" xfId="2" applyNumberFormat="1" applyFont="1" applyBorder="1" applyAlignment="1">
      <alignment horizontal="center" vertical="center"/>
    </xf>
    <xf numFmtId="167" fontId="0" fillId="0" borderId="0" xfId="1" applyNumberFormat="1" applyFon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77" fontId="0" fillId="0" borderId="1" xfId="1" applyNumberFormat="1" applyFont="1" applyBorder="1" applyAlignment="1">
      <alignment horizontal="center" vertical="center"/>
    </xf>
    <xf numFmtId="177" fontId="0" fillId="2" borderId="1" xfId="1" applyNumberFormat="1" applyFont="1" applyFill="1" applyBorder="1" applyAlignment="1">
      <alignment horizontal="center" vertical="center"/>
    </xf>
    <xf numFmtId="177" fontId="0" fillId="8" borderId="0" xfId="0" applyNumberFormat="1" applyFill="1" applyAlignment="1">
      <alignment horizontal="center" vertical="center"/>
    </xf>
    <xf numFmtId="177" fontId="0" fillId="8" borderId="0" xfId="1" applyNumberFormat="1" applyFont="1" applyFill="1" applyAlignment="1">
      <alignment horizontal="center" vertical="center"/>
    </xf>
    <xf numFmtId="177" fontId="0" fillId="8" borderId="0" xfId="2" applyNumberFormat="1" applyFont="1" applyFill="1" applyAlignment="1">
      <alignment horizontal="center" vertical="center"/>
    </xf>
    <xf numFmtId="2" fontId="0" fillId="0" borderId="0" xfId="1" applyNumberFormat="1" applyFont="1" applyAlignment="1">
      <alignment wrapText="1"/>
    </xf>
    <xf numFmtId="0" fontId="27" fillId="8" borderId="0" xfId="0" applyFont="1" applyFill="1" applyAlignment="1">
      <alignment horizontal="center" vertical="center" wrapText="1"/>
    </xf>
    <xf numFmtId="168" fontId="27" fillId="8" borderId="0" xfId="2" applyNumberFormat="1" applyFont="1" applyFill="1" applyAlignment="1">
      <alignment horizontal="center" vertical="center" wrapText="1"/>
    </xf>
    <xf numFmtId="177" fontId="0" fillId="0" borderId="7" xfId="1" applyNumberFormat="1" applyFont="1" applyBorder="1" applyAlignment="1">
      <alignment horizontal="center" vertical="center"/>
    </xf>
    <xf numFmtId="3" fontId="0" fillId="0" borderId="0" xfId="1" applyNumberFormat="1" applyFont="1" applyAlignment="1">
      <alignment wrapText="1"/>
    </xf>
    <xf numFmtId="167" fontId="0" fillId="0" borderId="0" xfId="2" applyNumberFormat="1" applyFont="1" applyBorder="1" applyAlignment="1">
      <alignment horizontal="center" vertical="center"/>
    </xf>
    <xf numFmtId="167" fontId="0" fillId="12" borderId="2" xfId="0" applyNumberFormat="1" applyFill="1" applyBorder="1" applyAlignment="1">
      <alignment horizontal="right"/>
    </xf>
    <xf numFmtId="167" fontId="0" fillId="12" borderId="2" xfId="0" applyNumberFormat="1" applyFont="1" applyFill="1" applyBorder="1" applyAlignment="1">
      <alignment horizontal="right"/>
    </xf>
    <xf numFmtId="0" fontId="9" fillId="6" borderId="17" xfId="0" applyFont="1" applyFill="1" applyBorder="1" applyAlignment="1">
      <alignment horizontal="center"/>
    </xf>
    <xf numFmtId="43" fontId="3" fillId="2" borderId="8" xfId="0" applyNumberFormat="1" applyFont="1" applyFill="1" applyBorder="1" applyAlignment="1">
      <alignment vertical="center"/>
    </xf>
    <xf numFmtId="168" fontId="51" fillId="6" borderId="17" xfId="0" applyNumberFormat="1" applyFont="1" applyFill="1" applyBorder="1" applyAlignment="1">
      <alignment horizontal="center"/>
    </xf>
    <xf numFmtId="0" fontId="72" fillId="2" borderId="0" xfId="0" applyFont="1" applyFill="1" applyAlignment="1">
      <alignment horizontal="center"/>
    </xf>
    <xf numFmtId="0" fontId="0" fillId="0" borderId="0" xfId="0" applyAlignment="1"/>
    <xf numFmtId="168" fontId="0" fillId="0" borderId="0" xfId="2" applyNumberFormat="1" applyFont="1" applyAlignment="1">
      <alignment vertical="center"/>
    </xf>
    <xf numFmtId="0" fontId="9" fillId="6" borderId="9" xfId="0" applyFont="1" applyFill="1" applyBorder="1" applyAlignment="1">
      <alignment vertical="center"/>
    </xf>
    <xf numFmtId="44" fontId="0" fillId="0" borderId="1" xfId="3" applyFont="1" applyBorder="1" applyAlignment="1">
      <alignment horizontal="center" vertical="center"/>
    </xf>
    <xf numFmtId="44" fontId="9" fillId="6" borderId="1" xfId="3" applyFont="1" applyFill="1" applyBorder="1" applyAlignment="1">
      <alignment horizontal="center" vertical="center" wrapText="1"/>
    </xf>
    <xf numFmtId="44" fontId="0" fillId="0" borderId="0" xfId="3" applyFont="1" applyAlignment="1">
      <alignment horizontal="center" vertical="center"/>
    </xf>
    <xf numFmtId="44" fontId="0" fillId="0" borderId="1" xfId="3" quotePrefix="1" applyFont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0" fontId="0" fillId="0" borderId="0" xfId="0" applyFill="1" applyAlignment="1">
      <alignment vertical="center" wrapText="1"/>
    </xf>
    <xf numFmtId="0" fontId="77" fillId="2" borderId="0" xfId="48" applyFont="1" applyFill="1" applyBorder="1" applyAlignment="1">
      <alignment vertical="center"/>
    </xf>
    <xf numFmtId="0" fontId="78" fillId="0" borderId="0" xfId="0" applyFont="1" applyAlignment="1">
      <alignment vertical="center"/>
    </xf>
    <xf numFmtId="177" fontId="12" fillId="0" borderId="0" xfId="1" applyNumberFormat="1" applyFont="1"/>
    <xf numFmtId="177" fontId="12" fillId="19" borderId="1" xfId="1" applyNumberFormat="1" applyFont="1" applyFill="1" applyBorder="1"/>
    <xf numFmtId="177" fontId="12" fillId="0" borderId="1" xfId="1" applyNumberFormat="1" applyFont="1" applyBorder="1"/>
    <xf numFmtId="177" fontId="24" fillId="19" borderId="1" xfId="1" applyNumberFormat="1" applyFont="1" applyFill="1" applyBorder="1" applyAlignment="1">
      <alignment vertical="center"/>
    </xf>
    <xf numFmtId="177" fontId="24" fillId="7" borderId="1" xfId="1" applyNumberFormat="1" applyFont="1" applyFill="1" applyBorder="1" applyAlignment="1">
      <alignment vertical="center"/>
    </xf>
    <xf numFmtId="177" fontId="24" fillId="19" borderId="1" xfId="1" applyNumberFormat="1" applyFont="1" applyFill="1" applyBorder="1"/>
    <xf numFmtId="177" fontId="24" fillId="7" borderId="1" xfId="1" applyNumberFormat="1" applyFont="1" applyFill="1" applyBorder="1"/>
    <xf numFmtId="177" fontId="12" fillId="0" borderId="0" xfId="1" applyNumberFormat="1" applyFont="1" applyFill="1"/>
    <xf numFmtId="177" fontId="12" fillId="0" borderId="0" xfId="1" applyNumberFormat="1" applyFont="1" applyFill="1" applyBorder="1"/>
    <xf numFmtId="177" fontId="12" fillId="2" borderId="0" xfId="1" applyNumberFormat="1" applyFont="1" applyFill="1"/>
    <xf numFmtId="177" fontId="79" fillId="2" borderId="72" xfId="1" applyNumberFormat="1" applyFont="1" applyFill="1" applyBorder="1" applyAlignment="1">
      <alignment vertical="center"/>
    </xf>
    <xf numFmtId="177" fontId="79" fillId="2" borderId="0" xfId="1" applyNumberFormat="1" applyFont="1" applyFill="1" applyAlignment="1">
      <alignment vertical="center" wrapText="1"/>
    </xf>
    <xf numFmtId="177" fontId="24" fillId="2" borderId="72" xfId="1" applyNumberFormat="1" applyFont="1" applyFill="1" applyBorder="1" applyAlignment="1">
      <alignment vertical="center"/>
    </xf>
    <xf numFmtId="177" fontId="24" fillId="2" borderId="0" xfId="1" applyNumberFormat="1" applyFont="1" applyFill="1" applyAlignment="1">
      <alignment vertical="center" wrapText="1"/>
    </xf>
    <xf numFmtId="177" fontId="11" fillId="2" borderId="39" xfId="1" applyNumberFormat="1" applyFont="1" applyFill="1" applyBorder="1" applyAlignment="1">
      <alignment horizontal="right" vertical="center"/>
    </xf>
    <xf numFmtId="177" fontId="73" fillId="2" borderId="39" xfId="1" applyNumberFormat="1" applyFont="1" applyFill="1" applyBorder="1" applyAlignment="1">
      <alignment horizontal="right" vertical="center"/>
    </xf>
    <xf numFmtId="3" fontId="58" fillId="2" borderId="41" xfId="0" applyNumberFormat="1" applyFont="1" applyFill="1" applyBorder="1" applyAlignment="1">
      <alignment horizontal="center" vertical="center"/>
    </xf>
    <xf numFmtId="0" fontId="63" fillId="4" borderId="85" xfId="0" applyFont="1" applyFill="1" applyBorder="1" applyAlignment="1">
      <alignment horizontal="center" vertical="center" wrapText="1"/>
    </xf>
    <xf numFmtId="3" fontId="29" fillId="2" borderId="41" xfId="0" applyNumberFormat="1" applyFont="1" applyFill="1" applyBorder="1" applyAlignment="1">
      <alignment horizontal="center" vertical="center"/>
    </xf>
    <xf numFmtId="0" fontId="0" fillId="0" borderId="102" xfId="0" applyBorder="1"/>
    <xf numFmtId="0" fontId="0" fillId="0" borderId="103" xfId="0" applyBorder="1"/>
    <xf numFmtId="0" fontId="0" fillId="0" borderId="104" xfId="0" applyBorder="1"/>
    <xf numFmtId="0" fontId="0" fillId="0" borderId="105" xfId="0" applyBorder="1"/>
    <xf numFmtId="0" fontId="0" fillId="0" borderId="106" xfId="0" applyBorder="1"/>
    <xf numFmtId="0" fontId="0" fillId="0" borderId="107" xfId="0" applyBorder="1"/>
    <xf numFmtId="0" fontId="0" fillId="0" borderId="108" xfId="0" applyBorder="1"/>
    <xf numFmtId="0" fontId="0" fillId="0" borderId="109" xfId="0" applyBorder="1"/>
    <xf numFmtId="0" fontId="0" fillId="0" borderId="110" xfId="0" applyBorder="1"/>
    <xf numFmtId="4" fontId="0" fillId="2" borderId="0" xfId="0" applyNumberFormat="1" applyFont="1" applyFill="1"/>
    <xf numFmtId="0" fontId="0" fillId="0" borderId="0" xfId="0"/>
    <xf numFmtId="167" fontId="46" fillId="0" borderId="0" xfId="0" applyNumberFormat="1" applyFont="1" applyAlignment="1">
      <alignment vertical="center"/>
    </xf>
    <xf numFmtId="0" fontId="0" fillId="0" borderId="0" xfId="0"/>
    <xf numFmtId="0" fontId="9" fillId="6" borderId="29" xfId="0" applyFont="1" applyFill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/>
    </xf>
    <xf numFmtId="3" fontId="0" fillId="7" borderId="19" xfId="0" applyNumberFormat="1" applyFill="1" applyBorder="1" applyAlignment="1">
      <alignment horizontal="center" vertical="center"/>
    </xf>
    <xf numFmtId="0" fontId="2" fillId="0" borderId="1" xfId="0" applyFont="1" applyBorder="1"/>
    <xf numFmtId="177" fontId="2" fillId="0" borderId="1" xfId="1" applyNumberFormat="1" applyFont="1" applyBorder="1"/>
    <xf numFmtId="10" fontId="55" fillId="11" borderId="41" xfId="2" applyNumberFormat="1" applyFont="1" applyFill="1" applyBorder="1" applyAlignment="1">
      <alignment horizontal="center" vertical="center"/>
    </xf>
    <xf numFmtId="10" fontId="19" fillId="60" borderId="41" xfId="2" applyNumberFormat="1" applyFont="1" applyFill="1" applyBorder="1" applyAlignment="1">
      <alignment horizontal="center" vertical="center"/>
    </xf>
    <xf numFmtId="10" fontId="62" fillId="63" borderId="41" xfId="2" applyNumberFormat="1" applyFont="1" applyFill="1" applyBorder="1" applyAlignment="1">
      <alignment horizontal="center" vertical="center"/>
    </xf>
    <xf numFmtId="10" fontId="29" fillId="7" borderId="41" xfId="2" applyNumberFormat="1" applyFont="1" applyFill="1" applyBorder="1" applyAlignment="1">
      <alignment horizontal="center" vertical="center"/>
    </xf>
    <xf numFmtId="177" fontId="0" fillId="2" borderId="0" xfId="1" applyNumberFormat="1" applyFont="1" applyFill="1"/>
    <xf numFmtId="0" fontId="46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19" fillId="51" borderId="1" xfId="0" applyFont="1" applyFill="1" applyBorder="1" applyAlignment="1">
      <alignment horizontal="center" vertical="center" wrapText="1"/>
    </xf>
    <xf numFmtId="3" fontId="27" fillId="55" borderId="0" xfId="0" applyNumberFormat="1" applyFont="1" applyFill="1" applyAlignment="1">
      <alignment horizontal="center" vertical="center" wrapText="1"/>
    </xf>
    <xf numFmtId="0" fontId="67" fillId="0" borderId="0" xfId="0" applyFont="1" applyAlignment="1">
      <alignment vertical="center" wrapText="1"/>
    </xf>
    <xf numFmtId="0" fontId="27" fillId="0" borderId="0" xfId="0" applyFont="1" applyAlignment="1">
      <alignment vertical="center" wrapText="1"/>
    </xf>
    <xf numFmtId="0" fontId="58" fillId="2" borderId="1" xfId="0" applyFont="1" applyFill="1" applyBorder="1" applyAlignment="1">
      <alignment horizontal="center" vertical="center"/>
    </xf>
    <xf numFmtId="3" fontId="27" fillId="2" borderId="1" xfId="0" applyNumberFormat="1" applyFont="1" applyFill="1" applyBorder="1" applyAlignment="1">
      <alignment horizontal="center" vertical="center"/>
    </xf>
    <xf numFmtId="3" fontId="27" fillId="2" borderId="1" xfId="1" applyNumberFormat="1" applyFont="1" applyFill="1" applyBorder="1" applyAlignment="1">
      <alignment horizontal="center" vertical="center"/>
    </xf>
    <xf numFmtId="3" fontId="67" fillId="7" borderId="1" xfId="0" applyNumberFormat="1" applyFont="1" applyFill="1" applyBorder="1" applyAlignment="1">
      <alignment horizontal="right" vertical="center"/>
    </xf>
    <xf numFmtId="174" fontId="27" fillId="4" borderId="1" xfId="0" applyNumberFormat="1" applyFont="1" applyFill="1" applyBorder="1" applyAlignment="1">
      <alignment horizontal="right" vertical="center"/>
    </xf>
    <xf numFmtId="174" fontId="27" fillId="4" borderId="1" xfId="0" applyNumberFormat="1" applyFont="1" applyFill="1" applyBorder="1" applyAlignment="1">
      <alignment vertical="center"/>
    </xf>
    <xf numFmtId="3" fontId="67" fillId="2" borderId="1" xfId="0" applyNumberFormat="1" applyFont="1" applyFill="1" applyBorder="1" applyAlignment="1">
      <alignment vertical="center"/>
    </xf>
    <xf numFmtId="3" fontId="67" fillId="0" borderId="1" xfId="1" applyNumberFormat="1" applyFont="1" applyBorder="1" applyAlignment="1">
      <alignment vertical="center"/>
    </xf>
    <xf numFmtId="3" fontId="27" fillId="0" borderId="1" xfId="1" applyNumberFormat="1" applyFont="1" applyBorder="1" applyAlignment="1">
      <alignment vertical="center"/>
    </xf>
    <xf numFmtId="3" fontId="27" fillId="0" borderId="1" xfId="0" applyNumberFormat="1" applyFont="1" applyBorder="1" applyAlignment="1">
      <alignment vertical="center"/>
    </xf>
    <xf numFmtId="173" fontId="27" fillId="0" borderId="1" xfId="0" applyNumberFormat="1" applyFont="1" applyBorder="1" applyAlignment="1">
      <alignment vertical="center"/>
    </xf>
    <xf numFmtId="3" fontId="27" fillId="55" borderId="0" xfId="0" applyNumberFormat="1" applyFont="1" applyFill="1" applyAlignment="1">
      <alignment horizontal="center" vertical="center"/>
    </xf>
    <xf numFmtId="168" fontId="27" fillId="54" borderId="0" xfId="2" applyNumberFormat="1" applyFont="1" applyFill="1" applyAlignment="1">
      <alignment horizontal="center" vertical="center"/>
    </xf>
    <xf numFmtId="168" fontId="27" fillId="0" borderId="0" xfId="2" applyNumberFormat="1" applyFont="1" applyAlignment="1">
      <alignment horizontal="center" vertical="center"/>
    </xf>
    <xf numFmtId="0" fontId="57" fillId="7" borderId="1" xfId="0" applyFont="1" applyFill="1" applyBorder="1" applyAlignment="1">
      <alignment horizontal="center" vertical="center" wrapText="1"/>
    </xf>
    <xf numFmtId="3" fontId="58" fillId="17" borderId="1" xfId="0" applyNumberFormat="1" applyFont="1" applyFill="1" applyBorder="1" applyAlignment="1">
      <alignment horizontal="center" vertical="center"/>
    </xf>
    <xf numFmtId="3" fontId="58" fillId="17" borderId="1" xfId="1" applyNumberFormat="1" applyFont="1" applyFill="1" applyBorder="1" applyAlignment="1">
      <alignment horizontal="center" vertical="center"/>
    </xf>
    <xf numFmtId="3" fontId="58" fillId="52" borderId="1" xfId="0" applyNumberFormat="1" applyFont="1" applyFill="1" applyBorder="1" applyAlignment="1">
      <alignment vertical="center"/>
    </xf>
    <xf numFmtId="174" fontId="58" fillId="4" borderId="2" xfId="0" applyNumberFormat="1" applyFont="1" applyFill="1" applyBorder="1" applyAlignment="1">
      <alignment horizontal="right" vertical="center"/>
    </xf>
    <xf numFmtId="174" fontId="58" fillId="4" borderId="1" xfId="0" applyNumberFormat="1" applyFont="1" applyFill="1" applyBorder="1" applyAlignment="1">
      <alignment vertical="center"/>
    </xf>
    <xf numFmtId="3" fontId="19" fillId="51" borderId="1" xfId="0" applyNumberFormat="1" applyFont="1" applyFill="1" applyBorder="1" applyAlignment="1">
      <alignment vertical="center"/>
    </xf>
    <xf numFmtId="3" fontId="58" fillId="7" borderId="1" xfId="0" applyNumberFormat="1" applyFont="1" applyFill="1" applyBorder="1" applyAlignment="1">
      <alignment vertical="center"/>
    </xf>
    <xf numFmtId="173" fontId="58" fillId="7" borderId="1" xfId="0" applyNumberFormat="1" applyFont="1" applyFill="1" applyBorder="1" applyAlignment="1">
      <alignment vertical="center"/>
    </xf>
    <xf numFmtId="0" fontId="58" fillId="7" borderId="1" xfId="0" applyFont="1" applyFill="1" applyBorder="1" applyAlignment="1">
      <alignment horizontal="center" vertical="center"/>
    </xf>
    <xf numFmtId="0" fontId="58" fillId="17" borderId="1" xfId="0" applyFont="1" applyFill="1" applyBorder="1" applyAlignment="1">
      <alignment horizontal="center" vertical="center"/>
    </xf>
    <xf numFmtId="3" fontId="27" fillId="17" borderId="1" xfId="1" applyNumberFormat="1" applyFont="1" applyFill="1" applyBorder="1" applyAlignment="1">
      <alignment horizontal="center" vertical="center"/>
    </xf>
    <xf numFmtId="166" fontId="27" fillId="52" borderId="1" xfId="0" applyNumberFormat="1" applyFont="1" applyFill="1" applyBorder="1" applyAlignment="1">
      <alignment vertical="center"/>
    </xf>
    <xf numFmtId="3" fontId="27" fillId="52" borderId="1" xfId="0" applyNumberFormat="1" applyFont="1" applyFill="1" applyBorder="1" applyAlignment="1">
      <alignment vertical="center"/>
    </xf>
    <xf numFmtId="3" fontId="56" fillId="51" borderId="1" xfId="0" applyNumberFormat="1" applyFont="1" applyFill="1" applyBorder="1" applyAlignment="1">
      <alignment vertical="center"/>
    </xf>
    <xf numFmtId="167" fontId="58" fillId="52" borderId="1" xfId="0" applyNumberFormat="1" applyFont="1" applyFill="1" applyBorder="1" applyAlignment="1">
      <alignment vertical="center"/>
    </xf>
    <xf numFmtId="167" fontId="46" fillId="2" borderId="0" xfId="1" applyNumberFormat="1" applyFont="1" applyFill="1" applyBorder="1" applyAlignment="1">
      <alignment horizontal="center" vertical="center"/>
    </xf>
    <xf numFmtId="167" fontId="46" fillId="2" borderId="0" xfId="1" applyNumberFormat="1" applyFont="1" applyFill="1" applyBorder="1" applyAlignment="1">
      <alignment vertical="center"/>
    </xf>
    <xf numFmtId="3" fontId="27" fillId="2" borderId="0" xfId="0" applyNumberFormat="1" applyFont="1" applyFill="1" applyAlignment="1">
      <alignment horizontal="center" vertical="center"/>
    </xf>
    <xf numFmtId="168" fontId="27" fillId="2" borderId="0" xfId="2" applyNumberFormat="1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67" fillId="2" borderId="0" xfId="0" applyFont="1" applyFill="1"/>
    <xf numFmtId="166" fontId="27" fillId="2" borderId="0" xfId="1" applyFont="1" applyFill="1" applyAlignment="1">
      <alignment horizontal="center"/>
    </xf>
    <xf numFmtId="166" fontId="27" fillId="2" borderId="0" xfId="1" applyFont="1" applyFill="1"/>
    <xf numFmtId="166" fontId="27" fillId="0" borderId="0" xfId="1" applyFont="1"/>
    <xf numFmtId="166" fontId="58" fillId="2" borderId="0" xfId="1" applyFont="1" applyFill="1" applyBorder="1"/>
    <xf numFmtId="0" fontId="58" fillId="2" borderId="0" xfId="0" applyFont="1" applyFill="1"/>
    <xf numFmtId="0" fontId="27" fillId="0" borderId="0" xfId="0" applyFont="1" applyAlignment="1">
      <alignment horizontal="center"/>
    </xf>
    <xf numFmtId="166" fontId="27" fillId="0" borderId="0" xfId="1" applyFont="1" applyAlignment="1">
      <alignment horizontal="center"/>
    </xf>
    <xf numFmtId="17" fontId="27" fillId="0" borderId="0" xfId="0" applyNumberFormat="1" applyFont="1"/>
    <xf numFmtId="166" fontId="27" fillId="2" borderId="0" xfId="1" applyFont="1" applyFill="1" applyAlignment="1">
      <alignment horizontal="center" vertical="center" wrapText="1"/>
    </xf>
    <xf numFmtId="166" fontId="27" fillId="11" borderId="0" xfId="1" applyFont="1" applyFill="1" applyAlignment="1">
      <alignment horizontal="center" vertical="center" wrapText="1"/>
    </xf>
    <xf numFmtId="166" fontId="27" fillId="2" borderId="0" xfId="1" applyFont="1" applyFill="1" applyBorder="1"/>
    <xf numFmtId="14" fontId="27" fillId="2" borderId="0" xfId="0" applyNumberFormat="1" applyFont="1" applyFill="1" applyAlignment="1">
      <alignment horizontal="center"/>
    </xf>
    <xf numFmtId="0" fontId="27" fillId="2" borderId="0" xfId="0" applyFont="1" applyFill="1" applyAlignment="1">
      <alignment horizontal="center" vertical="center" wrapText="1"/>
    </xf>
    <xf numFmtId="3" fontId="67" fillId="7" borderId="1" xfId="0" applyNumberFormat="1" applyFont="1" applyFill="1" applyBorder="1" applyAlignment="1">
      <alignment vertical="center"/>
    </xf>
    <xf numFmtId="173" fontId="27" fillId="17" borderId="1" xfId="0" applyNumberFormat="1" applyFont="1" applyFill="1" applyBorder="1" applyAlignment="1">
      <alignment vertical="center"/>
    </xf>
    <xf numFmtId="3" fontId="67" fillId="0" borderId="1" xfId="0" applyNumberFormat="1" applyFont="1" applyBorder="1" applyAlignment="1">
      <alignment vertical="center"/>
    </xf>
    <xf numFmtId="175" fontId="27" fillId="0" borderId="1" xfId="0" applyNumberFormat="1" applyFont="1" applyBorder="1" applyAlignment="1">
      <alignment vertical="center"/>
    </xf>
    <xf numFmtId="177" fontId="82" fillId="0" borderId="0" xfId="1" applyNumberFormat="1" applyFont="1" applyFill="1" applyAlignment="1" applyProtection="1">
      <alignment horizontal="center" vertical="center"/>
    </xf>
    <xf numFmtId="169" fontId="27" fillId="0" borderId="0" xfId="1" applyNumberFormat="1" applyFont="1" applyAlignment="1">
      <alignment horizontal="center" vertical="center"/>
    </xf>
    <xf numFmtId="167" fontId="58" fillId="16" borderId="1" xfId="0" applyNumberFormat="1" applyFont="1" applyFill="1" applyBorder="1" applyAlignment="1">
      <alignment vertical="center"/>
    </xf>
    <xf numFmtId="173" fontId="58" fillId="17" borderId="1" xfId="0" applyNumberFormat="1" applyFont="1" applyFill="1" applyBorder="1" applyAlignment="1">
      <alignment vertical="center"/>
    </xf>
    <xf numFmtId="3" fontId="57" fillId="16" borderId="1" xfId="0" applyNumberFormat="1" applyFont="1" applyFill="1" applyBorder="1" applyAlignment="1">
      <alignment vertical="center"/>
    </xf>
    <xf numFmtId="173" fontId="57" fillId="7" borderId="1" xfId="0" applyNumberFormat="1" applyFont="1" applyFill="1" applyBorder="1" applyAlignment="1">
      <alignment vertical="center"/>
    </xf>
    <xf numFmtId="166" fontId="27" fillId="16" borderId="1" xfId="0" applyNumberFormat="1" applyFont="1" applyFill="1" applyBorder="1" applyAlignment="1">
      <alignment vertical="center"/>
    </xf>
    <xf numFmtId="3" fontId="27" fillId="16" borderId="1" xfId="0" applyNumberFormat="1" applyFont="1" applyFill="1" applyBorder="1" applyAlignment="1">
      <alignment vertical="center"/>
    </xf>
    <xf numFmtId="3" fontId="67" fillId="16" borderId="1" xfId="0" applyNumberFormat="1" applyFont="1" applyFill="1" applyBorder="1" applyAlignment="1">
      <alignment vertical="center"/>
    </xf>
    <xf numFmtId="3" fontId="58" fillId="16" borderId="1" xfId="0" applyNumberFormat="1" applyFont="1" applyFill="1" applyBorder="1" applyAlignment="1">
      <alignment vertical="center"/>
    </xf>
    <xf numFmtId="167" fontId="27" fillId="0" borderId="0" xfId="1" applyNumberFormat="1" applyFont="1"/>
    <xf numFmtId="167" fontId="27" fillId="0" borderId="0" xfId="0" applyNumberFormat="1" applyFont="1"/>
    <xf numFmtId="168" fontId="82" fillId="0" borderId="0" xfId="2" applyNumberFormat="1" applyFont="1" applyFill="1" applyAlignment="1" applyProtection="1">
      <alignment horizontal="center" vertical="center"/>
    </xf>
    <xf numFmtId="168" fontId="27" fillId="0" borderId="0" xfId="2" applyNumberFormat="1" applyFont="1" applyAlignment="1">
      <alignment vertical="center"/>
    </xf>
    <xf numFmtId="168" fontId="82" fillId="0" borderId="0" xfId="2" applyNumberFormat="1" applyFont="1" applyFill="1" applyAlignment="1" applyProtection="1">
      <alignment vertical="center"/>
    </xf>
    <xf numFmtId="169" fontId="27" fillId="0" borderId="0" xfId="1" applyNumberFormat="1" applyFont="1" applyAlignment="1">
      <alignment vertical="center"/>
    </xf>
    <xf numFmtId="166" fontId="27" fillId="0" borderId="0" xfId="0" applyNumberFormat="1" applyFont="1"/>
    <xf numFmtId="3" fontId="27" fillId="0" borderId="1" xfId="0" applyNumberFormat="1" applyFont="1" applyBorder="1"/>
    <xf numFmtId="3" fontId="27" fillId="0" borderId="0" xfId="0" applyNumberFormat="1" applyFont="1"/>
    <xf numFmtId="0" fontId="58" fillId="16" borderId="1" xfId="0" applyFont="1" applyFill="1" applyBorder="1" applyAlignment="1">
      <alignment horizontal="center" vertical="center" wrapText="1"/>
    </xf>
    <xf numFmtId="0" fontId="58" fillId="16" borderId="3" xfId="0" applyFont="1" applyFill="1" applyBorder="1" applyAlignment="1">
      <alignment horizontal="center" vertical="center" wrapText="1"/>
    </xf>
    <xf numFmtId="0" fontId="83" fillId="7" borderId="35" xfId="48" applyFont="1" applyFill="1" applyBorder="1" applyAlignment="1">
      <alignment horizontal="center" vertical="center"/>
    </xf>
    <xf numFmtId="3" fontId="58" fillId="17" borderId="5" xfId="0" applyNumberFormat="1" applyFont="1" applyFill="1" applyBorder="1" applyAlignment="1">
      <alignment horizontal="center" vertical="center"/>
    </xf>
    <xf numFmtId="0" fontId="58" fillId="57" borderId="1" xfId="0" applyFont="1" applyFill="1" applyBorder="1" applyAlignment="1">
      <alignment horizontal="center" vertical="center"/>
    </xf>
    <xf numFmtId="3" fontId="27" fillId="2" borderId="1" xfId="1" applyNumberFormat="1" applyFont="1" applyFill="1" applyBorder="1" applyAlignment="1">
      <alignment horizontal="center"/>
    </xf>
    <xf numFmtId="174" fontId="27" fillId="17" borderId="1" xfId="0" applyNumberFormat="1" applyFont="1" applyFill="1" applyBorder="1"/>
    <xf numFmtId="174" fontId="67" fillId="17" borderId="1" xfId="0" applyNumberFormat="1" applyFont="1" applyFill="1" applyBorder="1"/>
    <xf numFmtId="3" fontId="67" fillId="0" borderId="1" xfId="0" applyNumberFormat="1" applyFont="1" applyBorder="1"/>
    <xf numFmtId="3" fontId="67" fillId="0" borderId="1" xfId="1" applyNumberFormat="1" applyFont="1" applyBorder="1"/>
    <xf numFmtId="3" fontId="27" fillId="0" borderId="1" xfId="0" applyNumberFormat="1" applyFont="1" applyBorder="1" applyAlignment="1">
      <alignment horizontal="right"/>
    </xf>
    <xf numFmtId="175" fontId="27" fillId="0" borderId="1" xfId="0" applyNumberFormat="1" applyFont="1" applyBorder="1"/>
    <xf numFmtId="173" fontId="27" fillId="0" borderId="1" xfId="0" applyNumberFormat="1" applyFont="1" applyBorder="1"/>
    <xf numFmtId="168" fontId="27" fillId="0" borderId="0" xfId="2" applyNumberFormat="1" applyFont="1"/>
    <xf numFmtId="173" fontId="27" fillId="0" borderId="0" xfId="0" applyNumberFormat="1" applyFont="1"/>
    <xf numFmtId="3" fontId="58" fillId="7" borderId="1" xfId="1" applyNumberFormat="1" applyFont="1" applyFill="1" applyBorder="1" applyAlignment="1">
      <alignment horizontal="center"/>
    </xf>
    <xf numFmtId="3" fontId="58" fillId="7" borderId="5" xfId="1" applyNumberFormat="1" applyFont="1" applyFill="1" applyBorder="1" applyAlignment="1">
      <alignment horizontal="center"/>
    </xf>
    <xf numFmtId="3" fontId="58" fillId="58" borderId="1" xfId="1" applyNumberFormat="1" applyFont="1" applyFill="1" applyBorder="1" applyAlignment="1">
      <alignment horizontal="center"/>
    </xf>
    <xf numFmtId="174" fontId="58" fillId="17" borderId="1" xfId="0" applyNumberFormat="1" applyFont="1" applyFill="1" applyBorder="1"/>
    <xf numFmtId="174" fontId="57" fillId="17" borderId="1" xfId="0" applyNumberFormat="1" applyFont="1" applyFill="1" applyBorder="1"/>
    <xf numFmtId="3" fontId="57" fillId="57" borderId="1" xfId="0" applyNumberFormat="1" applyFont="1" applyFill="1" applyBorder="1"/>
    <xf numFmtId="3" fontId="58" fillId="57" borderId="1" xfId="0" applyNumberFormat="1" applyFont="1" applyFill="1" applyBorder="1"/>
    <xf numFmtId="3" fontId="58" fillId="7" borderId="1" xfId="0" applyNumberFormat="1" applyFont="1" applyFill="1" applyBorder="1"/>
    <xf numFmtId="175" fontId="58" fillId="7" borderId="1" xfId="0" applyNumberFormat="1" applyFont="1" applyFill="1" applyBorder="1"/>
    <xf numFmtId="173" fontId="58" fillId="7" borderId="1" xfId="0" applyNumberFormat="1" applyFont="1" applyFill="1" applyBorder="1"/>
    <xf numFmtId="3" fontId="58" fillId="7" borderId="1" xfId="0" applyNumberFormat="1" applyFont="1" applyFill="1" applyBorder="1" applyAlignment="1">
      <alignment horizontal="center"/>
    </xf>
    <xf numFmtId="3" fontId="27" fillId="7" borderId="1" xfId="1" applyNumberFormat="1" applyFont="1" applyFill="1" applyBorder="1" applyAlignment="1">
      <alignment horizontal="center"/>
    </xf>
    <xf numFmtId="3" fontId="67" fillId="57" borderId="1" xfId="0" applyNumberFormat="1" applyFont="1" applyFill="1" applyBorder="1"/>
    <xf numFmtId="3" fontId="27" fillId="57" borderId="1" xfId="0" applyNumberFormat="1" applyFont="1" applyFill="1" applyBorder="1"/>
    <xf numFmtId="167" fontId="27" fillId="2" borderId="0" xfId="1" applyNumberFormat="1" applyFont="1" applyFill="1"/>
    <xf numFmtId="167" fontId="27" fillId="2" borderId="0" xfId="1" applyNumberFormat="1" applyFont="1" applyFill="1" applyBorder="1" applyAlignment="1"/>
    <xf numFmtId="167" fontId="27" fillId="8" borderId="0" xfId="1" applyNumberFormat="1" applyFont="1" applyFill="1" applyBorder="1" applyAlignment="1"/>
    <xf numFmtId="14" fontId="27" fillId="2" borderId="0" xfId="0" applyNumberFormat="1" applyFont="1" applyFill="1"/>
    <xf numFmtId="0" fontId="27" fillId="0" borderId="0" xfId="0" applyFont="1" applyAlignment="1">
      <alignment wrapText="1"/>
    </xf>
    <xf numFmtId="167" fontId="27" fillId="0" borderId="0" xfId="0" applyNumberFormat="1" applyFont="1" applyAlignment="1">
      <alignment wrapText="1"/>
    </xf>
    <xf numFmtId="0" fontId="58" fillId="7" borderId="1" xfId="0" applyFont="1" applyFill="1" applyBorder="1" applyAlignment="1">
      <alignment horizontal="center" vertical="center" wrapText="1"/>
    </xf>
    <xf numFmtId="0" fontId="58" fillId="5" borderId="1" xfId="0" applyFont="1" applyFill="1" applyBorder="1" applyAlignment="1">
      <alignment horizontal="center" vertical="center" wrapText="1"/>
    </xf>
    <xf numFmtId="3" fontId="27" fillId="2" borderId="1" xfId="0" applyNumberFormat="1" applyFont="1" applyFill="1" applyBorder="1" applyAlignment="1">
      <alignment horizontal="right" vertical="center" wrapText="1"/>
    </xf>
    <xf numFmtId="3" fontId="67" fillId="0" borderId="1" xfId="0" applyNumberFormat="1" applyFont="1" applyBorder="1" applyAlignment="1">
      <alignment horizontal="right" vertical="center" wrapText="1"/>
    </xf>
    <xf numFmtId="3" fontId="67" fillId="0" borderId="1" xfId="1" applyNumberFormat="1" applyFont="1" applyBorder="1" applyAlignment="1">
      <alignment horizontal="right" vertical="center" wrapText="1"/>
    </xf>
    <xf numFmtId="3" fontId="27" fillId="0" borderId="1" xfId="1" applyNumberFormat="1" applyFont="1" applyBorder="1" applyAlignment="1">
      <alignment horizontal="right" vertical="center" wrapText="1"/>
    </xf>
    <xf numFmtId="3" fontId="27" fillId="0" borderId="1" xfId="0" applyNumberFormat="1" applyFont="1" applyBorder="1" applyAlignment="1">
      <alignment horizontal="right" vertical="center" wrapText="1"/>
    </xf>
    <xf numFmtId="175" fontId="27" fillId="0" borderId="1" xfId="0" applyNumberFormat="1" applyFont="1" applyBorder="1" applyAlignment="1">
      <alignment vertical="center" wrapText="1"/>
    </xf>
    <xf numFmtId="173" fontId="27" fillId="0" borderId="1" xfId="0" applyNumberFormat="1" applyFont="1" applyBorder="1" applyAlignment="1">
      <alignment vertical="center" wrapText="1"/>
    </xf>
    <xf numFmtId="168" fontId="27" fillId="0" borderId="0" xfId="2" applyNumberFormat="1" applyFont="1" applyAlignment="1">
      <alignment vertical="center" wrapText="1"/>
    </xf>
    <xf numFmtId="3" fontId="57" fillId="7" borderId="1" xfId="0" applyNumberFormat="1" applyFont="1" applyFill="1" applyBorder="1" applyAlignment="1">
      <alignment horizontal="right" vertical="center" wrapText="1"/>
    </xf>
    <xf numFmtId="3" fontId="57" fillId="5" borderId="1" xfId="0" applyNumberFormat="1" applyFont="1" applyFill="1" applyBorder="1" applyAlignment="1">
      <alignment horizontal="right" vertical="center" wrapText="1"/>
    </xf>
    <xf numFmtId="3" fontId="58" fillId="5" borderId="1" xfId="0" applyNumberFormat="1" applyFont="1" applyFill="1" applyBorder="1" applyAlignment="1">
      <alignment horizontal="right" vertical="center" wrapText="1"/>
    </xf>
    <xf numFmtId="3" fontId="58" fillId="7" borderId="1" xfId="0" applyNumberFormat="1" applyFont="1" applyFill="1" applyBorder="1" applyAlignment="1">
      <alignment horizontal="right" vertical="center" wrapText="1"/>
    </xf>
    <xf numFmtId="175" fontId="58" fillId="7" borderId="1" xfId="0" applyNumberFormat="1" applyFont="1" applyFill="1" applyBorder="1" applyAlignment="1">
      <alignment vertical="center" wrapText="1"/>
    </xf>
    <xf numFmtId="173" fontId="58" fillId="7" borderId="1" xfId="0" applyNumberFormat="1" applyFont="1" applyFill="1" applyBorder="1" applyAlignment="1">
      <alignment vertical="center" wrapText="1"/>
    </xf>
    <xf numFmtId="3" fontId="67" fillId="5" borderId="1" xfId="0" applyNumberFormat="1" applyFont="1" applyFill="1" applyBorder="1" applyAlignment="1">
      <alignment horizontal="right" vertical="center" wrapText="1"/>
    </xf>
    <xf numFmtId="3" fontId="27" fillId="5" borderId="1" xfId="1" applyNumberFormat="1" applyFont="1" applyFill="1" applyBorder="1" applyAlignment="1">
      <alignment horizontal="right" vertical="center" wrapText="1"/>
    </xf>
    <xf numFmtId="167" fontId="27" fillId="0" borderId="0" xfId="1" applyNumberFormat="1" applyFont="1" applyFill="1"/>
    <xf numFmtId="166" fontId="27" fillId="0" borderId="0" xfId="1" applyFont="1" applyAlignment="1">
      <alignment vertical="center"/>
    </xf>
    <xf numFmtId="166" fontId="0" fillId="2" borderId="0" xfId="1" applyFont="1" applyFill="1" applyAlignment="1">
      <alignment horizontal="center"/>
    </xf>
    <xf numFmtId="166" fontId="27" fillId="0" borderId="0" xfId="1" applyFont="1" applyAlignment="1">
      <alignment vertical="center" wrapText="1"/>
    </xf>
    <xf numFmtId="177" fontId="67" fillId="17" borderId="1" xfId="1" applyNumberFormat="1" applyFont="1" applyFill="1" applyBorder="1" applyAlignment="1">
      <alignment vertical="center"/>
    </xf>
    <xf numFmtId="177" fontId="58" fillId="17" borderId="1" xfId="1" applyNumberFormat="1" applyFont="1" applyFill="1" applyBorder="1" applyAlignment="1">
      <alignment vertical="center"/>
    </xf>
    <xf numFmtId="177" fontId="27" fillId="0" borderId="0" xfId="1" applyNumberFormat="1" applyFont="1"/>
    <xf numFmtId="177" fontId="46" fillId="0" borderId="0" xfId="1" applyNumberFormat="1" applyFont="1" applyAlignment="1">
      <alignment horizontal="left" vertical="center"/>
    </xf>
    <xf numFmtId="173" fontId="55" fillId="64" borderId="83" xfId="2" applyNumberFormat="1" applyFont="1" applyFill="1" applyBorder="1" applyAlignment="1">
      <alignment horizontal="center" vertical="center"/>
    </xf>
    <xf numFmtId="173" fontId="19" fillId="60" borderId="41" xfId="2" applyNumberFormat="1" applyFont="1" applyFill="1" applyBorder="1" applyAlignment="1">
      <alignment horizontal="center" vertical="center"/>
    </xf>
    <xf numFmtId="43" fontId="0" fillId="2" borderId="0" xfId="0" applyNumberFormat="1" applyFill="1"/>
    <xf numFmtId="49" fontId="0" fillId="2" borderId="0" xfId="0" applyNumberFormat="1" applyFill="1"/>
    <xf numFmtId="166" fontId="27" fillId="0" borderId="0" xfId="1" applyFont="1" applyAlignment="1">
      <alignment horizontal="center" vertical="center"/>
    </xf>
    <xf numFmtId="176" fontId="9" fillId="61" borderId="1" xfId="0" applyNumberFormat="1" applyFont="1" applyFill="1" applyBorder="1" applyAlignment="1">
      <alignment horizontal="center" vertical="center" wrapText="1"/>
    </xf>
    <xf numFmtId="176" fontId="9" fillId="61" borderId="5" xfId="0" applyNumberFormat="1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center"/>
    </xf>
    <xf numFmtId="0" fontId="2" fillId="2" borderId="3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 wrapText="1"/>
    </xf>
    <xf numFmtId="166" fontId="0" fillId="2" borderId="0" xfId="1" applyFont="1" applyFill="1" applyAlignment="1">
      <alignment horizontal="center" vertical="center" wrapText="1"/>
    </xf>
    <xf numFmtId="166" fontId="0" fillId="71" borderId="1" xfId="1" applyFont="1" applyFill="1" applyBorder="1"/>
    <xf numFmtId="0" fontId="2" fillId="2" borderId="0" xfId="0" applyFont="1" applyFill="1" applyAlignment="1"/>
    <xf numFmtId="0" fontId="2" fillId="4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/>
    </xf>
    <xf numFmtId="0" fontId="9" fillId="6" borderId="17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58" fillId="57" borderId="1" xfId="0" applyFont="1" applyFill="1" applyBorder="1" applyAlignment="1">
      <alignment horizontal="center" vertical="center"/>
    </xf>
    <xf numFmtId="168" fontId="0" fillId="11" borderId="3" xfId="0" applyNumberFormat="1" applyFill="1" applyBorder="1"/>
    <xf numFmtId="0" fontId="0" fillId="0" borderId="1" xfId="0" applyBorder="1" applyAlignment="1">
      <alignment horizontal="center"/>
    </xf>
    <xf numFmtId="0" fontId="9" fillId="2" borderId="0" xfId="0" applyFont="1" applyFill="1" applyBorder="1" applyAlignment="1">
      <alignment horizontal="center" vertical="center" wrapText="1"/>
    </xf>
    <xf numFmtId="168" fontId="0" fillId="2" borderId="0" xfId="2" applyNumberFormat="1" applyFont="1" applyFill="1" applyBorder="1"/>
    <xf numFmtId="168" fontId="9" fillId="2" borderId="0" xfId="2" applyNumberFormat="1" applyFont="1" applyFill="1" applyBorder="1"/>
    <xf numFmtId="168" fontId="9" fillId="2" borderId="0" xfId="2" applyNumberFormat="1" applyFont="1" applyFill="1" applyBorder="1" applyAlignment="1">
      <alignment horizontal="right"/>
    </xf>
    <xf numFmtId="0" fontId="0" fillId="2" borderId="0" xfId="0" applyFill="1" applyBorder="1"/>
    <xf numFmtId="17" fontId="0" fillId="0" borderId="0" xfId="0" applyNumberFormat="1"/>
    <xf numFmtId="0" fontId="0" fillId="0" borderId="0" xfId="0" applyNumberFormat="1"/>
    <xf numFmtId="168" fontId="0" fillId="0" borderId="0" xfId="0" applyNumberFormat="1" applyAlignment="1">
      <alignment horizontal="center" vertical="center" wrapText="1"/>
    </xf>
    <xf numFmtId="4" fontId="0" fillId="0" borderId="0" xfId="0" applyNumberFormat="1"/>
    <xf numFmtId="4" fontId="27" fillId="8" borderId="0" xfId="0" applyNumberFormat="1" applyFont="1" applyFill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wrapText="1"/>
    </xf>
    <xf numFmtId="4" fontId="0" fillId="0" borderId="0" xfId="1" applyNumberFormat="1" applyFont="1" applyAlignment="1">
      <alignment wrapText="1"/>
    </xf>
    <xf numFmtId="3" fontId="27" fillId="8" borderId="0" xfId="0" applyNumberFormat="1" applyFont="1" applyFill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4" fontId="0" fillId="0" borderId="0" xfId="1" applyNumberFormat="1" applyFont="1"/>
    <xf numFmtId="4" fontId="0" fillId="18" borderId="0" xfId="1" applyNumberFormat="1" applyFont="1" applyFill="1" applyAlignment="1">
      <alignment wrapText="1"/>
    </xf>
    <xf numFmtId="8" fontId="0" fillId="18" borderId="0" xfId="1" applyNumberFormat="1" applyFont="1" applyFill="1" applyAlignment="1">
      <alignment wrapText="1"/>
    </xf>
    <xf numFmtId="8" fontId="0" fillId="18" borderId="13" xfId="1" applyNumberFormat="1" applyFont="1" applyFill="1" applyBorder="1" applyAlignment="1">
      <alignment wrapText="1"/>
    </xf>
    <xf numFmtId="170" fontId="27" fillId="8" borderId="0" xfId="3" applyNumberFormat="1" applyFont="1" applyFill="1" applyAlignment="1">
      <alignment horizontal="center" vertical="center" wrapText="1"/>
    </xf>
    <xf numFmtId="170" fontId="0" fillId="0" borderId="0" xfId="3" applyNumberFormat="1" applyFont="1" applyAlignment="1">
      <alignment wrapText="1"/>
    </xf>
    <xf numFmtId="170" fontId="0" fillId="19" borderId="0" xfId="3" applyNumberFormat="1" applyFont="1" applyFill="1" applyAlignment="1">
      <alignment wrapText="1"/>
    </xf>
    <xf numFmtId="170" fontId="0" fillId="19" borderId="13" xfId="3" applyNumberFormat="1" applyFont="1" applyFill="1" applyBorder="1" applyAlignment="1">
      <alignment wrapText="1"/>
    </xf>
    <xf numFmtId="170" fontId="0" fillId="19" borderId="0" xfId="3" applyNumberFormat="1" applyFont="1" applyFill="1" applyAlignment="1">
      <alignment horizontal="right" wrapText="1"/>
    </xf>
    <xf numFmtId="170" fontId="0" fillId="19" borderId="14" xfId="3" applyNumberFormat="1" applyFont="1" applyFill="1" applyBorder="1" applyAlignment="1">
      <alignment wrapText="1"/>
    </xf>
    <xf numFmtId="170" fontId="0" fillId="18" borderId="0" xfId="3" applyNumberFormat="1" applyFont="1" applyFill="1" applyAlignment="1">
      <alignment wrapText="1"/>
    </xf>
    <xf numFmtId="170" fontId="0" fillId="18" borderId="0" xfId="3" applyNumberFormat="1" applyFont="1" applyFill="1"/>
    <xf numFmtId="170" fontId="0" fillId="18" borderId="12" xfId="3" applyNumberFormat="1" applyFont="1" applyFill="1" applyBorder="1"/>
    <xf numFmtId="6" fontId="0" fillId="0" borderId="1" xfId="3" applyNumberFormat="1" applyFont="1" applyBorder="1" applyAlignment="1">
      <alignment horizontal="center" vertical="center"/>
    </xf>
    <xf numFmtId="6" fontId="0" fillId="0" borderId="1" xfId="0" applyNumberFormat="1" applyBorder="1" applyAlignment="1">
      <alignment horizontal="center" vertical="center"/>
    </xf>
    <xf numFmtId="6" fontId="0" fillId="0" borderId="7" xfId="3" applyNumberFormat="1" applyFont="1" applyBorder="1" applyAlignment="1">
      <alignment horizontal="center" vertical="center"/>
    </xf>
    <xf numFmtId="6" fontId="0" fillId="0" borderId="7" xfId="0" applyNumberFormat="1" applyBorder="1" applyAlignment="1">
      <alignment horizontal="center" vertical="center"/>
    </xf>
    <xf numFmtId="170" fontId="0" fillId="0" borderId="0" xfId="0" applyNumberFormat="1" applyAlignment="1">
      <alignment horizontal="center" vertical="center" wrapText="1"/>
    </xf>
    <xf numFmtId="3" fontId="27" fillId="18" borderId="1" xfId="0" applyNumberFormat="1" applyFont="1" applyFill="1" applyBorder="1"/>
    <xf numFmtId="3" fontId="58" fillId="18" borderId="1" xfId="0" applyNumberFormat="1" applyFont="1" applyFill="1" applyBorder="1"/>
    <xf numFmtId="179" fontId="0" fillId="2" borderId="0" xfId="0" applyNumberFormat="1" applyFont="1" applyFill="1"/>
    <xf numFmtId="166" fontId="2" fillId="3" borderId="1" xfId="1" applyNumberFormat="1" applyFont="1" applyFill="1" applyBorder="1"/>
    <xf numFmtId="168" fontId="0" fillId="2" borderId="3" xfId="0" applyNumberFormat="1" applyFill="1" applyBorder="1"/>
    <xf numFmtId="3" fontId="27" fillId="0" borderId="1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 vertical="center"/>
    </xf>
    <xf numFmtId="0" fontId="0" fillId="0" borderId="111" xfId="0" applyBorder="1" applyAlignment="1">
      <alignment vertical="center"/>
    </xf>
    <xf numFmtId="0" fontId="0" fillId="0" borderId="0" xfId="0"/>
    <xf numFmtId="17" fontId="0" fillId="0" borderId="0" xfId="0" applyNumberFormat="1"/>
    <xf numFmtId="165" fontId="0" fillId="0" borderId="17" xfId="0" applyNumberFormat="1" applyBorder="1" applyAlignment="1">
      <alignment horizontal="center" vertical="center"/>
    </xf>
    <xf numFmtId="165" fontId="0" fillId="7" borderId="17" xfId="0" applyNumberFormat="1" applyFill="1" applyBorder="1" applyAlignment="1">
      <alignment horizontal="center" vertical="center"/>
    </xf>
    <xf numFmtId="3" fontId="9" fillId="6" borderId="19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0" fontId="0" fillId="2" borderId="0" xfId="0" applyFill="1" applyBorder="1" applyAlignment="1">
      <alignment vertical="center"/>
    </xf>
    <xf numFmtId="167" fontId="0" fillId="62" borderId="4" xfId="0" applyNumberFormat="1" applyFill="1" applyBorder="1" applyAlignment="1">
      <alignment horizontal="right"/>
    </xf>
    <xf numFmtId="168" fontId="0" fillId="5" borderId="1" xfId="2" applyNumberFormat="1" applyFont="1" applyFill="1" applyBorder="1" applyAlignment="1">
      <alignment horizontal="center"/>
    </xf>
    <xf numFmtId="0" fontId="6" fillId="0" borderId="0" xfId="0" applyFont="1"/>
    <xf numFmtId="0" fontId="0" fillId="0" borderId="0" xfId="0"/>
    <xf numFmtId="0" fontId="0" fillId="15" borderId="0" xfId="0" applyFill="1"/>
    <xf numFmtId="0" fontId="0" fillId="14" borderId="0" xfId="0" applyFill="1"/>
    <xf numFmtId="176" fontId="0" fillId="0" borderId="0" xfId="0" applyNumberFormat="1"/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center" vertical="center"/>
    </xf>
    <xf numFmtId="9" fontId="0" fillId="0" borderId="0" xfId="0" applyNumberFormat="1"/>
    <xf numFmtId="176" fontId="0" fillId="0" borderId="0" xfId="0" applyNumberFormat="1" applyAlignment="1">
      <alignment horizontal="left" indent="1"/>
    </xf>
    <xf numFmtId="0" fontId="58" fillId="11" borderId="1" xfId="0" applyFont="1" applyFill="1" applyBorder="1" applyAlignment="1">
      <alignment horizontal="center" vertical="center"/>
    </xf>
    <xf numFmtId="8" fontId="0" fillId="0" borderId="0" xfId="0" applyNumberFormat="1"/>
    <xf numFmtId="167" fontId="1" fillId="0" borderId="1" xfId="1" applyNumberFormat="1" applyFont="1" applyFill="1" applyBorder="1"/>
    <xf numFmtId="167" fontId="1" fillId="0" borderId="0" xfId="1" applyNumberFormat="1" applyFont="1" applyFill="1" applyBorder="1"/>
    <xf numFmtId="167" fontId="1" fillId="0" borderId="0" xfId="1" applyNumberFormat="1" applyFont="1" applyFill="1"/>
    <xf numFmtId="167" fontId="2" fillId="0" borderId="1" xfId="1" applyNumberFormat="1" applyFont="1" applyFill="1" applyBorder="1" applyAlignment="1">
      <alignment horizontal="center" vertical="center" wrapText="1"/>
    </xf>
    <xf numFmtId="0" fontId="1" fillId="0" borderId="0" xfId="0" applyFont="1" applyFill="1"/>
    <xf numFmtId="167" fontId="4" fillId="0" borderId="1" xfId="1" applyNumberFormat="1" applyFont="1" applyFill="1" applyBorder="1" applyAlignment="1">
      <alignment horizontal="center" vertical="center"/>
    </xf>
    <xf numFmtId="167" fontId="2" fillId="0" borderId="1" xfId="1" applyNumberFormat="1" applyFont="1" applyFill="1" applyBorder="1"/>
    <xf numFmtId="167" fontId="4" fillId="0" borderId="1" xfId="1" applyNumberFormat="1" applyFont="1" applyFill="1" applyBorder="1" applyAlignment="1">
      <alignment horizontal="left" vertical="center"/>
    </xf>
    <xf numFmtId="167" fontId="1" fillId="0" borderId="0" xfId="1" applyNumberFormat="1" applyFont="1" applyFill="1" applyAlignment="1">
      <alignment horizontal="center"/>
    </xf>
    <xf numFmtId="167" fontId="1" fillId="0" borderId="0" xfId="0" applyNumberFormat="1" applyFont="1" applyFill="1"/>
    <xf numFmtId="167" fontId="2" fillId="0" borderId="0" xfId="1" applyNumberFormat="1" applyFont="1" applyFill="1" applyAlignment="1">
      <alignment horizontal="center" vertical="center"/>
    </xf>
    <xf numFmtId="167" fontId="4" fillId="0" borderId="1" xfId="1" applyNumberFormat="1" applyFont="1" applyFill="1" applyBorder="1" applyAlignment="1">
      <alignment vertical="center"/>
    </xf>
    <xf numFmtId="167" fontId="6" fillId="0" borderId="1" xfId="1" applyNumberFormat="1" applyFont="1" applyFill="1" applyBorder="1"/>
    <xf numFmtId="167" fontId="4" fillId="0" borderId="0" xfId="1" applyNumberFormat="1" applyFont="1" applyFill="1" applyBorder="1" applyAlignment="1">
      <alignment horizontal="center" vertical="center"/>
    </xf>
    <xf numFmtId="167" fontId="1" fillId="0" borderId="37" xfId="1" applyNumberFormat="1" applyFont="1" applyFill="1" applyBorder="1" applyAlignment="1">
      <alignment vertical="center"/>
    </xf>
    <xf numFmtId="167" fontId="1" fillId="0" borderId="35" xfId="1" applyNumberFormat="1" applyFont="1" applyFill="1" applyBorder="1" applyAlignment="1">
      <alignment vertical="center"/>
    </xf>
    <xf numFmtId="166" fontId="1" fillId="0" borderId="0" xfId="1" applyFont="1" applyFill="1"/>
    <xf numFmtId="49" fontId="1" fillId="0" borderId="0" xfId="1" applyNumberFormat="1" applyFont="1" applyFill="1" applyBorder="1" applyAlignment="1">
      <alignment vertical="center" wrapText="1"/>
    </xf>
    <xf numFmtId="167" fontId="6" fillId="12" borderId="0" xfId="1" applyNumberFormat="1" applyFont="1" applyFill="1" applyAlignment="1">
      <alignment horizontal="center"/>
    </xf>
    <xf numFmtId="166" fontId="6" fillId="12" borderId="0" xfId="1" applyFont="1" applyFill="1"/>
    <xf numFmtId="43" fontId="6" fillId="12" borderId="0" xfId="1" applyNumberFormat="1" applyFont="1" applyFill="1"/>
    <xf numFmtId="167" fontId="7" fillId="12" borderId="1" xfId="1" applyNumberFormat="1" applyFont="1" applyFill="1" applyBorder="1" applyAlignment="1">
      <alignment horizontal="center" vertical="center" wrapText="1"/>
    </xf>
    <xf numFmtId="167" fontId="7" fillId="12" borderId="1" xfId="1" applyNumberFormat="1" applyFont="1" applyFill="1" applyBorder="1" applyAlignment="1">
      <alignment horizontal="center" vertical="center"/>
    </xf>
    <xf numFmtId="167" fontId="6" fillId="12" borderId="1" xfId="1" applyNumberFormat="1" applyFont="1" applyFill="1" applyBorder="1" applyAlignment="1">
      <alignment vertical="center"/>
    </xf>
    <xf numFmtId="167" fontId="7" fillId="12" borderId="1" xfId="1" applyNumberFormat="1" applyFont="1" applyFill="1" applyBorder="1" applyAlignment="1">
      <alignment horizontal="right" vertical="center" wrapText="1"/>
    </xf>
    <xf numFmtId="167" fontId="6" fillId="12" borderId="1" xfId="1" applyNumberFormat="1" applyFont="1" applyFill="1" applyBorder="1" applyAlignment="1">
      <alignment horizontal="center"/>
    </xf>
    <xf numFmtId="167" fontId="6" fillId="12" borderId="1" xfId="1" applyNumberFormat="1" applyFont="1" applyFill="1" applyBorder="1"/>
    <xf numFmtId="0" fontId="0" fillId="2" borderId="97" xfId="0" applyFill="1" applyBorder="1" applyAlignment="1">
      <alignment horizontal="left" vertical="center" wrapText="1"/>
    </xf>
    <xf numFmtId="0" fontId="0" fillId="2" borderId="98" xfId="0" applyFill="1" applyBorder="1" applyAlignment="1">
      <alignment horizontal="left" vertical="center" wrapText="1"/>
    </xf>
    <xf numFmtId="0" fontId="0" fillId="2" borderId="99" xfId="0" applyFill="1" applyBorder="1" applyAlignment="1">
      <alignment horizontal="left" vertical="center" wrapText="1"/>
    </xf>
    <xf numFmtId="0" fontId="0" fillId="2" borderId="96" xfId="0" applyFill="1" applyBorder="1" applyAlignment="1">
      <alignment horizontal="left" vertical="center" wrapText="1"/>
    </xf>
    <xf numFmtId="0" fontId="9" fillId="68" borderId="96" xfId="0" applyFont="1" applyFill="1" applyBorder="1" applyAlignment="1">
      <alignment horizontal="left" vertical="center" wrapText="1"/>
    </xf>
    <xf numFmtId="0" fontId="9" fillId="6" borderId="17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42" fontId="5" fillId="2" borderId="5" xfId="2" applyNumberFormat="1" applyFont="1" applyFill="1" applyBorder="1" applyAlignment="1">
      <alignment horizontal="center" vertical="center"/>
    </xf>
    <xf numFmtId="42" fontId="5" fillId="2" borderId="6" xfId="2" applyNumberFormat="1" applyFont="1" applyFill="1" applyBorder="1" applyAlignment="1">
      <alignment horizontal="center" vertical="center"/>
    </xf>
    <xf numFmtId="42" fontId="5" fillId="2" borderId="2" xfId="2" applyNumberFormat="1" applyFont="1" applyFill="1" applyBorder="1" applyAlignment="1">
      <alignment horizontal="center" vertical="center"/>
    </xf>
    <xf numFmtId="42" fontId="5" fillId="0" borderId="5" xfId="2" applyNumberFormat="1" applyFont="1" applyBorder="1" applyAlignment="1">
      <alignment horizontal="center" vertical="center"/>
    </xf>
    <xf numFmtId="42" fontId="5" fillId="0" borderId="6" xfId="2" applyNumberFormat="1" applyFont="1" applyBorder="1" applyAlignment="1">
      <alignment horizontal="center" vertical="center"/>
    </xf>
    <xf numFmtId="42" fontId="5" fillId="0" borderId="2" xfId="2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66" fontId="0" fillId="2" borderId="8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 wrapText="1"/>
    </xf>
    <xf numFmtId="0" fontId="9" fillId="6" borderId="25" xfId="0" applyFont="1" applyFill="1" applyBorder="1" applyAlignment="1">
      <alignment horizontal="center" vertical="center" wrapText="1"/>
    </xf>
    <xf numFmtId="0" fontId="9" fillId="6" borderId="26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166" fontId="9" fillId="6" borderId="1" xfId="1" applyFont="1" applyFill="1" applyBorder="1" applyAlignment="1">
      <alignment horizontal="center" vertical="center" wrapText="1"/>
    </xf>
    <xf numFmtId="0" fontId="50" fillId="0" borderId="9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42" fontId="5" fillId="0" borderId="12" xfId="2" applyNumberFormat="1" applyFont="1" applyBorder="1" applyAlignment="1">
      <alignment horizontal="center" vertical="center"/>
    </xf>
    <xf numFmtId="42" fontId="5" fillId="0" borderId="13" xfId="2" applyNumberFormat="1" applyFont="1" applyBorder="1" applyAlignment="1">
      <alignment horizontal="center" vertical="center"/>
    </xf>
    <xf numFmtId="42" fontId="5" fillId="0" borderId="14" xfId="2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71" borderId="4" xfId="0" applyFont="1" applyFill="1" applyBorder="1" applyAlignment="1">
      <alignment horizontal="center" vertical="center" wrapText="1"/>
    </xf>
    <xf numFmtId="0" fontId="2" fillId="71" borderId="3" xfId="0" applyFont="1" applyFill="1" applyBorder="1" applyAlignment="1">
      <alignment horizontal="center" vertical="center" wrapText="1"/>
    </xf>
    <xf numFmtId="0" fontId="58" fillId="52" borderId="7" xfId="0" applyFont="1" applyFill="1" applyBorder="1" applyAlignment="1">
      <alignment horizontal="center" vertical="center" wrapText="1"/>
    </xf>
    <xf numFmtId="0" fontId="58" fillId="52" borderId="3" xfId="0" applyFont="1" applyFill="1" applyBorder="1" applyAlignment="1">
      <alignment horizontal="center" vertical="center" wrapText="1"/>
    </xf>
    <xf numFmtId="0" fontId="19" fillId="51" borderId="5" xfId="0" applyFont="1" applyFill="1" applyBorder="1" applyAlignment="1">
      <alignment horizontal="center" vertical="center"/>
    </xf>
    <xf numFmtId="0" fontId="19" fillId="51" borderId="2" xfId="0" applyFont="1" applyFill="1" applyBorder="1" applyAlignment="1">
      <alignment horizontal="center" vertical="center"/>
    </xf>
    <xf numFmtId="0" fontId="58" fillId="7" borderId="0" xfId="0" applyFont="1" applyFill="1" applyAlignment="1">
      <alignment horizontal="center" vertical="center"/>
    </xf>
    <xf numFmtId="0" fontId="58" fillId="7" borderId="5" xfId="0" applyFont="1" applyFill="1" applyBorder="1" applyAlignment="1">
      <alignment horizontal="center" vertical="center"/>
    </xf>
    <xf numFmtId="0" fontId="58" fillId="7" borderId="6" xfId="0" applyFont="1" applyFill="1" applyBorder="1" applyAlignment="1">
      <alignment horizontal="center" vertical="center"/>
    </xf>
    <xf numFmtId="0" fontId="58" fillId="7" borderId="2" xfId="0" applyFont="1" applyFill="1" applyBorder="1" applyAlignment="1">
      <alignment horizontal="center" vertical="center"/>
    </xf>
    <xf numFmtId="0" fontId="58" fillId="7" borderId="7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58" fillId="7" borderId="3" xfId="0" applyFont="1" applyFill="1" applyBorder="1" applyAlignment="1">
      <alignment horizontal="center" vertical="center" wrapText="1"/>
    </xf>
    <xf numFmtId="0" fontId="58" fillId="54" borderId="1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 wrapText="1"/>
    </xf>
    <xf numFmtId="14" fontId="27" fillId="2" borderId="0" xfId="0" applyNumberFormat="1" applyFont="1" applyFill="1" applyAlignment="1">
      <alignment horizontal="center"/>
    </xf>
    <xf numFmtId="0" fontId="58" fillId="7" borderId="69" xfId="0" applyFont="1" applyFill="1" applyBorder="1" applyAlignment="1">
      <alignment horizontal="center" vertical="center"/>
    </xf>
    <xf numFmtId="0" fontId="58" fillId="7" borderId="4" xfId="0" applyFont="1" applyFill="1" applyBorder="1" applyAlignment="1">
      <alignment horizontal="center" vertical="center"/>
    </xf>
    <xf numFmtId="0" fontId="58" fillId="7" borderId="3" xfId="0" applyFont="1" applyFill="1" applyBorder="1" applyAlignment="1">
      <alignment horizontal="center" vertical="center"/>
    </xf>
    <xf numFmtId="0" fontId="58" fillId="4" borderId="7" xfId="0" applyFont="1" applyFill="1" applyBorder="1" applyAlignment="1">
      <alignment horizontal="center" vertical="center" wrapText="1"/>
    </xf>
    <xf numFmtId="0" fontId="58" fillId="4" borderId="4" xfId="0" applyFont="1" applyFill="1" applyBorder="1" applyAlignment="1">
      <alignment horizontal="center" vertical="center" wrapText="1"/>
    </xf>
    <xf numFmtId="0" fontId="58" fillId="4" borderId="3" xfId="0" applyFont="1" applyFill="1" applyBorder="1" applyAlignment="1">
      <alignment horizontal="center" vertical="center" wrapText="1"/>
    </xf>
    <xf numFmtId="0" fontId="58" fillId="54" borderId="7" xfId="0" applyFont="1" applyFill="1" applyBorder="1" applyAlignment="1">
      <alignment horizontal="center" vertical="center" wrapText="1"/>
    </xf>
    <xf numFmtId="0" fontId="58" fillId="54" borderId="3" xfId="0" applyFont="1" applyFill="1" applyBorder="1" applyAlignment="1">
      <alignment horizontal="center" vertical="center" wrapText="1"/>
    </xf>
    <xf numFmtId="0" fontId="19" fillId="51" borderId="15" xfId="0" applyFont="1" applyFill="1" applyBorder="1" applyAlignment="1">
      <alignment horizontal="center" vertical="center"/>
    </xf>
    <xf numFmtId="0" fontId="19" fillId="51" borderId="8" xfId="0" applyFont="1" applyFill="1" applyBorder="1" applyAlignment="1">
      <alignment horizontal="center" vertical="center"/>
    </xf>
    <xf numFmtId="0" fontId="19" fillId="51" borderId="16" xfId="0" applyFont="1" applyFill="1" applyBorder="1" applyAlignment="1">
      <alignment horizontal="center" vertical="center"/>
    </xf>
    <xf numFmtId="0" fontId="58" fillId="7" borderId="7" xfId="0" applyFont="1" applyFill="1" applyBorder="1" applyAlignment="1">
      <alignment horizontal="center" vertical="center"/>
    </xf>
    <xf numFmtId="0" fontId="58" fillId="16" borderId="5" xfId="0" applyFont="1" applyFill="1" applyBorder="1" applyAlignment="1">
      <alignment horizontal="center" vertical="center"/>
    </xf>
    <xf numFmtId="0" fontId="58" fillId="16" borderId="6" xfId="0" applyFont="1" applyFill="1" applyBorder="1" applyAlignment="1">
      <alignment horizontal="center" vertical="center"/>
    </xf>
    <xf numFmtId="0" fontId="58" fillId="16" borderId="2" xfId="0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58" fillId="16" borderId="1" xfId="0" applyFont="1" applyFill="1" applyBorder="1" applyAlignment="1">
      <alignment horizontal="center" vertical="center"/>
    </xf>
    <xf numFmtId="167" fontId="58" fillId="16" borderId="7" xfId="0" applyNumberFormat="1" applyFont="1" applyFill="1" applyBorder="1" applyAlignment="1">
      <alignment horizontal="center" vertical="center" wrapText="1"/>
    </xf>
    <xf numFmtId="167" fontId="58" fillId="16" borderId="3" xfId="0" applyNumberFormat="1" applyFont="1" applyFill="1" applyBorder="1" applyAlignment="1">
      <alignment horizontal="center" vertical="center" wrapText="1"/>
    </xf>
    <xf numFmtId="177" fontId="58" fillId="16" borderId="7" xfId="1" applyNumberFormat="1" applyFont="1" applyFill="1" applyBorder="1" applyAlignment="1">
      <alignment horizontal="center" vertical="center" wrapText="1"/>
    </xf>
    <xf numFmtId="177" fontId="58" fillId="16" borderId="3" xfId="1" applyNumberFormat="1" applyFont="1" applyFill="1" applyBorder="1" applyAlignment="1">
      <alignment horizontal="center" vertical="center" wrapText="1"/>
    </xf>
    <xf numFmtId="0" fontId="58" fillId="16" borderId="7" xfId="0" applyFont="1" applyFill="1" applyBorder="1" applyAlignment="1">
      <alignment horizontal="center" vertical="center" wrapText="1"/>
    </xf>
    <xf numFmtId="0" fontId="58" fillId="16" borderId="4" xfId="0" applyFont="1" applyFill="1" applyBorder="1" applyAlignment="1">
      <alignment horizontal="center" vertical="center" wrapText="1"/>
    </xf>
    <xf numFmtId="0" fontId="58" fillId="16" borderId="3" xfId="0" applyFont="1" applyFill="1" applyBorder="1" applyAlignment="1">
      <alignment horizontal="center" vertical="center" wrapText="1"/>
    </xf>
    <xf numFmtId="0" fontId="58" fillId="17" borderId="5" xfId="0" applyFont="1" applyFill="1" applyBorder="1" applyAlignment="1">
      <alignment horizontal="center" vertical="center"/>
    </xf>
    <xf numFmtId="0" fontId="58" fillId="17" borderId="6" xfId="0" applyFont="1" applyFill="1" applyBorder="1" applyAlignment="1">
      <alignment horizontal="center" vertical="center"/>
    </xf>
    <xf numFmtId="0" fontId="58" fillId="17" borderId="2" xfId="0" applyFont="1" applyFill="1" applyBorder="1" applyAlignment="1">
      <alignment horizontal="center" vertical="center"/>
    </xf>
    <xf numFmtId="0" fontId="58" fillId="17" borderId="7" xfId="0" applyFont="1" applyFill="1" applyBorder="1" applyAlignment="1">
      <alignment horizontal="center" vertical="center" wrapText="1"/>
    </xf>
    <xf numFmtId="0" fontId="58" fillId="17" borderId="3" xfId="0" applyFont="1" applyFill="1" applyBorder="1" applyAlignment="1">
      <alignment horizontal="center" vertical="center" wrapText="1"/>
    </xf>
    <xf numFmtId="0" fontId="23" fillId="66" borderId="38" xfId="0" applyFont="1" applyFill="1" applyBorder="1" applyAlignment="1">
      <alignment horizontal="center" vertical="center" wrapText="1"/>
    </xf>
    <xf numFmtId="0" fontId="58" fillId="57" borderId="0" xfId="0" applyFont="1" applyFill="1" applyBorder="1" applyAlignment="1">
      <alignment horizontal="center" vertical="center"/>
    </xf>
    <xf numFmtId="0" fontId="58" fillId="7" borderId="1" xfId="0" applyFont="1" applyFill="1" applyBorder="1" applyAlignment="1">
      <alignment horizontal="center"/>
    </xf>
    <xf numFmtId="0" fontId="58" fillId="7" borderId="7" xfId="0" applyFont="1" applyFill="1" applyBorder="1" applyAlignment="1">
      <alignment horizontal="center"/>
    </xf>
    <xf numFmtId="3" fontId="58" fillId="7" borderId="1" xfId="0" applyNumberFormat="1" applyFont="1" applyFill="1" applyBorder="1" applyAlignment="1">
      <alignment horizontal="center" vertical="center"/>
    </xf>
    <xf numFmtId="3" fontId="58" fillId="17" borderId="1" xfId="0" applyNumberFormat="1" applyFont="1" applyFill="1" applyBorder="1" applyAlignment="1">
      <alignment horizontal="center" vertical="center"/>
    </xf>
    <xf numFmtId="3" fontId="58" fillId="17" borderId="5" xfId="0" applyNumberFormat="1" applyFont="1" applyFill="1" applyBorder="1" applyAlignment="1">
      <alignment horizontal="center" vertical="center"/>
    </xf>
    <xf numFmtId="0" fontId="58" fillId="7" borderId="1" xfId="0" applyFont="1" applyFill="1" applyBorder="1" applyAlignment="1">
      <alignment horizontal="center" vertical="center" wrapText="1"/>
    </xf>
    <xf numFmtId="0" fontId="58" fillId="57" borderId="1" xfId="0" applyFont="1" applyFill="1" applyBorder="1" applyAlignment="1">
      <alignment horizontal="center" vertical="center"/>
    </xf>
    <xf numFmtId="0" fontId="58" fillId="17" borderId="1" xfId="0" applyFont="1" applyFill="1" applyBorder="1" applyAlignment="1">
      <alignment horizontal="center" vertical="center" wrapText="1"/>
    </xf>
    <xf numFmtId="49" fontId="58" fillId="58" borderId="7" xfId="1" applyNumberFormat="1" applyFont="1" applyFill="1" applyBorder="1" applyAlignment="1">
      <alignment horizontal="center" vertical="center"/>
    </xf>
    <xf numFmtId="49" fontId="58" fillId="58" borderId="3" xfId="1" applyNumberFormat="1" applyFont="1" applyFill="1" applyBorder="1" applyAlignment="1">
      <alignment horizontal="center" vertical="center"/>
    </xf>
    <xf numFmtId="0" fontId="83" fillId="2" borderId="0" xfId="48" applyFont="1" applyFill="1" applyBorder="1" applyAlignment="1">
      <alignment horizontal="center" vertical="center" wrapText="1"/>
    </xf>
    <xf numFmtId="0" fontId="58" fillId="5" borderId="1" xfId="0" applyFont="1" applyFill="1" applyBorder="1" applyAlignment="1">
      <alignment horizontal="center" vertical="center" wrapText="1"/>
    </xf>
    <xf numFmtId="0" fontId="77" fillId="2" borderId="0" xfId="48" applyFont="1" applyFill="1" applyBorder="1" applyAlignment="1">
      <alignment horizontal="center" vertical="center"/>
    </xf>
    <xf numFmtId="177" fontId="12" fillId="0" borderId="0" xfId="1" applyNumberFormat="1" applyFont="1" applyAlignment="1">
      <alignment horizontal="center"/>
    </xf>
    <xf numFmtId="177" fontId="79" fillId="2" borderId="39" xfId="1" applyNumberFormat="1" applyFont="1" applyFill="1" applyBorder="1" applyAlignment="1">
      <alignment vertical="center"/>
    </xf>
    <xf numFmtId="177" fontId="79" fillId="2" borderId="39" xfId="1" applyNumberFormat="1" applyFont="1" applyFill="1" applyBorder="1" applyAlignment="1">
      <alignment vertical="center" wrapText="1"/>
    </xf>
    <xf numFmtId="177" fontId="79" fillId="2" borderId="74" xfId="1" applyNumberFormat="1" applyFont="1" applyFill="1" applyBorder="1" applyAlignment="1">
      <alignment horizontal="left" vertical="center" wrapText="1"/>
    </xf>
    <xf numFmtId="177" fontId="79" fillId="2" borderId="73" xfId="1" applyNumberFormat="1" applyFont="1" applyFill="1" applyBorder="1" applyAlignment="1">
      <alignment horizontal="left" vertical="center" wrapText="1"/>
    </xf>
    <xf numFmtId="177" fontId="79" fillId="2" borderId="40" xfId="1" applyNumberFormat="1" applyFont="1" applyFill="1" applyBorder="1" applyAlignment="1">
      <alignment horizontal="left" vertical="center" wrapText="1"/>
    </xf>
    <xf numFmtId="177" fontId="24" fillId="7" borderId="1" xfId="1" applyNumberFormat="1" applyFont="1" applyFill="1" applyBorder="1" applyAlignment="1">
      <alignment horizontal="center" vertical="center" wrapText="1"/>
    </xf>
    <xf numFmtId="177" fontId="73" fillId="2" borderId="76" xfId="1" applyNumberFormat="1" applyFont="1" applyFill="1" applyBorder="1" applyAlignment="1">
      <alignment horizontal="center" vertical="center"/>
    </xf>
    <xf numFmtId="177" fontId="73" fillId="2" borderId="72" xfId="1" applyNumberFormat="1" applyFont="1" applyFill="1" applyBorder="1" applyAlignment="1">
      <alignment horizontal="center" vertical="center"/>
    </xf>
    <xf numFmtId="177" fontId="11" fillId="2" borderId="75" xfId="1" applyNumberFormat="1" applyFont="1" applyFill="1" applyBorder="1" applyAlignment="1">
      <alignment horizontal="center" vertical="center" wrapText="1"/>
    </xf>
    <xf numFmtId="0" fontId="24" fillId="7" borderId="0" xfId="0" applyFont="1" applyFill="1" applyAlignment="1">
      <alignment horizontal="center"/>
    </xf>
    <xf numFmtId="0" fontId="24" fillId="7" borderId="1" xfId="0" applyFont="1" applyFill="1" applyBorder="1" applyAlignment="1">
      <alignment horizontal="center" vertical="center"/>
    </xf>
    <xf numFmtId="0" fontId="24" fillId="7" borderId="1" xfId="0" applyFont="1" applyFill="1" applyBorder="1" applyAlignment="1">
      <alignment horizontal="center" vertical="center" wrapText="1"/>
    </xf>
    <xf numFmtId="177" fontId="24" fillId="19" borderId="1" xfId="1" applyNumberFormat="1" applyFont="1" applyFill="1" applyBorder="1" applyAlignment="1">
      <alignment horizontal="center" vertical="center" wrapText="1"/>
    </xf>
    <xf numFmtId="177" fontId="24" fillId="7" borderId="5" xfId="1" applyNumberFormat="1" applyFont="1" applyFill="1" applyBorder="1" applyAlignment="1">
      <alignment horizontal="center" vertical="center" wrapText="1"/>
    </xf>
    <xf numFmtId="177" fontId="24" fillId="7" borderId="6" xfId="1" applyNumberFormat="1" applyFont="1" applyFill="1" applyBorder="1" applyAlignment="1">
      <alignment horizontal="center" vertical="center" wrapText="1"/>
    </xf>
    <xf numFmtId="177" fontId="24" fillId="7" borderId="2" xfId="1" applyNumberFormat="1" applyFont="1" applyFill="1" applyBorder="1" applyAlignment="1">
      <alignment horizontal="center" vertical="center" wrapText="1"/>
    </xf>
    <xf numFmtId="176" fontId="9" fillId="61" borderId="1" xfId="0" applyNumberFormat="1" applyFont="1" applyFill="1" applyBorder="1" applyAlignment="1">
      <alignment horizontal="center" vertical="center" wrapText="1"/>
    </xf>
    <xf numFmtId="176" fontId="9" fillId="53" borderId="1" xfId="0" applyNumberFormat="1" applyFont="1" applyFill="1" applyBorder="1" applyAlignment="1">
      <alignment horizontal="center" vertical="center" wrapText="1"/>
    </xf>
    <xf numFmtId="0" fontId="9" fillId="61" borderId="4" xfId="0" applyFont="1" applyFill="1" applyBorder="1" applyAlignment="1">
      <alignment horizontal="center" vertical="center"/>
    </xf>
    <xf numFmtId="0" fontId="9" fillId="61" borderId="3" xfId="0" applyFont="1" applyFill="1" applyBorder="1" applyAlignment="1">
      <alignment horizontal="center" vertical="center"/>
    </xf>
    <xf numFmtId="176" fontId="9" fillId="53" borderId="82" xfId="0" applyNumberFormat="1" applyFont="1" applyFill="1" applyBorder="1" applyAlignment="1">
      <alignment horizontal="center" vertical="center" wrapText="1"/>
    </xf>
    <xf numFmtId="176" fontId="9" fillId="53" borderId="81" xfId="0" applyNumberFormat="1" applyFont="1" applyFill="1" applyBorder="1" applyAlignment="1">
      <alignment horizontal="center" vertical="center" wrapText="1"/>
    </xf>
    <xf numFmtId="176" fontId="9" fillId="53" borderId="80" xfId="0" applyNumberFormat="1" applyFont="1" applyFill="1" applyBorder="1" applyAlignment="1">
      <alignment horizontal="center" vertical="center" wrapText="1"/>
    </xf>
    <xf numFmtId="176" fontId="9" fillId="60" borderId="54" xfId="0" applyNumberFormat="1" applyFont="1" applyFill="1" applyBorder="1" applyAlignment="1">
      <alignment horizontal="center" vertical="center" wrapText="1"/>
    </xf>
    <xf numFmtId="176" fontId="9" fillId="60" borderId="80" xfId="0" applyNumberFormat="1" applyFont="1" applyFill="1" applyBorder="1" applyAlignment="1">
      <alignment horizontal="center" vertical="center" wrapText="1"/>
    </xf>
    <xf numFmtId="176" fontId="9" fillId="60" borderId="53" xfId="0" applyNumberFormat="1" applyFont="1" applyFill="1" applyBorder="1" applyAlignment="1">
      <alignment horizontal="center" vertical="center" wrapText="1"/>
    </xf>
    <xf numFmtId="176" fontId="9" fillId="60" borderId="52" xfId="0" applyNumberFormat="1" applyFont="1" applyFill="1" applyBorder="1" applyAlignment="1">
      <alignment horizontal="center" vertical="center" wrapText="1"/>
    </xf>
    <xf numFmtId="176" fontId="9" fillId="61" borderId="5" xfId="0" applyNumberFormat="1" applyFont="1" applyFill="1" applyBorder="1" applyAlignment="1">
      <alignment horizontal="center" vertical="center" wrapText="1"/>
    </xf>
    <xf numFmtId="14" fontId="44" fillId="2" borderId="0" xfId="0" applyNumberFormat="1" applyFont="1" applyFill="1" applyAlignment="1">
      <alignment horizontal="center"/>
    </xf>
    <xf numFmtId="0" fontId="59" fillId="56" borderId="83" xfId="0" applyFont="1" applyFill="1" applyBorder="1" applyAlignment="1">
      <alignment horizontal="center" vertical="center" wrapText="1"/>
    </xf>
    <xf numFmtId="0" fontId="59" fillId="56" borderId="41" xfId="0" applyFont="1" applyFill="1" applyBorder="1" applyAlignment="1">
      <alignment horizontal="center" vertical="center" wrapText="1"/>
    </xf>
    <xf numFmtId="0" fontId="59" fillId="56" borderId="86" xfId="0" applyFont="1" applyFill="1" applyBorder="1" applyAlignment="1">
      <alignment horizontal="center" vertical="center" wrapText="1"/>
    </xf>
    <xf numFmtId="174" fontId="48" fillId="70" borderId="94" xfId="0" applyNumberFormat="1" applyFont="1" applyFill="1" applyBorder="1" applyAlignment="1">
      <alignment horizontal="right" vertical="center"/>
    </xf>
    <xf numFmtId="174" fontId="48" fillId="70" borderId="20" xfId="0" applyNumberFormat="1" applyFont="1" applyFill="1" applyBorder="1" applyAlignment="1">
      <alignment horizontal="right" vertical="center"/>
    </xf>
    <xf numFmtId="174" fontId="48" fillId="70" borderId="95" xfId="0" applyNumberFormat="1" applyFont="1" applyFill="1" applyBorder="1" applyAlignment="1">
      <alignment horizontal="right" vertical="center"/>
    </xf>
    <xf numFmtId="168" fontId="55" fillId="67" borderId="19" xfId="2" applyNumberFormat="1" applyFont="1" applyFill="1" applyBorder="1" applyAlignment="1">
      <alignment horizontal="right" vertical="center"/>
    </xf>
    <xf numFmtId="168" fontId="55" fillId="67" borderId="56" xfId="2" applyNumberFormat="1" applyFont="1" applyFill="1" applyBorder="1" applyAlignment="1">
      <alignment horizontal="right" vertical="center"/>
    </xf>
    <xf numFmtId="0" fontId="29" fillId="4" borderId="83" xfId="0" applyFont="1" applyFill="1" applyBorder="1" applyAlignment="1">
      <alignment horizontal="center" vertical="center"/>
    </xf>
    <xf numFmtId="0" fontId="29" fillId="4" borderId="87" xfId="0" applyFont="1" applyFill="1" applyBorder="1" applyAlignment="1">
      <alignment horizontal="center" vertical="center" wrapText="1"/>
    </xf>
    <xf numFmtId="0" fontId="29" fillId="4" borderId="75" xfId="0" applyFont="1" applyFill="1" applyBorder="1" applyAlignment="1">
      <alignment horizontal="center" vertical="center" wrapText="1"/>
    </xf>
    <xf numFmtId="0" fontId="8" fillId="69" borderId="75" xfId="0" applyFont="1" applyFill="1" applyBorder="1" applyAlignment="1">
      <alignment horizontal="center" vertical="center" wrapText="1"/>
    </xf>
    <xf numFmtId="0" fontId="29" fillId="69" borderId="75" xfId="0" applyFont="1" applyFill="1" applyBorder="1" applyAlignment="1">
      <alignment horizontal="center" vertical="center" wrapText="1"/>
    </xf>
    <xf numFmtId="174" fontId="53" fillId="8" borderId="83" xfId="0" applyNumberFormat="1" applyFont="1" applyFill="1" applyBorder="1" applyAlignment="1">
      <alignment horizontal="left" vertical="center"/>
    </xf>
    <xf numFmtId="174" fontId="53" fillId="8" borderId="41" xfId="0" applyNumberFormat="1" applyFont="1" applyFill="1" applyBorder="1" applyAlignment="1">
      <alignment horizontal="left" vertical="center"/>
    </xf>
    <xf numFmtId="0" fontId="58" fillId="70" borderId="88" xfId="0" applyFont="1" applyFill="1" applyBorder="1" applyAlignment="1">
      <alignment horizontal="center" vertical="center" wrapText="1"/>
    </xf>
    <xf numFmtId="0" fontId="58" fillId="7" borderId="84" xfId="0" applyFont="1" applyFill="1" applyBorder="1" applyAlignment="1">
      <alignment horizontal="center" vertical="center" wrapText="1"/>
    </xf>
    <xf numFmtId="0" fontId="58" fillId="7" borderId="89" xfId="0" applyFont="1" applyFill="1" applyBorder="1" applyAlignment="1">
      <alignment horizontal="center" vertical="center" wrapText="1"/>
    </xf>
    <xf numFmtId="0" fontId="58" fillId="7" borderId="87" xfId="0" applyFont="1" applyFill="1" applyBorder="1" applyAlignment="1">
      <alignment horizontal="center" vertical="center" wrapText="1"/>
    </xf>
    <xf numFmtId="0" fontId="58" fillId="70" borderId="84" xfId="0" applyFont="1" applyFill="1" applyBorder="1" applyAlignment="1">
      <alignment horizontal="center" vertical="center" wrapText="1"/>
    </xf>
    <xf numFmtId="0" fontId="58" fillId="70" borderId="89" xfId="0" applyFont="1" applyFill="1" applyBorder="1" applyAlignment="1">
      <alignment horizontal="center" vertical="center" wrapText="1"/>
    </xf>
    <xf numFmtId="0" fontId="58" fillId="70" borderId="87" xfId="0" applyFont="1" applyFill="1" applyBorder="1" applyAlignment="1">
      <alignment horizontal="center" vertical="center" wrapText="1"/>
    </xf>
    <xf numFmtId="174" fontId="65" fillId="70" borderId="0" xfId="0" applyNumberFormat="1" applyFont="1" applyFill="1" applyAlignment="1">
      <alignment horizontal="left" vertical="center"/>
    </xf>
    <xf numFmtId="0" fontId="9" fillId="6" borderId="0" xfId="0" applyFont="1" applyFill="1" applyAlignment="1">
      <alignment horizontal="center"/>
    </xf>
    <xf numFmtId="0" fontId="9" fillId="6" borderId="8" xfId="0" applyFont="1" applyFill="1" applyBorder="1" applyAlignment="1">
      <alignment horizontal="center"/>
    </xf>
    <xf numFmtId="177" fontId="17" fillId="6" borderId="0" xfId="1" applyNumberFormat="1" applyFont="1" applyFill="1" applyAlignment="1">
      <alignment horizontal="center"/>
    </xf>
    <xf numFmtId="0" fontId="17" fillId="6" borderId="0" xfId="0" applyFont="1" applyFill="1" applyAlignment="1">
      <alignment horizontal="center"/>
    </xf>
    <xf numFmtId="167" fontId="2" fillId="11" borderId="43" xfId="1" applyNumberFormat="1" applyFont="1" applyFill="1" applyBorder="1" applyAlignment="1">
      <alignment horizontal="center" vertical="center" wrapText="1"/>
    </xf>
    <xf numFmtId="167" fontId="2" fillId="11" borderId="44" xfId="1" applyNumberFormat="1" applyFont="1" applyFill="1" applyBorder="1" applyAlignment="1">
      <alignment horizontal="center" vertical="center" wrapText="1"/>
    </xf>
    <xf numFmtId="167" fontId="2" fillId="11" borderId="45" xfId="1" applyNumberFormat="1" applyFont="1" applyFill="1" applyBorder="1" applyAlignment="1">
      <alignment horizontal="center" vertical="center" wrapText="1"/>
    </xf>
    <xf numFmtId="167" fontId="2" fillId="11" borderId="71" xfId="1" applyNumberFormat="1" applyFont="1" applyFill="1" applyBorder="1" applyAlignment="1">
      <alignment horizontal="center" vertical="center" wrapText="1"/>
    </xf>
    <xf numFmtId="167" fontId="2" fillId="11" borderId="0" xfId="1" applyNumberFormat="1" applyFont="1" applyFill="1" applyBorder="1" applyAlignment="1">
      <alignment horizontal="center" vertical="center" wrapText="1"/>
    </xf>
    <xf numFmtId="167" fontId="2" fillId="11" borderId="46" xfId="1" applyNumberFormat="1" applyFont="1" applyFill="1" applyBorder="1" applyAlignment="1">
      <alignment horizontal="center" vertical="center" wrapText="1"/>
    </xf>
    <xf numFmtId="167" fontId="2" fillId="11" borderId="92" xfId="1" applyNumberFormat="1" applyFont="1" applyFill="1" applyBorder="1" applyAlignment="1">
      <alignment horizontal="center" vertical="center" wrapText="1"/>
    </xf>
    <xf numFmtId="167" fontId="2" fillId="11" borderId="33" xfId="1" applyNumberFormat="1" applyFont="1" applyFill="1" applyBorder="1" applyAlignment="1">
      <alignment horizontal="center" vertical="center" wrapText="1"/>
    </xf>
    <xf numFmtId="167" fontId="2" fillId="11" borderId="47" xfId="1" applyNumberFormat="1" applyFont="1" applyFill="1" applyBorder="1" applyAlignment="1">
      <alignment horizontal="center" vertical="center" wrapText="1"/>
    </xf>
    <xf numFmtId="167" fontId="7" fillId="12" borderId="1" xfId="1" applyNumberFormat="1" applyFont="1" applyFill="1" applyBorder="1" applyAlignment="1">
      <alignment horizontal="center" vertical="center" wrapText="1"/>
    </xf>
    <xf numFmtId="167" fontId="7" fillId="12" borderId="1" xfId="1" applyNumberFormat="1" applyFont="1" applyFill="1" applyBorder="1" applyAlignment="1">
      <alignment horizontal="center" vertical="center"/>
    </xf>
    <xf numFmtId="1" fontId="7" fillId="12" borderId="1" xfId="1" applyNumberFormat="1" applyFont="1" applyFill="1" applyBorder="1" applyAlignment="1">
      <alignment horizontal="center" vertical="center"/>
    </xf>
    <xf numFmtId="49" fontId="1" fillId="11" borderId="43" xfId="1" applyNumberFormat="1" applyFont="1" applyFill="1" applyBorder="1" applyAlignment="1">
      <alignment horizontal="center" vertical="center" wrapText="1"/>
    </xf>
    <xf numFmtId="49" fontId="1" fillId="11" borderId="44" xfId="1" applyNumberFormat="1" applyFont="1" applyFill="1" applyBorder="1" applyAlignment="1">
      <alignment horizontal="center" vertical="center" wrapText="1"/>
    </xf>
    <xf numFmtId="49" fontId="1" fillId="11" borderId="45" xfId="1" applyNumberFormat="1" applyFont="1" applyFill="1" applyBorder="1" applyAlignment="1">
      <alignment horizontal="center" vertical="center" wrapText="1"/>
    </xf>
    <xf numFmtId="49" fontId="1" fillId="11" borderId="71" xfId="1" applyNumberFormat="1" applyFont="1" applyFill="1" applyBorder="1" applyAlignment="1">
      <alignment horizontal="center" vertical="center" wrapText="1"/>
    </xf>
    <xf numFmtId="49" fontId="1" fillId="11" borderId="0" xfId="1" applyNumberFormat="1" applyFont="1" applyFill="1" applyBorder="1" applyAlignment="1">
      <alignment horizontal="center" vertical="center" wrapText="1"/>
    </xf>
    <xf numFmtId="49" fontId="1" fillId="11" borderId="46" xfId="1" applyNumberFormat="1" applyFont="1" applyFill="1" applyBorder="1" applyAlignment="1">
      <alignment horizontal="center" vertical="center" wrapText="1"/>
    </xf>
    <xf numFmtId="49" fontId="1" fillId="11" borderId="92" xfId="1" applyNumberFormat="1" applyFont="1" applyFill="1" applyBorder="1" applyAlignment="1">
      <alignment horizontal="center" vertical="center" wrapText="1"/>
    </xf>
    <xf numFmtId="49" fontId="1" fillId="11" borderId="33" xfId="1" applyNumberFormat="1" applyFont="1" applyFill="1" applyBorder="1" applyAlignment="1">
      <alignment horizontal="center" vertical="center" wrapText="1"/>
    </xf>
    <xf numFmtId="49" fontId="1" fillId="11" borderId="47" xfId="1" applyNumberFormat="1" applyFont="1" applyFill="1" applyBorder="1" applyAlignment="1">
      <alignment horizontal="center" vertical="center" wrapText="1"/>
    </xf>
    <xf numFmtId="167" fontId="2" fillId="0" borderId="0" xfId="1" applyNumberFormat="1" applyFont="1" applyFill="1" applyAlignment="1">
      <alignment horizontal="center"/>
    </xf>
    <xf numFmtId="167" fontId="2" fillId="0" borderId="7" xfId="1" applyNumberFormat="1" applyFont="1" applyFill="1" applyBorder="1" applyAlignment="1">
      <alignment horizontal="center" vertical="center" wrapText="1"/>
    </xf>
    <xf numFmtId="167" fontId="2" fillId="0" borderId="3" xfId="1" applyNumberFormat="1" applyFont="1" applyFill="1" applyBorder="1" applyAlignment="1">
      <alignment horizontal="center" vertical="center" wrapText="1"/>
    </xf>
    <xf numFmtId="167" fontId="2" fillId="0" borderId="1" xfId="1" applyNumberFormat="1" applyFont="1" applyFill="1" applyBorder="1" applyAlignment="1">
      <alignment horizontal="center" vertical="center" wrapText="1"/>
    </xf>
    <xf numFmtId="167" fontId="2" fillId="0" borderId="38" xfId="1" applyNumberFormat="1" applyFont="1" applyFill="1" applyBorder="1" applyAlignment="1">
      <alignment horizontal="center" vertical="center" wrapText="1"/>
    </xf>
    <xf numFmtId="167" fontId="2" fillId="0" borderId="0" xfId="1" applyNumberFormat="1" applyFont="1" applyFill="1" applyBorder="1" applyAlignment="1">
      <alignment horizontal="center" vertical="center" wrapText="1"/>
    </xf>
    <xf numFmtId="0" fontId="73" fillId="6" borderId="19" xfId="0" applyFont="1" applyFill="1" applyBorder="1" applyAlignment="1">
      <alignment horizontal="center" vertical="center"/>
    </xf>
    <xf numFmtId="0" fontId="73" fillId="6" borderId="56" xfId="0" applyFont="1" applyFill="1" applyBorder="1" applyAlignment="1">
      <alignment horizontal="center" vertical="center"/>
    </xf>
    <xf numFmtId="0" fontId="73" fillId="6" borderId="57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73" fillId="6" borderId="1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22" fillId="11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0" fontId="76" fillId="7" borderId="0" xfId="0" applyFont="1" applyFill="1" applyAlignment="1">
      <alignment horizontal="center" vertical="center"/>
    </xf>
    <xf numFmtId="0" fontId="20" fillId="11" borderId="0" xfId="0" applyFont="1" applyFill="1" applyAlignment="1">
      <alignment horizontal="center" vertical="center" wrapText="1"/>
    </xf>
    <xf numFmtId="0" fontId="73" fillId="6" borderId="1" xfId="0" applyFont="1" applyFill="1" applyBorder="1" applyAlignment="1">
      <alignment horizontal="center" vertical="center"/>
    </xf>
    <xf numFmtId="0" fontId="19" fillId="6" borderId="5" xfId="0" applyFont="1" applyFill="1" applyBorder="1" applyAlignment="1">
      <alignment horizontal="center" vertical="center" wrapText="1"/>
    </xf>
    <xf numFmtId="0" fontId="19" fillId="6" borderId="6" xfId="0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 wrapText="1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1" xfId="0" applyFont="1" applyFill="1" applyBorder="1" applyAlignment="1">
      <alignment horizontal="center" vertical="center" wrapText="1"/>
    </xf>
    <xf numFmtId="0" fontId="19" fillId="6" borderId="10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168" fontId="0" fillId="18" borderId="0" xfId="2" applyNumberFormat="1" applyFont="1" applyFill="1" applyAlignment="1">
      <alignment horizontal="center" wrapText="1"/>
    </xf>
    <xf numFmtId="0" fontId="0" fillId="19" borderId="0" xfId="0" applyFill="1" applyAlignment="1">
      <alignment horizontal="center" wrapText="1"/>
    </xf>
    <xf numFmtId="0" fontId="9" fillId="6" borderId="38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 vertical="center"/>
    </xf>
    <xf numFmtId="0" fontId="0" fillId="14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11" borderId="0" xfId="0" applyFill="1" applyAlignment="1">
      <alignment horizontal="center"/>
    </xf>
    <xf numFmtId="43" fontId="0" fillId="0" borderId="1" xfId="56" applyFont="1" applyBorder="1"/>
  </cellXfs>
  <cellStyles count="84">
    <cellStyle name="20% - Ênfase1" xfId="23" builtinId="30" customBuiltin="1"/>
    <cellStyle name="20% - Ênfase2" xfId="26" builtinId="34" customBuiltin="1"/>
    <cellStyle name="20% - Ênfase3" xfId="29" builtinId="38" customBuiltin="1"/>
    <cellStyle name="20% - Ênfase4" xfId="32" builtinId="42" customBuiltin="1"/>
    <cellStyle name="20% - Ênfase5" xfId="35" builtinId="46" customBuiltin="1"/>
    <cellStyle name="20% - Ênfase6" xfId="38" builtinId="50" customBuiltin="1"/>
    <cellStyle name="40% - Ênfase1" xfId="24" builtinId="31" customBuiltin="1"/>
    <cellStyle name="40% - Ênfase2" xfId="27" builtinId="35" customBuiltin="1"/>
    <cellStyle name="40% - Ênfase3" xfId="30" builtinId="39" customBuiltin="1"/>
    <cellStyle name="40% - Ênfase4" xfId="33" builtinId="43" customBuiltin="1"/>
    <cellStyle name="40% - Ênfase5" xfId="36" builtinId="47" customBuiltin="1"/>
    <cellStyle name="40% - Ênfase6" xfId="39" builtinId="51" customBuiltin="1"/>
    <cellStyle name="60% - Ênfase1" xfId="63" builtinId="32" customBuiltin="1"/>
    <cellStyle name="60% - Ênfase1 2" xfId="41"/>
    <cellStyle name="60% - Ênfase2" xfId="64" builtinId="36" customBuiltin="1"/>
    <cellStyle name="60% - Ênfase2 2" xfId="42"/>
    <cellStyle name="60% - Ênfase3" xfId="65" builtinId="40" customBuiltin="1"/>
    <cellStyle name="60% - Ênfase3 2" xfId="43"/>
    <cellStyle name="60% - Ênfase4" xfId="66" builtinId="44" customBuiltin="1"/>
    <cellStyle name="60% - Ênfase4 2" xfId="44"/>
    <cellStyle name="60% - Ênfase5" xfId="67" builtinId="48" customBuiltin="1"/>
    <cellStyle name="60% - Ênfase5 2" xfId="45"/>
    <cellStyle name="60% - Ênfase6" xfId="68" builtinId="52" customBuiltin="1"/>
    <cellStyle name="60% - Ênfase6 2" xfId="46"/>
    <cellStyle name="Bom" xfId="11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Date" xfId="51"/>
    <cellStyle name="Ênfase1" xfId="22" builtinId="29" customBuiltin="1"/>
    <cellStyle name="Ênfase2" xfId="25" builtinId="33" customBuiltin="1"/>
    <cellStyle name="Ênfase3" xfId="28" builtinId="37" customBuiltin="1"/>
    <cellStyle name="Ênfase4" xfId="31" builtinId="41" customBuiltin="1"/>
    <cellStyle name="Ênfase5" xfId="34" builtinId="45" customBuiltin="1"/>
    <cellStyle name="Ênfase6" xfId="37" builtinId="49" customBuiltin="1"/>
    <cellStyle name="Entrada" xfId="13" builtinId="20" customBuiltin="1"/>
    <cellStyle name="Hiperlink" xfId="48" builtinId="8"/>
    <cellStyle name="Incorreto" xfId="12" builtinId="27" customBuiltin="1"/>
    <cellStyle name="Moeda" xfId="3" builtinId="4"/>
    <cellStyle name="Moeda 2" xfId="5"/>
    <cellStyle name="Moeda 3" xfId="70"/>
    <cellStyle name="Moeda 4" xfId="83"/>
    <cellStyle name="Neutra" xfId="62" builtinId="28" customBuiltin="1"/>
    <cellStyle name="Neutro 2" xfId="40"/>
    <cellStyle name="Normal" xfId="0" builtinId="0"/>
    <cellStyle name="Normal 2" xfId="49"/>
    <cellStyle name="Normal 2 2" xfId="53"/>
    <cellStyle name="Nota" xfId="19" builtinId="10" customBuiltin="1"/>
    <cellStyle name="Porcentagem" xfId="2" builtinId="5"/>
    <cellStyle name="Saída" xfId="14" builtinId="21" customBuiltin="1"/>
    <cellStyle name="Separador de milhares 2" xfId="52"/>
    <cellStyle name="Separador de milhares 2 2" xfId="55"/>
    <cellStyle name="Separador de milhares 2 2 2" xfId="76"/>
    <cellStyle name="Separador de milhares 2 3" xfId="74"/>
    <cellStyle name="Texto de Aviso" xfId="18" builtinId="11" customBuiltin="1"/>
    <cellStyle name="Texto Explicativo" xfId="20" builtinId="53" customBuiltin="1"/>
    <cellStyle name="Título" xfId="61" builtinId="15" customBuiltin="1"/>
    <cellStyle name="Título 1" xfId="7" builtinId="16" customBuiltin="1"/>
    <cellStyle name="Título 2" xfId="8" builtinId="17" customBuiltin="1"/>
    <cellStyle name="Título 3" xfId="9" builtinId="18" customBuiltin="1"/>
    <cellStyle name="Título 4" xfId="10" builtinId="19" customBuiltin="1"/>
    <cellStyle name="Título 5" xfId="47"/>
    <cellStyle name="Total" xfId="21" builtinId="25" customBuiltin="1"/>
    <cellStyle name="Vírgula" xfId="1" builtinId="3"/>
    <cellStyle name="Vírgula 2" xfId="4"/>
    <cellStyle name="Vírgula 2 2" xfId="56"/>
    <cellStyle name="Vírgula 2 2 2" xfId="77"/>
    <cellStyle name="Vírgula 2 3" xfId="71"/>
    <cellStyle name="Vírgula 3" xfId="6"/>
    <cellStyle name="Vírgula 3 2" xfId="57"/>
    <cellStyle name="Vírgula 3 2 2" xfId="78"/>
    <cellStyle name="Vírgula 3 3" xfId="72"/>
    <cellStyle name="Vírgula 4" xfId="50"/>
    <cellStyle name="Vírgula 4 2" xfId="58"/>
    <cellStyle name="Vírgula 4 2 2" xfId="79"/>
    <cellStyle name="Vírgula 4 3" xfId="73"/>
    <cellStyle name="Vírgula 5" xfId="54"/>
    <cellStyle name="Vírgula 5 2" xfId="75"/>
    <cellStyle name="Vírgula 6" xfId="59"/>
    <cellStyle name="Vírgula 6 2" xfId="80"/>
    <cellStyle name="Vírgula 7" xfId="60"/>
    <cellStyle name="Vírgula 7 2" xfId="81"/>
    <cellStyle name="Vírgula 8" xfId="69"/>
    <cellStyle name="Vírgula 9" xfId="82"/>
  </cellStyles>
  <dxfs count="36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7434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434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434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7434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434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434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&quot;R$&quot;\ * #,##0_-;\-&quot;R$&quot;\ * #,##0_-;_-&quot;R$&quot;\ * &quot;-&quot;??_-;_-@_-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&quot;R$&quot;\ * #,##0_-;\-&quot;R$&quot;\ * #,##0_-;_-&quot;R$&quot;\ * &quot;-&quot;??_-;_-@_-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&quot;R$&quot;\ * #,##0_-;\-&quot;R$&quot;\ * #,##0_-;_-&quot;R$&quot;\ * &quot;-&quot;??_-;_-@_-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&quot;R$&quot;\ * #,##0_-;\-&quot;R$&quot;\ * #,##0_-;_-&quot;R$&quot;\ * &quot;-&quot;??_-;_-@_-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_-;\-* #,##0_-;_-* &quot;-&quot;??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_-;\-* #,##0_-;_-* &quot;-&quot;??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_-;\-* #,##0_-;_-* &quot;-&quot;??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_-;\-* #,##0_-;_-* &quot;-&quot;??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7" formatCode="_(* #,##0_);_(* \(#,##0\);_(* &quot;-&quot;??_);_(@_)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7" formatCode="_(* #,##0_);_(* \(#,##0\);_(* &quot;-&quot;??_);_(@_)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7" formatCode="_(* #,##0_);_(* \(#,##0\);_(* &quot;-&quot;??_);_(@_)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7" formatCode="_(* #,##0_);_(* \(#,##0\);_(* &quot;-&quot;??_);_(@_)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_-;\-* #,##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_-;\-* #,##0_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_-;\-* #,##0.0_-;_-* &quot;-&quot;??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.0_-;\-* #,##0.0_-;_-* &quot;-&quot;??_-;_-@_-"/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_-;\-* #,##0_-;_-* &quot;-&quot;??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_-;\-* #,##0_-;_-* &quot;-&quot;??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_-;\-* #,##0_-;_-* &quot;-&quot;??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_-;\-* #,##0_-;_-* &quot;-&quot;??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_-;\-* #,##0_-;_-* &quot;-&quot;??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_-;\-* #,##0_-;_-* &quot;-&quot;??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_-;\-* #,##0_-;_-* &quot;-&quot;??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72" formatCode="&quot;R$&quot;\ 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72" formatCode="&quot;R$&quot;\ 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72" formatCode="&quot;R$&quot;\ 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72" formatCode="&quot;R$&quot;\ 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72" formatCode="&quot;R$&quot;\ 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0.0%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72" formatCode="&quot;R$&quot;\ 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6666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6666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6666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170" formatCode="_-&quot;R$&quot;\ * #,##0_-;\-&quot;R$&quot;\ * #,##0_-;_-&quot;R$&quot;\ * &quot;-&quot;??_-;_-@_-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168" formatCode="0.0%"/>
    </dxf>
    <dxf>
      <numFmt numFmtId="168" formatCode="0.0%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numFmt numFmtId="177" formatCode="_(* #,##0_);_(* \(#,##0\);_(* &quot;-&quot;??_);_(@_)"/>
    </dxf>
    <dxf>
      <numFmt numFmtId="180" formatCode="_(* #,##0.0_);_(* \(#,##0.0\);_(* &quot;-&quot;??_);_(@_)"/>
    </dxf>
    <dxf>
      <numFmt numFmtId="168" formatCode="0.0%"/>
    </dxf>
    <dxf>
      <numFmt numFmtId="177" formatCode="_(* #,##0_);_(* \(#,##0\);_(* &quot;-&quot;??_);_(@_)"/>
    </dxf>
    <dxf>
      <numFmt numFmtId="168" formatCode="0.0%"/>
    </dxf>
    <dxf>
      <numFmt numFmtId="3" formatCode="#,##0"/>
    </dxf>
    <dxf>
      <numFmt numFmtId="3" formatCode="#,##0"/>
    </dxf>
    <dxf>
      <numFmt numFmtId="3" formatCode="#,##0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68" formatCode="0.0%"/>
    </dxf>
    <dxf>
      <numFmt numFmtId="168" formatCode="0.0%"/>
    </dxf>
    <dxf>
      <numFmt numFmtId="168" formatCode="0.0%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numFmt numFmtId="168" formatCode="0.0%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  <dxf>
      <alignment wrapText="1"/>
    </dxf>
    <dxf>
      <alignment horizontal="center"/>
    </dxf>
    <dxf>
      <alignment vertical="center"/>
    </dxf>
    <dxf>
      <alignment vertical="center"/>
    </dxf>
    <dxf>
      <alignment wrapText="1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2" formatCode="0.00"/>
    </dxf>
    <dxf>
      <font>
        <b val="0"/>
      </font>
    </dxf>
    <dxf>
      <numFmt numFmtId="177" formatCode="_(* #,##0_);_(* \(#,##0\);_(* &quot;-&quot;??_);_(@_)"/>
    </dxf>
    <dxf>
      <numFmt numFmtId="3" formatCode="#,##0"/>
    </dxf>
    <dxf>
      <numFmt numFmtId="12" formatCode="&quot;R$&quot;\ #,##0.00;[Red]\-&quot;R$&quot;\ #,##0.00"/>
    </dxf>
    <dxf>
      <numFmt numFmtId="3" formatCode="#,##0"/>
    </dxf>
    <dxf>
      <numFmt numFmtId="170" formatCode="_-&quot;R$&quot;\ * #,##0_-;\-&quot;R$&quot;\ * #,##0_-;_-&quot;R$&quot;\ * &quot;-&quot;??_-;_-@_-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vertical="center"/>
    </dxf>
    <dxf>
      <alignment wrapText="1"/>
    </dxf>
    <dxf>
      <font>
        <b/>
        <i val="0"/>
        <sz val="14"/>
        <color theme="9"/>
      </font>
      <fill>
        <patternFill>
          <bgColor theme="1"/>
        </patternFill>
      </fill>
      <border>
        <bottom/>
        <vertical/>
        <horizontal/>
      </border>
    </dxf>
    <dxf>
      <font>
        <sz val="8"/>
        <color theme="1"/>
      </font>
      <fill>
        <patternFill patternType="solid">
          <fgColor auto="1"/>
          <bgColor theme="5"/>
        </patternFill>
      </fill>
      <border>
        <left style="thin">
          <color rgb="FF006871"/>
        </left>
        <right style="thin">
          <color rgb="FF006871"/>
        </right>
        <top style="thin">
          <color rgb="FF006871"/>
        </top>
        <bottom style="thin">
          <color rgb="FF006871"/>
        </bottom>
        <vertical/>
        <horizontal/>
      </border>
    </dxf>
    <dxf>
      <font>
        <b/>
        <i val="0"/>
        <sz val="14"/>
        <color theme="9"/>
      </font>
      <fill>
        <patternFill>
          <bgColor theme="1"/>
        </patternFill>
      </fill>
      <border>
        <bottom/>
        <vertical/>
        <horizontal/>
      </border>
    </dxf>
    <dxf>
      <font>
        <sz val="14"/>
        <color theme="1"/>
      </font>
      <fill>
        <patternFill patternType="solid">
          <fgColor auto="1"/>
          <bgColor theme="5"/>
        </patternFill>
      </fill>
      <border>
        <left style="thin">
          <color rgb="FF006871"/>
        </left>
        <right style="thin">
          <color rgb="FF006871"/>
        </right>
        <top style="thin">
          <color rgb="FF006871"/>
        </top>
        <bottom style="thin">
          <color rgb="FF006871"/>
        </bottom>
        <vertical/>
        <horizontal/>
      </border>
    </dxf>
  </dxfs>
  <tableStyles count="2" defaultTableStyle="TableStyleMedium2" defaultPivotStyle="PivotStyleLight16">
    <tableStyle name="CAU" pivot="0" table="0" count="10">
      <tableStyleElement type="wholeTable" dxfId="366"/>
      <tableStyleElement type="headerRow" dxfId="365"/>
    </tableStyle>
    <tableStyle name="CAU 2" pivot="0" table="0" count="10">
      <tableStyleElement type="wholeTable" dxfId="364"/>
      <tableStyleElement type="headerRow" dxfId="363"/>
    </tableStyle>
  </tableStyles>
  <colors>
    <mruColors>
      <color rgb="FFFFFADE"/>
      <color rgb="FF2A5664"/>
      <color rgb="FF008F9A"/>
      <color rgb="FFFFF3AB"/>
      <color rgb="FF006666"/>
      <color rgb="FFD99694"/>
      <color rgb="FF000000"/>
      <color rgb="FF9EC2CA"/>
      <color rgb="FFB8FAFF"/>
      <color rgb="FF5E9EA6"/>
    </mruColors>
  </colors>
  <extLst>
    <ext xmlns:x14="http://schemas.microsoft.com/office/spreadsheetml/2009/9/main" uri="{46F421CA-312F-682f-3DD2-61675219B42D}">
      <x14:dxfs count="16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3AB"/>
              <bgColor rgb="FFFFF3AB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color theme="0"/>
          </font>
          <fill>
            <patternFill patternType="solid">
              <fgColor rgb="FF008F9A"/>
              <bgColor rgb="FF008F9A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3AB"/>
              <bgColor rgb="FFFFF3AB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color theme="0"/>
          </font>
          <fill>
            <patternFill patternType="solid">
              <fgColor rgb="FF008F9A"/>
              <bgColor rgb="FF008F9A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CAU">
        <x14:slicerStyle name="CAU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CAU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pivotCacheDefinition" Target="pivotCache/pivotCacheDefinition1.xml"/><Relationship Id="rId68" Type="http://schemas.openxmlformats.org/officeDocument/2006/relationships/pivotCacheDefinition" Target="pivotCache/pivotCacheDefinition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pivotCacheDefinition" Target="pivotCache/pivotCacheDefinition4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pivotCacheDefinition" Target="pivotCache/pivotCacheDefinition2.xml"/><Relationship Id="rId69" Type="http://schemas.microsoft.com/office/2007/relationships/slicerCache" Target="slicerCaches/slicerCach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microsoft.com/office/2007/relationships/slicerCache" Target="slicerCaches/slicerCache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pivotCacheDefinition" Target="pivotCache/pivotCacheDefinition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microsoft.com/office/2007/relationships/slicerCache" Target="slicerCaches/slicerCache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pivotCacheDefinition" Target="pivotCache/pivotCacheDefinition3.xml"/><Relationship Id="rId73" Type="http://schemas.openxmlformats.org/officeDocument/2006/relationships/theme" Target="theme/theme1.xml"/><Relationship Id="rId10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microsoft.com/office/2007/relationships/slicerCache" Target="slicerCaches/slicerCache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Janeiro PF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0-5B27-44F7-B8C4-0B376E8DB1DF}"/>
            </c:ext>
          </c:extLst>
        </c:ser>
        <c:ser>
          <c:idx val="3"/>
          <c:order val="3"/>
          <c:tx>
            <c:v>Janeiro PJ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1-5B27-44F7-B8C4-0B376E8DB1DF}"/>
            </c:ext>
          </c:extLst>
        </c:ser>
        <c:ser>
          <c:idx val="4"/>
          <c:order val="4"/>
          <c:tx>
            <c:v>Fevereiro PF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2-5B27-44F7-B8C4-0B376E8DB1DF}"/>
            </c:ext>
          </c:extLst>
        </c:ser>
        <c:ser>
          <c:idx val="5"/>
          <c:order val="5"/>
          <c:tx>
            <c:v>Fevereiro PJ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3-5B27-44F7-B8C4-0B376E8DB1DF}"/>
            </c:ext>
          </c:extLst>
        </c:ser>
        <c:ser>
          <c:idx val="6"/>
          <c:order val="6"/>
          <c:tx>
            <c:v>Março PF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4-5B27-44F7-B8C4-0B376E8DB1DF}"/>
            </c:ext>
          </c:extLst>
        </c:ser>
        <c:ser>
          <c:idx val="7"/>
          <c:order val="7"/>
          <c:tx>
            <c:v>Março PJ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5-5B27-44F7-B8C4-0B376E8DB1DF}"/>
            </c:ext>
          </c:extLst>
        </c:ser>
        <c:ser>
          <c:idx val="10"/>
          <c:order val="10"/>
          <c:tx>
            <c:strRef>
              <c:f>'EXERCÍCIOS ANTERIORES'!$AD$2:$AD$3</c:f>
              <c:strCache>
                <c:ptCount val="2"/>
                <c:pt idx="0">
                  <c:v>EXECUÇÃO % (C = B/A)</c:v>
                </c:pt>
                <c:pt idx="1">
                  <c:v>PF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89BED06-9EAA-4925-B9C3-F5496F1DD7A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9E64-4FE9-9C4A-FF246D4C37D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C8C224D-3000-47BE-A3A4-E3B3413999B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E64-4FE9-9C4A-FF246D4C37D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1144265-E959-484B-82EC-61D2D6BA968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E64-4FE9-9C4A-FF246D4C37D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99701BC-ECB3-40CB-BB14-88BF240AE76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9E64-4FE9-9C4A-FF246D4C37D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763DD64-AE3C-481A-AE3E-F8EF02EF824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E64-4FE9-9C4A-FF246D4C37D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E826140-9D2D-4909-A9FB-D39E43D42E4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E64-4FE9-9C4A-FF246D4C37D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17C7B1B-4316-4697-B306-64AE4095619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E64-4FE9-9C4A-FF246D4C37D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E1D388D-2BEB-4C3B-A9BE-5C8DF269DD0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E64-4FE9-9C4A-FF246D4C37D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8DD7778-42E2-4C8D-9909-1CE0A6DEB25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E64-4FE9-9C4A-FF246D4C37D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E54862B-BCBF-4558-8410-98889E06F24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E64-4FE9-9C4A-FF246D4C37D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B036629-13EC-4B6D-AF25-3A3E823C8B9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E64-4FE9-9C4A-FF246D4C37D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94B086C-00F5-48C5-8E17-D79048B9DDC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E64-4FE9-9C4A-FF246D4C37D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1BE5C92-FA22-4494-835C-8541B2C1B5C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E64-4FE9-9C4A-FF246D4C37D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7F1CECA-A2F5-4A9B-AAC3-007747C5407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E64-4FE9-9C4A-FF246D4C37D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12532DA-D510-40FE-9C69-191A9F1B875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E64-4FE9-9C4A-FF246D4C37D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76F43341-1D8A-4C42-9EBA-6F99B900A99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E64-4FE9-9C4A-FF246D4C37D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3A79AD5-B28E-4391-AEA0-29885866FFE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E64-4FE9-9C4A-FF246D4C37D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3985724E-C555-454B-80AB-88A9785A696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E64-4FE9-9C4A-FF246D4C37D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5041B4B-FBAD-408E-9C4F-0601FB4C7EA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E64-4FE9-9C4A-FF246D4C37D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13DA8A4-8893-42C2-839D-981CBDD8F3B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E64-4FE9-9C4A-FF246D4C37D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E94A418-6F7D-45F1-BDD6-37E3232FCDE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E64-4FE9-9C4A-FF246D4C37D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BD06E76-026E-487C-9EB1-597565AAA26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E64-4FE9-9C4A-FF246D4C37D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41206A47-0E27-47D8-83ED-6766166A03A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E64-4FE9-9C4A-FF246D4C37D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B96E98B-50D2-4061-832B-6E494BEF37D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E64-4FE9-9C4A-FF246D4C37D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BFB966F6-085F-4E20-B850-9F6357708BF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E64-4FE9-9C4A-FF246D4C37D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731FE376-F552-4BAA-AAE7-9D9750DF972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E64-4FE9-9C4A-FF246D4C37D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7645F59D-06F7-458D-AD81-456AE87136A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E64-4FE9-9C4A-FF246D4C3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'EXERCÍCIOS ANTERIORES'!$A$4:$A$30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AP</c:v>
                </c:pt>
                <c:pt idx="3">
                  <c:v>AM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MT</c:v>
                </c:pt>
                <c:pt idx="11">
                  <c:v>MS</c:v>
                </c:pt>
                <c:pt idx="12">
                  <c:v>MG</c:v>
                </c:pt>
                <c:pt idx="13">
                  <c:v>PA</c:v>
                </c:pt>
                <c:pt idx="14">
                  <c:v>PB</c:v>
                </c:pt>
                <c:pt idx="15">
                  <c:v>PR</c:v>
                </c:pt>
                <c:pt idx="16">
                  <c:v>PE</c:v>
                </c:pt>
                <c:pt idx="17">
                  <c:v>PI</c:v>
                </c:pt>
                <c:pt idx="18">
                  <c:v>RJ</c:v>
                </c:pt>
                <c:pt idx="19">
                  <c:v>RN</c:v>
                </c:pt>
                <c:pt idx="20">
                  <c:v>RS</c:v>
                </c:pt>
                <c:pt idx="21">
                  <c:v>RO</c:v>
                </c:pt>
                <c:pt idx="22">
                  <c:v>RR</c:v>
                </c:pt>
                <c:pt idx="23">
                  <c:v>SC</c:v>
                </c:pt>
                <c:pt idx="24">
                  <c:v>SP</c:v>
                </c:pt>
                <c:pt idx="25">
                  <c:v>SE</c:v>
                </c:pt>
                <c:pt idx="26">
                  <c:v>TO</c:v>
                </c:pt>
              </c:strCache>
              <c:extLst/>
            </c:strRef>
          </c:cat>
          <c:val>
            <c:numRef>
              <c:f>'EXERCÍCIOS ANTERIORES'!$AD$4:$AD$30</c:f>
              <c:numCache>
                <c:formatCode>0.0%</c:formatCode>
                <c:ptCount val="27"/>
                <c:pt idx="0">
                  <c:v>0.98710883486904943</c:v>
                </c:pt>
                <c:pt idx="1">
                  <c:v>0.98609225190681016</c:v>
                </c:pt>
                <c:pt idx="2">
                  <c:v>0.79540390620962309</c:v>
                </c:pt>
                <c:pt idx="3">
                  <c:v>0.66861643589086361</c:v>
                </c:pt>
                <c:pt idx="4">
                  <c:v>0.78295440267551175</c:v>
                </c:pt>
                <c:pt idx="5">
                  <c:v>1.4129440914523295</c:v>
                </c:pt>
                <c:pt idx="6">
                  <c:v>1.1570452551052617</c:v>
                </c:pt>
                <c:pt idx="7">
                  <c:v>0.80571794837936805</c:v>
                </c:pt>
                <c:pt idx="8">
                  <c:v>1.1597331916464266</c:v>
                </c:pt>
                <c:pt idx="9">
                  <c:v>0.58748129728146758</c:v>
                </c:pt>
                <c:pt idx="10">
                  <c:v>0.92177134509882175</c:v>
                </c:pt>
                <c:pt idx="11">
                  <c:v>0.75646507781302252</c:v>
                </c:pt>
                <c:pt idx="12">
                  <c:v>1.3221806984667688</c:v>
                </c:pt>
                <c:pt idx="13">
                  <c:v>0.52732722432562473</c:v>
                </c:pt>
                <c:pt idx="14">
                  <c:v>0.856328801847687</c:v>
                </c:pt>
                <c:pt idx="15">
                  <c:v>0.74027729242328522</c:v>
                </c:pt>
                <c:pt idx="16">
                  <c:v>0.70761859360573109</c:v>
                </c:pt>
                <c:pt idx="17">
                  <c:v>0.25315431999999999</c:v>
                </c:pt>
                <c:pt idx="18">
                  <c:v>0.59886986213029736</c:v>
                </c:pt>
                <c:pt idx="19">
                  <c:v>0.68726170868108905</c:v>
                </c:pt>
                <c:pt idx="20">
                  <c:v>0.53691726288120145</c:v>
                </c:pt>
                <c:pt idx="21">
                  <c:v>1.2478598697225678</c:v>
                </c:pt>
                <c:pt idx="22">
                  <c:v>0.6472102580435698</c:v>
                </c:pt>
                <c:pt idx="23">
                  <c:v>1.1276662404398607</c:v>
                </c:pt>
                <c:pt idx="24">
                  <c:v>0.83442933100517558</c:v>
                </c:pt>
                <c:pt idx="25">
                  <c:v>1.4325539321493332</c:v>
                </c:pt>
                <c:pt idx="26">
                  <c:v>0.75204543177093719</c:v>
                </c:pt>
              </c:numCache>
              <c:extLst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datalabelsRange>
                <c15:f>'EXERCÍCIOS ANTERIORES'!$AB$4:$AB$30</c15:f>
                <c15:dlblRangeCache>
                  <c:ptCount val="27"/>
                  <c:pt idx="0">
                    <c:v> 65.149 </c:v>
                  </c:pt>
                  <c:pt idx="1">
                    <c:v> 121.919 </c:v>
                  </c:pt>
                  <c:pt idx="2">
                    <c:v> 56.174 </c:v>
                  </c:pt>
                  <c:pt idx="3">
                    <c:v> 98.082 </c:v>
                  </c:pt>
                  <c:pt idx="4">
                    <c:v> 289.451 </c:v>
                  </c:pt>
                  <c:pt idx="5">
                    <c:v> 298.626 </c:v>
                  </c:pt>
                  <c:pt idx="6">
                    <c:v> 456.786 </c:v>
                  </c:pt>
                  <c:pt idx="7">
                    <c:v> 186.104 </c:v>
                  </c:pt>
                  <c:pt idx="8">
                    <c:v> 367.744 </c:v>
                  </c:pt>
                  <c:pt idx="9">
                    <c:v> 97.415 </c:v>
                  </c:pt>
                  <c:pt idx="10">
                    <c:v> 154.706 </c:v>
                  </c:pt>
                  <c:pt idx="11">
                    <c:v> 222.159 </c:v>
                  </c:pt>
                  <c:pt idx="12">
                    <c:v> 956.043 </c:v>
                  </c:pt>
                  <c:pt idx="13">
                    <c:v> 163.335 </c:v>
                  </c:pt>
                  <c:pt idx="14">
                    <c:v> 233.932 </c:v>
                  </c:pt>
                  <c:pt idx="15">
                    <c:v> 642.270 </c:v>
                  </c:pt>
                  <c:pt idx="16">
                    <c:v> 328.802 </c:v>
                  </c:pt>
                  <c:pt idx="17">
                    <c:v> 50.631 </c:v>
                  </c:pt>
                  <c:pt idx="18">
                    <c:v> 696.022 </c:v>
                  </c:pt>
                  <c:pt idx="19">
                    <c:v> 133.056 </c:v>
                  </c:pt>
                  <c:pt idx="20">
                    <c:v> 911.980 </c:v>
                  </c:pt>
                  <c:pt idx="21">
                    <c:v> 95.524 </c:v>
                  </c:pt>
                  <c:pt idx="22">
                    <c:v> 10.486 </c:v>
                  </c:pt>
                  <c:pt idx="23">
                    <c:v> 790.322 </c:v>
                  </c:pt>
                  <c:pt idx="24">
                    <c:v> 3.383.207 </c:v>
                  </c:pt>
                  <c:pt idx="25">
                    <c:v> 104.584 </c:v>
                  </c:pt>
                  <c:pt idx="26">
                    <c:v> 38.200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5B27-44F7-B8C4-0B376E8DB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0444544"/>
        <c:axId val="3207977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'EXERCÍCIOS ANTERIORES'!$B$2:$B$3</c15:sqref>
                        </c15:formulaRef>
                      </c:ext>
                    </c:extLst>
                    <c:strCache>
                      <c:ptCount val="2"/>
                      <c:pt idx="0">
                        <c:v>PREVISTO para 2022(A)</c:v>
                      </c:pt>
                      <c:pt idx="1">
                        <c:v>PF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'EXERCÍCIOS ANTERIORES'!$A$4:$A$30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'EXERCÍCIOS ANTERIORES'!$B$4:$B$30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65999.62</c:v>
                      </c:pt>
                      <c:pt idx="1">
                        <c:v>123638.42</c:v>
                      </c:pt>
                      <c:pt idx="2">
                        <c:v>70623.45</c:v>
                      </c:pt>
                      <c:pt idx="3">
                        <c:v>146693.6</c:v>
                      </c:pt>
                      <c:pt idx="4">
                        <c:v>369690.77</c:v>
                      </c:pt>
                      <c:pt idx="5">
                        <c:v>211350.33000000002</c:v>
                      </c:pt>
                      <c:pt idx="6">
                        <c:v>394786.83999999997</c:v>
                      </c:pt>
                      <c:pt idx="7">
                        <c:v>230979.35</c:v>
                      </c:pt>
                      <c:pt idx="8">
                        <c:v>317093.52</c:v>
                      </c:pt>
                      <c:pt idx="9">
                        <c:v>165818.14000000001</c:v>
                      </c:pt>
                      <c:pt idx="10">
                        <c:v>167836.07</c:v>
                      </c:pt>
                      <c:pt idx="11">
                        <c:v>293680.92</c:v>
                      </c:pt>
                      <c:pt idx="12">
                        <c:v>723080.07</c:v>
                      </c:pt>
                      <c:pt idx="13">
                        <c:v>309741.52</c:v>
                      </c:pt>
                      <c:pt idx="14">
                        <c:v>273180.46000000002</c:v>
                      </c:pt>
                      <c:pt idx="15">
                        <c:v>867607.55</c:v>
                      </c:pt>
                      <c:pt idx="16">
                        <c:v>464660.17</c:v>
                      </c:pt>
                      <c:pt idx="17">
                        <c:v>200000</c:v>
                      </c:pt>
                      <c:pt idx="18">
                        <c:v>1162226.3400000001</c:v>
                      </c:pt>
                      <c:pt idx="19">
                        <c:v>193603.36</c:v>
                      </c:pt>
                      <c:pt idx="20">
                        <c:v>1698548.27</c:v>
                      </c:pt>
                      <c:pt idx="21">
                        <c:v>76550.48</c:v>
                      </c:pt>
                      <c:pt idx="22">
                        <c:v>16201.14</c:v>
                      </c:pt>
                      <c:pt idx="23">
                        <c:v>700847.52</c:v>
                      </c:pt>
                      <c:pt idx="24">
                        <c:v>4054515.912</c:v>
                      </c:pt>
                      <c:pt idx="25">
                        <c:v>73005.62</c:v>
                      </c:pt>
                      <c:pt idx="26">
                        <c:v>50794.41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5B27-44F7-B8C4-0B376E8DB1D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ANTERIORES'!$C$2:$C$3</c15:sqref>
                        </c15:formulaRef>
                      </c:ext>
                    </c:extLst>
                    <c:strCache>
                      <c:ptCount val="2"/>
                      <c:pt idx="0">
                        <c:v>PREVISTO para 2022(A)</c:v>
                      </c:pt>
                      <c:pt idx="1">
                        <c:v>PJ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ANTERIORES'!$A$4:$A$30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ANTERIORES'!$C$4:$C$30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10405.58</c:v>
                      </c:pt>
                      <c:pt idx="1">
                        <c:v>22976.79</c:v>
                      </c:pt>
                      <c:pt idx="2">
                        <c:v>29503.100000000002</c:v>
                      </c:pt>
                      <c:pt idx="3">
                        <c:v>25790.080000000002</c:v>
                      </c:pt>
                      <c:pt idx="4">
                        <c:v>99609.25</c:v>
                      </c:pt>
                      <c:pt idx="5">
                        <c:v>56778.33</c:v>
                      </c:pt>
                      <c:pt idx="6">
                        <c:v>65835.459999999992</c:v>
                      </c:pt>
                      <c:pt idx="7">
                        <c:v>20060.740000000002</c:v>
                      </c:pt>
                      <c:pt idx="8">
                        <c:v>111529.82</c:v>
                      </c:pt>
                      <c:pt idx="9">
                        <c:v>50933.57</c:v>
                      </c:pt>
                      <c:pt idx="10">
                        <c:v>58593.32</c:v>
                      </c:pt>
                      <c:pt idx="11">
                        <c:v>64930.83</c:v>
                      </c:pt>
                      <c:pt idx="12">
                        <c:v>109991.88</c:v>
                      </c:pt>
                      <c:pt idx="13">
                        <c:v>38300.33</c:v>
                      </c:pt>
                      <c:pt idx="14">
                        <c:v>28773.33</c:v>
                      </c:pt>
                      <c:pt idx="15">
                        <c:v>185014.2</c:v>
                      </c:pt>
                      <c:pt idx="16">
                        <c:v>48179.87</c:v>
                      </c:pt>
                      <c:pt idx="17">
                        <c:v>45000</c:v>
                      </c:pt>
                      <c:pt idx="18">
                        <c:v>227054.9</c:v>
                      </c:pt>
                      <c:pt idx="19">
                        <c:v>45000</c:v>
                      </c:pt>
                      <c:pt idx="20">
                        <c:v>45000</c:v>
                      </c:pt>
                      <c:pt idx="21">
                        <c:v>19144.309999999998</c:v>
                      </c:pt>
                      <c:pt idx="22">
                        <c:v>5896.87</c:v>
                      </c:pt>
                      <c:pt idx="23">
                        <c:v>196070.56</c:v>
                      </c:pt>
                      <c:pt idx="24">
                        <c:v>507349.61600000004</c:v>
                      </c:pt>
                      <c:pt idx="25">
                        <c:v>45000</c:v>
                      </c:pt>
                      <c:pt idx="26">
                        <c:v>45000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5B27-44F7-B8C4-0B376E8DB1DF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ANTERIORES'!$AB$2:$AB$3</c15:sqref>
                        </c15:formulaRef>
                      </c:ext>
                    </c:extLst>
                    <c:strCache>
                      <c:ptCount val="2"/>
                      <c:pt idx="0">
                        <c:v>Executado - Jan. a Dez.(B)</c:v>
                      </c:pt>
                      <c:pt idx="1">
                        <c:v>PF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dLbl>
                    <c:idx val="0"/>
                    <c:tx>
                      <c:rich>
                        <a:bodyPr/>
                        <a:lstStyle/>
                        <a:p>
                          <a:fld id="{5BF0F980-4023-471C-92A8-597FB9EE8B00}" type="CELLRANGE">
                            <a:rPr lang="en-US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4-5B27-44F7-B8C4-0B376E8DB1DF}"/>
                      </c:ext>
                    </c:extLst>
                  </c:dLbl>
                  <c:dLbl>
                    <c:idx val="1"/>
                    <c:tx>
                      <c:rich>
                        <a:bodyPr/>
                        <a:lstStyle/>
                        <a:p>
                          <a:fld id="{81ACCEF4-7B89-46E4-ABC8-D66463B20427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1B-9E64-4FE9-9C4A-FF246D4C37D2}"/>
                      </c:ext>
                    </c:extLst>
                  </c:dLbl>
                  <c:dLbl>
                    <c:idx val="2"/>
                    <c:tx>
                      <c:rich>
                        <a:bodyPr/>
                        <a:lstStyle/>
                        <a:p>
                          <a:fld id="{E1245F43-FC07-43C7-ADCD-1F59840E1DD3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1C-9E64-4FE9-9C4A-FF246D4C37D2}"/>
                      </c:ext>
                    </c:extLst>
                  </c:dLbl>
                  <c:dLbl>
                    <c:idx val="3"/>
                    <c:tx>
                      <c:rich>
                        <a:bodyPr/>
                        <a:lstStyle/>
                        <a:p>
                          <a:fld id="{F5F27DCE-9631-494A-BB2B-C378FDAA15CF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1D-9E64-4FE9-9C4A-FF246D4C37D2}"/>
                      </c:ext>
                    </c:extLst>
                  </c:dLbl>
                  <c:dLbl>
                    <c:idx val="4"/>
                    <c:tx>
                      <c:rich>
                        <a:bodyPr/>
                        <a:lstStyle/>
                        <a:p>
                          <a:fld id="{7F6B3593-FAA8-4090-B746-9904085607BF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1E-9E64-4FE9-9C4A-FF246D4C37D2}"/>
                      </c:ext>
                    </c:extLst>
                  </c:dLbl>
                  <c:dLbl>
                    <c:idx val="5"/>
                    <c:tx>
                      <c:rich>
                        <a:bodyPr/>
                        <a:lstStyle/>
                        <a:p>
                          <a:fld id="{11AF3B0A-AC20-4E6A-A0AD-DC6C8E6E64EA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1F-9E64-4FE9-9C4A-FF246D4C37D2}"/>
                      </c:ext>
                    </c:extLst>
                  </c:dLbl>
                  <c:dLbl>
                    <c:idx val="6"/>
                    <c:tx>
                      <c:rich>
                        <a:bodyPr/>
                        <a:lstStyle/>
                        <a:p>
                          <a:fld id="{BE9EB233-7452-43A7-98FF-EB4F18B84AC5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0-9E64-4FE9-9C4A-FF246D4C37D2}"/>
                      </c:ext>
                    </c:extLst>
                  </c:dLbl>
                  <c:dLbl>
                    <c:idx val="7"/>
                    <c:tx>
                      <c:rich>
                        <a:bodyPr/>
                        <a:lstStyle/>
                        <a:p>
                          <a:fld id="{3A0754F3-7732-43D5-87E8-F87EC1BAB649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1-9E64-4FE9-9C4A-FF246D4C37D2}"/>
                      </c:ext>
                    </c:extLst>
                  </c:dLbl>
                  <c:dLbl>
                    <c:idx val="8"/>
                    <c:tx>
                      <c:rich>
                        <a:bodyPr/>
                        <a:lstStyle/>
                        <a:p>
                          <a:fld id="{EDA02DF8-C853-49A3-AC85-FE14F9A02810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2-9E64-4FE9-9C4A-FF246D4C37D2}"/>
                      </c:ext>
                    </c:extLst>
                  </c:dLbl>
                  <c:dLbl>
                    <c:idx val="9"/>
                    <c:tx>
                      <c:rich>
                        <a:bodyPr/>
                        <a:lstStyle/>
                        <a:p>
                          <a:fld id="{6ABA4B7D-738E-4535-AA5E-060B3701F32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3-9E64-4FE9-9C4A-FF246D4C37D2}"/>
                      </c:ext>
                    </c:extLst>
                  </c:dLbl>
                  <c:dLbl>
                    <c:idx val="10"/>
                    <c:tx>
                      <c:rich>
                        <a:bodyPr/>
                        <a:lstStyle/>
                        <a:p>
                          <a:fld id="{32FBECB6-E585-4D3F-AE7F-B6CC1D56CDB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4-9E64-4FE9-9C4A-FF246D4C37D2}"/>
                      </c:ext>
                    </c:extLst>
                  </c:dLbl>
                  <c:dLbl>
                    <c:idx val="11"/>
                    <c:tx>
                      <c:rich>
                        <a:bodyPr/>
                        <a:lstStyle/>
                        <a:p>
                          <a:fld id="{804AB7F2-7E8B-4196-AB62-41845925919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5-9E64-4FE9-9C4A-FF246D4C37D2}"/>
                      </c:ext>
                    </c:extLst>
                  </c:dLbl>
                  <c:dLbl>
                    <c:idx val="12"/>
                    <c:tx>
                      <c:rich>
                        <a:bodyPr/>
                        <a:lstStyle/>
                        <a:p>
                          <a:fld id="{E933ACFB-87FD-41AC-9795-DB930983F0FF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6-9E64-4FE9-9C4A-FF246D4C37D2}"/>
                      </c:ext>
                    </c:extLst>
                  </c:dLbl>
                  <c:dLbl>
                    <c:idx val="13"/>
                    <c:tx>
                      <c:rich>
                        <a:bodyPr/>
                        <a:lstStyle/>
                        <a:p>
                          <a:fld id="{6E36DE3E-E716-4D92-AD10-7E3628B7DAB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7-9E64-4FE9-9C4A-FF246D4C37D2}"/>
                      </c:ext>
                    </c:extLst>
                  </c:dLbl>
                  <c:dLbl>
                    <c:idx val="14"/>
                    <c:tx>
                      <c:rich>
                        <a:bodyPr/>
                        <a:lstStyle/>
                        <a:p>
                          <a:fld id="{0F5D8330-9FB9-486E-B00C-8500428E7614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8-9E64-4FE9-9C4A-FF246D4C37D2}"/>
                      </c:ext>
                    </c:extLst>
                  </c:dLbl>
                  <c:dLbl>
                    <c:idx val="15"/>
                    <c:tx>
                      <c:rich>
                        <a:bodyPr/>
                        <a:lstStyle/>
                        <a:p>
                          <a:fld id="{579CBE20-BC17-432C-A149-4DA1A2AEC556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9-9E64-4FE9-9C4A-FF246D4C37D2}"/>
                      </c:ext>
                    </c:extLst>
                  </c:dLbl>
                  <c:dLbl>
                    <c:idx val="16"/>
                    <c:tx>
                      <c:rich>
                        <a:bodyPr/>
                        <a:lstStyle/>
                        <a:p>
                          <a:fld id="{E39349DF-7F41-4E64-80D1-FDA457F250E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A-9E64-4FE9-9C4A-FF246D4C37D2}"/>
                      </c:ext>
                    </c:extLst>
                  </c:dLbl>
                  <c:dLbl>
                    <c:idx val="17"/>
                    <c:tx>
                      <c:rich>
                        <a:bodyPr/>
                        <a:lstStyle/>
                        <a:p>
                          <a:fld id="{6D2D06DA-682D-4C82-B6CF-E9706D351B97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B-9E64-4FE9-9C4A-FF246D4C37D2}"/>
                      </c:ext>
                    </c:extLst>
                  </c:dLbl>
                  <c:dLbl>
                    <c:idx val="18"/>
                    <c:tx>
                      <c:rich>
                        <a:bodyPr/>
                        <a:lstStyle/>
                        <a:p>
                          <a:fld id="{1F61920E-C4C5-41B4-B252-2239966BBFDB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C-9E64-4FE9-9C4A-FF246D4C37D2}"/>
                      </c:ext>
                    </c:extLst>
                  </c:dLbl>
                  <c:dLbl>
                    <c:idx val="19"/>
                    <c:tx>
                      <c:rich>
                        <a:bodyPr/>
                        <a:lstStyle/>
                        <a:p>
                          <a:fld id="{70529622-5EF7-4E1D-B6A2-6EEF3659006C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D-9E64-4FE9-9C4A-FF246D4C37D2}"/>
                      </c:ext>
                    </c:extLst>
                  </c:dLbl>
                  <c:dLbl>
                    <c:idx val="20"/>
                    <c:tx>
                      <c:rich>
                        <a:bodyPr/>
                        <a:lstStyle/>
                        <a:p>
                          <a:fld id="{74242018-C9B9-48A8-9BC3-383B50FE61EC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E-9E64-4FE9-9C4A-FF246D4C37D2}"/>
                      </c:ext>
                    </c:extLst>
                  </c:dLbl>
                  <c:dLbl>
                    <c:idx val="21"/>
                    <c:tx>
                      <c:rich>
                        <a:bodyPr/>
                        <a:lstStyle/>
                        <a:p>
                          <a:fld id="{A2A6C5DF-D3E3-4312-9476-2F78BE604F46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F-9E64-4FE9-9C4A-FF246D4C37D2}"/>
                      </c:ext>
                    </c:extLst>
                  </c:dLbl>
                  <c:dLbl>
                    <c:idx val="22"/>
                    <c:tx>
                      <c:rich>
                        <a:bodyPr/>
                        <a:lstStyle/>
                        <a:p>
                          <a:fld id="{40FB5A66-DA8E-4C48-9774-DF4AA5F1C3DC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0-9E64-4FE9-9C4A-FF246D4C37D2}"/>
                      </c:ext>
                    </c:extLst>
                  </c:dLbl>
                  <c:dLbl>
                    <c:idx val="23"/>
                    <c:tx>
                      <c:rich>
                        <a:bodyPr/>
                        <a:lstStyle/>
                        <a:p>
                          <a:fld id="{A031D3DB-920C-4B41-9DDF-F6544315D37C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1-9E64-4FE9-9C4A-FF246D4C37D2}"/>
                      </c:ext>
                    </c:extLst>
                  </c:dLbl>
                  <c:dLbl>
                    <c:idx val="24"/>
                    <c:tx>
                      <c:rich>
                        <a:bodyPr/>
                        <a:lstStyle/>
                        <a:p>
                          <a:fld id="{AC7D9035-5B60-49AF-868B-B30EC54CAF1F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2-9E64-4FE9-9C4A-FF246D4C37D2}"/>
                      </c:ext>
                    </c:extLst>
                  </c:dLbl>
                  <c:dLbl>
                    <c:idx val="25"/>
                    <c:tx>
                      <c:rich>
                        <a:bodyPr/>
                        <a:lstStyle/>
                        <a:p>
                          <a:fld id="{E8DCCFE2-3E2A-4CC2-AAD7-855C89DC12CC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3-9E64-4FE9-9C4A-FF246D4C37D2}"/>
                      </c:ext>
                    </c:extLst>
                  </c:dLbl>
                  <c:dLbl>
                    <c:idx val="26"/>
                    <c:tx>
                      <c:rich>
                        <a:bodyPr/>
                        <a:lstStyle/>
                        <a:p>
                          <a:fld id="{167A100F-58F1-48BB-8100-024BCBCB6141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4-9E64-4FE9-9C4A-FF246D4C37D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DataLabelsRange val="1"/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ANTERIORES'!$A$4:$A$30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ANTERIORES'!$AB$4:$AB$30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65148.808000000005</c:v>
                      </c:pt>
                      <c:pt idx="1">
                        <c:v>121918.88799999999</c:v>
                      </c:pt>
                      <c:pt idx="2">
                        <c:v>56174.168000000005</c:v>
                      </c:pt>
                      <c:pt idx="3">
                        <c:v>98081.751999999993</c:v>
                      </c:pt>
                      <c:pt idx="4">
                        <c:v>289451.016</c:v>
                      </c:pt>
                      <c:pt idx="5">
                        <c:v>298626.2</c:v>
                      </c:pt>
                      <c:pt idx="6">
                        <c:v>456786.24000000011</c:v>
                      </c:pt>
                      <c:pt idx="7">
                        <c:v>186104.20799999998</c:v>
                      </c:pt>
                      <c:pt idx="8">
                        <c:v>367743.88</c:v>
                      </c:pt>
                      <c:pt idx="9">
                        <c:v>97415.056000000026</c:v>
                      </c:pt>
                      <c:pt idx="10">
                        <c:v>154706.48000000001</c:v>
                      </c:pt>
                      <c:pt idx="11">
                        <c:v>222159.36000000004</c:v>
                      </c:pt>
                      <c:pt idx="12">
                        <c:v>956042.51199999999</c:v>
                      </c:pt>
                      <c:pt idx="13">
                        <c:v>163335.136</c:v>
                      </c:pt>
                      <c:pt idx="14">
                        <c:v>233932.296</c:v>
                      </c:pt>
                      <c:pt idx="15">
                        <c:v>642270.16800000006</c:v>
                      </c:pt>
                      <c:pt idx="16">
                        <c:v>328802.17599999992</c:v>
                      </c:pt>
                      <c:pt idx="17">
                        <c:v>50630.864000000001</c:v>
                      </c:pt>
                      <c:pt idx="18">
                        <c:v>696022.32800000021</c:v>
                      </c:pt>
                      <c:pt idx="19">
                        <c:v>133056.17600000001</c:v>
                      </c:pt>
                      <c:pt idx="20">
                        <c:v>911979.88800000004</c:v>
                      </c:pt>
                      <c:pt idx="21">
                        <c:v>95524.272000000026</c:v>
                      </c:pt>
                      <c:pt idx="22">
                        <c:v>10485.544</c:v>
                      </c:pt>
                      <c:pt idx="23">
                        <c:v>790322.08800000011</c:v>
                      </c:pt>
                      <c:pt idx="24">
                        <c:v>3383206.9999999995</c:v>
                      </c:pt>
                      <c:pt idx="25">
                        <c:v>104584.488</c:v>
                      </c:pt>
                      <c:pt idx="26">
                        <c:v>38199.704000000012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datalabelsRange>
                      <c15:f>'EXERCÍCIOS ANTERIORES'!$AD$4:$AD$30</c15:f>
                      <c15:dlblRangeCache>
                        <c:ptCount val="27"/>
                        <c:pt idx="0">
                          <c:v>98,7%</c:v>
                        </c:pt>
                        <c:pt idx="1">
                          <c:v>98,6%</c:v>
                        </c:pt>
                        <c:pt idx="2">
                          <c:v>79,5%</c:v>
                        </c:pt>
                        <c:pt idx="3">
                          <c:v>66,9%</c:v>
                        </c:pt>
                        <c:pt idx="4">
                          <c:v>78,3%</c:v>
                        </c:pt>
                        <c:pt idx="5">
                          <c:v>141,3%</c:v>
                        </c:pt>
                        <c:pt idx="6">
                          <c:v>115,7%</c:v>
                        </c:pt>
                        <c:pt idx="7">
                          <c:v>80,6%</c:v>
                        </c:pt>
                        <c:pt idx="8">
                          <c:v>116,0%</c:v>
                        </c:pt>
                        <c:pt idx="9">
                          <c:v>58,7%</c:v>
                        </c:pt>
                        <c:pt idx="10">
                          <c:v>92,2%</c:v>
                        </c:pt>
                        <c:pt idx="11">
                          <c:v>75,6%</c:v>
                        </c:pt>
                        <c:pt idx="12">
                          <c:v>132,2%</c:v>
                        </c:pt>
                        <c:pt idx="13">
                          <c:v>52,7%</c:v>
                        </c:pt>
                        <c:pt idx="14">
                          <c:v>85,6%</c:v>
                        </c:pt>
                        <c:pt idx="15">
                          <c:v>74,0%</c:v>
                        </c:pt>
                        <c:pt idx="16">
                          <c:v>70,8%</c:v>
                        </c:pt>
                        <c:pt idx="17">
                          <c:v>25,3%</c:v>
                        </c:pt>
                        <c:pt idx="18">
                          <c:v>59,9%</c:v>
                        </c:pt>
                        <c:pt idx="19">
                          <c:v>68,7%</c:v>
                        </c:pt>
                        <c:pt idx="20">
                          <c:v>53,7%</c:v>
                        </c:pt>
                        <c:pt idx="21">
                          <c:v>124,8%</c:v>
                        </c:pt>
                        <c:pt idx="22">
                          <c:v>64,7%</c:v>
                        </c:pt>
                        <c:pt idx="23">
                          <c:v>112,8%</c:v>
                        </c:pt>
                        <c:pt idx="24">
                          <c:v>83,4%</c:v>
                        </c:pt>
                        <c:pt idx="25">
                          <c:v>143,3%</c:v>
                        </c:pt>
                        <c:pt idx="26">
                          <c:v>75,2%</c:v>
                        </c:pt>
                      </c15:dlblRangeCache>
                    </c15:datalabelsRange>
                  </c:ext>
                  <c:ext xmlns:c16="http://schemas.microsoft.com/office/drawing/2014/chart" uri="{C3380CC4-5D6E-409C-BE32-E72D297353CC}">
                    <c16:uniqueId val="{0000003F-5B27-44F7-B8C4-0B376E8DB1DF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ANTERIORES'!$AC$2:$AC$3</c15:sqref>
                        </c15:formulaRef>
                      </c:ext>
                    </c:extLst>
                    <c:strCache>
                      <c:ptCount val="2"/>
                      <c:pt idx="0">
                        <c:v>Executado - Jan. a Dez.(B)</c:v>
                      </c:pt>
                      <c:pt idx="1">
                        <c:v>PJ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ANTERIORES'!$A$4:$A$30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ANTERIORES'!$AC$4:$AC$30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6094.0479999999998</c:v>
                      </c:pt>
                      <c:pt idx="1">
                        <c:v>6046.6240000000007</c:v>
                      </c:pt>
                      <c:pt idx="2">
                        <c:v>13836.183999999999</c:v>
                      </c:pt>
                      <c:pt idx="3">
                        <c:v>13587.808000000003</c:v>
                      </c:pt>
                      <c:pt idx="4">
                        <c:v>53345.688000000002</c:v>
                      </c:pt>
                      <c:pt idx="5">
                        <c:v>56357.911999999997</c:v>
                      </c:pt>
                      <c:pt idx="6">
                        <c:v>49406.168000000005</c:v>
                      </c:pt>
                      <c:pt idx="7">
                        <c:v>26724.248</c:v>
                      </c:pt>
                      <c:pt idx="8">
                        <c:v>48030.840000000004</c:v>
                      </c:pt>
                      <c:pt idx="9">
                        <c:v>13639.152000000002</c:v>
                      </c:pt>
                      <c:pt idx="10">
                        <c:v>31293.68</c:v>
                      </c:pt>
                      <c:pt idx="11">
                        <c:v>55803.000000000015</c:v>
                      </c:pt>
                      <c:pt idx="12">
                        <c:v>175841.04800000004</c:v>
                      </c:pt>
                      <c:pt idx="13">
                        <c:v>17846.592000000001</c:v>
                      </c:pt>
                      <c:pt idx="14">
                        <c:v>33818.496000000006</c:v>
                      </c:pt>
                      <c:pt idx="15">
                        <c:v>171166.39200000002</c:v>
                      </c:pt>
                      <c:pt idx="16">
                        <c:v>40606.392</c:v>
                      </c:pt>
                      <c:pt idx="17">
                        <c:v>12928.519999999999</c:v>
                      </c:pt>
                      <c:pt idx="18">
                        <c:v>125599.36800000002</c:v>
                      </c:pt>
                      <c:pt idx="19">
                        <c:v>11967.079999999998</c:v>
                      </c:pt>
                      <c:pt idx="20">
                        <c:v>174663.88800000001</c:v>
                      </c:pt>
                      <c:pt idx="21">
                        <c:v>21375.360000000001</c:v>
                      </c:pt>
                      <c:pt idx="22">
                        <c:v>1966.424</c:v>
                      </c:pt>
                      <c:pt idx="23">
                        <c:v>220887.296</c:v>
                      </c:pt>
                      <c:pt idx="24">
                        <c:v>847348</c:v>
                      </c:pt>
                      <c:pt idx="25">
                        <c:v>14064.192000000003</c:v>
                      </c:pt>
                      <c:pt idx="26">
                        <c:v>15569.232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0-5B27-44F7-B8C4-0B376E8DB1DF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ANTERIORES'!$AE$2:$AE$3</c15:sqref>
                        </c15:formulaRef>
                      </c:ext>
                    </c:extLst>
                    <c:strCache>
                      <c:ptCount val="2"/>
                      <c:pt idx="0">
                        <c:v>EXECUÇÃO % (C = B/A)</c:v>
                      </c:pt>
                      <c:pt idx="1">
                        <c:v>PJ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ANTERIORES'!$A$4:$A$30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ANTERIORES'!$AE$4:$AE$30</c15:sqref>
                        </c15:formulaRef>
                      </c:ext>
                    </c:extLst>
                    <c:numCache>
                      <c:formatCode>0.0%</c:formatCode>
                      <c:ptCount val="27"/>
                      <c:pt idx="0">
                        <c:v>0.58565192906113839</c:v>
                      </c:pt>
                      <c:pt idx="1">
                        <c:v>0.26316226069873122</c:v>
                      </c:pt>
                      <c:pt idx="2">
                        <c:v>0.4689739044371608</c:v>
                      </c:pt>
                      <c:pt idx="3">
                        <c:v>0.52686180112663483</c:v>
                      </c:pt>
                      <c:pt idx="4">
                        <c:v>0.53554953982687348</c:v>
                      </c:pt>
                      <c:pt idx="5">
                        <c:v>0.99259544970766123</c:v>
                      </c:pt>
                      <c:pt idx="6">
                        <c:v>0.75044919561585821</c:v>
                      </c:pt>
                      <c:pt idx="7">
                        <c:v>1.3321666100054135</c:v>
                      </c:pt>
                      <c:pt idx="8">
                        <c:v>0.43065468948125263</c:v>
                      </c:pt>
                      <c:pt idx="9">
                        <c:v>0.26778315362539878</c:v>
                      </c:pt>
                      <c:pt idx="10">
                        <c:v>0.534082724788423</c:v>
                      </c:pt>
                      <c:pt idx="11">
                        <c:v>0.8594222498002877</c:v>
                      </c:pt>
                      <c:pt idx="12">
                        <c:v>1.5986729929518437</c:v>
                      </c:pt>
                      <c:pt idx="13">
                        <c:v>0.4659644446927742</c:v>
                      </c:pt>
                      <c:pt idx="14">
                        <c:v>1.1753417487652631</c:v>
                      </c:pt>
                      <c:pt idx="15">
                        <c:v>0.92515272881757193</c:v>
                      </c:pt>
                      <c:pt idx="16">
                        <c:v>0.84280825166194917</c:v>
                      </c:pt>
                      <c:pt idx="17">
                        <c:v>0.28730044444444441</c:v>
                      </c:pt>
                      <c:pt idx="18">
                        <c:v>0.55316739695994233</c:v>
                      </c:pt>
                      <c:pt idx="19">
                        <c:v>0.26593511111111107</c:v>
                      </c:pt>
                      <c:pt idx="20">
                        <c:v>3.8814197333333333</c:v>
                      </c:pt>
                      <c:pt idx="21">
                        <c:v>1.116538543306079</c:v>
                      </c:pt>
                      <c:pt idx="22">
                        <c:v>0.33346911157953285</c:v>
                      </c:pt>
                      <c:pt idx="23">
                        <c:v>1.1265704346435284</c:v>
                      </c:pt>
                      <c:pt idx="24">
                        <c:v>1.6701461344951525</c:v>
                      </c:pt>
                      <c:pt idx="25">
                        <c:v>0.31253760000000008</c:v>
                      </c:pt>
                      <c:pt idx="26">
                        <c:v>0.34598293333333335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1-5B27-44F7-B8C4-0B376E8DB1DF}"/>
                  </c:ext>
                </c:extLst>
              </c15:ser>
            </c15:filteredBarSeries>
          </c:ext>
        </c:extLst>
      </c:barChart>
      <c:catAx>
        <c:axId val="3204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0797728"/>
        <c:crosses val="autoZero"/>
        <c:auto val="1"/>
        <c:lblAlgn val="ctr"/>
        <c:lblOffset val="100"/>
        <c:noMultiLvlLbl val="0"/>
      </c:catAx>
      <c:valAx>
        <c:axId val="32079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0444544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27180664416113"/>
          <c:y val="4.14062229077483E-2"/>
          <c:w val="0.85899717029669009"/>
          <c:h val="0.87127080944275281"/>
        </c:manualLayout>
      </c:layout>
      <c:lineChart>
        <c:grouping val="standard"/>
        <c:varyColors val="0"/>
        <c:ser>
          <c:idx val="0"/>
          <c:order val="0"/>
          <c:tx>
            <c:strRef>
              <c:f>'Gráficos - Arrecadação'!$Q$68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3005945587547981E-2"/>
                  <c:y val="-3.2546002007360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92A-4B29-B8AD-D063CFD180FB}"/>
                </c:ext>
              </c:extLst>
            </c:dLbl>
            <c:dLbl>
              <c:idx val="1"/>
              <c:layout>
                <c:manualLayout>
                  <c:x val="-6.5227396596620843E-2"/>
                  <c:y val="-2.1069679734785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92A-4B29-B8AD-D063CFD180FB}"/>
                </c:ext>
              </c:extLst>
            </c:dLbl>
            <c:dLbl>
              <c:idx val="2"/>
              <c:layout>
                <c:manualLayout>
                  <c:x val="-8.1001138186386212E-2"/>
                  <c:y val="-1.72991879315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92A-4B29-B8AD-D063CFD180FB}"/>
                </c:ext>
              </c:extLst>
            </c:dLbl>
            <c:dLbl>
              <c:idx val="3"/>
              <c:layout>
                <c:manualLayout>
                  <c:x val="-7.1146121082534847E-2"/>
                  <c:y val="-3.653578271845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92A-4B29-B8AD-D063CFD180FB}"/>
                </c:ext>
              </c:extLst>
            </c:dLbl>
            <c:dLbl>
              <c:idx val="4"/>
              <c:layout>
                <c:manualLayout>
                  <c:x val="-7.8771969869892725E-2"/>
                  <c:y val="-3.649502722102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92A-4B29-B8AD-D063CFD180FB}"/>
                </c:ext>
              </c:extLst>
            </c:dLbl>
            <c:dLbl>
              <c:idx val="5"/>
              <c:layout>
                <c:manualLayout>
                  <c:x val="-2.7888702232474222E-2"/>
                  <c:y val="3.6879728851315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92A-4B29-B8AD-D063CFD180FB}"/>
                </c:ext>
              </c:extLst>
            </c:dLbl>
            <c:dLbl>
              <c:idx val="6"/>
              <c:layout>
                <c:manualLayout>
                  <c:x val="-2.9730929000145269E-2"/>
                  <c:y val="3.6981587408353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92A-4B29-B8AD-D063CFD180FB}"/>
                </c:ext>
              </c:extLst>
            </c:dLbl>
            <c:dLbl>
              <c:idx val="7"/>
              <c:layout>
                <c:manualLayout>
                  <c:x val="-2.6046475464803241E-2"/>
                  <c:y val="4.075788793569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92A-4B29-B8AD-D063CFD180FB}"/>
                </c:ext>
              </c:extLst>
            </c:dLbl>
            <c:dLbl>
              <c:idx val="8"/>
              <c:layout>
                <c:manualLayout>
                  <c:x val="-1.8675102421280707E-2"/>
                  <c:y val="3.3052499045452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092A-4B29-B8AD-D063CFD180FB}"/>
                </c:ext>
              </c:extLst>
            </c:dLbl>
            <c:dLbl>
              <c:idx val="9"/>
              <c:layout>
                <c:manualLayout>
                  <c:x val="-2.2362021929461417E-2"/>
                  <c:y val="3.3129043641569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92A-4B29-B8AD-D063CFD180FB}"/>
                </c:ext>
              </c:extLst>
            </c:dLbl>
            <c:dLbl>
              <c:idx val="10"/>
              <c:layout>
                <c:manualLayout>
                  <c:x val="-2.4201782724293647E-2"/>
                  <c:y val="3.690534416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092A-4B29-B8AD-D063CFD180FB}"/>
                </c:ext>
              </c:extLst>
            </c:dLbl>
            <c:dLbl>
              <c:idx val="11"/>
              <c:layout>
                <c:manualLayout>
                  <c:x val="-1.9788271572076542E-2"/>
                  <c:y val="3.3027185084532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092A-4B29-B8AD-D063CFD180FB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Arrecadação'!$Q$69:$Q$80</c:f>
              <c:numCache>
                <c:formatCode>_-[$R$-416]\ * #,##0_-;\-[$R$-416]\ * #,##0_-;_-[$R$-416]\ * "-"??_-;_-@_-</c:formatCode>
                <c:ptCount val="12"/>
                <c:pt idx="0">
                  <c:v>355455.89127551753</c:v>
                </c:pt>
                <c:pt idx="1">
                  <c:v>657632.93539569969</c:v>
                </c:pt>
                <c:pt idx="2">
                  <c:v>892200.03768604691</c:v>
                </c:pt>
                <c:pt idx="3">
                  <c:v>1096140.990105195</c:v>
                </c:pt>
                <c:pt idx="4">
                  <c:v>1275804.9312838914</c:v>
                </c:pt>
                <c:pt idx="5">
                  <c:v>1458629.7889792309</c:v>
                </c:pt>
                <c:pt idx="6">
                  <c:v>1696796.0090236673</c:v>
                </c:pt>
                <c:pt idx="7">
                  <c:v>1937976.3969157287</c:v>
                </c:pt>
                <c:pt idx="8">
                  <c:v>2132604.8022738365</c:v>
                </c:pt>
                <c:pt idx="9">
                  <c:v>2380233.0535183935</c:v>
                </c:pt>
                <c:pt idx="10">
                  <c:v>2568201.8132475866</c:v>
                </c:pt>
                <c:pt idx="11">
                  <c:v>2800012.5260000005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092A-4B29-B8AD-D063CFD180FB}"/>
            </c:ext>
          </c:extLst>
        </c:ser>
        <c:ser>
          <c:idx val="1"/>
          <c:order val="1"/>
          <c:tx>
            <c:strRef>
              <c:f>'Gráficos - Arrecadação'!$R$68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3350351781890747E-3"/>
                  <c:y val="1.5654369050153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092A-4B29-B8AD-D063CFD180FB}"/>
                </c:ext>
              </c:extLst>
            </c:dLbl>
            <c:dLbl>
              <c:idx val="1"/>
              <c:layout>
                <c:manualLayout>
                  <c:x val="-7.5649798837590272E-3"/>
                  <c:y val="3.87593904924115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092A-4B29-B8AD-D063CFD180FB}"/>
                </c:ext>
              </c:extLst>
            </c:dLbl>
            <c:dLbl>
              <c:idx val="2"/>
              <c:layout>
                <c:manualLayout>
                  <c:x val="-3.4911111214629654E-3"/>
                  <c:y val="3.4841388120076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092A-4B29-B8AD-D063CFD180FB}"/>
                </c:ext>
              </c:extLst>
            </c:dLbl>
            <c:dLbl>
              <c:idx val="3"/>
              <c:layout>
                <c:manualLayout>
                  <c:x val="-1.3544573273271947E-2"/>
                  <c:y val="3.0759451321512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8A3-4BFA-AF9D-1E453F05FBC1}"/>
                </c:ext>
              </c:extLst>
            </c:dLbl>
            <c:dLbl>
              <c:idx val="4"/>
              <c:layout>
                <c:manualLayout>
                  <c:x val="-5.5266803030129402E-3"/>
                  <c:y val="1.530891922345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8A3-4BFA-AF9D-1E453F05FBC1}"/>
                </c:ext>
              </c:extLst>
            </c:dLbl>
            <c:dLbl>
              <c:idx val="5"/>
              <c:layout>
                <c:manualLayout>
                  <c:x val="-3.1150282527984945E-2"/>
                  <c:y val="-0.22403357766355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00B-4111-9139-1667B337FCD5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Arrecadação'!$R$69:$R$80</c:f>
              <c:numCache>
                <c:formatCode>_-[$R$-416]\ * #,##0_-;\-[$R$-416]\ * #,##0_-;_-[$R$-416]\ * "-"??_-;_-@_-</c:formatCode>
                <c:ptCount val="12"/>
                <c:pt idx="0">
                  <c:v>273703.60000000003</c:v>
                </c:pt>
                <c:pt idx="1">
                  <c:v>639245.17999999993</c:v>
                </c:pt>
                <c:pt idx="2">
                  <c:v>1013167.1299999999</c:v>
                </c:pt>
                <c:pt idx="3">
                  <c:v>1260635.3899999999</c:v>
                </c:pt>
                <c:pt idx="4">
                  <c:v>1569367.39</c:v>
                </c:pt>
                <c:pt idx="5">
                  <c:v>1825059.48</c:v>
                </c:pt>
                <c:pt idx="6">
                  <c:v>2041703.08</c:v>
                </c:pt>
                <c:pt idx="7">
                  <c:v>2446736.0700000003</c:v>
                </c:pt>
                <c:pt idx="8">
                  <c:v>2824767.0400000005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092A-4B29-B8AD-D063CFD18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185904"/>
        <c:axId val="330186464"/>
      </c:lineChart>
      <c:catAx>
        <c:axId val="33018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30186464"/>
        <c:crosses val="autoZero"/>
        <c:auto val="1"/>
        <c:lblAlgn val="ctr"/>
        <c:lblOffset val="100"/>
        <c:noMultiLvlLbl val="0"/>
      </c:catAx>
      <c:valAx>
        <c:axId val="33018646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301859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8.2555261647538503E-3"/>
                <c:y val="1.5614325189714303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4868904697247611"/>
          <c:y val="0.81289870532195929"/>
          <c:w val="0.38146717096212207"/>
          <c:h val="8.1872284476460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77040666974327"/>
          <c:y val="4.138676778823721E-2"/>
          <c:w val="0.83960731362018715"/>
          <c:h val="0.87133129411416166"/>
        </c:manualLayout>
      </c:layout>
      <c:lineChart>
        <c:grouping val="standard"/>
        <c:varyColors val="0"/>
        <c:ser>
          <c:idx val="0"/>
          <c:order val="0"/>
          <c:tx>
            <c:strRef>
              <c:f>'Gráficos - Arrecadação'!$Q$84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32E-4220-9D81-EB21EE35C152}"/>
                </c:ext>
              </c:extLst>
            </c:dLbl>
            <c:dLbl>
              <c:idx val="1"/>
              <c:layout>
                <c:manualLayout>
                  <c:x val="-2.0167143910096164E-2"/>
                  <c:y val="2.9173540728971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32E-4220-9D81-EB21EE35C152}"/>
                </c:ext>
              </c:extLst>
            </c:dLbl>
            <c:dLbl>
              <c:idx val="2"/>
              <c:layout>
                <c:manualLayout>
                  <c:x val="-1.7124726461861507E-2"/>
                  <c:y val="2.636289200431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32E-4220-9D81-EB21EE35C152}"/>
                </c:ext>
              </c:extLst>
            </c:dLbl>
            <c:dLbl>
              <c:idx val="3"/>
              <c:layout>
                <c:manualLayout>
                  <c:x val="-1.2066634018586509E-2"/>
                  <c:y val="2.392325987732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335-4E73-A50C-6940EF8196C7}"/>
                </c:ext>
              </c:extLst>
            </c:dLbl>
            <c:dLbl>
              <c:idx val="4"/>
              <c:layout>
                <c:manualLayout>
                  <c:x val="-1.0043577805793E-2"/>
                  <c:y val="3.1554382869633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35-4E73-A50C-6940EF8196C7}"/>
                </c:ext>
              </c:extLst>
            </c:dLbl>
            <c:dLbl>
              <c:idx val="5"/>
              <c:layout>
                <c:manualLayout>
                  <c:x val="-1.0007876813802455E-2"/>
                  <c:y val="3.1554382869633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C335-4E73-A50C-6940EF8196C7}"/>
                </c:ext>
              </c:extLst>
            </c:dLbl>
            <c:dLbl>
              <c:idx val="6"/>
              <c:layout>
                <c:manualLayout>
                  <c:x val="-1.5825180225988715E-2"/>
                  <c:y val="2.3837054871466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35-4E73-A50C-6940EF8196C7}"/>
                </c:ext>
              </c:extLst>
            </c:dLbl>
            <c:dLbl>
              <c:idx val="7"/>
              <c:layout>
                <c:manualLayout>
                  <c:x val="-1.4000814344146555E-2"/>
                  <c:y val="2.360494103943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335-4E73-A50C-6940EF8196C7}"/>
                </c:ext>
              </c:extLst>
            </c:dLbl>
            <c:dLbl>
              <c:idx val="8"/>
              <c:layout>
                <c:manualLayout>
                  <c:x val="-1.1931512542572067E-2"/>
                  <c:y val="2.757950964886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335-4E73-A50C-6940EF8196C7}"/>
                </c:ext>
              </c:extLst>
            </c:dLbl>
            <c:dLbl>
              <c:idx val="9"/>
              <c:layout>
                <c:manualLayout>
                  <c:x val="-1.5913905476125593E-2"/>
                  <c:y val="1.6080127400641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C335-4E73-A50C-6940EF8196C7}"/>
                </c:ext>
              </c:extLst>
            </c:dLbl>
            <c:dLbl>
              <c:idx val="10"/>
              <c:layout>
                <c:manualLayout>
                  <c:x val="-1.2201604857504085E-2"/>
                  <c:y val="2.392325987732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C335-4E73-A50C-6940EF8196C7}"/>
                </c:ext>
              </c:extLst>
            </c:dLbl>
            <c:dLbl>
              <c:idx val="11"/>
              <c:layout>
                <c:manualLayout>
                  <c:x val="-2.6045154072376004E-3"/>
                  <c:y val="2.796118764301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C335-4E73-A50C-6940EF8196C7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Arrecadação'!$Q$85:$Q$96</c:f>
              <c:numCache>
                <c:formatCode>_-[$R$-416]\ * #,##0_-;\-[$R$-416]\ * #,##0_-;_-[$R$-416]\ * "-"??_-;_-@_-</c:formatCode>
                <c:ptCount val="12"/>
                <c:pt idx="0">
                  <c:v>7250924.0097673479</c:v>
                </c:pt>
                <c:pt idx="1">
                  <c:v>15285894.523920869</c:v>
                </c:pt>
                <c:pt idx="2">
                  <c:v>24063494.476585761</c:v>
                </c:pt>
                <c:pt idx="3">
                  <c:v>32075232.868020844</c:v>
                </c:pt>
                <c:pt idx="4">
                  <c:v>40844019.560462549</c:v>
                </c:pt>
                <c:pt idx="5">
                  <c:v>49392579.832004428</c:v>
                </c:pt>
                <c:pt idx="6">
                  <c:v>59280977.355267935</c:v>
                </c:pt>
                <c:pt idx="7">
                  <c:v>69755899.774108976</c:v>
                </c:pt>
                <c:pt idx="8">
                  <c:v>79455650.864838809</c:v>
                </c:pt>
                <c:pt idx="9">
                  <c:v>90176926.459439576</c:v>
                </c:pt>
                <c:pt idx="10">
                  <c:v>99418188.601490989</c:v>
                </c:pt>
                <c:pt idx="11">
                  <c:v>108190303.97200002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32E-4220-9D81-EB21EE35C152}"/>
            </c:ext>
          </c:extLst>
        </c:ser>
        <c:ser>
          <c:idx val="1"/>
          <c:order val="1"/>
          <c:tx>
            <c:strRef>
              <c:f>'Gráficos - Arrecadação'!$R$84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2342217576499079E-2"/>
                  <c:y val="-4.1701393982312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32E-4220-9D81-EB21EE35C152}"/>
                </c:ext>
              </c:extLst>
            </c:dLbl>
            <c:dLbl>
              <c:idx val="1"/>
              <c:layout>
                <c:manualLayout>
                  <c:x val="-5.5255219208880144E-2"/>
                  <c:y val="-3.4050591084766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32E-4220-9D81-EB21EE35C152}"/>
                </c:ext>
              </c:extLst>
            </c:dLbl>
            <c:dLbl>
              <c:idx val="2"/>
              <c:layout>
                <c:manualLayout>
                  <c:x val="-6.5815908512668012E-2"/>
                  <c:y val="-3.1006082479000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32E-4220-9D81-EB21EE35C152}"/>
                </c:ext>
              </c:extLst>
            </c:dLbl>
            <c:dLbl>
              <c:idx val="3"/>
              <c:layout>
                <c:manualLayout>
                  <c:x val="-5.1180761353028431E-2"/>
                  <c:y val="-3.5162504051330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335-4E73-A50C-6940EF8196C7}"/>
                </c:ext>
              </c:extLst>
            </c:dLbl>
            <c:dLbl>
              <c:idx val="4"/>
              <c:layout>
                <c:manualLayout>
                  <c:x val="-5.7257612483356486E-2"/>
                  <c:y val="-3.5032739625547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35-4E73-A50C-6940EF8196C7}"/>
                </c:ext>
              </c:extLst>
            </c:dLbl>
            <c:dLbl>
              <c:idx val="5"/>
              <c:layout>
                <c:manualLayout>
                  <c:x val="-6.5045098487287206E-2"/>
                  <c:y val="-3.4817074805231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E00-4478-8E4A-639A86905D1F}"/>
                </c:ext>
              </c:extLst>
            </c:dLbl>
            <c:dLbl>
              <c:idx val="6"/>
              <c:layout>
                <c:manualLayout>
                  <c:x val="-7.6523645279161417E-2"/>
                  <c:y val="-3.0948510937983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E00-4478-8E4A-639A86905D1F}"/>
                </c:ext>
              </c:extLst>
            </c:dLbl>
            <c:dLbl>
              <c:idx val="7"/>
              <c:layout>
                <c:manualLayout>
                  <c:x val="-7.8436736411140531E-2"/>
                  <c:y val="-2.3211383203487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E00-4478-8E4A-639A86905D1F}"/>
                </c:ext>
              </c:extLst>
            </c:dLbl>
            <c:dLbl>
              <c:idx val="8"/>
              <c:layout>
                <c:manualLayout>
                  <c:x val="-7.6523645279161556E-2"/>
                  <c:y val="-1.9342819336239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E00-4478-8E4A-639A86905D1F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B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Arrecadação'!$R$85:$R$96</c:f>
              <c:numCache>
                <c:formatCode>_-[$R$-416]\ * #,##0_-;\-[$R$-416]\ * #,##0_-;_-[$R$-416]\ * "-"??_-;_-@_-</c:formatCode>
                <c:ptCount val="12"/>
                <c:pt idx="0">
                  <c:v>6710688.8399999999</c:v>
                </c:pt>
                <c:pt idx="1">
                  <c:v>14924265.239999998</c:v>
                </c:pt>
                <c:pt idx="2">
                  <c:v>25179154.68</c:v>
                </c:pt>
                <c:pt idx="3">
                  <c:v>33908790.850000001</c:v>
                </c:pt>
                <c:pt idx="4">
                  <c:v>44197712.32</c:v>
                </c:pt>
                <c:pt idx="5">
                  <c:v>53763671.239999995</c:v>
                </c:pt>
                <c:pt idx="6">
                  <c:v>63251623.86999999</c:v>
                </c:pt>
                <c:pt idx="7">
                  <c:v>73709634.499999985</c:v>
                </c:pt>
                <c:pt idx="8">
                  <c:v>83163925.459999979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932E-4220-9D81-EB21EE35C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189824"/>
        <c:axId val="330525616"/>
      </c:lineChart>
      <c:catAx>
        <c:axId val="33018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30525616"/>
        <c:crosses val="autoZero"/>
        <c:auto val="1"/>
        <c:lblAlgn val="ctr"/>
        <c:lblOffset val="100"/>
        <c:noMultiLvlLbl val="0"/>
      </c:catAx>
      <c:valAx>
        <c:axId val="3305256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301898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54725102793E-2"/>
                <c:y val="1.9428080492375148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502004176825298"/>
          <c:y val="0.8315638539761071"/>
          <c:w val="0.32259054483960953"/>
          <c:h val="7.05465156755715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0662883012991"/>
          <c:y val="4.1503859829254842E-2"/>
          <c:w val="0.84642831730099644"/>
          <c:h val="0.87096726275359837"/>
        </c:manualLayout>
      </c:layout>
      <c:lineChart>
        <c:grouping val="standard"/>
        <c:varyColors val="0"/>
        <c:ser>
          <c:idx val="2"/>
          <c:order val="0"/>
          <c:tx>
            <c:strRef>
              <c:f>'Gráficos - Arrecadação'!$S$100</c:f>
              <c:strCache>
                <c:ptCount val="1"/>
                <c:pt idx="0">
                  <c:v>Potencial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7.0706108160907121E-3"/>
                  <c:y val="-6.73744229533742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348-41A7-92E4-37394D2D7396}"/>
                </c:ext>
              </c:extLst>
            </c:dLbl>
            <c:dLbl>
              <c:idx val="1"/>
              <c:layout>
                <c:manualLayout>
                  <c:x val="8.8427089635793963E-3"/>
                  <c:y val="-2.93583116251887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348-41A7-92E4-37394D2D7396}"/>
                </c:ext>
              </c:extLst>
            </c:dLbl>
            <c:dLbl>
              <c:idx val="2"/>
              <c:layout>
                <c:manualLayout>
                  <c:x val="4.7209849704495793E-3"/>
                  <c:y val="-3.00517909944844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348-41A7-92E4-37394D2D7396}"/>
                </c:ext>
              </c:extLst>
            </c:dLbl>
            <c:dLbl>
              <c:idx val="3"/>
              <c:layout>
                <c:manualLayout>
                  <c:x val="8.196637846514648E-3"/>
                  <c:y val="-3.44662301514442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348-41A7-92E4-37394D2D7396}"/>
                </c:ext>
              </c:extLst>
            </c:dLbl>
            <c:dLbl>
              <c:idx val="4"/>
              <c:layout>
                <c:manualLayout>
                  <c:x val="6.2638967623488357E-3"/>
                  <c:y val="4.22625268494132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348-41A7-92E4-37394D2D7396}"/>
                </c:ext>
              </c:extLst>
            </c:dLbl>
            <c:dLbl>
              <c:idx val="5"/>
              <c:layout>
                <c:manualLayout>
                  <c:x val="-5.1388718543548095E-2"/>
                  <c:y val="-4.2146743289517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348-41A7-92E4-37394D2D7396}"/>
                </c:ext>
              </c:extLst>
            </c:dLbl>
            <c:dLbl>
              <c:idx val="6"/>
              <c:layout>
                <c:manualLayout>
                  <c:x val="-7.00588211960569E-2"/>
                  <c:y val="-3.405991845049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348-41A7-92E4-37394D2D7396}"/>
                </c:ext>
              </c:extLst>
            </c:dLbl>
            <c:dLbl>
              <c:idx val="7"/>
              <c:layout>
                <c:manualLayout>
                  <c:x val="-7.1898398895645463E-2"/>
                  <c:y val="-3.025800182015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D348-41A7-92E4-37394D2D7396}"/>
                </c:ext>
              </c:extLst>
            </c:dLbl>
            <c:dLbl>
              <c:idx val="8"/>
              <c:layout>
                <c:manualLayout>
                  <c:x val="-6.6198504476827541E-2"/>
                  <c:y val="-3.002399072020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D348-41A7-92E4-37394D2D7396}"/>
                </c:ext>
              </c:extLst>
            </c:dLbl>
            <c:dLbl>
              <c:idx val="9"/>
              <c:layout>
                <c:manualLayout>
                  <c:x val="-4.2765172642812883E-2"/>
                  <c:y val="-4.577727581140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48-41A7-92E4-37394D2D7396}"/>
                </c:ext>
              </c:extLst>
            </c:dLbl>
            <c:dLbl>
              <c:idx val="10"/>
              <c:layout>
                <c:manualLayout>
                  <c:x val="-4.662548994873681E-2"/>
                  <c:y val="-3.8017638815781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48-41A7-92E4-37394D2D7396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48-41A7-92E4-37394D2D7396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Arrecadação'!$S$101:$S$112</c:f>
              <c:numCache>
                <c:formatCode>_-[$R$-416]\ * #,##0_-;\-[$R$-416]\ * #,##0_-;_-[$R$-416]\ * "-"??_-;_-@_-</c:formatCode>
                <c:ptCount val="12"/>
                <c:pt idx="0">
                  <c:v>933297.32066012197</c:v>
                </c:pt>
                <c:pt idx="1">
                  <c:v>1717744.9444766585</c:v>
                </c:pt>
                <c:pt idx="2">
                  <c:v>2371460.0052713524</c:v>
                </c:pt>
                <c:pt idx="3">
                  <c:v>2979104.5199988051</c:v>
                </c:pt>
                <c:pt idx="4">
                  <c:v>3527169.2917677076</c:v>
                </c:pt>
                <c:pt idx="5">
                  <c:v>4103179.7172057563</c:v>
                </c:pt>
                <c:pt idx="6">
                  <c:v>4889670.663709715</c:v>
                </c:pt>
                <c:pt idx="7">
                  <c:v>5695363.1442265818</c:v>
                </c:pt>
                <c:pt idx="8">
                  <c:v>6475454.3837531153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D348-41A7-92E4-37394D2D7396}"/>
            </c:ext>
          </c:extLst>
        </c:ser>
        <c:ser>
          <c:idx val="0"/>
          <c:order val="1"/>
          <c:tx>
            <c:strRef>
              <c:f>'Gráficos - Arrecadação'!$Q$100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7.3312089694464785E-3"/>
                  <c:y val="1.5787452781365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348-41A7-92E4-37394D2D7396}"/>
                </c:ext>
              </c:extLst>
            </c:dLbl>
            <c:dLbl>
              <c:idx val="1"/>
              <c:layout>
                <c:manualLayout>
                  <c:x val="-5.4936072555303427E-3"/>
                  <c:y val="1.5762191161766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348-41A7-92E4-37394D2D7396}"/>
                </c:ext>
              </c:extLst>
            </c:dLbl>
            <c:dLbl>
              <c:idx val="2"/>
              <c:layout>
                <c:manualLayout>
                  <c:x val="-5.4803038167005524E-3"/>
                  <c:y val="1.5776525528036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348-41A7-92E4-37394D2D7396}"/>
                </c:ext>
              </c:extLst>
            </c:dLbl>
            <c:dLbl>
              <c:idx val="4"/>
              <c:layout>
                <c:manualLayout>
                  <c:x val="-1.8355845259936064E-3"/>
                  <c:y val="3.8363765227962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8A4-455C-9934-70C452051ADA}"/>
                </c:ext>
              </c:extLst>
            </c:dLbl>
            <c:dLbl>
              <c:idx val="6"/>
              <c:layout>
                <c:manualLayout>
                  <c:x val="-7.3689323994689327E-3"/>
                  <c:y val="1.5326990467489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8A4-455C-9934-70C452051ADA}"/>
                </c:ext>
              </c:extLst>
            </c:dLbl>
            <c:dLbl>
              <c:idx val="7"/>
              <c:layout>
                <c:manualLayout>
                  <c:x val="-5.5266803030128726E-3"/>
                  <c:y val="1.9182029911883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8A4-455C-9934-70C452051ADA}"/>
                </c:ext>
              </c:extLst>
            </c:dLbl>
            <c:dLbl>
              <c:idx val="8"/>
              <c:layout>
                <c:manualLayout>
                  <c:x val="-7.368907070684055E-3"/>
                  <c:y val="1.1509217947130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8A4-455C-9934-70C452051ADA}"/>
                </c:ext>
              </c:extLst>
            </c:dLbl>
            <c:dLbl>
              <c:idx val="9"/>
              <c:layout>
                <c:manualLayout>
                  <c:x val="-9.2111338383550345E-3"/>
                  <c:y val="1.9182029911883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8A4-455C-9934-70C452051ADA}"/>
                </c:ext>
              </c:extLst>
            </c:dLbl>
            <c:dLbl>
              <c:idx val="10"/>
              <c:layout>
                <c:manualLayout>
                  <c:x val="-7.3689070706839206E-3"/>
                  <c:y val="1.1509217947130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8A4-455C-9934-70C452051ADA}"/>
                </c:ext>
              </c:extLst>
            </c:dLbl>
            <c:dLbl>
              <c:idx val="11"/>
              <c:layout>
                <c:manualLayout>
                  <c:x val="-1.105336060602588E-2"/>
                  <c:y val="2.6854841876636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8A4-455C-9934-70C452051ADA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Arrecadação'!$Q$101:$Q$112</c:f>
              <c:numCache>
                <c:formatCode>_-[$R$-416]\ * #,##0_-;\-[$R$-416]\ * #,##0_-;_-[$R$-416]\ * "-"??_-;_-@_-</c:formatCode>
                <c:ptCount val="12"/>
                <c:pt idx="0">
                  <c:v>806024.23388548277</c:v>
                </c:pt>
                <c:pt idx="1">
                  <c:v>1483497.2974134013</c:v>
                </c:pt>
                <c:pt idx="2">
                  <c:v>2048065.7038497992</c:v>
                </c:pt>
                <c:pt idx="3">
                  <c:v>2572846.1715698736</c:v>
                </c:pt>
                <c:pt idx="4">
                  <c:v>3046171.7431810712</c:v>
                </c:pt>
                <c:pt idx="5">
                  <c:v>3543632.0396976946</c:v>
                </c:pt>
                <c:pt idx="6">
                  <c:v>4222869.7794624902</c:v>
                </c:pt>
                <c:pt idx="7">
                  <c:v>4918690.5538075566</c:v>
                </c:pt>
                <c:pt idx="8">
                  <c:v>5592401.3100491157</c:v>
                </c:pt>
                <c:pt idx="9">
                  <c:v>6384917.6231790138</c:v>
                </c:pt>
                <c:pt idx="10">
                  <c:v>7119100.0584494928</c:v>
                </c:pt>
                <c:pt idx="11">
                  <c:v>7965457.1692857081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348-41A7-92E4-37394D2D7396}"/>
            </c:ext>
          </c:extLst>
        </c:ser>
        <c:ser>
          <c:idx val="1"/>
          <c:order val="2"/>
          <c:tx>
            <c:strRef>
              <c:f>'Gráficos - Arrecadação'!$R$100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8930948553859254E-2"/>
                  <c:y val="-2.704636009654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348-41A7-92E4-37394D2D7396}"/>
                </c:ext>
              </c:extLst>
            </c:dLbl>
            <c:dLbl>
              <c:idx val="1"/>
              <c:layout>
                <c:manualLayout>
                  <c:x val="-6.075533328275675E-2"/>
                  <c:y val="-2.7409157229208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348-41A7-92E4-37394D2D7396}"/>
                </c:ext>
              </c:extLst>
            </c:dLbl>
            <c:dLbl>
              <c:idx val="2"/>
              <c:layout>
                <c:manualLayout>
                  <c:x val="-6.3295981470476936E-2"/>
                  <c:y val="-3.9204191181569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348-41A7-92E4-37394D2D7396}"/>
                </c:ext>
              </c:extLst>
            </c:dLbl>
            <c:dLbl>
              <c:idx val="3"/>
              <c:layout>
                <c:manualLayout>
                  <c:x val="-6.1408985420463025E-2"/>
                  <c:y val="-4.6123709998536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8A4-455C-9934-70C452051ADA}"/>
                </c:ext>
              </c:extLst>
            </c:dLbl>
            <c:dLbl>
              <c:idx val="4"/>
              <c:layout>
                <c:manualLayout>
                  <c:x val="-5.790035213996849E-2"/>
                  <c:y val="-4.2287272148493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8A4-455C-9934-70C452051ADA}"/>
                </c:ext>
              </c:extLst>
            </c:dLbl>
            <c:dLbl>
              <c:idx val="5"/>
              <c:layout>
                <c:manualLayout>
                  <c:x val="-6.9618998840385068E-2"/>
                  <c:y val="-1.531978411101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FBD-4543-875F-2F7F177879BE}"/>
                </c:ext>
              </c:extLst>
            </c:dLbl>
            <c:dLbl>
              <c:idx val="6"/>
              <c:layout>
                <c:manualLayout>
                  <c:x val="-9.6507917980732869E-3"/>
                  <c:y val="7.7596369956274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B7-4E1A-A990-CFB1F7A88E72}"/>
                </c:ext>
              </c:extLst>
            </c:dLbl>
            <c:dLbl>
              <c:idx val="7"/>
              <c:layout>
                <c:manualLayout>
                  <c:x val="-5.7904750788440708E-3"/>
                  <c:y val="-7.112918410284685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EB7-4E1A-A990-CFB1F7A88E72}"/>
                </c:ext>
              </c:extLst>
            </c:dLbl>
            <c:dLbl>
              <c:idx val="8"/>
              <c:layout>
                <c:manualLayout>
                  <c:x val="-7.7206334384585726E-3"/>
                  <c:y val="-7.112918410284685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EB7-4E1A-A990-CFB1F7A88E72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B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Arrecadação'!$R$101:$R$112</c:f>
              <c:numCache>
                <c:formatCode>_-[$R$-416]\ * #,##0_-;\-[$R$-416]\ * #,##0_-;_-[$R$-416]\ * "-"??_-;_-@_-</c:formatCode>
                <c:ptCount val="12"/>
                <c:pt idx="0">
                  <c:v>653615.37</c:v>
                </c:pt>
                <c:pt idx="1">
                  <c:v>1506919.51</c:v>
                </c:pt>
                <c:pt idx="2">
                  <c:v>2454853.16</c:v>
                </c:pt>
                <c:pt idx="3">
                  <c:v>3136036.34</c:v>
                </c:pt>
                <c:pt idx="4">
                  <c:v>3999978.4699999997</c:v>
                </c:pt>
                <c:pt idx="5">
                  <c:v>4757261.93</c:v>
                </c:pt>
                <c:pt idx="6">
                  <c:v>5689663.9900000002</c:v>
                </c:pt>
                <c:pt idx="7">
                  <c:v>6941469.9500000002</c:v>
                </c:pt>
                <c:pt idx="8">
                  <c:v>8087112.54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D348-41A7-92E4-37394D2D7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529536"/>
        <c:axId val="330530096"/>
      </c:lineChart>
      <c:catAx>
        <c:axId val="33052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30530096"/>
        <c:crosses val="autoZero"/>
        <c:auto val="1"/>
        <c:lblAlgn val="ctr"/>
        <c:lblOffset val="100"/>
        <c:noMultiLvlLbl val="0"/>
      </c:catAx>
      <c:valAx>
        <c:axId val="3305300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305295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768743906911E-2"/>
                <c:y val="7.1952897724031711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2779877648650075"/>
          <c:y val="0.83462420141463689"/>
          <c:w val="0.43937532575028232"/>
          <c:h val="6.65018395984256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55012719387069"/>
          <c:y val="4.14062229077483E-2"/>
          <c:w val="0.83603616702467887"/>
          <c:h val="0.87127080944275281"/>
        </c:manualLayout>
      </c:layout>
      <c:lineChart>
        <c:grouping val="standard"/>
        <c:varyColors val="0"/>
        <c:ser>
          <c:idx val="1"/>
          <c:order val="0"/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8.0837688403055663E-2"/>
                  <c:y val="-1.5926238405248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B17-46AD-B58F-ED32D1361A88}"/>
                </c:ext>
              </c:extLst>
            </c:dLbl>
            <c:dLbl>
              <c:idx val="1"/>
              <c:layout>
                <c:manualLayout>
                  <c:x val="-5.5141969900036419E-2"/>
                  <c:y val="-7.7581486593965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B17-46AD-B58F-ED32D1361A88}"/>
                </c:ext>
              </c:extLst>
            </c:dLbl>
            <c:dLbl>
              <c:idx val="2"/>
              <c:layout>
                <c:manualLayout>
                  <c:x val="-2.2031298798348118E-2"/>
                  <c:y val="-4.6386867208878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79F-4E47-8B50-C409AE0A9C15}"/>
                </c:ext>
              </c:extLst>
            </c:dLbl>
            <c:dLbl>
              <c:idx val="3"/>
              <c:layout>
                <c:manualLayout>
                  <c:x val="-6.7317220764302516E-17"/>
                  <c:y val="-2.3026323741650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79F-4E47-8B50-C409AE0A9C15}"/>
                </c:ext>
              </c:extLst>
            </c:dLbl>
            <c:dLbl>
              <c:idx val="4"/>
              <c:layout>
                <c:manualLayout>
                  <c:x val="-4.9570526108227972E-2"/>
                  <c:y val="4.2214926859692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79F-4E47-8B50-C409AE0A9C15}"/>
                </c:ext>
              </c:extLst>
            </c:dLbl>
            <c:dLbl>
              <c:idx val="5"/>
              <c:layout>
                <c:manualLayout>
                  <c:x val="-3.1211071994069462E-2"/>
                  <c:y val="-2.6864044365259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79F-4E47-8B50-C409AE0A9C15}"/>
                </c:ext>
              </c:extLst>
            </c:dLbl>
            <c:dLbl>
              <c:idx val="6"/>
              <c:layout>
                <c:manualLayout>
                  <c:x val="-3.8554853639732864E-2"/>
                  <c:y val="2.6864044365259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79F-4E47-8B50-C409AE0A9C15}"/>
                </c:ext>
              </c:extLst>
            </c:dLbl>
            <c:dLbl>
              <c:idx val="7"/>
              <c:layout>
                <c:manualLayout>
                  <c:x val="-4.2226744462564567E-2"/>
                  <c:y val="-3.0701764988867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79F-4E47-8B50-C409AE0A9C15}"/>
                </c:ext>
              </c:extLst>
            </c:dLbl>
            <c:dLbl>
              <c:idx val="8"/>
              <c:layout>
                <c:manualLayout>
                  <c:x val="-3.1211071994069597E-2"/>
                  <c:y val="3.0701764988867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79F-4E47-8B50-C409AE0A9C15}"/>
                </c:ext>
              </c:extLst>
            </c:dLbl>
            <c:dLbl>
              <c:idx val="9"/>
              <c:layout>
                <c:manualLayout>
                  <c:x val="-4.0390799051148715E-2"/>
                  <c:y val="-2.68640443652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79F-4E47-8B50-C409AE0A9C15}"/>
                </c:ext>
              </c:extLst>
            </c:dLbl>
            <c:dLbl>
              <c:idx val="10"/>
              <c:layout>
                <c:manualLayout>
                  <c:x val="-3.4882962816901161E-2"/>
                  <c:y val="3.0701764988867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79F-4E47-8B50-C409AE0A9C15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Arrecadação'!$P$116:$P$128</c15:sqref>
                  </c15:fullRef>
                </c:ext>
              </c:extLst>
              <c:f>'Gráficos - Arrecadação'!$P$117:$P$128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Arrecadação'!$Q$116:$Q$128</c15:sqref>
                  </c15:fullRef>
                </c:ext>
              </c:extLst>
              <c:f>'Gráficos - Arrecadação'!$Q$117:$Q$128</c:f>
              <c:numCache>
                <c:formatCode>_-[$R$-416]\ * #,##0_-;\-[$R$-416]\ * #,##0_-;_-[$R$-416]\ * "-"??_-;_-@_-</c:formatCode>
                <c:ptCount val="12"/>
                <c:pt idx="0">
                  <c:v>22576388.020000003</c:v>
                </c:pt>
                <c:pt idx="1">
                  <c:v>21791063.839999996</c:v>
                </c:pt>
                <c:pt idx="2">
                  <c:v>15811503.18999999</c:v>
                </c:pt>
                <c:pt idx="3">
                  <c:v>8141870.1900000051</c:v>
                </c:pt>
                <c:pt idx="4">
                  <c:v>8658705.8900000006</c:v>
                </c:pt>
                <c:pt idx="5">
                  <c:v>11852236.879999995</c:v>
                </c:pt>
                <c:pt idx="6">
                  <c:v>15414639.370000005</c:v>
                </c:pt>
                <c:pt idx="7">
                  <c:v>16518182.859999985</c:v>
                </c:pt>
                <c:pt idx="8">
                  <c:v>12575439.830000013</c:v>
                </c:pt>
                <c:pt idx="9">
                  <c:v>13091764.559999973</c:v>
                </c:pt>
                <c:pt idx="10">
                  <c:v>11490553.480000019</c:v>
                </c:pt>
                <c:pt idx="11">
                  <c:v>11503465.950000048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2B17-46AD-B58F-ED32D1361A88}"/>
            </c:ext>
          </c:extLst>
        </c:ser>
        <c:ser>
          <c:idx val="2"/>
          <c:order val="1"/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7.9050316035595369E-2"/>
                  <c:y val="1.6285533666781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B17-46AD-B58F-ED32D1361A88}"/>
                </c:ext>
              </c:extLst>
            </c:dLbl>
            <c:dLbl>
              <c:idx val="1"/>
              <c:layout>
                <c:manualLayout>
                  <c:x val="-3.6827330201432126E-2"/>
                  <c:y val="-3.7514172369861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B17-46AD-B58F-ED32D1361A88}"/>
                </c:ext>
              </c:extLst>
            </c:dLbl>
            <c:dLbl>
              <c:idx val="2"/>
              <c:layout>
                <c:manualLayout>
                  <c:x val="-3.8641839662021497E-2"/>
                  <c:y val="4.49411746541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B17-46AD-B58F-ED32D1361A88}"/>
                </c:ext>
              </c:extLst>
            </c:dLbl>
            <c:dLbl>
              <c:idx val="3"/>
              <c:layout>
                <c:manualLayout>
                  <c:x val="-4.5976471529820331E-2"/>
                  <c:y val="-5.7473776223776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B17-46AD-B58F-ED32D1361A88}"/>
                </c:ext>
              </c:extLst>
            </c:dLbl>
            <c:dLbl>
              <c:idx val="4"/>
              <c:layout>
                <c:manualLayout>
                  <c:x val="-3.6782515785877878E-2"/>
                  <c:y val="-3.8017608791825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B17-46AD-B58F-ED32D1361A88}"/>
                </c:ext>
              </c:extLst>
            </c:dLbl>
            <c:dLbl>
              <c:idx val="5"/>
              <c:layout>
                <c:manualLayout>
                  <c:x val="-1.1086213490819114E-2"/>
                  <c:y val="-3.0673623322687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2B17-46AD-B58F-ED32D1361A88}"/>
                </c:ext>
              </c:extLst>
            </c:dLbl>
            <c:dLbl>
              <c:idx val="6"/>
              <c:layout>
                <c:manualLayout>
                  <c:x val="-3.8608274701796737E-2"/>
                  <c:y val="-3.4320106672174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2B17-46AD-B58F-ED32D1361A88}"/>
                </c:ext>
              </c:extLst>
            </c:dLbl>
            <c:dLbl>
              <c:idx val="7"/>
              <c:layout>
                <c:manualLayout>
                  <c:x val="-2.0262689312748782E-2"/>
                  <c:y val="-3.4258914048841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2B17-46AD-B58F-ED32D1361A88}"/>
                </c:ext>
              </c:extLst>
            </c:dLbl>
            <c:dLbl>
              <c:idx val="8"/>
              <c:layout>
                <c:manualLayout>
                  <c:x val="-4.0458165237110905E-2"/>
                  <c:y val="-4.1855329415433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2B17-46AD-B58F-ED32D1361A88}"/>
                </c:ext>
              </c:extLst>
            </c:dLbl>
            <c:dLbl>
              <c:idx val="9"/>
              <c:layout>
                <c:manualLayout>
                  <c:x val="-4.0458165237110905E-2"/>
                  <c:y val="-3.80176087918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2B17-46AD-B58F-ED32D1361A88}"/>
                </c:ext>
              </c:extLst>
            </c:dLbl>
            <c:dLbl>
              <c:idx val="10"/>
              <c:layout>
                <c:manualLayout>
                  <c:x val="-2.7601067904736706E-2"/>
                  <c:y val="-3.8168674928964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2B17-46AD-B58F-ED32D1361A88}"/>
                </c:ext>
              </c:extLst>
            </c:dLbl>
            <c:dLbl>
              <c:idx val="11"/>
              <c:layout>
                <c:manualLayout>
                  <c:x val="-3.6718908228318362E-3"/>
                  <c:y val="-7.6754412472168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979F-4E47-8B50-C409AE0A9C15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2700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Arrecadação'!$P$116:$P$128</c15:sqref>
                  </c15:fullRef>
                </c:ext>
              </c:extLst>
              <c:f>'Gráficos - Arrecadação'!$P$117:$P$128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Arrecadação'!$R$116:$R$128</c15:sqref>
                  </c15:fullRef>
                </c:ext>
              </c:extLst>
              <c:f>'Gráficos - Arrecadação'!$R$117:$R$128</c:f>
              <c:numCache>
                <c:formatCode>_-[$R$-416]\ * #,##0_-;\-[$R$-416]\ * #,##0_-;_-[$R$-416]\ * "-"??_-;_-@_-</c:formatCode>
                <c:ptCount val="12"/>
                <c:pt idx="0">
                  <c:v>20826016.739999998</c:v>
                </c:pt>
                <c:pt idx="1">
                  <c:v>22708621.000000004</c:v>
                </c:pt>
                <c:pt idx="2">
                  <c:v>20161318.559999999</c:v>
                </c:pt>
                <c:pt idx="3">
                  <c:v>16615530.980000008</c:v>
                </c:pt>
                <c:pt idx="4">
                  <c:v>16155960.789999992</c:v>
                </c:pt>
                <c:pt idx="5">
                  <c:v>17234451.25</c:v>
                </c:pt>
                <c:pt idx="6">
                  <c:v>16068055.850000024</c:v>
                </c:pt>
                <c:pt idx="7">
                  <c:v>16489729.73999998</c:v>
                </c:pt>
                <c:pt idx="8">
                  <c:v>13915469.599999994</c:v>
                </c:pt>
                <c:pt idx="9">
                  <c:v>12602396.24000001</c:v>
                </c:pt>
                <c:pt idx="10">
                  <c:v>12335348.24000001</c:v>
                </c:pt>
                <c:pt idx="11">
                  <c:v>12798786.219999999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2B17-46AD-B58F-ED32D1361A88}"/>
            </c:ext>
          </c:extLst>
        </c:ser>
        <c:ser>
          <c:idx val="3"/>
          <c:order val="2"/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6.9777209789781525E-2"/>
                  <c:y val="-4.53043318108807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979F-4E47-8B50-C409AE0A9C15}"/>
                </c:ext>
              </c:extLst>
            </c:dLbl>
            <c:dLbl>
              <c:idx val="1"/>
              <c:layout>
                <c:manualLayout>
                  <c:x val="-7.8945652690881579E-2"/>
                  <c:y val="3.8377206236083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979F-4E47-8B50-C409AE0A9C15}"/>
                </c:ext>
              </c:extLst>
            </c:dLbl>
            <c:dLbl>
              <c:idx val="2"/>
              <c:layout>
                <c:manualLayout>
                  <c:x val="-4.9570526108228007E-2"/>
                  <c:y val="3.453948561247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979F-4E47-8B50-C409AE0A9C15}"/>
                </c:ext>
              </c:extLst>
            </c:dLbl>
            <c:dLbl>
              <c:idx val="3"/>
              <c:layout>
                <c:manualLayout>
                  <c:x val="-3.671890822831769E-3"/>
                  <c:y val="2.30263237416505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979F-4E47-8B50-C409AE0A9C15}"/>
                </c:ext>
              </c:extLst>
            </c:dLbl>
            <c:dLbl>
              <c:idx val="4"/>
              <c:layout>
                <c:manualLayout>
                  <c:x val="-5.50783623424761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0D4-4C6F-809A-5BEBEE23A186}"/>
                </c:ext>
              </c:extLst>
            </c:dLbl>
            <c:dLbl>
              <c:idx val="5"/>
              <c:layout>
                <c:manualLayout>
                  <c:x val="-4.5858547108788318E-2"/>
                  <c:y val="-3.7909576406751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91C-4C6E-9106-A222770B2FFA}"/>
                </c:ext>
              </c:extLst>
            </c:dLbl>
            <c:dLbl>
              <c:idx val="6"/>
              <c:layout>
                <c:manualLayout>
                  <c:x val="-2.7515128265273057E-2"/>
                  <c:y val="-3.4118618766076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91C-4C6E-9106-A222770B2FFA}"/>
                </c:ext>
              </c:extLst>
            </c:dLbl>
            <c:dLbl>
              <c:idx val="7"/>
              <c:layout>
                <c:manualLayout>
                  <c:x val="-7.7042359142764374E-2"/>
                  <c:y val="1.89547882033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91C-4C6E-9106-A222770B2FFA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rgbClr val="00B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'Gráficos - Arrecadação'!$P$116:$P$128</c15:sqref>
                  </c15:fullRef>
                </c:ext>
              </c:extLst>
              <c:f>'Gráficos - Arrecadação'!$P$117:$P$128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'Gráficos - Arrecadação'!$S$116:$S$128</c15:sqref>
                  </c15:fullRef>
                </c:ext>
              </c:extLst>
              <c:f>'Gráficos - Arrecadação'!$S$117:$S$128</c:f>
              <c:numCache>
                <c:formatCode>_-[$R$-416]\ * #,##0_-;\-[$R$-416]\ * #,##0_-;_-[$R$-416]\ * "-"??_-;_-@_-</c:formatCode>
                <c:ptCount val="12"/>
                <c:pt idx="0">
                  <c:v>20850868.670000006</c:v>
                </c:pt>
                <c:pt idx="1">
                  <c:v>24643200.429999996</c:v>
                </c:pt>
                <c:pt idx="2">
                  <c:v>25022780.400000002</c:v>
                </c:pt>
                <c:pt idx="3">
                  <c:v>16423502.060000006</c:v>
                </c:pt>
                <c:pt idx="4">
                  <c:v>19444466.520000011</c:v>
                </c:pt>
                <c:pt idx="5">
                  <c:v>18995234.909999996</c:v>
                </c:pt>
                <c:pt idx="6">
                  <c:v>17489413.370000005</c:v>
                </c:pt>
                <c:pt idx="7">
                  <c:v>17109685.619999945</c:v>
                </c:pt>
                <c:pt idx="8">
                  <c:v>14473753.270000011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ED1-4E85-ABE1-998F24C57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037200"/>
        <c:axId val="331037760"/>
        <c:extLst/>
      </c:lineChart>
      <c:catAx>
        <c:axId val="33103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31037760"/>
        <c:crosses val="autoZero"/>
        <c:auto val="1"/>
        <c:lblAlgn val="ctr"/>
        <c:lblOffset val="100"/>
        <c:noMultiLvlLbl val="0"/>
      </c:catAx>
      <c:valAx>
        <c:axId val="331037760"/>
        <c:scaling>
          <c:orientation val="minMax"/>
          <c:min val="70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310372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9409253851732734E-2"/>
                <c:y val="1.5614325189714303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9147873188085958"/>
          <c:y val="0.2353287259895035"/>
          <c:w val="8.8370458711467523E-2"/>
          <c:h val="0.190564064200096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[Dashboard - Apresentação Cenário de Recursos - Arrecadação SETEMBRO.xlsx]RRTs pagos por Grupo!Tabela dinâmica9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&quot;R$&quot;#,##0" sourceLinked="0"/>
          <c:spPr>
            <a:solidFill>
              <a:schemeClr val="lt1"/>
            </a:solidFill>
            <a:ln w="25400" cap="flat" cmpd="sng" algn="ctr">
              <a:solidFill>
                <a:schemeClr val="accent1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63500" cap="flat" cmpd="sng" algn="ctr">
            <a:solidFill>
              <a:schemeClr val="bg1"/>
            </a:solidFill>
            <a:prstDash val="solid"/>
            <a:round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dk1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2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8F9A"/>
          </a:solidFill>
          <a:ln w="63500" cap="flat" cmpd="sng" algn="ctr">
            <a:noFill/>
            <a:prstDash val="solid"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008F9A"/>
          </a:solidFill>
          <a:ln w="63500" cap="flat" cmpd="sng" algn="ctr">
            <a:noFill/>
            <a:prstDash val="solid"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 w="25400" cap="flat" cmpd="sng" algn="ctr">
              <a:noFill/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 w="25400" cap="flat" cmpd="sng" algn="ctr">
              <a:noFill/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2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1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1.1501725009567917E-2"/>
          <c:y val="2.7495293080148753E-2"/>
          <c:w val="0.97498329371071057"/>
          <c:h val="0.891779776237549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'RRTs pagos por Grupo'!$N$1:$N$2</c:f>
              <c:strCache>
                <c:ptCount val="1"/>
                <c:pt idx="0">
                  <c:v>SP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'RRTs pagos por Grupo'!$M$3:$M$9</c:f>
              <c:strCache>
                <c:ptCount val="7"/>
                <c:pt idx="0">
                  <c:v>1 - Projeto</c:v>
                </c:pt>
                <c:pt idx="1">
                  <c:v>2 - Execução</c:v>
                </c:pt>
                <c:pt idx="2">
                  <c:v>3 - Gestão</c:v>
                </c:pt>
                <c:pt idx="3">
                  <c:v>4 - Meio Amb.</c:v>
                </c:pt>
                <c:pt idx="4">
                  <c:v>5 - Ativ. Especiais</c:v>
                </c:pt>
                <c:pt idx="5">
                  <c:v>6 - Ensino e Pesquisa</c:v>
                </c:pt>
                <c:pt idx="6">
                  <c:v>7 - Eng. Seg. Trab.</c:v>
                </c:pt>
              </c:strCache>
            </c:strRef>
          </c:cat>
          <c:val>
            <c:numRef>
              <c:f>'RRTs pagos por Grupo'!$N$3:$N$9</c:f>
              <c:numCache>
                <c:formatCode>General</c:formatCode>
                <c:ptCount val="7"/>
                <c:pt idx="0">
                  <c:v>116831</c:v>
                </c:pt>
                <c:pt idx="1">
                  <c:v>106046</c:v>
                </c:pt>
                <c:pt idx="2">
                  <c:v>15228</c:v>
                </c:pt>
                <c:pt idx="3">
                  <c:v>3810</c:v>
                </c:pt>
                <c:pt idx="4">
                  <c:v>34366</c:v>
                </c:pt>
                <c:pt idx="5">
                  <c:v>54</c:v>
                </c:pt>
                <c:pt idx="6">
                  <c:v>3015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1C-4CD1-BAE6-A2E89F7595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5"/>
        <c:axId val="146362175"/>
        <c:axId val="146363839"/>
      </c:barChart>
      <c:catAx>
        <c:axId val="1463621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363839"/>
        <c:crosses val="autoZero"/>
        <c:auto val="1"/>
        <c:lblAlgn val="ctr"/>
        <c:lblOffset val="100"/>
        <c:noMultiLvlLbl val="0"/>
      </c:catAx>
      <c:valAx>
        <c:axId val="146363839"/>
        <c:scaling>
          <c:orientation val="minMax"/>
        </c:scaling>
        <c:delete val="1"/>
        <c:axPos val="l"/>
        <c:numFmt formatCode="0.00%" sourceLinked="0"/>
        <c:majorTickMark val="out"/>
        <c:minorTickMark val="none"/>
        <c:tickLblPos val="nextTo"/>
        <c:crossAx val="146362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- Apresentação Cenário de Recursos - Arrecadação SETEMBRO.xlsx]RRTs pagos por Grupo!Tabela dinâmica23</c:name>
    <c:fmtId val="0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'RRTs pagos por Grupo'!$M$30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'RRTs pagos por Grupo'!$L$31:$L$39</c:f>
              <c:strCache>
                <c:ptCount val="8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</c:strCache>
            </c:strRef>
          </c:cat>
          <c:val>
            <c:numRef>
              <c:f>'RRTs pagos por Grupo'!$M$31:$M$39</c:f>
              <c:numCache>
                <c:formatCode>General</c:formatCode>
                <c:ptCount val="8"/>
                <c:pt idx="0">
                  <c:v>65965</c:v>
                </c:pt>
                <c:pt idx="1">
                  <c:v>73809</c:v>
                </c:pt>
                <c:pt idx="2">
                  <c:v>94024</c:v>
                </c:pt>
                <c:pt idx="3">
                  <c:v>78399</c:v>
                </c:pt>
                <c:pt idx="4">
                  <c:v>93305</c:v>
                </c:pt>
                <c:pt idx="5">
                  <c:v>86380</c:v>
                </c:pt>
                <c:pt idx="6">
                  <c:v>85436</c:v>
                </c:pt>
                <c:pt idx="7">
                  <c:v>95562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66-49FB-93A2-8B2278105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2695856"/>
        <c:axId val="142693776"/>
      </c:barChart>
      <c:catAx>
        <c:axId val="14269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693776"/>
        <c:crosses val="autoZero"/>
        <c:auto val="1"/>
        <c:lblAlgn val="ctr"/>
        <c:lblOffset val="100"/>
        <c:noMultiLvlLbl val="0"/>
      </c:catAx>
      <c:valAx>
        <c:axId val="14269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695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- Apresentação Cenário de Recursos - Arrecadação SETEMBRO.xlsx]Dados - Receita e Qntd!Tabela dinâmica2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Quantidade</a:t>
            </a:r>
            <a:r>
              <a:rPr lang="pt-BR" baseline="0"/>
              <a:t> de </a:t>
            </a:r>
            <a:r>
              <a:rPr lang="pt-BR"/>
              <a:t>Ativos PF  x  Receita de Anuidade</a:t>
            </a:r>
            <a:r>
              <a:rPr lang="pt-BR" baseline="0"/>
              <a:t> de PF do Exercício</a:t>
            </a:r>
          </a:p>
          <a:p>
            <a:pPr>
              <a:defRPr/>
            </a:pPr>
            <a:r>
              <a:rPr lang="pt-BR"/>
              <a:t>2022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'Dados - Receita e Qntd'!$B$36</c:f>
              <c:strCache>
                <c:ptCount val="1"/>
                <c:pt idx="0">
                  <c:v> PF Ativos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'Dados - Receita e Qntd'!$A$37:$A$41</c:f>
              <c:strCache>
                <c:ptCount val="4"/>
                <c:pt idx="0">
                  <c:v>DF</c:v>
                </c:pt>
                <c:pt idx="1">
                  <c:v>GO</c:v>
                </c:pt>
                <c:pt idx="2">
                  <c:v>MS</c:v>
                </c:pt>
                <c:pt idx="3">
                  <c:v>MT</c:v>
                </c:pt>
              </c:strCache>
            </c:strRef>
          </c:cat>
          <c:val>
            <c:numRef>
              <c:f>'Dados - Receita e Qntd'!$B$37:$B$41</c:f>
              <c:numCache>
                <c:formatCode>#,##0</c:formatCode>
                <c:ptCount val="4"/>
                <c:pt idx="0">
                  <c:v>6772</c:v>
                </c:pt>
                <c:pt idx="1">
                  <c:v>5405</c:v>
                </c:pt>
                <c:pt idx="2">
                  <c:v>3640</c:v>
                </c:pt>
                <c:pt idx="3">
                  <c:v>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94-4730-BA3B-4972F0622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3189663"/>
        <c:axId val="423184671"/>
      </c:barChart>
      <c:lineChart>
        <c:grouping val="standard"/>
        <c:varyColors val="0"/>
        <c:ser>
          <c:idx val="1"/>
          <c:order val="1"/>
          <c:tx>
            <c:strRef>
              <c:f>'Dados - Receita e Qntd'!$C$36</c:f>
              <c:strCache>
                <c:ptCount val="1"/>
                <c:pt idx="0">
                  <c:v> Anuidade PF - Exerc.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'Dados - Receita e Qntd'!$A$37:$A$41</c:f>
              <c:strCache>
                <c:ptCount val="4"/>
                <c:pt idx="0">
                  <c:v>DF</c:v>
                </c:pt>
                <c:pt idx="1">
                  <c:v>GO</c:v>
                </c:pt>
                <c:pt idx="2">
                  <c:v>MS</c:v>
                </c:pt>
                <c:pt idx="3">
                  <c:v>MT</c:v>
                </c:pt>
              </c:strCache>
            </c:strRef>
          </c:cat>
          <c:val>
            <c:numRef>
              <c:f>'Dados - Receita e Qntd'!$C$37:$C$41</c:f>
              <c:numCache>
                <c:formatCode>"R$"#,##0.00_);[Red]\("R$"#,##0.00\)</c:formatCode>
                <c:ptCount val="4"/>
                <c:pt idx="0">
                  <c:v>1684099.824</c:v>
                </c:pt>
                <c:pt idx="1">
                  <c:v>1257495.4879999999</c:v>
                </c:pt>
                <c:pt idx="2">
                  <c:v>748928.61599999992</c:v>
                </c:pt>
                <c:pt idx="3">
                  <c:v>903004.57600000012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94-4730-BA3B-4972F0622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238096"/>
        <c:axId val="371548720"/>
      </c:lineChart>
      <c:valAx>
        <c:axId val="371548720"/>
        <c:scaling>
          <c:orientation val="minMax"/>
        </c:scaling>
        <c:delete val="0"/>
        <c:axPos val="r"/>
        <c:numFmt formatCode="&quot;R$&quot;#,##0.00_);[Red]\(&quot;R$&quot;#,##0.0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4238096"/>
        <c:crosses val="max"/>
        <c:crossBetween val="between"/>
      </c:valAx>
      <c:catAx>
        <c:axId val="35423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548720"/>
        <c:crosses val="autoZero"/>
        <c:auto val="1"/>
        <c:lblAlgn val="ctr"/>
        <c:lblOffset val="100"/>
        <c:noMultiLvlLbl val="0"/>
      </c:catAx>
      <c:valAx>
        <c:axId val="423184671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23189663"/>
        <c:crosses val="autoZero"/>
        <c:crossBetween val="between"/>
      </c:valAx>
      <c:catAx>
        <c:axId val="4231896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31846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- Apresentação Cenário de Recursos - Arrecadação SETEMBRO.xlsx]Dados - Receita e Qntd!Tabela dinâmica4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Ativos Total (PF + PJ)  x  Quantidade de RRTs</a:t>
            </a:r>
            <a:r>
              <a:rPr lang="pt-BR" baseline="0"/>
              <a:t> Pagos</a:t>
            </a:r>
          </a:p>
          <a:p>
            <a:pPr>
              <a:defRPr/>
            </a:pPr>
            <a:r>
              <a:rPr lang="pt-BR" baseline="0"/>
              <a:t>2022</a:t>
            </a:r>
            <a:endParaRPr lang="pt-BR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'Dados - Receita e Qntd'!$B$67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'Dados - Receita e Qntd'!$A$68:$A$95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AM</c:v>
                </c:pt>
                <c:pt idx="3">
                  <c:v>AP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MG</c:v>
                </c:pt>
                <c:pt idx="11">
                  <c:v>MS</c:v>
                </c:pt>
                <c:pt idx="12">
                  <c:v>MT</c:v>
                </c:pt>
                <c:pt idx="13">
                  <c:v>PA</c:v>
                </c:pt>
                <c:pt idx="14">
                  <c:v>PB</c:v>
                </c:pt>
                <c:pt idx="15">
                  <c:v>PE</c:v>
                </c:pt>
                <c:pt idx="16">
                  <c:v>PI</c:v>
                </c:pt>
                <c:pt idx="17">
                  <c:v>PR</c:v>
                </c:pt>
                <c:pt idx="18">
                  <c:v>RJ</c:v>
                </c:pt>
                <c:pt idx="19">
                  <c:v>RN</c:v>
                </c:pt>
                <c:pt idx="20">
                  <c:v>RO</c:v>
                </c:pt>
                <c:pt idx="21">
                  <c:v>RR</c:v>
                </c:pt>
                <c:pt idx="22">
                  <c:v>RS</c:v>
                </c:pt>
                <c:pt idx="23">
                  <c:v>SC</c:v>
                </c:pt>
                <c:pt idx="24">
                  <c:v>SE</c:v>
                </c:pt>
                <c:pt idx="25">
                  <c:v>SP</c:v>
                </c:pt>
                <c:pt idx="26">
                  <c:v>TO</c:v>
                </c:pt>
              </c:strCache>
            </c:strRef>
          </c:cat>
          <c:val>
            <c:numRef>
              <c:f>'Dados - Receita e Qntd'!$B$68:$B$95</c:f>
              <c:numCache>
                <c:formatCode>_(* #,##0_);_(* \(#,##0\);_(* "-"??_);_(@_)</c:formatCode>
                <c:ptCount val="27"/>
                <c:pt idx="0">
                  <c:v>904</c:v>
                </c:pt>
                <c:pt idx="1">
                  <c:v>2403</c:v>
                </c:pt>
                <c:pt idx="2">
                  <c:v>2661</c:v>
                </c:pt>
                <c:pt idx="3">
                  <c:v>1222</c:v>
                </c:pt>
                <c:pt idx="4">
                  <c:v>8512</c:v>
                </c:pt>
                <c:pt idx="5">
                  <c:v>5227</c:v>
                </c:pt>
                <c:pt idx="6">
                  <c:v>7605</c:v>
                </c:pt>
                <c:pt idx="7">
                  <c:v>4629</c:v>
                </c:pt>
                <c:pt idx="8">
                  <c:v>6178</c:v>
                </c:pt>
                <c:pt idx="9">
                  <c:v>2581</c:v>
                </c:pt>
                <c:pt idx="10">
                  <c:v>19912</c:v>
                </c:pt>
                <c:pt idx="11">
                  <c:v>4338</c:v>
                </c:pt>
                <c:pt idx="12">
                  <c:v>4349</c:v>
                </c:pt>
                <c:pt idx="13">
                  <c:v>3789</c:v>
                </c:pt>
                <c:pt idx="14">
                  <c:v>3708</c:v>
                </c:pt>
                <c:pt idx="15">
                  <c:v>6224</c:v>
                </c:pt>
                <c:pt idx="16">
                  <c:v>1926</c:v>
                </c:pt>
                <c:pt idx="17">
                  <c:v>17402</c:v>
                </c:pt>
                <c:pt idx="18">
                  <c:v>24424</c:v>
                </c:pt>
                <c:pt idx="19">
                  <c:v>3117</c:v>
                </c:pt>
                <c:pt idx="20">
                  <c:v>1717</c:v>
                </c:pt>
                <c:pt idx="21">
                  <c:v>320</c:v>
                </c:pt>
                <c:pt idx="22">
                  <c:v>21372</c:v>
                </c:pt>
                <c:pt idx="23">
                  <c:v>13947</c:v>
                </c:pt>
                <c:pt idx="24">
                  <c:v>1854</c:v>
                </c:pt>
                <c:pt idx="25">
                  <c:v>75198</c:v>
                </c:pt>
                <c:pt idx="26">
                  <c:v>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07-462B-9E50-4C9A7F651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240896"/>
        <c:axId val="354241456"/>
      </c:barChart>
      <c:catAx>
        <c:axId val="3542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4241456"/>
        <c:crosses val="autoZero"/>
        <c:auto val="1"/>
        <c:lblAlgn val="ctr"/>
        <c:lblOffset val="100"/>
        <c:noMultiLvlLbl val="0"/>
      </c:catAx>
      <c:valAx>
        <c:axId val="35424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42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rgbClr val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- Apresentação Cenário de Recursos - Arrecadação SETEMBRO.xlsx]Dados - Receita e Qntd!Tabela dinâmica12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'Dados - Receita e Qntd'!$B$148</c:f>
              <c:strCache>
                <c:ptCount val="1"/>
                <c:pt idx="0">
                  <c:v>Soma de RRT
Executado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'Dados - Receita e Qntd'!$A$149:$A$153</c:f>
              <c:strCache>
                <c:ptCount val="4"/>
                <c:pt idx="0">
                  <c:v>DF</c:v>
                </c:pt>
                <c:pt idx="1">
                  <c:v>GO</c:v>
                </c:pt>
                <c:pt idx="2">
                  <c:v>MS</c:v>
                </c:pt>
                <c:pt idx="3">
                  <c:v>MT</c:v>
                </c:pt>
              </c:strCache>
            </c:strRef>
          </c:cat>
          <c:val>
            <c:numRef>
              <c:f>'Dados - Receita e Qntd'!$B$149:$B$153</c:f>
              <c:numCache>
                <c:formatCode>General</c:formatCode>
                <c:ptCount val="4"/>
                <c:pt idx="0">
                  <c:v>13599</c:v>
                </c:pt>
                <c:pt idx="1">
                  <c:v>25310</c:v>
                </c:pt>
                <c:pt idx="2">
                  <c:v>16284</c:v>
                </c:pt>
                <c:pt idx="3">
                  <c:v>25520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C0-4007-98AD-8CBF85791990}"/>
            </c:ext>
          </c:extLst>
        </c:ser>
        <c:ser>
          <c:idx val="1"/>
          <c:order val="1"/>
          <c:tx>
            <c:strRef>
              <c:f>'Dados - Receita e Qntd'!$C$148</c:f>
              <c:strCache>
                <c:ptCount val="1"/>
                <c:pt idx="0">
                  <c:v>Soma de PF + PJ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'Dados - Receita e Qntd'!$A$149:$A$153</c:f>
              <c:strCache>
                <c:ptCount val="4"/>
                <c:pt idx="0">
                  <c:v>DF</c:v>
                </c:pt>
                <c:pt idx="1">
                  <c:v>GO</c:v>
                </c:pt>
                <c:pt idx="2">
                  <c:v>MS</c:v>
                </c:pt>
                <c:pt idx="3">
                  <c:v>MT</c:v>
                </c:pt>
              </c:strCache>
            </c:strRef>
          </c:cat>
          <c:val>
            <c:numRef>
              <c:f>'Dados - Receita e Qntd'!$C$149:$C$153</c:f>
              <c:numCache>
                <c:formatCode>General</c:formatCode>
                <c:ptCount val="4"/>
                <c:pt idx="0">
                  <c:v>7605</c:v>
                </c:pt>
                <c:pt idx="1">
                  <c:v>6178</c:v>
                </c:pt>
                <c:pt idx="2">
                  <c:v>4338</c:v>
                </c:pt>
                <c:pt idx="3">
                  <c:v>4349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C0-4007-98AD-8CBF85791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24719"/>
        <c:axId val="31445103"/>
      </c:barChart>
      <c:catAx>
        <c:axId val="31424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445103"/>
        <c:crosses val="autoZero"/>
        <c:auto val="1"/>
        <c:lblAlgn val="ctr"/>
        <c:lblOffset val="100"/>
        <c:noMultiLvlLbl val="0"/>
      </c:catAx>
      <c:valAx>
        <c:axId val="31445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424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pt-BR" sz="1800" b="1">
                <a:solidFill>
                  <a:schemeClr val="bg1"/>
                </a:solidFill>
              </a:rPr>
              <a:t>Composição por Gênero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1.4272647373956315E-3"/>
          <c:y val="9.9939873486609654E-2"/>
          <c:w val="0.98681501768800639"/>
          <c:h val="1"/>
        </c:manualLayout>
      </c:layout>
      <c:doughnutChart>
        <c:varyColors val="1"/>
        <c:ser>
          <c:idx val="0"/>
          <c:order val="0"/>
          <c:spPr>
            <a:solidFill>
              <a:srgbClr val="008F9A"/>
            </a:solidFill>
            <a:ln>
              <a:noFill/>
            </a:ln>
          </c:spPr>
          <c:dPt>
            <c:idx val="0"/>
            <c:bubble3D val="0"/>
            <c:spPr>
              <a:solidFill>
                <a:srgbClr val="5E9EA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45-46F7-960A-4D755BB8A395}"/>
              </c:ext>
            </c:extLst>
          </c:dPt>
          <c:dPt>
            <c:idx val="1"/>
            <c:bubble3D val="0"/>
            <c:spPr>
              <a:solidFill>
                <a:srgbClr val="FFF3A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45-46F7-960A-4D755BB8A39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900" b="1" i="0" u="none" strike="noStrike" kern="1200" cap="none" spc="0" baseline="0">
                      <a:ln w="6600">
                        <a:noFill/>
                        <a:prstDash val="solid"/>
                      </a:ln>
                      <a:solidFill>
                        <a:srgbClr val="FFFFFF"/>
                      </a:solidFill>
                      <a:effectLst>
                        <a:outerShdw blurRad="381000" algn="tl" rotWithShape="0">
                          <a:prstClr val="black"/>
                        </a:outerShdw>
                      </a:effectLst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B45-46F7-960A-4D755BB8A39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900" b="1" i="0" u="none" strike="noStrike" kern="1200" cap="none" spc="0" baseline="0">
                      <a:ln w="6600">
                        <a:noFill/>
                        <a:prstDash val="solid"/>
                      </a:ln>
                      <a:solidFill>
                        <a:srgbClr val="FFFFFF"/>
                      </a:solidFill>
                      <a:effectLst>
                        <a:outerShdw blurRad="381000" algn="tl" rotWithShape="0">
                          <a:prstClr val="black"/>
                        </a:outerShdw>
                      </a:effectLst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B45-46F7-960A-4D755BB8A3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900" b="1" i="0" u="none" strike="noStrike" kern="1200" cap="none" spc="0" baseline="0">
                    <a:ln w="6600">
                      <a:noFill/>
                      <a:prstDash val="solid"/>
                    </a:ln>
                    <a:solidFill>
                      <a:srgbClr val="FFFFFF"/>
                    </a:solidFill>
                    <a:effectLst>
                      <a:outerShdw blurRad="139700" dir="2700000" algn="tl" rotWithShape="0">
                        <a:prstClr val="black"/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'Dados - Receita e Qntd'!$BS$74:$BS$75</c:f>
              <c:strCache>
                <c:ptCount val="2"/>
                <c:pt idx="0">
                  <c:v>Masculino</c:v>
                </c:pt>
                <c:pt idx="1">
                  <c:v>Feminino</c:v>
                </c:pt>
              </c:strCache>
            </c:strRef>
          </c:cat>
          <c:val>
            <c:numRef>
              <c:f>'Dados - Receita e Qntd'!$BT$74:$BT$75</c:f>
              <c:numCache>
                <c:formatCode>_-* #,##0_-;\-* #,##0_-;_-* "-"??_-;_-@_-</c:formatCode>
                <c:ptCount val="2"/>
                <c:pt idx="0">
                  <c:v>75981</c:v>
                </c:pt>
                <c:pt idx="1">
                  <c:v>139724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45-46F7-960A-4D755BB8A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Janeiro PF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0-B565-429C-831D-748999442BCC}"/>
            </c:ext>
          </c:extLst>
        </c:ser>
        <c:ser>
          <c:idx val="3"/>
          <c:order val="3"/>
          <c:tx>
            <c:v>Janeiro PJ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1-B565-429C-831D-748999442BCC}"/>
            </c:ext>
          </c:extLst>
        </c:ser>
        <c:ser>
          <c:idx val="4"/>
          <c:order val="4"/>
          <c:tx>
            <c:v>Fevereiro PF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2-B565-429C-831D-748999442BCC}"/>
            </c:ext>
          </c:extLst>
        </c:ser>
        <c:ser>
          <c:idx val="5"/>
          <c:order val="5"/>
          <c:tx>
            <c:v>Fevereiro PJ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3-B565-429C-831D-748999442BCC}"/>
            </c:ext>
          </c:extLst>
        </c:ser>
        <c:ser>
          <c:idx val="6"/>
          <c:order val="6"/>
          <c:tx>
            <c:v>Março PF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4-B565-429C-831D-748999442BCC}"/>
            </c:ext>
          </c:extLst>
        </c:ser>
        <c:ser>
          <c:idx val="7"/>
          <c:order val="7"/>
          <c:tx>
            <c:v>Março PJ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5-B565-429C-831D-748999442BCC}"/>
            </c:ext>
          </c:extLst>
        </c:ser>
        <c:ser>
          <c:idx val="11"/>
          <c:order val="11"/>
          <c:tx>
            <c:strRef>
              <c:f>'EXERCÍCIOS ANTERIORES'!$AE$2:$AE$3</c:f>
              <c:strCache>
                <c:ptCount val="2"/>
                <c:pt idx="0">
                  <c:v>EXECUÇÃO % (C = B/A)</c:v>
                </c:pt>
                <c:pt idx="1">
                  <c:v>PJ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2F0E7A4-CE78-458F-855D-344D18B2571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565-429C-831D-748999442B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28EED13-AEB5-4AEB-9048-6AC4730C3ED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96A-4A92-9CDA-6D29DBA70B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81A5290-6438-4949-9B0B-3E913F4F209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96A-4A92-9CDA-6D29DBA70BA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B22799B-DCD7-4ABD-9E33-8E6AF49F806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96A-4A92-9CDA-6D29DBA70BA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224F4CE-D302-45CB-9596-09FFD0F140E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96A-4A92-9CDA-6D29DBA70BA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C39B4D7-1028-46C9-9287-566FE24EDFE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96A-4A92-9CDA-6D29DBA70BA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CD639C9-2331-4080-ACBC-41E6C344BAD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96A-4A92-9CDA-6D29DBA70BA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3AA3459-21FB-4981-861E-16DD79201DD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96A-4A92-9CDA-6D29DBA70BA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3703DA0-2378-401E-8329-F657CC3BD16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96A-4A92-9CDA-6D29DBA70BA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BB66476-8A56-4FA0-8FDD-99C4E3C1C1B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96A-4A92-9CDA-6D29DBA70BA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CED9A52-58AA-4890-9D8B-9985A1ED332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96A-4A92-9CDA-6D29DBA70BA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A144AB2-223D-4F92-812C-9F7E0BFED06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696A-4A92-9CDA-6D29DBA70BA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6D2D64E-2B6A-4E36-87A1-916C8E1854F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96A-4A92-9CDA-6D29DBA70BA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2B0BC7F-6923-4094-B966-8D205E44B52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96A-4A92-9CDA-6D29DBA70BA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F719E12-304E-42FD-91C7-002A17CE754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96A-4A92-9CDA-6D29DBA70BA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40DAAF5C-A936-49B4-871D-C8B465107F2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696A-4A92-9CDA-6D29DBA70BA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6F34BAE-B80E-4FBE-B58E-433EC2A751A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696A-4A92-9CDA-6D29DBA70BA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A111E13-52DA-497F-A71C-01AC5F3FF73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96A-4A92-9CDA-6D29DBA70BA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80CCCB79-191F-49E7-B702-806C5B8FC44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696A-4A92-9CDA-6D29DBA70BA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A30746D7-3070-4BBE-9F51-36A3D10ED98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96A-4A92-9CDA-6D29DBA70BA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EF050603-A12E-4689-AD70-915F873F708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696A-4A92-9CDA-6D29DBA70BA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85D281F7-5C7D-4512-A398-FEC636504FC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696A-4A92-9CDA-6D29DBA70BA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EE5E1A76-8EF3-42F5-9AD9-0C37CB93E33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696A-4A92-9CDA-6D29DBA70BA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8A91C08-F1DE-4EAF-9F94-23971D049C0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696A-4A92-9CDA-6D29DBA70BA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46963B39-D3F4-4339-9327-C39F3C7E4D6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696A-4A92-9CDA-6D29DBA70BA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900BC427-D469-405D-888E-82559DF093B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696A-4A92-9CDA-6D29DBA70BA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7CBE44F8-A3C2-4F52-BEB5-976525D1810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696A-4A92-9CDA-6D29DBA70B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'EXERCÍCIOS ANTERIORES'!$A$4:$A$30</c:f>
              <c:strCache>
                <c:ptCount val="27"/>
                <c:pt idx="0">
                  <c:v>AC</c:v>
                </c:pt>
                <c:pt idx="1">
                  <c:v>AL</c:v>
                </c:pt>
                <c:pt idx="2">
                  <c:v>AP</c:v>
                </c:pt>
                <c:pt idx="3">
                  <c:v>AM</c:v>
                </c:pt>
                <c:pt idx="4">
                  <c:v>BA</c:v>
                </c:pt>
                <c:pt idx="5">
                  <c:v>CE</c:v>
                </c:pt>
                <c:pt idx="6">
                  <c:v>DF</c:v>
                </c:pt>
                <c:pt idx="7">
                  <c:v>ES</c:v>
                </c:pt>
                <c:pt idx="8">
                  <c:v>GO</c:v>
                </c:pt>
                <c:pt idx="9">
                  <c:v>MA</c:v>
                </c:pt>
                <c:pt idx="10">
                  <c:v>MT</c:v>
                </c:pt>
                <c:pt idx="11">
                  <c:v>MS</c:v>
                </c:pt>
                <c:pt idx="12">
                  <c:v>MG</c:v>
                </c:pt>
                <c:pt idx="13">
                  <c:v>PA</c:v>
                </c:pt>
                <c:pt idx="14">
                  <c:v>PB</c:v>
                </c:pt>
                <c:pt idx="15">
                  <c:v>PR</c:v>
                </c:pt>
                <c:pt idx="16">
                  <c:v>PE</c:v>
                </c:pt>
                <c:pt idx="17">
                  <c:v>PI</c:v>
                </c:pt>
                <c:pt idx="18">
                  <c:v>RJ</c:v>
                </c:pt>
                <c:pt idx="19">
                  <c:v>RN</c:v>
                </c:pt>
                <c:pt idx="20">
                  <c:v>RS</c:v>
                </c:pt>
                <c:pt idx="21">
                  <c:v>RO</c:v>
                </c:pt>
                <c:pt idx="22">
                  <c:v>RR</c:v>
                </c:pt>
                <c:pt idx="23">
                  <c:v>SC</c:v>
                </c:pt>
                <c:pt idx="24">
                  <c:v>SP</c:v>
                </c:pt>
                <c:pt idx="25">
                  <c:v>SE</c:v>
                </c:pt>
                <c:pt idx="26">
                  <c:v>TO</c:v>
                </c:pt>
              </c:strCache>
              <c:extLst/>
            </c:strRef>
          </c:cat>
          <c:val>
            <c:numRef>
              <c:f>'EXERCÍCIOS ANTERIORES'!$AE$4:$AE$30</c:f>
              <c:numCache>
                <c:formatCode>0.0%</c:formatCode>
                <c:ptCount val="27"/>
                <c:pt idx="0">
                  <c:v>0.58565192906113839</c:v>
                </c:pt>
                <c:pt idx="1">
                  <c:v>0.26316226069873122</c:v>
                </c:pt>
                <c:pt idx="2">
                  <c:v>0.4689739044371608</c:v>
                </c:pt>
                <c:pt idx="3">
                  <c:v>0.52686180112663483</c:v>
                </c:pt>
                <c:pt idx="4">
                  <c:v>0.53554953982687348</c:v>
                </c:pt>
                <c:pt idx="5">
                  <c:v>0.99259544970766123</c:v>
                </c:pt>
                <c:pt idx="6">
                  <c:v>0.75044919561585821</c:v>
                </c:pt>
                <c:pt idx="7">
                  <c:v>1.3321666100054135</c:v>
                </c:pt>
                <c:pt idx="8">
                  <c:v>0.43065468948125263</c:v>
                </c:pt>
                <c:pt idx="9">
                  <c:v>0.26778315362539878</c:v>
                </c:pt>
                <c:pt idx="10">
                  <c:v>0.534082724788423</c:v>
                </c:pt>
                <c:pt idx="11">
                  <c:v>0.8594222498002877</c:v>
                </c:pt>
                <c:pt idx="12">
                  <c:v>1.5986729929518437</c:v>
                </c:pt>
                <c:pt idx="13">
                  <c:v>0.4659644446927742</c:v>
                </c:pt>
                <c:pt idx="14">
                  <c:v>1.1753417487652631</c:v>
                </c:pt>
                <c:pt idx="15">
                  <c:v>0.92515272881757193</c:v>
                </c:pt>
                <c:pt idx="16">
                  <c:v>0.84280825166194917</c:v>
                </c:pt>
                <c:pt idx="17">
                  <c:v>0.28730044444444441</c:v>
                </c:pt>
                <c:pt idx="18">
                  <c:v>0.55316739695994233</c:v>
                </c:pt>
                <c:pt idx="19">
                  <c:v>0.26593511111111107</c:v>
                </c:pt>
                <c:pt idx="20">
                  <c:v>3.8814197333333333</c:v>
                </c:pt>
                <c:pt idx="21">
                  <c:v>1.116538543306079</c:v>
                </c:pt>
                <c:pt idx="22">
                  <c:v>0.33346911157953285</c:v>
                </c:pt>
                <c:pt idx="23">
                  <c:v>1.1265704346435284</c:v>
                </c:pt>
                <c:pt idx="24">
                  <c:v>1.6701461344951525</c:v>
                </c:pt>
                <c:pt idx="25">
                  <c:v>0.31253760000000008</c:v>
                </c:pt>
                <c:pt idx="26">
                  <c:v>0.34598293333333335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datalabelsRange>
                <c15:f>'EXERCÍCIOS ANTERIORES'!$AC$4:$AC$30</c15:f>
                <c15:dlblRangeCache>
                  <c:ptCount val="27"/>
                  <c:pt idx="0">
                    <c:v> 6.094 </c:v>
                  </c:pt>
                  <c:pt idx="1">
                    <c:v> 6.047 </c:v>
                  </c:pt>
                  <c:pt idx="2">
                    <c:v> 13.836 </c:v>
                  </c:pt>
                  <c:pt idx="3">
                    <c:v> 13.588 </c:v>
                  </c:pt>
                  <c:pt idx="4">
                    <c:v> 53.346 </c:v>
                  </c:pt>
                  <c:pt idx="5">
                    <c:v> 56.358 </c:v>
                  </c:pt>
                  <c:pt idx="6">
                    <c:v> 49.406 </c:v>
                  </c:pt>
                  <c:pt idx="7">
                    <c:v> 26.724 </c:v>
                  </c:pt>
                  <c:pt idx="8">
                    <c:v> 48.031 </c:v>
                  </c:pt>
                  <c:pt idx="9">
                    <c:v> 13.639 </c:v>
                  </c:pt>
                  <c:pt idx="10">
                    <c:v> 31.294 </c:v>
                  </c:pt>
                  <c:pt idx="11">
                    <c:v> 55.803 </c:v>
                  </c:pt>
                  <c:pt idx="12">
                    <c:v> 175.841 </c:v>
                  </c:pt>
                  <c:pt idx="13">
                    <c:v> 17.847 </c:v>
                  </c:pt>
                  <c:pt idx="14">
                    <c:v> 33.818 </c:v>
                  </c:pt>
                  <c:pt idx="15">
                    <c:v> 171.166 </c:v>
                  </c:pt>
                  <c:pt idx="16">
                    <c:v> 40.606 </c:v>
                  </c:pt>
                  <c:pt idx="17">
                    <c:v> 12.929 </c:v>
                  </c:pt>
                  <c:pt idx="18">
                    <c:v> 125.599 </c:v>
                  </c:pt>
                  <c:pt idx="19">
                    <c:v> 11.967 </c:v>
                  </c:pt>
                  <c:pt idx="20">
                    <c:v> 174.664 </c:v>
                  </c:pt>
                  <c:pt idx="21">
                    <c:v> 21.375 </c:v>
                  </c:pt>
                  <c:pt idx="22">
                    <c:v> 1.966 </c:v>
                  </c:pt>
                  <c:pt idx="23">
                    <c:v> 220.887 </c:v>
                  </c:pt>
                  <c:pt idx="24">
                    <c:v> 847.348 </c:v>
                  </c:pt>
                  <c:pt idx="25">
                    <c:v> 14.064 </c:v>
                  </c:pt>
                  <c:pt idx="26">
                    <c:v> 15.569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B565-429C-831D-748999442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1374912"/>
        <c:axId val="3213754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'EXERCÍCIOS ANTERIORES'!$B$2:$B$3</c15:sqref>
                        </c15:formulaRef>
                      </c:ext>
                    </c:extLst>
                    <c:strCache>
                      <c:ptCount val="2"/>
                      <c:pt idx="0">
                        <c:v>PREVISTO para 2022(A)</c:v>
                      </c:pt>
                      <c:pt idx="1">
                        <c:v>PF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'EXERCÍCIOS ANTERIORES'!$A$4:$A$30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'EXERCÍCIOS ANTERIORES'!$B$4:$B$30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65999.62</c:v>
                      </c:pt>
                      <c:pt idx="1">
                        <c:v>123638.42</c:v>
                      </c:pt>
                      <c:pt idx="2">
                        <c:v>70623.45</c:v>
                      </c:pt>
                      <c:pt idx="3">
                        <c:v>146693.6</c:v>
                      </c:pt>
                      <c:pt idx="4">
                        <c:v>369690.77</c:v>
                      </c:pt>
                      <c:pt idx="5">
                        <c:v>211350.33000000002</c:v>
                      </c:pt>
                      <c:pt idx="6">
                        <c:v>394786.83999999997</c:v>
                      </c:pt>
                      <c:pt idx="7">
                        <c:v>230979.35</c:v>
                      </c:pt>
                      <c:pt idx="8">
                        <c:v>317093.52</c:v>
                      </c:pt>
                      <c:pt idx="9">
                        <c:v>165818.14000000001</c:v>
                      </c:pt>
                      <c:pt idx="10">
                        <c:v>167836.07</c:v>
                      </c:pt>
                      <c:pt idx="11">
                        <c:v>293680.92</c:v>
                      </c:pt>
                      <c:pt idx="12">
                        <c:v>723080.07</c:v>
                      </c:pt>
                      <c:pt idx="13">
                        <c:v>309741.52</c:v>
                      </c:pt>
                      <c:pt idx="14">
                        <c:v>273180.46000000002</c:v>
                      </c:pt>
                      <c:pt idx="15">
                        <c:v>867607.55</c:v>
                      </c:pt>
                      <c:pt idx="16">
                        <c:v>464660.17</c:v>
                      </c:pt>
                      <c:pt idx="17">
                        <c:v>200000</c:v>
                      </c:pt>
                      <c:pt idx="18">
                        <c:v>1162226.3400000001</c:v>
                      </c:pt>
                      <c:pt idx="19">
                        <c:v>193603.36</c:v>
                      </c:pt>
                      <c:pt idx="20">
                        <c:v>1698548.27</c:v>
                      </c:pt>
                      <c:pt idx="21">
                        <c:v>76550.48</c:v>
                      </c:pt>
                      <c:pt idx="22">
                        <c:v>16201.14</c:v>
                      </c:pt>
                      <c:pt idx="23">
                        <c:v>700847.52</c:v>
                      </c:pt>
                      <c:pt idx="24">
                        <c:v>4054515.912</c:v>
                      </c:pt>
                      <c:pt idx="25">
                        <c:v>73005.62</c:v>
                      </c:pt>
                      <c:pt idx="26">
                        <c:v>50794.41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B565-429C-831D-748999442BC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ANTERIORES'!$C$2:$C$3</c15:sqref>
                        </c15:formulaRef>
                      </c:ext>
                    </c:extLst>
                    <c:strCache>
                      <c:ptCount val="2"/>
                      <c:pt idx="0">
                        <c:v>PREVISTO para 2022(A)</c:v>
                      </c:pt>
                      <c:pt idx="1">
                        <c:v>PJ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ANTERIORES'!$A$4:$A$30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ANTERIORES'!$C$4:$C$30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10405.58</c:v>
                      </c:pt>
                      <c:pt idx="1">
                        <c:v>22976.79</c:v>
                      </c:pt>
                      <c:pt idx="2">
                        <c:v>29503.100000000002</c:v>
                      </c:pt>
                      <c:pt idx="3">
                        <c:v>25790.080000000002</c:v>
                      </c:pt>
                      <c:pt idx="4">
                        <c:v>99609.25</c:v>
                      </c:pt>
                      <c:pt idx="5">
                        <c:v>56778.33</c:v>
                      </c:pt>
                      <c:pt idx="6">
                        <c:v>65835.459999999992</c:v>
                      </c:pt>
                      <c:pt idx="7">
                        <c:v>20060.740000000002</c:v>
                      </c:pt>
                      <c:pt idx="8">
                        <c:v>111529.82</c:v>
                      </c:pt>
                      <c:pt idx="9">
                        <c:v>50933.57</c:v>
                      </c:pt>
                      <c:pt idx="10">
                        <c:v>58593.32</c:v>
                      </c:pt>
                      <c:pt idx="11">
                        <c:v>64930.83</c:v>
                      </c:pt>
                      <c:pt idx="12">
                        <c:v>109991.88</c:v>
                      </c:pt>
                      <c:pt idx="13">
                        <c:v>38300.33</c:v>
                      </c:pt>
                      <c:pt idx="14">
                        <c:v>28773.33</c:v>
                      </c:pt>
                      <c:pt idx="15">
                        <c:v>185014.2</c:v>
                      </c:pt>
                      <c:pt idx="16">
                        <c:v>48179.87</c:v>
                      </c:pt>
                      <c:pt idx="17">
                        <c:v>45000</c:v>
                      </c:pt>
                      <c:pt idx="18">
                        <c:v>227054.9</c:v>
                      </c:pt>
                      <c:pt idx="19">
                        <c:v>45000</c:v>
                      </c:pt>
                      <c:pt idx="20">
                        <c:v>45000</c:v>
                      </c:pt>
                      <c:pt idx="21">
                        <c:v>19144.309999999998</c:v>
                      </c:pt>
                      <c:pt idx="22">
                        <c:v>5896.87</c:v>
                      </c:pt>
                      <c:pt idx="23">
                        <c:v>196070.56</c:v>
                      </c:pt>
                      <c:pt idx="24">
                        <c:v>507349.61600000004</c:v>
                      </c:pt>
                      <c:pt idx="25">
                        <c:v>45000</c:v>
                      </c:pt>
                      <c:pt idx="26">
                        <c:v>45000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B565-429C-831D-748999442BCC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ANTERIORES'!$AB$2:$AB$3</c15:sqref>
                        </c15:formulaRef>
                      </c:ext>
                    </c:extLst>
                    <c:strCache>
                      <c:ptCount val="2"/>
                      <c:pt idx="0">
                        <c:v>Executado - Jan. a Dez.(B)</c:v>
                      </c:pt>
                      <c:pt idx="1">
                        <c:v>PF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dLbl>
                    <c:idx val="0"/>
                    <c:tx>
                      <c:rich>
                        <a:bodyPr/>
                        <a:lstStyle/>
                        <a:p>
                          <a:fld id="{9D9A38FF-6CCD-490C-B14F-593D7150E625}" type="CELLRANGE">
                            <a:rPr lang="en-US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4-B565-429C-831D-748999442BCC}"/>
                      </c:ext>
                    </c:extLst>
                  </c:dLbl>
                  <c:dLbl>
                    <c:idx val="1"/>
                    <c:tx>
                      <c:rich>
                        <a:bodyPr/>
                        <a:lstStyle/>
                        <a:p>
                          <a:fld id="{D123D588-D01A-4772-BA5A-DB67258664F4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1A-696A-4A92-9CDA-6D29DBA70BAC}"/>
                      </c:ext>
                    </c:extLst>
                  </c:dLbl>
                  <c:dLbl>
                    <c:idx val="2"/>
                    <c:tx>
                      <c:rich>
                        <a:bodyPr/>
                        <a:lstStyle/>
                        <a:p>
                          <a:fld id="{65A1EB91-AC61-4AEC-AB7D-6B37E3AF96A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1B-696A-4A92-9CDA-6D29DBA70BAC}"/>
                      </c:ext>
                    </c:extLst>
                  </c:dLbl>
                  <c:dLbl>
                    <c:idx val="3"/>
                    <c:tx>
                      <c:rich>
                        <a:bodyPr/>
                        <a:lstStyle/>
                        <a:p>
                          <a:fld id="{3441681E-1C2A-4EC9-9762-D7E63E76B9B4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1C-696A-4A92-9CDA-6D29DBA70BAC}"/>
                      </c:ext>
                    </c:extLst>
                  </c:dLbl>
                  <c:dLbl>
                    <c:idx val="4"/>
                    <c:tx>
                      <c:rich>
                        <a:bodyPr/>
                        <a:lstStyle/>
                        <a:p>
                          <a:fld id="{F94908FD-CBB5-4653-85CF-265781C4F8E6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1D-696A-4A92-9CDA-6D29DBA70BAC}"/>
                      </c:ext>
                    </c:extLst>
                  </c:dLbl>
                  <c:dLbl>
                    <c:idx val="5"/>
                    <c:tx>
                      <c:rich>
                        <a:bodyPr/>
                        <a:lstStyle/>
                        <a:p>
                          <a:fld id="{AE38F095-C75E-42E8-BC27-4645167E20B6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1E-696A-4A92-9CDA-6D29DBA70BAC}"/>
                      </c:ext>
                    </c:extLst>
                  </c:dLbl>
                  <c:dLbl>
                    <c:idx val="6"/>
                    <c:tx>
                      <c:rich>
                        <a:bodyPr/>
                        <a:lstStyle/>
                        <a:p>
                          <a:fld id="{554DA619-7A16-47DA-8635-23012B5DEC63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1F-696A-4A92-9CDA-6D29DBA70BAC}"/>
                      </c:ext>
                    </c:extLst>
                  </c:dLbl>
                  <c:dLbl>
                    <c:idx val="7"/>
                    <c:tx>
                      <c:rich>
                        <a:bodyPr/>
                        <a:lstStyle/>
                        <a:p>
                          <a:fld id="{53E42E93-5350-42A5-9D00-45C8E6CE4B59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0-696A-4A92-9CDA-6D29DBA70BAC}"/>
                      </c:ext>
                    </c:extLst>
                  </c:dLbl>
                  <c:dLbl>
                    <c:idx val="8"/>
                    <c:tx>
                      <c:rich>
                        <a:bodyPr/>
                        <a:lstStyle/>
                        <a:p>
                          <a:fld id="{0FFFCE6C-0AF5-4C48-BC3C-6384E1ABE3E2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1-696A-4A92-9CDA-6D29DBA70BAC}"/>
                      </c:ext>
                    </c:extLst>
                  </c:dLbl>
                  <c:dLbl>
                    <c:idx val="9"/>
                    <c:tx>
                      <c:rich>
                        <a:bodyPr/>
                        <a:lstStyle/>
                        <a:p>
                          <a:fld id="{8533167D-0A39-432C-B442-08D1CBF6109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2-696A-4A92-9CDA-6D29DBA70BAC}"/>
                      </c:ext>
                    </c:extLst>
                  </c:dLbl>
                  <c:dLbl>
                    <c:idx val="10"/>
                    <c:tx>
                      <c:rich>
                        <a:bodyPr/>
                        <a:lstStyle/>
                        <a:p>
                          <a:fld id="{0BD22640-BF90-4B9E-B0A2-6D7B87D6D1C7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3-696A-4A92-9CDA-6D29DBA70BAC}"/>
                      </c:ext>
                    </c:extLst>
                  </c:dLbl>
                  <c:dLbl>
                    <c:idx val="11"/>
                    <c:tx>
                      <c:rich>
                        <a:bodyPr/>
                        <a:lstStyle/>
                        <a:p>
                          <a:fld id="{A433D9E6-C085-48CB-B98A-3A9916E11FB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4-696A-4A92-9CDA-6D29DBA70BAC}"/>
                      </c:ext>
                    </c:extLst>
                  </c:dLbl>
                  <c:dLbl>
                    <c:idx val="12"/>
                    <c:tx>
                      <c:rich>
                        <a:bodyPr/>
                        <a:lstStyle/>
                        <a:p>
                          <a:fld id="{ED91B5D4-D827-4621-808A-1E53EF4D69D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5-696A-4A92-9CDA-6D29DBA70BAC}"/>
                      </c:ext>
                    </c:extLst>
                  </c:dLbl>
                  <c:dLbl>
                    <c:idx val="13"/>
                    <c:tx>
                      <c:rich>
                        <a:bodyPr/>
                        <a:lstStyle/>
                        <a:p>
                          <a:fld id="{E162D359-64B2-4596-B7FC-2F0F4C860FAA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6-696A-4A92-9CDA-6D29DBA70BAC}"/>
                      </c:ext>
                    </c:extLst>
                  </c:dLbl>
                  <c:dLbl>
                    <c:idx val="14"/>
                    <c:tx>
                      <c:rich>
                        <a:bodyPr/>
                        <a:lstStyle/>
                        <a:p>
                          <a:fld id="{8D505C98-AC17-427E-AF32-2D6D152F8695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7-696A-4A92-9CDA-6D29DBA70BAC}"/>
                      </c:ext>
                    </c:extLst>
                  </c:dLbl>
                  <c:dLbl>
                    <c:idx val="15"/>
                    <c:tx>
                      <c:rich>
                        <a:bodyPr/>
                        <a:lstStyle/>
                        <a:p>
                          <a:fld id="{AE0771D7-5F5B-4A4A-8C68-9F4966255A51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8-696A-4A92-9CDA-6D29DBA70BAC}"/>
                      </c:ext>
                    </c:extLst>
                  </c:dLbl>
                  <c:dLbl>
                    <c:idx val="16"/>
                    <c:tx>
                      <c:rich>
                        <a:bodyPr/>
                        <a:lstStyle/>
                        <a:p>
                          <a:fld id="{088CF19E-8655-4E28-BFF7-FEC6FC6EF670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9-696A-4A92-9CDA-6D29DBA70BAC}"/>
                      </c:ext>
                    </c:extLst>
                  </c:dLbl>
                  <c:dLbl>
                    <c:idx val="17"/>
                    <c:tx>
                      <c:rich>
                        <a:bodyPr/>
                        <a:lstStyle/>
                        <a:p>
                          <a:fld id="{FAE9E452-AB86-4502-84EA-552378262C67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A-696A-4A92-9CDA-6D29DBA70BAC}"/>
                      </c:ext>
                    </c:extLst>
                  </c:dLbl>
                  <c:dLbl>
                    <c:idx val="18"/>
                    <c:tx>
                      <c:rich>
                        <a:bodyPr/>
                        <a:lstStyle/>
                        <a:p>
                          <a:fld id="{86BCF268-CC6E-4F15-8FEE-2C94974730E6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B-696A-4A92-9CDA-6D29DBA70BAC}"/>
                      </c:ext>
                    </c:extLst>
                  </c:dLbl>
                  <c:dLbl>
                    <c:idx val="19"/>
                    <c:tx>
                      <c:rich>
                        <a:bodyPr/>
                        <a:lstStyle/>
                        <a:p>
                          <a:fld id="{FC4462CA-4383-45B2-A8AF-CDEA75559B01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C-696A-4A92-9CDA-6D29DBA70BAC}"/>
                      </c:ext>
                    </c:extLst>
                  </c:dLbl>
                  <c:dLbl>
                    <c:idx val="20"/>
                    <c:tx>
                      <c:rich>
                        <a:bodyPr/>
                        <a:lstStyle/>
                        <a:p>
                          <a:fld id="{45D88033-9812-42CD-A718-BDF1A2808496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D-696A-4A92-9CDA-6D29DBA70BAC}"/>
                      </c:ext>
                    </c:extLst>
                  </c:dLbl>
                  <c:dLbl>
                    <c:idx val="21"/>
                    <c:tx>
                      <c:rich>
                        <a:bodyPr/>
                        <a:lstStyle/>
                        <a:p>
                          <a:fld id="{4D6C8051-97FF-4F74-AE24-2F94B74BC4D6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E-696A-4A92-9CDA-6D29DBA70BAC}"/>
                      </c:ext>
                    </c:extLst>
                  </c:dLbl>
                  <c:dLbl>
                    <c:idx val="22"/>
                    <c:tx>
                      <c:rich>
                        <a:bodyPr/>
                        <a:lstStyle/>
                        <a:p>
                          <a:fld id="{8605DBB8-AECA-4498-9AAD-296401B7401D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F-696A-4A92-9CDA-6D29DBA70BAC}"/>
                      </c:ext>
                    </c:extLst>
                  </c:dLbl>
                  <c:dLbl>
                    <c:idx val="23"/>
                    <c:tx>
                      <c:rich>
                        <a:bodyPr/>
                        <a:lstStyle/>
                        <a:p>
                          <a:fld id="{52D24315-09DD-4F64-B6C5-99DED3292F0F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0-696A-4A92-9CDA-6D29DBA70BAC}"/>
                      </c:ext>
                    </c:extLst>
                  </c:dLbl>
                  <c:dLbl>
                    <c:idx val="24"/>
                    <c:tx>
                      <c:rich>
                        <a:bodyPr/>
                        <a:lstStyle/>
                        <a:p>
                          <a:fld id="{2C1C5329-2C04-438B-BA97-BE6378287036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1-696A-4A92-9CDA-6D29DBA70BAC}"/>
                      </c:ext>
                    </c:extLst>
                  </c:dLbl>
                  <c:dLbl>
                    <c:idx val="25"/>
                    <c:tx>
                      <c:rich>
                        <a:bodyPr/>
                        <a:lstStyle/>
                        <a:p>
                          <a:fld id="{436C41C0-D06F-4650-AE5D-A609E2143CEC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2-696A-4A92-9CDA-6D29DBA70BAC}"/>
                      </c:ext>
                    </c:extLst>
                  </c:dLbl>
                  <c:dLbl>
                    <c:idx val="26"/>
                    <c:tx>
                      <c:rich>
                        <a:bodyPr/>
                        <a:lstStyle/>
                        <a:p>
                          <a:fld id="{3D2810A2-9BE7-4545-B5D0-F708A4A239C6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3-696A-4A92-9CDA-6D29DBA70BA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DataLabelsRange val="1"/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ANTERIORES'!$A$4:$A$30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ANTERIORES'!$AB$4:$AB$30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65148.808000000005</c:v>
                      </c:pt>
                      <c:pt idx="1">
                        <c:v>121918.88799999999</c:v>
                      </c:pt>
                      <c:pt idx="2">
                        <c:v>56174.168000000005</c:v>
                      </c:pt>
                      <c:pt idx="3">
                        <c:v>98081.751999999993</c:v>
                      </c:pt>
                      <c:pt idx="4">
                        <c:v>289451.016</c:v>
                      </c:pt>
                      <c:pt idx="5">
                        <c:v>298626.2</c:v>
                      </c:pt>
                      <c:pt idx="6">
                        <c:v>456786.24000000011</c:v>
                      </c:pt>
                      <c:pt idx="7">
                        <c:v>186104.20799999998</c:v>
                      </c:pt>
                      <c:pt idx="8">
                        <c:v>367743.88</c:v>
                      </c:pt>
                      <c:pt idx="9">
                        <c:v>97415.056000000026</c:v>
                      </c:pt>
                      <c:pt idx="10">
                        <c:v>154706.48000000001</c:v>
                      </c:pt>
                      <c:pt idx="11">
                        <c:v>222159.36000000004</c:v>
                      </c:pt>
                      <c:pt idx="12">
                        <c:v>956042.51199999999</c:v>
                      </c:pt>
                      <c:pt idx="13">
                        <c:v>163335.136</c:v>
                      </c:pt>
                      <c:pt idx="14">
                        <c:v>233932.296</c:v>
                      </c:pt>
                      <c:pt idx="15">
                        <c:v>642270.16800000006</c:v>
                      </c:pt>
                      <c:pt idx="16">
                        <c:v>328802.17599999992</c:v>
                      </c:pt>
                      <c:pt idx="17">
                        <c:v>50630.864000000001</c:v>
                      </c:pt>
                      <c:pt idx="18">
                        <c:v>696022.32800000021</c:v>
                      </c:pt>
                      <c:pt idx="19">
                        <c:v>133056.17600000001</c:v>
                      </c:pt>
                      <c:pt idx="20">
                        <c:v>911979.88800000004</c:v>
                      </c:pt>
                      <c:pt idx="21">
                        <c:v>95524.272000000026</c:v>
                      </c:pt>
                      <c:pt idx="22">
                        <c:v>10485.544</c:v>
                      </c:pt>
                      <c:pt idx="23">
                        <c:v>790322.08800000011</c:v>
                      </c:pt>
                      <c:pt idx="24">
                        <c:v>3383206.9999999995</c:v>
                      </c:pt>
                      <c:pt idx="25">
                        <c:v>104584.488</c:v>
                      </c:pt>
                      <c:pt idx="26">
                        <c:v>38199.704000000012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datalabelsRange>
                      <c15:f>'EXERCÍCIOS ANTERIORES'!$AD$4:$AD$30</c15:f>
                      <c15:dlblRangeCache>
                        <c:ptCount val="27"/>
                        <c:pt idx="0">
                          <c:v>98,7%</c:v>
                        </c:pt>
                        <c:pt idx="1">
                          <c:v>98,6%</c:v>
                        </c:pt>
                        <c:pt idx="2">
                          <c:v>79,5%</c:v>
                        </c:pt>
                        <c:pt idx="3">
                          <c:v>66,9%</c:v>
                        </c:pt>
                        <c:pt idx="4">
                          <c:v>78,3%</c:v>
                        </c:pt>
                        <c:pt idx="5">
                          <c:v>141,3%</c:v>
                        </c:pt>
                        <c:pt idx="6">
                          <c:v>115,7%</c:v>
                        </c:pt>
                        <c:pt idx="7">
                          <c:v>80,6%</c:v>
                        </c:pt>
                        <c:pt idx="8">
                          <c:v>116,0%</c:v>
                        </c:pt>
                        <c:pt idx="9">
                          <c:v>58,7%</c:v>
                        </c:pt>
                        <c:pt idx="10">
                          <c:v>92,2%</c:v>
                        </c:pt>
                        <c:pt idx="11">
                          <c:v>75,6%</c:v>
                        </c:pt>
                        <c:pt idx="12">
                          <c:v>132,2%</c:v>
                        </c:pt>
                        <c:pt idx="13">
                          <c:v>52,7%</c:v>
                        </c:pt>
                        <c:pt idx="14">
                          <c:v>85,6%</c:v>
                        </c:pt>
                        <c:pt idx="15">
                          <c:v>74,0%</c:v>
                        </c:pt>
                        <c:pt idx="16">
                          <c:v>70,8%</c:v>
                        </c:pt>
                        <c:pt idx="17">
                          <c:v>25,3%</c:v>
                        </c:pt>
                        <c:pt idx="18">
                          <c:v>59,9%</c:v>
                        </c:pt>
                        <c:pt idx="19">
                          <c:v>68,7%</c:v>
                        </c:pt>
                        <c:pt idx="20">
                          <c:v>53,7%</c:v>
                        </c:pt>
                        <c:pt idx="21">
                          <c:v>124,8%</c:v>
                        </c:pt>
                        <c:pt idx="22">
                          <c:v>64,7%</c:v>
                        </c:pt>
                        <c:pt idx="23">
                          <c:v>112,8%</c:v>
                        </c:pt>
                        <c:pt idx="24">
                          <c:v>83,4%</c:v>
                        </c:pt>
                        <c:pt idx="25">
                          <c:v>143,3%</c:v>
                        </c:pt>
                        <c:pt idx="26">
                          <c:v>75,2%</c:v>
                        </c:pt>
                      </c15:dlblRangeCache>
                    </c15:datalabelsRange>
                  </c:ext>
                  <c:ext xmlns:c16="http://schemas.microsoft.com/office/drawing/2014/chart" uri="{C3380CC4-5D6E-409C-BE32-E72D297353CC}">
                    <c16:uniqueId val="{0000003F-B565-429C-831D-748999442BCC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ANTERIORES'!$AC$2:$AC$3</c15:sqref>
                        </c15:formulaRef>
                      </c:ext>
                    </c:extLst>
                    <c:strCache>
                      <c:ptCount val="2"/>
                      <c:pt idx="0">
                        <c:v>Executado - Jan. a Dez.(B)</c:v>
                      </c:pt>
                      <c:pt idx="1">
                        <c:v>PJ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dLbl>
                    <c:idx val="0"/>
                    <c:tx>
                      <c:rich>
                        <a:bodyPr/>
                        <a:lstStyle/>
                        <a:p>
                          <a:fld id="{2CA53652-C03F-4815-84C9-31467F657B11}" type="CELLRANGE">
                            <a:rPr lang="en-US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0-B565-429C-831D-748999442BCC}"/>
                      </c:ext>
                    </c:extLst>
                  </c:dLbl>
                  <c:dLbl>
                    <c:idx val="1"/>
                    <c:tx>
                      <c:rich>
                        <a:bodyPr/>
                        <a:lstStyle/>
                        <a:p>
                          <a:fld id="{99227C70-2A04-4F3D-8424-967A226B504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4-696A-4A92-9CDA-6D29DBA70BAC}"/>
                      </c:ext>
                    </c:extLst>
                  </c:dLbl>
                  <c:dLbl>
                    <c:idx val="2"/>
                    <c:tx>
                      <c:rich>
                        <a:bodyPr/>
                        <a:lstStyle/>
                        <a:p>
                          <a:fld id="{6FB2E3A5-F442-4A1B-9390-588458A8A24B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5-696A-4A92-9CDA-6D29DBA70BAC}"/>
                      </c:ext>
                    </c:extLst>
                  </c:dLbl>
                  <c:dLbl>
                    <c:idx val="3"/>
                    <c:tx>
                      <c:rich>
                        <a:bodyPr/>
                        <a:lstStyle/>
                        <a:p>
                          <a:fld id="{D1D67FB6-1814-41D6-A69F-D9435D71E1F2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6-696A-4A92-9CDA-6D29DBA70BAC}"/>
                      </c:ext>
                    </c:extLst>
                  </c:dLbl>
                  <c:dLbl>
                    <c:idx val="4"/>
                    <c:tx>
                      <c:rich>
                        <a:bodyPr/>
                        <a:lstStyle/>
                        <a:p>
                          <a:fld id="{8198EDFC-E82A-4FFB-AE2B-5CB96DD1E6DB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7-696A-4A92-9CDA-6D29DBA70BAC}"/>
                      </c:ext>
                    </c:extLst>
                  </c:dLbl>
                  <c:dLbl>
                    <c:idx val="5"/>
                    <c:tx>
                      <c:rich>
                        <a:bodyPr/>
                        <a:lstStyle/>
                        <a:p>
                          <a:fld id="{93EA1F95-64B7-43F3-9E48-24B9A9DD3400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8-696A-4A92-9CDA-6D29DBA70BAC}"/>
                      </c:ext>
                    </c:extLst>
                  </c:dLbl>
                  <c:dLbl>
                    <c:idx val="6"/>
                    <c:tx>
                      <c:rich>
                        <a:bodyPr/>
                        <a:lstStyle/>
                        <a:p>
                          <a:fld id="{F73D574A-C643-412E-8B2F-C229916680B5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9-696A-4A92-9CDA-6D29DBA70BAC}"/>
                      </c:ext>
                    </c:extLst>
                  </c:dLbl>
                  <c:dLbl>
                    <c:idx val="7"/>
                    <c:tx>
                      <c:rich>
                        <a:bodyPr/>
                        <a:lstStyle/>
                        <a:p>
                          <a:fld id="{D25841F0-E2AC-4B67-A6CB-A3C1CFE2F62A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A-696A-4A92-9CDA-6D29DBA70BAC}"/>
                      </c:ext>
                    </c:extLst>
                  </c:dLbl>
                  <c:dLbl>
                    <c:idx val="8"/>
                    <c:tx>
                      <c:rich>
                        <a:bodyPr/>
                        <a:lstStyle/>
                        <a:p>
                          <a:fld id="{D5BFBA9B-78B4-4D65-97F3-FF6F5DA40264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B-696A-4A92-9CDA-6D29DBA70BAC}"/>
                      </c:ext>
                    </c:extLst>
                  </c:dLbl>
                  <c:dLbl>
                    <c:idx val="9"/>
                    <c:tx>
                      <c:rich>
                        <a:bodyPr/>
                        <a:lstStyle/>
                        <a:p>
                          <a:fld id="{6BC8CE5A-F5D5-409F-99ED-CE7D823BCF04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C-696A-4A92-9CDA-6D29DBA70BAC}"/>
                      </c:ext>
                    </c:extLst>
                  </c:dLbl>
                  <c:dLbl>
                    <c:idx val="10"/>
                    <c:tx>
                      <c:rich>
                        <a:bodyPr/>
                        <a:lstStyle/>
                        <a:p>
                          <a:fld id="{5BA86A11-E4AB-4DA2-8082-CBFD35B70C72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D-696A-4A92-9CDA-6D29DBA70BAC}"/>
                      </c:ext>
                    </c:extLst>
                  </c:dLbl>
                  <c:dLbl>
                    <c:idx val="11"/>
                    <c:tx>
                      <c:rich>
                        <a:bodyPr/>
                        <a:lstStyle/>
                        <a:p>
                          <a:fld id="{A6B91F57-C42D-4A1B-97BC-E479620A8507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E-696A-4A92-9CDA-6D29DBA70BAC}"/>
                      </c:ext>
                    </c:extLst>
                  </c:dLbl>
                  <c:dLbl>
                    <c:idx val="12"/>
                    <c:tx>
                      <c:rich>
                        <a:bodyPr/>
                        <a:lstStyle/>
                        <a:p>
                          <a:fld id="{F9AD7722-A988-48EB-B220-2B58B16B3E07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3F-696A-4A92-9CDA-6D29DBA70BAC}"/>
                      </c:ext>
                    </c:extLst>
                  </c:dLbl>
                  <c:dLbl>
                    <c:idx val="13"/>
                    <c:tx>
                      <c:rich>
                        <a:bodyPr/>
                        <a:lstStyle/>
                        <a:p>
                          <a:fld id="{20A5A4EA-A932-424C-A9CF-77B5F55AC55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0-696A-4A92-9CDA-6D29DBA70BAC}"/>
                      </c:ext>
                    </c:extLst>
                  </c:dLbl>
                  <c:dLbl>
                    <c:idx val="14"/>
                    <c:tx>
                      <c:rich>
                        <a:bodyPr/>
                        <a:lstStyle/>
                        <a:p>
                          <a:fld id="{1B70876E-4EB0-446D-9D85-7144B9BFA51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1-696A-4A92-9CDA-6D29DBA70BAC}"/>
                      </c:ext>
                    </c:extLst>
                  </c:dLbl>
                  <c:dLbl>
                    <c:idx val="15"/>
                    <c:tx>
                      <c:rich>
                        <a:bodyPr/>
                        <a:lstStyle/>
                        <a:p>
                          <a:fld id="{0EF35F12-5C87-4F47-AE71-350BE16F53CA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2-696A-4A92-9CDA-6D29DBA70BAC}"/>
                      </c:ext>
                    </c:extLst>
                  </c:dLbl>
                  <c:dLbl>
                    <c:idx val="16"/>
                    <c:tx>
                      <c:rich>
                        <a:bodyPr/>
                        <a:lstStyle/>
                        <a:p>
                          <a:fld id="{091BB0F6-12AE-417E-86E6-E8ED1AC1F2AB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3-696A-4A92-9CDA-6D29DBA70BAC}"/>
                      </c:ext>
                    </c:extLst>
                  </c:dLbl>
                  <c:dLbl>
                    <c:idx val="17"/>
                    <c:tx>
                      <c:rich>
                        <a:bodyPr/>
                        <a:lstStyle/>
                        <a:p>
                          <a:fld id="{7B297281-C6F2-4E6F-84A9-E95410596B44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4-696A-4A92-9CDA-6D29DBA70BAC}"/>
                      </c:ext>
                    </c:extLst>
                  </c:dLbl>
                  <c:dLbl>
                    <c:idx val="18"/>
                    <c:tx>
                      <c:rich>
                        <a:bodyPr/>
                        <a:lstStyle/>
                        <a:p>
                          <a:fld id="{FDA1E3A1-7838-40E7-AC23-27D887408FE6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5-696A-4A92-9CDA-6D29DBA70BAC}"/>
                      </c:ext>
                    </c:extLst>
                  </c:dLbl>
                  <c:dLbl>
                    <c:idx val="19"/>
                    <c:tx>
                      <c:rich>
                        <a:bodyPr/>
                        <a:lstStyle/>
                        <a:p>
                          <a:fld id="{F4E0A130-7763-4C55-9CA2-933B612C7446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6-696A-4A92-9CDA-6D29DBA70BAC}"/>
                      </c:ext>
                    </c:extLst>
                  </c:dLbl>
                  <c:dLbl>
                    <c:idx val="20"/>
                    <c:tx>
                      <c:rich>
                        <a:bodyPr/>
                        <a:lstStyle/>
                        <a:p>
                          <a:fld id="{7987B894-3C49-458D-BB94-0B3C135F0A14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7-696A-4A92-9CDA-6D29DBA70BAC}"/>
                      </c:ext>
                    </c:extLst>
                  </c:dLbl>
                  <c:dLbl>
                    <c:idx val="21"/>
                    <c:tx>
                      <c:rich>
                        <a:bodyPr/>
                        <a:lstStyle/>
                        <a:p>
                          <a:fld id="{53EDCCE7-27D9-4DFB-AF01-6D3611AAE8FF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8-696A-4A92-9CDA-6D29DBA70BAC}"/>
                      </c:ext>
                    </c:extLst>
                  </c:dLbl>
                  <c:dLbl>
                    <c:idx val="22"/>
                    <c:tx>
                      <c:rich>
                        <a:bodyPr/>
                        <a:lstStyle/>
                        <a:p>
                          <a:fld id="{DC2B9555-FB69-4DD3-B69D-1F8391BECF85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9-696A-4A92-9CDA-6D29DBA70BAC}"/>
                      </c:ext>
                    </c:extLst>
                  </c:dLbl>
                  <c:dLbl>
                    <c:idx val="23"/>
                    <c:tx>
                      <c:rich>
                        <a:bodyPr/>
                        <a:lstStyle/>
                        <a:p>
                          <a:fld id="{916F141A-9FA5-4DB8-A744-2DCED7A7A2F2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A-696A-4A92-9CDA-6D29DBA70BAC}"/>
                      </c:ext>
                    </c:extLst>
                  </c:dLbl>
                  <c:dLbl>
                    <c:idx val="24"/>
                    <c:tx>
                      <c:rich>
                        <a:bodyPr/>
                        <a:lstStyle/>
                        <a:p>
                          <a:fld id="{511857D6-CF1A-473E-9830-6714061018B3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B-696A-4A92-9CDA-6D29DBA70BAC}"/>
                      </c:ext>
                    </c:extLst>
                  </c:dLbl>
                  <c:dLbl>
                    <c:idx val="25"/>
                    <c:tx>
                      <c:rich>
                        <a:bodyPr/>
                        <a:lstStyle/>
                        <a:p>
                          <a:fld id="{CF6BCBAF-4E71-4FD5-A1C3-9A7FACE995C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C-696A-4A92-9CDA-6D29DBA70BAC}"/>
                      </c:ext>
                    </c:extLst>
                  </c:dLbl>
                  <c:dLbl>
                    <c:idx val="26"/>
                    <c:tx>
                      <c:rich>
                        <a:bodyPr/>
                        <a:lstStyle/>
                        <a:p>
                          <a:fld id="{BB98DB58-8227-4053-8876-E6C2E01B8D21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D-696A-4A92-9CDA-6D29DBA70BA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DataLabelsRange val="1"/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ANTERIORES'!$A$4:$A$30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ANTERIORES'!$AC$4:$AC$30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27"/>
                      <c:pt idx="0">
                        <c:v>6094.0479999999998</c:v>
                      </c:pt>
                      <c:pt idx="1">
                        <c:v>6046.6240000000007</c:v>
                      </c:pt>
                      <c:pt idx="2">
                        <c:v>13836.183999999999</c:v>
                      </c:pt>
                      <c:pt idx="3">
                        <c:v>13587.808000000003</c:v>
                      </c:pt>
                      <c:pt idx="4">
                        <c:v>53345.688000000002</c:v>
                      </c:pt>
                      <c:pt idx="5">
                        <c:v>56357.911999999997</c:v>
                      </c:pt>
                      <c:pt idx="6">
                        <c:v>49406.168000000005</c:v>
                      </c:pt>
                      <c:pt idx="7">
                        <c:v>26724.248</c:v>
                      </c:pt>
                      <c:pt idx="8">
                        <c:v>48030.840000000004</c:v>
                      </c:pt>
                      <c:pt idx="9">
                        <c:v>13639.152000000002</c:v>
                      </c:pt>
                      <c:pt idx="10">
                        <c:v>31293.68</c:v>
                      </c:pt>
                      <c:pt idx="11">
                        <c:v>55803.000000000015</c:v>
                      </c:pt>
                      <c:pt idx="12">
                        <c:v>175841.04800000004</c:v>
                      </c:pt>
                      <c:pt idx="13">
                        <c:v>17846.592000000001</c:v>
                      </c:pt>
                      <c:pt idx="14">
                        <c:v>33818.496000000006</c:v>
                      </c:pt>
                      <c:pt idx="15">
                        <c:v>171166.39200000002</c:v>
                      </c:pt>
                      <c:pt idx="16">
                        <c:v>40606.392</c:v>
                      </c:pt>
                      <c:pt idx="17">
                        <c:v>12928.519999999999</c:v>
                      </c:pt>
                      <c:pt idx="18">
                        <c:v>125599.36800000002</c:v>
                      </c:pt>
                      <c:pt idx="19">
                        <c:v>11967.079999999998</c:v>
                      </c:pt>
                      <c:pt idx="20">
                        <c:v>174663.88800000001</c:v>
                      </c:pt>
                      <c:pt idx="21">
                        <c:v>21375.360000000001</c:v>
                      </c:pt>
                      <c:pt idx="22">
                        <c:v>1966.424</c:v>
                      </c:pt>
                      <c:pt idx="23">
                        <c:v>220887.296</c:v>
                      </c:pt>
                      <c:pt idx="24">
                        <c:v>847348</c:v>
                      </c:pt>
                      <c:pt idx="25">
                        <c:v>14064.192000000003</c:v>
                      </c:pt>
                      <c:pt idx="26">
                        <c:v>15569.232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datalabelsRange>
                      <c15:f>'EXERCÍCIOS ANTERIORES'!$AE$4:$AE$30</c15:f>
                      <c15:dlblRangeCache>
                        <c:ptCount val="27"/>
                        <c:pt idx="0">
                          <c:v>58,6%</c:v>
                        </c:pt>
                        <c:pt idx="1">
                          <c:v>26,3%</c:v>
                        </c:pt>
                        <c:pt idx="2">
                          <c:v>46,9%</c:v>
                        </c:pt>
                        <c:pt idx="3">
                          <c:v>52,7%</c:v>
                        </c:pt>
                        <c:pt idx="4">
                          <c:v>53,6%</c:v>
                        </c:pt>
                        <c:pt idx="5">
                          <c:v>99,3%</c:v>
                        </c:pt>
                        <c:pt idx="6">
                          <c:v>75,0%</c:v>
                        </c:pt>
                        <c:pt idx="7">
                          <c:v>133,2%</c:v>
                        </c:pt>
                        <c:pt idx="8">
                          <c:v>43,1%</c:v>
                        </c:pt>
                        <c:pt idx="9">
                          <c:v>26,8%</c:v>
                        </c:pt>
                        <c:pt idx="10">
                          <c:v>53,4%</c:v>
                        </c:pt>
                        <c:pt idx="11">
                          <c:v>85,9%</c:v>
                        </c:pt>
                        <c:pt idx="12">
                          <c:v>159,9%</c:v>
                        </c:pt>
                        <c:pt idx="13">
                          <c:v>46,6%</c:v>
                        </c:pt>
                        <c:pt idx="14">
                          <c:v>117,5%</c:v>
                        </c:pt>
                        <c:pt idx="15">
                          <c:v>92,5%</c:v>
                        </c:pt>
                        <c:pt idx="16">
                          <c:v>84,3%</c:v>
                        </c:pt>
                        <c:pt idx="17">
                          <c:v>28,7%</c:v>
                        </c:pt>
                        <c:pt idx="18">
                          <c:v>55,3%</c:v>
                        </c:pt>
                        <c:pt idx="19">
                          <c:v>26,6%</c:v>
                        </c:pt>
                        <c:pt idx="20">
                          <c:v>388,1%</c:v>
                        </c:pt>
                        <c:pt idx="21">
                          <c:v>111,7%</c:v>
                        </c:pt>
                        <c:pt idx="22">
                          <c:v>33,3%</c:v>
                        </c:pt>
                        <c:pt idx="23">
                          <c:v>112,7%</c:v>
                        </c:pt>
                        <c:pt idx="24">
                          <c:v>167,0%</c:v>
                        </c:pt>
                        <c:pt idx="25">
                          <c:v>31,3%</c:v>
                        </c:pt>
                        <c:pt idx="26">
                          <c:v>34,6%</c:v>
                        </c:pt>
                      </c15:dlblRangeCache>
                    </c15:datalabelsRange>
                  </c:ext>
                  <c:ext xmlns:c16="http://schemas.microsoft.com/office/drawing/2014/chart" uri="{C3380CC4-5D6E-409C-BE32-E72D297353CC}">
                    <c16:uniqueId val="{0000005B-B565-429C-831D-748999442BCC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ANTERIORES'!$AD$2:$AD$3</c15:sqref>
                        </c15:formulaRef>
                      </c:ext>
                    </c:extLst>
                    <c:strCache>
                      <c:ptCount val="2"/>
                      <c:pt idx="0">
                        <c:v>EXECUÇÃO % (C = B/A)</c:v>
                      </c:pt>
                      <c:pt idx="1">
                        <c:v>PF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dLbl>
                    <c:idx val="0"/>
                    <c:tx>
                      <c:rich>
                        <a:bodyPr/>
                        <a:lstStyle/>
                        <a:p>
                          <a:fld id="{336FBDD9-501A-416E-AAC2-09CA395FD5FA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E-696A-4A92-9CDA-6D29DBA70BAC}"/>
                      </c:ext>
                    </c:extLst>
                  </c:dLbl>
                  <c:dLbl>
                    <c:idx val="1"/>
                    <c:tx>
                      <c:rich>
                        <a:bodyPr/>
                        <a:lstStyle/>
                        <a:p>
                          <a:fld id="{724860BC-756A-480F-BF1A-A8DB5799C2D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4F-696A-4A92-9CDA-6D29DBA70BAC}"/>
                      </c:ext>
                    </c:extLst>
                  </c:dLbl>
                  <c:dLbl>
                    <c:idx val="2"/>
                    <c:tx>
                      <c:rich>
                        <a:bodyPr/>
                        <a:lstStyle/>
                        <a:p>
                          <a:fld id="{12A1F121-FCA5-478A-B2F8-7B2AE447A3BB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0-696A-4A92-9CDA-6D29DBA70BAC}"/>
                      </c:ext>
                    </c:extLst>
                  </c:dLbl>
                  <c:dLbl>
                    <c:idx val="3"/>
                    <c:tx>
                      <c:rich>
                        <a:bodyPr/>
                        <a:lstStyle/>
                        <a:p>
                          <a:fld id="{DB4287F9-BF9E-4A97-B3A4-75C29EAC9D4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1-696A-4A92-9CDA-6D29DBA70BAC}"/>
                      </c:ext>
                    </c:extLst>
                  </c:dLbl>
                  <c:dLbl>
                    <c:idx val="4"/>
                    <c:tx>
                      <c:rich>
                        <a:bodyPr/>
                        <a:lstStyle/>
                        <a:p>
                          <a:fld id="{C8C3ED06-7195-48F4-AFDA-92E0805F5A5A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2-696A-4A92-9CDA-6D29DBA70BAC}"/>
                      </c:ext>
                    </c:extLst>
                  </c:dLbl>
                  <c:dLbl>
                    <c:idx val="5"/>
                    <c:tx>
                      <c:rich>
                        <a:bodyPr/>
                        <a:lstStyle/>
                        <a:p>
                          <a:fld id="{DDEBE378-790D-4812-8607-3F1E2B8DDE5D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3-696A-4A92-9CDA-6D29DBA70BAC}"/>
                      </c:ext>
                    </c:extLst>
                  </c:dLbl>
                  <c:dLbl>
                    <c:idx val="6"/>
                    <c:tx>
                      <c:rich>
                        <a:bodyPr/>
                        <a:lstStyle/>
                        <a:p>
                          <a:fld id="{50E4F56F-D4F1-4724-BAC5-0F077E8DB711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4-696A-4A92-9CDA-6D29DBA70BAC}"/>
                      </c:ext>
                    </c:extLst>
                  </c:dLbl>
                  <c:dLbl>
                    <c:idx val="7"/>
                    <c:tx>
                      <c:rich>
                        <a:bodyPr/>
                        <a:lstStyle/>
                        <a:p>
                          <a:fld id="{30E0E261-35DC-42D1-8581-3707F96E0E76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5-696A-4A92-9CDA-6D29DBA70BAC}"/>
                      </c:ext>
                    </c:extLst>
                  </c:dLbl>
                  <c:dLbl>
                    <c:idx val="8"/>
                    <c:tx>
                      <c:rich>
                        <a:bodyPr/>
                        <a:lstStyle/>
                        <a:p>
                          <a:fld id="{A785F6AC-1B56-410D-80C5-F35876A734BB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6-696A-4A92-9CDA-6D29DBA70BAC}"/>
                      </c:ext>
                    </c:extLst>
                  </c:dLbl>
                  <c:dLbl>
                    <c:idx val="9"/>
                    <c:tx>
                      <c:rich>
                        <a:bodyPr/>
                        <a:lstStyle/>
                        <a:p>
                          <a:fld id="{EB721737-194A-4A7C-AEFA-EB8BCD21FFE8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7-696A-4A92-9CDA-6D29DBA70BAC}"/>
                      </c:ext>
                    </c:extLst>
                  </c:dLbl>
                  <c:dLbl>
                    <c:idx val="10"/>
                    <c:tx>
                      <c:rich>
                        <a:bodyPr/>
                        <a:lstStyle/>
                        <a:p>
                          <a:fld id="{816EA6F6-BD20-4ACD-97E5-E8294A835DF1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8-696A-4A92-9CDA-6D29DBA70BAC}"/>
                      </c:ext>
                    </c:extLst>
                  </c:dLbl>
                  <c:dLbl>
                    <c:idx val="11"/>
                    <c:tx>
                      <c:rich>
                        <a:bodyPr/>
                        <a:lstStyle/>
                        <a:p>
                          <a:fld id="{AEC6EB82-7E08-411B-9DB6-3E89BF906B46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9-696A-4A92-9CDA-6D29DBA70BAC}"/>
                      </c:ext>
                    </c:extLst>
                  </c:dLbl>
                  <c:dLbl>
                    <c:idx val="12"/>
                    <c:tx>
                      <c:rich>
                        <a:bodyPr/>
                        <a:lstStyle/>
                        <a:p>
                          <a:fld id="{47E13B0A-B1C8-4184-B68D-0D042B126CAE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A-696A-4A92-9CDA-6D29DBA70BAC}"/>
                      </c:ext>
                    </c:extLst>
                  </c:dLbl>
                  <c:dLbl>
                    <c:idx val="13"/>
                    <c:tx>
                      <c:rich>
                        <a:bodyPr/>
                        <a:lstStyle/>
                        <a:p>
                          <a:fld id="{69077C09-C115-427C-934C-85E3E0CC7BB0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B-696A-4A92-9CDA-6D29DBA70BAC}"/>
                      </c:ext>
                    </c:extLst>
                  </c:dLbl>
                  <c:dLbl>
                    <c:idx val="14"/>
                    <c:tx>
                      <c:rich>
                        <a:bodyPr/>
                        <a:lstStyle/>
                        <a:p>
                          <a:fld id="{A6A49C65-C5D0-4FEA-B18B-700E1591A1C0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C-696A-4A92-9CDA-6D29DBA70BAC}"/>
                      </c:ext>
                    </c:extLst>
                  </c:dLbl>
                  <c:dLbl>
                    <c:idx val="15"/>
                    <c:tx>
                      <c:rich>
                        <a:bodyPr/>
                        <a:lstStyle/>
                        <a:p>
                          <a:fld id="{D8145B3C-B2CC-4C0F-91DE-54CD1F287CC5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D-696A-4A92-9CDA-6D29DBA70BAC}"/>
                      </c:ext>
                    </c:extLst>
                  </c:dLbl>
                  <c:dLbl>
                    <c:idx val="16"/>
                    <c:tx>
                      <c:rich>
                        <a:bodyPr/>
                        <a:lstStyle/>
                        <a:p>
                          <a:fld id="{51620DAA-B9BB-44AB-AF46-F8EA8B77A21A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E-696A-4A92-9CDA-6D29DBA70BAC}"/>
                      </c:ext>
                    </c:extLst>
                  </c:dLbl>
                  <c:dLbl>
                    <c:idx val="17"/>
                    <c:tx>
                      <c:rich>
                        <a:bodyPr/>
                        <a:lstStyle/>
                        <a:p>
                          <a:fld id="{5B61897C-75DB-4EF6-A4FE-E270C379BCC5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5F-696A-4A92-9CDA-6D29DBA70BAC}"/>
                      </c:ext>
                    </c:extLst>
                  </c:dLbl>
                  <c:dLbl>
                    <c:idx val="18"/>
                    <c:tx>
                      <c:rich>
                        <a:bodyPr/>
                        <a:lstStyle/>
                        <a:p>
                          <a:fld id="{B72DC0BB-B496-4DEE-BDD9-55CE49315550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0-696A-4A92-9CDA-6D29DBA70BAC}"/>
                      </c:ext>
                    </c:extLst>
                  </c:dLbl>
                  <c:dLbl>
                    <c:idx val="19"/>
                    <c:tx>
                      <c:rich>
                        <a:bodyPr/>
                        <a:lstStyle/>
                        <a:p>
                          <a:fld id="{63B7AE34-4A1D-4C29-B7B1-D85A6413FB51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1-696A-4A92-9CDA-6D29DBA70BAC}"/>
                      </c:ext>
                    </c:extLst>
                  </c:dLbl>
                  <c:dLbl>
                    <c:idx val="20"/>
                    <c:tx>
                      <c:rich>
                        <a:bodyPr/>
                        <a:lstStyle/>
                        <a:p>
                          <a:fld id="{4CE55901-DEF3-46B7-839D-0EEA5C0ED6DB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2-696A-4A92-9CDA-6D29DBA70BAC}"/>
                      </c:ext>
                    </c:extLst>
                  </c:dLbl>
                  <c:dLbl>
                    <c:idx val="21"/>
                    <c:tx>
                      <c:rich>
                        <a:bodyPr/>
                        <a:lstStyle/>
                        <a:p>
                          <a:fld id="{15BE2B04-518D-42B7-80EB-FA0A9166DCAB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3-696A-4A92-9CDA-6D29DBA70BAC}"/>
                      </c:ext>
                    </c:extLst>
                  </c:dLbl>
                  <c:dLbl>
                    <c:idx val="22"/>
                    <c:tx>
                      <c:rich>
                        <a:bodyPr/>
                        <a:lstStyle/>
                        <a:p>
                          <a:fld id="{930D07E9-EF93-49C2-9E4E-2FCC8167403D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4-696A-4A92-9CDA-6D29DBA70BAC}"/>
                      </c:ext>
                    </c:extLst>
                  </c:dLbl>
                  <c:dLbl>
                    <c:idx val="23"/>
                    <c:tx>
                      <c:rich>
                        <a:bodyPr/>
                        <a:lstStyle/>
                        <a:p>
                          <a:fld id="{0A1FBA12-E7C1-49F7-93BE-AFD8145CBC2C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5-696A-4A92-9CDA-6D29DBA70BAC}"/>
                      </c:ext>
                    </c:extLst>
                  </c:dLbl>
                  <c:dLbl>
                    <c:idx val="24"/>
                    <c:tx>
                      <c:rich>
                        <a:bodyPr/>
                        <a:lstStyle/>
                        <a:p>
                          <a:fld id="{EDBEDD61-A907-47CE-90B1-2F16EB18DA1C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6-696A-4A92-9CDA-6D29DBA70BAC}"/>
                      </c:ext>
                    </c:extLst>
                  </c:dLbl>
                  <c:dLbl>
                    <c:idx val="25"/>
                    <c:tx>
                      <c:rich>
                        <a:bodyPr/>
                        <a:lstStyle/>
                        <a:p>
                          <a:fld id="{7F6D8491-D685-4EE5-A6F9-5EBED0CBB202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7-696A-4A92-9CDA-6D29DBA70BAC}"/>
                      </c:ext>
                    </c:extLst>
                  </c:dLbl>
                  <c:dLbl>
                    <c:idx val="26"/>
                    <c:tx>
                      <c:rich>
                        <a:bodyPr/>
                        <a:lstStyle/>
                        <a:p>
                          <a:fld id="{D2D6C9C7-7EFE-4B81-8E05-0655A929E41A}" type="CELLRANGE">
                            <a:rPr lang="pt-BR"/>
                            <a:pPr/>
                            <a:t>[CELLRANGE]</a:t>
                          </a:fld>
                          <a:endParaRPr lang="pt-BR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xmlns:c15="http://schemas.microsoft.com/office/drawing/2012/chart" uri="{CE6537A1-D6FC-4f65-9D91-7224C49458BB}">
                        <c15:dlblFieldTable/>
                        <c15:xForSave val="1"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68-696A-4A92-9CDA-6D29DBA70BA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DataLabelsRange val="1"/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ANTERIORES'!$A$4:$A$30</c15:sqref>
                        </c15:formulaRef>
                      </c:ext>
                    </c:extLst>
                    <c:strCache>
                      <c:ptCount val="27"/>
                      <c:pt idx="0">
                        <c:v>AC</c:v>
                      </c:pt>
                      <c:pt idx="1">
                        <c:v>AL</c:v>
                      </c:pt>
                      <c:pt idx="2">
                        <c:v>AP</c:v>
                      </c:pt>
                      <c:pt idx="3">
                        <c:v>AM</c:v>
                      </c:pt>
                      <c:pt idx="4">
                        <c:v>BA</c:v>
                      </c:pt>
                      <c:pt idx="5">
                        <c:v>CE</c:v>
                      </c:pt>
                      <c:pt idx="6">
                        <c:v>DF</c:v>
                      </c:pt>
                      <c:pt idx="7">
                        <c:v>ES</c:v>
                      </c:pt>
                      <c:pt idx="8">
                        <c:v>GO</c:v>
                      </c:pt>
                      <c:pt idx="9">
                        <c:v>MA</c:v>
                      </c:pt>
                      <c:pt idx="10">
                        <c:v>MT</c:v>
                      </c:pt>
                      <c:pt idx="11">
                        <c:v>MS</c:v>
                      </c:pt>
                      <c:pt idx="12">
                        <c:v>MG</c:v>
                      </c:pt>
                      <c:pt idx="13">
                        <c:v>PA</c:v>
                      </c:pt>
                      <c:pt idx="14">
                        <c:v>PB</c:v>
                      </c:pt>
                      <c:pt idx="15">
                        <c:v>PR</c:v>
                      </c:pt>
                      <c:pt idx="16">
                        <c:v>PE</c:v>
                      </c:pt>
                      <c:pt idx="17">
                        <c:v>PI</c:v>
                      </c:pt>
                      <c:pt idx="18">
                        <c:v>RJ</c:v>
                      </c:pt>
                      <c:pt idx="19">
                        <c:v>RN</c:v>
                      </c:pt>
                      <c:pt idx="20">
                        <c:v>RS</c:v>
                      </c:pt>
                      <c:pt idx="21">
                        <c:v>RO</c:v>
                      </c:pt>
                      <c:pt idx="22">
                        <c:v>RR</c:v>
                      </c:pt>
                      <c:pt idx="23">
                        <c:v>SC</c:v>
                      </c:pt>
                      <c:pt idx="24">
                        <c:v>SP</c:v>
                      </c:pt>
                      <c:pt idx="25">
                        <c:v>SE</c:v>
                      </c:pt>
                      <c:pt idx="26">
                        <c:v>TO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'EXERCÍCIOS ANTERIORES'!$AD$4:$AD$30</c15:sqref>
                        </c15:formulaRef>
                      </c:ext>
                    </c:extLst>
                    <c:numCache>
                      <c:formatCode>0.0%</c:formatCode>
                      <c:ptCount val="27"/>
                      <c:pt idx="0">
                        <c:v>0.98710883486904943</c:v>
                      </c:pt>
                      <c:pt idx="1">
                        <c:v>0.98609225190681016</c:v>
                      </c:pt>
                      <c:pt idx="2">
                        <c:v>0.79540390620962309</c:v>
                      </c:pt>
                      <c:pt idx="3">
                        <c:v>0.66861643589086361</c:v>
                      </c:pt>
                      <c:pt idx="4">
                        <c:v>0.78295440267551175</c:v>
                      </c:pt>
                      <c:pt idx="5">
                        <c:v>1.4129440914523295</c:v>
                      </c:pt>
                      <c:pt idx="6">
                        <c:v>1.1570452551052617</c:v>
                      </c:pt>
                      <c:pt idx="7">
                        <c:v>0.80571794837936805</c:v>
                      </c:pt>
                      <c:pt idx="8">
                        <c:v>1.1597331916464266</c:v>
                      </c:pt>
                      <c:pt idx="9">
                        <c:v>0.58748129728146758</c:v>
                      </c:pt>
                      <c:pt idx="10">
                        <c:v>0.92177134509882175</c:v>
                      </c:pt>
                      <c:pt idx="11">
                        <c:v>0.75646507781302252</c:v>
                      </c:pt>
                      <c:pt idx="12">
                        <c:v>1.3221806984667688</c:v>
                      </c:pt>
                      <c:pt idx="13">
                        <c:v>0.52732722432562473</c:v>
                      </c:pt>
                      <c:pt idx="14">
                        <c:v>0.856328801847687</c:v>
                      </c:pt>
                      <c:pt idx="15">
                        <c:v>0.74027729242328522</c:v>
                      </c:pt>
                      <c:pt idx="16">
                        <c:v>0.70761859360573109</c:v>
                      </c:pt>
                      <c:pt idx="17">
                        <c:v>0.25315431999999999</c:v>
                      </c:pt>
                      <c:pt idx="18">
                        <c:v>0.59886986213029736</c:v>
                      </c:pt>
                      <c:pt idx="19">
                        <c:v>0.68726170868108905</c:v>
                      </c:pt>
                      <c:pt idx="20">
                        <c:v>0.53691726288120145</c:v>
                      </c:pt>
                      <c:pt idx="21">
                        <c:v>1.2478598697225678</c:v>
                      </c:pt>
                      <c:pt idx="22">
                        <c:v>0.6472102580435698</c:v>
                      </c:pt>
                      <c:pt idx="23">
                        <c:v>1.1276662404398607</c:v>
                      </c:pt>
                      <c:pt idx="24">
                        <c:v>0.83442933100517558</c:v>
                      </c:pt>
                      <c:pt idx="25">
                        <c:v>1.4325539321493332</c:v>
                      </c:pt>
                      <c:pt idx="26">
                        <c:v>0.75204543177093719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datalabelsRange>
                      <c15:f>'EXERCÍCIOS ANTERIORES'!$AB$4:$AB$30</c15:f>
                      <c15:dlblRangeCache>
                        <c:ptCount val="27"/>
                        <c:pt idx="0">
                          <c:v> 65.149 </c:v>
                        </c:pt>
                        <c:pt idx="1">
                          <c:v> 121.919 </c:v>
                        </c:pt>
                        <c:pt idx="2">
                          <c:v> 56.174 </c:v>
                        </c:pt>
                        <c:pt idx="3">
                          <c:v> 98.082 </c:v>
                        </c:pt>
                        <c:pt idx="4">
                          <c:v> 289.451 </c:v>
                        </c:pt>
                        <c:pt idx="5">
                          <c:v> 298.626 </c:v>
                        </c:pt>
                        <c:pt idx="6">
                          <c:v> 456.786 </c:v>
                        </c:pt>
                        <c:pt idx="7">
                          <c:v> 186.104 </c:v>
                        </c:pt>
                        <c:pt idx="8">
                          <c:v> 367.744 </c:v>
                        </c:pt>
                        <c:pt idx="9">
                          <c:v> 97.415 </c:v>
                        </c:pt>
                        <c:pt idx="10">
                          <c:v> 154.706 </c:v>
                        </c:pt>
                        <c:pt idx="11">
                          <c:v> 222.159 </c:v>
                        </c:pt>
                        <c:pt idx="12">
                          <c:v> 956.043 </c:v>
                        </c:pt>
                        <c:pt idx="13">
                          <c:v> 163.335 </c:v>
                        </c:pt>
                        <c:pt idx="14">
                          <c:v> 233.932 </c:v>
                        </c:pt>
                        <c:pt idx="15">
                          <c:v> 642.270 </c:v>
                        </c:pt>
                        <c:pt idx="16">
                          <c:v> 328.802 </c:v>
                        </c:pt>
                        <c:pt idx="17">
                          <c:v> 50.631 </c:v>
                        </c:pt>
                        <c:pt idx="18">
                          <c:v> 696.022 </c:v>
                        </c:pt>
                        <c:pt idx="19">
                          <c:v> 133.056 </c:v>
                        </c:pt>
                        <c:pt idx="20">
                          <c:v> 911.980 </c:v>
                        </c:pt>
                        <c:pt idx="21">
                          <c:v> 95.524 </c:v>
                        </c:pt>
                        <c:pt idx="22">
                          <c:v> 10.486 </c:v>
                        </c:pt>
                        <c:pt idx="23">
                          <c:v> 790.322 </c:v>
                        </c:pt>
                        <c:pt idx="24">
                          <c:v> 3.383.207 </c:v>
                        </c:pt>
                        <c:pt idx="25">
                          <c:v> 104.584 </c:v>
                        </c:pt>
                        <c:pt idx="26">
                          <c:v> 38.200 </c:v>
                        </c:pt>
                      </c15:dlblRangeCache>
                    </c15:datalabelsRange>
                  </c:ext>
                  <c:ext xmlns:c16="http://schemas.microsoft.com/office/drawing/2014/chart" uri="{C3380CC4-5D6E-409C-BE32-E72D297353CC}">
                    <c16:uniqueId val="{00000077-B565-429C-831D-748999442BCC}"/>
                  </c:ext>
                </c:extLst>
              </c15:ser>
            </c15:filteredBarSeries>
          </c:ext>
        </c:extLst>
      </c:barChart>
      <c:catAx>
        <c:axId val="3213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1375472"/>
        <c:crosses val="autoZero"/>
        <c:auto val="1"/>
        <c:lblAlgn val="ctr"/>
        <c:lblOffset val="100"/>
        <c:noMultiLvlLbl val="0"/>
      </c:catAx>
      <c:valAx>
        <c:axId val="321375472"/>
        <c:scaling>
          <c:orientation val="minMax"/>
          <c:max val="4.099999999999999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1374912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- Apresentação Cenário de Recursos - Arrecadação SETEMBRO.xlsx]Dados - Receita e Qntd!Tabela dinâmica2</c:name>
    <c:fmtId val="3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50800" cap="rnd">
            <a:solidFill>
              <a:schemeClr val="bg1"/>
            </a:solidFill>
            <a:round/>
          </a:ln>
          <a:effectLst/>
        </c:spPr>
        <c:marker>
          <c:symbol val="none"/>
        </c:marker>
        <c:dLbl>
          <c:idx val="0"/>
          <c:numFmt formatCode="&quot;R$&quot;#,##0" sourceLinked="0"/>
          <c:spPr>
            <a:solidFill>
              <a:schemeClr val="lt1"/>
            </a:solidFill>
            <a:ln w="25400" cap="flat" cmpd="sng" algn="ctr">
              <a:solidFill>
                <a:schemeClr val="accent1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63500" cap="flat" cmpd="sng" algn="ctr">
            <a:noFill/>
            <a:prstDash val="solid"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dk1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8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inBase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layout>
            <c:manualLayout>
              <c:x val="-3.963044591271165E-2"/>
              <c:y val="3.9459220595790649E-2"/>
            </c:manualLayout>
          </c:layout>
          <c:numFmt formatCode="&quot;R$&quot;#,##0" sourceLinked="0"/>
          <c:spPr>
            <a:solidFill>
              <a:schemeClr val="lt1"/>
            </a:solidFill>
            <a:ln w="25400" cap="flat" cmpd="sng" algn="ctr">
              <a:solidFill>
                <a:schemeClr val="accent1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layout>
            <c:manualLayout>
              <c:x val="-3.2184224342473554E-2"/>
              <c:y val="3.1346315790986658E-2"/>
            </c:manualLayout>
          </c:layout>
          <c:numFmt formatCode="&quot;R$&quot;#,##0" sourceLinked="0"/>
          <c:spPr>
            <a:solidFill>
              <a:schemeClr val="lt1"/>
            </a:solidFill>
            <a:ln w="25400" cap="flat" cmpd="sng" algn="ctr">
              <a:solidFill>
                <a:schemeClr val="accent1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63500" cap="flat" cmpd="sng" algn="ctr">
            <a:noFill/>
            <a:prstDash val="solid"/>
          </a:ln>
          <a:effectLst/>
        </c:spPr>
        <c:dLbl>
          <c:idx val="0"/>
          <c:layout>
            <c:manualLayout>
              <c:x val="-7.4462215702380971E-2"/>
              <c:y val="4.3890974696840071E-2"/>
            </c:manualLayout>
          </c:layout>
          <c:spPr>
            <a:solidFill>
              <a:schemeClr val="lt1"/>
            </a:solidFill>
            <a:ln w="25400" cap="flat" cmpd="sng" algn="ctr">
              <a:solidFill>
                <a:schemeClr val="dk1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8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600" b="1" i="0" u="none" strike="noStrike" kern="1200" baseline="0"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2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layout/>
          <c:spPr>
            <a:solidFill>
              <a:schemeClr val="lt1"/>
            </a:solidFill>
            <a:ln w="25400" cap="flat" cmpd="sng" algn="ctr">
              <a:solidFill>
                <a:schemeClr val="accent2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6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4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5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6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7"/>
      </c:pivotFmt>
      <c:pivotFmt>
        <c:idx val="18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9"/>
      </c:pivotFmt>
      <c:pivotFmt>
        <c:idx val="20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1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2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3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4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5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6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7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8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9"/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0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1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2"/>
        <c:spPr>
          <a:ln w="63500" cap="rnd">
            <a:solidFill>
              <a:schemeClr val="bg1"/>
            </a:solidFill>
            <a:round/>
          </a:ln>
          <a:effectLst/>
        </c:spPr>
        <c:marker>
          <c:symbol val="triangle"/>
          <c:size val="9"/>
          <c:spPr>
            <a:solidFill>
              <a:schemeClr val="bg1"/>
            </a:solidFill>
            <a:ln w="9525">
              <a:solidFill>
                <a:schemeClr val="accent1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5.8040445384855525E-2"/>
          <c:y val="0.11948530999196887"/>
          <c:w val="0.90796760206736271"/>
          <c:h val="0.81717521471537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'Dados - Receita e Qntd'!$B$36</c:f>
              <c:strCache>
                <c:ptCount val="1"/>
                <c:pt idx="0">
                  <c:v> PF Ativos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86F-474E-AD01-649DAE2D6C7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92-48D5-B635-90703547FD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600" b="1" i="0" u="none" strike="noStrike" kern="1200" baseline="0">
                    <a:solidFill>
                      <a:schemeClr val="bg1"/>
                    </a:solidFill>
                    <a:effectLst>
                      <a:outerShdw blurRad="63500" sx="102000" sy="102000" algn="ctr" rotWithShape="0">
                        <a:prstClr val="black">
                          <a:alpha val="40000"/>
                        </a:prst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'Dados - Receita e Qntd'!$A$37:$A$41</c:f>
              <c:strCache>
                <c:ptCount val="4"/>
                <c:pt idx="0">
                  <c:v>DF</c:v>
                </c:pt>
                <c:pt idx="1">
                  <c:v>GO</c:v>
                </c:pt>
                <c:pt idx="2">
                  <c:v>MS</c:v>
                </c:pt>
                <c:pt idx="3">
                  <c:v>MT</c:v>
                </c:pt>
              </c:strCache>
            </c:strRef>
          </c:cat>
          <c:val>
            <c:numRef>
              <c:f>'Dados - Receita e Qntd'!$B$37:$B$41</c:f>
              <c:numCache>
                <c:formatCode>#,##0</c:formatCode>
                <c:ptCount val="4"/>
                <c:pt idx="0">
                  <c:v>6772</c:v>
                </c:pt>
                <c:pt idx="1">
                  <c:v>5405</c:v>
                </c:pt>
                <c:pt idx="2">
                  <c:v>3640</c:v>
                </c:pt>
                <c:pt idx="3">
                  <c:v>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FB-4FEE-8378-9E7184CEF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79778704"/>
        <c:axId val="354252656"/>
      </c:barChart>
      <c:lineChart>
        <c:grouping val="standard"/>
        <c:varyColors val="0"/>
        <c:ser>
          <c:idx val="1"/>
          <c:order val="1"/>
          <c:tx>
            <c:strRef>
              <c:f>'Dados - Receita e Qntd'!$C$36</c:f>
              <c:strCache>
                <c:ptCount val="1"/>
                <c:pt idx="0">
                  <c:v> Anuidade PF - Exerc.</c:v>
                </c:pt>
              </c:strCache>
            </c:strRef>
          </c:tx>
          <c:spPr>
            <a:ln w="63500" cap="rnd">
              <a:solidFill>
                <a:schemeClr val="bg1"/>
              </a:solidFill>
              <a:round/>
            </a:ln>
            <a:effectLst/>
          </c:spPr>
          <c:marker>
            <c:symbol val="triangle"/>
            <c:size val="9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triangle"/>
              <c:size val="9"/>
              <c:spPr>
                <a:solidFill>
                  <a:schemeClr val="bg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63500" cap="rnd">
                <a:solidFill>
                  <a:schemeClr val="bg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6F-474E-AD01-649DAE2D6C71}"/>
              </c:ext>
            </c:extLst>
          </c:dPt>
          <c:dPt>
            <c:idx val="1"/>
            <c:marker>
              <c:symbol val="triangle"/>
              <c:size val="9"/>
              <c:spPr>
                <a:solidFill>
                  <a:schemeClr val="bg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63500" cap="rnd">
                <a:solidFill>
                  <a:schemeClr val="bg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86F-474E-AD01-649DAE2D6C71}"/>
              </c:ext>
            </c:extLst>
          </c:dPt>
          <c:dPt>
            <c:idx val="2"/>
            <c:marker>
              <c:symbol val="triangle"/>
              <c:size val="9"/>
              <c:spPr>
                <a:solidFill>
                  <a:schemeClr val="bg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63500" cap="rnd">
                <a:solidFill>
                  <a:schemeClr val="bg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6F-474E-AD01-649DAE2D6C71}"/>
              </c:ext>
            </c:extLst>
          </c:dPt>
          <c:dPt>
            <c:idx val="3"/>
            <c:marker>
              <c:symbol val="triangle"/>
              <c:size val="9"/>
              <c:spPr>
                <a:solidFill>
                  <a:schemeClr val="bg1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63500" cap="rnd">
                <a:solidFill>
                  <a:schemeClr val="bg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86F-474E-AD01-649DAE2D6C71}"/>
              </c:ext>
            </c:extLst>
          </c:dPt>
          <c:dPt>
            <c:idx val="5"/>
            <c:marker>
              <c:symbol val="triangle"/>
              <c:size val="9"/>
              <c:spPr>
                <a:solidFill>
                  <a:schemeClr val="bg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92-48D5-B635-90703547FDEB}"/>
              </c:ext>
            </c:extLst>
          </c:dPt>
          <c:dLbls>
            <c:spPr>
              <a:solidFill>
                <a:schemeClr val="lt1"/>
              </a:solidFill>
              <a:ln w="25400" cap="flat" cmpd="sng" algn="ctr">
                <a:solidFill>
                  <a:schemeClr val="accent2"/>
                </a:solidFill>
                <a:prstDash val="solid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6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'Dados - Receita e Qntd'!$A$37:$A$41</c:f>
              <c:strCache>
                <c:ptCount val="4"/>
                <c:pt idx="0">
                  <c:v>DF</c:v>
                </c:pt>
                <c:pt idx="1">
                  <c:v>GO</c:v>
                </c:pt>
                <c:pt idx="2">
                  <c:v>MS</c:v>
                </c:pt>
                <c:pt idx="3">
                  <c:v>MT</c:v>
                </c:pt>
              </c:strCache>
            </c:strRef>
          </c:cat>
          <c:val>
            <c:numRef>
              <c:f>'Dados - Receita e Qntd'!$C$37:$C$41</c:f>
              <c:numCache>
                <c:formatCode>"R$"#,##0.00_);[Red]\("R$"#,##0.00\)</c:formatCode>
                <c:ptCount val="4"/>
                <c:pt idx="0">
                  <c:v>1684099.824</c:v>
                </c:pt>
                <c:pt idx="1">
                  <c:v>1257495.4879999999</c:v>
                </c:pt>
                <c:pt idx="2">
                  <c:v>748928.61599999992</c:v>
                </c:pt>
                <c:pt idx="3">
                  <c:v>903004.57600000012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6FB-4FEE-8378-9E7184CEF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075872"/>
        <c:axId val="376075312"/>
      </c:lineChart>
      <c:valAx>
        <c:axId val="376075312"/>
        <c:scaling>
          <c:orientation val="minMax"/>
        </c:scaling>
        <c:delete val="0"/>
        <c:axPos val="r"/>
        <c:numFmt formatCode="&quot;R$&quot;#,##0.00_);[Red]\(&quot;R$&quot;#,##0.0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6075872"/>
        <c:crosses val="max"/>
        <c:crossBetween val="between"/>
      </c:valAx>
      <c:catAx>
        <c:axId val="37607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6075312"/>
        <c:crosses val="autoZero"/>
        <c:auto val="1"/>
        <c:lblAlgn val="ctr"/>
        <c:lblOffset val="100"/>
        <c:noMultiLvlLbl val="0"/>
      </c:catAx>
      <c:valAx>
        <c:axId val="35425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9778704"/>
        <c:crosses val="autoZero"/>
        <c:crossBetween val="between"/>
      </c:valAx>
      <c:catAx>
        <c:axId val="379778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42526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939727981984411E-2"/>
          <c:y val="6.0573646627513954E-3"/>
          <c:w val="0.27148485136225609"/>
          <c:h val="8.5860946185017634E-2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- Apresentação Cenário de Recursos - Arrecadação SETEMBRO.xlsx]Dados - Receita e Qntd!Tabela dinâmica12</c:name>
    <c:fmtId val="2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&quot;R$&quot;\ 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53975" cap="rnd">
            <a:solidFill>
              <a:schemeClr val="bg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ln w="3175">
                    <a:noFill/>
                  </a:ln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ln w="53975" cap="rnd">
            <a:solidFill>
              <a:schemeClr val="bg1"/>
            </a:solidFill>
            <a:round/>
          </a:ln>
          <a:effectLst/>
        </c:spPr>
        <c:marker>
          <c:symbol val="none"/>
        </c:marker>
      </c:pivotFmt>
      <c:pivotFmt>
        <c:idx val="7"/>
        <c:dLbl>
          <c:idx val="0"/>
          <c:layout>
            <c:manualLayout>
              <c:x val="-2.3897617887737421E-2"/>
              <c:y val="3.427783155530222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ln w="3175">
                    <a:noFill/>
                  </a:ln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1"/>
          <c:showBubbleSize val="1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"/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ln w="3175">
                    <a:noFill/>
                  </a:ln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dLbl>
          <c:idx val="0"/>
          <c:layout>
            <c:manualLayout>
              <c:x val="-2.6309033172472691E-2"/>
              <c:y val="3.899638772433363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ln w="3175">
                    <a:noFill/>
                  </a:ln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1"/>
          <c:showBubbleSize val="1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</c:pivotFmt>
      <c:pivotFmt>
        <c:idx val="11"/>
        <c:dLbl>
          <c:idx val="0"/>
          <c:layout>
            <c:manualLayout>
              <c:x val="-2.5999778839745552E-2"/>
              <c:y val="9.833111932683916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ln w="3175">
                    <a:noFill/>
                  </a:ln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2000" b="1" i="0" u="none" strike="noStrike" kern="1200" baseline="0">
                  <a:ln w="3175">
                    <a:noFill/>
                  </a:ln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ln w="3175">
                    <a:noFill/>
                  </a:ln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5"/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ln w="3175">
                    <a:noFill/>
                  </a:ln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"/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ln w="3175">
                    <a:noFill/>
                  </a:ln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"/>
        <c:spPr>
          <a:ln w="53975" cap="rnd">
            <a:solidFill>
              <a:schemeClr val="bg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ln w="3175">
                    <a:noFill/>
                  </a:ln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"/>
        <c:spPr>
          <a:ln w="53975" cap="rnd">
            <a:solidFill>
              <a:schemeClr val="bg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ln w="3175">
                    <a:noFill/>
                  </a:ln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9"/>
        <c:spPr>
          <a:ln w="53975" cap="rnd">
            <a:solidFill>
              <a:schemeClr val="bg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ln w="3175">
                    <a:noFill/>
                  </a:ln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0"/>
        <c:spPr>
          <a:ln w="53975" cap="rnd">
            <a:solidFill>
              <a:schemeClr val="bg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baseline="0">
                  <a:ln w="3175">
                    <a:noFill/>
                  </a:ln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1"/>
        <c:spPr>
          <a:ln w="53975" cap="rnd">
            <a:solidFill>
              <a:schemeClr val="bg1"/>
            </a:solidFill>
            <a:round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53975" cap="rnd">
            <a:solidFill>
              <a:schemeClr val="bg1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ln w="53975" cap="rnd">
            <a:solidFill>
              <a:schemeClr val="bg1"/>
            </a:solidFill>
            <a:round/>
          </a:ln>
          <a:effectLst/>
        </c:spPr>
        <c:marker>
          <c:symbol val="none"/>
        </c:marker>
      </c:pivotFmt>
      <c:pivotFmt>
        <c:idx val="24"/>
        <c:spPr>
          <a:ln w="53975" cap="rnd">
            <a:solidFill>
              <a:schemeClr val="bg1"/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6.9307740562805822E-2"/>
          <c:y val="2.386562450825001E-2"/>
          <c:w val="0.83095088363916958"/>
          <c:h val="0.81623015174732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'Dados - Receita e Qntd'!$B$148</c:f>
              <c:strCache>
                <c:ptCount val="1"/>
                <c:pt idx="0">
                  <c:v>Soma de RRT
Executado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2000" b="1" i="0" u="none" strike="noStrike" kern="1200" baseline="0">
                    <a:ln w="3175">
                      <a:noFill/>
                    </a:ln>
                    <a:solidFill>
                      <a:schemeClr val="bg1"/>
                    </a:solidFill>
                    <a:effectLst>
                      <a:outerShdw blurRad="63500" sx="102000" sy="102000" algn="ctr" rotWithShape="0">
                        <a:prstClr val="black">
                          <a:alpha val="40000"/>
                        </a:prst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'Dados - Receita e Qntd'!$A$149:$A$153</c:f>
              <c:strCache>
                <c:ptCount val="4"/>
                <c:pt idx="0">
                  <c:v>DF</c:v>
                </c:pt>
                <c:pt idx="1">
                  <c:v>GO</c:v>
                </c:pt>
                <c:pt idx="2">
                  <c:v>MS</c:v>
                </c:pt>
                <c:pt idx="3">
                  <c:v>MT</c:v>
                </c:pt>
              </c:strCache>
            </c:strRef>
          </c:cat>
          <c:val>
            <c:numRef>
              <c:f>'Dados - Receita e Qntd'!$B$149:$B$153</c:f>
              <c:numCache>
                <c:formatCode>General</c:formatCode>
                <c:ptCount val="4"/>
                <c:pt idx="0">
                  <c:v>13599</c:v>
                </c:pt>
                <c:pt idx="1">
                  <c:v>25310</c:v>
                </c:pt>
                <c:pt idx="2">
                  <c:v>16284</c:v>
                </c:pt>
                <c:pt idx="3">
                  <c:v>25520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4-4DAA-B47E-0D147C67F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4261423"/>
        <c:axId val="74281807"/>
      </c:barChart>
      <c:lineChart>
        <c:grouping val="standard"/>
        <c:varyColors val="0"/>
        <c:ser>
          <c:idx val="1"/>
          <c:order val="1"/>
          <c:tx>
            <c:strRef>
              <c:f>'Dados - Receita e Qntd'!$C$148</c:f>
              <c:strCache>
                <c:ptCount val="1"/>
                <c:pt idx="0">
                  <c:v>Soma de PF + PJ</c:v>
                </c:pt>
              </c:strCache>
            </c:strRef>
          </c:tx>
          <c:spPr>
            <a:ln w="539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53975" cap="rnd">
                <a:solidFill>
                  <a:schemeClr val="bg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4B67-43EB-970F-9580EB85E6D1}"/>
              </c:ext>
            </c:extLst>
          </c:dPt>
          <c:dPt>
            <c:idx val="3"/>
            <c:marker>
              <c:symbol val="none"/>
            </c:marker>
            <c:bubble3D val="0"/>
            <c:spPr>
              <a:ln w="53975" cap="rnd">
                <a:solidFill>
                  <a:schemeClr val="bg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7EF4-4DAA-B47E-0D147C67FA1F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7EF4-4DAA-B47E-0D147C67FA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ln w="3175">
                      <a:noFill/>
                    </a:ln>
                    <a:solidFill>
                      <a:schemeClr val="bg1"/>
                    </a:solidFill>
                    <a:effectLst>
                      <a:outerShdw blurRad="63500" sx="102000" sy="102000" algn="ctr" rotWithShape="0">
                        <a:prstClr val="black">
                          <a:alpha val="40000"/>
                        </a:prst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'Dados - Receita e Qntd'!$A$149:$A$153</c:f>
              <c:strCache>
                <c:ptCount val="4"/>
                <c:pt idx="0">
                  <c:v>DF</c:v>
                </c:pt>
                <c:pt idx="1">
                  <c:v>GO</c:v>
                </c:pt>
                <c:pt idx="2">
                  <c:v>MS</c:v>
                </c:pt>
                <c:pt idx="3">
                  <c:v>MT</c:v>
                </c:pt>
              </c:strCache>
            </c:strRef>
          </c:cat>
          <c:val>
            <c:numRef>
              <c:f>'Dados - Receita e Qntd'!$C$149:$C$153</c:f>
              <c:numCache>
                <c:formatCode>General</c:formatCode>
                <c:ptCount val="4"/>
                <c:pt idx="0">
                  <c:v>7605</c:v>
                </c:pt>
                <c:pt idx="1">
                  <c:v>6178</c:v>
                </c:pt>
                <c:pt idx="2">
                  <c:v>4338</c:v>
                </c:pt>
                <c:pt idx="3">
                  <c:v>4349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7EF4-4DAA-B47E-0D147C67F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24719"/>
        <c:axId val="31445103"/>
      </c:lineChart>
      <c:catAx>
        <c:axId val="31424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445103"/>
        <c:crosses val="autoZero"/>
        <c:auto val="1"/>
        <c:lblAlgn val="ctr"/>
        <c:lblOffset val="100"/>
        <c:noMultiLvlLbl val="0"/>
      </c:catAx>
      <c:valAx>
        <c:axId val="31445103"/>
        <c:scaling>
          <c:orientation val="minMax"/>
        </c:scaling>
        <c:delete val="0"/>
        <c:axPos val="l"/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424719"/>
        <c:crosses val="autoZero"/>
        <c:crossBetween val="between"/>
      </c:valAx>
      <c:valAx>
        <c:axId val="74281807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4261423"/>
        <c:crosses val="max"/>
        <c:crossBetween val="between"/>
      </c:valAx>
      <c:catAx>
        <c:axId val="742614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2818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469808467250127"/>
          <c:y val="0.93116586898055864"/>
          <c:w val="0.28173146386441467"/>
          <c:h val="5.659703782048698E-2"/>
        </c:manualLayout>
      </c:layout>
      <c:overlay val="0"/>
      <c:spPr>
        <a:solidFill>
          <a:schemeClr val="bg1">
            <a:lumMod val="6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[Dashboard - Apresentação Cenário de Recursos - Arrecadação SETEMBRO.xlsx]RRTs pagos por Grupo!Tabela dinâmica9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&quot;R$&quot;#,##0" sourceLinked="0"/>
          <c:spPr>
            <a:solidFill>
              <a:schemeClr val="lt1"/>
            </a:solidFill>
            <a:ln w="25400" cap="flat" cmpd="sng" algn="ctr">
              <a:solidFill>
                <a:schemeClr val="accent1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63500" cap="flat" cmpd="sng" algn="ctr">
            <a:solidFill>
              <a:schemeClr val="bg1"/>
            </a:solidFill>
            <a:prstDash val="solid"/>
            <a:round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dk1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2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8F9A"/>
          </a:solidFill>
          <a:ln w="63500" cap="flat" cmpd="sng" algn="ctr">
            <a:noFill/>
            <a:prstDash val="solid"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008F9A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%" sourceLinked="0"/>
          <c:spPr>
            <a:solidFill>
              <a:sysClr val="window" lastClr="FFFFFF"/>
            </a:solidFill>
            <a:ln w="25400" cap="flat" cmpd="sng" algn="ctr">
              <a:solidFill>
                <a:srgbClr val="5E9AA6"/>
              </a:solidFill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600" b="0" i="0" u="none" strike="noStrike" kern="1200" baseline="0">
                  <a:solidFill>
                    <a:srgbClr val="1C394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1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008F9A"/>
          </a:solidFill>
          <a:ln w="63500" cap="flat" cmpd="sng" algn="ctr">
            <a:noFill/>
            <a:prstDash val="solid"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 w="25400" cap="flat" cmpd="sng" algn="ctr">
              <a:noFill/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 w="25400" cap="flat" cmpd="sng" algn="ctr">
              <a:noFill/>
              <a:prstDash val="solid"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2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1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1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2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1.1501725009567917E-2"/>
          <c:y val="2.7495293080148753E-2"/>
          <c:w val="0.97498329371071057"/>
          <c:h val="0.891779776237549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'RRTs pagos por Grupo'!$N$1:$N$2</c:f>
              <c:strCache>
                <c:ptCount val="1"/>
                <c:pt idx="0">
                  <c:v>SP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2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'RRTs pagos por Grupo'!$M$3:$M$9</c:f>
              <c:strCache>
                <c:ptCount val="7"/>
                <c:pt idx="0">
                  <c:v>1 - Projeto</c:v>
                </c:pt>
                <c:pt idx="1">
                  <c:v>2 - Execução</c:v>
                </c:pt>
                <c:pt idx="2">
                  <c:v>3 - Gestão</c:v>
                </c:pt>
                <c:pt idx="3">
                  <c:v>4 - Meio Amb.</c:v>
                </c:pt>
                <c:pt idx="4">
                  <c:v>5 - Ativ. Especiais</c:v>
                </c:pt>
                <c:pt idx="5">
                  <c:v>6 - Ensino e Pesquisa</c:v>
                </c:pt>
                <c:pt idx="6">
                  <c:v>7 - Eng. Seg. Trab.</c:v>
                </c:pt>
              </c:strCache>
            </c:strRef>
          </c:cat>
          <c:val>
            <c:numRef>
              <c:f>'RRTs pagos por Grupo'!$N$3:$N$9</c:f>
              <c:numCache>
                <c:formatCode>General</c:formatCode>
                <c:ptCount val="7"/>
                <c:pt idx="0">
                  <c:v>116831</c:v>
                </c:pt>
                <c:pt idx="1">
                  <c:v>106046</c:v>
                </c:pt>
                <c:pt idx="2">
                  <c:v>15228</c:v>
                </c:pt>
                <c:pt idx="3">
                  <c:v>3810</c:v>
                </c:pt>
                <c:pt idx="4">
                  <c:v>34366</c:v>
                </c:pt>
                <c:pt idx="5">
                  <c:v>54</c:v>
                </c:pt>
                <c:pt idx="6">
                  <c:v>3015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2-47E3-B221-943AAA27F1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5"/>
        <c:axId val="146362175"/>
        <c:axId val="146363839"/>
      </c:barChart>
      <c:catAx>
        <c:axId val="1463621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363839"/>
        <c:crosses val="autoZero"/>
        <c:auto val="1"/>
        <c:lblAlgn val="ctr"/>
        <c:lblOffset val="100"/>
        <c:noMultiLvlLbl val="0"/>
      </c:catAx>
      <c:valAx>
        <c:axId val="146363839"/>
        <c:scaling>
          <c:orientation val="minMax"/>
        </c:scaling>
        <c:delete val="1"/>
        <c:axPos val="l"/>
        <c:numFmt formatCode="0.00%" sourceLinked="0"/>
        <c:majorTickMark val="out"/>
        <c:minorTickMark val="none"/>
        <c:tickLblPos val="nextTo"/>
        <c:crossAx val="146362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784391356467082E-2"/>
          <c:y val="1.3519958216496226E-2"/>
          <c:w val="0.9756283368389761"/>
          <c:h val="0.929732205535863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'Gráficos - Arrecadação'!$S$4</c:f>
              <c:strCache>
                <c:ptCount val="1"/>
                <c:pt idx="0">
                  <c:v>Potencial</c:v>
                </c:pt>
              </c:strCache>
            </c:strRef>
          </c:tx>
          <c:spPr>
            <a:solidFill>
              <a:schemeClr val="tx1"/>
            </a:solidFill>
            <a:ln w="66675"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tx1"/>
              </a:solidFill>
              <a:ln w="666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6A14-4F87-B78A-F6D6218D9EFB}"/>
              </c:ext>
            </c:extLst>
          </c:dPt>
          <c:dLbls>
            <c:dLbl>
              <c:idx val="0"/>
              <c:layout>
                <c:manualLayout>
                  <c:x val="-2.8828832100881844E-3"/>
                  <c:y val="0.117440383013916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2E9-4C51-9FCC-A4741F58B6C2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1587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Arrecadação'!$S$5:$S$16</c:f>
              <c:numCache>
                <c:formatCode>_-[$R$-416]\ * #,##0_-;\-[$R$-416]\ * #,##0_-;_-[$R$-416]\ * "-"??_-;_-@_-</c:formatCode>
                <c:ptCount val="12"/>
                <c:pt idx="0">
                  <c:v>33393067.428586558</c:v>
                </c:pt>
                <c:pt idx="1">
                  <c:v>66419112.806236759</c:v>
                </c:pt>
                <c:pt idx="2">
                  <c:v>88210827.224150628</c:v>
                </c:pt>
                <c:pt idx="3">
                  <c:v>106971107.41893491</c:v>
                </c:pt>
                <c:pt idx="4">
                  <c:v>126869345.92172693</c:v>
                </c:pt>
                <c:pt idx="5">
                  <c:v>146336524.56977105</c:v>
                </c:pt>
                <c:pt idx="6">
                  <c:v>164508052.39332825</c:v>
                </c:pt>
                <c:pt idx="7">
                  <c:v>183214253.89967453</c:v>
                </c:pt>
                <c:pt idx="8">
                  <c:v>198285291.58599114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6A14-4F87-B78A-F6D6218D9EFB}"/>
            </c:ext>
          </c:extLst>
        </c:ser>
        <c:ser>
          <c:idx val="0"/>
          <c:order val="1"/>
          <c:tx>
            <c:strRef>
              <c:f>'Gráficos - Arrecadação'!$Q$4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1.3213062074483579E-17"/>
                  <c:y val="0.11445541997315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2E9-4C51-9FCC-A4741F58B6C2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19050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Arrecadação'!$Q$5:$Q$16</c:f>
              <c:numCache>
                <c:formatCode>_-[$R$-416]\ * #,##0_-;\-[$R$-416]\ * #,##0_-;_-[$R$-416]\ * "-"??_-;_-@_-</c:formatCode>
                <c:ptCount val="12"/>
                <c:pt idx="0">
                  <c:v>26495233.292128325</c:v>
                </c:pt>
                <c:pt idx="1">
                  <c:v>52688382.172870323</c:v>
                </c:pt>
                <c:pt idx="2">
                  <c:v>71146391.991785929</c:v>
                </c:pt>
                <c:pt idx="3">
                  <c:v>87193068.099814907</c:v>
                </c:pt>
                <c:pt idx="4">
                  <c:v>104200291.03470112</c:v>
                </c:pt>
                <c:pt idx="5">
                  <c:v>120810517.31602216</c:v>
                </c:pt>
                <c:pt idx="6">
                  <c:v>137098482.61578691</c:v>
                </c:pt>
                <c:pt idx="7">
                  <c:v>153925536.5878334</c:v>
                </c:pt>
                <c:pt idx="8">
                  <c:v>167913126.17899984</c:v>
                </c:pt>
                <c:pt idx="9">
                  <c:v>183022070.82118729</c:v>
                </c:pt>
                <c:pt idx="10">
                  <c:v>196051596.00296664</c:v>
                </c:pt>
                <c:pt idx="11">
                  <c:v>209250933.3972857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14-4F87-B78A-F6D6218D9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4625856"/>
        <c:axId val="384626416"/>
      </c:barChart>
      <c:lineChart>
        <c:grouping val="standard"/>
        <c:varyColors val="0"/>
        <c:ser>
          <c:idx val="1"/>
          <c:order val="2"/>
          <c:tx>
            <c:strRef>
              <c:f>'Gráficos - Arrecadação'!$R$4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508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4764995798244611E-2"/>
                  <c:y val="-0.10529391570558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6A14-4F87-B78A-F6D6218D9EFB}"/>
                </c:ext>
              </c:extLst>
            </c:dLbl>
            <c:dLbl>
              <c:idx val="1"/>
              <c:layout>
                <c:manualLayout>
                  <c:x val="-4.3213432020753208E-2"/>
                  <c:y val="-0.11211220472440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6A14-4F87-B78A-F6D6218D9EFB}"/>
                </c:ext>
              </c:extLst>
            </c:dLbl>
            <c:dLbl>
              <c:idx val="2"/>
              <c:layout>
                <c:manualLayout>
                  <c:x val="-4.4838076821382411E-2"/>
                  <c:y val="-0.12229962247635202"/>
                </c:manualLayout>
              </c:layout>
              <c:numFmt formatCode="&quot;R$&quot;\ 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612497270724759E-2"/>
                      <c:h val="3.78051065454834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A14-4F87-B78A-F6D6218D9EFB}"/>
                </c:ext>
              </c:extLst>
            </c:dLbl>
            <c:dLbl>
              <c:idx val="3"/>
              <c:layout>
                <c:manualLayout>
                  <c:x val="-4.6151075403738522E-2"/>
                  <c:y val="-0.12560132003474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6A14-4F87-B78A-F6D6218D9EFB}"/>
                </c:ext>
              </c:extLst>
            </c:dLbl>
            <c:dLbl>
              <c:idx val="4"/>
              <c:layout>
                <c:manualLayout>
                  <c:x val="-4.7444460151982441E-2"/>
                  <c:y val="-0.15748828532927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1B2-47DB-8B60-A751124F5013}"/>
                </c:ext>
              </c:extLst>
            </c:dLbl>
            <c:dLbl>
              <c:idx val="5"/>
              <c:layout>
                <c:manualLayout>
                  <c:x val="-4.1701918444766922E-2"/>
                  <c:y val="-0.1779381258510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01C-436F-8C22-DBF1909CD203}"/>
                </c:ext>
              </c:extLst>
            </c:dLbl>
            <c:dLbl>
              <c:idx val="6"/>
              <c:layout>
                <c:manualLayout>
                  <c:x val="-4.0999580395750773E-2"/>
                  <c:y val="-0.15517997439045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080-4414-9466-1C0CB3D28A6C}"/>
                </c:ext>
              </c:extLst>
            </c:dLbl>
            <c:dLbl>
              <c:idx val="7"/>
              <c:layout>
                <c:manualLayout>
                  <c:x val="-4.3080552001004212E-2"/>
                  <c:y val="-0.13710211415586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A3B-4278-BD71-195B9400B2B0}"/>
                </c:ext>
              </c:extLst>
            </c:dLbl>
            <c:dLbl>
              <c:idx val="8"/>
              <c:layout>
                <c:manualLayout>
                  <c:x val="-3.9269785621934852E-2"/>
                  <c:y val="-0.13025316303960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047-46F4-9ED1-11D7401727CC}"/>
                </c:ext>
              </c:extLst>
            </c:dLbl>
            <c:dLbl>
              <c:idx val="9"/>
              <c:layout>
                <c:manualLayout>
                  <c:x val="-5.8533856371487294E-2"/>
                  <c:y val="-0.118807850546690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4-46D4-9D5B-C254158161D5}"/>
                </c:ext>
              </c:extLst>
            </c:dLbl>
            <c:dLbl>
              <c:idx val="10"/>
              <c:layout>
                <c:manualLayout>
                  <c:x val="-5.414628731045943E-2"/>
                  <c:y val="-0.1142666966072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B-475E-9694-A263A3E8789C}"/>
                </c:ext>
              </c:extLst>
            </c:dLbl>
            <c:dLbl>
              <c:idx val="11"/>
              <c:layout>
                <c:manualLayout>
                  <c:x val="-9.7011803664811217E-3"/>
                  <c:y val="-0.10269824057691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06-4BB0-8DA6-27D647FCA339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9050" cap="flat" cmpd="sng" algn="ctr">
                      <a:solidFill>
                        <a:srgbClr val="00B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Arrecadação'!$R$5:$R$16</c:f>
              <c:numCache>
                <c:formatCode>_-[$R$-416]\ * #,##0_-;\-[$R$-416]\ * #,##0_-;_-[$R$-416]\ * "-"??_-;_-@_-</c:formatCode>
                <c:ptCount val="12"/>
                <c:pt idx="0">
                  <c:v>20850868.670000006</c:v>
                </c:pt>
                <c:pt idx="1">
                  <c:v>45494069.100000001</c:v>
                </c:pt>
                <c:pt idx="2">
                  <c:v>70516849.5</c:v>
                </c:pt>
                <c:pt idx="3">
                  <c:v>86940351.560000002</c:v>
                </c:pt>
                <c:pt idx="4">
                  <c:v>106384818.08000001</c:v>
                </c:pt>
                <c:pt idx="5">
                  <c:v>125380052.99000001</c:v>
                </c:pt>
                <c:pt idx="6">
                  <c:v>142869466.36000001</c:v>
                </c:pt>
                <c:pt idx="7">
                  <c:v>159979151.97999996</c:v>
                </c:pt>
                <c:pt idx="8">
                  <c:v>174452905.24999997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A14-4F87-B78A-F6D6218D9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625856"/>
        <c:axId val="384626416"/>
      </c:lineChart>
      <c:catAx>
        <c:axId val="38462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4626416"/>
        <c:crosses val="autoZero"/>
        <c:auto val="1"/>
        <c:lblAlgn val="ctr"/>
        <c:lblOffset val="100"/>
        <c:noMultiLvlLbl val="0"/>
      </c:catAx>
      <c:valAx>
        <c:axId val="384626416"/>
        <c:scaling>
          <c:orientation val="minMax"/>
          <c:max val="220000000.00000003"/>
          <c:min val="0"/>
        </c:scaling>
        <c:delete val="1"/>
        <c:axPos val="l"/>
        <c:numFmt formatCode="&quot;R$&quot;\ #,##0.0" sourceLinked="0"/>
        <c:majorTickMark val="none"/>
        <c:minorTickMark val="none"/>
        <c:tickLblPos val="nextTo"/>
        <c:crossAx val="3846258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146005398961983E-3"/>
                <c:y val="8.8670365068002858E-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ayout>
        <c:manualLayout>
          <c:xMode val="edge"/>
          <c:yMode val="edge"/>
          <c:x val="0.26713030366175117"/>
          <c:y val="4.680968587109012E-2"/>
          <c:w val="0.38280203052166056"/>
          <c:h val="6.53024498911927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153045565501311E-2"/>
          <c:y val="3.651434580205612E-2"/>
          <c:w val="0.94815272764874714"/>
          <c:h val="0.9020025420713523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7572982994845789E-2"/>
                  <c:y val="-3.279186308538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BE-4DE6-9C01-060AF4899502}"/>
                </c:ext>
              </c:extLst>
            </c:dLbl>
            <c:dLbl>
              <c:idx val="1"/>
              <c:layout>
                <c:manualLayout>
                  <c:x val="-5.932594157550667E-2"/>
                  <c:y val="6.2071337396647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BE-4DE6-9C01-060AF4899502}"/>
                </c:ext>
              </c:extLst>
            </c:dLbl>
            <c:dLbl>
              <c:idx val="2"/>
              <c:layout>
                <c:manualLayout>
                  <c:x val="-8.5393566569724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BE-4DE6-9C01-060AF4899502}"/>
                </c:ext>
              </c:extLst>
            </c:dLbl>
            <c:dLbl>
              <c:idx val="3"/>
              <c:layout>
                <c:manualLayout>
                  <c:x val="-4.1996836017897485E-2"/>
                  <c:y val="4.9934516796870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E-4DE6-9C01-060AF4899502}"/>
                </c:ext>
              </c:extLst>
            </c:dLbl>
            <c:dLbl>
              <c:idx val="4"/>
              <c:layout>
                <c:manualLayout>
                  <c:x val="-4.7638628540663717E-2"/>
                  <c:y val="-3.6315999643159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BE-4DE6-9C01-060AF4899502}"/>
                </c:ext>
              </c:extLst>
            </c:dLbl>
            <c:dLbl>
              <c:idx val="5"/>
              <c:layout>
                <c:manualLayout>
                  <c:x val="-4.3342961519248491E-2"/>
                  <c:y val="0.12040698339536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BE-4DE6-9C01-060AF4899502}"/>
                </c:ext>
              </c:extLst>
            </c:dLbl>
            <c:dLbl>
              <c:idx val="6"/>
              <c:layout>
                <c:manualLayout>
                  <c:x val="-3.9197046950037652E-2"/>
                  <c:y val="3.858576297939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BE-4DE6-9C01-060AF4899502}"/>
                </c:ext>
              </c:extLst>
            </c:dLbl>
            <c:dLbl>
              <c:idx val="7"/>
              <c:layout>
                <c:manualLayout>
                  <c:x val="-4.1996836017897485E-2"/>
                  <c:y val="6.1283270614341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BE-4DE6-9C01-060AF4899502}"/>
                </c:ext>
              </c:extLst>
            </c:dLbl>
            <c:dLbl>
              <c:idx val="8"/>
              <c:layout>
                <c:manualLayout>
                  <c:x val="-3.4997363348247906E-2"/>
                  <c:y val="4.5395015269882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BE-4DE6-9C01-060AF4899502}"/>
                </c:ext>
              </c:extLst>
            </c:dLbl>
            <c:dLbl>
              <c:idx val="9"/>
              <c:layout>
                <c:manualLayout>
                  <c:x val="-3.9197046950037756E-2"/>
                  <c:y val="4.5395015269882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BE-4DE6-9C01-060AF4899502}"/>
                </c:ext>
              </c:extLst>
            </c:dLbl>
            <c:dLbl>
              <c:idx val="10"/>
              <c:layout>
                <c:manualLayout>
                  <c:x val="-2.7997890678598428E-2"/>
                  <c:y val="-3.858576297939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BE-4DE6-9C01-060AF4899502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Arrecadação'!$P$117:$P$128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  <c:extLst xmlns:c15="http://schemas.microsoft.com/office/drawing/2012/chart"/>
            </c:strRef>
          </c:cat>
          <c:val>
            <c:numRef>
              <c:f>'Gráficos - Arrecadação'!#REF!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F1BE-4DE6-9C01-060AF4899502}"/>
            </c:ext>
          </c:extLst>
        </c:ser>
        <c:ser>
          <c:idx val="1"/>
          <c:order val="1"/>
          <c:tx>
            <c:strRef>
              <c:f>'Gráficos - Arrecadação'!$Q$116</c:f>
              <c:strCache>
                <c:ptCount val="1"/>
                <c:pt idx="0">
                  <c:v>2020</c:v>
                </c:pt>
              </c:strCache>
              <c:extLst xmlns:c15="http://schemas.microsoft.com/office/drawing/2012/chart"/>
            </c:strRef>
          </c:tx>
          <c:spPr>
            <a:ln w="508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3175">
                <a:solidFill>
                  <a:schemeClr val="tx1">
                    <a:lumMod val="95000"/>
                    <a:lumOff val="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8206602485563891E-2"/>
                  <c:y val="-3.187160072479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F1BE-4DE6-9C01-060AF4899502}"/>
                </c:ext>
              </c:extLst>
            </c:dLbl>
            <c:dLbl>
              <c:idx val="1"/>
              <c:layout>
                <c:manualLayout>
                  <c:x val="-6.2161194942779836E-2"/>
                  <c:y val="4.890706220656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F1BE-4DE6-9C01-060AF4899502}"/>
                </c:ext>
              </c:extLst>
            </c:dLbl>
            <c:dLbl>
              <c:idx val="2"/>
              <c:layout>
                <c:manualLayout>
                  <c:x val="-7.5009642854735797E-2"/>
                  <c:y val="4.0031200518151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F1BE-4DE6-9C01-060AF4899502}"/>
                </c:ext>
              </c:extLst>
            </c:dLbl>
            <c:dLbl>
              <c:idx val="3"/>
              <c:layout>
                <c:manualLayout>
                  <c:x val="-3.4989724048069867E-2"/>
                  <c:y val="5.92202691937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F1BE-4DE6-9C01-060AF4899502}"/>
                </c:ext>
              </c:extLst>
            </c:dLbl>
            <c:dLbl>
              <c:idx val="4"/>
              <c:layout>
                <c:manualLayout>
                  <c:x val="-5.7338933979362565E-2"/>
                  <c:y val="-4.9467402931443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F1BE-4DE6-9C01-060AF4899502}"/>
                </c:ext>
              </c:extLst>
            </c:dLbl>
            <c:dLbl>
              <c:idx val="5"/>
              <c:layout>
                <c:manualLayout>
                  <c:x val="-8.0530304165272598E-2"/>
                  <c:y val="1.0861589371356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F1BE-4DE6-9C01-060AF4899502}"/>
                </c:ext>
              </c:extLst>
            </c:dLbl>
            <c:dLbl>
              <c:idx val="6"/>
              <c:layout>
                <c:manualLayout>
                  <c:x val="-4.3276261753039849E-2"/>
                  <c:y val="2.7142920390002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F1BE-4DE6-9C01-060AF4899502}"/>
                </c:ext>
              </c:extLst>
            </c:dLbl>
            <c:dLbl>
              <c:idx val="7"/>
              <c:layout>
                <c:manualLayout>
                  <c:x val="-5.0216842922982403E-2"/>
                  <c:y val="-5.89956226058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F1BE-4DE6-9C01-060AF4899502}"/>
                </c:ext>
              </c:extLst>
            </c:dLbl>
            <c:dLbl>
              <c:idx val="8"/>
              <c:layout>
                <c:manualLayout>
                  <c:x val="-4.4700238304826771E-2"/>
                  <c:y val="2.941512508551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F1BE-4DE6-9C01-060AF4899502}"/>
                </c:ext>
              </c:extLst>
            </c:dLbl>
            <c:dLbl>
              <c:idx val="9"/>
              <c:layout>
                <c:manualLayout>
                  <c:x val="-4.0626388352867825E-2"/>
                  <c:y val="4.986297093862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F1BE-4DE6-9C01-060AF4899502}"/>
                </c:ext>
              </c:extLst>
            </c:dLbl>
            <c:dLbl>
              <c:idx val="10"/>
              <c:layout>
                <c:manualLayout>
                  <c:x val="-4.3396730551827405E-2"/>
                  <c:y val="3.858576297939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F1BE-4DE6-9C01-060AF4899502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'Gráficos - Arrecadação'!$P$117:$P$128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  <c:extLst xmlns:c15="http://schemas.microsoft.com/office/drawing/2012/chart"/>
            </c:strRef>
          </c:cat>
          <c:val>
            <c:numRef>
              <c:f>'Gráficos - Arrecadação'!$Q$117:$Q$128</c:f>
              <c:numCache>
                <c:formatCode>_-[$R$-416]\ * #,##0_-;\-[$R$-416]\ * #,##0_-;_-[$R$-416]\ * "-"??_-;_-@_-</c:formatCode>
                <c:ptCount val="12"/>
                <c:pt idx="0">
                  <c:v>22576388.020000003</c:v>
                </c:pt>
                <c:pt idx="1">
                  <c:v>21791063.839999996</c:v>
                </c:pt>
                <c:pt idx="2">
                  <c:v>15811503.18999999</c:v>
                </c:pt>
                <c:pt idx="3">
                  <c:v>8141870.1900000051</c:v>
                </c:pt>
                <c:pt idx="4">
                  <c:v>8658705.8900000006</c:v>
                </c:pt>
                <c:pt idx="5">
                  <c:v>11852236.879999995</c:v>
                </c:pt>
                <c:pt idx="6">
                  <c:v>15414639.370000005</c:v>
                </c:pt>
                <c:pt idx="7">
                  <c:v>16518182.859999985</c:v>
                </c:pt>
                <c:pt idx="8">
                  <c:v>12575439.830000013</c:v>
                </c:pt>
                <c:pt idx="9">
                  <c:v>13091764.559999973</c:v>
                </c:pt>
                <c:pt idx="10">
                  <c:v>11490553.480000019</c:v>
                </c:pt>
                <c:pt idx="11">
                  <c:v>11503465.950000048</c:v>
                </c:pt>
              </c:numCache>
              <c:extLst xmlns:c15="http://schemas.microsoft.com/office/drawing/2012/chart"/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7-F1BE-4DE6-9C01-060AF4899502}"/>
            </c:ext>
          </c:extLst>
        </c:ser>
        <c:ser>
          <c:idx val="2"/>
          <c:order val="2"/>
          <c:tx>
            <c:strRef>
              <c:f>'Gráficos - Arrecadação'!$R$116</c:f>
              <c:strCache>
                <c:ptCount val="1"/>
                <c:pt idx="0">
                  <c:v>2021</c:v>
                </c:pt>
              </c:strCache>
            </c:strRef>
          </c:tx>
          <c:spPr>
            <a:ln w="508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679069663120475E-2"/>
                  <c:y val="2.3735215602687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F1BE-4DE6-9C01-060AF4899502}"/>
                </c:ext>
              </c:extLst>
            </c:dLbl>
            <c:dLbl>
              <c:idx val="1"/>
              <c:layout>
                <c:manualLayout>
                  <c:x val="-2.4002228325343013E-2"/>
                  <c:y val="-3.4308784056592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F1BE-4DE6-9C01-060AF4899502}"/>
                </c:ext>
              </c:extLst>
            </c:dLbl>
            <c:dLbl>
              <c:idx val="2"/>
              <c:layout>
                <c:manualLayout>
                  <c:x val="-5.0279871151001444E-2"/>
                  <c:y val="-6.6414614277107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F1BE-4DE6-9C01-060AF4899502}"/>
                </c:ext>
              </c:extLst>
            </c:dLbl>
            <c:dLbl>
              <c:idx val="3"/>
              <c:layout>
                <c:manualLayout>
                  <c:x val="-6.0252180401100773E-2"/>
                  <c:y val="4.6587559400540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F1BE-4DE6-9C01-060AF4899502}"/>
                </c:ext>
              </c:extLst>
            </c:dLbl>
            <c:dLbl>
              <c:idx val="4"/>
              <c:layout>
                <c:manualLayout>
                  <c:x val="-5.2277586492070323E-2"/>
                  <c:y val="-4.952671535437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F1BE-4DE6-9C01-060AF4899502}"/>
                </c:ext>
              </c:extLst>
            </c:dLbl>
            <c:dLbl>
              <c:idx val="5"/>
              <c:layout>
                <c:manualLayout>
                  <c:x val="-4.810854810733773E-2"/>
                  <c:y val="-3.0818637545222342E-2"/>
                </c:manualLayout>
              </c:layout>
              <c:numFmt formatCode="&quot;R$&quot;\ 0.00;;_(@_)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724429603414897E-2"/>
                      <c:h val="5.362609736546634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D-F1BE-4DE6-9C01-060AF4899502}"/>
                </c:ext>
              </c:extLst>
            </c:dLbl>
            <c:dLbl>
              <c:idx val="6"/>
              <c:layout>
                <c:manualLayout>
                  <c:x val="-2.6655822621413514E-2"/>
                  <c:y val="-4.4818601451774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F1BE-4DE6-9C01-060AF4899502}"/>
                </c:ext>
              </c:extLst>
            </c:dLbl>
            <c:dLbl>
              <c:idx val="7"/>
              <c:layout>
                <c:manualLayout>
                  <c:x val="-5.685358632499999E-2"/>
                  <c:y val="4.0742360641640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F1BE-4DE6-9C01-060AF4899502}"/>
                </c:ext>
              </c:extLst>
            </c:dLbl>
            <c:dLbl>
              <c:idx val="8"/>
              <c:layout>
                <c:manualLayout>
                  <c:x val="-3.3054947860842829E-2"/>
                  <c:y val="-6.0541541136308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F1BE-4DE6-9C01-060AF4899502}"/>
                </c:ext>
              </c:extLst>
            </c:dLbl>
            <c:dLbl>
              <c:idx val="9"/>
              <c:layout>
                <c:manualLayout>
                  <c:x val="-4.174059227290644E-2"/>
                  <c:y val="-4.0341741389633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F1BE-4DE6-9C01-060AF4899502}"/>
                </c:ext>
              </c:extLst>
            </c:dLbl>
            <c:dLbl>
              <c:idx val="10"/>
              <c:layout>
                <c:manualLayout>
                  <c:x val="-3.695652390085543E-2"/>
                  <c:y val="-6.658128429632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F1BE-4DE6-9C01-060AF4899502}"/>
                </c:ext>
              </c:extLst>
            </c:dLbl>
            <c:dLbl>
              <c:idx val="11"/>
              <c:layout>
                <c:manualLayout>
                  <c:x val="-7.0234012831874686E-3"/>
                  <c:y val="-5.1435675628184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DB5-4E0D-ACE9-4A9DAC5C8962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'Gráficos - Arrecadação'!$P$117:$P$128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  <c:extLst/>
            </c:strRef>
          </c:cat>
          <c:val>
            <c:numRef>
              <c:f>'Gráficos - Arrecadação'!$R$117:$R$128</c:f>
              <c:numCache>
                <c:formatCode>_-[$R$-416]\ * #,##0_-;\-[$R$-416]\ * #,##0_-;_-[$R$-416]\ * "-"??_-;_-@_-</c:formatCode>
                <c:ptCount val="12"/>
                <c:pt idx="0">
                  <c:v>20826016.739999998</c:v>
                </c:pt>
                <c:pt idx="1">
                  <c:v>22708621.000000004</c:v>
                </c:pt>
                <c:pt idx="2">
                  <c:v>20161318.559999999</c:v>
                </c:pt>
                <c:pt idx="3">
                  <c:v>16615530.980000008</c:v>
                </c:pt>
                <c:pt idx="4">
                  <c:v>16155960.789999992</c:v>
                </c:pt>
                <c:pt idx="5">
                  <c:v>17234451.25</c:v>
                </c:pt>
                <c:pt idx="6">
                  <c:v>16068055.850000024</c:v>
                </c:pt>
                <c:pt idx="7">
                  <c:v>16489729.73999998</c:v>
                </c:pt>
                <c:pt idx="8">
                  <c:v>13915469.599999994</c:v>
                </c:pt>
                <c:pt idx="9">
                  <c:v>12602396.24000001</c:v>
                </c:pt>
                <c:pt idx="10">
                  <c:v>12335348.24000001</c:v>
                </c:pt>
                <c:pt idx="11">
                  <c:v>12798786.219999999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23-F1BE-4DE6-9C01-060AF4899502}"/>
            </c:ext>
          </c:extLst>
        </c:ser>
        <c:ser>
          <c:idx val="3"/>
          <c:order val="3"/>
          <c:tx>
            <c:strRef>
              <c:f>'Gráficos - Arrecadação'!$S$116</c:f>
              <c:strCache>
                <c:ptCount val="1"/>
                <c:pt idx="0">
                  <c:v>2022</c:v>
                </c:pt>
              </c:strCache>
            </c:strRef>
          </c:tx>
          <c:spPr>
            <a:ln w="508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6.4012755637852053E-2"/>
                  <c:y val="-2.4970593261638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A43-4B1F-B8E9-DD0A9E48DE1B}"/>
                </c:ext>
              </c:extLst>
            </c:dLbl>
            <c:dLbl>
              <c:idx val="1"/>
              <c:layout>
                <c:manualLayout>
                  <c:x val="-5.0363931447396086E-2"/>
                  <c:y val="-4.2858033178051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75-42D7-92F3-1AEAD10E4FAB}"/>
                </c:ext>
              </c:extLst>
            </c:dLbl>
            <c:dLbl>
              <c:idx val="2"/>
              <c:layout>
                <c:manualLayout>
                  <c:x val="-4.3499191171376787E-2"/>
                  <c:y val="-4.3090001316093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AC3-478D-A162-38F4BB0EA7D8}"/>
                </c:ext>
              </c:extLst>
            </c:dLbl>
            <c:dLbl>
              <c:idx val="3"/>
              <c:layout>
                <c:manualLayout>
                  <c:x val="-8.9310733936429285E-2"/>
                  <c:y val="-3.4228247004816329E-3"/>
                </c:manualLayout>
              </c:layout>
              <c:numFmt formatCode="&quot;R$&quot;\ 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1200" b="1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6196390181630713E-2"/>
                      <c:h val="5.590287645975940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68E-4254-963E-2F4FFCDC2183}"/>
                </c:ext>
              </c:extLst>
            </c:dLbl>
            <c:dLbl>
              <c:idx val="4"/>
              <c:layout>
                <c:manualLayout>
                  <c:x val="-4.7309623580123736E-2"/>
                  <c:y val="-4.2198827684135277E-2"/>
                </c:manualLayout>
              </c:layout>
              <c:numFmt formatCode="&quot;R$&quot;\ 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1200" b="1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424689362030453E-2"/>
                      <c:h val="6.268824951692442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A9B-4271-8CE2-5210D91F15BC}"/>
                </c:ext>
              </c:extLst>
            </c:dLbl>
            <c:dLbl>
              <c:idx val="5"/>
              <c:layout>
                <c:manualLayout>
                  <c:x val="-5.8303995788949299E-2"/>
                  <c:y val="-3.838241908064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82D-4E7B-AA1C-FDE020115391}"/>
                </c:ext>
              </c:extLst>
            </c:dLbl>
            <c:dLbl>
              <c:idx val="6"/>
              <c:layout>
                <c:manualLayout>
                  <c:x val="-4.8626063075705495E-2"/>
                  <c:y val="-5.2170152111454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40B-4175-B767-CB983D9814EA}"/>
                </c:ext>
              </c:extLst>
            </c:dLbl>
            <c:dLbl>
              <c:idx val="7"/>
              <c:layout>
                <c:manualLayout>
                  <c:x val="-4.0258352270084348E-2"/>
                  <c:y val="-7.9382211168864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40B-4175-B767-CB983D9814EA}"/>
                </c:ext>
              </c:extLst>
            </c:dLbl>
            <c:dLbl>
              <c:idx val="8"/>
              <c:layout>
                <c:manualLayout>
                  <c:x val="-3.2361360573207126E-2"/>
                  <c:y val="-7.027261131402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DB5-4E0D-ACE9-4A9DAC5C8962}"/>
                </c:ext>
              </c:extLst>
            </c:dLbl>
            <c:dLbl>
              <c:idx val="9"/>
              <c:layout>
                <c:manualLayout>
                  <c:x val="-3.9462616494579605E-2"/>
                  <c:y val="8.1687606597752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9F-4E5E-9907-4041ABDA72D7}"/>
                </c:ext>
              </c:extLst>
            </c:dLbl>
            <c:dLbl>
              <c:idx val="10"/>
              <c:layout>
                <c:manualLayout>
                  <c:x val="-2.5368838609907497E-2"/>
                  <c:y val="-6.3456079327950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9C-4535-B40C-521CA73D2F5F}"/>
                </c:ext>
              </c:extLst>
            </c:dLbl>
            <c:dLbl>
              <c:idx val="11"/>
              <c:layout>
                <c:manualLayout>
                  <c:x val="-6.917153309280521E-3"/>
                  <c:y val="-5.7533349130901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C-4F3B-9A5C-1DA39CC7B933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'Gráficos - Arrecadação'!$P$117:$P$128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  <c:extLst/>
            </c:strRef>
          </c:cat>
          <c:val>
            <c:numRef>
              <c:f>'Gráficos - Arrecadação'!$S$117:$S$128</c:f>
              <c:numCache>
                <c:formatCode>_-[$R$-416]\ * #,##0_-;\-[$R$-416]\ * #,##0_-;_-[$R$-416]\ * "-"??_-;_-@_-</c:formatCode>
                <c:ptCount val="12"/>
                <c:pt idx="0">
                  <c:v>20850868.670000006</c:v>
                </c:pt>
                <c:pt idx="1">
                  <c:v>24643200.429999996</c:v>
                </c:pt>
                <c:pt idx="2">
                  <c:v>25022780.400000002</c:v>
                </c:pt>
                <c:pt idx="3">
                  <c:v>16423502.060000006</c:v>
                </c:pt>
                <c:pt idx="4">
                  <c:v>19444466.520000011</c:v>
                </c:pt>
                <c:pt idx="5">
                  <c:v>18995234.909999996</c:v>
                </c:pt>
                <c:pt idx="6">
                  <c:v>17489413.370000005</c:v>
                </c:pt>
                <c:pt idx="7">
                  <c:v>17109685.619999945</c:v>
                </c:pt>
                <c:pt idx="8">
                  <c:v>14473753.270000011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3-AA43-4B1F-B8E9-DD0A9E48D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632016"/>
        <c:axId val="384632576"/>
        <c:extLst/>
      </c:lineChart>
      <c:catAx>
        <c:axId val="38463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4632576"/>
        <c:crosses val="autoZero"/>
        <c:auto val="1"/>
        <c:lblAlgn val="ctr"/>
        <c:lblOffset val="100"/>
        <c:noMultiLvlLbl val="0"/>
      </c:catAx>
      <c:valAx>
        <c:axId val="384632576"/>
        <c:scaling>
          <c:orientation val="minMax"/>
          <c:min val="6500000"/>
        </c:scaling>
        <c:delete val="1"/>
        <c:axPos val="l"/>
        <c:numFmt formatCode="&quot;R$&quot;\ #,##0.00" sourceLinked="0"/>
        <c:majorTickMark val="out"/>
        <c:minorTickMark val="none"/>
        <c:tickLblPos val="nextTo"/>
        <c:crossAx val="384632016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464327870078754E-2"/>
          <c:y val="0.8660459996076838"/>
          <c:w val="0.21411990411894705"/>
          <c:h val="3.7223230405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77040666974327"/>
          <c:y val="4.138676778823721E-2"/>
          <c:w val="0.83960731362018715"/>
          <c:h val="0.87133129411416166"/>
        </c:manualLayout>
      </c:layout>
      <c:lineChart>
        <c:grouping val="standard"/>
        <c:varyColors val="0"/>
        <c:ser>
          <c:idx val="0"/>
          <c:order val="0"/>
          <c:tx>
            <c:strRef>
              <c:f>'Gráficos - Arrecadação'!$Q$84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307-40EA-AF4B-2FAEB915A61C}"/>
                </c:ext>
              </c:extLst>
            </c:dLbl>
            <c:dLbl>
              <c:idx val="1"/>
              <c:layout>
                <c:manualLayout>
                  <c:x val="-2.0167143910096164E-2"/>
                  <c:y val="2.9173540728971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307-40EA-AF4B-2FAEB915A61C}"/>
                </c:ext>
              </c:extLst>
            </c:dLbl>
            <c:dLbl>
              <c:idx val="2"/>
              <c:layout>
                <c:manualLayout>
                  <c:x val="-1.7124726461861507E-2"/>
                  <c:y val="2.636289200431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307-40EA-AF4B-2FAEB915A61C}"/>
                </c:ext>
              </c:extLst>
            </c:dLbl>
            <c:dLbl>
              <c:idx val="3"/>
              <c:layout>
                <c:manualLayout>
                  <c:x val="-1.2066634018586509E-2"/>
                  <c:y val="2.392325987732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307-40EA-AF4B-2FAEB915A61C}"/>
                </c:ext>
              </c:extLst>
            </c:dLbl>
            <c:dLbl>
              <c:idx val="4"/>
              <c:layout>
                <c:manualLayout>
                  <c:x val="-1.0043577805793E-2"/>
                  <c:y val="3.1554382869633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307-40EA-AF4B-2FAEB915A61C}"/>
                </c:ext>
              </c:extLst>
            </c:dLbl>
            <c:dLbl>
              <c:idx val="5"/>
              <c:layout>
                <c:manualLayout>
                  <c:x val="-1.0007876813802455E-2"/>
                  <c:y val="3.1554382869633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307-40EA-AF4B-2FAEB915A61C}"/>
                </c:ext>
              </c:extLst>
            </c:dLbl>
            <c:dLbl>
              <c:idx val="6"/>
              <c:layout>
                <c:manualLayout>
                  <c:x val="-1.5825180225988715E-2"/>
                  <c:y val="2.3837054871466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307-40EA-AF4B-2FAEB915A61C}"/>
                </c:ext>
              </c:extLst>
            </c:dLbl>
            <c:dLbl>
              <c:idx val="7"/>
              <c:layout>
                <c:manualLayout>
                  <c:x val="-1.4000814344146555E-2"/>
                  <c:y val="2.360494103943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307-40EA-AF4B-2FAEB915A61C}"/>
                </c:ext>
              </c:extLst>
            </c:dLbl>
            <c:dLbl>
              <c:idx val="8"/>
              <c:layout>
                <c:manualLayout>
                  <c:x val="-1.1931512542572067E-2"/>
                  <c:y val="2.757950964886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307-40EA-AF4B-2FAEB915A61C}"/>
                </c:ext>
              </c:extLst>
            </c:dLbl>
            <c:dLbl>
              <c:idx val="9"/>
              <c:layout>
                <c:manualLayout>
                  <c:x val="-1.5913905476125593E-2"/>
                  <c:y val="1.6080127400641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307-40EA-AF4B-2FAEB915A61C}"/>
                </c:ext>
              </c:extLst>
            </c:dLbl>
            <c:dLbl>
              <c:idx val="10"/>
              <c:layout>
                <c:manualLayout>
                  <c:x val="-1.2201604857504085E-2"/>
                  <c:y val="2.392325987732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307-40EA-AF4B-2FAEB915A61C}"/>
                </c:ext>
              </c:extLst>
            </c:dLbl>
            <c:dLbl>
              <c:idx val="11"/>
              <c:layout>
                <c:manualLayout>
                  <c:x val="-2.6045154072376004E-3"/>
                  <c:y val="2.796118764301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1307-40EA-AF4B-2FAEB915A61C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Arrecadação'!$Q$85:$Q$96</c:f>
              <c:numCache>
                <c:formatCode>_-[$R$-416]\ * #,##0_-;\-[$R$-416]\ * #,##0_-;_-[$R$-416]\ * "-"??_-;_-@_-</c:formatCode>
                <c:ptCount val="12"/>
                <c:pt idx="0">
                  <c:v>7250924.0097673479</c:v>
                </c:pt>
                <c:pt idx="1">
                  <c:v>15285894.523920869</c:v>
                </c:pt>
                <c:pt idx="2">
                  <c:v>24063494.476585761</c:v>
                </c:pt>
                <c:pt idx="3">
                  <c:v>32075232.868020844</c:v>
                </c:pt>
                <c:pt idx="4">
                  <c:v>40844019.560462549</c:v>
                </c:pt>
                <c:pt idx="5">
                  <c:v>49392579.832004428</c:v>
                </c:pt>
                <c:pt idx="6">
                  <c:v>59280977.355267935</c:v>
                </c:pt>
                <c:pt idx="7">
                  <c:v>69755899.774108976</c:v>
                </c:pt>
                <c:pt idx="8">
                  <c:v>79455650.864838809</c:v>
                </c:pt>
                <c:pt idx="9">
                  <c:v>90176926.459439576</c:v>
                </c:pt>
                <c:pt idx="10">
                  <c:v>99418188.601490989</c:v>
                </c:pt>
                <c:pt idx="11">
                  <c:v>108190303.97200002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1307-40EA-AF4B-2FAEB915A61C}"/>
            </c:ext>
          </c:extLst>
        </c:ser>
        <c:ser>
          <c:idx val="1"/>
          <c:order val="1"/>
          <c:tx>
            <c:strRef>
              <c:f>'Gráficos - Arrecadação'!$R$84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2342217576499079E-2"/>
                  <c:y val="-4.1701393982312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307-40EA-AF4B-2FAEB915A61C}"/>
                </c:ext>
              </c:extLst>
            </c:dLbl>
            <c:dLbl>
              <c:idx val="1"/>
              <c:layout>
                <c:manualLayout>
                  <c:x val="-5.5255219208880144E-2"/>
                  <c:y val="-3.4050591084766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1307-40EA-AF4B-2FAEB915A61C}"/>
                </c:ext>
              </c:extLst>
            </c:dLbl>
            <c:dLbl>
              <c:idx val="2"/>
              <c:layout>
                <c:manualLayout>
                  <c:x val="-6.5815908512668012E-2"/>
                  <c:y val="-3.1006082479000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307-40EA-AF4B-2FAEB915A61C}"/>
                </c:ext>
              </c:extLst>
            </c:dLbl>
            <c:dLbl>
              <c:idx val="3"/>
              <c:layout>
                <c:manualLayout>
                  <c:x val="-5.1180761353028431E-2"/>
                  <c:y val="-3.5162504051330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1307-40EA-AF4B-2FAEB915A61C}"/>
                </c:ext>
              </c:extLst>
            </c:dLbl>
            <c:dLbl>
              <c:idx val="4"/>
              <c:layout>
                <c:manualLayout>
                  <c:x val="-5.7257612483356486E-2"/>
                  <c:y val="-3.5032739625547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1307-40EA-AF4B-2FAEB915A61C}"/>
                </c:ext>
              </c:extLst>
            </c:dLbl>
            <c:dLbl>
              <c:idx val="5"/>
              <c:layout>
                <c:manualLayout>
                  <c:x val="-6.5045098487287206E-2"/>
                  <c:y val="-3.4817074805231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1307-40EA-AF4B-2FAEB915A61C}"/>
                </c:ext>
              </c:extLst>
            </c:dLbl>
            <c:dLbl>
              <c:idx val="6"/>
              <c:layout>
                <c:manualLayout>
                  <c:x val="-7.6523645279161417E-2"/>
                  <c:y val="-3.0948510937983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1307-40EA-AF4B-2FAEB915A61C}"/>
                </c:ext>
              </c:extLst>
            </c:dLbl>
            <c:dLbl>
              <c:idx val="7"/>
              <c:layout>
                <c:manualLayout>
                  <c:x val="-7.8436736411140531E-2"/>
                  <c:y val="-2.3211383203487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1307-40EA-AF4B-2FAEB915A61C}"/>
                </c:ext>
              </c:extLst>
            </c:dLbl>
            <c:dLbl>
              <c:idx val="8"/>
              <c:layout>
                <c:manualLayout>
                  <c:x val="-7.6523645279161556E-2"/>
                  <c:y val="-1.9342819336239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1307-40EA-AF4B-2FAEB915A61C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B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Arrecadação'!$R$85:$R$96</c:f>
              <c:numCache>
                <c:formatCode>_-[$R$-416]\ * #,##0_-;\-[$R$-416]\ * #,##0_-;_-[$R$-416]\ * "-"??_-;_-@_-</c:formatCode>
                <c:ptCount val="12"/>
                <c:pt idx="0">
                  <c:v>6710688.8399999999</c:v>
                </c:pt>
                <c:pt idx="1">
                  <c:v>14924265.239999998</c:v>
                </c:pt>
                <c:pt idx="2">
                  <c:v>25179154.68</c:v>
                </c:pt>
                <c:pt idx="3">
                  <c:v>33908790.850000001</c:v>
                </c:pt>
                <c:pt idx="4">
                  <c:v>44197712.32</c:v>
                </c:pt>
                <c:pt idx="5">
                  <c:v>53763671.239999995</c:v>
                </c:pt>
                <c:pt idx="6">
                  <c:v>63251623.86999999</c:v>
                </c:pt>
                <c:pt idx="7">
                  <c:v>73709634.499999985</c:v>
                </c:pt>
                <c:pt idx="8">
                  <c:v>83163925.459999979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1307-40EA-AF4B-2FAEB915A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636496"/>
        <c:axId val="384637056"/>
      </c:lineChart>
      <c:catAx>
        <c:axId val="3846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4637056"/>
        <c:crosses val="autoZero"/>
        <c:auto val="1"/>
        <c:lblAlgn val="ctr"/>
        <c:lblOffset val="100"/>
        <c:noMultiLvlLbl val="0"/>
      </c:catAx>
      <c:valAx>
        <c:axId val="38463705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46364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54725102793E-2"/>
                <c:y val="1.9428080492375148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502004176825298"/>
          <c:y val="0.8315638539761071"/>
          <c:w val="0.32259054483960953"/>
          <c:h val="7.05465156755715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0662883012991"/>
          <c:y val="4.1503859829254842E-2"/>
          <c:w val="0.84642831730099644"/>
          <c:h val="0.87096726275359837"/>
        </c:manualLayout>
      </c:layout>
      <c:lineChart>
        <c:grouping val="standard"/>
        <c:varyColors val="0"/>
        <c:ser>
          <c:idx val="2"/>
          <c:order val="0"/>
          <c:tx>
            <c:strRef>
              <c:f>'Gráficos - Arrecadação'!$S$100</c:f>
              <c:strCache>
                <c:ptCount val="1"/>
                <c:pt idx="0">
                  <c:v>Potencial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1.4791195200462525E-2"/>
                  <c:y val="-6.7375747268448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33F-43BF-9E37-08990A252F53}"/>
                </c:ext>
              </c:extLst>
            </c:dLbl>
            <c:dLbl>
              <c:idx val="1"/>
              <c:layout>
                <c:manualLayout>
                  <c:x val="1.8493490774578025E-2"/>
                  <c:y val="-2.9359078537574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33F-43BF-9E37-08990A252F53}"/>
                </c:ext>
              </c:extLst>
            </c:dLbl>
            <c:dLbl>
              <c:idx val="2"/>
              <c:layout>
                <c:manualLayout>
                  <c:x val="2.4022637050429615E-2"/>
                  <c:y val="-3.00508399312467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33F-43BF-9E37-08990A252F53}"/>
                </c:ext>
              </c:extLst>
            </c:dLbl>
            <c:dLbl>
              <c:idx val="3"/>
              <c:layout>
                <c:manualLayout>
                  <c:x val="3.1358471073630836E-2"/>
                  <c:y val="-7.32632710949479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33F-43BF-9E37-08990A252F53}"/>
                </c:ext>
              </c:extLst>
            </c:dLbl>
            <c:dLbl>
              <c:idx val="4"/>
              <c:layout>
                <c:manualLayout>
                  <c:x val="3.135600510079229E-2"/>
                  <c:y val="3.464848552587459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33F-43BF-9E37-08990A252F53}"/>
                </c:ext>
              </c:extLst>
            </c:dLbl>
            <c:dLbl>
              <c:idx val="5"/>
              <c:layout>
                <c:manualLayout>
                  <c:x val="2.1957348820463501E-2"/>
                  <c:y val="5.311859256976420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33F-43BF-9E37-08990A252F53}"/>
                </c:ext>
              </c:extLst>
            </c:dLbl>
            <c:dLbl>
              <c:idx val="6"/>
              <c:layout>
                <c:manualLayout>
                  <c:x val="-4.3687345947123014E-2"/>
                  <c:y val="-5.5335958563927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33F-43BF-9E37-08990A252F53}"/>
                </c:ext>
              </c:extLst>
            </c:dLbl>
            <c:dLbl>
              <c:idx val="7"/>
              <c:layout>
                <c:manualLayout>
                  <c:x val="-5.4722405698415577E-2"/>
                  <c:y val="-4.7028522775649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33F-43BF-9E37-08990A252F53}"/>
                </c:ext>
              </c:extLst>
            </c:dLbl>
            <c:dLbl>
              <c:idx val="8"/>
              <c:layout>
                <c:manualLayout>
                  <c:x val="-5.9779349488449957E-2"/>
                  <c:y val="-5.3928267347807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33F-43BF-9E37-08990A252F53}"/>
                </c:ext>
              </c:extLst>
            </c:dLbl>
            <c:dLbl>
              <c:idx val="9"/>
              <c:layout>
                <c:manualLayout>
                  <c:x val="-5.6102987374565268E-2"/>
                  <c:y val="-4.2523059457925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3F-43BF-9E37-08990A252F53}"/>
                </c:ext>
              </c:extLst>
            </c:dLbl>
            <c:dLbl>
              <c:idx val="10"/>
              <c:layout>
                <c:manualLayout>
                  <c:x val="-5.1505272077043231E-2"/>
                  <c:y val="-4.7028522775649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3F-43BF-9E37-08990A252F53}"/>
                </c:ext>
              </c:extLst>
            </c:dLbl>
            <c:dLbl>
              <c:idx val="11"/>
              <c:layout>
                <c:manualLayout>
                  <c:x val="-1.196238634456852E-2"/>
                  <c:y val="3.0293742017879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3F-43BF-9E37-08990A252F53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Arrecadação'!$S$101:$S$112</c:f>
              <c:numCache>
                <c:formatCode>_-[$R$-416]\ * #,##0_-;\-[$R$-416]\ * #,##0_-;_-[$R$-416]\ * "-"??_-;_-@_-</c:formatCode>
                <c:ptCount val="12"/>
                <c:pt idx="0">
                  <c:v>933297.32066012197</c:v>
                </c:pt>
                <c:pt idx="1">
                  <c:v>1717744.9444766585</c:v>
                </c:pt>
                <c:pt idx="2">
                  <c:v>2371460.0052713524</c:v>
                </c:pt>
                <c:pt idx="3">
                  <c:v>2979104.5199988051</c:v>
                </c:pt>
                <c:pt idx="4">
                  <c:v>3527169.2917677076</c:v>
                </c:pt>
                <c:pt idx="5">
                  <c:v>4103179.7172057563</c:v>
                </c:pt>
                <c:pt idx="6">
                  <c:v>4889670.663709715</c:v>
                </c:pt>
                <c:pt idx="7">
                  <c:v>5695363.1442265818</c:v>
                </c:pt>
                <c:pt idx="8">
                  <c:v>6475454.3837531153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33F-43BF-9E37-08990A252F53}"/>
            </c:ext>
          </c:extLst>
        </c:ser>
        <c:ser>
          <c:idx val="0"/>
          <c:order val="1"/>
          <c:tx>
            <c:strRef>
              <c:f>'Gráficos - Arrecadação'!$Q$100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7.3312089694464785E-3"/>
                  <c:y val="1.5787452781365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433F-43BF-9E37-08990A252F53}"/>
                </c:ext>
              </c:extLst>
            </c:dLbl>
            <c:dLbl>
              <c:idx val="1"/>
              <c:layout>
                <c:manualLayout>
                  <c:x val="-5.4936072555303427E-3"/>
                  <c:y val="1.5762191161766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433F-43BF-9E37-08990A252F53}"/>
                </c:ext>
              </c:extLst>
            </c:dLbl>
            <c:dLbl>
              <c:idx val="2"/>
              <c:layout>
                <c:manualLayout>
                  <c:x val="-5.4803038167005524E-3"/>
                  <c:y val="1.5776525528036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433F-43BF-9E37-08990A252F53}"/>
                </c:ext>
              </c:extLst>
            </c:dLbl>
            <c:dLbl>
              <c:idx val="4"/>
              <c:layout>
                <c:manualLayout>
                  <c:x val="-1.8355845259936064E-3"/>
                  <c:y val="3.8363765227962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433F-43BF-9E37-08990A252F53}"/>
                </c:ext>
              </c:extLst>
            </c:dLbl>
            <c:dLbl>
              <c:idx val="6"/>
              <c:layout>
                <c:manualLayout>
                  <c:x val="-7.3689323994689327E-3"/>
                  <c:y val="1.5326990467489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33F-43BF-9E37-08990A252F53}"/>
                </c:ext>
              </c:extLst>
            </c:dLbl>
            <c:dLbl>
              <c:idx val="7"/>
              <c:layout>
                <c:manualLayout>
                  <c:x val="-5.5266803030128726E-3"/>
                  <c:y val="1.9182029911883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433F-43BF-9E37-08990A252F53}"/>
                </c:ext>
              </c:extLst>
            </c:dLbl>
            <c:dLbl>
              <c:idx val="8"/>
              <c:layout>
                <c:manualLayout>
                  <c:x val="-7.368907070684055E-3"/>
                  <c:y val="1.1509217947130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433F-43BF-9E37-08990A252F53}"/>
                </c:ext>
              </c:extLst>
            </c:dLbl>
            <c:dLbl>
              <c:idx val="9"/>
              <c:layout>
                <c:manualLayout>
                  <c:x val="-9.2111338383550345E-3"/>
                  <c:y val="1.9182029911883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433F-43BF-9E37-08990A252F53}"/>
                </c:ext>
              </c:extLst>
            </c:dLbl>
            <c:dLbl>
              <c:idx val="10"/>
              <c:layout>
                <c:manualLayout>
                  <c:x val="-7.3689070706839206E-3"/>
                  <c:y val="1.1509217947130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433F-43BF-9E37-08990A252F53}"/>
                </c:ext>
              </c:extLst>
            </c:dLbl>
            <c:dLbl>
              <c:idx val="11"/>
              <c:layout>
                <c:manualLayout>
                  <c:x val="-4.0630045501247611E-3"/>
                  <c:y val="2.6854689938981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433F-43BF-9E37-08990A252F53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Arrecadação'!$Q$101:$Q$112</c:f>
              <c:numCache>
                <c:formatCode>_-[$R$-416]\ * #,##0_-;\-[$R$-416]\ * #,##0_-;_-[$R$-416]\ * "-"??_-;_-@_-</c:formatCode>
                <c:ptCount val="12"/>
                <c:pt idx="0">
                  <c:v>806024.23388548277</c:v>
                </c:pt>
                <c:pt idx="1">
                  <c:v>1483497.2974134013</c:v>
                </c:pt>
                <c:pt idx="2">
                  <c:v>2048065.7038497992</c:v>
                </c:pt>
                <c:pt idx="3">
                  <c:v>2572846.1715698736</c:v>
                </c:pt>
                <c:pt idx="4">
                  <c:v>3046171.7431810712</c:v>
                </c:pt>
                <c:pt idx="5">
                  <c:v>3543632.0396976946</c:v>
                </c:pt>
                <c:pt idx="6">
                  <c:v>4222869.7794624902</c:v>
                </c:pt>
                <c:pt idx="7">
                  <c:v>4918690.5538075566</c:v>
                </c:pt>
                <c:pt idx="8">
                  <c:v>5592401.3100491157</c:v>
                </c:pt>
                <c:pt idx="9">
                  <c:v>6384917.6231790138</c:v>
                </c:pt>
                <c:pt idx="10">
                  <c:v>7119100.0584494928</c:v>
                </c:pt>
                <c:pt idx="11">
                  <c:v>7965457.1692857081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7-433F-43BF-9E37-08990A252F53}"/>
            </c:ext>
          </c:extLst>
        </c:ser>
        <c:ser>
          <c:idx val="1"/>
          <c:order val="2"/>
          <c:tx>
            <c:strRef>
              <c:f>'Gráficos - Arrecadação'!$R$100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893094430736779E-2"/>
                  <c:y val="-3.605718745565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433F-43BF-9E37-08990A252F53}"/>
                </c:ext>
              </c:extLst>
            </c:dLbl>
            <c:dLbl>
              <c:idx val="1"/>
              <c:layout>
                <c:manualLayout>
                  <c:x val="-6.5353083718422161E-2"/>
                  <c:y val="-2.7409181211863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433F-43BF-9E37-08990A252F53}"/>
                </c:ext>
              </c:extLst>
            </c:dLbl>
            <c:dLbl>
              <c:idx val="2"/>
              <c:layout>
                <c:manualLayout>
                  <c:x val="-5.9348901969650369E-2"/>
                  <c:y val="-4.4335178089967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433F-43BF-9E37-08990A252F53}"/>
                </c:ext>
              </c:extLst>
            </c:dLbl>
            <c:dLbl>
              <c:idx val="3"/>
              <c:layout>
                <c:manualLayout>
                  <c:x val="-5.9392163936426268E-2"/>
                  <c:y val="-4.737512416631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433F-43BF-9E37-08990A252F53}"/>
                </c:ext>
              </c:extLst>
            </c:dLbl>
            <c:dLbl>
              <c:idx val="4"/>
              <c:layout>
                <c:manualLayout>
                  <c:x val="-7.5011906091484032E-2"/>
                  <c:y val="-6.606605647793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433F-43BF-9E37-08990A252F53}"/>
                </c:ext>
              </c:extLst>
            </c:dLbl>
            <c:dLbl>
              <c:idx val="5"/>
              <c:layout>
                <c:manualLayout>
                  <c:x val="-3.4876105993877242E-2"/>
                  <c:y val="-3.083913717193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433F-43BF-9E37-08990A252F53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rgbClr val="00B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Arrecadação'!$R$101:$R$112</c:f>
              <c:numCache>
                <c:formatCode>_-[$R$-416]\ * #,##0_-;\-[$R$-416]\ * #,##0_-;_-[$R$-416]\ * "-"??_-;_-@_-</c:formatCode>
                <c:ptCount val="12"/>
                <c:pt idx="0">
                  <c:v>653615.37</c:v>
                </c:pt>
                <c:pt idx="1">
                  <c:v>1506919.51</c:v>
                </c:pt>
                <c:pt idx="2">
                  <c:v>2454853.16</c:v>
                </c:pt>
                <c:pt idx="3">
                  <c:v>3136036.34</c:v>
                </c:pt>
                <c:pt idx="4">
                  <c:v>3999978.4699999997</c:v>
                </c:pt>
                <c:pt idx="5">
                  <c:v>4757261.93</c:v>
                </c:pt>
                <c:pt idx="6">
                  <c:v>5689663.9900000002</c:v>
                </c:pt>
                <c:pt idx="7">
                  <c:v>6941469.9500000002</c:v>
                </c:pt>
                <c:pt idx="8">
                  <c:v>8087112.54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33F-43BF-9E37-08990A252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640976"/>
        <c:axId val="384641536"/>
      </c:lineChart>
      <c:catAx>
        <c:axId val="384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4641536"/>
        <c:crosses val="autoZero"/>
        <c:auto val="1"/>
        <c:lblAlgn val="ctr"/>
        <c:lblOffset val="100"/>
        <c:noMultiLvlLbl val="0"/>
      </c:catAx>
      <c:valAx>
        <c:axId val="384641536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46409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768743906911E-2"/>
                <c:y val="7.1952897724031711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2779877648650075"/>
          <c:y val="0.83462420141463689"/>
          <c:w val="0.43937532575028232"/>
          <c:h val="6.65018395984256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27180664416113"/>
          <c:y val="4.14062229077483E-2"/>
          <c:w val="0.85899717029669009"/>
          <c:h val="0.87127080944275281"/>
        </c:manualLayout>
      </c:layout>
      <c:lineChart>
        <c:grouping val="standard"/>
        <c:varyColors val="0"/>
        <c:ser>
          <c:idx val="0"/>
          <c:order val="0"/>
          <c:tx>
            <c:strRef>
              <c:f>'Gráficos - Arrecadação'!$Q$68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6.7318709258608125E-2"/>
                  <c:y val="-4.422030406365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5CD-40C7-A525-0F1F05B89684}"/>
                </c:ext>
              </c:extLst>
            </c:dLbl>
            <c:dLbl>
              <c:idx val="1"/>
              <c:layout>
                <c:manualLayout>
                  <c:x val="-8.4692867382543072E-2"/>
                  <c:y val="-2.6935919295254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5CD-40C7-A525-0F1F05B89684}"/>
                </c:ext>
              </c:extLst>
            </c:dLbl>
            <c:dLbl>
              <c:idx val="2"/>
              <c:layout>
                <c:manualLayout>
                  <c:x val="-8.9270689639627462E-2"/>
                  <c:y val="-3.0890522875816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5CD-40C7-A525-0F1F05B89684}"/>
                </c:ext>
              </c:extLst>
            </c:dLbl>
            <c:dLbl>
              <c:idx val="3"/>
              <c:layout>
                <c:manualLayout>
                  <c:x val="-8.4695572205241945E-2"/>
                  <c:y val="-3.9836246092639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5CD-40C7-A525-0F1F05B89684}"/>
                </c:ext>
              </c:extLst>
            </c:dLbl>
            <c:dLbl>
              <c:idx val="4"/>
              <c:layout>
                <c:manualLayout>
                  <c:x val="-8.3797210426189941E-2"/>
                  <c:y val="-3.5932793407217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5CD-40C7-A525-0F1F05B89684}"/>
                </c:ext>
              </c:extLst>
            </c:dLbl>
            <c:dLbl>
              <c:idx val="5"/>
              <c:layout>
                <c:manualLayout>
                  <c:x val="-1.6438289470125232E-2"/>
                  <c:y val="1.8834896277351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5CD-40C7-A525-0F1F05B89684}"/>
                </c:ext>
              </c:extLst>
            </c:dLbl>
            <c:dLbl>
              <c:idx val="6"/>
              <c:layout>
                <c:manualLayout>
                  <c:x val="-2.9730929000145269E-2"/>
                  <c:y val="3.6981587408353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5CD-40C7-A525-0F1F05B89684}"/>
                </c:ext>
              </c:extLst>
            </c:dLbl>
            <c:dLbl>
              <c:idx val="7"/>
              <c:layout>
                <c:manualLayout>
                  <c:x val="-2.6046475464803241E-2"/>
                  <c:y val="4.075788793569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5CD-40C7-A525-0F1F05B89684}"/>
                </c:ext>
              </c:extLst>
            </c:dLbl>
            <c:dLbl>
              <c:idx val="8"/>
              <c:layout>
                <c:manualLayout>
                  <c:x val="-1.8675102421280707E-2"/>
                  <c:y val="3.3052499045452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5CD-40C7-A525-0F1F05B89684}"/>
                </c:ext>
              </c:extLst>
            </c:dLbl>
            <c:dLbl>
              <c:idx val="9"/>
              <c:layout>
                <c:manualLayout>
                  <c:x val="-2.2362021929461417E-2"/>
                  <c:y val="3.3129043641569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55CD-40C7-A525-0F1F05B89684}"/>
                </c:ext>
              </c:extLst>
            </c:dLbl>
            <c:dLbl>
              <c:idx val="10"/>
              <c:layout>
                <c:manualLayout>
                  <c:x val="-2.4201782724293647E-2"/>
                  <c:y val="3.690534416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5CD-40C7-A525-0F1F05B89684}"/>
                </c:ext>
              </c:extLst>
            </c:dLbl>
            <c:dLbl>
              <c:idx val="11"/>
              <c:layout>
                <c:manualLayout>
                  <c:x val="-8.137751357698517E-3"/>
                  <c:y val="3.302713839158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55CD-40C7-A525-0F1F05B89684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Arrecadação'!$Q$69:$Q$80</c:f>
              <c:numCache>
                <c:formatCode>_-[$R$-416]\ * #,##0_-;\-[$R$-416]\ * #,##0_-;_-[$R$-416]\ * "-"??_-;_-@_-</c:formatCode>
                <c:ptCount val="12"/>
                <c:pt idx="0">
                  <c:v>355455.89127551753</c:v>
                </c:pt>
                <c:pt idx="1">
                  <c:v>657632.93539569969</c:v>
                </c:pt>
                <c:pt idx="2">
                  <c:v>892200.03768604691</c:v>
                </c:pt>
                <c:pt idx="3">
                  <c:v>1096140.990105195</c:v>
                </c:pt>
                <c:pt idx="4">
                  <c:v>1275804.9312838914</c:v>
                </c:pt>
                <c:pt idx="5">
                  <c:v>1458629.7889792309</c:v>
                </c:pt>
                <c:pt idx="6">
                  <c:v>1696796.0090236673</c:v>
                </c:pt>
                <c:pt idx="7">
                  <c:v>1937976.3969157287</c:v>
                </c:pt>
                <c:pt idx="8">
                  <c:v>2132604.8022738365</c:v>
                </c:pt>
                <c:pt idx="9">
                  <c:v>2380233.0535183935</c:v>
                </c:pt>
                <c:pt idx="10">
                  <c:v>2568201.8132475866</c:v>
                </c:pt>
                <c:pt idx="11">
                  <c:v>2800012.5260000005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55CD-40C7-A525-0F1F05B89684}"/>
            </c:ext>
          </c:extLst>
        </c:ser>
        <c:ser>
          <c:idx val="1"/>
          <c:order val="1"/>
          <c:tx>
            <c:strRef>
              <c:f>'Gráficos - Arrecadação'!$R$68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7.3071126924927517E-3"/>
                  <c:y val="2.03717114075858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55CD-40C7-A525-0F1F05B89684}"/>
                </c:ext>
              </c:extLst>
            </c:dLbl>
            <c:dLbl>
              <c:idx val="1"/>
              <c:layout>
                <c:manualLayout>
                  <c:x val="-5.9109392046017631E-3"/>
                  <c:y val="3.4925404944586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55CD-40C7-A525-0F1F05B89684}"/>
                </c:ext>
              </c:extLst>
            </c:dLbl>
            <c:dLbl>
              <c:idx val="2"/>
              <c:layout>
                <c:manualLayout>
                  <c:x val="-1.2333450542316993E-2"/>
                  <c:y val="3.2924481386757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55CD-40C7-A525-0F1F05B89684}"/>
                </c:ext>
              </c:extLst>
            </c:dLbl>
            <c:dLbl>
              <c:idx val="3"/>
              <c:layout>
                <c:manualLayout>
                  <c:x val="-3.6845094804036013E-3"/>
                  <c:y val="1.9820261437908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55CD-40C7-A525-0F1F05B89684}"/>
                </c:ext>
              </c:extLst>
            </c:dLbl>
            <c:dLbl>
              <c:idx val="4"/>
              <c:layout>
                <c:manualLayout>
                  <c:x val="-5.5266803030129402E-3"/>
                  <c:y val="1.530891922345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55CD-40C7-A525-0F1F05B89684}"/>
                </c:ext>
              </c:extLst>
            </c:dLbl>
            <c:dLbl>
              <c:idx val="5"/>
              <c:layout>
                <c:manualLayout>
                  <c:x val="-5.5895882358244837E-2"/>
                  <c:y val="-5.4134697357203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55CD-40C7-A525-0F1F05B89684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Arrecadação'!$R$69:$R$80</c:f>
              <c:numCache>
                <c:formatCode>_-[$R$-416]\ * #,##0_-;\-[$R$-416]\ * #,##0_-;_-[$R$-416]\ * "-"??_-;_-@_-</c:formatCode>
                <c:ptCount val="12"/>
                <c:pt idx="0">
                  <c:v>273703.60000000003</c:v>
                </c:pt>
                <c:pt idx="1">
                  <c:v>639245.17999999993</c:v>
                </c:pt>
                <c:pt idx="2">
                  <c:v>1013167.1299999999</c:v>
                </c:pt>
                <c:pt idx="3">
                  <c:v>1260635.3899999999</c:v>
                </c:pt>
                <c:pt idx="4">
                  <c:v>1569367.39</c:v>
                </c:pt>
                <c:pt idx="5">
                  <c:v>1825059.48</c:v>
                </c:pt>
                <c:pt idx="6">
                  <c:v>2041703.08</c:v>
                </c:pt>
                <c:pt idx="7">
                  <c:v>2446736.0700000003</c:v>
                </c:pt>
                <c:pt idx="8">
                  <c:v>2824767.0400000005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CD-40C7-A525-0F1F05B89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966304"/>
        <c:axId val="386966864"/>
      </c:lineChart>
      <c:catAx>
        <c:axId val="38696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6966864"/>
        <c:crosses val="autoZero"/>
        <c:auto val="1"/>
        <c:lblAlgn val="ctr"/>
        <c:lblOffset val="100"/>
        <c:noMultiLvlLbl val="0"/>
      </c:catAx>
      <c:valAx>
        <c:axId val="38696686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69663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8.2555261647538503E-3"/>
                <c:y val="1.5614325189714303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4868904697247611"/>
          <c:y val="0.81289870532195929"/>
          <c:w val="0.38146717096212207"/>
          <c:h val="8.18722844764602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95846176427417"/>
          <c:y val="4.1406210635201501E-2"/>
          <c:w val="0.82700003669455457"/>
          <c:h val="0.87127084759728379"/>
        </c:manualLayout>
      </c:layout>
      <c:lineChart>
        <c:grouping val="standard"/>
        <c:varyColors val="0"/>
        <c:ser>
          <c:idx val="0"/>
          <c:order val="0"/>
          <c:tx>
            <c:strRef>
              <c:f>'Gráficos - Arrecadação'!$Q$36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5.9441678820227406E-3"/>
                  <c:y val="7.52840193367300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04D-4E20-B38A-200C0FD1FC49}"/>
                </c:ext>
              </c:extLst>
            </c:dLbl>
            <c:dLbl>
              <c:idx val="11"/>
              <c:layout>
                <c:manualLayout>
                  <c:x val="-3.876372411338664E-3"/>
                  <c:y val="-1.725238846360355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04D-4E20-B38A-200C0FD1FC49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Arrecadação'!$Q$37:$Q$48</c:f>
              <c:numCache>
                <c:formatCode>_-[$R$-416]\ * #,##0_-;\-[$R$-416]\ * #,##0_-;_-[$R$-416]\ * "-"??_-;_-@_-</c:formatCode>
                <c:ptCount val="12"/>
                <c:pt idx="0">
                  <c:v>2267417.3715040069</c:v>
                </c:pt>
                <c:pt idx="1">
                  <c:v>4015108.5195592274</c:v>
                </c:pt>
                <c:pt idx="2">
                  <c:v>5395529.5701630656</c:v>
                </c:pt>
                <c:pt idx="3">
                  <c:v>6635371.2627898455</c:v>
                </c:pt>
                <c:pt idx="4">
                  <c:v>7721041.6845208984</c:v>
                </c:pt>
                <c:pt idx="5">
                  <c:v>8753842.54612788</c:v>
                </c:pt>
                <c:pt idx="6">
                  <c:v>10149068.112386934</c:v>
                </c:pt>
                <c:pt idx="7">
                  <c:v>11519535.891210407</c:v>
                </c:pt>
                <c:pt idx="8">
                  <c:v>12701239.474559357</c:v>
                </c:pt>
                <c:pt idx="9">
                  <c:v>14357984.204981059</c:v>
                </c:pt>
                <c:pt idx="10">
                  <c:v>15406149.681081541</c:v>
                </c:pt>
                <c:pt idx="11">
                  <c:v>16761168.281999998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04D-4E20-B38A-200C0FD1FC49}"/>
            </c:ext>
          </c:extLst>
        </c:ser>
        <c:ser>
          <c:idx val="1"/>
          <c:order val="1"/>
          <c:tx>
            <c:strRef>
              <c:f>'Gráficos - Arrecadação'!$R$36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6.0230515053014896E-3"/>
                  <c:y val="3.08890594567684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04D-4E20-B38A-200C0FD1FC49}"/>
                </c:ext>
              </c:extLst>
            </c:dLbl>
            <c:dLbl>
              <c:idx val="1"/>
              <c:layout>
                <c:manualLayout>
                  <c:x val="-6.0249283325688229E-3"/>
                  <c:y val="7.04330826949845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C04D-4E20-B38A-200C0FD1FC49}"/>
                </c:ext>
              </c:extLst>
            </c:dLbl>
            <c:dLbl>
              <c:idx val="2"/>
              <c:layout>
                <c:manualLayout>
                  <c:x val="-6.0269615621083589E-3"/>
                  <c:y val="1.4748697159743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04D-4E20-B38A-200C0FD1FC49}"/>
                </c:ext>
              </c:extLst>
            </c:dLbl>
            <c:dLbl>
              <c:idx val="3"/>
              <c:layout>
                <c:manualLayout>
                  <c:x val="-7.9314720315982641E-3"/>
                  <c:y val="1.8932431915239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04D-4E20-B38A-200C0FD1FC49}"/>
                </c:ext>
              </c:extLst>
            </c:dLbl>
            <c:dLbl>
              <c:idx val="4"/>
              <c:layout>
                <c:manualLayout>
                  <c:x val="-3.9598143048194256E-3"/>
                  <c:y val="3.6927107494673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04D-4E20-B38A-200C0FD1FC49}"/>
                </c:ext>
              </c:extLst>
            </c:dLbl>
            <c:dLbl>
              <c:idx val="5"/>
              <c:layout>
                <c:manualLayout>
                  <c:x val="-7.9255571760303688E-3"/>
                  <c:y val="7.69125486153924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C04D-4E20-B38A-200C0FD1FC49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rgbClr val="92D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Arrecadação'!$R$37:$R$48</c:f>
              <c:numCache>
                <c:formatCode>_-[$R$-416]\ * #,##0_-;\-[$R$-416]\ * #,##0_-;_-[$R$-416]\ * "-"??_-;_-@_-</c:formatCode>
                <c:ptCount val="12"/>
                <c:pt idx="0">
                  <c:v>1624877.0600000003</c:v>
                </c:pt>
                <c:pt idx="1">
                  <c:v>3524453.2200000007</c:v>
                </c:pt>
                <c:pt idx="2">
                  <c:v>5532964.6900000013</c:v>
                </c:pt>
                <c:pt idx="3">
                  <c:v>6889303.290000001</c:v>
                </c:pt>
                <c:pt idx="4">
                  <c:v>8501206.7300000004</c:v>
                </c:pt>
                <c:pt idx="5">
                  <c:v>9916700.8599999994</c:v>
                </c:pt>
                <c:pt idx="6">
                  <c:v>11128942.629999999</c:v>
                </c:pt>
                <c:pt idx="7">
                  <c:v>12539439.719999999</c:v>
                </c:pt>
                <c:pt idx="8">
                  <c:v>13690888.369999999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4D-4E20-B38A-200C0FD1F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970784"/>
        <c:axId val="38697134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'Gráficos - Arrecadação'!$U$36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'Gráficos - Arrecadação'!$P$37:$P$48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'Gráficos - Arrecadação'!$U$37:$U$48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1624877.0600000003</c:v>
                      </c:pt>
                      <c:pt idx="1">
                        <c:v>#N/A</c:v>
                      </c:pt>
                      <c:pt idx="2">
                        <c:v>0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A-C04D-4E20-B38A-200C0FD1FC49}"/>
                  </c:ext>
                </c:extLst>
              </c15:ser>
            </c15:filteredLineSeries>
          </c:ext>
        </c:extLst>
      </c:lineChart>
      <c:catAx>
        <c:axId val="38697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6971344"/>
        <c:crosses val="autoZero"/>
        <c:auto val="1"/>
        <c:lblAlgn val="ctr"/>
        <c:lblOffset val="100"/>
        <c:noMultiLvlLbl val="0"/>
      </c:catAx>
      <c:valAx>
        <c:axId val="3869713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69707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4126172564501159E-2"/>
                <c:y val="1.5614320561725487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0287978552319"/>
          <c:y val="0.83548396657863766"/>
          <c:w val="0.34386090709562028"/>
          <c:h val="5.92870544090056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1060399703717"/>
          <c:y val="4.1425708610913256E-2"/>
          <c:w val="0.85757422001460815"/>
          <c:h val="0.87121022968880013"/>
        </c:manualLayout>
      </c:layout>
      <c:lineChart>
        <c:grouping val="standard"/>
        <c:varyColors val="0"/>
        <c:ser>
          <c:idx val="1"/>
          <c:order val="0"/>
          <c:tx>
            <c:strRef>
              <c:f>'Gráficos - Arrecadação'!$S$52</c:f>
              <c:strCache>
                <c:ptCount val="1"/>
                <c:pt idx="0">
                  <c:v>Potencial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7.8961615181936659E-2"/>
                  <c:y val="-4.5592051005856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6FE-4718-BF94-361D21E74146}"/>
                </c:ext>
              </c:extLst>
            </c:dLbl>
            <c:dLbl>
              <c:idx val="1"/>
              <c:layout>
                <c:manualLayout>
                  <c:x val="-6.6326300825779047E-2"/>
                  <c:y val="-4.1864896315463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6FE-4718-BF94-361D21E74146}"/>
                </c:ext>
              </c:extLst>
            </c:dLbl>
            <c:dLbl>
              <c:idx val="2"/>
              <c:layout>
                <c:manualLayout>
                  <c:x val="-5.1697308919017082E-2"/>
                  <c:y val="-6.483926988549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6FE-4718-BF94-361D21E74146}"/>
                </c:ext>
              </c:extLst>
            </c:dLbl>
            <c:dLbl>
              <c:idx val="3"/>
              <c:layout>
                <c:manualLayout>
                  <c:x val="-3.9758720184290892E-2"/>
                  <c:y val="-7.6249871862129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6FE-4718-BF94-361D21E74146}"/>
                </c:ext>
              </c:extLst>
            </c:dLbl>
            <c:dLbl>
              <c:idx val="4"/>
              <c:layout>
                <c:manualLayout>
                  <c:x val="-4.373427869759311E-2"/>
                  <c:y val="-6.8668330951476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6FE-4718-BF94-361D21E74146}"/>
                </c:ext>
              </c:extLst>
            </c:dLbl>
            <c:dLbl>
              <c:idx val="5"/>
              <c:layout>
                <c:manualLayout>
                  <c:x val="-4.5729372578376726E-2"/>
                  <c:y val="-5.3425692962299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6FE-4718-BF94-361D21E74146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6FE-4718-BF94-361D21E74146}"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6FE-4718-BF94-361D21E74146}"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06FE-4718-BF94-361D21E74146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FE-4718-BF94-361D21E74146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FE-4718-BF94-361D21E74146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FE-4718-BF94-361D21E74146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Arrecadação'!$S$53:$S$64</c:f>
              <c:numCache>
                <c:formatCode>_-[$R$-416]\ * #,##0_-;\-[$R$-416]\ * #,##0_-;_-[$R$-416]\ * "-"??_-;_-@_-</c:formatCode>
                <c:ptCount val="12"/>
                <c:pt idx="0">
                  <c:v>1926442.4732265207</c:v>
                </c:pt>
                <c:pt idx="1">
                  <c:v>4264980.4776132097</c:v>
                </c:pt>
                <c:pt idx="2">
                  <c:v>5306578.8374429336</c:v>
                </c:pt>
                <c:pt idx="3">
                  <c:v>6174520.6920783566</c:v>
                </c:pt>
                <c:pt idx="4">
                  <c:v>7095244.8123568492</c:v>
                </c:pt>
                <c:pt idx="5">
                  <c:v>8100253.3602671716</c:v>
                </c:pt>
                <c:pt idx="6">
                  <c:v>8700173.8804929536</c:v>
                </c:pt>
                <c:pt idx="7">
                  <c:v>9337262.7852477971</c:v>
                </c:pt>
                <c:pt idx="8">
                  <c:v>9682777.6393550113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FE-4718-BF94-361D21E74146}"/>
            </c:ext>
          </c:extLst>
        </c:ser>
        <c:ser>
          <c:idx val="0"/>
          <c:order val="1"/>
          <c:tx>
            <c:strRef>
              <c:f>'Gráficos - Arrecadação'!$Q$52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7.9893019510521315E-2"/>
                  <c:y val="1.453445250456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06FE-4718-BF94-361D21E74146}"/>
                </c:ext>
              </c:extLst>
            </c:dLbl>
            <c:dLbl>
              <c:idx val="1"/>
              <c:layout>
                <c:manualLayout>
                  <c:x val="-9.0640650181724347E-2"/>
                  <c:y val="-1.1074031815548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06FE-4718-BF94-361D21E74146}"/>
                </c:ext>
              </c:extLst>
            </c:dLbl>
            <c:dLbl>
              <c:idx val="2"/>
              <c:layout>
                <c:manualLayout>
                  <c:x val="-8.8656214262459898E-2"/>
                  <c:y val="-3.0182790841807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06FE-4718-BF94-361D21E74146}"/>
                </c:ext>
              </c:extLst>
            </c:dLbl>
            <c:dLbl>
              <c:idx val="3"/>
              <c:layout>
                <c:manualLayout>
                  <c:x val="-7.9980028798678202E-2"/>
                  <c:y val="-4.5498801226216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06FE-4718-BF94-361D21E74146}"/>
                </c:ext>
              </c:extLst>
            </c:dLbl>
            <c:dLbl>
              <c:idx val="4"/>
              <c:layout>
                <c:manualLayout>
                  <c:x val="-7.9980028798678243E-2"/>
                  <c:y val="-3.784061875306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06FE-4718-BF94-361D21E74146}"/>
                </c:ext>
              </c:extLst>
            </c:dLbl>
            <c:dLbl>
              <c:idx val="5"/>
              <c:layout>
                <c:manualLayout>
                  <c:x val="-7.2798114842893419E-2"/>
                  <c:y val="-4.5717713387248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06FE-4718-BF94-361D21E74146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Arrecadação'!$Q$53:$Q$64</c:f>
              <c:numCache>
                <c:formatCode>_-[$R$-416]\ * #,##0_-;\-[$R$-416]\ * #,##0_-;_-[$R$-416]\ * "-"??_-;_-@_-</c:formatCode>
                <c:ptCount val="12"/>
                <c:pt idx="0">
                  <c:v>1018975.0580793833</c:v>
                </c:pt>
                <c:pt idx="1">
                  <c:v>2255924.4775186926</c:v>
                </c:pt>
                <c:pt idx="2">
                  <c:v>2806868.906928645</c:v>
                </c:pt>
                <c:pt idx="3">
                  <c:v>3265959.2322449223</c:v>
                </c:pt>
                <c:pt idx="4">
                  <c:v>3752968.2797377976</c:v>
                </c:pt>
                <c:pt idx="5">
                  <c:v>4284558.8450984173</c:v>
                </c:pt>
                <c:pt idx="6">
                  <c:v>4601881.6073588617</c:v>
                </c:pt>
                <c:pt idx="7">
                  <c:v>4938864.2646385338</c:v>
                </c:pt>
                <c:pt idx="8">
                  <c:v>5121621.3536376767</c:v>
                </c:pt>
                <c:pt idx="9">
                  <c:v>5274157.0545247076</c:v>
                </c:pt>
                <c:pt idx="10">
                  <c:v>5429871.5489863567</c:v>
                </c:pt>
                <c:pt idx="11">
                  <c:v>5588402.3580000009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06FE-4718-BF94-361D21E74146}"/>
            </c:ext>
          </c:extLst>
        </c:ser>
        <c:ser>
          <c:idx val="2"/>
          <c:order val="2"/>
          <c:tx>
            <c:strRef>
              <c:f>'Gráficos - Arrecadação'!$R$52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3914527549355914E-2"/>
                  <c:y val="2.282144317176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06FE-4718-BF94-361D21E74146}"/>
                </c:ext>
              </c:extLst>
            </c:dLbl>
            <c:dLbl>
              <c:idx val="1"/>
              <c:layout>
                <c:manualLayout>
                  <c:x val="-1.3936735364132175E-2"/>
                  <c:y val="2.2971845344812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06FE-4718-BF94-361D21E74146}"/>
                </c:ext>
              </c:extLst>
            </c:dLbl>
            <c:dLbl>
              <c:idx val="2"/>
              <c:layout>
                <c:manualLayout>
                  <c:x val="-1.7912346038202569E-2"/>
                  <c:y val="2.8658465345037239E-2"/>
                </c:manualLayout>
              </c:layout>
              <c:numFmt formatCode="&quot;R$&quot;\ 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134603242425419E-2"/>
                      <c:h val="5.9370720653132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06FE-4718-BF94-361D21E74146}"/>
                </c:ext>
              </c:extLst>
            </c:dLbl>
            <c:dLbl>
              <c:idx val="3"/>
              <c:layout>
                <c:manualLayout>
                  <c:x val="-1.1948851942274076E-2"/>
                  <c:y val="2.293418560971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06FE-4718-BF94-361D21E74146}"/>
                </c:ext>
              </c:extLst>
            </c:dLbl>
            <c:dLbl>
              <c:idx val="4"/>
              <c:layout>
                <c:manualLayout>
                  <c:x val="-9.9389486003529752E-3"/>
                  <c:y val="1.5289555917589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06FE-4718-BF94-361D21E74146}"/>
                </c:ext>
              </c:extLst>
            </c:dLbl>
            <c:dLbl>
              <c:idx val="5"/>
              <c:layout>
                <c:manualLayout>
                  <c:x val="-5.9532263908870422E-3"/>
                  <c:y val="-3.8474763433221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06FE-4718-BF94-361D21E74146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rgbClr val="00B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Arrecadação'!$R$53:$R$64</c:f>
              <c:numCache>
                <c:formatCode>_-[$R$-416]\ * #,##0_-;\-[$R$-416]\ * #,##0_-;_-[$R$-416]\ * "-"??_-;_-@_-</c:formatCode>
                <c:ptCount val="12"/>
                <c:pt idx="0">
                  <c:v>414294.46000000008</c:v>
                </c:pt>
                <c:pt idx="1">
                  <c:v>802549.10000000009</c:v>
                </c:pt>
                <c:pt idx="2">
                  <c:v>1029153.2200000001</c:v>
                </c:pt>
                <c:pt idx="3">
                  <c:v>1168470.53</c:v>
                </c:pt>
                <c:pt idx="4">
                  <c:v>1303580.67</c:v>
                </c:pt>
                <c:pt idx="5">
                  <c:v>1445440.21</c:v>
                </c:pt>
                <c:pt idx="6">
                  <c:v>1752726.26</c:v>
                </c:pt>
                <c:pt idx="7">
                  <c:v>2883068.31</c:v>
                </c:pt>
                <c:pt idx="8">
                  <c:v>3427609.25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FE-4718-BF94-361D21E74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975264"/>
        <c:axId val="386975824"/>
      </c:lineChart>
      <c:catAx>
        <c:axId val="38697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6975824"/>
        <c:crosses val="autoZero"/>
        <c:auto val="1"/>
        <c:lblAlgn val="ctr"/>
        <c:lblOffset val="100"/>
        <c:noMultiLvlLbl val="0"/>
      </c:catAx>
      <c:valAx>
        <c:axId val="38697582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69752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8.2665278630854478E-3"/>
                <c:y val="1.556295966375491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0603581029049973"/>
          <c:y val="0.83399410847545685"/>
          <c:w val="0.57016382672041588"/>
          <c:h val="7.01425910253589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'ADIMPLÊNCIA PF'!$R$3</c:f>
              <c:strCache>
                <c:ptCount val="1"/>
                <c:pt idx="0">
                  <c:v>Quantidade Pagantes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'ADIMPLÊNCIA PF'!$Q$4:$Q$30</c:f>
              <c:strCache>
                <c:ptCount val="27"/>
                <c:pt idx="0">
                  <c:v>ES</c:v>
                </c:pt>
                <c:pt idx="1">
                  <c:v>SC</c:v>
                </c:pt>
                <c:pt idx="2">
                  <c:v>RS</c:v>
                </c:pt>
                <c:pt idx="3">
                  <c:v>MG</c:v>
                </c:pt>
                <c:pt idx="4">
                  <c:v>DF</c:v>
                </c:pt>
                <c:pt idx="5">
                  <c:v>PR</c:v>
                </c:pt>
                <c:pt idx="6">
                  <c:v>CE</c:v>
                </c:pt>
                <c:pt idx="7">
                  <c:v>MT</c:v>
                </c:pt>
                <c:pt idx="8">
                  <c:v>PE</c:v>
                </c:pt>
                <c:pt idx="9">
                  <c:v>SP</c:v>
                </c:pt>
                <c:pt idx="10">
                  <c:v>PB</c:v>
                </c:pt>
                <c:pt idx="11">
                  <c:v>GO</c:v>
                </c:pt>
                <c:pt idx="12">
                  <c:v>RO</c:v>
                </c:pt>
                <c:pt idx="13">
                  <c:v>RJ</c:v>
                </c:pt>
                <c:pt idx="14">
                  <c:v>BA</c:v>
                </c:pt>
                <c:pt idx="15">
                  <c:v>PI</c:v>
                </c:pt>
                <c:pt idx="16">
                  <c:v>SE</c:v>
                </c:pt>
                <c:pt idx="17">
                  <c:v>AL</c:v>
                </c:pt>
                <c:pt idx="18">
                  <c:v>TO</c:v>
                </c:pt>
                <c:pt idx="19">
                  <c:v>RN</c:v>
                </c:pt>
                <c:pt idx="20">
                  <c:v>RR</c:v>
                </c:pt>
                <c:pt idx="21">
                  <c:v>AC</c:v>
                </c:pt>
                <c:pt idx="22">
                  <c:v>MS</c:v>
                </c:pt>
                <c:pt idx="23">
                  <c:v>MA</c:v>
                </c:pt>
                <c:pt idx="24">
                  <c:v>PA</c:v>
                </c:pt>
                <c:pt idx="25">
                  <c:v>AP</c:v>
                </c:pt>
                <c:pt idx="26">
                  <c:v>AM</c:v>
                </c:pt>
              </c:strCache>
            </c:strRef>
          </c:cat>
          <c:val>
            <c:numRef>
              <c:f>'ADIMPLÊNCIA PF'!$R$4:$R$30</c:f>
              <c:numCache>
                <c:formatCode>#,##0</c:formatCode>
                <c:ptCount val="27"/>
                <c:pt idx="0">
                  <c:v>3428</c:v>
                </c:pt>
                <c:pt idx="1">
                  <c:v>8301</c:v>
                </c:pt>
                <c:pt idx="2">
                  <c:v>12096</c:v>
                </c:pt>
                <c:pt idx="3">
                  <c:v>11631</c:v>
                </c:pt>
                <c:pt idx="4">
                  <c:v>4273</c:v>
                </c:pt>
                <c:pt idx="5">
                  <c:v>9557</c:v>
                </c:pt>
                <c:pt idx="6">
                  <c:v>3080</c:v>
                </c:pt>
                <c:pt idx="7">
                  <c:v>2343</c:v>
                </c:pt>
                <c:pt idx="8">
                  <c:v>3429</c:v>
                </c:pt>
                <c:pt idx="9">
                  <c:v>40448</c:v>
                </c:pt>
                <c:pt idx="10">
                  <c:v>2009</c:v>
                </c:pt>
                <c:pt idx="11">
                  <c:v>3328</c:v>
                </c:pt>
                <c:pt idx="12">
                  <c:v>929</c:v>
                </c:pt>
                <c:pt idx="13">
                  <c:v>11518</c:v>
                </c:pt>
                <c:pt idx="14">
                  <c:v>4179</c:v>
                </c:pt>
                <c:pt idx="15">
                  <c:v>969</c:v>
                </c:pt>
                <c:pt idx="16">
                  <c:v>985</c:v>
                </c:pt>
                <c:pt idx="17">
                  <c:v>1301</c:v>
                </c:pt>
                <c:pt idx="18">
                  <c:v>551</c:v>
                </c:pt>
                <c:pt idx="19">
                  <c:v>1592</c:v>
                </c:pt>
                <c:pt idx="20">
                  <c:v>134</c:v>
                </c:pt>
                <c:pt idx="21">
                  <c:v>398</c:v>
                </c:pt>
                <c:pt idx="22">
                  <c:v>1913</c:v>
                </c:pt>
                <c:pt idx="23">
                  <c:v>1145</c:v>
                </c:pt>
                <c:pt idx="24">
                  <c:v>1577</c:v>
                </c:pt>
                <c:pt idx="25">
                  <c:v>417</c:v>
                </c:pt>
                <c:pt idx="26">
                  <c:v>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7-4D1F-B8C0-CC1247160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5975792"/>
        <c:axId val="605971216"/>
      </c:barChart>
      <c:lineChart>
        <c:grouping val="standard"/>
        <c:varyColors val="0"/>
        <c:ser>
          <c:idx val="1"/>
          <c:order val="1"/>
          <c:tx>
            <c:strRef>
              <c:f>'ADIMPLÊNCIA PF'!$S$3</c:f>
              <c:strCache>
                <c:ptCount val="1"/>
                <c:pt idx="0">
                  <c:v>%  
Adimplência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'ADIMPLÊNCIA PF'!$Q$4:$Q$30</c:f>
              <c:strCache>
                <c:ptCount val="27"/>
                <c:pt idx="0">
                  <c:v>ES</c:v>
                </c:pt>
                <c:pt idx="1">
                  <c:v>SC</c:v>
                </c:pt>
                <c:pt idx="2">
                  <c:v>RS</c:v>
                </c:pt>
                <c:pt idx="3">
                  <c:v>MG</c:v>
                </c:pt>
                <c:pt idx="4">
                  <c:v>DF</c:v>
                </c:pt>
                <c:pt idx="5">
                  <c:v>PR</c:v>
                </c:pt>
                <c:pt idx="6">
                  <c:v>CE</c:v>
                </c:pt>
                <c:pt idx="7">
                  <c:v>MT</c:v>
                </c:pt>
                <c:pt idx="8">
                  <c:v>PE</c:v>
                </c:pt>
                <c:pt idx="9">
                  <c:v>SP</c:v>
                </c:pt>
                <c:pt idx="10">
                  <c:v>PB</c:v>
                </c:pt>
                <c:pt idx="11">
                  <c:v>GO</c:v>
                </c:pt>
                <c:pt idx="12">
                  <c:v>RO</c:v>
                </c:pt>
                <c:pt idx="13">
                  <c:v>RJ</c:v>
                </c:pt>
                <c:pt idx="14">
                  <c:v>BA</c:v>
                </c:pt>
                <c:pt idx="15">
                  <c:v>PI</c:v>
                </c:pt>
                <c:pt idx="16">
                  <c:v>SE</c:v>
                </c:pt>
                <c:pt idx="17">
                  <c:v>AL</c:v>
                </c:pt>
                <c:pt idx="18">
                  <c:v>TO</c:v>
                </c:pt>
                <c:pt idx="19">
                  <c:v>RN</c:v>
                </c:pt>
                <c:pt idx="20">
                  <c:v>RR</c:v>
                </c:pt>
                <c:pt idx="21">
                  <c:v>AC</c:v>
                </c:pt>
                <c:pt idx="22">
                  <c:v>MS</c:v>
                </c:pt>
                <c:pt idx="23">
                  <c:v>MA</c:v>
                </c:pt>
                <c:pt idx="24">
                  <c:v>PA</c:v>
                </c:pt>
                <c:pt idx="25">
                  <c:v>AP</c:v>
                </c:pt>
                <c:pt idx="26">
                  <c:v>AM</c:v>
                </c:pt>
              </c:strCache>
            </c:strRef>
          </c:cat>
          <c:val>
            <c:numRef>
              <c:f>'ADIMPLÊNCIA PF'!$S$4:$S$30</c:f>
              <c:numCache>
                <c:formatCode>0.00%</c:formatCode>
                <c:ptCount val="27"/>
                <c:pt idx="0">
                  <c:v>0.84350393700787396</c:v>
                </c:pt>
                <c:pt idx="1">
                  <c:v>0.71486393386152258</c:v>
                </c:pt>
                <c:pt idx="2">
                  <c:v>0.70174624354586068</c:v>
                </c:pt>
                <c:pt idx="3">
                  <c:v>0.67504352872896112</c:v>
                </c:pt>
                <c:pt idx="4">
                  <c:v>0.67312539382482672</c:v>
                </c:pt>
                <c:pt idx="5">
                  <c:v>0.67269655803477157</c:v>
                </c:pt>
                <c:pt idx="6">
                  <c:v>0.67190226876090753</c:v>
                </c:pt>
                <c:pt idx="7">
                  <c:v>0.65319208252021188</c:v>
                </c:pt>
                <c:pt idx="8">
                  <c:v>0.65054069436539552</c:v>
                </c:pt>
                <c:pt idx="9">
                  <c:v>0.64583499656708554</c:v>
                </c:pt>
                <c:pt idx="10">
                  <c:v>0.640625</c:v>
                </c:pt>
                <c:pt idx="11">
                  <c:v>0.63864901170600652</c:v>
                </c:pt>
                <c:pt idx="12">
                  <c:v>0.63673749143248803</c:v>
                </c:pt>
                <c:pt idx="13">
                  <c:v>0.6330658458832582</c:v>
                </c:pt>
                <c:pt idx="14">
                  <c:v>0.62466367713004489</c:v>
                </c:pt>
                <c:pt idx="15">
                  <c:v>0.61484771573604058</c:v>
                </c:pt>
                <c:pt idx="16">
                  <c:v>0.60392397302268552</c:v>
                </c:pt>
                <c:pt idx="17">
                  <c:v>0.60203609440074035</c:v>
                </c:pt>
                <c:pt idx="18">
                  <c:v>0.60021786492374729</c:v>
                </c:pt>
                <c:pt idx="19">
                  <c:v>0.58357771260997071</c:v>
                </c:pt>
                <c:pt idx="20">
                  <c:v>0.54693877551020409</c:v>
                </c:pt>
                <c:pt idx="21">
                  <c:v>0.54371584699453557</c:v>
                </c:pt>
                <c:pt idx="22">
                  <c:v>0.53570428451414165</c:v>
                </c:pt>
                <c:pt idx="23">
                  <c:v>0.51414458913336325</c:v>
                </c:pt>
                <c:pt idx="24">
                  <c:v>0.4979475844647932</c:v>
                </c:pt>
                <c:pt idx="25">
                  <c:v>0.47332576617480138</c:v>
                </c:pt>
                <c:pt idx="26">
                  <c:v>0.47005988023952094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27-4D1F-B8C0-CC1247160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954160"/>
        <c:axId val="605969136"/>
      </c:lineChart>
      <c:catAx>
        <c:axId val="60597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5971216"/>
        <c:crosses val="autoZero"/>
        <c:auto val="1"/>
        <c:lblAlgn val="ctr"/>
        <c:lblOffset val="100"/>
        <c:noMultiLvlLbl val="0"/>
      </c:catAx>
      <c:valAx>
        <c:axId val="60597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5975792"/>
        <c:crosses val="autoZero"/>
        <c:crossBetween val="between"/>
      </c:valAx>
      <c:valAx>
        <c:axId val="605969136"/>
        <c:scaling>
          <c:orientation val="minMax"/>
          <c:min val="0.15000000000000002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5954160"/>
        <c:crosses val="max"/>
        <c:crossBetween val="between"/>
      </c:valAx>
      <c:catAx>
        <c:axId val="60595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5969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9453449692278"/>
          <c:y val="7.6781561613913571E-2"/>
          <c:w val="0.85194665323649321"/>
          <c:h val="0.81844201356177892"/>
        </c:manualLayout>
      </c:layout>
      <c:lineChart>
        <c:grouping val="standard"/>
        <c:varyColors val="0"/>
        <c:ser>
          <c:idx val="1"/>
          <c:order val="0"/>
          <c:tx>
            <c:strRef>
              <c:f>'Gráficos - Arrecadação'!$S$20</c:f>
              <c:strCache>
                <c:ptCount val="1"/>
                <c:pt idx="0">
                  <c:v>Potencial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7.9320165477000978E-2"/>
                  <c:y val="-3.4813503817407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21B-4204-B0E3-0CDA743883FC}"/>
                </c:ext>
              </c:extLst>
            </c:dLbl>
            <c:dLbl>
              <c:idx val="1"/>
              <c:layout>
                <c:manualLayout>
                  <c:x val="-8.129870353431462E-2"/>
                  <c:y val="-2.6998335171790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21B-4204-B0E3-0CDA743883FC}"/>
                </c:ext>
              </c:extLst>
            </c:dLbl>
            <c:dLbl>
              <c:idx val="2"/>
              <c:layout>
                <c:manualLayout>
                  <c:x val="-6.3471185347879877E-2"/>
                  <c:y val="-4.2141898013947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21B-4204-B0E3-0CDA743883FC}"/>
                </c:ext>
              </c:extLst>
            </c:dLbl>
            <c:dLbl>
              <c:idx val="3"/>
              <c:layout>
                <c:manualLayout>
                  <c:x val="-5.156911549413034E-2"/>
                  <c:y val="-5.758219612768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21B-4204-B0E3-0CDA743883FC}"/>
                </c:ext>
              </c:extLst>
            </c:dLbl>
            <c:dLbl>
              <c:idx val="4"/>
              <c:layout>
                <c:manualLayout>
                  <c:x val="-4.9601373381960905E-2"/>
                  <c:y val="-4.9688671940401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21B-4204-B0E3-0CDA743883FC}"/>
                </c:ext>
              </c:extLst>
            </c:dLbl>
            <c:dLbl>
              <c:idx val="5"/>
              <c:layout>
                <c:manualLayout>
                  <c:x val="-5.554252999972701E-2"/>
                  <c:y val="-6.1732220050491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21B-4204-B0E3-0CDA743883FC}"/>
                </c:ext>
              </c:extLst>
            </c:dLbl>
            <c:dLbl>
              <c:idx val="6"/>
              <c:layout>
                <c:manualLayout>
                  <c:x val="-3.7705540511189073E-2"/>
                  <c:y val="-4.231740660030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21B-4204-B0E3-0CDA743883FC}"/>
                </c:ext>
              </c:extLst>
            </c:dLbl>
            <c:dLbl>
              <c:idx val="7"/>
              <c:layout>
                <c:manualLayout>
                  <c:x val="-3.9690042643356765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21B-4204-B0E3-0CDA743883FC}"/>
                </c:ext>
              </c:extLst>
            </c:dLbl>
            <c:dLbl>
              <c:idx val="8"/>
              <c:layout>
                <c:manualLayout>
                  <c:x val="-3.9690042643356842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21B-4204-B0E3-0CDA743883FC}"/>
                </c:ext>
              </c:extLst>
            </c:dLbl>
            <c:dLbl>
              <c:idx val="9"/>
              <c:layout>
                <c:manualLayout>
                  <c:x val="-3.9690042643356842E-2"/>
                  <c:y val="-4.231740660030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1B-4204-B0E3-0CDA743883FC}"/>
                </c:ext>
              </c:extLst>
            </c:dLbl>
            <c:dLbl>
              <c:idx val="10"/>
              <c:layout>
                <c:manualLayout>
                  <c:x val="-4.5643549039860509E-2"/>
                  <c:y val="-3.4623332672975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1B-4204-B0E3-0CDA743883FC}"/>
                </c:ext>
              </c:extLst>
            </c:dLbl>
            <c:dLbl>
              <c:idx val="11"/>
              <c:layout>
                <c:manualLayout>
                  <c:x val="-3.3736536246853313E-2"/>
                  <c:y val="-3.4623332672975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1B-4204-B0E3-0CDA743883FC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2700" cap="rnd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Arrecadação'!$P$21:$P$32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Arrecadação'!$S$21:$S$32</c:f>
              <c:numCache>
                <c:formatCode>_-[$R$-416]\ * #,##0_-;\-[$R$-416]\ * #,##0_-;_-[$R$-416]\ * "-"??_-;_-@_-</c:formatCode>
                <c:ptCount val="12"/>
                <c:pt idx="0">
                  <c:v>20659530.362153042</c:v>
                </c:pt>
                <c:pt idx="1">
                  <c:v>40477751.405271091</c:v>
                </c:pt>
                <c:pt idx="2">
                  <c:v>50181564.297001474</c:v>
                </c:pt>
                <c:pt idx="3">
                  <c:v>58010737.085941866</c:v>
                </c:pt>
                <c:pt idx="4">
                  <c:v>66406065.64133504</c:v>
                </c:pt>
                <c:pt idx="5">
                  <c:v>74528039.32518658</c:v>
                </c:pt>
                <c:pt idx="6">
                  <c:v>79791366.372447044</c:v>
                </c:pt>
                <c:pt idx="7">
                  <c:v>84968215.907965034</c:v>
                </c:pt>
                <c:pt idx="8">
                  <c:v>87837564.421211004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1B-4204-B0E3-0CDA743883FC}"/>
            </c:ext>
          </c:extLst>
        </c:ser>
        <c:ser>
          <c:idx val="0"/>
          <c:order val="1"/>
          <c:tx>
            <c:strRef>
              <c:f>'Gráficos - Arrecadação'!$Q$20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6350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8.4221087464842484E-2"/>
                  <c:y val="2.3031979040305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421B-4204-B0E3-0CDA743883FC}"/>
                </c:ext>
              </c:extLst>
            </c:dLbl>
            <c:dLbl>
              <c:idx val="1"/>
              <c:layout>
                <c:manualLayout>
                  <c:x val="-9.4501218170012627E-2"/>
                  <c:y val="4.491598873728571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421B-4204-B0E3-0CDA743883FC}"/>
                </c:ext>
              </c:extLst>
            </c:dLbl>
            <c:dLbl>
              <c:idx val="2"/>
              <c:layout>
                <c:manualLayout>
                  <c:x val="-9.4501218170012627E-2"/>
                  <c:y val="-7.19739583599891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421B-4204-B0E3-0CDA743883FC}"/>
                </c:ext>
              </c:extLst>
            </c:dLbl>
            <c:dLbl>
              <c:idx val="3"/>
              <c:layout>
                <c:manualLayout>
                  <c:x val="-9.0537659812155419E-2"/>
                  <c:y val="-2.2490507282742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421B-4204-B0E3-0CDA743883FC}"/>
                </c:ext>
              </c:extLst>
            </c:dLbl>
            <c:dLbl>
              <c:idx val="4"/>
              <c:layout>
                <c:manualLayout>
                  <c:x val="-8.6574101454298225E-2"/>
                  <c:y val="-2.6313785144428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21B-4204-B0E3-0CDA743883FC}"/>
                </c:ext>
              </c:extLst>
            </c:dLbl>
            <c:dLbl>
              <c:idx val="5"/>
              <c:layout>
                <c:manualLayout>
                  <c:x val="-8.4794496507669084E-2"/>
                  <c:y val="-3.439966755967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421B-4204-B0E3-0CDA743883FC}"/>
                </c:ext>
              </c:extLst>
            </c:dLbl>
            <c:dLbl>
              <c:idx val="6"/>
              <c:layout>
                <c:manualLayout>
                  <c:x val="-5.1102588416525548E-2"/>
                  <c:y val="-3.4426157658647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421B-4204-B0E3-0CDA743883FC}"/>
                </c:ext>
              </c:extLst>
            </c:dLbl>
            <c:dLbl>
              <c:idx val="7"/>
              <c:layout>
                <c:manualLayout>
                  <c:x val="-5.1102588416525617E-2"/>
                  <c:y val="-3.8291563614538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421B-4204-B0E3-0CDA743883FC}"/>
                </c:ext>
              </c:extLst>
            </c:dLbl>
            <c:dLbl>
              <c:idx val="8"/>
              <c:layout>
                <c:manualLayout>
                  <c:x val="-5.1101806294704129E-2"/>
                  <c:y val="-3.8299172681380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421B-4204-B0E3-0CDA743883FC}"/>
                </c:ext>
              </c:extLst>
            </c:dLbl>
            <c:dLbl>
              <c:idx val="9"/>
              <c:layout>
                <c:manualLayout>
                  <c:x val="-4.9115216868302884E-2"/>
                  <c:y val="-3.8299172681380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421B-4204-B0E3-0CDA743883FC}"/>
                </c:ext>
              </c:extLst>
            </c:dLbl>
            <c:dLbl>
              <c:idx val="10"/>
              <c:layout>
                <c:manualLayout>
                  <c:x val="-4.3154510042913458E-2"/>
                  <c:y val="-3.8299172681380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421B-4204-B0E3-0CDA743883FC}"/>
                </c:ext>
              </c:extLst>
            </c:dLbl>
            <c:dLbl>
              <c:idx val="11"/>
              <c:layout>
                <c:manualLayout>
                  <c:x val="-1.4917345112411561E-2"/>
                  <c:y val="-3.8299027018645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421B-4204-B0E3-0CDA743883FC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600" b="0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2700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Arrecadação'!$P$21:$P$32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Arrecadação'!$Q$21:$Q$32</c:f>
              <c:numCache>
                <c:formatCode>_-[$R$-416]\ * #,##0_-;\-[$R$-416]\ * #,##0_-;_-[$R$-416]\ * "-"??_-;_-@_-</c:formatCode>
                <c:ptCount val="12"/>
                <c:pt idx="0">
                  <c:v>14796436.727616586</c:v>
                </c:pt>
                <c:pt idx="1">
                  <c:v>28990324.419062428</c:v>
                </c:pt>
                <c:pt idx="2">
                  <c:v>35940233.296572618</c:v>
                </c:pt>
                <c:pt idx="3">
                  <c:v>41547517.575084224</c:v>
                </c:pt>
                <c:pt idx="4">
                  <c:v>47560284.835514925</c:v>
                </c:pt>
                <c:pt idx="5">
                  <c:v>53377274.264114507</c:v>
                </c:pt>
                <c:pt idx="6">
                  <c:v>57146889.75228703</c:v>
                </c:pt>
                <c:pt idx="7">
                  <c:v>60854569.707152195</c:v>
                </c:pt>
                <c:pt idx="8">
                  <c:v>62909608.373641044</c:v>
                </c:pt>
                <c:pt idx="9">
                  <c:v>64447852.425544523</c:v>
                </c:pt>
                <c:pt idx="10">
                  <c:v>66110084.299710646</c:v>
                </c:pt>
                <c:pt idx="11">
                  <c:v>67945589.089999989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9-421B-4204-B0E3-0CDA743883FC}"/>
            </c:ext>
          </c:extLst>
        </c:ser>
        <c:ser>
          <c:idx val="2"/>
          <c:order val="2"/>
          <c:tx>
            <c:strRef>
              <c:f>'Gráficos - Arrecadação'!$R$20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832737338664551E-2"/>
                  <c:y val="1.4509901407353747E-2"/>
                </c:manualLayout>
              </c:layout>
              <c:numFmt formatCode="&quot;R$&quot;\ 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6571834558803398E-2"/>
                      <c:h val="6.13147171850588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421B-4204-B0E3-0CDA743883FC}"/>
                </c:ext>
              </c:extLst>
            </c:dLbl>
            <c:dLbl>
              <c:idx val="1"/>
              <c:layout>
                <c:manualLayout>
                  <c:x val="-1.2807286955227239E-2"/>
                  <c:y val="2.4879905423545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421B-4204-B0E3-0CDA743883FC}"/>
                </c:ext>
              </c:extLst>
            </c:dLbl>
            <c:dLbl>
              <c:idx val="2"/>
              <c:layout>
                <c:manualLayout>
                  <c:x val="-1.2292024368705839E-2"/>
                  <c:y val="2.870318328523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421B-4204-B0E3-0CDA743883FC}"/>
                </c:ext>
              </c:extLst>
            </c:dLbl>
            <c:dLbl>
              <c:idx val="3"/>
              <c:layout>
                <c:manualLayout>
                  <c:x val="-8.3284660108486029E-3"/>
                  <c:y val="2.4879905423545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421B-4204-B0E3-0CDA743883FC}"/>
                </c:ext>
              </c:extLst>
            </c:dLbl>
            <c:dLbl>
              <c:idx val="4"/>
              <c:layout>
                <c:manualLayout>
                  <c:x val="-6.3466868319200023E-3"/>
                  <c:y val="1.3410071838487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421B-4204-B0E3-0CDA743883FC}"/>
                </c:ext>
              </c:extLst>
            </c:dLbl>
            <c:dLbl>
              <c:idx val="5"/>
              <c:layout>
                <c:manualLayout>
                  <c:x val="-8.8804651761374941E-3"/>
                  <c:y val="1.9750902657621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421B-4204-B0E3-0CDA743883FC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rgbClr val="00B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Arrecadação'!$P$21:$P$32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Arrecadação'!$R$21:$R$32</c:f>
              <c:numCache>
                <c:formatCode>_-[$R$-416]\ * #,##0_-;\-[$R$-416]\ * #,##0_-;_-[$R$-416]\ * "-"??_-;_-@_-</c:formatCode>
                <c:ptCount val="12"/>
                <c:pt idx="0">
                  <c:v>11173689.340000004</c:v>
                </c:pt>
                <c:pt idx="1">
                  <c:v>24096636.850000001</c:v>
                </c:pt>
                <c:pt idx="2">
                  <c:v>35307556.620000005</c:v>
                </c:pt>
                <c:pt idx="3">
                  <c:v>40577115.160000004</c:v>
                </c:pt>
                <c:pt idx="4">
                  <c:v>46812972.500000007</c:v>
                </c:pt>
                <c:pt idx="5">
                  <c:v>53671919.270000011</c:v>
                </c:pt>
                <c:pt idx="6">
                  <c:v>59004806.530000009</c:v>
                </c:pt>
                <c:pt idx="7">
                  <c:v>61458803.430000007</c:v>
                </c:pt>
                <c:pt idx="8">
                  <c:v>63258602.590000004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21B-4204-B0E3-0CDA74388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979744"/>
        <c:axId val="386980304"/>
      </c:lineChart>
      <c:catAx>
        <c:axId val="3869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6980304"/>
        <c:crosses val="autoZero"/>
        <c:auto val="1"/>
        <c:lblAlgn val="ctr"/>
        <c:lblOffset val="100"/>
        <c:noMultiLvlLbl val="0"/>
      </c:catAx>
      <c:valAx>
        <c:axId val="386980304"/>
        <c:scaling>
          <c:orientation val="minMax"/>
          <c:min val="100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6979744"/>
        <c:crosses val="autoZero"/>
        <c:crossBetween val="between"/>
        <c:majorUnit val="5000000"/>
        <c:dispUnits>
          <c:builtInUnit val="millions"/>
          <c:dispUnitsLbl>
            <c:layout>
              <c:manualLayout>
                <c:xMode val="edge"/>
                <c:yMode val="edge"/>
                <c:x val="7.9189814016079503E-3"/>
                <c:y val="1.6504039424125861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6456345397747695"/>
          <c:y val="0.83281321738215064"/>
          <c:w val="0.50955246667679543"/>
          <c:h val="5.7023201261223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Arrecadação'!$Q$37:$Q$48</c:f>
              <c:numCache>
                <c:formatCode>_-[$R$-416]\ * #,##0_-;\-[$R$-416]\ * #,##0_-;_-[$R$-416]\ * "-"??_-;_-@_-</c:formatCode>
                <c:ptCount val="12"/>
                <c:pt idx="0">
                  <c:v>2267417.3715040069</c:v>
                </c:pt>
                <c:pt idx="1">
                  <c:v>4015108.5195592274</c:v>
                </c:pt>
                <c:pt idx="2">
                  <c:v>5395529.5701630656</c:v>
                </c:pt>
                <c:pt idx="3">
                  <c:v>6635371.2627898455</c:v>
                </c:pt>
                <c:pt idx="4">
                  <c:v>7721041.6845208984</c:v>
                </c:pt>
                <c:pt idx="5">
                  <c:v>8753842.54612788</c:v>
                </c:pt>
                <c:pt idx="6">
                  <c:v>10149068.112386934</c:v>
                </c:pt>
                <c:pt idx="7">
                  <c:v>11519535.891210407</c:v>
                </c:pt>
                <c:pt idx="8">
                  <c:v>12701239.474559357</c:v>
                </c:pt>
                <c:pt idx="9">
                  <c:v>14357984.204981059</c:v>
                </c:pt>
                <c:pt idx="10">
                  <c:v>15406149.681081541</c:v>
                </c:pt>
                <c:pt idx="11">
                  <c:v>16761168.281999998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EF7-494A-84F6-A1773D5E6109}"/>
            </c:ext>
          </c:extLst>
        </c:ser>
        <c:ser>
          <c:idx val="1"/>
          <c:order val="1"/>
          <c:tx>
            <c:strRef>
              <c:f>'Gráficos - Arrecadação'!$R$36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F7-494A-84F6-A1773D5E6109}"/>
                </c:ext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F7-494A-84F6-A1773D5E6109}"/>
                </c:ext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F7-494A-84F6-A1773D5E6109}"/>
                </c:ext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Arrecadação'!$R$37:$R$48</c:f>
              <c:numCache>
                <c:formatCode>_-[$R$-416]\ * #,##0_-;\-[$R$-416]\ * #,##0_-;_-[$R$-416]\ * "-"??_-;_-@_-</c:formatCode>
                <c:ptCount val="12"/>
                <c:pt idx="0">
                  <c:v>1624877.0600000003</c:v>
                </c:pt>
                <c:pt idx="1">
                  <c:v>3524453.2200000007</c:v>
                </c:pt>
                <c:pt idx="2">
                  <c:v>5532964.6900000013</c:v>
                </c:pt>
                <c:pt idx="3">
                  <c:v>6889303.290000001</c:v>
                </c:pt>
                <c:pt idx="4">
                  <c:v>8501206.7300000004</c:v>
                </c:pt>
                <c:pt idx="5">
                  <c:v>9916700.8599999994</c:v>
                </c:pt>
                <c:pt idx="6">
                  <c:v>11128942.629999999</c:v>
                </c:pt>
                <c:pt idx="7">
                  <c:v>12539439.719999999</c:v>
                </c:pt>
                <c:pt idx="8">
                  <c:v>13690888.369999999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F7-494A-84F6-A1773D5E6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989824"/>
        <c:axId val="38699038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'Gráficos - Arrecadação'!$U$36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'Gráficos - Arrecadação'!$P$37:$P$48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'Gráficos - Arrecadação'!$U$37:$U$48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1624877.0600000003</c:v>
                      </c:pt>
                      <c:pt idx="1">
                        <c:v>#N/A</c:v>
                      </c:pt>
                      <c:pt idx="2">
                        <c:v>0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6EF7-494A-84F6-A1773D5E6109}"/>
                  </c:ext>
                </c:extLst>
              </c15:ser>
            </c15:filteredLineSeries>
          </c:ext>
        </c:extLst>
      </c:lineChart>
      <c:catAx>
        <c:axId val="38698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6990384"/>
        <c:crosses val="autoZero"/>
        <c:auto val="1"/>
        <c:lblAlgn val="ctr"/>
        <c:lblOffset val="100"/>
        <c:noMultiLvlLbl val="0"/>
      </c:catAx>
      <c:valAx>
        <c:axId val="3869903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69898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EF-4CC1-B828-216D0D3B0CA2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Arrecadação'!$Q$53:$Q$64</c:f>
              <c:numCache>
                <c:formatCode>_-[$R$-416]\ * #,##0_-;\-[$R$-416]\ * #,##0_-;_-[$R$-416]\ * "-"??_-;_-@_-</c:formatCode>
                <c:ptCount val="12"/>
                <c:pt idx="0">
                  <c:v>1018975.0580793833</c:v>
                </c:pt>
                <c:pt idx="1">
                  <c:v>2255924.4775186926</c:v>
                </c:pt>
                <c:pt idx="2">
                  <c:v>2806868.906928645</c:v>
                </c:pt>
                <c:pt idx="3">
                  <c:v>3265959.2322449223</c:v>
                </c:pt>
                <c:pt idx="4">
                  <c:v>3752968.2797377976</c:v>
                </c:pt>
                <c:pt idx="5">
                  <c:v>4284558.8450984173</c:v>
                </c:pt>
                <c:pt idx="6">
                  <c:v>4601881.6073588617</c:v>
                </c:pt>
                <c:pt idx="7">
                  <c:v>4938864.2646385338</c:v>
                </c:pt>
                <c:pt idx="8">
                  <c:v>5121621.3536376767</c:v>
                </c:pt>
                <c:pt idx="9">
                  <c:v>5274157.0545247076</c:v>
                </c:pt>
                <c:pt idx="10">
                  <c:v>5429871.5489863567</c:v>
                </c:pt>
                <c:pt idx="11">
                  <c:v>5588402.3580000009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EF-4CC1-B828-216D0D3B0CA2}"/>
            </c:ext>
          </c:extLst>
        </c:ser>
        <c:ser>
          <c:idx val="1"/>
          <c:order val="1"/>
          <c:tx>
            <c:strRef>
              <c:f>'Gráficos - Arrecadação'!$S$52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EF-4CC1-B828-216D0D3B0CA2}"/>
                </c:ext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EF-4CC1-B828-216D0D3B0CA2}"/>
                </c:ext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EF-4CC1-B828-216D0D3B0CA2}"/>
                </c:ext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EF-4CC1-B828-216D0D3B0CA2}"/>
                </c:ext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EF-4CC1-B828-216D0D3B0CA2}"/>
                </c:ext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EF-4CC1-B828-216D0D3B0CA2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EF-4CC1-B828-216D0D3B0CA2}"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EF-4CC1-B828-216D0D3B0CA2}"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EF-4CC1-B828-216D0D3B0CA2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EF-4CC1-B828-216D0D3B0CA2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EF-4CC1-B828-216D0D3B0CA2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EF-4CC1-B828-216D0D3B0CA2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Arrecadação'!$S$53:$S$64</c:f>
              <c:numCache>
                <c:formatCode>_-[$R$-416]\ * #,##0_-;\-[$R$-416]\ * #,##0_-;_-[$R$-416]\ * "-"??_-;_-@_-</c:formatCode>
                <c:ptCount val="12"/>
                <c:pt idx="0">
                  <c:v>1926442.4732265207</c:v>
                </c:pt>
                <c:pt idx="1">
                  <c:v>4264980.4776132097</c:v>
                </c:pt>
                <c:pt idx="2">
                  <c:v>5306578.8374429336</c:v>
                </c:pt>
                <c:pt idx="3">
                  <c:v>6174520.6920783566</c:v>
                </c:pt>
                <c:pt idx="4">
                  <c:v>7095244.8123568492</c:v>
                </c:pt>
                <c:pt idx="5">
                  <c:v>8100253.3602671716</c:v>
                </c:pt>
                <c:pt idx="6">
                  <c:v>8700173.8804929536</c:v>
                </c:pt>
                <c:pt idx="7">
                  <c:v>9337262.7852477971</c:v>
                </c:pt>
                <c:pt idx="8">
                  <c:v>9682777.6393550113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5EF-4CC1-B828-216D0D3B0CA2}"/>
            </c:ext>
          </c:extLst>
        </c:ser>
        <c:ser>
          <c:idx val="2"/>
          <c:order val="2"/>
          <c:tx>
            <c:strRef>
              <c:f>'Gráficos - Arrecadação'!$R$52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EF-4CC1-B828-216D0D3B0CA2}"/>
                </c:ext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EF-4CC1-B828-216D0D3B0CA2}"/>
                </c:ext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EF-4CC1-B828-216D0D3B0CA2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Arrecadação'!$R$53:$R$64</c:f>
              <c:numCache>
                <c:formatCode>_-[$R$-416]\ * #,##0_-;\-[$R$-416]\ * #,##0_-;_-[$R$-416]\ * "-"??_-;_-@_-</c:formatCode>
                <c:ptCount val="12"/>
                <c:pt idx="0">
                  <c:v>414294.46000000008</c:v>
                </c:pt>
                <c:pt idx="1">
                  <c:v>802549.10000000009</c:v>
                </c:pt>
                <c:pt idx="2">
                  <c:v>1029153.2200000001</c:v>
                </c:pt>
                <c:pt idx="3">
                  <c:v>1168470.53</c:v>
                </c:pt>
                <c:pt idx="4">
                  <c:v>1303580.67</c:v>
                </c:pt>
                <c:pt idx="5">
                  <c:v>1445440.21</c:v>
                </c:pt>
                <c:pt idx="6">
                  <c:v>1752726.26</c:v>
                </c:pt>
                <c:pt idx="7">
                  <c:v>2883068.31</c:v>
                </c:pt>
                <c:pt idx="8">
                  <c:v>3427609.25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EF-4CC1-B828-216D0D3B0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994304"/>
        <c:axId val="386994864"/>
      </c:lineChart>
      <c:catAx>
        <c:axId val="3869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6994864"/>
        <c:crosses val="autoZero"/>
        <c:auto val="1"/>
        <c:lblAlgn val="ctr"/>
        <c:lblOffset val="100"/>
        <c:noMultiLvlLbl val="0"/>
      </c:catAx>
      <c:valAx>
        <c:axId val="38699486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69943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00-4290-BFCA-9764BF3329E8}"/>
                </c:ext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00-4290-BFCA-9764BF3329E8}"/>
                </c:ext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00-4290-BFCA-9764BF3329E8}"/>
                </c:ext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00-4290-BFCA-9764BF3329E8}"/>
                </c:ext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00-4290-BFCA-9764BF3329E8}"/>
                </c:ext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00-4290-BFCA-9764BF3329E8}"/>
                </c:ext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00-4290-BFCA-9764BF3329E8}"/>
                </c:ext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00-4290-BFCA-9764BF3329E8}"/>
                </c:ext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00-4290-BFCA-9764BF3329E8}"/>
                </c:ext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00-4290-BFCA-9764BF3329E8}"/>
                </c:ext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00-4290-BFCA-9764BF3329E8}"/>
                </c:ext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00-4290-BFCA-9764BF3329E8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Arrecadação'!$Q$69:$Q$80</c:f>
              <c:numCache>
                <c:formatCode>_-[$R$-416]\ * #,##0_-;\-[$R$-416]\ * #,##0_-;_-[$R$-416]\ * "-"??_-;_-@_-</c:formatCode>
                <c:ptCount val="12"/>
                <c:pt idx="0">
                  <c:v>355455.89127551753</c:v>
                </c:pt>
                <c:pt idx="1">
                  <c:v>657632.93539569969</c:v>
                </c:pt>
                <c:pt idx="2">
                  <c:v>892200.03768604691</c:v>
                </c:pt>
                <c:pt idx="3">
                  <c:v>1096140.990105195</c:v>
                </c:pt>
                <c:pt idx="4">
                  <c:v>1275804.9312838914</c:v>
                </c:pt>
                <c:pt idx="5">
                  <c:v>1458629.7889792309</c:v>
                </c:pt>
                <c:pt idx="6">
                  <c:v>1696796.0090236673</c:v>
                </c:pt>
                <c:pt idx="7">
                  <c:v>1937976.3969157287</c:v>
                </c:pt>
                <c:pt idx="8">
                  <c:v>2132604.8022738365</c:v>
                </c:pt>
                <c:pt idx="9">
                  <c:v>2380233.0535183935</c:v>
                </c:pt>
                <c:pt idx="10">
                  <c:v>2568201.8132475866</c:v>
                </c:pt>
                <c:pt idx="11">
                  <c:v>2800012.5260000005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6100-4290-BFCA-9764BF3329E8}"/>
            </c:ext>
          </c:extLst>
        </c:ser>
        <c:ser>
          <c:idx val="1"/>
          <c:order val="1"/>
          <c:tx>
            <c:strRef>
              <c:f>'Gráficos - Arrecadação'!$R$68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00-4290-BFCA-9764BF3329E8}"/>
                </c:ext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00-4290-BFCA-9764BF3329E8}"/>
                </c:ext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00-4290-BFCA-9764BF3329E8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Arrecadação'!$R$69:$R$80</c:f>
              <c:numCache>
                <c:formatCode>_-[$R$-416]\ * #,##0_-;\-[$R$-416]\ * #,##0_-;_-[$R$-416]\ * "-"??_-;_-@_-</c:formatCode>
                <c:ptCount val="12"/>
                <c:pt idx="0">
                  <c:v>273703.60000000003</c:v>
                </c:pt>
                <c:pt idx="1">
                  <c:v>639245.17999999993</c:v>
                </c:pt>
                <c:pt idx="2">
                  <c:v>1013167.1299999999</c:v>
                </c:pt>
                <c:pt idx="3">
                  <c:v>1260635.3899999999</c:v>
                </c:pt>
                <c:pt idx="4">
                  <c:v>1569367.39</c:v>
                </c:pt>
                <c:pt idx="5">
                  <c:v>1825059.48</c:v>
                </c:pt>
                <c:pt idx="6">
                  <c:v>2041703.08</c:v>
                </c:pt>
                <c:pt idx="7">
                  <c:v>2446736.0700000003</c:v>
                </c:pt>
                <c:pt idx="8">
                  <c:v>2824767.0400000005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100-4290-BFCA-9764BF332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336880"/>
        <c:axId val="389337440"/>
      </c:lineChart>
      <c:catAx>
        <c:axId val="38933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9337440"/>
        <c:crosses val="autoZero"/>
        <c:auto val="1"/>
        <c:lblAlgn val="ctr"/>
        <c:lblOffset val="100"/>
        <c:noMultiLvlLbl val="0"/>
      </c:catAx>
      <c:valAx>
        <c:axId val="3893374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93368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F-42D5-BE36-58EE8897C803}"/>
                </c:ext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9F-42D5-BE36-58EE8897C803}"/>
                </c:ext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9F-42D5-BE36-58EE8897C803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Arrecadação'!$Q$85:$Q$96</c:f>
              <c:numCache>
                <c:formatCode>_-[$R$-416]\ * #,##0_-;\-[$R$-416]\ * #,##0_-;_-[$R$-416]\ * "-"??_-;_-@_-</c:formatCode>
                <c:ptCount val="12"/>
                <c:pt idx="0">
                  <c:v>7250924.0097673479</c:v>
                </c:pt>
                <c:pt idx="1">
                  <c:v>15285894.523920869</c:v>
                </c:pt>
                <c:pt idx="2">
                  <c:v>24063494.476585761</c:v>
                </c:pt>
                <c:pt idx="3">
                  <c:v>32075232.868020844</c:v>
                </c:pt>
                <c:pt idx="4">
                  <c:v>40844019.560462549</c:v>
                </c:pt>
                <c:pt idx="5">
                  <c:v>49392579.832004428</c:v>
                </c:pt>
                <c:pt idx="6">
                  <c:v>59280977.355267935</c:v>
                </c:pt>
                <c:pt idx="7">
                  <c:v>69755899.774108976</c:v>
                </c:pt>
                <c:pt idx="8">
                  <c:v>79455650.864838809</c:v>
                </c:pt>
                <c:pt idx="9">
                  <c:v>90176926.459439576</c:v>
                </c:pt>
                <c:pt idx="10">
                  <c:v>99418188.601490989</c:v>
                </c:pt>
                <c:pt idx="11">
                  <c:v>108190303.97200002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39F-42D5-BE36-58EE8897C803}"/>
            </c:ext>
          </c:extLst>
        </c:ser>
        <c:ser>
          <c:idx val="1"/>
          <c:order val="1"/>
          <c:tx>
            <c:strRef>
              <c:f>'Gráficos - Arrecadação'!$T$84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9F-42D5-BE36-58EE8897C803}"/>
                </c:ext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9F-42D5-BE36-58EE8897C803}"/>
                </c:ext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9F-42D5-BE36-58EE8897C803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Arrecadação'!$T$85:$T$96</c:f>
              <c:numCache>
                <c:formatCode>_-"R$"\ * #,##0_-;\-"R$"\ * #,##0_-;_-"R$"\ * "-"??_-;_-@_-</c:formatCode>
                <c:ptCount val="12"/>
                <c:pt idx="0">
                  <c:v>6710688.8399999999</c:v>
                </c:pt>
                <c:pt idx="1">
                  <c:v>25179154.68</c:v>
                </c:pt>
                <c:pt idx="2">
                  <c:v>0</c:v>
                </c:pt>
                <c:pt idx="3">
                  <c:v>33908790.850000001</c:v>
                </c:pt>
                <c:pt idx="4">
                  <c:v>44197712.32</c:v>
                </c:pt>
                <c:pt idx="5">
                  <c:v>53763671.239999995</c:v>
                </c:pt>
                <c:pt idx="6">
                  <c:v>63251623.86999999</c:v>
                </c:pt>
                <c:pt idx="7">
                  <c:v>73709634.499999985</c:v>
                </c:pt>
                <c:pt idx="8">
                  <c:v>83163925.459999979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9F-42D5-BE36-58EE8897C803}"/>
            </c:ext>
          </c:extLst>
        </c:ser>
        <c:ser>
          <c:idx val="2"/>
          <c:order val="2"/>
          <c:tx>
            <c:strRef>
              <c:f>'Gráficos - Arrecadação'!$U$84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Arrecadação'!$U$85:$U$96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9F-42D5-BE36-58EE8897C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341360"/>
        <c:axId val="389341920"/>
      </c:lineChart>
      <c:catAx>
        <c:axId val="38934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9341920"/>
        <c:crosses val="autoZero"/>
        <c:auto val="1"/>
        <c:lblAlgn val="ctr"/>
        <c:lblOffset val="100"/>
        <c:noMultiLvlLbl val="0"/>
      </c:catAx>
      <c:valAx>
        <c:axId val="389341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93413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6B-43BC-8B07-BE2FDE0BA54C}"/>
                </c:ext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6B-43BC-8B07-BE2FDE0BA54C}"/>
                </c:ext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6B-43BC-8B07-BE2FDE0BA54C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Arrecadação'!$Q$101:$Q$112</c:f>
              <c:numCache>
                <c:formatCode>_-[$R$-416]\ * #,##0_-;\-[$R$-416]\ * #,##0_-;_-[$R$-416]\ * "-"??_-;_-@_-</c:formatCode>
                <c:ptCount val="12"/>
                <c:pt idx="0">
                  <c:v>806024.23388548277</c:v>
                </c:pt>
                <c:pt idx="1">
                  <c:v>1483497.2974134013</c:v>
                </c:pt>
                <c:pt idx="2">
                  <c:v>2048065.7038497992</c:v>
                </c:pt>
                <c:pt idx="3">
                  <c:v>2572846.1715698736</c:v>
                </c:pt>
                <c:pt idx="4">
                  <c:v>3046171.7431810712</c:v>
                </c:pt>
                <c:pt idx="5">
                  <c:v>3543632.0396976946</c:v>
                </c:pt>
                <c:pt idx="6">
                  <c:v>4222869.7794624902</c:v>
                </c:pt>
                <c:pt idx="7">
                  <c:v>4918690.5538075566</c:v>
                </c:pt>
                <c:pt idx="8">
                  <c:v>5592401.3100491157</c:v>
                </c:pt>
                <c:pt idx="9">
                  <c:v>6384917.6231790138</c:v>
                </c:pt>
                <c:pt idx="10">
                  <c:v>7119100.0584494928</c:v>
                </c:pt>
                <c:pt idx="11">
                  <c:v>7965457.1692857081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26B-43BC-8B07-BE2FDE0BA54C}"/>
            </c:ext>
          </c:extLst>
        </c:ser>
        <c:ser>
          <c:idx val="1"/>
          <c:order val="1"/>
          <c:tx>
            <c:strRef>
              <c:f>'Gráficos - Arrecadação'!$R$100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6B-43BC-8B07-BE2FDE0BA54C}"/>
                </c:ext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B-43BC-8B07-BE2FDE0BA54C}"/>
                </c:ext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6B-43BC-8B07-BE2FDE0BA54C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Arrecadação'!$R$101:$R$112</c:f>
              <c:numCache>
                <c:formatCode>_-[$R$-416]\ * #,##0_-;\-[$R$-416]\ * #,##0_-;_-[$R$-416]\ * "-"??_-;_-@_-</c:formatCode>
                <c:ptCount val="12"/>
                <c:pt idx="0">
                  <c:v>653615.37</c:v>
                </c:pt>
                <c:pt idx="1">
                  <c:v>1506919.51</c:v>
                </c:pt>
                <c:pt idx="2">
                  <c:v>2454853.16</c:v>
                </c:pt>
                <c:pt idx="3">
                  <c:v>3136036.34</c:v>
                </c:pt>
                <c:pt idx="4">
                  <c:v>3999978.4699999997</c:v>
                </c:pt>
                <c:pt idx="5">
                  <c:v>4757261.93</c:v>
                </c:pt>
                <c:pt idx="6">
                  <c:v>5689663.9900000002</c:v>
                </c:pt>
                <c:pt idx="7">
                  <c:v>6941469.9500000002</c:v>
                </c:pt>
                <c:pt idx="8">
                  <c:v>8087112.54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6B-43BC-8B07-BE2FDE0BA54C}"/>
            </c:ext>
          </c:extLst>
        </c:ser>
        <c:ser>
          <c:idx val="2"/>
          <c:order val="2"/>
          <c:tx>
            <c:strRef>
              <c:f>'Gráficos - Arrecadação'!$S$100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6B-43BC-8B07-BE2FDE0BA54C}"/>
                </c:ext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B-43BC-8B07-BE2FDE0BA54C}"/>
                </c:ext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6B-43BC-8B07-BE2FDE0BA54C}"/>
                </c:ext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6B-43BC-8B07-BE2FDE0BA54C}"/>
                </c:ext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6B-43BC-8B07-BE2FDE0BA54C}"/>
                </c:ext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6B-43BC-8B07-BE2FDE0BA54C}"/>
                </c:ext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6B-43BC-8B07-BE2FDE0BA54C}"/>
                </c:ext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6B-43BC-8B07-BE2FDE0BA54C}"/>
                </c:ext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6B-43BC-8B07-BE2FDE0BA54C}"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6B-43BC-8B07-BE2FDE0BA54C}"/>
                </c:ext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6B-43BC-8B07-BE2FDE0BA54C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6B-43BC-8B07-BE2FDE0BA54C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Arrecadação'!$S$101:$S$112</c:f>
              <c:numCache>
                <c:formatCode>_-[$R$-416]\ * #,##0_-;\-[$R$-416]\ * #,##0_-;_-[$R$-416]\ * "-"??_-;_-@_-</c:formatCode>
                <c:ptCount val="12"/>
                <c:pt idx="0">
                  <c:v>933297.32066012197</c:v>
                </c:pt>
                <c:pt idx="1">
                  <c:v>1717744.9444766585</c:v>
                </c:pt>
                <c:pt idx="2">
                  <c:v>2371460.0052713524</c:v>
                </c:pt>
                <c:pt idx="3">
                  <c:v>2979104.5199988051</c:v>
                </c:pt>
                <c:pt idx="4">
                  <c:v>3527169.2917677076</c:v>
                </c:pt>
                <c:pt idx="5">
                  <c:v>4103179.7172057563</c:v>
                </c:pt>
                <c:pt idx="6">
                  <c:v>4889670.663709715</c:v>
                </c:pt>
                <c:pt idx="7">
                  <c:v>5695363.1442265818</c:v>
                </c:pt>
                <c:pt idx="8">
                  <c:v>6475454.3837531153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26B-43BC-8B07-BE2FDE0B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345840"/>
        <c:axId val="389346400"/>
      </c:lineChart>
      <c:catAx>
        <c:axId val="38934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9346400"/>
        <c:crosses val="autoZero"/>
        <c:auto val="1"/>
        <c:lblAlgn val="ctr"/>
        <c:lblOffset val="100"/>
        <c:noMultiLvlLbl val="0"/>
      </c:catAx>
      <c:valAx>
        <c:axId val="389346400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93458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79672676109782E-2"/>
          <c:y val="6.4675925925925928E-2"/>
          <c:w val="0.93664310434193554"/>
          <c:h val="0.87534639007631942"/>
        </c:manualLayout>
      </c:layout>
      <c:lineChart>
        <c:grouping val="standard"/>
        <c:varyColors val="0"/>
        <c:ser>
          <c:idx val="1"/>
          <c:order val="0"/>
          <c:tx>
            <c:strRef>
              <c:f>'Gráficos - Arrecadação'!$S$20</c:f>
              <c:strCache>
                <c:ptCount val="1"/>
                <c:pt idx="0">
                  <c:v>Potencial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2901944111802405E-2"/>
                  <c:y val="-3.995189552428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5AF-4A3D-BDD8-64AC300CEA39}"/>
                </c:ext>
              </c:extLst>
            </c:dLbl>
            <c:dLbl>
              <c:idx val="1"/>
              <c:layout>
                <c:manualLayout>
                  <c:x val="-6.0645909475795942E-2"/>
                  <c:y val="-3.1369434738267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5AF-4A3D-BDD8-64AC300CEA39}"/>
                </c:ext>
              </c:extLst>
            </c:dLbl>
            <c:dLbl>
              <c:idx val="2"/>
              <c:layout>
                <c:manualLayout>
                  <c:x val="-5.6370573594280521E-2"/>
                  <c:y val="-2.7121528764649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5AF-4A3D-BDD8-64AC300CEA39}"/>
                </c:ext>
              </c:extLst>
            </c:dLbl>
            <c:dLbl>
              <c:idx val="3"/>
              <c:layout>
                <c:manualLayout>
                  <c:x val="-5.8755439703510479E-2"/>
                  <c:y val="-2.6300804173005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5AF-4A3D-BDD8-64AC300CEA39}"/>
                </c:ext>
              </c:extLst>
            </c:dLbl>
            <c:dLbl>
              <c:idx val="4"/>
              <c:layout>
                <c:manualLayout>
                  <c:x val="-5.7395139259808048E-2"/>
                  <c:y val="-2.918078009797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5AF-4A3D-BDD8-64AC300CEA39}"/>
                </c:ext>
              </c:extLst>
            </c:dLbl>
            <c:dLbl>
              <c:idx val="5"/>
              <c:layout>
                <c:manualLayout>
                  <c:x val="-5.6705999451975068E-2"/>
                  <c:y val="-3.1338170631802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5AF-4A3D-BDD8-64AC300CEA39}"/>
                </c:ext>
              </c:extLst>
            </c:dLbl>
            <c:dLbl>
              <c:idx val="6"/>
              <c:layout>
                <c:manualLayout>
                  <c:x val="-5.2371474406401629E-2"/>
                  <c:y val="-2.7480313644191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05AF-4A3D-BDD8-64AC300CEA39}"/>
                </c:ext>
              </c:extLst>
            </c:dLbl>
            <c:dLbl>
              <c:idx val="7"/>
              <c:layout>
                <c:manualLayout>
                  <c:x val="-5.4598543934207468E-2"/>
                  <c:y val="-2.9178105094210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5AF-4A3D-BDD8-64AC300CEA39}"/>
                </c:ext>
              </c:extLst>
            </c:dLbl>
            <c:dLbl>
              <c:idx val="8"/>
              <c:layout>
                <c:manualLayout>
                  <c:x val="-4.2044015607898354E-2"/>
                  <c:y val="-2.7054820858341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05AF-4A3D-BDD8-64AC300CEA39}"/>
                </c:ext>
              </c:extLst>
            </c:dLbl>
            <c:dLbl>
              <c:idx val="9"/>
              <c:layout>
                <c:manualLayout>
                  <c:x val="-3.9690042643356842E-2"/>
                  <c:y val="-4.231740660030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F-4A3D-BDD8-64AC300CEA39}"/>
                </c:ext>
              </c:extLst>
            </c:dLbl>
            <c:dLbl>
              <c:idx val="10"/>
              <c:layout>
                <c:manualLayout>
                  <c:x val="-4.5643549039860509E-2"/>
                  <c:y val="-3.4623332672975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AF-4A3D-BDD8-64AC300CEA39}"/>
                </c:ext>
              </c:extLst>
            </c:dLbl>
            <c:dLbl>
              <c:idx val="11"/>
              <c:layout>
                <c:manualLayout>
                  <c:x val="-3.3736536246853313E-2"/>
                  <c:y val="-3.4623332672975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F-4A3D-BDD8-64AC300CEA39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'Gráficos - Arrecadação'!$P$21:$P$32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Arrecadação'!$S$21:$S$32</c:f>
              <c:numCache>
                <c:formatCode>_-[$R$-416]\ * #,##0_-;\-[$R$-416]\ * #,##0_-;_-[$R$-416]\ * "-"??_-;_-@_-</c:formatCode>
                <c:ptCount val="12"/>
                <c:pt idx="0">
                  <c:v>20659530.362153042</c:v>
                </c:pt>
                <c:pt idx="1">
                  <c:v>40477751.405271091</c:v>
                </c:pt>
                <c:pt idx="2">
                  <c:v>50181564.297001474</c:v>
                </c:pt>
                <c:pt idx="3">
                  <c:v>58010737.085941866</c:v>
                </c:pt>
                <c:pt idx="4">
                  <c:v>66406065.64133504</c:v>
                </c:pt>
                <c:pt idx="5">
                  <c:v>74528039.32518658</c:v>
                </c:pt>
                <c:pt idx="6">
                  <c:v>79791366.372447044</c:v>
                </c:pt>
                <c:pt idx="7">
                  <c:v>84968215.907965034</c:v>
                </c:pt>
                <c:pt idx="8">
                  <c:v>87837564.421211004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05AF-4A3D-BDD8-64AC300CEA39}"/>
            </c:ext>
          </c:extLst>
        </c:ser>
        <c:ser>
          <c:idx val="0"/>
          <c:order val="1"/>
          <c:tx>
            <c:strRef>
              <c:f>'Gráficos - Arrecadação'!$Q$20</c:f>
              <c:strCache>
                <c:ptCount val="1"/>
                <c:pt idx="0">
                  <c:v>Meta</c:v>
                </c:pt>
              </c:strCache>
            </c:strRef>
          </c:tx>
          <c:spPr>
            <a:ln w="508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2">
                  <a:lumMod val="60000"/>
                  <a:lumOff val="40000"/>
                </a:schemeClr>
              </a:solidFill>
              <a:ln w="6350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8390354390485987E-2"/>
                  <c:y val="-3.2971260428334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AF-4A3D-BDD8-64AC300CEA39}"/>
                </c:ext>
              </c:extLst>
            </c:dLbl>
            <c:dLbl>
              <c:idx val="1"/>
              <c:layout>
                <c:manualLayout>
                  <c:x val="-3.4519975297968714E-2"/>
                  <c:y val="-4.6781407252549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180-4248-B9AE-B421F85441C8}"/>
                </c:ext>
              </c:extLst>
            </c:dLbl>
            <c:dLbl>
              <c:idx val="2"/>
              <c:layout>
                <c:manualLayout>
                  <c:x val="-2.9027724904583267E-2"/>
                  <c:y val="-8.0863974760618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DF6-4BC4-9557-CDE36CFBA993}"/>
                </c:ext>
              </c:extLst>
            </c:dLbl>
            <c:dLbl>
              <c:idx val="3"/>
              <c:layout>
                <c:manualLayout>
                  <c:x val="-4.5588754553101733E-2"/>
                  <c:y val="-5.0977881062645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DB0-427E-8D46-7FD048287301}"/>
                </c:ext>
              </c:extLst>
            </c:dLbl>
            <c:dLbl>
              <c:idx val="4"/>
              <c:layout>
                <c:manualLayout>
                  <c:x val="-3.2871807714983652E-2"/>
                  <c:y val="-6.3775368436980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890-4230-B8B6-420486308AFE}"/>
                </c:ext>
              </c:extLst>
            </c:dLbl>
            <c:dLbl>
              <c:idx val="5"/>
              <c:layout>
                <c:manualLayout>
                  <c:x val="-3.1305582751914258E-2"/>
                  <c:y val="5.104319338162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901-4D75-91C1-BA403A4D44E1}"/>
                </c:ext>
              </c:extLst>
            </c:dLbl>
            <c:dLbl>
              <c:idx val="6"/>
              <c:layout>
                <c:manualLayout>
                  <c:x val="-3.4630795010655885E-2"/>
                  <c:y val="4.8936117503459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901-4D75-91C1-BA403A4D44E1}"/>
                </c:ext>
              </c:extLst>
            </c:dLbl>
            <c:dLbl>
              <c:idx val="7"/>
              <c:layout>
                <c:manualLayout>
                  <c:x val="-3.8975261339003467E-3"/>
                  <c:y val="2.976342935482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901-4D75-91C1-BA403A4D44E1}"/>
                </c:ext>
              </c:extLst>
            </c:dLbl>
            <c:dLbl>
              <c:idx val="8"/>
              <c:layout>
                <c:manualLayout>
                  <c:x val="-8.6225884508843841E-3"/>
                  <c:y val="3.3970207145603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901-4D75-91C1-BA403A4D44E1}"/>
                </c:ext>
              </c:extLst>
            </c:dLbl>
            <c:dLbl>
              <c:idx val="9"/>
              <c:layout>
                <c:manualLayout>
                  <c:x val="-3.218224133825251E-2"/>
                  <c:y val="4.0380219550444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901-4D75-91C1-BA403A4D44E1}"/>
                </c:ext>
              </c:extLst>
            </c:dLbl>
            <c:dLbl>
              <c:idx val="10"/>
              <c:layout>
                <c:manualLayout>
                  <c:x val="-3.609877346203675E-2"/>
                  <c:y val="4.675496079456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901-4D75-91C1-BA403A4D44E1}"/>
                </c:ext>
              </c:extLst>
            </c:dLbl>
            <c:dLbl>
              <c:idx val="11"/>
              <c:layout>
                <c:manualLayout>
                  <c:x val="-2.8284123357279235E-2"/>
                  <c:y val="4.8877699947726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901-4D75-91C1-BA403A4D44E1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'Gráficos - Arrecadação'!$P$21:$P$32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Arrecadação'!$Q$21:$Q$32</c:f>
              <c:numCache>
                <c:formatCode>_-[$R$-416]\ * #,##0_-;\-[$R$-416]\ * #,##0_-;_-[$R$-416]\ * "-"??_-;_-@_-</c:formatCode>
                <c:ptCount val="12"/>
                <c:pt idx="0">
                  <c:v>14796436.727616586</c:v>
                </c:pt>
                <c:pt idx="1">
                  <c:v>28990324.419062428</c:v>
                </c:pt>
                <c:pt idx="2">
                  <c:v>35940233.296572618</c:v>
                </c:pt>
                <c:pt idx="3">
                  <c:v>41547517.575084224</c:v>
                </c:pt>
                <c:pt idx="4">
                  <c:v>47560284.835514925</c:v>
                </c:pt>
                <c:pt idx="5">
                  <c:v>53377274.264114507</c:v>
                </c:pt>
                <c:pt idx="6">
                  <c:v>57146889.75228703</c:v>
                </c:pt>
                <c:pt idx="7">
                  <c:v>60854569.707152195</c:v>
                </c:pt>
                <c:pt idx="8">
                  <c:v>62909608.373641044</c:v>
                </c:pt>
                <c:pt idx="9">
                  <c:v>64447852.425544523</c:v>
                </c:pt>
                <c:pt idx="10">
                  <c:v>66110084.299710646</c:v>
                </c:pt>
                <c:pt idx="11">
                  <c:v>67945589.089999989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5AF-4A3D-BDD8-64AC300CEA39}"/>
            </c:ext>
          </c:extLst>
        </c:ser>
        <c:ser>
          <c:idx val="2"/>
          <c:order val="2"/>
          <c:tx>
            <c:strRef>
              <c:f>'Gráficos - Arrecadação'!$R$20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508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7.0608341346196733E-3"/>
                  <c:y val="2.6667137449908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05AF-4A3D-BDD8-64AC300CEA39}"/>
                </c:ext>
              </c:extLst>
            </c:dLbl>
            <c:dLbl>
              <c:idx val="1"/>
              <c:layout>
                <c:manualLayout>
                  <c:x val="-2.8029042690055465E-2"/>
                  <c:y val="5.2618516922961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05AF-4A3D-BDD8-64AC300CEA39}"/>
                </c:ext>
              </c:extLst>
            </c:dLbl>
            <c:dLbl>
              <c:idx val="2"/>
              <c:layout>
                <c:manualLayout>
                  <c:x val="-2.7745805775700339E-2"/>
                  <c:y val="6.3310532902053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05AF-4A3D-BDD8-64AC300CEA39}"/>
                </c:ext>
              </c:extLst>
            </c:dLbl>
            <c:dLbl>
              <c:idx val="3"/>
              <c:layout>
                <c:manualLayout>
                  <c:x val="-2.0980457999325994E-2"/>
                  <c:y val="3.3599217561399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05AF-4A3D-BDD8-64AC300CEA39}"/>
                </c:ext>
              </c:extLst>
            </c:dLbl>
            <c:dLbl>
              <c:idx val="4"/>
              <c:layout>
                <c:manualLayout>
                  <c:x val="-2.8940274811607072E-2"/>
                  <c:y val="4.563221984829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05AF-4A3D-BDD8-64AC300CEA39}"/>
                </c:ext>
              </c:extLst>
            </c:dLbl>
            <c:dLbl>
              <c:idx val="5"/>
              <c:layout>
                <c:manualLayout>
                  <c:x val="-3.2947721838248088E-2"/>
                  <c:y val="-4.2492696876345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05AF-4A3D-BDD8-64AC300CEA39}"/>
                </c:ext>
              </c:extLst>
            </c:dLbl>
            <c:dLbl>
              <c:idx val="6"/>
              <c:layout>
                <c:manualLayout>
                  <c:x val="-3.2102370939478327E-2"/>
                  <c:y val="-4.2490855612073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05AF-4A3D-BDD8-64AC300CEA39}"/>
                </c:ext>
              </c:extLst>
            </c:dLbl>
            <c:dLbl>
              <c:idx val="7"/>
              <c:layout>
                <c:manualLayout>
                  <c:x val="-2.885020723930444E-2"/>
                  <c:y val="-4.0321334826877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05AF-4A3D-BDD8-64AC300CEA39}"/>
                </c:ext>
              </c:extLst>
            </c:dLbl>
            <c:dLbl>
              <c:idx val="8"/>
              <c:layout>
                <c:manualLayout>
                  <c:x val="-4.2949523320252612E-2"/>
                  <c:y val="-3.6014578770501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05AF-4A3D-BDD8-64AC300CEA39}"/>
                </c:ext>
              </c:extLst>
            </c:dLbl>
            <c:dLbl>
              <c:idx val="9"/>
              <c:layout>
                <c:manualLayout>
                  <c:x val="-3.2759821214278631E-2"/>
                  <c:y val="-4.456363826450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AF-4A3D-BDD8-64AC300CEA39}"/>
                </c:ext>
              </c:extLst>
            </c:dLbl>
            <c:dLbl>
              <c:idx val="10"/>
              <c:layout>
                <c:manualLayout>
                  <c:x val="-3.9101776839939588E-2"/>
                  <c:y val="-4.6682530057501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F-4A3D-BDD8-64AC300CEA39}"/>
                </c:ext>
              </c:extLst>
            </c:dLbl>
            <c:dLbl>
              <c:idx val="11"/>
              <c:layout>
                <c:manualLayout>
                  <c:x val="-2.4575078049436667E-2"/>
                  <c:y val="-4.8861474124411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63-467A-9A5B-0557C5F67551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'Gráficos - Arrecadação'!$P$21:$P$32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Arrecadação'!$R$21:$R$32</c:f>
              <c:numCache>
                <c:formatCode>_-[$R$-416]\ * #,##0_-;\-[$R$-416]\ * #,##0_-;_-[$R$-416]\ * "-"??_-;_-@_-</c:formatCode>
                <c:ptCount val="12"/>
                <c:pt idx="0">
                  <c:v>11173689.340000004</c:v>
                </c:pt>
                <c:pt idx="1">
                  <c:v>24096636.850000001</c:v>
                </c:pt>
                <c:pt idx="2">
                  <c:v>35307556.620000005</c:v>
                </c:pt>
                <c:pt idx="3">
                  <c:v>40577115.160000004</c:v>
                </c:pt>
                <c:pt idx="4">
                  <c:v>46812972.500000007</c:v>
                </c:pt>
                <c:pt idx="5">
                  <c:v>53671919.270000011</c:v>
                </c:pt>
                <c:pt idx="6">
                  <c:v>59004806.530000009</c:v>
                </c:pt>
                <c:pt idx="7">
                  <c:v>61458803.430000007</c:v>
                </c:pt>
                <c:pt idx="8">
                  <c:v>63258602.590000004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05AF-4A3D-BDD8-64AC300CE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350320"/>
        <c:axId val="389350880"/>
      </c:lineChart>
      <c:catAx>
        <c:axId val="38935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9350880"/>
        <c:crosses val="autoZero"/>
        <c:auto val="1"/>
        <c:lblAlgn val="ctr"/>
        <c:lblOffset val="100"/>
        <c:noMultiLvlLbl val="0"/>
      </c:catAx>
      <c:valAx>
        <c:axId val="38935088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93503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5.8400234030476974E-3"/>
                <c:y val="3.151408993366629E-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853280163436261"/>
          <c:y val="0.80595150180110875"/>
          <c:w val="0.27364161054176739"/>
          <c:h val="0.1175474232747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Arrecadação'!$Q$37:$Q$48</c:f>
              <c:numCache>
                <c:formatCode>_-[$R$-416]\ * #,##0_-;\-[$R$-416]\ * #,##0_-;_-[$R$-416]\ * "-"??_-;_-@_-</c:formatCode>
                <c:ptCount val="12"/>
                <c:pt idx="0">
                  <c:v>2267417.3715040069</c:v>
                </c:pt>
                <c:pt idx="1">
                  <c:v>4015108.5195592274</c:v>
                </c:pt>
                <c:pt idx="2">
                  <c:v>5395529.5701630656</c:v>
                </c:pt>
                <c:pt idx="3">
                  <c:v>6635371.2627898455</c:v>
                </c:pt>
                <c:pt idx="4">
                  <c:v>7721041.6845208984</c:v>
                </c:pt>
                <c:pt idx="5">
                  <c:v>8753842.54612788</c:v>
                </c:pt>
                <c:pt idx="6">
                  <c:v>10149068.112386934</c:v>
                </c:pt>
                <c:pt idx="7">
                  <c:v>11519535.891210407</c:v>
                </c:pt>
                <c:pt idx="8">
                  <c:v>12701239.474559357</c:v>
                </c:pt>
                <c:pt idx="9">
                  <c:v>14357984.204981059</c:v>
                </c:pt>
                <c:pt idx="10">
                  <c:v>15406149.681081541</c:v>
                </c:pt>
                <c:pt idx="11">
                  <c:v>16761168.281999998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7C-499D-8A46-D2B90CC6CFAA}"/>
            </c:ext>
          </c:extLst>
        </c:ser>
        <c:ser>
          <c:idx val="1"/>
          <c:order val="1"/>
          <c:tx>
            <c:strRef>
              <c:f>'Gráficos - Arrecadação'!$R$36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7C-499D-8A46-D2B90CC6CFAA}"/>
                </c:ext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7C-499D-8A46-D2B90CC6CFAA}"/>
                </c:ext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7C-499D-8A46-D2B90CC6CFAA}"/>
                </c:ext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Arrecadação'!$R$37:$R$48</c:f>
              <c:numCache>
                <c:formatCode>_-[$R$-416]\ * #,##0_-;\-[$R$-416]\ * #,##0_-;_-[$R$-416]\ * "-"??_-;_-@_-</c:formatCode>
                <c:ptCount val="12"/>
                <c:pt idx="0">
                  <c:v>1624877.0600000003</c:v>
                </c:pt>
                <c:pt idx="1">
                  <c:v>3524453.2200000007</c:v>
                </c:pt>
                <c:pt idx="2">
                  <c:v>5532964.6900000013</c:v>
                </c:pt>
                <c:pt idx="3">
                  <c:v>6889303.290000001</c:v>
                </c:pt>
                <c:pt idx="4">
                  <c:v>8501206.7300000004</c:v>
                </c:pt>
                <c:pt idx="5">
                  <c:v>9916700.8599999994</c:v>
                </c:pt>
                <c:pt idx="6">
                  <c:v>11128942.629999999</c:v>
                </c:pt>
                <c:pt idx="7">
                  <c:v>12539439.719999999</c:v>
                </c:pt>
                <c:pt idx="8">
                  <c:v>13690888.369999999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7C-499D-8A46-D2B90CC6C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355920"/>
        <c:axId val="389356480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'Gráficos - Arrecadação'!$U$36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'Gráficos - Arrecadação'!$P$37:$P$48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'Gráficos - Arrecadação'!$U$37:$U$48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1624877.0600000003</c:v>
                      </c:pt>
                      <c:pt idx="1">
                        <c:v>#N/A</c:v>
                      </c:pt>
                      <c:pt idx="2">
                        <c:v>0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5D7C-499D-8A46-D2B90CC6CFAA}"/>
                  </c:ext>
                </c:extLst>
              </c15:ser>
            </c15:filteredLineSeries>
          </c:ext>
        </c:extLst>
      </c:lineChart>
      <c:catAx>
        <c:axId val="38935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9356480"/>
        <c:crosses val="autoZero"/>
        <c:auto val="1"/>
        <c:lblAlgn val="ctr"/>
        <c:lblOffset val="100"/>
        <c:noMultiLvlLbl val="0"/>
      </c:catAx>
      <c:valAx>
        <c:axId val="38935648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93559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08-4868-BBAC-7E369F1660DB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Arrecadação'!$Q$53:$Q$64</c:f>
              <c:numCache>
                <c:formatCode>_-[$R$-416]\ * #,##0_-;\-[$R$-416]\ * #,##0_-;_-[$R$-416]\ * "-"??_-;_-@_-</c:formatCode>
                <c:ptCount val="12"/>
                <c:pt idx="0">
                  <c:v>1018975.0580793833</c:v>
                </c:pt>
                <c:pt idx="1">
                  <c:v>2255924.4775186926</c:v>
                </c:pt>
                <c:pt idx="2">
                  <c:v>2806868.906928645</c:v>
                </c:pt>
                <c:pt idx="3">
                  <c:v>3265959.2322449223</c:v>
                </c:pt>
                <c:pt idx="4">
                  <c:v>3752968.2797377976</c:v>
                </c:pt>
                <c:pt idx="5">
                  <c:v>4284558.8450984173</c:v>
                </c:pt>
                <c:pt idx="6">
                  <c:v>4601881.6073588617</c:v>
                </c:pt>
                <c:pt idx="7">
                  <c:v>4938864.2646385338</c:v>
                </c:pt>
                <c:pt idx="8">
                  <c:v>5121621.3536376767</c:v>
                </c:pt>
                <c:pt idx="9">
                  <c:v>5274157.0545247076</c:v>
                </c:pt>
                <c:pt idx="10">
                  <c:v>5429871.5489863567</c:v>
                </c:pt>
                <c:pt idx="11">
                  <c:v>5588402.3580000009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808-4868-BBAC-7E369F1660DB}"/>
            </c:ext>
          </c:extLst>
        </c:ser>
        <c:ser>
          <c:idx val="1"/>
          <c:order val="1"/>
          <c:tx>
            <c:strRef>
              <c:f>'Gráficos - Arrecadação'!$S$52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08-4868-BBAC-7E369F1660DB}"/>
                </c:ext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08-4868-BBAC-7E369F1660DB}"/>
                </c:ext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08-4868-BBAC-7E369F1660DB}"/>
                </c:ext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08-4868-BBAC-7E369F1660DB}"/>
                </c:ext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08-4868-BBAC-7E369F1660DB}"/>
                </c:ext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08-4868-BBAC-7E369F1660DB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08-4868-BBAC-7E369F1660DB}"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08-4868-BBAC-7E369F1660DB}"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08-4868-BBAC-7E369F1660DB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08-4868-BBAC-7E369F1660DB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08-4868-BBAC-7E369F1660DB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08-4868-BBAC-7E369F1660DB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Arrecadação'!$S$53:$S$64</c:f>
              <c:numCache>
                <c:formatCode>_-[$R$-416]\ * #,##0_-;\-[$R$-416]\ * #,##0_-;_-[$R$-416]\ * "-"??_-;_-@_-</c:formatCode>
                <c:ptCount val="12"/>
                <c:pt idx="0">
                  <c:v>1926442.4732265207</c:v>
                </c:pt>
                <c:pt idx="1">
                  <c:v>4264980.4776132097</c:v>
                </c:pt>
                <c:pt idx="2">
                  <c:v>5306578.8374429336</c:v>
                </c:pt>
                <c:pt idx="3">
                  <c:v>6174520.6920783566</c:v>
                </c:pt>
                <c:pt idx="4">
                  <c:v>7095244.8123568492</c:v>
                </c:pt>
                <c:pt idx="5">
                  <c:v>8100253.3602671716</c:v>
                </c:pt>
                <c:pt idx="6">
                  <c:v>8700173.8804929536</c:v>
                </c:pt>
                <c:pt idx="7">
                  <c:v>9337262.7852477971</c:v>
                </c:pt>
                <c:pt idx="8">
                  <c:v>9682777.6393550113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808-4868-BBAC-7E369F1660DB}"/>
            </c:ext>
          </c:extLst>
        </c:ser>
        <c:ser>
          <c:idx val="2"/>
          <c:order val="2"/>
          <c:tx>
            <c:strRef>
              <c:f>'Gráficos - Arrecadação'!$R$52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08-4868-BBAC-7E369F1660DB}"/>
                </c:ext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08-4868-BBAC-7E369F1660DB}"/>
                </c:ext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08-4868-BBAC-7E369F1660DB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Arrecadação'!$R$53:$R$64</c:f>
              <c:numCache>
                <c:formatCode>_-[$R$-416]\ * #,##0_-;\-[$R$-416]\ * #,##0_-;_-[$R$-416]\ * "-"??_-;_-@_-</c:formatCode>
                <c:ptCount val="12"/>
                <c:pt idx="0">
                  <c:v>414294.46000000008</c:v>
                </c:pt>
                <c:pt idx="1">
                  <c:v>802549.10000000009</c:v>
                </c:pt>
                <c:pt idx="2">
                  <c:v>1029153.2200000001</c:v>
                </c:pt>
                <c:pt idx="3">
                  <c:v>1168470.53</c:v>
                </c:pt>
                <c:pt idx="4">
                  <c:v>1303580.67</c:v>
                </c:pt>
                <c:pt idx="5">
                  <c:v>1445440.21</c:v>
                </c:pt>
                <c:pt idx="6">
                  <c:v>1752726.26</c:v>
                </c:pt>
                <c:pt idx="7">
                  <c:v>2883068.31</c:v>
                </c:pt>
                <c:pt idx="8">
                  <c:v>3427609.25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08-4868-BBAC-7E369F166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360400"/>
        <c:axId val="389360960"/>
      </c:lineChart>
      <c:catAx>
        <c:axId val="38936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9360960"/>
        <c:crosses val="autoZero"/>
        <c:auto val="1"/>
        <c:lblAlgn val="ctr"/>
        <c:lblOffset val="100"/>
        <c:noMultiLvlLbl val="0"/>
      </c:catAx>
      <c:valAx>
        <c:axId val="3893609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93604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A4-4245-A40B-196375D81B69}"/>
                </c:ext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A4-4245-A40B-196375D81B69}"/>
                </c:ext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A4-4245-A40B-196375D81B69}"/>
                </c:ext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A4-4245-A40B-196375D81B69}"/>
                </c:ext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A4-4245-A40B-196375D81B69}"/>
                </c:ext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A4-4245-A40B-196375D81B69}"/>
                </c:ext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A4-4245-A40B-196375D81B69}"/>
                </c:ext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A4-4245-A40B-196375D81B69}"/>
                </c:ext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A4-4245-A40B-196375D81B69}"/>
                </c:ext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A4-4245-A40B-196375D81B69}"/>
                </c:ext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A4-4245-A40B-196375D81B69}"/>
                </c:ext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A4-4245-A40B-196375D81B69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Arrecadação'!$Q$69:$Q$80</c:f>
              <c:numCache>
                <c:formatCode>_-[$R$-416]\ * #,##0_-;\-[$R$-416]\ * #,##0_-;_-[$R$-416]\ * "-"??_-;_-@_-</c:formatCode>
                <c:ptCount val="12"/>
                <c:pt idx="0">
                  <c:v>355455.89127551753</c:v>
                </c:pt>
                <c:pt idx="1">
                  <c:v>657632.93539569969</c:v>
                </c:pt>
                <c:pt idx="2">
                  <c:v>892200.03768604691</c:v>
                </c:pt>
                <c:pt idx="3">
                  <c:v>1096140.990105195</c:v>
                </c:pt>
                <c:pt idx="4">
                  <c:v>1275804.9312838914</c:v>
                </c:pt>
                <c:pt idx="5">
                  <c:v>1458629.7889792309</c:v>
                </c:pt>
                <c:pt idx="6">
                  <c:v>1696796.0090236673</c:v>
                </c:pt>
                <c:pt idx="7">
                  <c:v>1937976.3969157287</c:v>
                </c:pt>
                <c:pt idx="8">
                  <c:v>2132604.8022738365</c:v>
                </c:pt>
                <c:pt idx="9">
                  <c:v>2380233.0535183935</c:v>
                </c:pt>
                <c:pt idx="10">
                  <c:v>2568201.8132475866</c:v>
                </c:pt>
                <c:pt idx="11">
                  <c:v>2800012.5260000005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34A4-4245-A40B-196375D81B69}"/>
            </c:ext>
          </c:extLst>
        </c:ser>
        <c:ser>
          <c:idx val="1"/>
          <c:order val="1"/>
          <c:tx>
            <c:strRef>
              <c:f>'Gráficos - Arrecadação'!$R$68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A4-4245-A40B-196375D81B69}"/>
                </c:ext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A4-4245-A40B-196375D81B69}"/>
                </c:ext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A4-4245-A40B-196375D81B69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Arrecadação'!$R$69:$R$80</c:f>
              <c:numCache>
                <c:formatCode>_-[$R$-416]\ * #,##0_-;\-[$R$-416]\ * #,##0_-;_-[$R$-416]\ * "-"??_-;_-@_-</c:formatCode>
                <c:ptCount val="12"/>
                <c:pt idx="0">
                  <c:v>273703.60000000003</c:v>
                </c:pt>
                <c:pt idx="1">
                  <c:v>639245.17999999993</c:v>
                </c:pt>
                <c:pt idx="2">
                  <c:v>1013167.1299999999</c:v>
                </c:pt>
                <c:pt idx="3">
                  <c:v>1260635.3899999999</c:v>
                </c:pt>
                <c:pt idx="4">
                  <c:v>1569367.39</c:v>
                </c:pt>
                <c:pt idx="5">
                  <c:v>1825059.48</c:v>
                </c:pt>
                <c:pt idx="6">
                  <c:v>2041703.08</c:v>
                </c:pt>
                <c:pt idx="7">
                  <c:v>2446736.0700000003</c:v>
                </c:pt>
                <c:pt idx="8">
                  <c:v>2824767.0400000005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4A4-4245-A40B-196375D81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364320"/>
        <c:axId val="389364880"/>
      </c:lineChart>
      <c:catAx>
        <c:axId val="38936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9364880"/>
        <c:crosses val="autoZero"/>
        <c:auto val="1"/>
        <c:lblAlgn val="ctr"/>
        <c:lblOffset val="100"/>
        <c:noMultiLvlLbl val="0"/>
      </c:catAx>
      <c:valAx>
        <c:axId val="38936488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93643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Arrecadação de Dezembro 2020</a:t>
            </a:r>
          </a:p>
          <a:p>
            <a:pPr>
              <a:defRPr/>
            </a:pPr>
            <a:r>
              <a:rPr lang="pt-BR" sz="1100"/>
              <a:t>Previsto X Executado</a:t>
            </a:r>
          </a:p>
        </c:rich>
      </c:tx>
      <c:layout>
        <c:manualLayout>
          <c:xMode val="edge"/>
          <c:yMode val="edge"/>
          <c:x val="0.29071562307391136"/>
          <c:y val="1.86136563413392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18856056831198639"/>
          <c:y val="0.17171296296296296"/>
          <c:w val="0.80231270871827165"/>
          <c:h val="0.6030084505266968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'Gráficos - Arrecadação'!$A$5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304D5A92-F816-4B70-983B-A3FDADF072A2}" type="VALUE">
                      <a:rPr lang="en-US"/>
                      <a:pPr/>
                      <a:t>[VALOR]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7C10-45F9-AF88-9E13E7A4336F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CAC9945B-C830-44E7-ABF8-1754223E3FB1}" type="VALUE">
                      <a:rPr lang="en-US"/>
                      <a:pPr/>
                      <a:t>[VALOR]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C10-45F9-AF88-9E13E7A4336F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E3039EC5-CE1E-4D35-BD2A-87B8C55CCA49}" type="VALUE">
                      <a:rPr lang="en-US"/>
                      <a:pPr/>
                      <a:t>[VALOR]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7C10-45F9-AF88-9E13E7A4336F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32152771-CDDC-4BB3-9F22-76165B9D53BF}" type="VALUE">
                      <a:rPr lang="en-US"/>
                      <a:pPr/>
                      <a:t>[VALOR]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C10-45F9-AF88-9E13E7A4336F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228D02C5-3AAC-4CE9-9E0B-9CAD705BB7A4}" type="VALUE">
                      <a:rPr lang="en-US"/>
                      <a:pPr/>
                      <a:t>[VALOR]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C10-45F9-AF88-9E13E7A4336F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9CBFC870-D7EE-4306-A59B-891A02AE7A33}" type="VALUE">
                      <a:rPr lang="en-US"/>
                      <a:pPr/>
                      <a:t>[VALOR]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C10-45F9-AF88-9E13E7A4336F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BA63BA7F-9ED3-452A-951A-1AA6AD93C9EC}" type="VALUE">
                      <a:rPr lang="en-US"/>
                      <a:pPr/>
                      <a:t>[VALOR]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C10-45F9-AF88-9E13E7A4336F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59888F8C-9341-41DA-AF5C-D25F2D8644D8}" type="VALUE">
                      <a:rPr lang="en-US"/>
                      <a:pPr/>
                      <a:t>[VALOR]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C10-45F9-AF88-9E13E7A4336F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E22DAFCF-0EA4-440D-B40B-94C820B1B755}" type="VALUE">
                      <a:rPr lang="en-US"/>
                      <a:pPr/>
                      <a:t>[VALOR]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C10-45F9-AF88-9E13E7A4336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10-45F9-AF88-9E13E7A4336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10-45F9-AF88-9E13E7A4336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10-45F9-AF88-9E13E7A4336F}"/>
                </c:ext>
              </c:extLst>
            </c:dLbl>
            <c:numFmt formatCode="#,##0.0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'Gráficos - Arrecadação'!$B$2:$M$2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Arrecadação'!$B$5:$M$5</c:f>
              <c:numCache>
                <c:formatCode>_-* #,##0_-;\-* #,##0_-;_-* "-"??_-;_-@_-</c:formatCode>
                <c:ptCount val="12"/>
                <c:pt idx="0">
                  <c:v>20850868.670000006</c:v>
                </c:pt>
                <c:pt idx="1">
                  <c:v>45494069.100000001</c:v>
                </c:pt>
                <c:pt idx="2">
                  <c:v>70516849.5</c:v>
                </c:pt>
                <c:pt idx="3">
                  <c:v>86940351.560000002</c:v>
                </c:pt>
                <c:pt idx="4">
                  <c:v>106384818.08000001</c:v>
                </c:pt>
                <c:pt idx="5">
                  <c:v>125380052.99000001</c:v>
                </c:pt>
                <c:pt idx="6">
                  <c:v>142869466.36000001</c:v>
                </c:pt>
                <c:pt idx="7">
                  <c:v>159979151.97999996</c:v>
                </c:pt>
                <c:pt idx="8">
                  <c:v>174452905.24999997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C10-45F9-AF88-9E13E7A43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898896"/>
        <c:axId val="328899456"/>
      </c:barChart>
      <c:lineChart>
        <c:grouping val="standard"/>
        <c:varyColors val="0"/>
        <c:ser>
          <c:idx val="0"/>
          <c:order val="0"/>
          <c:tx>
            <c:strRef>
              <c:f>'Gráficos - Arrecadação'!$A$4</c:f>
              <c:strCache>
                <c:ptCount val="1"/>
                <c:pt idx="0">
                  <c:v>Previsto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'Gráficos - Arrecadação'!$B$2:$M$2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Arrecadação'!$B$4:$M$4</c:f>
              <c:numCache>
                <c:formatCode>_-* #,##0_-;\-* #,##0_-;_-* "-"??_-;_-@_-</c:formatCode>
                <c:ptCount val="12"/>
                <c:pt idx="0">
                  <c:v>26495233.292128325</c:v>
                </c:pt>
                <c:pt idx="1">
                  <c:v>52688382.172870323</c:v>
                </c:pt>
                <c:pt idx="2">
                  <c:v>71146391.991785929</c:v>
                </c:pt>
                <c:pt idx="3">
                  <c:v>87193068.099814907</c:v>
                </c:pt>
                <c:pt idx="4">
                  <c:v>104200291.03470112</c:v>
                </c:pt>
                <c:pt idx="5">
                  <c:v>120810517.31602216</c:v>
                </c:pt>
                <c:pt idx="6">
                  <c:v>137098482.61578691</c:v>
                </c:pt>
                <c:pt idx="7">
                  <c:v>153925536.5878334</c:v>
                </c:pt>
                <c:pt idx="8">
                  <c:v>167913126.17899984</c:v>
                </c:pt>
                <c:pt idx="9">
                  <c:v>183022070.82118729</c:v>
                </c:pt>
                <c:pt idx="10">
                  <c:v>196051596.00296664</c:v>
                </c:pt>
                <c:pt idx="11">
                  <c:v>209250933.3972857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10-45F9-AF88-9E13E7A43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898896"/>
        <c:axId val="328899456"/>
      </c:lineChart>
      <c:catAx>
        <c:axId val="32889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8899456"/>
        <c:crosses val="autoZero"/>
        <c:auto val="1"/>
        <c:lblAlgn val="ctr"/>
        <c:lblOffset val="100"/>
        <c:noMultiLvlLbl val="0"/>
      </c:catAx>
      <c:valAx>
        <c:axId val="3288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288988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8.3705920432916886E-2"/>
                <c:y val="0.3159686484470238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16-414F-8097-06D655C05521}"/>
                </c:ext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16-414F-8097-06D655C05521}"/>
                </c:ext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6-414F-8097-06D655C05521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Arrecadação'!$Q$85:$Q$96</c:f>
              <c:numCache>
                <c:formatCode>_-[$R$-416]\ * #,##0_-;\-[$R$-416]\ * #,##0_-;_-[$R$-416]\ * "-"??_-;_-@_-</c:formatCode>
                <c:ptCount val="12"/>
                <c:pt idx="0">
                  <c:v>7250924.0097673479</c:v>
                </c:pt>
                <c:pt idx="1">
                  <c:v>15285894.523920869</c:v>
                </c:pt>
                <c:pt idx="2">
                  <c:v>24063494.476585761</c:v>
                </c:pt>
                <c:pt idx="3">
                  <c:v>32075232.868020844</c:v>
                </c:pt>
                <c:pt idx="4">
                  <c:v>40844019.560462549</c:v>
                </c:pt>
                <c:pt idx="5">
                  <c:v>49392579.832004428</c:v>
                </c:pt>
                <c:pt idx="6">
                  <c:v>59280977.355267935</c:v>
                </c:pt>
                <c:pt idx="7">
                  <c:v>69755899.774108976</c:v>
                </c:pt>
                <c:pt idx="8">
                  <c:v>79455650.864838809</c:v>
                </c:pt>
                <c:pt idx="9">
                  <c:v>90176926.459439576</c:v>
                </c:pt>
                <c:pt idx="10">
                  <c:v>99418188.601490989</c:v>
                </c:pt>
                <c:pt idx="11">
                  <c:v>108190303.97200002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316-414F-8097-06D655C05521}"/>
            </c:ext>
          </c:extLst>
        </c:ser>
        <c:ser>
          <c:idx val="1"/>
          <c:order val="1"/>
          <c:tx>
            <c:strRef>
              <c:f>'Gráficos - Arrecadação'!$T$84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6-414F-8097-06D655C05521}"/>
                </c:ext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6-414F-8097-06D655C05521}"/>
                </c:ext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16-414F-8097-06D655C05521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Arrecadação'!$T$85:$T$96</c:f>
              <c:numCache>
                <c:formatCode>_-"R$"\ * #,##0_-;\-"R$"\ * #,##0_-;_-"R$"\ * "-"??_-;_-@_-</c:formatCode>
                <c:ptCount val="12"/>
                <c:pt idx="0">
                  <c:v>6710688.8399999999</c:v>
                </c:pt>
                <c:pt idx="1">
                  <c:v>25179154.68</c:v>
                </c:pt>
                <c:pt idx="2">
                  <c:v>0</c:v>
                </c:pt>
                <c:pt idx="3">
                  <c:v>33908790.850000001</c:v>
                </c:pt>
                <c:pt idx="4">
                  <c:v>44197712.32</c:v>
                </c:pt>
                <c:pt idx="5">
                  <c:v>53763671.239999995</c:v>
                </c:pt>
                <c:pt idx="6">
                  <c:v>63251623.86999999</c:v>
                </c:pt>
                <c:pt idx="7">
                  <c:v>73709634.499999985</c:v>
                </c:pt>
                <c:pt idx="8">
                  <c:v>83163925.459999979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16-414F-8097-06D655C05521}"/>
            </c:ext>
          </c:extLst>
        </c:ser>
        <c:ser>
          <c:idx val="2"/>
          <c:order val="2"/>
          <c:tx>
            <c:strRef>
              <c:f>'Gráficos - Arrecadação'!$U$84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Arrecadação'!$U$85:$U$96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16-414F-8097-06D655C05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368800"/>
        <c:axId val="390729568"/>
      </c:lineChart>
      <c:catAx>
        <c:axId val="38936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0729568"/>
        <c:crosses val="autoZero"/>
        <c:auto val="1"/>
        <c:lblAlgn val="ctr"/>
        <c:lblOffset val="100"/>
        <c:noMultiLvlLbl val="0"/>
      </c:catAx>
      <c:valAx>
        <c:axId val="3907295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93688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1A-4D54-8A69-B7F89D8BDAED}"/>
                </c:ext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1A-4D54-8A69-B7F89D8BDAED}"/>
                </c:ext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1A-4D54-8A69-B7F89D8BDAED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Arrecadação'!$Q$101:$Q$112</c:f>
              <c:numCache>
                <c:formatCode>_-[$R$-416]\ * #,##0_-;\-[$R$-416]\ * #,##0_-;_-[$R$-416]\ * "-"??_-;_-@_-</c:formatCode>
                <c:ptCount val="12"/>
                <c:pt idx="0">
                  <c:v>806024.23388548277</c:v>
                </c:pt>
                <c:pt idx="1">
                  <c:v>1483497.2974134013</c:v>
                </c:pt>
                <c:pt idx="2">
                  <c:v>2048065.7038497992</c:v>
                </c:pt>
                <c:pt idx="3">
                  <c:v>2572846.1715698736</c:v>
                </c:pt>
                <c:pt idx="4">
                  <c:v>3046171.7431810712</c:v>
                </c:pt>
                <c:pt idx="5">
                  <c:v>3543632.0396976946</c:v>
                </c:pt>
                <c:pt idx="6">
                  <c:v>4222869.7794624902</c:v>
                </c:pt>
                <c:pt idx="7">
                  <c:v>4918690.5538075566</c:v>
                </c:pt>
                <c:pt idx="8">
                  <c:v>5592401.3100491157</c:v>
                </c:pt>
                <c:pt idx="9">
                  <c:v>6384917.6231790138</c:v>
                </c:pt>
                <c:pt idx="10">
                  <c:v>7119100.0584494928</c:v>
                </c:pt>
                <c:pt idx="11">
                  <c:v>7965457.1692857081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31A-4D54-8A69-B7F89D8BDAED}"/>
            </c:ext>
          </c:extLst>
        </c:ser>
        <c:ser>
          <c:idx val="1"/>
          <c:order val="1"/>
          <c:tx>
            <c:strRef>
              <c:f>'Gráficos - Arrecadação'!$R$100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1A-4D54-8A69-B7F89D8BDAED}"/>
                </c:ext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1A-4D54-8A69-B7F89D8BDAED}"/>
                </c:ext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1A-4D54-8A69-B7F89D8BDAED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Arrecadação'!$R$101:$R$112</c:f>
              <c:numCache>
                <c:formatCode>_-[$R$-416]\ * #,##0_-;\-[$R$-416]\ * #,##0_-;_-[$R$-416]\ * "-"??_-;_-@_-</c:formatCode>
                <c:ptCount val="12"/>
                <c:pt idx="0">
                  <c:v>653615.37</c:v>
                </c:pt>
                <c:pt idx="1">
                  <c:v>1506919.51</c:v>
                </c:pt>
                <c:pt idx="2">
                  <c:v>2454853.16</c:v>
                </c:pt>
                <c:pt idx="3">
                  <c:v>3136036.34</c:v>
                </c:pt>
                <c:pt idx="4">
                  <c:v>3999978.4699999997</c:v>
                </c:pt>
                <c:pt idx="5">
                  <c:v>4757261.93</c:v>
                </c:pt>
                <c:pt idx="6">
                  <c:v>5689663.9900000002</c:v>
                </c:pt>
                <c:pt idx="7">
                  <c:v>6941469.9500000002</c:v>
                </c:pt>
                <c:pt idx="8">
                  <c:v>8087112.54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1A-4D54-8A69-B7F89D8BDAED}"/>
            </c:ext>
          </c:extLst>
        </c:ser>
        <c:ser>
          <c:idx val="2"/>
          <c:order val="2"/>
          <c:tx>
            <c:strRef>
              <c:f>'Gráficos - Arrecadação'!$S$100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1A-4D54-8A69-B7F89D8BDAED}"/>
                </c:ext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1A-4D54-8A69-B7F89D8BDAED}"/>
                </c:ext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1A-4D54-8A69-B7F89D8BDAED}"/>
                </c:ext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1A-4D54-8A69-B7F89D8BDAED}"/>
                </c:ext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1A-4D54-8A69-B7F89D8BDAED}"/>
                </c:ext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1A-4D54-8A69-B7F89D8BDAED}"/>
                </c:ext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1A-4D54-8A69-B7F89D8BDAED}"/>
                </c:ext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1A-4D54-8A69-B7F89D8BDAED}"/>
                </c:ext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1A-4D54-8A69-B7F89D8BDAED}"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1A-4D54-8A69-B7F89D8BDAED}"/>
                </c:ext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1A-4D54-8A69-B7F89D8BDAED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1A-4D54-8A69-B7F89D8BDAED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Arrecadação'!$S$101:$S$112</c:f>
              <c:numCache>
                <c:formatCode>_-[$R$-416]\ * #,##0_-;\-[$R$-416]\ * #,##0_-;_-[$R$-416]\ * "-"??_-;_-@_-</c:formatCode>
                <c:ptCount val="12"/>
                <c:pt idx="0">
                  <c:v>933297.32066012197</c:v>
                </c:pt>
                <c:pt idx="1">
                  <c:v>1717744.9444766585</c:v>
                </c:pt>
                <c:pt idx="2">
                  <c:v>2371460.0052713524</c:v>
                </c:pt>
                <c:pt idx="3">
                  <c:v>2979104.5199988051</c:v>
                </c:pt>
                <c:pt idx="4">
                  <c:v>3527169.2917677076</c:v>
                </c:pt>
                <c:pt idx="5">
                  <c:v>4103179.7172057563</c:v>
                </c:pt>
                <c:pt idx="6">
                  <c:v>4889670.663709715</c:v>
                </c:pt>
                <c:pt idx="7">
                  <c:v>5695363.1442265818</c:v>
                </c:pt>
                <c:pt idx="8">
                  <c:v>6475454.3837531153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31A-4D54-8A69-B7F89D8BD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33488"/>
        <c:axId val="390734048"/>
      </c:lineChart>
      <c:catAx>
        <c:axId val="39073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0734048"/>
        <c:crosses val="autoZero"/>
        <c:auto val="1"/>
        <c:lblAlgn val="ctr"/>
        <c:lblOffset val="100"/>
        <c:noMultiLvlLbl val="0"/>
      </c:catAx>
      <c:valAx>
        <c:axId val="390734048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07334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158865244994018E-2"/>
          <c:y val="6.4675925925925928E-2"/>
          <c:w val="0.9338497354961478"/>
          <c:h val="0.8765896500848096"/>
        </c:manualLayout>
      </c:layout>
      <c:lineChart>
        <c:grouping val="standard"/>
        <c:varyColors val="0"/>
        <c:ser>
          <c:idx val="0"/>
          <c:order val="0"/>
          <c:tx>
            <c:strRef>
              <c:f>'Gráficos - Arrecadação'!$Q$36</c:f>
              <c:strCache>
                <c:ptCount val="1"/>
                <c:pt idx="0">
                  <c:v>Meta</c:v>
                </c:pt>
              </c:strCache>
            </c:strRef>
          </c:tx>
          <c:spPr>
            <a:ln w="508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5154118326070046E-2"/>
                  <c:y val="-7.4712367182585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D09-40E1-8FF3-DC99D4498F52}"/>
                </c:ext>
              </c:extLst>
            </c:dLbl>
            <c:dLbl>
              <c:idx val="1"/>
              <c:layout>
                <c:manualLayout>
                  <c:x val="-2.1989127838514293E-2"/>
                  <c:y val="-8.5422699800126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D09-40E1-8FF3-DC99D4498F52}"/>
                </c:ext>
              </c:extLst>
            </c:dLbl>
            <c:dLbl>
              <c:idx val="2"/>
              <c:layout>
                <c:manualLayout>
                  <c:x val="-5.4670411655417112E-3"/>
                  <c:y val="3.2650333152279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D09-40E1-8FF3-DC99D4498F52}"/>
                </c:ext>
              </c:extLst>
            </c:dLbl>
            <c:dLbl>
              <c:idx val="3"/>
              <c:layout>
                <c:manualLayout>
                  <c:x val="-7.0316867149425328E-3"/>
                  <c:y val="2.6287477040065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D09-40E1-8FF3-DC99D4498F52}"/>
                </c:ext>
              </c:extLst>
            </c:dLbl>
            <c:dLbl>
              <c:idx val="4"/>
              <c:layout>
                <c:manualLayout>
                  <c:x val="-5.4651975140695766E-3"/>
                  <c:y val="3.2738233940484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CD09-40E1-8FF3-DC99D4498F52}"/>
                </c:ext>
              </c:extLst>
            </c:dLbl>
            <c:dLbl>
              <c:idx val="5"/>
              <c:layout>
                <c:manualLayout>
                  <c:x val="-5.4707284684860965E-3"/>
                  <c:y val="3.0500080852140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09-40E1-8FF3-DC99D4498F52}"/>
                </c:ext>
              </c:extLst>
            </c:dLbl>
            <c:dLbl>
              <c:idx val="6"/>
              <c:layout>
                <c:manualLayout>
                  <c:x val="-5.470728468486211E-3"/>
                  <c:y val="3.0763949067298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9-40E1-8FF3-DC99D4498F52}"/>
                </c:ext>
              </c:extLst>
            </c:dLbl>
            <c:dLbl>
              <c:idx val="7"/>
              <c:layout>
                <c:manualLayout>
                  <c:x val="-6.2383020314089382E-3"/>
                  <c:y val="2.8393778946102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D09-40E1-8FF3-DC99D4498F52}"/>
                </c:ext>
              </c:extLst>
            </c:dLbl>
            <c:dLbl>
              <c:idx val="8"/>
              <c:layout>
                <c:manualLayout>
                  <c:x val="-4.675500133480481E-3"/>
                  <c:y val="2.8525630128409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CD09-40E1-8FF3-DC99D4498F52}"/>
                </c:ext>
              </c:extLst>
            </c:dLbl>
            <c:dLbl>
              <c:idx val="9"/>
              <c:layout>
                <c:manualLayout>
                  <c:x val="-4.6828747393692517E-3"/>
                  <c:y val="3.0631932034447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CD09-40E1-8FF3-DC99D4498F52}"/>
                </c:ext>
              </c:extLst>
            </c:dLbl>
            <c:dLbl>
              <c:idx val="10"/>
              <c:layout>
                <c:manualLayout>
                  <c:x val="-4.6718742855851687E-3"/>
                  <c:y val="3.0634253942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CD09-40E1-8FF3-DC99D4498F52}"/>
                </c:ext>
              </c:extLst>
            </c:dLbl>
            <c:dLbl>
              <c:idx val="11"/>
              <c:layout>
                <c:manualLayout>
                  <c:x val="-1.660006941795068E-2"/>
                  <c:y val="4.761569238201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CD09-40E1-8FF3-DC99D4498F52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Arrecadação'!$Q$37:$Q$48</c:f>
              <c:numCache>
                <c:formatCode>_-[$R$-416]\ * #,##0_-;\-[$R$-416]\ * #,##0_-;_-[$R$-416]\ * "-"??_-;_-@_-</c:formatCode>
                <c:ptCount val="12"/>
                <c:pt idx="0">
                  <c:v>2267417.3715040069</c:v>
                </c:pt>
                <c:pt idx="1">
                  <c:v>4015108.5195592274</c:v>
                </c:pt>
                <c:pt idx="2">
                  <c:v>5395529.5701630656</c:v>
                </c:pt>
                <c:pt idx="3">
                  <c:v>6635371.2627898455</c:v>
                </c:pt>
                <c:pt idx="4">
                  <c:v>7721041.6845208984</c:v>
                </c:pt>
                <c:pt idx="5">
                  <c:v>8753842.54612788</c:v>
                </c:pt>
                <c:pt idx="6">
                  <c:v>10149068.112386934</c:v>
                </c:pt>
                <c:pt idx="7">
                  <c:v>11519535.891210407</c:v>
                </c:pt>
                <c:pt idx="8">
                  <c:v>12701239.474559357</c:v>
                </c:pt>
                <c:pt idx="9">
                  <c:v>14357984.204981059</c:v>
                </c:pt>
                <c:pt idx="10">
                  <c:v>15406149.681081541</c:v>
                </c:pt>
                <c:pt idx="11">
                  <c:v>16761168.281999998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CD09-40E1-8FF3-DC99D4498F52}"/>
            </c:ext>
          </c:extLst>
        </c:ser>
        <c:ser>
          <c:idx val="1"/>
          <c:order val="1"/>
          <c:tx>
            <c:strRef>
              <c:f>'Gráficos - Arrecadação'!$R$36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508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5121341364618306E-2"/>
                  <c:y val="3.9753151385972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CD09-40E1-8FF3-DC99D4498F52}"/>
                </c:ext>
              </c:extLst>
            </c:dLbl>
            <c:dLbl>
              <c:idx val="1"/>
              <c:layout>
                <c:manualLayout>
                  <c:x val="-2.2793867300395895E-2"/>
                  <c:y val="6.309872351946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CD09-40E1-8FF3-DC99D4498F52}"/>
                </c:ext>
              </c:extLst>
            </c:dLbl>
            <c:dLbl>
              <c:idx val="2"/>
              <c:layout>
                <c:manualLayout>
                  <c:x val="-2.979565078897697E-2"/>
                  <c:y val="-4.5710144123283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CD09-40E1-8FF3-DC99D4498F52}"/>
                </c:ext>
              </c:extLst>
            </c:dLbl>
            <c:dLbl>
              <c:idx val="3"/>
              <c:layout>
                <c:manualLayout>
                  <c:x val="-3.1230549298365846E-2"/>
                  <c:y val="-5.574420534603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CD09-40E1-8FF3-DC99D4498F52}"/>
                </c:ext>
              </c:extLst>
            </c:dLbl>
            <c:dLbl>
              <c:idx val="4"/>
              <c:layout>
                <c:manualLayout>
                  <c:x val="-2.7572116285719685E-2"/>
                  <c:y val="-4.100584224091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CD09-40E1-8FF3-DC99D4498F52}"/>
                </c:ext>
              </c:extLst>
            </c:dLbl>
            <c:dLbl>
              <c:idx val="5"/>
              <c:layout>
                <c:manualLayout>
                  <c:x val="-3.4807893857169959E-2"/>
                  <c:y val="-4.7683873981722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CD09-40E1-8FF3-DC99D4498F52}"/>
                </c:ext>
              </c:extLst>
            </c:dLbl>
            <c:dLbl>
              <c:idx val="6"/>
              <c:layout>
                <c:manualLayout>
                  <c:x val="-3.8887107532288308E-2"/>
                  <c:y val="-5.3681892503828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CD09-40E1-8FF3-DC99D4498F52}"/>
                </c:ext>
              </c:extLst>
            </c:dLbl>
            <c:dLbl>
              <c:idx val="7"/>
              <c:layout>
                <c:manualLayout>
                  <c:x val="-3.9823450521813679E-2"/>
                  <c:y val="-4.1324531041384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CD09-40E1-8FF3-DC99D4498F52}"/>
                </c:ext>
              </c:extLst>
            </c:dLbl>
            <c:dLbl>
              <c:idx val="8"/>
              <c:layout>
                <c:manualLayout>
                  <c:x val="-3.0988231583793425E-2"/>
                  <c:y val="-4.9513887598576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CD09-40E1-8FF3-DC99D4498F52}"/>
                </c:ext>
              </c:extLst>
            </c:dLbl>
            <c:dLbl>
              <c:idx val="9"/>
              <c:layout>
                <c:manualLayout>
                  <c:x val="-3.5857235906731413E-2"/>
                  <c:y val="-4.5204408845148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09-40E1-8FF3-DC99D4498F52}"/>
                </c:ext>
              </c:extLst>
            </c:dLbl>
            <c:dLbl>
              <c:idx val="10"/>
              <c:layout>
                <c:manualLayout>
                  <c:x val="-3.4298225649917004E-2"/>
                  <c:y val="-3.8746636152984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09-40E1-8FF3-DC99D4498F52}"/>
                </c:ext>
              </c:extLst>
            </c:dLbl>
            <c:dLbl>
              <c:idx val="11"/>
              <c:layout>
                <c:manualLayout>
                  <c:x val="-2.6134623680750261E-2"/>
                  <c:y val="-5.2637748012904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B8-4666-A152-78C6850FC150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18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15875" cap="flat" cmpd="sng" algn="ctr">
                      <a:solidFill>
                        <a:srgbClr val="00B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Arrecadação'!$R$37:$R$48</c:f>
              <c:numCache>
                <c:formatCode>_-[$R$-416]\ * #,##0_-;\-[$R$-416]\ * #,##0_-;_-[$R$-416]\ * "-"??_-;_-@_-</c:formatCode>
                <c:ptCount val="12"/>
                <c:pt idx="0">
                  <c:v>1624877.0600000003</c:v>
                </c:pt>
                <c:pt idx="1">
                  <c:v>3524453.2200000007</c:v>
                </c:pt>
                <c:pt idx="2">
                  <c:v>5532964.6900000013</c:v>
                </c:pt>
                <c:pt idx="3">
                  <c:v>6889303.290000001</c:v>
                </c:pt>
                <c:pt idx="4">
                  <c:v>8501206.7300000004</c:v>
                </c:pt>
                <c:pt idx="5">
                  <c:v>9916700.8599999994</c:v>
                </c:pt>
                <c:pt idx="6">
                  <c:v>11128942.629999999</c:v>
                </c:pt>
                <c:pt idx="7">
                  <c:v>12539439.719999999</c:v>
                </c:pt>
                <c:pt idx="8">
                  <c:v>13690888.369999999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09-40E1-8FF3-DC99D4498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37968"/>
        <c:axId val="390738528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'Gráficos - Arrecadação'!$U$36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'Gráficos - Arrecadação'!$P$37:$P$48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'Gráficos - Arrecadação'!$U$37:$U$48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1624877.0600000003</c:v>
                      </c:pt>
                      <c:pt idx="1">
                        <c:v>#N/A</c:v>
                      </c:pt>
                      <c:pt idx="2">
                        <c:v>0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CD09-40E1-8FF3-DC99D4498F52}"/>
                  </c:ext>
                </c:extLst>
              </c15:ser>
            </c15:filteredLineSeries>
          </c:ext>
        </c:extLst>
      </c:lineChart>
      <c:catAx>
        <c:axId val="39073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0738528"/>
        <c:crosses val="autoZero"/>
        <c:auto val="1"/>
        <c:lblAlgn val="ctr"/>
        <c:lblOffset val="100"/>
        <c:noMultiLvlLbl val="0"/>
      </c:catAx>
      <c:valAx>
        <c:axId val="3907385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07379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0"/>
                <c:y val="0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704035044350294"/>
          <c:y val="0.84797163104236351"/>
          <c:w val="0.21105920984506149"/>
          <c:h val="9.52249290318910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Arrecadação'!$Q$37:$Q$48</c:f>
              <c:numCache>
                <c:formatCode>_-[$R$-416]\ * #,##0_-;\-[$R$-416]\ * #,##0_-;_-[$R$-416]\ * "-"??_-;_-@_-</c:formatCode>
                <c:ptCount val="12"/>
                <c:pt idx="0">
                  <c:v>2267417.3715040069</c:v>
                </c:pt>
                <c:pt idx="1">
                  <c:v>4015108.5195592274</c:v>
                </c:pt>
                <c:pt idx="2">
                  <c:v>5395529.5701630656</c:v>
                </c:pt>
                <c:pt idx="3">
                  <c:v>6635371.2627898455</c:v>
                </c:pt>
                <c:pt idx="4">
                  <c:v>7721041.6845208984</c:v>
                </c:pt>
                <c:pt idx="5">
                  <c:v>8753842.54612788</c:v>
                </c:pt>
                <c:pt idx="6">
                  <c:v>10149068.112386934</c:v>
                </c:pt>
                <c:pt idx="7">
                  <c:v>11519535.891210407</c:v>
                </c:pt>
                <c:pt idx="8">
                  <c:v>12701239.474559357</c:v>
                </c:pt>
                <c:pt idx="9">
                  <c:v>14357984.204981059</c:v>
                </c:pt>
                <c:pt idx="10">
                  <c:v>15406149.681081541</c:v>
                </c:pt>
                <c:pt idx="11">
                  <c:v>16761168.281999998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3A7-41B6-A35C-A708A6E1739C}"/>
            </c:ext>
          </c:extLst>
        </c:ser>
        <c:ser>
          <c:idx val="1"/>
          <c:order val="1"/>
          <c:tx>
            <c:strRef>
              <c:f>'Gráficos - Arrecadação'!$R$36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A7-41B6-A35C-A708A6E1739C}"/>
                </c:ext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A7-41B6-A35C-A708A6E1739C}"/>
                </c:ext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A7-41B6-A35C-A708A6E1739C}"/>
                </c:ext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Arrecadação'!$R$37:$R$48</c:f>
              <c:numCache>
                <c:formatCode>_-[$R$-416]\ * #,##0_-;\-[$R$-416]\ * #,##0_-;_-[$R$-416]\ * "-"??_-;_-@_-</c:formatCode>
                <c:ptCount val="12"/>
                <c:pt idx="0">
                  <c:v>1624877.0600000003</c:v>
                </c:pt>
                <c:pt idx="1">
                  <c:v>3524453.2200000007</c:v>
                </c:pt>
                <c:pt idx="2">
                  <c:v>5532964.6900000013</c:v>
                </c:pt>
                <c:pt idx="3">
                  <c:v>6889303.290000001</c:v>
                </c:pt>
                <c:pt idx="4">
                  <c:v>8501206.7300000004</c:v>
                </c:pt>
                <c:pt idx="5">
                  <c:v>9916700.8599999994</c:v>
                </c:pt>
                <c:pt idx="6">
                  <c:v>11128942.629999999</c:v>
                </c:pt>
                <c:pt idx="7">
                  <c:v>12539439.719999999</c:v>
                </c:pt>
                <c:pt idx="8">
                  <c:v>13690888.369999999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A7-41B6-A35C-A708A6E17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43008"/>
        <c:axId val="390743568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'Gráficos - Arrecadação'!$U$36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'Gráficos - Arrecadação'!$P$37:$P$48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'Gráficos - Arrecadação'!$U$37:$U$48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1624877.0600000003</c:v>
                      </c:pt>
                      <c:pt idx="1">
                        <c:v>#N/A</c:v>
                      </c:pt>
                      <c:pt idx="2">
                        <c:v>0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33A7-41B6-A35C-A708A6E1739C}"/>
                  </c:ext>
                </c:extLst>
              </c15:ser>
            </c15:filteredLineSeries>
          </c:ext>
        </c:extLst>
      </c:lineChart>
      <c:catAx>
        <c:axId val="39074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0743568"/>
        <c:crosses val="autoZero"/>
        <c:auto val="1"/>
        <c:lblAlgn val="ctr"/>
        <c:lblOffset val="100"/>
        <c:noMultiLvlLbl val="0"/>
      </c:catAx>
      <c:valAx>
        <c:axId val="3907435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07430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B9-48BD-83C0-EC551DF6DFD2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Arrecadação'!$Q$53:$Q$64</c:f>
              <c:numCache>
                <c:formatCode>_-[$R$-416]\ * #,##0_-;\-[$R$-416]\ * #,##0_-;_-[$R$-416]\ * "-"??_-;_-@_-</c:formatCode>
                <c:ptCount val="12"/>
                <c:pt idx="0">
                  <c:v>1018975.0580793833</c:v>
                </c:pt>
                <c:pt idx="1">
                  <c:v>2255924.4775186926</c:v>
                </c:pt>
                <c:pt idx="2">
                  <c:v>2806868.906928645</c:v>
                </c:pt>
                <c:pt idx="3">
                  <c:v>3265959.2322449223</c:v>
                </c:pt>
                <c:pt idx="4">
                  <c:v>3752968.2797377976</c:v>
                </c:pt>
                <c:pt idx="5">
                  <c:v>4284558.8450984173</c:v>
                </c:pt>
                <c:pt idx="6">
                  <c:v>4601881.6073588617</c:v>
                </c:pt>
                <c:pt idx="7">
                  <c:v>4938864.2646385338</c:v>
                </c:pt>
                <c:pt idx="8">
                  <c:v>5121621.3536376767</c:v>
                </c:pt>
                <c:pt idx="9">
                  <c:v>5274157.0545247076</c:v>
                </c:pt>
                <c:pt idx="10">
                  <c:v>5429871.5489863567</c:v>
                </c:pt>
                <c:pt idx="11">
                  <c:v>5588402.3580000009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2B9-48BD-83C0-EC551DF6DFD2}"/>
            </c:ext>
          </c:extLst>
        </c:ser>
        <c:ser>
          <c:idx val="1"/>
          <c:order val="1"/>
          <c:tx>
            <c:strRef>
              <c:f>'Gráficos - Arrecadação'!$S$52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B9-48BD-83C0-EC551DF6DFD2}"/>
                </c:ext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B9-48BD-83C0-EC551DF6DFD2}"/>
                </c:ext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B9-48BD-83C0-EC551DF6DFD2}"/>
                </c:ext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B9-48BD-83C0-EC551DF6DFD2}"/>
                </c:ext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B9-48BD-83C0-EC551DF6DFD2}"/>
                </c:ext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B9-48BD-83C0-EC551DF6DFD2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B9-48BD-83C0-EC551DF6DFD2}"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B9-48BD-83C0-EC551DF6DFD2}"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B9-48BD-83C0-EC551DF6DFD2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B9-48BD-83C0-EC551DF6DFD2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B9-48BD-83C0-EC551DF6DFD2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B9-48BD-83C0-EC551DF6DFD2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Arrecadação'!$S$53:$S$64</c:f>
              <c:numCache>
                <c:formatCode>_-[$R$-416]\ * #,##0_-;\-[$R$-416]\ * #,##0_-;_-[$R$-416]\ * "-"??_-;_-@_-</c:formatCode>
                <c:ptCount val="12"/>
                <c:pt idx="0">
                  <c:v>1926442.4732265207</c:v>
                </c:pt>
                <c:pt idx="1">
                  <c:v>4264980.4776132097</c:v>
                </c:pt>
                <c:pt idx="2">
                  <c:v>5306578.8374429336</c:v>
                </c:pt>
                <c:pt idx="3">
                  <c:v>6174520.6920783566</c:v>
                </c:pt>
                <c:pt idx="4">
                  <c:v>7095244.8123568492</c:v>
                </c:pt>
                <c:pt idx="5">
                  <c:v>8100253.3602671716</c:v>
                </c:pt>
                <c:pt idx="6">
                  <c:v>8700173.8804929536</c:v>
                </c:pt>
                <c:pt idx="7">
                  <c:v>9337262.7852477971</c:v>
                </c:pt>
                <c:pt idx="8">
                  <c:v>9682777.6393550113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2B9-48BD-83C0-EC551DF6DFD2}"/>
            </c:ext>
          </c:extLst>
        </c:ser>
        <c:ser>
          <c:idx val="2"/>
          <c:order val="2"/>
          <c:tx>
            <c:strRef>
              <c:f>'Gráficos - Arrecadação'!$R$52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B9-48BD-83C0-EC551DF6DFD2}"/>
                </c:ext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B9-48BD-83C0-EC551DF6DFD2}"/>
                </c:ext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B9-48BD-83C0-EC551DF6DFD2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Arrecadação'!$R$53:$R$64</c:f>
              <c:numCache>
                <c:formatCode>_-[$R$-416]\ * #,##0_-;\-[$R$-416]\ * #,##0_-;_-[$R$-416]\ * "-"??_-;_-@_-</c:formatCode>
                <c:ptCount val="12"/>
                <c:pt idx="0">
                  <c:v>414294.46000000008</c:v>
                </c:pt>
                <c:pt idx="1">
                  <c:v>802549.10000000009</c:v>
                </c:pt>
                <c:pt idx="2">
                  <c:v>1029153.2200000001</c:v>
                </c:pt>
                <c:pt idx="3">
                  <c:v>1168470.53</c:v>
                </c:pt>
                <c:pt idx="4">
                  <c:v>1303580.67</c:v>
                </c:pt>
                <c:pt idx="5">
                  <c:v>1445440.21</c:v>
                </c:pt>
                <c:pt idx="6">
                  <c:v>1752726.26</c:v>
                </c:pt>
                <c:pt idx="7">
                  <c:v>2883068.31</c:v>
                </c:pt>
                <c:pt idx="8">
                  <c:v>3427609.25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B9-48BD-83C0-EC551DF6D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47488"/>
        <c:axId val="390748048"/>
      </c:lineChart>
      <c:catAx>
        <c:axId val="39074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0748048"/>
        <c:crosses val="autoZero"/>
        <c:auto val="1"/>
        <c:lblAlgn val="ctr"/>
        <c:lblOffset val="100"/>
        <c:noMultiLvlLbl val="0"/>
      </c:catAx>
      <c:valAx>
        <c:axId val="39074804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07474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53-46FE-A581-3D88CAE71620}"/>
                </c:ext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53-46FE-A581-3D88CAE71620}"/>
                </c:ext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53-46FE-A581-3D88CAE71620}"/>
                </c:ext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53-46FE-A581-3D88CAE71620}"/>
                </c:ext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53-46FE-A581-3D88CAE71620}"/>
                </c:ext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53-46FE-A581-3D88CAE71620}"/>
                </c:ext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53-46FE-A581-3D88CAE71620}"/>
                </c:ext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53-46FE-A581-3D88CAE71620}"/>
                </c:ext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53-46FE-A581-3D88CAE71620}"/>
                </c:ext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53-46FE-A581-3D88CAE71620}"/>
                </c:ext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53-46FE-A581-3D88CAE71620}"/>
                </c:ext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53-46FE-A581-3D88CAE71620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Arrecadação'!$Q$69:$Q$80</c:f>
              <c:numCache>
                <c:formatCode>_-[$R$-416]\ * #,##0_-;\-[$R$-416]\ * #,##0_-;_-[$R$-416]\ * "-"??_-;_-@_-</c:formatCode>
                <c:ptCount val="12"/>
                <c:pt idx="0">
                  <c:v>355455.89127551753</c:v>
                </c:pt>
                <c:pt idx="1">
                  <c:v>657632.93539569969</c:v>
                </c:pt>
                <c:pt idx="2">
                  <c:v>892200.03768604691</c:v>
                </c:pt>
                <c:pt idx="3">
                  <c:v>1096140.990105195</c:v>
                </c:pt>
                <c:pt idx="4">
                  <c:v>1275804.9312838914</c:v>
                </c:pt>
                <c:pt idx="5">
                  <c:v>1458629.7889792309</c:v>
                </c:pt>
                <c:pt idx="6">
                  <c:v>1696796.0090236673</c:v>
                </c:pt>
                <c:pt idx="7">
                  <c:v>1937976.3969157287</c:v>
                </c:pt>
                <c:pt idx="8">
                  <c:v>2132604.8022738365</c:v>
                </c:pt>
                <c:pt idx="9">
                  <c:v>2380233.0535183935</c:v>
                </c:pt>
                <c:pt idx="10">
                  <c:v>2568201.8132475866</c:v>
                </c:pt>
                <c:pt idx="11">
                  <c:v>2800012.5260000005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7653-46FE-A581-3D88CAE71620}"/>
            </c:ext>
          </c:extLst>
        </c:ser>
        <c:ser>
          <c:idx val="1"/>
          <c:order val="1"/>
          <c:tx>
            <c:strRef>
              <c:f>'Gráficos - Arrecadação'!$R$68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53-46FE-A581-3D88CAE71620}"/>
                </c:ext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53-46FE-A581-3D88CAE71620}"/>
                </c:ext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53-46FE-A581-3D88CAE71620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Arrecadação'!$R$69:$R$80</c:f>
              <c:numCache>
                <c:formatCode>_-[$R$-416]\ * #,##0_-;\-[$R$-416]\ * #,##0_-;_-[$R$-416]\ * "-"??_-;_-@_-</c:formatCode>
                <c:ptCount val="12"/>
                <c:pt idx="0">
                  <c:v>273703.60000000003</c:v>
                </c:pt>
                <c:pt idx="1">
                  <c:v>639245.17999999993</c:v>
                </c:pt>
                <c:pt idx="2">
                  <c:v>1013167.1299999999</c:v>
                </c:pt>
                <c:pt idx="3">
                  <c:v>1260635.3899999999</c:v>
                </c:pt>
                <c:pt idx="4">
                  <c:v>1569367.39</c:v>
                </c:pt>
                <c:pt idx="5">
                  <c:v>1825059.48</c:v>
                </c:pt>
                <c:pt idx="6">
                  <c:v>2041703.08</c:v>
                </c:pt>
                <c:pt idx="7">
                  <c:v>2446736.0700000003</c:v>
                </c:pt>
                <c:pt idx="8">
                  <c:v>2824767.0400000005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653-46FE-A581-3D88CAE71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51408"/>
        <c:axId val="390751968"/>
      </c:lineChart>
      <c:catAx>
        <c:axId val="39075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0751968"/>
        <c:crosses val="autoZero"/>
        <c:auto val="1"/>
        <c:lblAlgn val="ctr"/>
        <c:lblOffset val="100"/>
        <c:noMultiLvlLbl val="0"/>
      </c:catAx>
      <c:valAx>
        <c:axId val="39075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07514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42-42D4-9B03-311CF43B6C32}"/>
                </c:ext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2-42D4-9B03-311CF43B6C32}"/>
                </c:ext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42-42D4-9B03-311CF43B6C32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Arrecadação'!$Q$85:$Q$96</c:f>
              <c:numCache>
                <c:formatCode>_-[$R$-416]\ * #,##0_-;\-[$R$-416]\ * #,##0_-;_-[$R$-416]\ * "-"??_-;_-@_-</c:formatCode>
                <c:ptCount val="12"/>
                <c:pt idx="0">
                  <c:v>7250924.0097673479</c:v>
                </c:pt>
                <c:pt idx="1">
                  <c:v>15285894.523920869</c:v>
                </c:pt>
                <c:pt idx="2">
                  <c:v>24063494.476585761</c:v>
                </c:pt>
                <c:pt idx="3">
                  <c:v>32075232.868020844</c:v>
                </c:pt>
                <c:pt idx="4">
                  <c:v>40844019.560462549</c:v>
                </c:pt>
                <c:pt idx="5">
                  <c:v>49392579.832004428</c:v>
                </c:pt>
                <c:pt idx="6">
                  <c:v>59280977.355267935</c:v>
                </c:pt>
                <c:pt idx="7">
                  <c:v>69755899.774108976</c:v>
                </c:pt>
                <c:pt idx="8">
                  <c:v>79455650.864838809</c:v>
                </c:pt>
                <c:pt idx="9">
                  <c:v>90176926.459439576</c:v>
                </c:pt>
                <c:pt idx="10">
                  <c:v>99418188.601490989</c:v>
                </c:pt>
                <c:pt idx="11">
                  <c:v>108190303.97200002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242-42D4-9B03-311CF43B6C32}"/>
            </c:ext>
          </c:extLst>
        </c:ser>
        <c:ser>
          <c:idx val="1"/>
          <c:order val="1"/>
          <c:tx>
            <c:strRef>
              <c:f>'Gráficos - Arrecadação'!$T$84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42-42D4-9B03-311CF43B6C32}"/>
                </c:ext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2-42D4-9B03-311CF43B6C32}"/>
                </c:ext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42-42D4-9B03-311CF43B6C32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Arrecadação'!$T$85:$T$96</c:f>
              <c:numCache>
                <c:formatCode>_-"R$"\ * #,##0_-;\-"R$"\ * #,##0_-;_-"R$"\ * "-"??_-;_-@_-</c:formatCode>
                <c:ptCount val="12"/>
                <c:pt idx="0">
                  <c:v>6710688.8399999999</c:v>
                </c:pt>
                <c:pt idx="1">
                  <c:v>25179154.68</c:v>
                </c:pt>
                <c:pt idx="2">
                  <c:v>0</c:v>
                </c:pt>
                <c:pt idx="3">
                  <c:v>33908790.850000001</c:v>
                </c:pt>
                <c:pt idx="4">
                  <c:v>44197712.32</c:v>
                </c:pt>
                <c:pt idx="5">
                  <c:v>53763671.239999995</c:v>
                </c:pt>
                <c:pt idx="6">
                  <c:v>63251623.86999999</c:v>
                </c:pt>
                <c:pt idx="7">
                  <c:v>73709634.499999985</c:v>
                </c:pt>
                <c:pt idx="8">
                  <c:v>83163925.459999979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42-42D4-9B03-311CF43B6C32}"/>
            </c:ext>
          </c:extLst>
        </c:ser>
        <c:ser>
          <c:idx val="2"/>
          <c:order val="2"/>
          <c:tx>
            <c:strRef>
              <c:f>'Gráficos - Arrecadação'!$U$84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Arrecadação'!$U$85:$U$96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42-42D4-9B03-311CF43B6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55888"/>
        <c:axId val="390756448"/>
      </c:lineChart>
      <c:catAx>
        <c:axId val="39075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0756448"/>
        <c:crosses val="autoZero"/>
        <c:auto val="1"/>
        <c:lblAlgn val="ctr"/>
        <c:lblOffset val="100"/>
        <c:noMultiLvlLbl val="0"/>
      </c:catAx>
      <c:valAx>
        <c:axId val="39075644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07558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2F-4E7F-B9A5-18680DC5607A}"/>
                </c:ext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2F-4E7F-B9A5-18680DC5607A}"/>
                </c:ext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2F-4E7F-B9A5-18680DC5607A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Arrecadação'!$Q$101:$Q$112</c:f>
              <c:numCache>
                <c:formatCode>_-[$R$-416]\ * #,##0_-;\-[$R$-416]\ * #,##0_-;_-[$R$-416]\ * "-"??_-;_-@_-</c:formatCode>
                <c:ptCount val="12"/>
                <c:pt idx="0">
                  <c:v>806024.23388548277</c:v>
                </c:pt>
                <c:pt idx="1">
                  <c:v>1483497.2974134013</c:v>
                </c:pt>
                <c:pt idx="2">
                  <c:v>2048065.7038497992</c:v>
                </c:pt>
                <c:pt idx="3">
                  <c:v>2572846.1715698736</c:v>
                </c:pt>
                <c:pt idx="4">
                  <c:v>3046171.7431810712</c:v>
                </c:pt>
                <c:pt idx="5">
                  <c:v>3543632.0396976946</c:v>
                </c:pt>
                <c:pt idx="6">
                  <c:v>4222869.7794624902</c:v>
                </c:pt>
                <c:pt idx="7">
                  <c:v>4918690.5538075566</c:v>
                </c:pt>
                <c:pt idx="8">
                  <c:v>5592401.3100491157</c:v>
                </c:pt>
                <c:pt idx="9">
                  <c:v>6384917.6231790138</c:v>
                </c:pt>
                <c:pt idx="10">
                  <c:v>7119100.0584494928</c:v>
                </c:pt>
                <c:pt idx="11">
                  <c:v>7965457.1692857081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C2F-4E7F-B9A5-18680DC5607A}"/>
            </c:ext>
          </c:extLst>
        </c:ser>
        <c:ser>
          <c:idx val="1"/>
          <c:order val="1"/>
          <c:tx>
            <c:strRef>
              <c:f>'Gráficos - Arrecadação'!$R$100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2F-4E7F-B9A5-18680DC5607A}"/>
                </c:ext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2F-4E7F-B9A5-18680DC5607A}"/>
                </c:ext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2F-4E7F-B9A5-18680DC5607A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Arrecadação'!$R$101:$R$112</c:f>
              <c:numCache>
                <c:formatCode>_-[$R$-416]\ * #,##0_-;\-[$R$-416]\ * #,##0_-;_-[$R$-416]\ * "-"??_-;_-@_-</c:formatCode>
                <c:ptCount val="12"/>
                <c:pt idx="0">
                  <c:v>653615.37</c:v>
                </c:pt>
                <c:pt idx="1">
                  <c:v>1506919.51</c:v>
                </c:pt>
                <c:pt idx="2">
                  <c:v>2454853.16</c:v>
                </c:pt>
                <c:pt idx="3">
                  <c:v>3136036.34</c:v>
                </c:pt>
                <c:pt idx="4">
                  <c:v>3999978.4699999997</c:v>
                </c:pt>
                <c:pt idx="5">
                  <c:v>4757261.93</c:v>
                </c:pt>
                <c:pt idx="6">
                  <c:v>5689663.9900000002</c:v>
                </c:pt>
                <c:pt idx="7">
                  <c:v>6941469.9500000002</c:v>
                </c:pt>
                <c:pt idx="8">
                  <c:v>8087112.54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2F-4E7F-B9A5-18680DC5607A}"/>
            </c:ext>
          </c:extLst>
        </c:ser>
        <c:ser>
          <c:idx val="2"/>
          <c:order val="2"/>
          <c:tx>
            <c:strRef>
              <c:f>'Gráficos - Arrecadação'!$S$100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2F-4E7F-B9A5-18680DC5607A}"/>
                </c:ext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2F-4E7F-B9A5-18680DC5607A}"/>
                </c:ext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2F-4E7F-B9A5-18680DC5607A}"/>
                </c:ext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2F-4E7F-B9A5-18680DC5607A}"/>
                </c:ext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2F-4E7F-B9A5-18680DC5607A}"/>
                </c:ext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2F-4E7F-B9A5-18680DC5607A}"/>
                </c:ext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2F-4E7F-B9A5-18680DC5607A}"/>
                </c:ext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2F-4E7F-B9A5-18680DC5607A}"/>
                </c:ext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2F-4E7F-B9A5-18680DC5607A}"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2F-4E7F-B9A5-18680DC5607A}"/>
                </c:ext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2F-4E7F-B9A5-18680DC5607A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2F-4E7F-B9A5-18680DC5607A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Arrecadação'!$S$101:$S$112</c:f>
              <c:numCache>
                <c:formatCode>_-[$R$-416]\ * #,##0_-;\-[$R$-416]\ * #,##0_-;_-[$R$-416]\ * "-"??_-;_-@_-</c:formatCode>
                <c:ptCount val="12"/>
                <c:pt idx="0">
                  <c:v>933297.32066012197</c:v>
                </c:pt>
                <c:pt idx="1">
                  <c:v>1717744.9444766585</c:v>
                </c:pt>
                <c:pt idx="2">
                  <c:v>2371460.0052713524</c:v>
                </c:pt>
                <c:pt idx="3">
                  <c:v>2979104.5199988051</c:v>
                </c:pt>
                <c:pt idx="4">
                  <c:v>3527169.2917677076</c:v>
                </c:pt>
                <c:pt idx="5">
                  <c:v>4103179.7172057563</c:v>
                </c:pt>
                <c:pt idx="6">
                  <c:v>4889670.663709715</c:v>
                </c:pt>
                <c:pt idx="7">
                  <c:v>5695363.1442265818</c:v>
                </c:pt>
                <c:pt idx="8">
                  <c:v>6475454.3837531153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C2F-4E7F-B9A5-18680DC56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60368"/>
        <c:axId val="390760928"/>
      </c:lineChart>
      <c:catAx>
        <c:axId val="39076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0760928"/>
        <c:crosses val="autoZero"/>
        <c:auto val="1"/>
        <c:lblAlgn val="ctr"/>
        <c:lblOffset val="100"/>
        <c:noMultiLvlLbl val="0"/>
      </c:catAx>
      <c:valAx>
        <c:axId val="390760928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07603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687570333249233E-2"/>
          <c:y val="6.4675925925925928E-2"/>
          <c:w val="0.93376345666917737"/>
          <c:h val="0.88172143565828098"/>
        </c:manualLayout>
      </c:layout>
      <c:lineChart>
        <c:grouping val="standard"/>
        <c:varyColors val="0"/>
        <c:ser>
          <c:idx val="1"/>
          <c:order val="0"/>
          <c:tx>
            <c:strRef>
              <c:f>'Gráficos - Arrecadação'!$S$52</c:f>
              <c:strCache>
                <c:ptCount val="1"/>
                <c:pt idx="0">
                  <c:v>Potencial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tx1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2828195185396323E-2"/>
                  <c:y val="-3.423202320917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88-492D-A3DB-0413124864D3}"/>
                </c:ext>
              </c:extLst>
            </c:dLbl>
            <c:dLbl>
              <c:idx val="1"/>
              <c:layout>
                <c:manualLayout>
                  <c:x val="-4.3210181960303802E-2"/>
                  <c:y val="-3.1726495326673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C88-492D-A3DB-0413124864D3}"/>
                </c:ext>
              </c:extLst>
            </c:dLbl>
            <c:dLbl>
              <c:idx val="2"/>
              <c:layout>
                <c:manualLayout>
                  <c:x val="-3.697625820746496E-2"/>
                  <c:y val="-4.8704225427461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C88-492D-A3DB-0413124864D3}"/>
                </c:ext>
              </c:extLst>
            </c:dLbl>
            <c:dLbl>
              <c:idx val="3"/>
              <c:layout>
                <c:manualLayout>
                  <c:x val="-4.0949916984864408E-2"/>
                  <c:y val="-3.2494342639333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C88-492D-A3DB-0413124864D3}"/>
                </c:ext>
              </c:extLst>
            </c:dLbl>
            <c:dLbl>
              <c:idx val="4"/>
              <c:layout>
                <c:manualLayout>
                  <c:x val="-4.0963439192067436E-2"/>
                  <c:y val="-2.7428488371607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C88-492D-A3DB-0413124864D3}"/>
                </c:ext>
              </c:extLst>
            </c:dLbl>
            <c:dLbl>
              <c:idx val="5"/>
              <c:layout>
                <c:manualLayout>
                  <c:x val="-3.5854724385013755E-2"/>
                  <c:y val="-2.9548588980321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C88-492D-A3DB-0413124864D3}"/>
                </c:ext>
              </c:extLst>
            </c:dLbl>
            <c:dLbl>
              <c:idx val="6"/>
              <c:layout>
                <c:manualLayout>
                  <c:x val="-3.9755787691625938E-2"/>
                  <c:y val="-2.7426817685548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C88-492D-A3DB-0413124864D3}"/>
                </c:ext>
              </c:extLst>
            </c:dLbl>
            <c:dLbl>
              <c:idx val="7"/>
              <c:layout>
                <c:manualLayout>
                  <c:x val="-3.9388008581429601E-2"/>
                  <c:y val="-2.86686386331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C88-492D-A3DB-0413124864D3}"/>
                </c:ext>
              </c:extLst>
            </c:dLbl>
            <c:dLbl>
              <c:idx val="8"/>
              <c:layout>
                <c:manualLayout>
                  <c:x val="-3.2265481930218429E-2"/>
                  <c:y val="-2.6546867338338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C88-492D-A3DB-0413124864D3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88-492D-A3DB-0413124864D3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88-492D-A3DB-0413124864D3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88-492D-A3DB-0413124864D3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25400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Arrecadação'!$S$53:$S$64</c:f>
              <c:numCache>
                <c:formatCode>_-[$R$-416]\ * #,##0_-;\-[$R$-416]\ * #,##0_-;_-[$R$-416]\ * "-"??_-;_-@_-</c:formatCode>
                <c:ptCount val="12"/>
                <c:pt idx="0">
                  <c:v>1926442.4732265207</c:v>
                </c:pt>
                <c:pt idx="1">
                  <c:v>4264980.4776132097</c:v>
                </c:pt>
                <c:pt idx="2">
                  <c:v>5306578.8374429336</c:v>
                </c:pt>
                <c:pt idx="3">
                  <c:v>6174520.6920783566</c:v>
                </c:pt>
                <c:pt idx="4">
                  <c:v>7095244.8123568492</c:v>
                </c:pt>
                <c:pt idx="5">
                  <c:v>8100253.3602671716</c:v>
                </c:pt>
                <c:pt idx="6">
                  <c:v>8700173.8804929536</c:v>
                </c:pt>
                <c:pt idx="7">
                  <c:v>9337262.7852477971</c:v>
                </c:pt>
                <c:pt idx="8">
                  <c:v>9682777.6393550113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DC88-492D-A3DB-0413124864D3}"/>
            </c:ext>
          </c:extLst>
        </c:ser>
        <c:ser>
          <c:idx val="0"/>
          <c:order val="1"/>
          <c:tx>
            <c:strRef>
              <c:f>'Gráficos - Arrecadação'!$Q$52</c:f>
              <c:strCache>
                <c:ptCount val="1"/>
                <c:pt idx="0">
                  <c:v>Meta</c:v>
                </c:pt>
              </c:strCache>
            </c:strRef>
          </c:tx>
          <c:spPr>
            <a:ln w="508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9558813563290829E-2"/>
                  <c:y val="-4.972886834884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C88-492D-A3DB-0413124864D3}"/>
                </c:ext>
              </c:extLst>
            </c:dLbl>
            <c:dLbl>
              <c:idx val="1"/>
              <c:layout>
                <c:manualLayout>
                  <c:x val="-7.5727633850682947E-3"/>
                  <c:y val="-6.157909259727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D33-42DE-BC80-E30B34791E1C}"/>
                </c:ext>
              </c:extLst>
            </c:dLbl>
            <c:dLbl>
              <c:idx val="2"/>
              <c:layout>
                <c:manualLayout>
                  <c:x val="-7.534861789404974E-3"/>
                  <c:y val="-5.308711902484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4B6-4EDC-80BF-72137A08F2CE}"/>
                </c:ext>
              </c:extLst>
            </c:dLbl>
            <c:dLbl>
              <c:idx val="3"/>
              <c:layout>
                <c:manualLayout>
                  <c:x val="-9.9745082590464683E-3"/>
                  <c:y val="-5.306589326921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241-4BFB-81AD-FFB8FF0485F5}"/>
                </c:ext>
              </c:extLst>
            </c:dLbl>
            <c:dLbl>
              <c:idx val="4"/>
              <c:layout>
                <c:manualLayout>
                  <c:x val="-2.59915874429127E-2"/>
                  <c:y val="-4.2408056962574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46B-4C35-BAC5-56E760E28A4F}"/>
                </c:ext>
              </c:extLst>
            </c:dLbl>
            <c:dLbl>
              <c:idx val="5"/>
              <c:layout>
                <c:manualLayout>
                  <c:x val="-3.2720563401205258E-2"/>
                  <c:y val="-2.5422662689320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03-4F08-9E8D-B5A439C23C9D}"/>
                </c:ext>
              </c:extLst>
            </c:dLbl>
            <c:dLbl>
              <c:idx val="6"/>
              <c:layout>
                <c:manualLayout>
                  <c:x val="-3.5773653456114142E-2"/>
                  <c:y val="-3.1787976573640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303-4F08-9E8D-B5A439C23C9D}"/>
                </c:ext>
              </c:extLst>
            </c:dLbl>
            <c:dLbl>
              <c:idx val="7"/>
              <c:layout>
                <c:manualLayout>
                  <c:x val="-2.1539837325649638E-2"/>
                  <c:y val="-4.4568707080852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303-4F08-9E8D-B5A439C23C9D}"/>
                </c:ext>
              </c:extLst>
            </c:dLbl>
            <c:dLbl>
              <c:idx val="8"/>
              <c:layout>
                <c:manualLayout>
                  <c:x val="-2.3880305218521105E-2"/>
                  <c:y val="-3.3953981512626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303-4F08-9E8D-B5A439C23C9D}"/>
                </c:ext>
              </c:extLst>
            </c:dLbl>
            <c:dLbl>
              <c:idx val="9"/>
              <c:layout>
                <c:manualLayout>
                  <c:x val="-2.3880305218521105E-2"/>
                  <c:y val="-3.39528112563938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03-4F08-9E8D-B5A439C23C9D}"/>
                </c:ext>
              </c:extLst>
            </c:dLbl>
            <c:dLbl>
              <c:idx val="10"/>
              <c:layout>
                <c:manualLayout>
                  <c:x val="-1.7639119450835732E-2"/>
                  <c:y val="-5.0938244575528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03-4F08-9E8D-B5A439C23C9D}"/>
                </c:ext>
              </c:extLst>
            </c:dLbl>
            <c:dLbl>
              <c:idx val="11"/>
              <c:layout>
                <c:manualLayout>
                  <c:x val="-2.0759681361359264E-2"/>
                  <c:y val="-5.306259399665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303-4F08-9E8D-B5A439C23C9D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Arrecadação'!$Q$53:$Q$64</c:f>
              <c:numCache>
                <c:formatCode>_-[$R$-416]\ * #,##0_-;\-[$R$-416]\ * #,##0_-;_-[$R$-416]\ * "-"??_-;_-@_-</c:formatCode>
                <c:ptCount val="12"/>
                <c:pt idx="0">
                  <c:v>1018975.0580793833</c:v>
                </c:pt>
                <c:pt idx="1">
                  <c:v>2255924.4775186926</c:v>
                </c:pt>
                <c:pt idx="2">
                  <c:v>2806868.906928645</c:v>
                </c:pt>
                <c:pt idx="3">
                  <c:v>3265959.2322449223</c:v>
                </c:pt>
                <c:pt idx="4">
                  <c:v>3752968.2797377976</c:v>
                </c:pt>
                <c:pt idx="5">
                  <c:v>4284558.8450984173</c:v>
                </c:pt>
                <c:pt idx="6">
                  <c:v>4601881.6073588617</c:v>
                </c:pt>
                <c:pt idx="7">
                  <c:v>4938864.2646385338</c:v>
                </c:pt>
                <c:pt idx="8">
                  <c:v>5121621.3536376767</c:v>
                </c:pt>
                <c:pt idx="9">
                  <c:v>5274157.0545247076</c:v>
                </c:pt>
                <c:pt idx="10">
                  <c:v>5429871.5489863567</c:v>
                </c:pt>
                <c:pt idx="11">
                  <c:v>5588402.3580000009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C88-492D-A3DB-0413124864D3}"/>
            </c:ext>
          </c:extLst>
        </c:ser>
        <c:ser>
          <c:idx val="2"/>
          <c:order val="2"/>
          <c:tx>
            <c:strRef>
              <c:f>'Gráficos - Arrecadação'!$R$52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508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5170931217797812E-2"/>
                  <c:y val="-2.4836013665917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DC88-492D-A3DB-0413124864D3}"/>
                </c:ext>
              </c:extLst>
            </c:dLbl>
            <c:dLbl>
              <c:idx val="1"/>
              <c:layout>
                <c:manualLayout>
                  <c:x val="-3.1413140343950034E-2"/>
                  <c:y val="-4.3755880537568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DC88-492D-A3DB-0413124864D3}"/>
                </c:ext>
              </c:extLst>
            </c:dLbl>
            <c:dLbl>
              <c:idx val="2"/>
              <c:layout>
                <c:manualLayout>
                  <c:x val="-3.263101125533252E-2"/>
                  <c:y val="-4.7314295382035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DC88-492D-A3DB-0413124864D3}"/>
                </c:ext>
              </c:extLst>
            </c:dLbl>
            <c:dLbl>
              <c:idx val="3"/>
              <c:layout>
                <c:manualLayout>
                  <c:x val="-2.9763063511501604E-2"/>
                  <c:y val="-2.8843058257658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DC88-492D-A3DB-0413124864D3}"/>
                </c:ext>
              </c:extLst>
            </c:dLbl>
            <c:dLbl>
              <c:idx val="4"/>
              <c:layout>
                <c:manualLayout>
                  <c:x val="-2.7309113601834016E-2"/>
                  <c:y val="-4.55515551367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DC88-492D-A3DB-0413124864D3}"/>
                </c:ext>
              </c:extLst>
            </c:dLbl>
            <c:dLbl>
              <c:idx val="5"/>
              <c:layout>
                <c:manualLayout>
                  <c:x val="-1.0652570503043557E-2"/>
                  <c:y val="3.1879196032454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DC88-492D-A3DB-0413124864D3}"/>
                </c:ext>
              </c:extLst>
            </c:dLbl>
            <c:dLbl>
              <c:idx val="6"/>
              <c:layout>
                <c:manualLayout>
                  <c:x val="-2.1718721140681057E-2"/>
                  <c:y val="3.187351569985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DC88-492D-A3DB-0413124864D3}"/>
                </c:ext>
              </c:extLst>
            </c:dLbl>
            <c:dLbl>
              <c:idx val="7"/>
              <c:layout>
                <c:manualLayout>
                  <c:x val="-3.109535552526586E-2"/>
                  <c:y val="4.6752659940671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DC88-492D-A3DB-0413124864D3}"/>
                </c:ext>
              </c:extLst>
            </c:dLbl>
            <c:dLbl>
              <c:idx val="8"/>
              <c:layout>
                <c:manualLayout>
                  <c:x val="-3.1255424202526971E-2"/>
                  <c:y val="4.6781828796194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DC88-492D-A3DB-0413124864D3}"/>
                </c:ext>
              </c:extLst>
            </c:dLbl>
            <c:dLbl>
              <c:idx val="9"/>
              <c:layout>
                <c:manualLayout>
                  <c:x val="-2.7271821725503791E-2"/>
                  <c:y val="4.6781828796194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88-492D-A3DB-0413124864D3}"/>
                </c:ext>
              </c:extLst>
            </c:dLbl>
            <c:dLbl>
              <c:idx val="10"/>
              <c:layout>
                <c:manualLayout>
                  <c:x val="-2.8801222281512037E-2"/>
                  <c:y val="5.1035710201758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88-492D-A3DB-0413124864D3}"/>
                </c:ext>
              </c:extLst>
            </c:dLbl>
            <c:dLbl>
              <c:idx val="11"/>
              <c:layout>
                <c:manualLayout>
                  <c:x val="-3.0021509111792875E-2"/>
                  <c:y val="6.1608808083996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8-4B47-A692-BE52ED238125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rgbClr val="00B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Arrecadação'!$R$53:$R$64</c:f>
              <c:numCache>
                <c:formatCode>_-[$R$-416]\ * #,##0_-;\-[$R$-416]\ * #,##0_-;_-[$R$-416]\ * "-"??_-;_-@_-</c:formatCode>
                <c:ptCount val="12"/>
                <c:pt idx="0">
                  <c:v>414294.46000000008</c:v>
                </c:pt>
                <c:pt idx="1">
                  <c:v>802549.10000000009</c:v>
                </c:pt>
                <c:pt idx="2">
                  <c:v>1029153.2200000001</c:v>
                </c:pt>
                <c:pt idx="3">
                  <c:v>1168470.53</c:v>
                </c:pt>
                <c:pt idx="4">
                  <c:v>1303580.67</c:v>
                </c:pt>
                <c:pt idx="5">
                  <c:v>1445440.21</c:v>
                </c:pt>
                <c:pt idx="6">
                  <c:v>1752726.26</c:v>
                </c:pt>
                <c:pt idx="7">
                  <c:v>2883068.31</c:v>
                </c:pt>
                <c:pt idx="8">
                  <c:v>3427609.25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DC88-492D-A3DB-041312486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559280"/>
        <c:axId val="392559840"/>
      </c:lineChart>
      <c:catAx>
        <c:axId val="39255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2559840"/>
        <c:crosses val="autoZero"/>
        <c:auto val="1"/>
        <c:lblAlgn val="ctr"/>
        <c:lblOffset val="50"/>
        <c:noMultiLvlLbl val="0"/>
      </c:catAx>
      <c:valAx>
        <c:axId val="3925598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25592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0"/>
                <c:y val="1.2192533906432736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982863160295227"/>
          <c:y val="0.83159759492664265"/>
          <c:w val="0.2775570707070707"/>
          <c:h val="0.113441659701300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Arrecadação'!$Q$37:$Q$48</c:f>
              <c:numCache>
                <c:formatCode>_-[$R$-416]\ * #,##0_-;\-[$R$-416]\ * #,##0_-;_-[$R$-416]\ * "-"??_-;_-@_-</c:formatCode>
                <c:ptCount val="12"/>
                <c:pt idx="0">
                  <c:v>2267417.3715040069</c:v>
                </c:pt>
                <c:pt idx="1">
                  <c:v>4015108.5195592274</c:v>
                </c:pt>
                <c:pt idx="2">
                  <c:v>5395529.5701630656</c:v>
                </c:pt>
                <c:pt idx="3">
                  <c:v>6635371.2627898455</c:v>
                </c:pt>
                <c:pt idx="4">
                  <c:v>7721041.6845208984</c:v>
                </c:pt>
                <c:pt idx="5">
                  <c:v>8753842.54612788</c:v>
                </c:pt>
                <c:pt idx="6">
                  <c:v>10149068.112386934</c:v>
                </c:pt>
                <c:pt idx="7">
                  <c:v>11519535.891210407</c:v>
                </c:pt>
                <c:pt idx="8">
                  <c:v>12701239.474559357</c:v>
                </c:pt>
                <c:pt idx="9">
                  <c:v>14357984.204981059</c:v>
                </c:pt>
                <c:pt idx="10">
                  <c:v>15406149.681081541</c:v>
                </c:pt>
                <c:pt idx="11">
                  <c:v>16761168.281999998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14-4272-A7B0-1B08BB41E888}"/>
            </c:ext>
          </c:extLst>
        </c:ser>
        <c:ser>
          <c:idx val="1"/>
          <c:order val="1"/>
          <c:tx>
            <c:strRef>
              <c:f>'Gráficos - Arrecadação'!$R$36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14-4272-A7B0-1B08BB41E888}"/>
                </c:ext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4-4272-A7B0-1B08BB41E888}"/>
                </c:ext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14-4272-A7B0-1B08BB41E888}"/>
                </c:ext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Arrecadação'!$R$37:$R$48</c:f>
              <c:numCache>
                <c:formatCode>_-[$R$-416]\ * #,##0_-;\-[$R$-416]\ * #,##0_-;_-[$R$-416]\ * "-"??_-;_-@_-</c:formatCode>
                <c:ptCount val="12"/>
                <c:pt idx="0">
                  <c:v>1624877.0600000003</c:v>
                </c:pt>
                <c:pt idx="1">
                  <c:v>3524453.2200000007</c:v>
                </c:pt>
                <c:pt idx="2">
                  <c:v>5532964.6900000013</c:v>
                </c:pt>
                <c:pt idx="3">
                  <c:v>6889303.290000001</c:v>
                </c:pt>
                <c:pt idx="4">
                  <c:v>8501206.7300000004</c:v>
                </c:pt>
                <c:pt idx="5">
                  <c:v>9916700.8599999994</c:v>
                </c:pt>
                <c:pt idx="6">
                  <c:v>11128942.629999999</c:v>
                </c:pt>
                <c:pt idx="7">
                  <c:v>12539439.719999999</c:v>
                </c:pt>
                <c:pt idx="8">
                  <c:v>13690888.369999999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14-4272-A7B0-1B08BB41E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564880"/>
        <c:axId val="392565440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'Gráficos - Arrecadação'!$U$36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'Gráficos - Arrecadação'!$P$37:$P$48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'Gráficos - Arrecadação'!$U$37:$U$48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1624877.0600000003</c:v>
                      </c:pt>
                      <c:pt idx="1">
                        <c:v>#N/A</c:v>
                      </c:pt>
                      <c:pt idx="2">
                        <c:v>0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C214-4272-A7B0-1B08BB41E888}"/>
                  </c:ext>
                </c:extLst>
              </c15:ser>
            </c15:filteredLineSeries>
          </c:ext>
        </c:extLst>
      </c:lineChart>
      <c:catAx>
        <c:axId val="39256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2565440"/>
        <c:crosses val="autoZero"/>
        <c:auto val="1"/>
        <c:lblAlgn val="ctr"/>
        <c:lblOffset val="100"/>
        <c:noMultiLvlLbl val="0"/>
      </c:catAx>
      <c:valAx>
        <c:axId val="3925654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25648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Composição</a:t>
            </a:r>
            <a:r>
              <a:rPr lang="pt-BR" baseline="0"/>
              <a:t> da Arrecadação de Dezembro 2020</a:t>
            </a:r>
            <a:endParaRPr lang="pt-BR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1421676273582627"/>
          <c:y val="0.17171296296296296"/>
          <c:w val="0.77744905264820352"/>
          <c:h val="0.506381598133566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'Gráficos - Arrecadação'!$AO$4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3876535979563249E-2"/>
                  <c:y val="3.7262442169814612E-17"/>
                </c:manualLayout>
              </c:layout>
              <c:tx>
                <c:rich>
                  <a:bodyPr/>
                  <a:lstStyle/>
                  <a:p>
                    <a:fld id="{9466B50D-2DE5-443A-81BD-F301065F9E9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47B-4EE2-9EBF-6BD0E458CC60}"/>
                </c:ext>
              </c:extLst>
            </c:dLbl>
            <c:dLbl>
              <c:idx val="1"/>
              <c:layout>
                <c:manualLayout>
                  <c:x val="2.4977764763213797E-2"/>
                  <c:y val="1.6260162601626091E-2"/>
                </c:manualLayout>
              </c:layout>
              <c:tx>
                <c:rich>
                  <a:bodyPr/>
                  <a:lstStyle/>
                  <a:p>
                    <a:fld id="{0E0BBDD0-081B-4C8B-A4BB-8D5035F550E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547B-4EE2-9EBF-6BD0E458CC60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E4C082B7-4BF3-4CBD-BE4D-214895E4C91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91FD-43FD-848D-0F3498F0BD91}"/>
                </c:ext>
              </c:extLst>
            </c:dLbl>
            <c:dLbl>
              <c:idx val="3"/>
              <c:layout>
                <c:manualLayout>
                  <c:x val="-2.497776476321395E-2"/>
                  <c:y val="-4.0650406504065045E-3"/>
                </c:manualLayout>
              </c:layout>
              <c:tx>
                <c:rich>
                  <a:bodyPr/>
                  <a:lstStyle/>
                  <a:p>
                    <a:fld id="{07A0CE64-957B-434B-B20B-000AB9BF29B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47B-4EE2-9EBF-6BD0E458CC60}"/>
                </c:ext>
              </c:extLst>
            </c:dLbl>
            <c:dLbl>
              <c:idx val="4"/>
              <c:layout>
                <c:manualLayout>
                  <c:x val="2.7753071959125482E-3"/>
                  <c:y val="7.3170731707317069E-2"/>
                </c:manualLayout>
              </c:layout>
              <c:tx>
                <c:rich>
                  <a:bodyPr/>
                  <a:lstStyle/>
                  <a:p>
                    <a:fld id="{661660AC-47FE-4D82-9A4B-4294697FC06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47B-4EE2-9EBF-6BD0E458CC60}"/>
                </c:ext>
              </c:extLst>
            </c:dLbl>
            <c:dLbl>
              <c:idx val="5"/>
              <c:layout>
                <c:manualLayout>
                  <c:x val="-5.2730836722340448E-2"/>
                  <c:y val="2.0325203252032447E-2"/>
                </c:manualLayout>
              </c:layout>
              <c:tx>
                <c:rich>
                  <a:bodyPr/>
                  <a:lstStyle/>
                  <a:p>
                    <a:fld id="{BFFCFCFF-5611-4A5B-9414-CDB19330431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47B-4EE2-9EBF-6BD0E458C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Arrecadação'!$AM$5:$AM$10</c:f>
              <c:strCache>
                <c:ptCount val="6"/>
                <c:pt idx="0">
                  <c:v>Anuid. PF - Exerc.</c:v>
                </c:pt>
                <c:pt idx="1">
                  <c:v>Anuid. PF - Exerc. Ant.</c:v>
                </c:pt>
                <c:pt idx="2">
                  <c:v>Anuid. PJ - Exerc.</c:v>
                </c:pt>
                <c:pt idx="3">
                  <c:v>Anuid. PJ - Exerc. Ant.</c:v>
                </c:pt>
                <c:pt idx="4">
                  <c:v>RRT</c:v>
                </c:pt>
                <c:pt idx="5">
                  <c:v>Taxas e Multas</c:v>
                </c:pt>
              </c:strCache>
            </c:strRef>
          </c:cat>
          <c:val>
            <c:numRef>
              <c:f>'Gráficos - Arrecadação'!$AO$5:$AO$10</c:f>
              <c:numCache>
                <c:formatCode>_-* #,##0.0_-;\-* #,##0.0_-;_-* "-"??_-;_-@_-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'Gráficos - Arrecadação'!$AP$5:$AP$10</c15:f>
                <c15:dlblRangeCache>
                  <c:ptCount val="6"/>
                  <c:pt idx="0">
                    <c:v>100,6%</c:v>
                  </c:pt>
                  <c:pt idx="1">
                    <c:v>107,8%</c:v>
                  </c:pt>
                  <c:pt idx="2">
                    <c:v>66,9%</c:v>
                  </c:pt>
                  <c:pt idx="3">
                    <c:v>132,5%</c:v>
                  </c:pt>
                  <c:pt idx="4">
                    <c:v>104,7%</c:v>
                  </c:pt>
                  <c:pt idx="5">
                    <c:v>144,6%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547B-4EE2-9EBF-6BD0E458CC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28903376"/>
        <c:axId val="328903936"/>
      </c:barChart>
      <c:lineChart>
        <c:grouping val="standard"/>
        <c:varyColors val="0"/>
        <c:ser>
          <c:idx val="0"/>
          <c:order val="0"/>
          <c:tx>
            <c:strRef>
              <c:f>'Gráficos - Arrecadação'!$AN$4</c:f>
              <c:strCache>
                <c:ptCount val="1"/>
                <c:pt idx="0">
                  <c:v>Previsto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'Gráficos - Arrecadação'!$AM$5:$AM$10</c:f>
              <c:strCache>
                <c:ptCount val="6"/>
                <c:pt idx="0">
                  <c:v>Anuid. PF - Exerc.</c:v>
                </c:pt>
                <c:pt idx="1">
                  <c:v>Anuid. PF - Exerc. Ant.</c:v>
                </c:pt>
                <c:pt idx="2">
                  <c:v>Anuid. PJ - Exerc.</c:v>
                </c:pt>
                <c:pt idx="3">
                  <c:v>Anuid. PJ - Exerc. Ant.</c:v>
                </c:pt>
                <c:pt idx="4">
                  <c:v>RRT</c:v>
                </c:pt>
                <c:pt idx="5">
                  <c:v>Taxas e Multas</c:v>
                </c:pt>
              </c:strCache>
            </c:strRef>
          </c:cat>
          <c:val>
            <c:numRef>
              <c:f>'Gráficos - Arrecadação'!$AN$5:$AN$10</c:f>
              <c:numCache>
                <c:formatCode>_-* #,##0.0_-;\-* #,##0.0_-;_-* "-"??_-;_-@_-</c:formatCode>
                <c:ptCount val="6"/>
                <c:pt idx="0">
                  <c:v>67.945589089999984</c:v>
                </c:pt>
                <c:pt idx="1">
                  <c:v>16.761168281999996</c:v>
                </c:pt>
                <c:pt idx="2">
                  <c:v>5.5884023580000006</c:v>
                </c:pt>
                <c:pt idx="3">
                  <c:v>2.8000125260000006</c:v>
                </c:pt>
                <c:pt idx="4">
                  <c:v>108.19030397200002</c:v>
                </c:pt>
                <c:pt idx="5">
                  <c:v>7.9654571692857079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7B-4EE2-9EBF-6BD0E458CC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28903376"/>
        <c:axId val="328903936"/>
      </c:lineChart>
      <c:catAx>
        <c:axId val="32890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8903936"/>
        <c:crosses val="autoZero"/>
        <c:auto val="1"/>
        <c:lblAlgn val="ctr"/>
        <c:lblOffset val="100"/>
        <c:noMultiLvlLbl val="0"/>
      </c:catAx>
      <c:valAx>
        <c:axId val="32890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28903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91-49EA-AE32-68B0E6768652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Arrecadação'!$Q$53:$Q$64</c:f>
              <c:numCache>
                <c:formatCode>_-[$R$-416]\ * #,##0_-;\-[$R$-416]\ * #,##0_-;_-[$R$-416]\ * "-"??_-;_-@_-</c:formatCode>
                <c:ptCount val="12"/>
                <c:pt idx="0">
                  <c:v>1018975.0580793833</c:v>
                </c:pt>
                <c:pt idx="1">
                  <c:v>2255924.4775186926</c:v>
                </c:pt>
                <c:pt idx="2">
                  <c:v>2806868.906928645</c:v>
                </c:pt>
                <c:pt idx="3">
                  <c:v>3265959.2322449223</c:v>
                </c:pt>
                <c:pt idx="4">
                  <c:v>3752968.2797377976</c:v>
                </c:pt>
                <c:pt idx="5">
                  <c:v>4284558.8450984173</c:v>
                </c:pt>
                <c:pt idx="6">
                  <c:v>4601881.6073588617</c:v>
                </c:pt>
                <c:pt idx="7">
                  <c:v>4938864.2646385338</c:v>
                </c:pt>
                <c:pt idx="8">
                  <c:v>5121621.3536376767</c:v>
                </c:pt>
                <c:pt idx="9">
                  <c:v>5274157.0545247076</c:v>
                </c:pt>
                <c:pt idx="10">
                  <c:v>5429871.5489863567</c:v>
                </c:pt>
                <c:pt idx="11">
                  <c:v>5588402.3580000009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D91-49EA-AE32-68B0E6768652}"/>
            </c:ext>
          </c:extLst>
        </c:ser>
        <c:ser>
          <c:idx val="1"/>
          <c:order val="1"/>
          <c:tx>
            <c:strRef>
              <c:f>'Gráficos - Arrecadação'!$S$52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91-49EA-AE32-68B0E6768652}"/>
                </c:ext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91-49EA-AE32-68B0E6768652}"/>
                </c:ext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91-49EA-AE32-68B0E6768652}"/>
                </c:ext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91-49EA-AE32-68B0E6768652}"/>
                </c:ext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91-49EA-AE32-68B0E6768652}"/>
                </c:ext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91-49EA-AE32-68B0E6768652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91-49EA-AE32-68B0E6768652}"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91-49EA-AE32-68B0E6768652}"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91-49EA-AE32-68B0E6768652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91-49EA-AE32-68B0E6768652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91-49EA-AE32-68B0E6768652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91-49EA-AE32-68B0E6768652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Arrecadação'!$S$53:$S$64</c:f>
              <c:numCache>
                <c:formatCode>_-[$R$-416]\ * #,##0_-;\-[$R$-416]\ * #,##0_-;_-[$R$-416]\ * "-"??_-;_-@_-</c:formatCode>
                <c:ptCount val="12"/>
                <c:pt idx="0">
                  <c:v>1926442.4732265207</c:v>
                </c:pt>
                <c:pt idx="1">
                  <c:v>4264980.4776132097</c:v>
                </c:pt>
                <c:pt idx="2">
                  <c:v>5306578.8374429336</c:v>
                </c:pt>
                <c:pt idx="3">
                  <c:v>6174520.6920783566</c:v>
                </c:pt>
                <c:pt idx="4">
                  <c:v>7095244.8123568492</c:v>
                </c:pt>
                <c:pt idx="5">
                  <c:v>8100253.3602671716</c:v>
                </c:pt>
                <c:pt idx="6">
                  <c:v>8700173.8804929536</c:v>
                </c:pt>
                <c:pt idx="7">
                  <c:v>9337262.7852477971</c:v>
                </c:pt>
                <c:pt idx="8">
                  <c:v>9682777.6393550113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D91-49EA-AE32-68B0E6768652}"/>
            </c:ext>
          </c:extLst>
        </c:ser>
        <c:ser>
          <c:idx val="2"/>
          <c:order val="2"/>
          <c:tx>
            <c:strRef>
              <c:f>'Gráficos - Arrecadação'!$R$52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91-49EA-AE32-68B0E6768652}"/>
                </c:ext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91-49EA-AE32-68B0E6768652}"/>
                </c:ext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91-49EA-AE32-68B0E6768652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Arrecadação'!$R$53:$R$64</c:f>
              <c:numCache>
                <c:formatCode>_-[$R$-416]\ * #,##0_-;\-[$R$-416]\ * #,##0_-;_-[$R$-416]\ * "-"??_-;_-@_-</c:formatCode>
                <c:ptCount val="12"/>
                <c:pt idx="0">
                  <c:v>414294.46000000008</c:v>
                </c:pt>
                <c:pt idx="1">
                  <c:v>802549.10000000009</c:v>
                </c:pt>
                <c:pt idx="2">
                  <c:v>1029153.2200000001</c:v>
                </c:pt>
                <c:pt idx="3">
                  <c:v>1168470.53</c:v>
                </c:pt>
                <c:pt idx="4">
                  <c:v>1303580.67</c:v>
                </c:pt>
                <c:pt idx="5">
                  <c:v>1445440.21</c:v>
                </c:pt>
                <c:pt idx="6">
                  <c:v>1752726.26</c:v>
                </c:pt>
                <c:pt idx="7">
                  <c:v>2883068.31</c:v>
                </c:pt>
                <c:pt idx="8">
                  <c:v>3427609.25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91-49EA-AE32-68B0E6768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569360"/>
        <c:axId val="392569920"/>
      </c:lineChart>
      <c:catAx>
        <c:axId val="39256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2569920"/>
        <c:crosses val="autoZero"/>
        <c:auto val="1"/>
        <c:lblAlgn val="ctr"/>
        <c:lblOffset val="100"/>
        <c:noMultiLvlLbl val="0"/>
      </c:catAx>
      <c:valAx>
        <c:axId val="392569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25693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54-47B4-9B48-A5DAB482DD75}"/>
                </c:ext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54-47B4-9B48-A5DAB482DD75}"/>
                </c:ext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54-47B4-9B48-A5DAB482DD75}"/>
                </c:ext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54-47B4-9B48-A5DAB482DD75}"/>
                </c:ext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54-47B4-9B48-A5DAB482DD75}"/>
                </c:ext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54-47B4-9B48-A5DAB482DD75}"/>
                </c:ext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54-47B4-9B48-A5DAB482DD75}"/>
                </c:ext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54-47B4-9B48-A5DAB482DD75}"/>
                </c:ext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54-47B4-9B48-A5DAB482DD75}"/>
                </c:ext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54-47B4-9B48-A5DAB482DD75}"/>
                </c:ext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54-47B4-9B48-A5DAB482DD75}"/>
                </c:ext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54-47B4-9B48-A5DAB482DD75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Arrecadação'!$Q$69:$Q$80</c:f>
              <c:numCache>
                <c:formatCode>_-[$R$-416]\ * #,##0_-;\-[$R$-416]\ * #,##0_-;_-[$R$-416]\ * "-"??_-;_-@_-</c:formatCode>
                <c:ptCount val="12"/>
                <c:pt idx="0">
                  <c:v>355455.89127551753</c:v>
                </c:pt>
                <c:pt idx="1">
                  <c:v>657632.93539569969</c:v>
                </c:pt>
                <c:pt idx="2">
                  <c:v>892200.03768604691</c:v>
                </c:pt>
                <c:pt idx="3">
                  <c:v>1096140.990105195</c:v>
                </c:pt>
                <c:pt idx="4">
                  <c:v>1275804.9312838914</c:v>
                </c:pt>
                <c:pt idx="5">
                  <c:v>1458629.7889792309</c:v>
                </c:pt>
                <c:pt idx="6">
                  <c:v>1696796.0090236673</c:v>
                </c:pt>
                <c:pt idx="7">
                  <c:v>1937976.3969157287</c:v>
                </c:pt>
                <c:pt idx="8">
                  <c:v>2132604.8022738365</c:v>
                </c:pt>
                <c:pt idx="9">
                  <c:v>2380233.0535183935</c:v>
                </c:pt>
                <c:pt idx="10">
                  <c:v>2568201.8132475866</c:v>
                </c:pt>
                <c:pt idx="11">
                  <c:v>2800012.5260000005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9354-47B4-9B48-A5DAB482DD75}"/>
            </c:ext>
          </c:extLst>
        </c:ser>
        <c:ser>
          <c:idx val="1"/>
          <c:order val="1"/>
          <c:tx>
            <c:strRef>
              <c:f>'Gráficos - Arrecadação'!$R$68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54-47B4-9B48-A5DAB482DD75}"/>
                </c:ext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54-47B4-9B48-A5DAB482DD75}"/>
                </c:ext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54-47B4-9B48-A5DAB482DD75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Arrecadação'!$R$69:$R$80</c:f>
              <c:numCache>
                <c:formatCode>_-[$R$-416]\ * #,##0_-;\-[$R$-416]\ * #,##0_-;_-[$R$-416]\ * "-"??_-;_-@_-</c:formatCode>
                <c:ptCount val="12"/>
                <c:pt idx="0">
                  <c:v>273703.60000000003</c:v>
                </c:pt>
                <c:pt idx="1">
                  <c:v>639245.17999999993</c:v>
                </c:pt>
                <c:pt idx="2">
                  <c:v>1013167.1299999999</c:v>
                </c:pt>
                <c:pt idx="3">
                  <c:v>1260635.3899999999</c:v>
                </c:pt>
                <c:pt idx="4">
                  <c:v>1569367.39</c:v>
                </c:pt>
                <c:pt idx="5">
                  <c:v>1825059.48</c:v>
                </c:pt>
                <c:pt idx="6">
                  <c:v>2041703.08</c:v>
                </c:pt>
                <c:pt idx="7">
                  <c:v>2446736.0700000003</c:v>
                </c:pt>
                <c:pt idx="8">
                  <c:v>2824767.0400000005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354-47B4-9B48-A5DAB482D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573280"/>
        <c:axId val="392573840"/>
      </c:lineChart>
      <c:catAx>
        <c:axId val="39257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2573840"/>
        <c:crosses val="autoZero"/>
        <c:auto val="1"/>
        <c:lblAlgn val="ctr"/>
        <c:lblOffset val="100"/>
        <c:noMultiLvlLbl val="0"/>
      </c:catAx>
      <c:valAx>
        <c:axId val="3925738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25732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77-4E86-B874-84AF798982CD}"/>
                </c:ext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77-4E86-B874-84AF798982CD}"/>
                </c:ext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77-4E86-B874-84AF798982CD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Arrecadação'!$Q$85:$Q$96</c:f>
              <c:numCache>
                <c:formatCode>_-[$R$-416]\ * #,##0_-;\-[$R$-416]\ * #,##0_-;_-[$R$-416]\ * "-"??_-;_-@_-</c:formatCode>
                <c:ptCount val="12"/>
                <c:pt idx="0">
                  <c:v>7250924.0097673479</c:v>
                </c:pt>
                <c:pt idx="1">
                  <c:v>15285894.523920869</c:v>
                </c:pt>
                <c:pt idx="2">
                  <c:v>24063494.476585761</c:v>
                </c:pt>
                <c:pt idx="3">
                  <c:v>32075232.868020844</c:v>
                </c:pt>
                <c:pt idx="4">
                  <c:v>40844019.560462549</c:v>
                </c:pt>
                <c:pt idx="5">
                  <c:v>49392579.832004428</c:v>
                </c:pt>
                <c:pt idx="6">
                  <c:v>59280977.355267935</c:v>
                </c:pt>
                <c:pt idx="7">
                  <c:v>69755899.774108976</c:v>
                </c:pt>
                <c:pt idx="8">
                  <c:v>79455650.864838809</c:v>
                </c:pt>
                <c:pt idx="9">
                  <c:v>90176926.459439576</c:v>
                </c:pt>
                <c:pt idx="10">
                  <c:v>99418188.601490989</c:v>
                </c:pt>
                <c:pt idx="11">
                  <c:v>108190303.97200002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B77-4E86-B874-84AF798982CD}"/>
            </c:ext>
          </c:extLst>
        </c:ser>
        <c:ser>
          <c:idx val="1"/>
          <c:order val="1"/>
          <c:tx>
            <c:strRef>
              <c:f>'Gráficos - Arrecadação'!$T$84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77-4E86-B874-84AF798982CD}"/>
                </c:ext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77-4E86-B874-84AF798982CD}"/>
                </c:ext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7-4E86-B874-84AF798982CD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Arrecadação'!$T$85:$T$96</c:f>
              <c:numCache>
                <c:formatCode>_-"R$"\ * #,##0_-;\-"R$"\ * #,##0_-;_-"R$"\ * "-"??_-;_-@_-</c:formatCode>
                <c:ptCount val="12"/>
                <c:pt idx="0">
                  <c:v>6710688.8399999999</c:v>
                </c:pt>
                <c:pt idx="1">
                  <c:v>25179154.68</c:v>
                </c:pt>
                <c:pt idx="2">
                  <c:v>0</c:v>
                </c:pt>
                <c:pt idx="3">
                  <c:v>33908790.850000001</c:v>
                </c:pt>
                <c:pt idx="4">
                  <c:v>44197712.32</c:v>
                </c:pt>
                <c:pt idx="5">
                  <c:v>53763671.239999995</c:v>
                </c:pt>
                <c:pt idx="6">
                  <c:v>63251623.86999999</c:v>
                </c:pt>
                <c:pt idx="7">
                  <c:v>73709634.499999985</c:v>
                </c:pt>
                <c:pt idx="8">
                  <c:v>83163925.459999979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77-4E86-B874-84AF798982CD}"/>
            </c:ext>
          </c:extLst>
        </c:ser>
        <c:ser>
          <c:idx val="2"/>
          <c:order val="2"/>
          <c:tx>
            <c:strRef>
              <c:f>'Gráficos - Arrecadação'!$U$84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Arrecadação'!$U$85:$U$96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77-4E86-B874-84AF7989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577760"/>
        <c:axId val="392578320"/>
      </c:lineChart>
      <c:catAx>
        <c:axId val="39257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2578320"/>
        <c:crosses val="autoZero"/>
        <c:auto val="1"/>
        <c:lblAlgn val="ctr"/>
        <c:lblOffset val="100"/>
        <c:noMultiLvlLbl val="0"/>
      </c:catAx>
      <c:valAx>
        <c:axId val="3925783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25777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4D-4E10-B4CE-B33C500E343B}"/>
                </c:ext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D-4E10-B4CE-B33C500E343B}"/>
                </c:ext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D-4E10-B4CE-B33C500E343B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Arrecadação'!$Q$101:$Q$112</c:f>
              <c:numCache>
                <c:formatCode>_-[$R$-416]\ * #,##0_-;\-[$R$-416]\ * #,##0_-;_-[$R$-416]\ * "-"??_-;_-@_-</c:formatCode>
                <c:ptCount val="12"/>
                <c:pt idx="0">
                  <c:v>806024.23388548277</c:v>
                </c:pt>
                <c:pt idx="1">
                  <c:v>1483497.2974134013</c:v>
                </c:pt>
                <c:pt idx="2">
                  <c:v>2048065.7038497992</c:v>
                </c:pt>
                <c:pt idx="3">
                  <c:v>2572846.1715698736</c:v>
                </c:pt>
                <c:pt idx="4">
                  <c:v>3046171.7431810712</c:v>
                </c:pt>
                <c:pt idx="5">
                  <c:v>3543632.0396976946</c:v>
                </c:pt>
                <c:pt idx="6">
                  <c:v>4222869.7794624902</c:v>
                </c:pt>
                <c:pt idx="7">
                  <c:v>4918690.5538075566</c:v>
                </c:pt>
                <c:pt idx="8">
                  <c:v>5592401.3100491157</c:v>
                </c:pt>
                <c:pt idx="9">
                  <c:v>6384917.6231790138</c:v>
                </c:pt>
                <c:pt idx="10">
                  <c:v>7119100.0584494928</c:v>
                </c:pt>
                <c:pt idx="11">
                  <c:v>7965457.1692857081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04D-4E10-B4CE-B33C500E343B}"/>
            </c:ext>
          </c:extLst>
        </c:ser>
        <c:ser>
          <c:idx val="1"/>
          <c:order val="1"/>
          <c:tx>
            <c:strRef>
              <c:f>'Gráficos - Arrecadação'!$R$100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D-4E10-B4CE-B33C500E343B}"/>
                </c:ext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D-4E10-B4CE-B33C500E343B}"/>
                </c:ext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D-4E10-B4CE-B33C500E343B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Arrecadação'!$R$101:$R$112</c:f>
              <c:numCache>
                <c:formatCode>_-[$R$-416]\ * #,##0_-;\-[$R$-416]\ * #,##0_-;_-[$R$-416]\ * "-"??_-;_-@_-</c:formatCode>
                <c:ptCount val="12"/>
                <c:pt idx="0">
                  <c:v>653615.37</c:v>
                </c:pt>
                <c:pt idx="1">
                  <c:v>1506919.51</c:v>
                </c:pt>
                <c:pt idx="2">
                  <c:v>2454853.16</c:v>
                </c:pt>
                <c:pt idx="3">
                  <c:v>3136036.34</c:v>
                </c:pt>
                <c:pt idx="4">
                  <c:v>3999978.4699999997</c:v>
                </c:pt>
                <c:pt idx="5">
                  <c:v>4757261.93</c:v>
                </c:pt>
                <c:pt idx="6">
                  <c:v>5689663.9900000002</c:v>
                </c:pt>
                <c:pt idx="7">
                  <c:v>6941469.9500000002</c:v>
                </c:pt>
                <c:pt idx="8">
                  <c:v>8087112.54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4D-4E10-B4CE-B33C500E343B}"/>
            </c:ext>
          </c:extLst>
        </c:ser>
        <c:ser>
          <c:idx val="2"/>
          <c:order val="2"/>
          <c:tx>
            <c:strRef>
              <c:f>'Gráficos - Arrecadação'!$S$100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4D-4E10-B4CE-B33C500E343B}"/>
                </c:ext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4D-4E10-B4CE-B33C500E343B}"/>
                </c:ext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4D-4E10-B4CE-B33C500E343B}"/>
                </c:ext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4D-4E10-B4CE-B33C500E343B}"/>
                </c:ext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4D-4E10-B4CE-B33C500E343B}"/>
                </c:ext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4D-4E10-B4CE-B33C500E343B}"/>
                </c:ext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4D-4E10-B4CE-B33C500E343B}"/>
                </c:ext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4D-4E10-B4CE-B33C500E343B}"/>
                </c:ext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4D-4E10-B4CE-B33C500E343B}"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4D-4E10-B4CE-B33C500E343B}"/>
                </c:ext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4D-4E10-B4CE-B33C500E343B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4D-4E10-B4CE-B33C500E343B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Arrecadação'!$S$101:$S$112</c:f>
              <c:numCache>
                <c:formatCode>_-[$R$-416]\ * #,##0_-;\-[$R$-416]\ * #,##0_-;_-[$R$-416]\ * "-"??_-;_-@_-</c:formatCode>
                <c:ptCount val="12"/>
                <c:pt idx="0">
                  <c:v>933297.32066012197</c:v>
                </c:pt>
                <c:pt idx="1">
                  <c:v>1717744.9444766585</c:v>
                </c:pt>
                <c:pt idx="2">
                  <c:v>2371460.0052713524</c:v>
                </c:pt>
                <c:pt idx="3">
                  <c:v>2979104.5199988051</c:v>
                </c:pt>
                <c:pt idx="4">
                  <c:v>3527169.2917677076</c:v>
                </c:pt>
                <c:pt idx="5">
                  <c:v>4103179.7172057563</c:v>
                </c:pt>
                <c:pt idx="6">
                  <c:v>4889670.663709715</c:v>
                </c:pt>
                <c:pt idx="7">
                  <c:v>5695363.1442265818</c:v>
                </c:pt>
                <c:pt idx="8">
                  <c:v>6475454.3837531153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4D-4E10-B4CE-B33C500E3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582240"/>
        <c:axId val="392582800"/>
      </c:lineChart>
      <c:catAx>
        <c:axId val="3925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2582800"/>
        <c:crosses val="autoZero"/>
        <c:auto val="1"/>
        <c:lblAlgn val="ctr"/>
        <c:lblOffset val="100"/>
        <c:noMultiLvlLbl val="0"/>
      </c:catAx>
      <c:valAx>
        <c:axId val="392582800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25822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945063040729852E-2"/>
          <c:y val="6.4675925925925928E-2"/>
          <c:w val="0.93847755600358718"/>
          <c:h val="0.87929718147758573"/>
        </c:manualLayout>
      </c:layout>
      <c:lineChart>
        <c:grouping val="standard"/>
        <c:varyColors val="0"/>
        <c:ser>
          <c:idx val="0"/>
          <c:order val="0"/>
          <c:tx>
            <c:strRef>
              <c:f>'Gráficos - Arrecadação'!$Q$68</c:f>
              <c:strCache>
                <c:ptCount val="1"/>
                <c:pt idx="0">
                  <c:v>Meta</c:v>
                </c:pt>
              </c:strCache>
            </c:strRef>
          </c:tx>
          <c:spPr>
            <a:ln w="508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4522116387306024E-2"/>
                  <c:y val="-7.5188918892422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A06-4EA6-A591-A5AC26BD42D9}"/>
                </c:ext>
              </c:extLst>
            </c:dLbl>
            <c:dLbl>
              <c:idx val="1"/>
              <c:layout>
                <c:manualLayout>
                  <c:x val="-2.2802949710356429E-2"/>
                  <c:y val="-5.0660307388201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A06-4EA6-A591-A5AC26BD42D9}"/>
                </c:ext>
              </c:extLst>
            </c:dLbl>
            <c:dLbl>
              <c:idx val="2"/>
              <c:layout>
                <c:manualLayout>
                  <c:x val="-2.931340724789596E-2"/>
                  <c:y val="5.895838152429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A06-4EA6-A591-A5AC26BD42D9}"/>
                </c:ext>
              </c:extLst>
            </c:dLbl>
            <c:dLbl>
              <c:idx val="3"/>
              <c:layout>
                <c:manualLayout>
                  <c:x val="-2.5608358629362647E-2"/>
                  <c:y val="5.6020477272685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A06-4EA6-A591-A5AC26BD42D9}"/>
                </c:ext>
              </c:extLst>
            </c:dLbl>
            <c:dLbl>
              <c:idx val="4"/>
              <c:layout>
                <c:manualLayout>
                  <c:x val="-2.8228986140353018E-2"/>
                  <c:y val="6.3672103468398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A06-4EA6-A591-A5AC26BD42D9}"/>
                </c:ext>
              </c:extLst>
            </c:dLbl>
            <c:dLbl>
              <c:idx val="5"/>
              <c:layout>
                <c:manualLayout>
                  <c:x val="-4.8001434508665982E-3"/>
                  <c:y val="3.1014309885004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A06-4EA6-A591-A5AC26BD42D9}"/>
                </c:ext>
              </c:extLst>
            </c:dLbl>
            <c:dLbl>
              <c:idx val="6"/>
              <c:layout>
                <c:manualLayout>
                  <c:x val="-5.568252493202871E-3"/>
                  <c:y val="2.4280020780911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A06-4EA6-A591-A5AC26BD42D9}"/>
                </c:ext>
              </c:extLst>
            </c:dLbl>
            <c:dLbl>
              <c:idx val="7"/>
              <c:layout>
                <c:manualLayout>
                  <c:x val="-4.8001434508666554E-3"/>
                  <c:y val="2.976302024805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A06-4EA6-A591-A5AC26BD42D9}"/>
                </c:ext>
              </c:extLst>
            </c:dLbl>
            <c:dLbl>
              <c:idx val="8"/>
              <c:layout>
                <c:manualLayout>
                  <c:x val="-7.4207905613658922E-3"/>
                  <c:y val="2.4661993406929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A06-4EA6-A591-A5AC26BD42D9}"/>
                </c:ext>
              </c:extLst>
            </c:dLbl>
            <c:dLbl>
              <c:idx val="9"/>
              <c:layout>
                <c:manualLayout>
                  <c:x val="-6.3620656088478255E-3"/>
                  <c:y val="2.8078739380294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5A06-4EA6-A591-A5AC26BD42D9}"/>
                </c:ext>
              </c:extLst>
            </c:dLbl>
            <c:dLbl>
              <c:idx val="10"/>
              <c:layout>
                <c:manualLayout>
                  <c:x val="-4.2969462454036664E-3"/>
                  <c:y val="3.144746784327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A06-4EA6-A591-A5AC26BD42D9}"/>
                </c:ext>
              </c:extLst>
            </c:dLbl>
            <c:dLbl>
              <c:idx val="11"/>
              <c:layout>
                <c:manualLayout>
                  <c:x val="-6.63189688558871E-3"/>
                  <c:y val="2.84637131007107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5A06-4EA6-A591-A5AC26BD42D9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Arrecadação'!$Q$69:$Q$80</c:f>
              <c:numCache>
                <c:formatCode>_-[$R$-416]\ * #,##0_-;\-[$R$-416]\ * #,##0_-;_-[$R$-416]\ * "-"??_-;_-@_-</c:formatCode>
                <c:ptCount val="12"/>
                <c:pt idx="0">
                  <c:v>355455.89127551753</c:v>
                </c:pt>
                <c:pt idx="1">
                  <c:v>657632.93539569969</c:v>
                </c:pt>
                <c:pt idx="2">
                  <c:v>892200.03768604691</c:v>
                </c:pt>
                <c:pt idx="3">
                  <c:v>1096140.990105195</c:v>
                </c:pt>
                <c:pt idx="4">
                  <c:v>1275804.9312838914</c:v>
                </c:pt>
                <c:pt idx="5">
                  <c:v>1458629.7889792309</c:v>
                </c:pt>
                <c:pt idx="6">
                  <c:v>1696796.0090236673</c:v>
                </c:pt>
                <c:pt idx="7">
                  <c:v>1937976.3969157287</c:v>
                </c:pt>
                <c:pt idx="8">
                  <c:v>2132604.8022738365</c:v>
                </c:pt>
                <c:pt idx="9">
                  <c:v>2380233.0535183935</c:v>
                </c:pt>
                <c:pt idx="10">
                  <c:v>2568201.8132475866</c:v>
                </c:pt>
                <c:pt idx="11">
                  <c:v>2800012.5260000005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5A06-4EA6-A591-A5AC26BD42D9}"/>
            </c:ext>
          </c:extLst>
        </c:ser>
        <c:ser>
          <c:idx val="1"/>
          <c:order val="1"/>
          <c:tx>
            <c:strRef>
              <c:f>'Gráficos - Arrecadação'!$R$68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508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0454126597714221E-2"/>
                  <c:y val="3.1418622064196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5A06-4EA6-A591-A5AC26BD42D9}"/>
                </c:ext>
              </c:extLst>
            </c:dLbl>
            <c:dLbl>
              <c:idx val="1"/>
              <c:layout>
                <c:manualLayout>
                  <c:x val="-2.8303566827577474E-2"/>
                  <c:y val="5.8455983615358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5A06-4EA6-A591-A5AC26BD42D9}"/>
                </c:ext>
              </c:extLst>
            </c:dLbl>
            <c:dLbl>
              <c:idx val="2"/>
              <c:layout>
                <c:manualLayout>
                  <c:x val="-3.2875734616096886E-2"/>
                  <c:y val="-4.9179376432490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5A06-4EA6-A591-A5AC26BD42D9}"/>
                </c:ext>
              </c:extLst>
            </c:dLbl>
            <c:dLbl>
              <c:idx val="3"/>
              <c:layout>
                <c:manualLayout>
                  <c:x val="-2.0207146689111888E-2"/>
                  <c:y val="-9.0375578437423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5A06-4EA6-A591-A5AC26BD42D9}"/>
                </c:ext>
              </c:extLst>
            </c:dLbl>
            <c:dLbl>
              <c:idx val="4"/>
              <c:layout>
                <c:manualLayout>
                  <c:x val="-2.3508397087221716E-2"/>
                  <c:y val="-0.11109217291007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5A06-4EA6-A591-A5AC26BD42D9}"/>
                </c:ext>
              </c:extLst>
            </c:dLbl>
            <c:dLbl>
              <c:idx val="5"/>
              <c:layout>
                <c:manualLayout>
                  <c:x val="-2.7248900412950024E-2"/>
                  <c:y val="-4.4491891376388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5A06-4EA6-A591-A5AC26BD42D9}"/>
                </c:ext>
              </c:extLst>
            </c:dLbl>
            <c:dLbl>
              <c:idx val="6"/>
              <c:layout>
                <c:manualLayout>
                  <c:x val="-2.9396113654474334E-2"/>
                  <c:y val="-4.878295281725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5A06-4EA6-A591-A5AC26BD42D9}"/>
                </c:ext>
              </c:extLst>
            </c:dLbl>
            <c:dLbl>
              <c:idx val="7"/>
              <c:layout>
                <c:manualLayout>
                  <c:x val="-2.7415102226821222E-2"/>
                  <c:y val="-5.0851670292634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5A06-4EA6-A591-A5AC26BD42D9}"/>
                </c:ext>
              </c:extLst>
            </c:dLbl>
            <c:dLbl>
              <c:idx val="8"/>
              <c:layout>
                <c:manualLayout>
                  <c:x val="-7.2824416964782758E-3"/>
                  <c:y val="-5.3001854035057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5A06-4EA6-A591-A5AC26BD42D9}"/>
                </c:ext>
              </c:extLst>
            </c:dLbl>
            <c:dLbl>
              <c:idx val="9"/>
              <c:layout>
                <c:manualLayout>
                  <c:x val="-3.5058504147178732E-2"/>
                  <c:y val="-3.813312497456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06-4EA6-A591-A5AC26BD42D9}"/>
                </c:ext>
              </c:extLst>
            </c:dLbl>
            <c:dLbl>
              <c:idx val="10"/>
              <c:layout>
                <c:manualLayout>
                  <c:x val="-3.2721270537366814E-2"/>
                  <c:y val="-4.4488645803654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06-4EA6-A591-A5AC26BD42D9}"/>
                </c:ext>
              </c:extLst>
            </c:dLbl>
            <c:dLbl>
              <c:idx val="11"/>
              <c:layout>
                <c:manualLayout>
                  <c:x val="-2.3773636048469882E-2"/>
                  <c:y val="-6.5615791789442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0F-4BFA-B9AA-730EE7777846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rgbClr val="00B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Arrecadação'!$R$69:$R$80</c:f>
              <c:numCache>
                <c:formatCode>_-[$R$-416]\ * #,##0_-;\-[$R$-416]\ * #,##0_-;_-[$R$-416]\ * "-"??_-;_-@_-</c:formatCode>
                <c:ptCount val="12"/>
                <c:pt idx="0">
                  <c:v>273703.60000000003</c:v>
                </c:pt>
                <c:pt idx="1">
                  <c:v>639245.17999999993</c:v>
                </c:pt>
                <c:pt idx="2">
                  <c:v>1013167.1299999999</c:v>
                </c:pt>
                <c:pt idx="3">
                  <c:v>1260635.3899999999</c:v>
                </c:pt>
                <c:pt idx="4">
                  <c:v>1569367.39</c:v>
                </c:pt>
                <c:pt idx="5">
                  <c:v>1825059.48</c:v>
                </c:pt>
                <c:pt idx="6">
                  <c:v>2041703.08</c:v>
                </c:pt>
                <c:pt idx="7">
                  <c:v>2446736.0700000003</c:v>
                </c:pt>
                <c:pt idx="8">
                  <c:v>2824767.0400000005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06-4EA6-A591-A5AC26BD4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586160"/>
        <c:axId val="392586720"/>
      </c:lineChart>
      <c:catAx>
        <c:axId val="3925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2586720"/>
        <c:crosses val="autoZero"/>
        <c:auto val="1"/>
        <c:lblAlgn val="ctr"/>
        <c:lblOffset val="100"/>
        <c:noMultiLvlLbl val="0"/>
      </c:catAx>
      <c:valAx>
        <c:axId val="3925867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25861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6509239371505537E-3"/>
                <c:y val="2.1682483649196511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847685455454006"/>
          <c:y val="0.8508624025250997"/>
          <c:w val="0.19614463139684701"/>
          <c:h val="7.7372545327988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182195457152109E-2"/>
          <c:y val="4.138676778823721E-2"/>
          <c:w val="0.9101955441276629"/>
          <c:h val="0.8354158719871283"/>
        </c:manualLayout>
      </c:layout>
      <c:lineChart>
        <c:grouping val="standard"/>
        <c:varyColors val="0"/>
        <c:ser>
          <c:idx val="0"/>
          <c:order val="0"/>
          <c:tx>
            <c:strRef>
              <c:f>'Gráficos - Arrecadação'!$Q$84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01524162420874E-2"/>
                  <c:y val="-7.5809758615826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EF0-4481-AB87-9AF5B1E3E911}"/>
                </c:ext>
              </c:extLst>
            </c:dLbl>
            <c:dLbl>
              <c:idx val="1"/>
              <c:layout>
                <c:manualLayout>
                  <c:x val="-2.0167143910096164E-2"/>
                  <c:y val="2.9173540728971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EF0-4481-AB87-9AF5B1E3E911}"/>
                </c:ext>
              </c:extLst>
            </c:dLbl>
            <c:dLbl>
              <c:idx val="2"/>
              <c:layout>
                <c:manualLayout>
                  <c:x val="-1.7124726461861507E-2"/>
                  <c:y val="2.636289200431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EF0-4481-AB87-9AF5B1E3E911}"/>
                </c:ext>
              </c:extLst>
            </c:dLbl>
            <c:dLbl>
              <c:idx val="3"/>
              <c:layout>
                <c:manualLayout>
                  <c:x val="-1.2066634018586509E-2"/>
                  <c:y val="2.392325987732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EF0-4481-AB87-9AF5B1E3E911}"/>
                </c:ext>
              </c:extLst>
            </c:dLbl>
            <c:dLbl>
              <c:idx val="4"/>
              <c:layout>
                <c:manualLayout>
                  <c:x val="-1.0043577805793E-2"/>
                  <c:y val="3.1554382869633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EF0-4481-AB87-9AF5B1E3E911}"/>
                </c:ext>
              </c:extLst>
            </c:dLbl>
            <c:dLbl>
              <c:idx val="5"/>
              <c:layout>
                <c:manualLayout>
                  <c:x val="-1.0007876813802455E-2"/>
                  <c:y val="3.1554382869633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EF0-4481-AB87-9AF5B1E3E911}"/>
                </c:ext>
              </c:extLst>
            </c:dLbl>
            <c:dLbl>
              <c:idx val="6"/>
              <c:layout>
                <c:manualLayout>
                  <c:x val="-1.5825180225988715E-2"/>
                  <c:y val="2.3837054871466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EF0-4481-AB87-9AF5B1E3E911}"/>
                </c:ext>
              </c:extLst>
            </c:dLbl>
            <c:dLbl>
              <c:idx val="7"/>
              <c:layout>
                <c:manualLayout>
                  <c:x val="-1.4000814344146555E-2"/>
                  <c:y val="2.360494103943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EF0-4481-AB87-9AF5B1E3E911}"/>
                </c:ext>
              </c:extLst>
            </c:dLbl>
            <c:dLbl>
              <c:idx val="8"/>
              <c:layout>
                <c:manualLayout>
                  <c:x val="-1.1931512542572067E-2"/>
                  <c:y val="2.757950964886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EF0-4481-AB87-9AF5B1E3E911}"/>
                </c:ext>
              </c:extLst>
            </c:dLbl>
            <c:dLbl>
              <c:idx val="9"/>
              <c:layout>
                <c:manualLayout>
                  <c:x val="-1.5913905476125593E-2"/>
                  <c:y val="1.6080127400641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EF0-4481-AB87-9AF5B1E3E911}"/>
                </c:ext>
              </c:extLst>
            </c:dLbl>
            <c:dLbl>
              <c:idx val="10"/>
              <c:layout>
                <c:manualLayout>
                  <c:x val="-1.2201604857504085E-2"/>
                  <c:y val="2.392325987732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EF0-4481-AB87-9AF5B1E3E911}"/>
                </c:ext>
              </c:extLst>
            </c:dLbl>
            <c:dLbl>
              <c:idx val="11"/>
              <c:layout>
                <c:manualLayout>
                  <c:x val="-2.6045154072376004E-3"/>
                  <c:y val="2.796118764301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EF0-4481-AB87-9AF5B1E3E911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18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Arrecadação'!$Q$85:$Q$96</c:f>
              <c:numCache>
                <c:formatCode>_-[$R$-416]\ * #,##0_-;\-[$R$-416]\ * #,##0_-;_-[$R$-416]\ * "-"??_-;_-@_-</c:formatCode>
                <c:ptCount val="12"/>
                <c:pt idx="0">
                  <c:v>7250924.0097673479</c:v>
                </c:pt>
                <c:pt idx="1">
                  <c:v>15285894.523920869</c:v>
                </c:pt>
                <c:pt idx="2">
                  <c:v>24063494.476585761</c:v>
                </c:pt>
                <c:pt idx="3">
                  <c:v>32075232.868020844</c:v>
                </c:pt>
                <c:pt idx="4">
                  <c:v>40844019.560462549</c:v>
                </c:pt>
                <c:pt idx="5">
                  <c:v>49392579.832004428</c:v>
                </c:pt>
                <c:pt idx="6">
                  <c:v>59280977.355267935</c:v>
                </c:pt>
                <c:pt idx="7">
                  <c:v>69755899.774108976</c:v>
                </c:pt>
                <c:pt idx="8">
                  <c:v>79455650.864838809</c:v>
                </c:pt>
                <c:pt idx="9">
                  <c:v>90176926.459439576</c:v>
                </c:pt>
                <c:pt idx="10">
                  <c:v>99418188.601490989</c:v>
                </c:pt>
                <c:pt idx="11">
                  <c:v>108190303.97200002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8EF0-4481-AB87-9AF5B1E3E911}"/>
            </c:ext>
          </c:extLst>
        </c:ser>
        <c:ser>
          <c:idx val="1"/>
          <c:order val="1"/>
          <c:tx>
            <c:strRef>
              <c:f>'Gráficos - Arrecadação'!$R$84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283371931449745E-2"/>
                  <c:y val="3.0113813263223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EF0-4481-AB87-9AF5B1E3E911}"/>
                </c:ext>
              </c:extLst>
            </c:dLbl>
            <c:dLbl>
              <c:idx val="1"/>
              <c:layout>
                <c:manualLayout>
                  <c:x val="-5.5255219208880144E-2"/>
                  <c:y val="-3.4050591084766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EF0-4481-AB87-9AF5B1E3E911}"/>
                </c:ext>
              </c:extLst>
            </c:dLbl>
            <c:dLbl>
              <c:idx val="2"/>
              <c:layout>
                <c:manualLayout>
                  <c:x val="-6.5815908512668012E-2"/>
                  <c:y val="-3.1006082479000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EF0-4481-AB87-9AF5B1E3E911}"/>
                </c:ext>
              </c:extLst>
            </c:dLbl>
            <c:dLbl>
              <c:idx val="3"/>
              <c:layout>
                <c:manualLayout>
                  <c:x val="-5.1180761353028431E-2"/>
                  <c:y val="-3.5162504051330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EF0-4481-AB87-9AF5B1E3E911}"/>
                </c:ext>
              </c:extLst>
            </c:dLbl>
            <c:dLbl>
              <c:idx val="4"/>
              <c:layout>
                <c:manualLayout>
                  <c:x val="-3.3728207503473828E-2"/>
                  <c:y val="-5.6154883964757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8EF0-4481-AB87-9AF5B1E3E911}"/>
                </c:ext>
              </c:extLst>
            </c:dLbl>
            <c:dLbl>
              <c:idx val="5"/>
              <c:layout>
                <c:manualLayout>
                  <c:x val="-4.2300015439246511E-2"/>
                  <c:y val="-6.2275806232719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8EF0-4481-AB87-9AF5B1E3E911}"/>
                </c:ext>
              </c:extLst>
            </c:dLbl>
            <c:dLbl>
              <c:idx val="6"/>
              <c:layout>
                <c:manualLayout>
                  <c:x val="-4.5935402192373069E-2"/>
                  <c:y val="-6.0519510845124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8EF0-4481-AB87-9AF5B1E3E911}"/>
                </c:ext>
              </c:extLst>
            </c:dLbl>
            <c:dLbl>
              <c:idx val="7"/>
              <c:layout>
                <c:manualLayout>
                  <c:x val="-5.4123019916628066E-2"/>
                  <c:y val="-5.2782331136190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8EF0-4481-AB87-9AF5B1E3E911}"/>
                </c:ext>
              </c:extLst>
            </c:dLbl>
            <c:dLbl>
              <c:idx val="8"/>
              <c:layout>
                <c:manualLayout>
                  <c:x val="-4.9072657094333914E-2"/>
                  <c:y val="-4.8913824439648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8EF0-4481-AB87-9AF5B1E3E911}"/>
                </c:ext>
              </c:extLst>
            </c:dLbl>
            <c:dLbl>
              <c:idx val="9"/>
              <c:layout>
                <c:manualLayout>
                  <c:x val="-2.7450980392156862E-2"/>
                  <c:y val="-3.8019803561021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4B-43F9-8F40-F40FFED89B15}"/>
                </c:ext>
              </c:extLst>
            </c:dLbl>
            <c:dLbl>
              <c:idx val="10"/>
              <c:layout>
                <c:manualLayout>
                  <c:x val="-3.3725490196078428E-2"/>
                  <c:y val="-3.8019803561021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C1-4B0C-BD8A-DA9770843504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Arrecadação'!$R$85:$R$96</c:f>
              <c:numCache>
                <c:formatCode>_-[$R$-416]\ * #,##0_-;\-[$R$-416]\ * #,##0_-;_-[$R$-416]\ * "-"??_-;_-@_-</c:formatCode>
                <c:ptCount val="12"/>
                <c:pt idx="0">
                  <c:v>6710688.8399999999</c:v>
                </c:pt>
                <c:pt idx="1">
                  <c:v>14924265.239999998</c:v>
                </c:pt>
                <c:pt idx="2">
                  <c:v>25179154.68</c:v>
                </c:pt>
                <c:pt idx="3">
                  <c:v>33908790.850000001</c:v>
                </c:pt>
                <c:pt idx="4">
                  <c:v>44197712.32</c:v>
                </c:pt>
                <c:pt idx="5">
                  <c:v>53763671.239999995</c:v>
                </c:pt>
                <c:pt idx="6">
                  <c:v>63251623.86999999</c:v>
                </c:pt>
                <c:pt idx="7">
                  <c:v>73709634.499999985</c:v>
                </c:pt>
                <c:pt idx="8">
                  <c:v>83163925.459999979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8EF0-4481-AB87-9AF5B1E3E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742768"/>
        <c:axId val="392743328"/>
      </c:lineChart>
      <c:catAx>
        <c:axId val="39274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2743328"/>
        <c:crosses val="autoZero"/>
        <c:auto val="1"/>
        <c:lblAlgn val="ctr"/>
        <c:lblOffset val="100"/>
        <c:noMultiLvlLbl val="0"/>
      </c:catAx>
      <c:valAx>
        <c:axId val="3927433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27427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54725102793E-2"/>
                <c:y val="1.9428080492375148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084424737044016"/>
          <c:y val="0.92874691852871905"/>
          <c:w val="0.21864743611160156"/>
          <c:h val="7.05465156755715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Arrecadação'!$Q$37:$Q$48</c:f>
              <c:numCache>
                <c:formatCode>_-[$R$-416]\ * #,##0_-;\-[$R$-416]\ * #,##0_-;_-[$R$-416]\ * "-"??_-;_-@_-</c:formatCode>
                <c:ptCount val="12"/>
                <c:pt idx="0">
                  <c:v>2267417.3715040069</c:v>
                </c:pt>
                <c:pt idx="1">
                  <c:v>4015108.5195592274</c:v>
                </c:pt>
                <c:pt idx="2">
                  <c:v>5395529.5701630656</c:v>
                </c:pt>
                <c:pt idx="3">
                  <c:v>6635371.2627898455</c:v>
                </c:pt>
                <c:pt idx="4">
                  <c:v>7721041.6845208984</c:v>
                </c:pt>
                <c:pt idx="5">
                  <c:v>8753842.54612788</c:v>
                </c:pt>
                <c:pt idx="6">
                  <c:v>10149068.112386934</c:v>
                </c:pt>
                <c:pt idx="7">
                  <c:v>11519535.891210407</c:v>
                </c:pt>
                <c:pt idx="8">
                  <c:v>12701239.474559357</c:v>
                </c:pt>
                <c:pt idx="9">
                  <c:v>14357984.204981059</c:v>
                </c:pt>
                <c:pt idx="10">
                  <c:v>15406149.681081541</c:v>
                </c:pt>
                <c:pt idx="11">
                  <c:v>16761168.281999998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706-48FA-A7EE-DA2FA74974A6}"/>
            </c:ext>
          </c:extLst>
        </c:ser>
        <c:ser>
          <c:idx val="1"/>
          <c:order val="1"/>
          <c:tx>
            <c:strRef>
              <c:f>'Gráficos - Arrecadação'!$R$36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06-48FA-A7EE-DA2FA74974A6}"/>
                </c:ext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06-48FA-A7EE-DA2FA74974A6}"/>
                </c:ext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06-48FA-A7EE-DA2FA74974A6}"/>
                </c:ext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Arrecadação'!$R$37:$R$48</c:f>
              <c:numCache>
                <c:formatCode>_-[$R$-416]\ * #,##0_-;\-[$R$-416]\ * #,##0_-;_-[$R$-416]\ * "-"??_-;_-@_-</c:formatCode>
                <c:ptCount val="12"/>
                <c:pt idx="0">
                  <c:v>1624877.0600000003</c:v>
                </c:pt>
                <c:pt idx="1">
                  <c:v>3524453.2200000007</c:v>
                </c:pt>
                <c:pt idx="2">
                  <c:v>5532964.6900000013</c:v>
                </c:pt>
                <c:pt idx="3">
                  <c:v>6889303.290000001</c:v>
                </c:pt>
                <c:pt idx="4">
                  <c:v>8501206.7300000004</c:v>
                </c:pt>
                <c:pt idx="5">
                  <c:v>9916700.8599999994</c:v>
                </c:pt>
                <c:pt idx="6">
                  <c:v>11128942.629999999</c:v>
                </c:pt>
                <c:pt idx="7">
                  <c:v>12539439.719999999</c:v>
                </c:pt>
                <c:pt idx="8">
                  <c:v>13690888.369999999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06-48FA-A7EE-DA2FA7497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747248"/>
        <c:axId val="392747808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'Gráficos - Arrecadação'!$U$36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'Gráficos - Arrecadação'!$P$37:$P$48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'Gráficos - Arrecadação'!$U$37:$U$48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1624877.0600000003</c:v>
                      </c:pt>
                      <c:pt idx="1">
                        <c:v>#N/A</c:v>
                      </c:pt>
                      <c:pt idx="2">
                        <c:v>0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B706-48FA-A7EE-DA2FA74974A6}"/>
                  </c:ext>
                </c:extLst>
              </c15:ser>
            </c15:filteredLineSeries>
          </c:ext>
        </c:extLst>
      </c:lineChart>
      <c:catAx>
        <c:axId val="39274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2747808"/>
        <c:crosses val="autoZero"/>
        <c:auto val="1"/>
        <c:lblAlgn val="ctr"/>
        <c:lblOffset val="100"/>
        <c:noMultiLvlLbl val="0"/>
      </c:catAx>
      <c:valAx>
        <c:axId val="39274780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27472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27-4618-8583-34072110AEEF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Arrecadação'!$Q$53:$Q$64</c:f>
              <c:numCache>
                <c:formatCode>_-[$R$-416]\ * #,##0_-;\-[$R$-416]\ * #,##0_-;_-[$R$-416]\ * "-"??_-;_-@_-</c:formatCode>
                <c:ptCount val="12"/>
                <c:pt idx="0">
                  <c:v>1018975.0580793833</c:v>
                </c:pt>
                <c:pt idx="1">
                  <c:v>2255924.4775186926</c:v>
                </c:pt>
                <c:pt idx="2">
                  <c:v>2806868.906928645</c:v>
                </c:pt>
                <c:pt idx="3">
                  <c:v>3265959.2322449223</c:v>
                </c:pt>
                <c:pt idx="4">
                  <c:v>3752968.2797377976</c:v>
                </c:pt>
                <c:pt idx="5">
                  <c:v>4284558.8450984173</c:v>
                </c:pt>
                <c:pt idx="6">
                  <c:v>4601881.6073588617</c:v>
                </c:pt>
                <c:pt idx="7">
                  <c:v>4938864.2646385338</c:v>
                </c:pt>
                <c:pt idx="8">
                  <c:v>5121621.3536376767</c:v>
                </c:pt>
                <c:pt idx="9">
                  <c:v>5274157.0545247076</c:v>
                </c:pt>
                <c:pt idx="10">
                  <c:v>5429871.5489863567</c:v>
                </c:pt>
                <c:pt idx="11">
                  <c:v>5588402.3580000009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D27-4618-8583-34072110AEEF}"/>
            </c:ext>
          </c:extLst>
        </c:ser>
        <c:ser>
          <c:idx val="1"/>
          <c:order val="1"/>
          <c:tx>
            <c:strRef>
              <c:f>'Gráficos - Arrecadação'!$S$52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27-4618-8583-34072110AEEF}"/>
                </c:ext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7-4618-8583-34072110AEEF}"/>
                </c:ext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27-4618-8583-34072110AEEF}"/>
                </c:ext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27-4618-8583-34072110AEEF}"/>
                </c:ext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27-4618-8583-34072110AEEF}"/>
                </c:ext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27-4618-8583-34072110AEEF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27-4618-8583-34072110AEEF}"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27-4618-8583-34072110AEEF}"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27-4618-8583-34072110AEEF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27-4618-8583-34072110AEEF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27-4618-8583-34072110AEEF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27-4618-8583-34072110AEEF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Arrecadação'!$S$53:$S$64</c:f>
              <c:numCache>
                <c:formatCode>_-[$R$-416]\ * #,##0_-;\-[$R$-416]\ * #,##0_-;_-[$R$-416]\ * "-"??_-;_-@_-</c:formatCode>
                <c:ptCount val="12"/>
                <c:pt idx="0">
                  <c:v>1926442.4732265207</c:v>
                </c:pt>
                <c:pt idx="1">
                  <c:v>4264980.4776132097</c:v>
                </c:pt>
                <c:pt idx="2">
                  <c:v>5306578.8374429336</c:v>
                </c:pt>
                <c:pt idx="3">
                  <c:v>6174520.6920783566</c:v>
                </c:pt>
                <c:pt idx="4">
                  <c:v>7095244.8123568492</c:v>
                </c:pt>
                <c:pt idx="5">
                  <c:v>8100253.3602671716</c:v>
                </c:pt>
                <c:pt idx="6">
                  <c:v>8700173.8804929536</c:v>
                </c:pt>
                <c:pt idx="7">
                  <c:v>9337262.7852477971</c:v>
                </c:pt>
                <c:pt idx="8">
                  <c:v>9682777.6393550113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D27-4618-8583-34072110AEEF}"/>
            </c:ext>
          </c:extLst>
        </c:ser>
        <c:ser>
          <c:idx val="2"/>
          <c:order val="2"/>
          <c:tx>
            <c:strRef>
              <c:f>'Gráficos - Arrecadação'!$R$52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27-4618-8583-34072110AEEF}"/>
                </c:ext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27-4618-8583-34072110AEEF}"/>
                </c:ext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27-4618-8583-34072110AEEF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Arrecadação'!$R$53:$R$64</c:f>
              <c:numCache>
                <c:formatCode>_-[$R$-416]\ * #,##0_-;\-[$R$-416]\ * #,##0_-;_-[$R$-416]\ * "-"??_-;_-@_-</c:formatCode>
                <c:ptCount val="12"/>
                <c:pt idx="0">
                  <c:v>414294.46000000008</c:v>
                </c:pt>
                <c:pt idx="1">
                  <c:v>802549.10000000009</c:v>
                </c:pt>
                <c:pt idx="2">
                  <c:v>1029153.2200000001</c:v>
                </c:pt>
                <c:pt idx="3">
                  <c:v>1168470.53</c:v>
                </c:pt>
                <c:pt idx="4">
                  <c:v>1303580.67</c:v>
                </c:pt>
                <c:pt idx="5">
                  <c:v>1445440.21</c:v>
                </c:pt>
                <c:pt idx="6">
                  <c:v>1752726.26</c:v>
                </c:pt>
                <c:pt idx="7">
                  <c:v>2883068.31</c:v>
                </c:pt>
                <c:pt idx="8">
                  <c:v>3427609.25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27-4618-8583-34072110A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751728"/>
        <c:axId val="392752288"/>
      </c:lineChart>
      <c:catAx>
        <c:axId val="39275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2752288"/>
        <c:crosses val="autoZero"/>
        <c:auto val="1"/>
        <c:lblAlgn val="ctr"/>
        <c:lblOffset val="100"/>
        <c:noMultiLvlLbl val="0"/>
      </c:catAx>
      <c:valAx>
        <c:axId val="39275228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27517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14-473E-98D5-136B734A35B7}"/>
                </c:ext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14-473E-98D5-136B734A35B7}"/>
                </c:ext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14-473E-98D5-136B734A35B7}"/>
                </c:ext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14-473E-98D5-136B734A35B7}"/>
                </c:ext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14-473E-98D5-136B734A35B7}"/>
                </c:ext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14-473E-98D5-136B734A35B7}"/>
                </c:ext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14-473E-98D5-136B734A35B7}"/>
                </c:ext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14-473E-98D5-136B734A35B7}"/>
                </c:ext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14-473E-98D5-136B734A35B7}"/>
                </c:ext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14-473E-98D5-136B734A35B7}"/>
                </c:ext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14-473E-98D5-136B734A35B7}"/>
                </c:ext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14-473E-98D5-136B734A35B7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Arrecadação'!$Q$69:$Q$80</c:f>
              <c:numCache>
                <c:formatCode>_-[$R$-416]\ * #,##0_-;\-[$R$-416]\ * #,##0_-;_-[$R$-416]\ * "-"??_-;_-@_-</c:formatCode>
                <c:ptCount val="12"/>
                <c:pt idx="0">
                  <c:v>355455.89127551753</c:v>
                </c:pt>
                <c:pt idx="1">
                  <c:v>657632.93539569969</c:v>
                </c:pt>
                <c:pt idx="2">
                  <c:v>892200.03768604691</c:v>
                </c:pt>
                <c:pt idx="3">
                  <c:v>1096140.990105195</c:v>
                </c:pt>
                <c:pt idx="4">
                  <c:v>1275804.9312838914</c:v>
                </c:pt>
                <c:pt idx="5">
                  <c:v>1458629.7889792309</c:v>
                </c:pt>
                <c:pt idx="6">
                  <c:v>1696796.0090236673</c:v>
                </c:pt>
                <c:pt idx="7">
                  <c:v>1937976.3969157287</c:v>
                </c:pt>
                <c:pt idx="8">
                  <c:v>2132604.8022738365</c:v>
                </c:pt>
                <c:pt idx="9">
                  <c:v>2380233.0535183935</c:v>
                </c:pt>
                <c:pt idx="10">
                  <c:v>2568201.8132475866</c:v>
                </c:pt>
                <c:pt idx="11">
                  <c:v>2800012.5260000005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EA14-473E-98D5-136B734A35B7}"/>
            </c:ext>
          </c:extLst>
        </c:ser>
        <c:ser>
          <c:idx val="1"/>
          <c:order val="1"/>
          <c:tx>
            <c:strRef>
              <c:f>'Gráficos - Arrecadação'!$R$68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14-473E-98D5-136B734A35B7}"/>
                </c:ext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14-473E-98D5-136B734A35B7}"/>
                </c:ext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14-473E-98D5-136B734A35B7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Arrecadação'!$R$69:$R$80</c:f>
              <c:numCache>
                <c:formatCode>_-[$R$-416]\ * #,##0_-;\-[$R$-416]\ * #,##0_-;_-[$R$-416]\ * "-"??_-;_-@_-</c:formatCode>
                <c:ptCount val="12"/>
                <c:pt idx="0">
                  <c:v>273703.60000000003</c:v>
                </c:pt>
                <c:pt idx="1">
                  <c:v>639245.17999999993</c:v>
                </c:pt>
                <c:pt idx="2">
                  <c:v>1013167.1299999999</c:v>
                </c:pt>
                <c:pt idx="3">
                  <c:v>1260635.3899999999</c:v>
                </c:pt>
                <c:pt idx="4">
                  <c:v>1569367.39</c:v>
                </c:pt>
                <c:pt idx="5">
                  <c:v>1825059.48</c:v>
                </c:pt>
                <c:pt idx="6">
                  <c:v>2041703.08</c:v>
                </c:pt>
                <c:pt idx="7">
                  <c:v>2446736.0700000003</c:v>
                </c:pt>
                <c:pt idx="8">
                  <c:v>2824767.0400000005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A14-473E-98D5-136B734A3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755648"/>
        <c:axId val="392756208"/>
      </c:lineChart>
      <c:catAx>
        <c:axId val="39275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2756208"/>
        <c:crosses val="autoZero"/>
        <c:auto val="1"/>
        <c:lblAlgn val="ctr"/>
        <c:lblOffset val="100"/>
        <c:noMultiLvlLbl val="0"/>
      </c:catAx>
      <c:valAx>
        <c:axId val="39275620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27556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51-429B-A8BE-2F88F3CE0F0E}"/>
                </c:ext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51-429B-A8BE-2F88F3CE0F0E}"/>
                </c:ext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51-429B-A8BE-2F88F3CE0F0E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Arrecadação'!$Q$85:$Q$96</c:f>
              <c:numCache>
                <c:formatCode>_-[$R$-416]\ * #,##0_-;\-[$R$-416]\ * #,##0_-;_-[$R$-416]\ * "-"??_-;_-@_-</c:formatCode>
                <c:ptCount val="12"/>
                <c:pt idx="0">
                  <c:v>7250924.0097673479</c:v>
                </c:pt>
                <c:pt idx="1">
                  <c:v>15285894.523920869</c:v>
                </c:pt>
                <c:pt idx="2">
                  <c:v>24063494.476585761</c:v>
                </c:pt>
                <c:pt idx="3">
                  <c:v>32075232.868020844</c:v>
                </c:pt>
                <c:pt idx="4">
                  <c:v>40844019.560462549</c:v>
                </c:pt>
                <c:pt idx="5">
                  <c:v>49392579.832004428</c:v>
                </c:pt>
                <c:pt idx="6">
                  <c:v>59280977.355267935</c:v>
                </c:pt>
                <c:pt idx="7">
                  <c:v>69755899.774108976</c:v>
                </c:pt>
                <c:pt idx="8">
                  <c:v>79455650.864838809</c:v>
                </c:pt>
                <c:pt idx="9">
                  <c:v>90176926.459439576</c:v>
                </c:pt>
                <c:pt idx="10">
                  <c:v>99418188.601490989</c:v>
                </c:pt>
                <c:pt idx="11">
                  <c:v>108190303.97200002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E51-429B-A8BE-2F88F3CE0F0E}"/>
            </c:ext>
          </c:extLst>
        </c:ser>
        <c:ser>
          <c:idx val="1"/>
          <c:order val="1"/>
          <c:tx>
            <c:strRef>
              <c:f>'Gráficos - Arrecadação'!$T$84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51-429B-A8BE-2F88F3CE0F0E}"/>
                </c:ext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51-429B-A8BE-2F88F3CE0F0E}"/>
                </c:ext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51-429B-A8BE-2F88F3CE0F0E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Arrecadação'!$T$85:$T$96</c:f>
              <c:numCache>
                <c:formatCode>_-"R$"\ * #,##0_-;\-"R$"\ * #,##0_-;_-"R$"\ * "-"??_-;_-@_-</c:formatCode>
                <c:ptCount val="12"/>
                <c:pt idx="0">
                  <c:v>6710688.8399999999</c:v>
                </c:pt>
                <c:pt idx="1">
                  <c:v>25179154.68</c:v>
                </c:pt>
                <c:pt idx="2">
                  <c:v>0</c:v>
                </c:pt>
                <c:pt idx="3">
                  <c:v>33908790.850000001</c:v>
                </c:pt>
                <c:pt idx="4">
                  <c:v>44197712.32</c:v>
                </c:pt>
                <c:pt idx="5">
                  <c:v>53763671.239999995</c:v>
                </c:pt>
                <c:pt idx="6">
                  <c:v>63251623.86999999</c:v>
                </c:pt>
                <c:pt idx="7">
                  <c:v>73709634.499999985</c:v>
                </c:pt>
                <c:pt idx="8">
                  <c:v>83163925.459999979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51-429B-A8BE-2F88F3CE0F0E}"/>
            </c:ext>
          </c:extLst>
        </c:ser>
        <c:ser>
          <c:idx val="2"/>
          <c:order val="2"/>
          <c:tx>
            <c:strRef>
              <c:f>'Gráficos - Arrecadação'!$U$84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Arrecadação'!$U$85:$U$96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51-429B-A8BE-2F88F3CE0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132832"/>
        <c:axId val="384133392"/>
      </c:lineChart>
      <c:catAx>
        <c:axId val="38413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4133392"/>
        <c:crosses val="autoZero"/>
        <c:auto val="1"/>
        <c:lblAlgn val="ctr"/>
        <c:lblOffset val="100"/>
        <c:noMultiLvlLbl val="0"/>
      </c:catAx>
      <c:valAx>
        <c:axId val="3841333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41328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42460111445679"/>
          <c:y val="4.1377010317003582E-2"/>
          <c:w val="0.85847167903029165"/>
          <c:h val="0.87136162944266027"/>
        </c:manualLayout>
      </c:layout>
      <c:lineChart>
        <c:grouping val="standard"/>
        <c:varyColors val="0"/>
        <c:ser>
          <c:idx val="2"/>
          <c:order val="0"/>
          <c:tx>
            <c:strRef>
              <c:f>'Gráficos - Arrecadação'!$S$4</c:f>
              <c:strCache>
                <c:ptCount val="1"/>
                <c:pt idx="0">
                  <c:v>Potencial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6.1345365285415461E-2"/>
                  <c:y val="-4.8243030807639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145-412A-B3DA-AFC8B19F36E6}"/>
                </c:ext>
              </c:extLst>
            </c:dLbl>
            <c:dLbl>
              <c:idx val="1"/>
              <c:layout>
                <c:manualLayout>
                  <c:x val="-5.6129462393896802E-2"/>
                  <c:y val="-4.4928747320829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145-412A-B3DA-AFC8B19F36E6}"/>
                </c:ext>
              </c:extLst>
            </c:dLbl>
            <c:dLbl>
              <c:idx val="2"/>
              <c:layout>
                <c:manualLayout>
                  <c:x val="-5.3539039776910324E-2"/>
                  <c:y val="-4.4895248176885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145-412A-B3DA-AFC8B19F36E6}"/>
                </c:ext>
              </c:extLst>
            </c:dLbl>
            <c:dLbl>
              <c:idx val="3"/>
              <c:layout>
                <c:manualLayout>
                  <c:x val="-6.689154821381238E-2"/>
                  <c:y val="-3.3108726648812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145-412A-B3DA-AFC8B19F36E6}"/>
                </c:ext>
              </c:extLst>
            </c:dLbl>
            <c:dLbl>
              <c:idx val="4"/>
              <c:layout>
                <c:manualLayout>
                  <c:x val="-6.3994371093300723E-2"/>
                  <c:y val="-4.09935115203556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E145-412A-B3DA-AFC8B19F36E6}"/>
                </c:ext>
              </c:extLst>
            </c:dLbl>
            <c:dLbl>
              <c:idx val="5"/>
              <c:layout>
                <c:manualLayout>
                  <c:x val="-5.4858468546208149E-2"/>
                  <c:y val="-4.1203947051862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145-412A-B3DA-AFC8B19F36E6}"/>
                </c:ext>
              </c:extLst>
            </c:dLbl>
            <c:dLbl>
              <c:idx val="6"/>
              <c:layout>
                <c:manualLayout>
                  <c:x val="-5.387116495365931E-2"/>
                  <c:y val="-3.7124969470098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E145-412A-B3DA-AFC8B19F36E6}"/>
                </c:ext>
              </c:extLst>
            </c:dLbl>
            <c:dLbl>
              <c:idx val="7"/>
              <c:layout>
                <c:manualLayout>
                  <c:x val="-5.4544333483199765E-2"/>
                  <c:y val="-3.6918188390658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E145-412A-B3DA-AFC8B19F36E6}"/>
                </c:ext>
              </c:extLst>
            </c:dLbl>
            <c:dLbl>
              <c:idx val="8"/>
              <c:layout>
                <c:manualLayout>
                  <c:x val="-5.1278589673490339E-2"/>
                  <c:y val="-3.325734103285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E145-412A-B3DA-AFC8B19F36E6}"/>
                </c:ext>
              </c:extLst>
            </c:dLbl>
            <c:dLbl>
              <c:idx val="9"/>
              <c:layout>
                <c:manualLayout>
                  <c:x val="-5.6817032869593179E-2"/>
                  <c:y val="-4.5170424990270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45-412A-B3DA-AFC8B19F36E6}"/>
                </c:ext>
              </c:extLst>
            </c:dLbl>
            <c:dLbl>
              <c:idx val="10"/>
              <c:layout>
                <c:manualLayout>
                  <c:x val="-5.6817032869593012E-2"/>
                  <c:y val="-3.7642020825225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45-412A-B3DA-AFC8B19F36E6}"/>
                </c:ext>
              </c:extLst>
            </c:dLbl>
            <c:dLbl>
              <c:idx val="11"/>
              <c:layout>
                <c:manualLayout>
                  <c:x val="-2.0454131833053484E-2"/>
                  <c:y val="-3.764202082522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45-412A-B3DA-AFC8B19F36E6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Arrecadação'!$S$5:$S$16</c:f>
              <c:numCache>
                <c:formatCode>_-[$R$-416]\ * #,##0_-;\-[$R$-416]\ * #,##0_-;_-[$R$-416]\ * "-"??_-;_-@_-</c:formatCode>
                <c:ptCount val="12"/>
                <c:pt idx="0">
                  <c:v>33393067.428586558</c:v>
                </c:pt>
                <c:pt idx="1">
                  <c:v>66419112.806236759</c:v>
                </c:pt>
                <c:pt idx="2">
                  <c:v>88210827.224150628</c:v>
                </c:pt>
                <c:pt idx="3">
                  <c:v>106971107.41893491</c:v>
                </c:pt>
                <c:pt idx="4">
                  <c:v>126869345.92172693</c:v>
                </c:pt>
                <c:pt idx="5">
                  <c:v>146336524.56977105</c:v>
                </c:pt>
                <c:pt idx="6">
                  <c:v>164508052.39332825</c:v>
                </c:pt>
                <c:pt idx="7">
                  <c:v>183214253.89967453</c:v>
                </c:pt>
                <c:pt idx="8">
                  <c:v>198285291.58599114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E145-412A-B3DA-AFC8B19F36E6}"/>
            </c:ext>
          </c:extLst>
        </c:ser>
        <c:ser>
          <c:idx val="0"/>
          <c:order val="1"/>
          <c:tx>
            <c:strRef>
              <c:f>'Gráficos - Arrecadação'!$Q$4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8.9822792766805687E-2"/>
                  <c:y val="-3.0530815253439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145-412A-B3DA-AFC8B19F36E6}"/>
                </c:ext>
              </c:extLst>
            </c:dLbl>
            <c:dLbl>
              <c:idx val="1"/>
              <c:layout>
                <c:manualLayout>
                  <c:x val="-1.3989542977305395E-2"/>
                  <c:y val="2.3235919852993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145-412A-B3DA-AFC8B19F36E6}"/>
                </c:ext>
              </c:extLst>
            </c:dLbl>
            <c:dLbl>
              <c:idx val="2"/>
              <c:layout>
                <c:manualLayout>
                  <c:x val="-1.498530346092882E-2"/>
                  <c:y val="1.9681051605126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6FA-4494-8D25-F17BF1395968}"/>
                </c:ext>
              </c:extLst>
            </c:dLbl>
            <c:dLbl>
              <c:idx val="3"/>
              <c:layout>
                <c:manualLayout>
                  <c:x val="-1.1070070416687937E-2"/>
                  <c:y val="2.3777387834207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6FA-4494-8D25-F17BF1395968}"/>
                </c:ext>
              </c:extLst>
            </c:dLbl>
            <c:dLbl>
              <c:idx val="4"/>
              <c:layout>
                <c:manualLayout>
                  <c:x val="-2.943613593209023E-3"/>
                  <c:y val="3.5448794122179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6FA-4494-8D25-F17BF1395968}"/>
                </c:ext>
              </c:extLst>
            </c:dLbl>
            <c:dLbl>
              <c:idx val="5"/>
              <c:layout>
                <c:manualLayout>
                  <c:x val="4.259198523388679E-5"/>
                  <c:y val="3.1400270307637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6FA-4494-8D25-F17BF1395968}"/>
                </c:ext>
              </c:extLst>
            </c:dLbl>
            <c:dLbl>
              <c:idx val="6"/>
              <c:layout>
                <c:manualLayout>
                  <c:x val="-1.5641250685008247E-2"/>
                  <c:y val="2.7773531169126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6FA-4494-8D25-F17BF1395968}"/>
                </c:ext>
              </c:extLst>
            </c:dLbl>
            <c:dLbl>
              <c:idx val="7"/>
              <c:layout>
                <c:manualLayout>
                  <c:x val="-6.2015151058525996E-3"/>
                  <c:y val="1.9955440047800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6FA-4494-8D25-F17BF1395968}"/>
                </c:ext>
              </c:extLst>
            </c:dLbl>
            <c:dLbl>
              <c:idx val="8"/>
              <c:layout>
                <c:manualLayout>
                  <c:x val="-1.2389652947641695E-2"/>
                  <c:y val="2.3754242971118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6FA-4494-8D25-F17BF1395968}"/>
                </c:ext>
              </c:extLst>
            </c:dLbl>
            <c:dLbl>
              <c:idx val="9"/>
              <c:layout>
                <c:manualLayout>
                  <c:x val="-1.4657791133856903E-2"/>
                  <c:y val="2.3869053673546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6FA-4494-8D25-F17BF1395968}"/>
                </c:ext>
              </c:extLst>
            </c:dLbl>
            <c:dLbl>
              <c:idx val="10"/>
              <c:layout>
                <c:manualLayout>
                  <c:x val="-1.2709938476886241E-2"/>
                  <c:y val="2.0024570099395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6FA-4494-8D25-F17BF1395968}"/>
                </c:ext>
              </c:extLst>
            </c:dLbl>
            <c:dLbl>
              <c:idx val="11"/>
              <c:layout>
                <c:manualLayout>
                  <c:x val="-1.2536187805716613E-3"/>
                  <c:y val="-4.1783177704431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6FA-4494-8D25-F17BF1395968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Arrecadação'!$Q$5:$Q$16</c:f>
              <c:numCache>
                <c:formatCode>_-[$R$-416]\ * #,##0_-;\-[$R$-416]\ * #,##0_-;_-[$R$-416]\ * "-"??_-;_-@_-</c:formatCode>
                <c:ptCount val="12"/>
                <c:pt idx="0">
                  <c:v>26495233.292128325</c:v>
                </c:pt>
                <c:pt idx="1">
                  <c:v>52688382.172870323</c:v>
                </c:pt>
                <c:pt idx="2">
                  <c:v>71146391.991785929</c:v>
                </c:pt>
                <c:pt idx="3">
                  <c:v>87193068.099814907</c:v>
                </c:pt>
                <c:pt idx="4">
                  <c:v>104200291.03470112</c:v>
                </c:pt>
                <c:pt idx="5">
                  <c:v>120810517.31602216</c:v>
                </c:pt>
                <c:pt idx="6">
                  <c:v>137098482.61578691</c:v>
                </c:pt>
                <c:pt idx="7">
                  <c:v>153925536.5878334</c:v>
                </c:pt>
                <c:pt idx="8">
                  <c:v>167913126.17899984</c:v>
                </c:pt>
                <c:pt idx="9">
                  <c:v>183022070.82118729</c:v>
                </c:pt>
                <c:pt idx="10">
                  <c:v>196051596.00296664</c:v>
                </c:pt>
                <c:pt idx="11">
                  <c:v>209250933.3972857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145-412A-B3DA-AFC8B19F36E6}"/>
            </c:ext>
          </c:extLst>
        </c:ser>
        <c:ser>
          <c:idx val="1"/>
          <c:order val="2"/>
          <c:tx>
            <c:strRef>
              <c:f>'Gráficos - Arrecadação'!$R$4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6.8526802475890108E-3"/>
                  <c:y val="1.4673342241678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145-412A-B3DA-AFC8B19F36E6}"/>
                </c:ext>
              </c:extLst>
            </c:dLbl>
            <c:dLbl>
              <c:idx val="1"/>
              <c:layout>
                <c:manualLayout>
                  <c:x val="-0.10511684963278642"/>
                  <c:y val="-4.4107713756514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145-412A-B3DA-AFC8B19F36E6}"/>
                </c:ext>
              </c:extLst>
            </c:dLbl>
            <c:dLbl>
              <c:idx val="2"/>
              <c:layout>
                <c:manualLayout>
                  <c:x val="-0.12332561244805167"/>
                  <c:y val="-8.2990017864179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7224134675529082E-2"/>
                      <c:h val="4.93704292702120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145-412A-B3DA-AFC8B19F36E6}"/>
                </c:ext>
              </c:extLst>
            </c:dLbl>
            <c:dLbl>
              <c:idx val="3"/>
              <c:layout>
                <c:manualLayout>
                  <c:x val="-7.1571295216120503E-2"/>
                  <c:y val="-1.5813423167886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6FA-4494-8D25-F17BF1395968}"/>
                </c:ext>
              </c:extLst>
            </c:dLbl>
            <c:dLbl>
              <c:idx val="4"/>
              <c:layout>
                <c:manualLayout>
                  <c:x val="-4.9772963192067865E-2"/>
                  <c:y val="-3.9071878808624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6FA-4494-8D25-F17BF1395968}"/>
                </c:ext>
              </c:extLst>
            </c:dLbl>
            <c:dLbl>
              <c:idx val="5"/>
              <c:layout>
                <c:manualLayout>
                  <c:x val="-9.3811538307185388E-3"/>
                  <c:y val="-3.4808655935165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36E-46DB-B0F0-6823C8D72766}"/>
                </c:ext>
              </c:extLst>
            </c:dLbl>
            <c:dLbl>
              <c:idx val="6"/>
              <c:layout>
                <c:manualLayout>
                  <c:x val="-6.4441509988664686E-2"/>
                  <c:y val="-3.8676284372405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D37-42C3-BB5F-AC50F75D9E6A}"/>
                </c:ext>
              </c:extLst>
            </c:dLbl>
            <c:dLbl>
              <c:idx val="7"/>
              <c:layout>
                <c:manualLayout>
                  <c:x val="-5.6630417868826617E-2"/>
                  <c:y val="-3.8676284372405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D37-42C3-BB5F-AC50F75D9E6A}"/>
                </c:ext>
              </c:extLst>
            </c:dLbl>
            <c:dLbl>
              <c:idx val="8"/>
              <c:layout>
                <c:manualLayout>
                  <c:x val="-1.3669411209716752E-2"/>
                  <c:y val="-3.4808655935165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D37-42C3-BB5F-AC50F75D9E6A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B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Arrecadação'!$R$5:$R$16</c:f>
              <c:numCache>
                <c:formatCode>_-[$R$-416]\ * #,##0_-;\-[$R$-416]\ * #,##0_-;_-[$R$-416]\ * "-"??_-;_-@_-</c:formatCode>
                <c:ptCount val="12"/>
                <c:pt idx="0">
                  <c:v>20850868.670000006</c:v>
                </c:pt>
                <c:pt idx="1">
                  <c:v>45494069.100000001</c:v>
                </c:pt>
                <c:pt idx="2">
                  <c:v>70516849.5</c:v>
                </c:pt>
                <c:pt idx="3">
                  <c:v>86940351.560000002</c:v>
                </c:pt>
                <c:pt idx="4">
                  <c:v>106384818.08000001</c:v>
                </c:pt>
                <c:pt idx="5">
                  <c:v>125380052.99000001</c:v>
                </c:pt>
                <c:pt idx="6">
                  <c:v>142869466.36000001</c:v>
                </c:pt>
                <c:pt idx="7">
                  <c:v>159979151.97999996</c:v>
                </c:pt>
                <c:pt idx="8">
                  <c:v>174452905.24999997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E145-412A-B3DA-AFC8B19F3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504240"/>
        <c:axId val="329504800"/>
      </c:lineChart>
      <c:catAx>
        <c:axId val="32950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9504800"/>
        <c:crosses val="autoZero"/>
        <c:auto val="1"/>
        <c:lblAlgn val="ctr"/>
        <c:lblOffset val="100"/>
        <c:noMultiLvlLbl val="0"/>
      </c:catAx>
      <c:valAx>
        <c:axId val="32950480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295042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7.9830178013128913E-3"/>
                <c:y val="1.1929729574432855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447523633842111"/>
          <c:y val="0.83736287756521932"/>
          <c:w val="0.42059020127028834"/>
          <c:h val="6.253704160596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B7-416A-9971-273800139CA8}"/>
                </c:ext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B7-416A-9971-273800139CA8}"/>
                </c:ext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B7-416A-9971-273800139CA8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Arrecadação'!$Q$101:$Q$112</c:f>
              <c:numCache>
                <c:formatCode>_-[$R$-416]\ * #,##0_-;\-[$R$-416]\ * #,##0_-;_-[$R$-416]\ * "-"??_-;_-@_-</c:formatCode>
                <c:ptCount val="12"/>
                <c:pt idx="0">
                  <c:v>806024.23388548277</c:v>
                </c:pt>
                <c:pt idx="1">
                  <c:v>1483497.2974134013</c:v>
                </c:pt>
                <c:pt idx="2">
                  <c:v>2048065.7038497992</c:v>
                </c:pt>
                <c:pt idx="3">
                  <c:v>2572846.1715698736</c:v>
                </c:pt>
                <c:pt idx="4">
                  <c:v>3046171.7431810712</c:v>
                </c:pt>
                <c:pt idx="5">
                  <c:v>3543632.0396976946</c:v>
                </c:pt>
                <c:pt idx="6">
                  <c:v>4222869.7794624902</c:v>
                </c:pt>
                <c:pt idx="7">
                  <c:v>4918690.5538075566</c:v>
                </c:pt>
                <c:pt idx="8">
                  <c:v>5592401.3100491157</c:v>
                </c:pt>
                <c:pt idx="9">
                  <c:v>6384917.6231790138</c:v>
                </c:pt>
                <c:pt idx="10">
                  <c:v>7119100.0584494928</c:v>
                </c:pt>
                <c:pt idx="11">
                  <c:v>7965457.1692857081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5B7-416A-9971-273800139CA8}"/>
            </c:ext>
          </c:extLst>
        </c:ser>
        <c:ser>
          <c:idx val="1"/>
          <c:order val="1"/>
          <c:tx>
            <c:strRef>
              <c:f>'Gráficos - Arrecadação'!$R$100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B7-416A-9971-273800139CA8}"/>
                </c:ext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B7-416A-9971-273800139CA8}"/>
                </c:ext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B7-416A-9971-273800139CA8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Arrecadação'!$R$101:$R$112</c:f>
              <c:numCache>
                <c:formatCode>_-[$R$-416]\ * #,##0_-;\-[$R$-416]\ * #,##0_-;_-[$R$-416]\ * "-"??_-;_-@_-</c:formatCode>
                <c:ptCount val="12"/>
                <c:pt idx="0">
                  <c:v>653615.37</c:v>
                </c:pt>
                <c:pt idx="1">
                  <c:v>1506919.51</c:v>
                </c:pt>
                <c:pt idx="2">
                  <c:v>2454853.16</c:v>
                </c:pt>
                <c:pt idx="3">
                  <c:v>3136036.34</c:v>
                </c:pt>
                <c:pt idx="4">
                  <c:v>3999978.4699999997</c:v>
                </c:pt>
                <c:pt idx="5">
                  <c:v>4757261.93</c:v>
                </c:pt>
                <c:pt idx="6">
                  <c:v>5689663.9900000002</c:v>
                </c:pt>
                <c:pt idx="7">
                  <c:v>6941469.9500000002</c:v>
                </c:pt>
                <c:pt idx="8">
                  <c:v>8087112.54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B7-416A-9971-273800139CA8}"/>
            </c:ext>
          </c:extLst>
        </c:ser>
        <c:ser>
          <c:idx val="2"/>
          <c:order val="2"/>
          <c:tx>
            <c:strRef>
              <c:f>'Gráficos - Arrecadação'!$S$100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B7-416A-9971-273800139CA8}"/>
                </c:ext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B7-416A-9971-273800139CA8}"/>
                </c:ext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B7-416A-9971-273800139CA8}"/>
                </c:ext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B7-416A-9971-273800139CA8}"/>
                </c:ext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B7-416A-9971-273800139CA8}"/>
                </c:ext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B7-416A-9971-273800139CA8}"/>
                </c:ext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B7-416A-9971-273800139CA8}"/>
                </c:ext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B7-416A-9971-273800139CA8}"/>
                </c:ext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B7-416A-9971-273800139CA8}"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B7-416A-9971-273800139CA8}"/>
                </c:ext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B7-416A-9971-273800139CA8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B7-416A-9971-273800139CA8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Arrecadação'!$S$101:$S$112</c:f>
              <c:numCache>
                <c:formatCode>_-[$R$-416]\ * #,##0_-;\-[$R$-416]\ * #,##0_-;_-[$R$-416]\ * "-"??_-;_-@_-</c:formatCode>
                <c:ptCount val="12"/>
                <c:pt idx="0">
                  <c:v>933297.32066012197</c:v>
                </c:pt>
                <c:pt idx="1">
                  <c:v>1717744.9444766585</c:v>
                </c:pt>
                <c:pt idx="2">
                  <c:v>2371460.0052713524</c:v>
                </c:pt>
                <c:pt idx="3">
                  <c:v>2979104.5199988051</c:v>
                </c:pt>
                <c:pt idx="4">
                  <c:v>3527169.2917677076</c:v>
                </c:pt>
                <c:pt idx="5">
                  <c:v>4103179.7172057563</c:v>
                </c:pt>
                <c:pt idx="6">
                  <c:v>4889670.663709715</c:v>
                </c:pt>
                <c:pt idx="7">
                  <c:v>5695363.1442265818</c:v>
                </c:pt>
                <c:pt idx="8">
                  <c:v>6475454.3837531153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B7-416A-9971-273800139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137312"/>
        <c:axId val="384137872"/>
      </c:lineChart>
      <c:catAx>
        <c:axId val="38413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4137872"/>
        <c:crosses val="autoZero"/>
        <c:auto val="1"/>
        <c:lblAlgn val="ctr"/>
        <c:lblOffset val="100"/>
        <c:noMultiLvlLbl val="0"/>
      </c:catAx>
      <c:valAx>
        <c:axId val="384137872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41373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Arrecadação'!$Q$36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9525">
                <a:solidFill>
                  <a:srgbClr val="1C3942"/>
                </a:solidFill>
              </a:ln>
              <a:effectLst/>
            </c:spPr>
          </c:marker>
          <c:dLbls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Arrecadação'!$Q$37:$Q$48</c:f>
              <c:numCache>
                <c:formatCode>_-[$R$-416]\ * #,##0_-;\-[$R$-416]\ * #,##0_-;_-[$R$-416]\ * "-"??_-;_-@_-</c:formatCode>
                <c:ptCount val="12"/>
                <c:pt idx="0">
                  <c:v>2267417.3715040069</c:v>
                </c:pt>
                <c:pt idx="1">
                  <c:v>4015108.5195592274</c:v>
                </c:pt>
                <c:pt idx="2">
                  <c:v>5395529.5701630656</c:v>
                </c:pt>
                <c:pt idx="3">
                  <c:v>6635371.2627898455</c:v>
                </c:pt>
                <c:pt idx="4">
                  <c:v>7721041.6845208984</c:v>
                </c:pt>
                <c:pt idx="5">
                  <c:v>8753842.54612788</c:v>
                </c:pt>
                <c:pt idx="6">
                  <c:v>10149068.112386934</c:v>
                </c:pt>
                <c:pt idx="7">
                  <c:v>11519535.891210407</c:v>
                </c:pt>
                <c:pt idx="8">
                  <c:v>12701239.474559357</c:v>
                </c:pt>
                <c:pt idx="9">
                  <c:v>14357984.204981059</c:v>
                </c:pt>
                <c:pt idx="10">
                  <c:v>15406149.681081541</c:v>
                </c:pt>
                <c:pt idx="11">
                  <c:v>16761168.281999998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DB6-476C-9169-B054054A30D6}"/>
            </c:ext>
          </c:extLst>
        </c:ser>
        <c:ser>
          <c:idx val="1"/>
          <c:order val="1"/>
          <c:tx>
            <c:strRef>
              <c:f>'Gráficos - Arrecadação'!$R$36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798003423516848E-2"/>
                  <c:y val="-8.0371825923123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B6-476C-9169-B054054A30D6}"/>
                </c:ext>
              </c:extLst>
            </c:dLbl>
            <c:dLbl>
              <c:idx val="1"/>
              <c:layout>
                <c:manualLayout>
                  <c:x val="-3.5798003423516848E-2"/>
                  <c:y val="-6.123567689380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B6-476C-9169-B054054A30D6}"/>
                </c:ext>
              </c:extLst>
            </c:dLbl>
            <c:dLbl>
              <c:idx val="2"/>
              <c:layout>
                <c:manualLayout>
                  <c:x val="-3.5798003423516883E-2"/>
                  <c:y val="-5.740844708794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B6-476C-9169-B054054A30D6}"/>
                </c:ext>
              </c:extLst>
            </c:dLbl>
            <c:numFmt formatCode="&quot;R$&quot;\ 0.0;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Arrecadação'!$R$37:$R$48</c:f>
              <c:numCache>
                <c:formatCode>_-[$R$-416]\ * #,##0_-;\-[$R$-416]\ * #,##0_-;_-[$R$-416]\ * "-"??_-;_-@_-</c:formatCode>
                <c:ptCount val="12"/>
                <c:pt idx="0">
                  <c:v>1624877.0600000003</c:v>
                </c:pt>
                <c:pt idx="1">
                  <c:v>3524453.2200000007</c:v>
                </c:pt>
                <c:pt idx="2">
                  <c:v>5532964.6900000013</c:v>
                </c:pt>
                <c:pt idx="3">
                  <c:v>6889303.290000001</c:v>
                </c:pt>
                <c:pt idx="4">
                  <c:v>8501206.7300000004</c:v>
                </c:pt>
                <c:pt idx="5">
                  <c:v>9916700.8599999994</c:v>
                </c:pt>
                <c:pt idx="6">
                  <c:v>11128942.629999999</c:v>
                </c:pt>
                <c:pt idx="7">
                  <c:v>12539439.719999999</c:v>
                </c:pt>
                <c:pt idx="8">
                  <c:v>13690888.369999999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B6-476C-9169-B054054A3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142352"/>
        <c:axId val="38414291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'Gráficos - Arrecadação'!$U$36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'Gráficos - Arrecadação'!$P$37:$P$48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'Gráficos - Arrecadação'!$U$37:$U$48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1624877.0600000003</c:v>
                      </c:pt>
                      <c:pt idx="1">
                        <c:v>#N/A</c:v>
                      </c:pt>
                      <c:pt idx="2">
                        <c:v>0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EDB6-476C-9169-B054054A30D6}"/>
                  </c:ext>
                </c:extLst>
              </c15:ser>
            </c15:filteredLineSeries>
          </c:ext>
        </c:extLst>
      </c:lineChart>
      <c:catAx>
        <c:axId val="38414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4142912"/>
        <c:crosses val="autoZero"/>
        <c:auto val="1"/>
        <c:lblAlgn val="ctr"/>
        <c:lblOffset val="100"/>
        <c:noMultiLvlLbl val="0"/>
      </c:catAx>
      <c:valAx>
        <c:axId val="3841429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41423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Arrecadação'!$Q$52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059435849645466E-2"/>
                  <c:y val="-3.9072287370487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BE-4E17-A689-0696FF3C3159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Arrecadação'!$Q$53:$Q$64</c:f>
              <c:numCache>
                <c:formatCode>_-[$R$-416]\ * #,##0_-;\-[$R$-416]\ * #,##0_-;_-[$R$-416]\ * "-"??_-;_-@_-</c:formatCode>
                <c:ptCount val="12"/>
                <c:pt idx="0">
                  <c:v>1018975.0580793833</c:v>
                </c:pt>
                <c:pt idx="1">
                  <c:v>2255924.4775186926</c:v>
                </c:pt>
                <c:pt idx="2">
                  <c:v>2806868.906928645</c:v>
                </c:pt>
                <c:pt idx="3">
                  <c:v>3265959.2322449223</c:v>
                </c:pt>
                <c:pt idx="4">
                  <c:v>3752968.2797377976</c:v>
                </c:pt>
                <c:pt idx="5">
                  <c:v>4284558.8450984173</c:v>
                </c:pt>
                <c:pt idx="6">
                  <c:v>4601881.6073588617</c:v>
                </c:pt>
                <c:pt idx="7">
                  <c:v>4938864.2646385338</c:v>
                </c:pt>
                <c:pt idx="8">
                  <c:v>5121621.3536376767</c:v>
                </c:pt>
                <c:pt idx="9">
                  <c:v>5274157.0545247076</c:v>
                </c:pt>
                <c:pt idx="10">
                  <c:v>5429871.5489863567</c:v>
                </c:pt>
                <c:pt idx="11">
                  <c:v>5588402.3580000009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4BE-4E17-A689-0696FF3C3159}"/>
            </c:ext>
          </c:extLst>
        </c:ser>
        <c:ser>
          <c:idx val="1"/>
          <c:order val="1"/>
          <c:tx>
            <c:strRef>
              <c:f>'Gráficos - Arrecadação'!$S$52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5780213698343707E-2"/>
                  <c:y val="-5.325003406744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E-4E17-A689-0696FF3C3159}"/>
                </c:ext>
              </c:extLst>
            </c:dLbl>
            <c:dLbl>
              <c:idx val="1"/>
              <c:layout>
                <c:manualLayout>
                  <c:x val="-3.776800334825170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BE-4E17-A689-0696FF3C3159}"/>
                </c:ext>
              </c:extLst>
            </c:dLbl>
            <c:dLbl>
              <c:idx val="2"/>
              <c:layout>
                <c:manualLayout>
                  <c:x val="-4.174358264806767E-2"/>
                  <c:y val="-3.8035738619602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BE-4E17-A689-0696FF3C3159}"/>
                </c:ext>
              </c:extLst>
            </c:dLbl>
            <c:dLbl>
              <c:idx val="3"/>
              <c:layout>
                <c:manualLayout>
                  <c:x val="-3.7768003348251672E-2"/>
                  <c:y val="-4.9446460205482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BE-4E17-A689-0696FF3C3159}"/>
                </c:ext>
              </c:extLst>
            </c:dLbl>
            <c:dLbl>
              <c:idx val="4"/>
              <c:layout>
                <c:manualLayout>
                  <c:x val="-4.1743582648067705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BE-4E17-A689-0696FF3C3159}"/>
                </c:ext>
              </c:extLst>
            </c:dLbl>
            <c:dLbl>
              <c:idx val="5"/>
              <c:layout>
                <c:manualLayout>
                  <c:x val="-5.1682530897607548E-2"/>
                  <c:y val="-3.8035738619602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BE-4E17-A689-0696FF3C3159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BE-4E17-A689-0696FF3C3159}"/>
                </c:ext>
              </c:extLst>
            </c:dLbl>
            <c:dLbl>
              <c:idx val="7"/>
              <c:layout>
                <c:manualLayout>
                  <c:x val="-4.571916194788366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E-4E17-A689-0696FF3C3159}"/>
                </c:ext>
              </c:extLst>
            </c:dLbl>
            <c:dLbl>
              <c:idx val="8"/>
              <c:layout>
                <c:manualLayout>
                  <c:x val="-4.5719161947883599E-2"/>
                  <c:y val="-4.5642886343522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BE-4E17-A689-0696FF3C3159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BE-4E17-A689-0696FF3C3159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BE-4E17-A689-0696FF3C3159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BE-4E17-A689-0696FF3C3159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Arrecadação'!$S$53:$S$64</c:f>
              <c:numCache>
                <c:formatCode>_-[$R$-416]\ * #,##0_-;\-[$R$-416]\ * #,##0_-;_-[$R$-416]\ * "-"??_-;_-@_-</c:formatCode>
                <c:ptCount val="12"/>
                <c:pt idx="0">
                  <c:v>1926442.4732265207</c:v>
                </c:pt>
                <c:pt idx="1">
                  <c:v>4264980.4776132097</c:v>
                </c:pt>
                <c:pt idx="2">
                  <c:v>5306578.8374429336</c:v>
                </c:pt>
                <c:pt idx="3">
                  <c:v>6174520.6920783566</c:v>
                </c:pt>
                <c:pt idx="4">
                  <c:v>7095244.8123568492</c:v>
                </c:pt>
                <c:pt idx="5">
                  <c:v>8100253.3602671716</c:v>
                </c:pt>
                <c:pt idx="6">
                  <c:v>8700173.8804929536</c:v>
                </c:pt>
                <c:pt idx="7">
                  <c:v>9337262.7852477971</c:v>
                </c:pt>
                <c:pt idx="8">
                  <c:v>9682777.6393550113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4BE-4E17-A689-0696FF3C3159}"/>
            </c:ext>
          </c:extLst>
        </c:ser>
        <c:ser>
          <c:idx val="2"/>
          <c:order val="2"/>
          <c:tx>
            <c:strRef>
              <c:f>'Gráficos - Arrecadação'!$R$52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902317199263896E-2"/>
                  <c:y val="3.423216475764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BE-4E17-A689-0696FF3C3159}"/>
                </c:ext>
              </c:extLst>
            </c:dLbl>
            <c:dLbl>
              <c:idx val="1"/>
              <c:layout>
                <c:manualLayout>
                  <c:x val="-1.7890106849171878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BE-4E17-A689-0696FF3C3159}"/>
                </c:ext>
              </c:extLst>
            </c:dLbl>
            <c:dLbl>
              <c:idx val="2"/>
              <c:layout>
                <c:manualLayout>
                  <c:x val="-2.3853475798895827E-2"/>
                  <c:y val="4.1839312481562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BE-4E17-A689-0696FF3C3159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Arrecadação'!$R$53:$R$64</c:f>
              <c:numCache>
                <c:formatCode>_-[$R$-416]\ * #,##0_-;\-[$R$-416]\ * #,##0_-;_-[$R$-416]\ * "-"??_-;_-@_-</c:formatCode>
                <c:ptCount val="12"/>
                <c:pt idx="0">
                  <c:v>414294.46000000008</c:v>
                </c:pt>
                <c:pt idx="1">
                  <c:v>802549.10000000009</c:v>
                </c:pt>
                <c:pt idx="2">
                  <c:v>1029153.2200000001</c:v>
                </c:pt>
                <c:pt idx="3">
                  <c:v>1168470.53</c:v>
                </c:pt>
                <c:pt idx="4">
                  <c:v>1303580.67</c:v>
                </c:pt>
                <c:pt idx="5">
                  <c:v>1445440.21</c:v>
                </c:pt>
                <c:pt idx="6">
                  <c:v>1752726.26</c:v>
                </c:pt>
                <c:pt idx="7">
                  <c:v>2883068.31</c:v>
                </c:pt>
                <c:pt idx="8">
                  <c:v>3427609.25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BE-4E17-A689-0696FF3C3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146832"/>
        <c:axId val="384147392"/>
      </c:lineChart>
      <c:catAx>
        <c:axId val="38414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4147392"/>
        <c:crosses val="autoZero"/>
        <c:auto val="1"/>
        <c:lblAlgn val="ctr"/>
        <c:lblOffset val="100"/>
        <c:noMultiLvlLbl val="0"/>
      </c:catAx>
      <c:valAx>
        <c:axId val="3841473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41468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Arrecadação'!$Q$68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5257634113031386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41-4786-9206-202B17814614}"/>
                </c:ext>
              </c:extLst>
            </c:dLbl>
            <c:dLbl>
              <c:idx val="1"/>
              <c:layout>
                <c:manualLayout>
                  <c:x val="-3.5257634113031434E-2"/>
                  <c:y val="4.8386913300556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41-4786-9206-202B17814614}"/>
                </c:ext>
              </c:extLst>
            </c:dLbl>
            <c:dLbl>
              <c:idx val="2"/>
              <c:layout>
                <c:manualLayout>
                  <c:x val="-3.7097319043085747E-2"/>
                  <c:y val="6.739574776863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41-4786-9206-202B17814614}"/>
                </c:ext>
              </c:extLst>
            </c:dLbl>
            <c:dLbl>
              <c:idx val="3"/>
              <c:layout>
                <c:manualLayout>
                  <c:x val="-3.3417949182977094E-2"/>
                  <c:y val="5.599044708778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41-4786-9206-202B17814614}"/>
                </c:ext>
              </c:extLst>
            </c:dLbl>
            <c:dLbl>
              <c:idx val="4"/>
              <c:layout>
                <c:manualLayout>
                  <c:x val="-3.52576341130314E-2"/>
                  <c:y val="4.458514640694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41-4786-9206-202B17814614}"/>
                </c:ext>
              </c:extLst>
            </c:dLbl>
            <c:dLbl>
              <c:idx val="5"/>
              <c:layout>
                <c:manualLayout>
                  <c:x val="-3.52576341130314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41-4786-9206-202B17814614}"/>
                </c:ext>
              </c:extLst>
            </c:dLbl>
            <c:dLbl>
              <c:idx val="6"/>
              <c:layout>
                <c:manualLayout>
                  <c:x val="-3.52576341130314E-2"/>
                  <c:y val="3.6981612619710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41-4786-9206-202B17814614}"/>
                </c:ext>
              </c:extLst>
            </c:dLbl>
            <c:dLbl>
              <c:idx val="7"/>
              <c:layout>
                <c:manualLayout>
                  <c:x val="-3.5257634113031268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41-4786-9206-202B17814614}"/>
                </c:ext>
              </c:extLst>
            </c:dLbl>
            <c:dLbl>
              <c:idx val="8"/>
              <c:layout>
                <c:manualLayout>
                  <c:x val="-3.7097319043085712E-2"/>
                  <c:y val="5.21886801941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41-4786-9206-202B17814614}"/>
                </c:ext>
              </c:extLst>
            </c:dLbl>
            <c:dLbl>
              <c:idx val="9"/>
              <c:layout>
                <c:manualLayout>
                  <c:x val="-3.5257634113031538E-2"/>
                  <c:y val="4.0783379513325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41-4786-9206-202B17814614}"/>
                </c:ext>
              </c:extLst>
            </c:dLbl>
            <c:dLbl>
              <c:idx val="10"/>
              <c:layout>
                <c:manualLayout>
                  <c:x val="-3.7097319043085844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41-4786-9206-202B17814614}"/>
                </c:ext>
              </c:extLst>
            </c:dLbl>
            <c:dLbl>
              <c:idx val="11"/>
              <c:layout>
                <c:manualLayout>
                  <c:x val="-3.0841665995495524E-2"/>
                  <c:y val="5.5990447087786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41-4786-9206-202B17814614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Arrecadação'!$Q$69:$Q$80</c:f>
              <c:numCache>
                <c:formatCode>_-[$R$-416]\ * #,##0_-;\-[$R$-416]\ * #,##0_-;_-[$R$-416]\ * "-"??_-;_-@_-</c:formatCode>
                <c:ptCount val="12"/>
                <c:pt idx="0">
                  <c:v>355455.89127551753</c:v>
                </c:pt>
                <c:pt idx="1">
                  <c:v>657632.93539569969</c:v>
                </c:pt>
                <c:pt idx="2">
                  <c:v>892200.03768604691</c:v>
                </c:pt>
                <c:pt idx="3">
                  <c:v>1096140.990105195</c:v>
                </c:pt>
                <c:pt idx="4">
                  <c:v>1275804.9312838914</c:v>
                </c:pt>
                <c:pt idx="5">
                  <c:v>1458629.7889792309</c:v>
                </c:pt>
                <c:pt idx="6">
                  <c:v>1696796.0090236673</c:v>
                </c:pt>
                <c:pt idx="7">
                  <c:v>1937976.3969157287</c:v>
                </c:pt>
                <c:pt idx="8">
                  <c:v>2132604.8022738365</c:v>
                </c:pt>
                <c:pt idx="9">
                  <c:v>2380233.0535183935</c:v>
                </c:pt>
                <c:pt idx="10">
                  <c:v>2568201.8132475866</c:v>
                </c:pt>
                <c:pt idx="11">
                  <c:v>2800012.5260000005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B241-4786-9206-202B17814614}"/>
            </c:ext>
          </c:extLst>
        </c:ser>
        <c:ser>
          <c:idx val="1"/>
          <c:order val="1"/>
          <c:tx>
            <c:strRef>
              <c:f>'Gráficos - Arrecadação'!$R$68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4954013671031903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41-4786-9206-202B17814614}"/>
                </c:ext>
              </c:extLst>
            </c:dLbl>
            <c:dLbl>
              <c:idx val="1"/>
              <c:layout>
                <c:manualLayout>
                  <c:x val="-4.231275339124916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41-4786-9206-202B17814614}"/>
                </c:ext>
              </c:extLst>
            </c:dLbl>
            <c:dLbl>
              <c:idx val="2"/>
              <c:layout>
                <c:manualLayout>
                  <c:x val="-4.599212325135777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41-4786-9206-202B17814614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Arrecadação'!$P$69:$P$80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Arrecadação'!$R$69:$R$80</c:f>
              <c:numCache>
                <c:formatCode>_-[$R$-416]\ * #,##0_-;\-[$R$-416]\ * #,##0_-;_-[$R$-416]\ * "-"??_-;_-@_-</c:formatCode>
                <c:ptCount val="12"/>
                <c:pt idx="0">
                  <c:v>273703.60000000003</c:v>
                </c:pt>
                <c:pt idx="1">
                  <c:v>639245.17999999993</c:v>
                </c:pt>
                <c:pt idx="2">
                  <c:v>1013167.1299999999</c:v>
                </c:pt>
                <c:pt idx="3">
                  <c:v>1260635.3899999999</c:v>
                </c:pt>
                <c:pt idx="4">
                  <c:v>1569367.39</c:v>
                </c:pt>
                <c:pt idx="5">
                  <c:v>1825059.48</c:v>
                </c:pt>
                <c:pt idx="6">
                  <c:v>2041703.08</c:v>
                </c:pt>
                <c:pt idx="7">
                  <c:v>2446736.0700000003</c:v>
                </c:pt>
                <c:pt idx="8">
                  <c:v>2824767.0400000005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241-4786-9206-202B17814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150752"/>
        <c:axId val="384151312"/>
      </c:lineChart>
      <c:catAx>
        <c:axId val="38415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4151312"/>
        <c:crosses val="autoZero"/>
        <c:auto val="1"/>
        <c:lblAlgn val="ctr"/>
        <c:lblOffset val="100"/>
        <c:noMultiLvlLbl val="0"/>
      </c:catAx>
      <c:valAx>
        <c:axId val="3841513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41507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Arrecadação'!$Q$84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152436003590136E-2"/>
                  <c:y val="2.55763119388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A0-4324-BEF6-8603872B69FD}"/>
                </c:ext>
              </c:extLst>
            </c:dLbl>
            <c:dLbl>
              <c:idx val="1"/>
              <c:layout>
                <c:manualLayout>
                  <c:x val="-3.1578264252922782E-2"/>
                  <c:y val="4.8386913300556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A0-4324-BEF6-8603872B69FD}"/>
                </c:ext>
              </c:extLst>
            </c:dLbl>
            <c:dLbl>
              <c:idx val="2"/>
              <c:layout>
                <c:manualLayout>
                  <c:x val="-3.5257634113031434E-2"/>
                  <c:y val="4.458514640694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A0-4324-BEF6-8603872B69FD}"/>
                </c:ext>
              </c:extLst>
            </c:dLbl>
            <c:numFmt formatCode="&quot;R$&quot;\ 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Arrecadação'!$Q$85:$Q$96</c:f>
              <c:numCache>
                <c:formatCode>_-[$R$-416]\ * #,##0_-;\-[$R$-416]\ * #,##0_-;_-[$R$-416]\ * "-"??_-;_-@_-</c:formatCode>
                <c:ptCount val="12"/>
                <c:pt idx="0">
                  <c:v>7250924.0097673479</c:v>
                </c:pt>
                <c:pt idx="1">
                  <c:v>15285894.523920869</c:v>
                </c:pt>
                <c:pt idx="2">
                  <c:v>24063494.476585761</c:v>
                </c:pt>
                <c:pt idx="3">
                  <c:v>32075232.868020844</c:v>
                </c:pt>
                <c:pt idx="4">
                  <c:v>40844019.560462549</c:v>
                </c:pt>
                <c:pt idx="5">
                  <c:v>49392579.832004428</c:v>
                </c:pt>
                <c:pt idx="6">
                  <c:v>59280977.355267935</c:v>
                </c:pt>
                <c:pt idx="7">
                  <c:v>69755899.774108976</c:v>
                </c:pt>
                <c:pt idx="8">
                  <c:v>79455650.864838809</c:v>
                </c:pt>
                <c:pt idx="9">
                  <c:v>90176926.459439576</c:v>
                </c:pt>
                <c:pt idx="10">
                  <c:v>99418188.601490989</c:v>
                </c:pt>
                <c:pt idx="11">
                  <c:v>108190303.97200002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2A0-4324-BEF6-8603872B69FD}"/>
            </c:ext>
          </c:extLst>
        </c:ser>
        <c:ser>
          <c:idx val="1"/>
          <c:order val="1"/>
          <c:tx>
            <c:strRef>
              <c:f>'Gráficos - Arrecadação'!$T$84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311432874097759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A0-4324-BEF6-8603872B69FD}"/>
                </c:ext>
              </c:extLst>
            </c:dLbl>
            <c:dLbl>
              <c:idx val="1"/>
              <c:layout>
                <c:manualLayout>
                  <c:x val="-3.4954013671031924E-2"/>
                  <c:y val="-6.0828270297843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A0-4324-BEF6-8603872B69FD}"/>
                </c:ext>
              </c:extLst>
            </c:dLbl>
            <c:dLbl>
              <c:idx val="2"/>
              <c:layout>
                <c:manualLayout>
                  <c:x val="-4.0473068461194847E-2"/>
                  <c:y val="-5.3224736510612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A0-4324-BEF6-8603872B69FD}"/>
                </c:ext>
              </c:extLst>
            </c:dLbl>
            <c:numFmt formatCode="&quot;R$&quot;\ 0.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Arrecadação'!$T$85:$T$96</c:f>
              <c:numCache>
                <c:formatCode>_-"R$"\ * #,##0_-;\-"R$"\ * #,##0_-;_-"R$"\ * "-"??_-;_-@_-</c:formatCode>
                <c:ptCount val="12"/>
                <c:pt idx="0">
                  <c:v>6710688.8399999999</c:v>
                </c:pt>
                <c:pt idx="1">
                  <c:v>25179154.68</c:v>
                </c:pt>
                <c:pt idx="2">
                  <c:v>0</c:v>
                </c:pt>
                <c:pt idx="3">
                  <c:v>33908790.850000001</c:v>
                </c:pt>
                <c:pt idx="4">
                  <c:v>44197712.32</c:v>
                </c:pt>
                <c:pt idx="5">
                  <c:v>53763671.239999995</c:v>
                </c:pt>
                <c:pt idx="6">
                  <c:v>63251623.86999999</c:v>
                </c:pt>
                <c:pt idx="7">
                  <c:v>73709634.499999985</c:v>
                </c:pt>
                <c:pt idx="8">
                  <c:v>83163925.459999979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A0-4324-BEF6-8603872B69FD}"/>
            </c:ext>
          </c:extLst>
        </c:ser>
        <c:ser>
          <c:idx val="2"/>
          <c:order val="2"/>
          <c:tx>
            <c:strRef>
              <c:f>'Gráficos - Arrecadação'!$U$84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'Gráficos - Arrecadação'!$P$85:$P$96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Arrecadação'!$U$85:$U$96</c:f>
              <c:numCache>
                <c:formatCode>_-"R$"\ * #,##0_-;\-"R$"\ * #,##0_-;_-"R$"\ * "-"??_-;_-@_-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A0-4324-BEF6-8603872B6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155232"/>
        <c:axId val="384155792"/>
      </c:lineChart>
      <c:catAx>
        <c:axId val="38415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4155792"/>
        <c:crosses val="autoZero"/>
        <c:auto val="1"/>
        <c:lblAlgn val="ctr"/>
        <c:lblOffset val="100"/>
        <c:noMultiLvlLbl val="0"/>
      </c:catAx>
      <c:valAx>
        <c:axId val="3841557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41552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'Gráficos - Arrecadação'!$Q$100</c:f>
              <c:strCache>
                <c:ptCount val="1"/>
                <c:pt idx="0">
                  <c:v>Meta</c:v>
                </c:pt>
              </c:strCache>
            </c:strRef>
          </c:tx>
          <c:spPr>
            <a:ln w="19050" cap="rnd">
              <a:solidFill>
                <a:srgbClr val="1C39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C3942"/>
              </a:solidFill>
              <a:ln w="3175">
                <a:solidFill>
                  <a:srgbClr val="1C394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088382642394674E-3"/>
                  <c:y val="-3.3944816167906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FF-4759-BC42-C52D0D752E0C}"/>
                </c:ext>
              </c:extLst>
            </c:dLbl>
            <c:dLbl>
              <c:idx val="1"/>
              <c:layout>
                <c:manualLayout>
                  <c:x val="1.8752998151535772E-3"/>
                  <c:y val="-3.419795577711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FF-4759-BC42-C52D0D752E0C}"/>
                </c:ext>
              </c:extLst>
            </c:dLbl>
            <c:dLbl>
              <c:idx val="2"/>
              <c:layout>
                <c:manualLayout>
                  <c:x val="9.2442068858374967E-3"/>
                  <c:y val="1.194005292425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FF-4759-BC42-C52D0D752E0C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Arrecadação'!$Q$101:$Q$112</c:f>
              <c:numCache>
                <c:formatCode>_-[$R$-416]\ * #,##0_-;\-[$R$-416]\ * #,##0_-;_-[$R$-416]\ * "-"??_-;_-@_-</c:formatCode>
                <c:ptCount val="12"/>
                <c:pt idx="0">
                  <c:v>806024.23388548277</c:v>
                </c:pt>
                <c:pt idx="1">
                  <c:v>1483497.2974134013</c:v>
                </c:pt>
                <c:pt idx="2">
                  <c:v>2048065.7038497992</c:v>
                </c:pt>
                <c:pt idx="3">
                  <c:v>2572846.1715698736</c:v>
                </c:pt>
                <c:pt idx="4">
                  <c:v>3046171.7431810712</c:v>
                </c:pt>
                <c:pt idx="5">
                  <c:v>3543632.0396976946</c:v>
                </c:pt>
                <c:pt idx="6">
                  <c:v>4222869.7794624902</c:v>
                </c:pt>
                <c:pt idx="7">
                  <c:v>4918690.5538075566</c:v>
                </c:pt>
                <c:pt idx="8">
                  <c:v>5592401.3100491157</c:v>
                </c:pt>
                <c:pt idx="9">
                  <c:v>6384917.6231790138</c:v>
                </c:pt>
                <c:pt idx="10">
                  <c:v>7119100.0584494928</c:v>
                </c:pt>
                <c:pt idx="11">
                  <c:v>7965457.1692857081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7FF-4759-BC42-C52D0D752E0C}"/>
            </c:ext>
          </c:extLst>
        </c:ser>
        <c:ser>
          <c:idx val="1"/>
          <c:order val="1"/>
          <c:tx>
            <c:strRef>
              <c:f>'Gráficos - Arrecadação'!$R$100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086413200439657E-2"/>
                  <c:y val="2.666343612308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F-4759-BC42-C52D0D752E0C}"/>
                </c:ext>
              </c:extLst>
            </c:dLbl>
            <c:dLbl>
              <c:idx val="1"/>
              <c:layout>
                <c:manualLayout>
                  <c:x val="-2.7595273950814646E-2"/>
                  <c:y val="6.0828270297842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F-4759-BC42-C52D0D752E0C}"/>
                </c:ext>
              </c:extLst>
            </c:dLbl>
            <c:dLbl>
              <c:idx val="2"/>
              <c:layout>
                <c:manualLayout>
                  <c:x val="-3.1274643810923264E-2"/>
                  <c:y val="8.7440638553149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FF-4759-BC42-C52D0D752E0C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Arrecadação'!$R$101:$R$112</c:f>
              <c:numCache>
                <c:formatCode>_-[$R$-416]\ * #,##0_-;\-[$R$-416]\ * #,##0_-;_-[$R$-416]\ * "-"??_-;_-@_-</c:formatCode>
                <c:ptCount val="12"/>
                <c:pt idx="0">
                  <c:v>653615.37</c:v>
                </c:pt>
                <c:pt idx="1">
                  <c:v>1506919.51</c:v>
                </c:pt>
                <c:pt idx="2">
                  <c:v>2454853.16</c:v>
                </c:pt>
                <c:pt idx="3">
                  <c:v>3136036.34</c:v>
                </c:pt>
                <c:pt idx="4">
                  <c:v>3999978.4699999997</c:v>
                </c:pt>
                <c:pt idx="5">
                  <c:v>4757261.93</c:v>
                </c:pt>
                <c:pt idx="6">
                  <c:v>5689663.9900000002</c:v>
                </c:pt>
                <c:pt idx="7">
                  <c:v>6941469.9500000002</c:v>
                </c:pt>
                <c:pt idx="8">
                  <c:v>8087112.54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FF-4759-BC42-C52D0D752E0C}"/>
            </c:ext>
          </c:extLst>
        </c:ser>
        <c:ser>
          <c:idx val="2"/>
          <c:order val="2"/>
          <c:tx>
            <c:strRef>
              <c:f>'Gráficos - Arrecadação'!$S$100</c:f>
              <c:strCache>
                <c:ptCount val="1"/>
                <c:pt idx="0">
                  <c:v>Potencial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3.8633383531140521E-2"/>
                  <c:y val="-0.10264770612761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FF-4759-BC42-C52D0D752E0C}"/>
                </c:ext>
              </c:extLst>
            </c:dLbl>
            <c:dLbl>
              <c:idx val="1"/>
              <c:layout>
                <c:manualLayout>
                  <c:x val="-5.1511178041520708E-2"/>
                  <c:y val="-9.884593923399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FF-4759-BC42-C52D0D752E0C}"/>
                </c:ext>
              </c:extLst>
            </c:dLbl>
            <c:dLbl>
              <c:idx val="2"/>
              <c:layout>
                <c:manualLayout>
                  <c:x val="-5.3350862971575021E-2"/>
                  <c:y val="-9.1242405446764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FF-4759-BC42-C52D0D752E0C}"/>
                </c:ext>
              </c:extLst>
            </c:dLbl>
            <c:dLbl>
              <c:idx val="3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FF-4759-BC42-C52D0D752E0C}"/>
                </c:ext>
              </c:extLst>
            </c:dLbl>
            <c:dLbl>
              <c:idx val="4"/>
              <c:layout>
                <c:manualLayout>
                  <c:x val="-2.7595273950814646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FF-4759-BC42-C52D0D752E0C}"/>
                </c:ext>
              </c:extLst>
            </c:dLbl>
            <c:dLbl>
              <c:idx val="5"/>
              <c:layout>
                <c:manualLayout>
                  <c:x val="-3.1274643810923333E-2"/>
                  <c:y val="-3.801766893615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FF-4759-BC42-C52D0D752E0C}"/>
                </c:ext>
              </c:extLst>
            </c:dLbl>
            <c:dLbl>
              <c:idx val="6"/>
              <c:layout>
                <c:manualLayout>
                  <c:x val="-2.7595273950814715E-2"/>
                  <c:y val="-4.181943582976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FF-4759-BC42-C52D0D752E0C}"/>
                </c:ext>
              </c:extLst>
            </c:dLbl>
            <c:dLbl>
              <c:idx val="7"/>
              <c:layout>
                <c:manualLayout>
                  <c:x val="-2.9434958880868958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FF-4759-BC42-C52D0D752E0C}"/>
                </c:ext>
              </c:extLst>
            </c:dLbl>
            <c:dLbl>
              <c:idx val="8"/>
              <c:layout>
                <c:manualLayout>
                  <c:x val="-2.7595273950814646E-2"/>
                  <c:y val="-4.9422969616997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FF-4759-BC42-C52D0D752E0C}"/>
                </c:ext>
              </c:extLst>
            </c:dLbl>
            <c:dLbl>
              <c:idx val="9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FF-4759-BC42-C52D0D752E0C}"/>
                </c:ext>
              </c:extLst>
            </c:dLbl>
            <c:dLbl>
              <c:idx val="10"/>
              <c:layout>
                <c:manualLayout>
                  <c:x val="-3.3114328740977576E-2"/>
                  <c:y val="-3.801766893615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FF-4759-BC42-C52D0D752E0C}"/>
                </c:ext>
              </c:extLst>
            </c:dLbl>
            <c:dLbl>
              <c:idx val="11"/>
              <c:layout>
                <c:manualLayout>
                  <c:x val="-2.5755589020760337E-2"/>
                  <c:y val="-4.181943582976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FF-4759-BC42-C52D0D752E0C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Arrecadação'!$S$101:$S$112</c:f>
              <c:numCache>
                <c:formatCode>_-[$R$-416]\ * #,##0_-;\-[$R$-416]\ * #,##0_-;_-[$R$-416]\ * "-"??_-;_-@_-</c:formatCode>
                <c:ptCount val="12"/>
                <c:pt idx="0">
                  <c:v>933297.32066012197</c:v>
                </c:pt>
                <c:pt idx="1">
                  <c:v>1717744.9444766585</c:v>
                </c:pt>
                <c:pt idx="2">
                  <c:v>2371460.0052713524</c:v>
                </c:pt>
                <c:pt idx="3">
                  <c:v>2979104.5199988051</c:v>
                </c:pt>
                <c:pt idx="4">
                  <c:v>3527169.2917677076</c:v>
                </c:pt>
                <c:pt idx="5">
                  <c:v>4103179.7172057563</c:v>
                </c:pt>
                <c:pt idx="6">
                  <c:v>4889670.663709715</c:v>
                </c:pt>
                <c:pt idx="7">
                  <c:v>5695363.1442265818</c:v>
                </c:pt>
                <c:pt idx="8">
                  <c:v>6475454.3837531153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FF-4759-BC42-C52D0D752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159712"/>
        <c:axId val="384160272"/>
      </c:lineChart>
      <c:catAx>
        <c:axId val="3841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4160272"/>
        <c:crosses val="autoZero"/>
        <c:auto val="1"/>
        <c:lblAlgn val="ctr"/>
        <c:lblOffset val="100"/>
        <c:noMultiLvlLbl val="0"/>
      </c:catAx>
      <c:valAx>
        <c:axId val="384160272"/>
        <c:scaling>
          <c:orientation val="minMax"/>
          <c:max val="8000000"/>
          <c:min val="500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841597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249838482674821E-2"/>
                <c:y val="0.1247760907049731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647720365996071E-2"/>
          <c:y val="1.1113336247294282E-2"/>
          <c:w val="0.92424169299593517"/>
          <c:h val="0.9148850510835681"/>
        </c:manualLayout>
      </c:layout>
      <c:lineChart>
        <c:grouping val="standard"/>
        <c:varyColors val="0"/>
        <c:ser>
          <c:idx val="2"/>
          <c:order val="0"/>
          <c:tx>
            <c:strRef>
              <c:f>'Gráficos - Arrecadação'!$S$100</c:f>
              <c:strCache>
                <c:ptCount val="1"/>
                <c:pt idx="0">
                  <c:v>Potencial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7069230818265908E-2"/>
                  <c:y val="-0.12304729057292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28AB-49CC-931F-8796A05C9965}"/>
                </c:ext>
              </c:extLst>
            </c:dLbl>
            <c:dLbl>
              <c:idx val="1"/>
              <c:layout>
                <c:manualLayout>
                  <c:x val="-1.0867327434259784E-2"/>
                  <c:y val="-6.8066633078289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28AB-49CC-931F-8796A05C9965}"/>
                </c:ext>
              </c:extLst>
            </c:dLbl>
            <c:dLbl>
              <c:idx val="2"/>
              <c:layout>
                <c:manualLayout>
                  <c:x val="-1.6046362978844712E-2"/>
                  <c:y val="-6.8292195988921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28AB-49CC-931F-8796A05C9965}"/>
                </c:ext>
              </c:extLst>
            </c:dLbl>
            <c:dLbl>
              <c:idx val="3"/>
              <c:layout>
                <c:manualLayout>
                  <c:x val="-1.0579761243915391E-2"/>
                  <c:y val="-7.7970426824700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28AB-49CC-931F-8796A05C9965}"/>
                </c:ext>
              </c:extLst>
            </c:dLbl>
            <c:dLbl>
              <c:idx val="4"/>
              <c:layout>
                <c:manualLayout>
                  <c:x val="-6.5647198226657655E-3"/>
                  <c:y val="-5.0493935611407928E-2"/>
                </c:manualLayout>
              </c:layout>
              <c:numFmt formatCode="&quot;R$&quot;\ 0.00;;_(@_)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1767157889205884E-2"/>
                      <c:h val="4.41984024296165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28AB-49CC-931F-8796A05C9965}"/>
                </c:ext>
              </c:extLst>
            </c:dLbl>
            <c:dLbl>
              <c:idx val="5"/>
              <c:layout>
                <c:manualLayout>
                  <c:x val="-1.8394769192131517E-2"/>
                  <c:y val="-4.467124777010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28AB-49CC-931F-8796A05C9965}"/>
                </c:ext>
              </c:extLst>
            </c:dLbl>
            <c:dLbl>
              <c:idx val="6"/>
              <c:layout>
                <c:manualLayout>
                  <c:x val="-2.0528639655877416E-2"/>
                  <c:y val="-4.83488632310075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28AB-49CC-931F-8796A05C9965}"/>
                </c:ext>
              </c:extLst>
            </c:dLbl>
            <c:dLbl>
              <c:idx val="7"/>
              <c:layout>
                <c:manualLayout>
                  <c:x val="-1.8405785432235488E-2"/>
                  <c:y val="-4.4551355833169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28AB-49CC-931F-8796A05C9965}"/>
                </c:ext>
              </c:extLst>
            </c:dLbl>
            <c:dLbl>
              <c:idx val="8"/>
              <c:layout>
                <c:manualLayout>
                  <c:x val="-2.0466094364009368E-2"/>
                  <c:y val="-7.8083821073510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28AB-49CC-931F-8796A05C9965}"/>
                </c:ext>
              </c:extLst>
            </c:dLbl>
            <c:dLbl>
              <c:idx val="9"/>
              <c:layout>
                <c:manualLayout>
                  <c:x val="-1.9739878313208982E-2"/>
                  <c:y val="-7.5535092042274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AB-49CC-931F-8796A05C9965}"/>
                </c:ext>
              </c:extLst>
            </c:dLbl>
            <c:dLbl>
              <c:idx val="10"/>
              <c:layout>
                <c:manualLayout>
                  <c:x val="-2.367981050274633E-2"/>
                  <c:y val="-8.2167952118165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AB-49CC-931F-8796A05C9965}"/>
                </c:ext>
              </c:extLst>
            </c:dLbl>
            <c:dLbl>
              <c:idx val="11"/>
              <c:layout>
                <c:manualLayout>
                  <c:x val="-2.8087596410394565E-2"/>
                  <c:y val="-4.836455392888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8AB-49CC-931F-8796A05C9965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Arrecadação'!$S$101:$S$112</c:f>
              <c:numCache>
                <c:formatCode>_-[$R$-416]\ * #,##0_-;\-[$R$-416]\ * #,##0_-;_-[$R$-416]\ * "-"??_-;_-@_-</c:formatCode>
                <c:ptCount val="12"/>
                <c:pt idx="0">
                  <c:v>933297.32066012197</c:v>
                </c:pt>
                <c:pt idx="1">
                  <c:v>1717744.9444766585</c:v>
                </c:pt>
                <c:pt idx="2">
                  <c:v>2371460.0052713524</c:v>
                </c:pt>
                <c:pt idx="3">
                  <c:v>2979104.5199988051</c:v>
                </c:pt>
                <c:pt idx="4">
                  <c:v>3527169.2917677076</c:v>
                </c:pt>
                <c:pt idx="5">
                  <c:v>4103179.7172057563</c:v>
                </c:pt>
                <c:pt idx="6">
                  <c:v>4889670.663709715</c:v>
                </c:pt>
                <c:pt idx="7">
                  <c:v>5695363.1442265818</c:v>
                </c:pt>
                <c:pt idx="8">
                  <c:v>6475454.3837531153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8AB-49CC-931F-8796A05C9965}"/>
            </c:ext>
          </c:extLst>
        </c:ser>
        <c:ser>
          <c:idx val="0"/>
          <c:order val="1"/>
          <c:tx>
            <c:strRef>
              <c:f>'Gráficos - Arrecadação'!$Q$100</c:f>
              <c:strCache>
                <c:ptCount val="1"/>
                <c:pt idx="0">
                  <c:v>Meta</c:v>
                </c:pt>
              </c:strCache>
            </c:strRef>
          </c:tx>
          <c:spPr>
            <a:ln w="508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7237568869293736E-2"/>
                  <c:y val="-6.2559717250201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8AB-49CC-931F-8796A05C9965}"/>
                </c:ext>
              </c:extLst>
            </c:dLbl>
            <c:dLbl>
              <c:idx val="1"/>
              <c:layout>
                <c:manualLayout>
                  <c:x val="-2.3178420814733765E-2"/>
                  <c:y val="4.6177294806001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8AB-49CC-931F-8796A05C9965}"/>
                </c:ext>
              </c:extLst>
            </c:dLbl>
            <c:dLbl>
              <c:idx val="2"/>
              <c:layout>
                <c:manualLayout>
                  <c:x val="-2.6664665934496918E-2"/>
                  <c:y val="4.3021830939050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8AB-49CC-931F-8796A05C9965}"/>
                </c:ext>
              </c:extLst>
            </c:dLbl>
            <c:dLbl>
              <c:idx val="3"/>
              <c:layout>
                <c:manualLayout>
                  <c:x val="-2.6569416353898836E-2"/>
                  <c:y val="3.997524825781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8AB-49CC-931F-8796A05C9965}"/>
                </c:ext>
              </c:extLst>
            </c:dLbl>
            <c:dLbl>
              <c:idx val="4"/>
              <c:layout>
                <c:manualLayout>
                  <c:x val="-2.8084203820600607E-2"/>
                  <c:y val="3.9134859713996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8AB-49CC-931F-8796A05C9965}"/>
                </c:ext>
              </c:extLst>
            </c:dLbl>
            <c:dLbl>
              <c:idx val="5"/>
              <c:layout>
                <c:manualLayout>
                  <c:x val="-2.57626794099804E-2"/>
                  <c:y val="3.7882116343640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8AB-49CC-931F-8796A05C9965}"/>
                </c:ext>
              </c:extLst>
            </c:dLbl>
            <c:dLbl>
              <c:idx val="6"/>
              <c:layout>
                <c:manualLayout>
                  <c:x val="-1.5491343212071452E-2"/>
                  <c:y val="3.5750121463412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8AB-49CC-931F-8796A05C9965}"/>
                </c:ext>
              </c:extLst>
            </c:dLbl>
            <c:dLbl>
              <c:idx val="7"/>
              <c:layout>
                <c:manualLayout>
                  <c:x val="-1.7926805729826897E-2"/>
                  <c:y val="3.1537566099590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8AB-49CC-931F-8796A05C9965}"/>
                </c:ext>
              </c:extLst>
            </c:dLbl>
            <c:dLbl>
              <c:idx val="8"/>
              <c:layout>
                <c:manualLayout>
                  <c:x val="-2.650577343181109E-2"/>
                  <c:y val="4.0575052933677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8AB-49CC-931F-8796A05C9965}"/>
                </c:ext>
              </c:extLst>
            </c:dLbl>
            <c:dLbl>
              <c:idx val="9"/>
              <c:layout>
                <c:manualLayout>
                  <c:x val="-2.4158718205772964E-2"/>
                  <c:y val="3.5821735890130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8AB-49CC-931F-8796A05C9965}"/>
                </c:ext>
              </c:extLst>
            </c:dLbl>
            <c:dLbl>
              <c:idx val="10"/>
              <c:layout>
                <c:manualLayout>
                  <c:x val="-2.2603363746303479E-2"/>
                  <c:y val="3.389079339019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8AB-49CC-931F-8796A05C9965}"/>
                </c:ext>
              </c:extLst>
            </c:dLbl>
            <c:dLbl>
              <c:idx val="11"/>
              <c:layout>
                <c:manualLayout>
                  <c:x val="-1.7147379393747466E-2"/>
                  <c:y val="3.5399451099456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DA3-4EDF-8844-512E5DB2E1E2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Arrecadação'!$Q$101:$Q$112</c:f>
              <c:numCache>
                <c:formatCode>_-[$R$-416]\ * #,##0_-;\-[$R$-416]\ * #,##0_-;_-[$R$-416]\ * "-"??_-;_-@_-</c:formatCode>
                <c:ptCount val="12"/>
                <c:pt idx="0">
                  <c:v>806024.23388548277</c:v>
                </c:pt>
                <c:pt idx="1">
                  <c:v>1483497.2974134013</c:v>
                </c:pt>
                <c:pt idx="2">
                  <c:v>2048065.7038497992</c:v>
                </c:pt>
                <c:pt idx="3">
                  <c:v>2572846.1715698736</c:v>
                </c:pt>
                <c:pt idx="4">
                  <c:v>3046171.7431810712</c:v>
                </c:pt>
                <c:pt idx="5">
                  <c:v>3543632.0396976946</c:v>
                </c:pt>
                <c:pt idx="6">
                  <c:v>4222869.7794624902</c:v>
                </c:pt>
                <c:pt idx="7">
                  <c:v>4918690.5538075566</c:v>
                </c:pt>
                <c:pt idx="8">
                  <c:v>5592401.3100491157</c:v>
                </c:pt>
                <c:pt idx="9">
                  <c:v>6384917.6231790138</c:v>
                </c:pt>
                <c:pt idx="10">
                  <c:v>7119100.0584494928</c:v>
                </c:pt>
                <c:pt idx="11">
                  <c:v>7965457.1692857081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28AB-49CC-931F-8796A05C9965}"/>
            </c:ext>
          </c:extLst>
        </c:ser>
        <c:ser>
          <c:idx val="1"/>
          <c:order val="2"/>
          <c:tx>
            <c:strRef>
              <c:f>'Gráficos - Arrecadação'!$R$100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508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5338713797029986E-2"/>
                  <c:y val="4.3190024712028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8AB-49CC-931F-8796A05C9965}"/>
                </c:ext>
              </c:extLst>
            </c:dLbl>
            <c:dLbl>
              <c:idx val="1"/>
              <c:layout>
                <c:manualLayout>
                  <c:x val="-6.5935018334778328E-2"/>
                  <c:y val="-0.10841253643485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8AB-49CC-931F-8796A05C9965}"/>
                </c:ext>
              </c:extLst>
            </c:dLbl>
            <c:dLbl>
              <c:idx val="2"/>
              <c:layout>
                <c:manualLayout>
                  <c:x val="-5.4354676419929131E-2"/>
                  <c:y val="-9.7118707669172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28AB-49CC-931F-8796A05C9965}"/>
                </c:ext>
              </c:extLst>
            </c:dLbl>
            <c:dLbl>
              <c:idx val="3"/>
              <c:layout>
                <c:manualLayout>
                  <c:x val="-4.3326223369472325E-2"/>
                  <c:y val="-9.8293230795710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28AB-49CC-931F-8796A05C9965}"/>
                </c:ext>
              </c:extLst>
            </c:dLbl>
            <c:dLbl>
              <c:idx val="4"/>
              <c:layout>
                <c:manualLayout>
                  <c:x val="-4.9025671050786375E-2"/>
                  <c:y val="-8.810456496130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28AB-49CC-931F-8796A05C9965}"/>
                </c:ext>
              </c:extLst>
            </c:dLbl>
            <c:dLbl>
              <c:idx val="5"/>
              <c:layout>
                <c:manualLayout>
                  <c:x val="-4.5498416114388707E-2"/>
                  <c:y val="-0.11285805585401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28AB-49CC-931F-8796A05C9965}"/>
                </c:ext>
              </c:extLst>
            </c:dLbl>
            <c:dLbl>
              <c:idx val="6"/>
              <c:layout>
                <c:manualLayout>
                  <c:x val="-3.2039867896714459E-2"/>
                  <c:y val="-6.202665121083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28AB-49CC-931F-8796A05C9965}"/>
                </c:ext>
              </c:extLst>
            </c:dLbl>
            <c:dLbl>
              <c:idx val="7"/>
              <c:layout>
                <c:manualLayout>
                  <c:x val="-5.0766455205916959E-2"/>
                  <c:y val="-6.6419154127056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28AB-49CC-931F-8796A05C9965}"/>
                </c:ext>
              </c:extLst>
            </c:dLbl>
            <c:dLbl>
              <c:idx val="8"/>
              <c:layout>
                <c:manualLayout>
                  <c:x val="-4.9358287108784295E-2"/>
                  <c:y val="-4.872641911929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28AB-49CC-931F-8796A05C9965}"/>
                </c:ext>
              </c:extLst>
            </c:dLbl>
            <c:dLbl>
              <c:idx val="9"/>
              <c:layout>
                <c:manualLayout>
                  <c:x val="-5.3298219298321639E-2"/>
                  <c:y val="-5.5340820239374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AB-49CC-931F-8796A05C9965}"/>
                </c:ext>
              </c:extLst>
            </c:dLbl>
            <c:dLbl>
              <c:idx val="10"/>
              <c:layout>
                <c:manualLayout>
                  <c:x val="-5.3231605395676423E-2"/>
                  <c:y val="-4.869994967322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AB-49CC-931F-8796A05C9965}"/>
                </c:ext>
              </c:extLst>
            </c:dLbl>
            <c:dLbl>
              <c:idx val="11"/>
              <c:layout>
                <c:manualLayout>
                  <c:x val="-3.2416709952857184E-2"/>
                  <c:y val="-3.5449675795124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3-403D-B4C0-8F1D68D77189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9050" cap="flat" cmpd="sng" algn="ctr">
                      <a:solidFill>
                        <a:srgbClr val="00B050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Arrecadação'!$P$101:$P$112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Arrecadação'!$R$101:$R$112</c:f>
              <c:numCache>
                <c:formatCode>_-[$R$-416]\ * #,##0_-;\-[$R$-416]\ * #,##0_-;_-[$R$-416]\ * "-"??_-;_-@_-</c:formatCode>
                <c:ptCount val="12"/>
                <c:pt idx="0">
                  <c:v>653615.37</c:v>
                </c:pt>
                <c:pt idx="1">
                  <c:v>1506919.51</c:v>
                </c:pt>
                <c:pt idx="2">
                  <c:v>2454853.16</c:v>
                </c:pt>
                <c:pt idx="3">
                  <c:v>3136036.34</c:v>
                </c:pt>
                <c:pt idx="4">
                  <c:v>3999978.4699999997</c:v>
                </c:pt>
                <c:pt idx="5">
                  <c:v>4757261.93</c:v>
                </c:pt>
                <c:pt idx="6">
                  <c:v>5689663.9900000002</c:v>
                </c:pt>
                <c:pt idx="7">
                  <c:v>6941469.9500000002</c:v>
                </c:pt>
                <c:pt idx="8">
                  <c:v>8087112.54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7-28AB-49CC-931F-8796A05C9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101888"/>
        <c:axId val="396102448"/>
      </c:lineChart>
      <c:catAx>
        <c:axId val="39610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6102448"/>
        <c:crosses val="autoZero"/>
        <c:auto val="1"/>
        <c:lblAlgn val="ctr"/>
        <c:lblOffset val="100"/>
        <c:noMultiLvlLbl val="0"/>
      </c:catAx>
      <c:valAx>
        <c:axId val="39610244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961018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4475248001682836E-3"/>
                <c:y val="1.2717821008157486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506066176978261"/>
          <c:y val="0.82344941867899424"/>
          <c:w val="0.33075693037359993"/>
          <c:h val="8.59916666666666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153045565501311E-2"/>
          <c:y val="3.651434580205612E-2"/>
          <c:w val="0.94815272764874714"/>
          <c:h val="0.9020025420713523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7572982994845789E-2"/>
                  <c:y val="-3.279186308538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F3-4A7E-A3F8-FB41D24A75F7}"/>
                </c:ext>
              </c:extLst>
            </c:dLbl>
            <c:dLbl>
              <c:idx val="1"/>
              <c:layout>
                <c:manualLayout>
                  <c:x val="-5.932594157550667E-2"/>
                  <c:y val="6.2071337396647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F3-4A7E-A3F8-FB41D24A75F7}"/>
                </c:ext>
              </c:extLst>
            </c:dLbl>
            <c:dLbl>
              <c:idx val="2"/>
              <c:layout>
                <c:manualLayout>
                  <c:x val="-8.5393566569724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F3-4A7E-A3F8-FB41D24A75F7}"/>
                </c:ext>
              </c:extLst>
            </c:dLbl>
            <c:dLbl>
              <c:idx val="3"/>
              <c:layout>
                <c:manualLayout>
                  <c:x val="-4.1996836017897485E-2"/>
                  <c:y val="4.9934516796870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F3-4A7E-A3F8-FB41D24A75F7}"/>
                </c:ext>
              </c:extLst>
            </c:dLbl>
            <c:dLbl>
              <c:idx val="4"/>
              <c:layout>
                <c:manualLayout>
                  <c:x val="-4.7638628540663717E-2"/>
                  <c:y val="-3.6315999643159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F3-4A7E-A3F8-FB41D24A75F7}"/>
                </c:ext>
              </c:extLst>
            </c:dLbl>
            <c:dLbl>
              <c:idx val="5"/>
              <c:layout>
                <c:manualLayout>
                  <c:x val="-4.3342961519248491E-2"/>
                  <c:y val="0.12040698339536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F3-4A7E-A3F8-FB41D24A75F7}"/>
                </c:ext>
              </c:extLst>
            </c:dLbl>
            <c:dLbl>
              <c:idx val="6"/>
              <c:layout>
                <c:manualLayout>
                  <c:x val="-3.9197046950037652E-2"/>
                  <c:y val="3.858576297939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F3-4A7E-A3F8-FB41D24A75F7}"/>
                </c:ext>
              </c:extLst>
            </c:dLbl>
            <c:dLbl>
              <c:idx val="7"/>
              <c:layout>
                <c:manualLayout>
                  <c:x val="-4.1996836017897485E-2"/>
                  <c:y val="6.1283270614341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F3-4A7E-A3F8-FB41D24A75F7}"/>
                </c:ext>
              </c:extLst>
            </c:dLbl>
            <c:dLbl>
              <c:idx val="8"/>
              <c:layout>
                <c:manualLayout>
                  <c:x val="-3.4997363348247906E-2"/>
                  <c:y val="4.5395015269882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F3-4A7E-A3F8-FB41D24A75F7}"/>
                </c:ext>
              </c:extLst>
            </c:dLbl>
            <c:dLbl>
              <c:idx val="9"/>
              <c:layout>
                <c:manualLayout>
                  <c:x val="-3.9197046950037756E-2"/>
                  <c:y val="4.5395015269882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F3-4A7E-A3F8-FB41D24A75F7}"/>
                </c:ext>
              </c:extLst>
            </c:dLbl>
            <c:dLbl>
              <c:idx val="10"/>
              <c:layout>
                <c:manualLayout>
                  <c:x val="-2.7997890678598428E-2"/>
                  <c:y val="-3.858576297939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F3-4A7E-A3F8-FB41D24A75F7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1587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Arrecadação'!$P$117:$P$128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  <c:extLst xmlns:c15="http://schemas.microsoft.com/office/drawing/2012/chart"/>
            </c:strRef>
          </c:cat>
          <c:val>
            <c:numRef>
              <c:f>'Gráficos - Arrecadação'!#REF!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B-C9F3-4A7E-A3F8-FB41D24A75F7}"/>
            </c:ext>
          </c:extLst>
        </c:ser>
        <c:ser>
          <c:idx val="1"/>
          <c:order val="1"/>
          <c:tx>
            <c:strRef>
              <c:f>'Gráficos - Arrecadação'!$Q$116</c:f>
              <c:strCache>
                <c:ptCount val="1"/>
                <c:pt idx="0">
                  <c:v>2020</c:v>
                </c:pt>
              </c:strCache>
              <c:extLst xmlns:c15="http://schemas.microsoft.com/office/drawing/2012/chart"/>
            </c:strRef>
          </c:tx>
          <c:spPr>
            <a:ln w="508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3175">
                <a:solidFill>
                  <a:schemeClr val="tx1">
                    <a:lumMod val="95000"/>
                    <a:lumOff val="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8206602485563891E-2"/>
                  <c:y val="-3.187160072479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C9F3-4A7E-A3F8-FB41D24A75F7}"/>
                </c:ext>
              </c:extLst>
            </c:dLbl>
            <c:dLbl>
              <c:idx val="1"/>
              <c:layout>
                <c:manualLayout>
                  <c:x val="-6.2161194942779836E-2"/>
                  <c:y val="4.890706220656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C9F3-4A7E-A3F8-FB41D24A75F7}"/>
                </c:ext>
              </c:extLst>
            </c:dLbl>
            <c:dLbl>
              <c:idx val="2"/>
              <c:layout>
                <c:manualLayout>
                  <c:x val="-7.5009642854735797E-2"/>
                  <c:y val="4.0031200518151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C9F3-4A7E-A3F8-FB41D24A75F7}"/>
                </c:ext>
              </c:extLst>
            </c:dLbl>
            <c:dLbl>
              <c:idx val="3"/>
              <c:layout>
                <c:manualLayout>
                  <c:x val="-3.4989693217021764E-2"/>
                  <c:y val="3.8133481489996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C9F3-4A7E-A3F8-FB41D24A75F7}"/>
                </c:ext>
              </c:extLst>
            </c:dLbl>
            <c:dLbl>
              <c:idx val="4"/>
              <c:layout>
                <c:manualLayout>
                  <c:x val="-5.7338933979362565E-2"/>
                  <c:y val="-4.9467402931443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C9F3-4A7E-A3F8-FB41D24A75F7}"/>
                </c:ext>
              </c:extLst>
            </c:dLbl>
            <c:dLbl>
              <c:idx val="5"/>
              <c:layout>
                <c:manualLayout>
                  <c:x val="-3.4984395421194303E-2"/>
                  <c:y val="5.6279224221059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C9F3-4A7E-A3F8-FB41D24A75F7}"/>
                </c:ext>
              </c:extLst>
            </c:dLbl>
            <c:dLbl>
              <c:idx val="6"/>
              <c:layout>
                <c:manualLayout>
                  <c:x val="-4.3276248510459171E-2"/>
                  <c:y val="5.471795952513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C9F3-4A7E-A3F8-FB41D24A75F7}"/>
                </c:ext>
              </c:extLst>
            </c:dLbl>
            <c:dLbl>
              <c:idx val="7"/>
              <c:layout>
                <c:manualLayout>
                  <c:x val="-5.0216842922982403E-2"/>
                  <c:y val="-5.89956226058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C9F3-4A7E-A3F8-FB41D24A75F7}"/>
                </c:ext>
              </c:extLst>
            </c:dLbl>
            <c:dLbl>
              <c:idx val="8"/>
              <c:layout>
                <c:manualLayout>
                  <c:x val="-4.4700238304826771E-2"/>
                  <c:y val="2.941512508551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C9F3-4A7E-A3F8-FB41D24A75F7}"/>
                </c:ext>
              </c:extLst>
            </c:dLbl>
            <c:dLbl>
              <c:idx val="9"/>
              <c:layout>
                <c:manualLayout>
                  <c:x val="-4.0626388352867825E-2"/>
                  <c:y val="4.986297093862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C9F3-4A7E-A3F8-FB41D24A75F7}"/>
                </c:ext>
              </c:extLst>
            </c:dLbl>
            <c:dLbl>
              <c:idx val="10"/>
              <c:layout>
                <c:manualLayout>
                  <c:x val="-4.3396730551827405E-2"/>
                  <c:y val="3.858576297939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C9F3-4A7E-A3F8-FB41D24A75F7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'Gráficos - Arrecadação'!$P$117:$P$128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  <c:extLst xmlns:c15="http://schemas.microsoft.com/office/drawing/2012/chart"/>
            </c:strRef>
          </c:cat>
          <c:val>
            <c:numRef>
              <c:f>'Gráficos - Arrecadação'!$Q$117:$Q$128</c:f>
              <c:numCache>
                <c:formatCode>_-[$R$-416]\ * #,##0_-;\-[$R$-416]\ * #,##0_-;_-[$R$-416]\ * "-"??_-;_-@_-</c:formatCode>
                <c:ptCount val="12"/>
                <c:pt idx="0">
                  <c:v>22576388.020000003</c:v>
                </c:pt>
                <c:pt idx="1">
                  <c:v>21791063.839999996</c:v>
                </c:pt>
                <c:pt idx="2">
                  <c:v>15811503.18999999</c:v>
                </c:pt>
                <c:pt idx="3">
                  <c:v>8141870.1900000051</c:v>
                </c:pt>
                <c:pt idx="4">
                  <c:v>8658705.8900000006</c:v>
                </c:pt>
                <c:pt idx="5">
                  <c:v>11852236.879999995</c:v>
                </c:pt>
                <c:pt idx="6">
                  <c:v>15414639.370000005</c:v>
                </c:pt>
                <c:pt idx="7">
                  <c:v>16518182.859999985</c:v>
                </c:pt>
                <c:pt idx="8">
                  <c:v>12575439.830000013</c:v>
                </c:pt>
                <c:pt idx="9">
                  <c:v>13091764.559999973</c:v>
                </c:pt>
                <c:pt idx="10">
                  <c:v>11490553.480000019</c:v>
                </c:pt>
                <c:pt idx="11">
                  <c:v>11503465.950000048</c:v>
                </c:pt>
              </c:numCache>
              <c:extLst xmlns:c15="http://schemas.microsoft.com/office/drawing/2012/chart"/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7-C9F3-4A7E-A3F8-FB41D24A75F7}"/>
            </c:ext>
          </c:extLst>
        </c:ser>
        <c:ser>
          <c:idx val="2"/>
          <c:order val="2"/>
          <c:tx>
            <c:strRef>
              <c:f>'Gráficos - Arrecadação'!$R$116</c:f>
              <c:strCache>
                <c:ptCount val="1"/>
                <c:pt idx="0">
                  <c:v>2021</c:v>
                </c:pt>
              </c:strCache>
            </c:strRef>
          </c:tx>
          <c:spPr>
            <a:ln w="508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679069663120475E-2"/>
                  <c:y val="2.3735215602687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C9F3-4A7E-A3F8-FB41D24A75F7}"/>
                </c:ext>
              </c:extLst>
            </c:dLbl>
            <c:dLbl>
              <c:idx val="1"/>
              <c:layout>
                <c:manualLayout>
                  <c:x val="-2.4002228325343013E-2"/>
                  <c:y val="-3.4308784056592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C9F3-4A7E-A3F8-FB41D24A75F7}"/>
                </c:ext>
              </c:extLst>
            </c:dLbl>
            <c:dLbl>
              <c:idx val="2"/>
              <c:layout>
                <c:manualLayout>
                  <c:x val="-5.0279871151001444E-2"/>
                  <c:y val="-6.6414614277107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C9F3-4A7E-A3F8-FB41D24A75F7}"/>
                </c:ext>
              </c:extLst>
            </c:dLbl>
            <c:dLbl>
              <c:idx val="3"/>
              <c:layout>
                <c:manualLayout>
                  <c:x val="-6.0252180401100773E-2"/>
                  <c:y val="4.6587559400540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C9F3-4A7E-A3F8-FB41D24A75F7}"/>
                </c:ext>
              </c:extLst>
            </c:dLbl>
            <c:dLbl>
              <c:idx val="4"/>
              <c:layout>
                <c:manualLayout>
                  <c:x val="-4.4240046253290838E-2"/>
                  <c:y val="-3.8172308753376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C9F3-4A7E-A3F8-FB41D24A75F7}"/>
                </c:ext>
              </c:extLst>
            </c:dLbl>
            <c:dLbl>
              <c:idx val="5"/>
              <c:layout>
                <c:manualLayout>
                  <c:x val="-4.2140765944256683E-2"/>
                  <c:y val="4.330133915742284E-2"/>
                </c:manualLayout>
              </c:layout>
              <c:numFmt formatCode="&quot;R$&quot;\ 0.00;;_(@_)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724429603414897E-2"/>
                      <c:h val="5.362609736546634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D-C9F3-4A7E-A3F8-FB41D24A75F7}"/>
                </c:ext>
              </c:extLst>
            </c:dLbl>
            <c:dLbl>
              <c:idx val="6"/>
              <c:layout>
                <c:manualLayout>
                  <c:x val="-4.0051681948713808E-2"/>
                  <c:y val="-2.859793985605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C9F3-4A7E-A3F8-FB41D24A75F7}"/>
                </c:ext>
              </c:extLst>
            </c:dLbl>
            <c:dLbl>
              <c:idx val="7"/>
              <c:layout>
                <c:manualLayout>
                  <c:x val="-5.685358632499999E-2"/>
                  <c:y val="4.0742360641640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C9F3-4A7E-A3F8-FB41D24A75F7}"/>
                </c:ext>
              </c:extLst>
            </c:dLbl>
            <c:dLbl>
              <c:idx val="8"/>
              <c:layout>
                <c:manualLayout>
                  <c:x val="-3.3054947860842829E-2"/>
                  <c:y val="-6.0541541136308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C9F3-4A7E-A3F8-FB41D24A75F7}"/>
                </c:ext>
              </c:extLst>
            </c:dLbl>
            <c:dLbl>
              <c:idx val="9"/>
              <c:layout>
                <c:manualLayout>
                  <c:x val="-4.174059227290644E-2"/>
                  <c:y val="-4.0341741389633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C9F3-4A7E-A3F8-FB41D24A75F7}"/>
                </c:ext>
              </c:extLst>
            </c:dLbl>
            <c:dLbl>
              <c:idx val="10"/>
              <c:layout>
                <c:manualLayout>
                  <c:x val="-3.695652390085543E-2"/>
                  <c:y val="-6.658128429632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C9F3-4A7E-A3F8-FB41D24A75F7}"/>
                </c:ext>
              </c:extLst>
            </c:dLbl>
            <c:dLbl>
              <c:idx val="11"/>
              <c:layout>
                <c:manualLayout>
                  <c:x val="-7.0234012831874686E-3"/>
                  <c:y val="-5.1435675628184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3-C9F3-4A7E-A3F8-FB41D24A75F7}"/>
                </c:ext>
              </c:extLst>
            </c:dLbl>
            <c:numFmt formatCode="&quot;R$&quot;\ 0.00;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'Gráficos - Arrecadação'!$P$117:$P$128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  <c:extLst/>
            </c:strRef>
          </c:cat>
          <c:val>
            <c:numRef>
              <c:f>'Gráficos - Arrecadação'!$R$117:$R$128</c:f>
              <c:numCache>
                <c:formatCode>_-[$R$-416]\ * #,##0_-;\-[$R$-416]\ * #,##0_-;_-[$R$-416]\ * "-"??_-;_-@_-</c:formatCode>
                <c:ptCount val="12"/>
                <c:pt idx="0">
                  <c:v>20826016.739999998</c:v>
                </c:pt>
                <c:pt idx="1">
                  <c:v>22708621.000000004</c:v>
                </c:pt>
                <c:pt idx="2">
                  <c:v>20161318.559999999</c:v>
                </c:pt>
                <c:pt idx="3">
                  <c:v>16615530.980000008</c:v>
                </c:pt>
                <c:pt idx="4">
                  <c:v>16155960.789999992</c:v>
                </c:pt>
                <c:pt idx="5">
                  <c:v>17234451.25</c:v>
                </c:pt>
                <c:pt idx="6">
                  <c:v>16068055.850000024</c:v>
                </c:pt>
                <c:pt idx="7">
                  <c:v>16489729.73999998</c:v>
                </c:pt>
                <c:pt idx="8">
                  <c:v>13915469.599999994</c:v>
                </c:pt>
                <c:pt idx="9">
                  <c:v>12602396.24000001</c:v>
                </c:pt>
                <c:pt idx="10">
                  <c:v>12335348.24000001</c:v>
                </c:pt>
                <c:pt idx="11">
                  <c:v>12798786.219999999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24-C9F3-4A7E-A3F8-FB41D24A75F7}"/>
            </c:ext>
          </c:extLst>
        </c:ser>
        <c:ser>
          <c:idx val="3"/>
          <c:order val="3"/>
          <c:tx>
            <c:strRef>
              <c:f>'Gráficos - Arrecadação'!$S$116</c:f>
              <c:strCache>
                <c:ptCount val="1"/>
                <c:pt idx="0">
                  <c:v>2022</c:v>
                </c:pt>
              </c:strCache>
            </c:strRef>
          </c:tx>
          <c:spPr>
            <a:ln w="508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6.4012755637852053E-2"/>
                  <c:y val="-2.4970593261638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5-C9F3-4A7E-A3F8-FB41D24A75F7}"/>
                </c:ext>
              </c:extLst>
            </c:dLbl>
            <c:dLbl>
              <c:idx val="1"/>
              <c:layout>
                <c:manualLayout>
                  <c:x val="-5.0363931447396086E-2"/>
                  <c:y val="-4.2858033178051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6-C9F3-4A7E-A3F8-FB41D24A75F7}"/>
                </c:ext>
              </c:extLst>
            </c:dLbl>
            <c:dLbl>
              <c:idx val="2"/>
              <c:layout>
                <c:manualLayout>
                  <c:x val="-4.3499191171376787E-2"/>
                  <c:y val="-4.3090001316093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C9F3-4A7E-A3F8-FB41D24A75F7}"/>
                </c:ext>
              </c:extLst>
            </c:dLbl>
            <c:dLbl>
              <c:idx val="3"/>
              <c:layout>
                <c:manualLayout>
                  <c:x val="-8.9310733936429285E-2"/>
                  <c:y val="-3.4228247004816329E-3"/>
                </c:manualLayout>
              </c:layout>
              <c:numFmt formatCode="&quot;R$&quot;\ 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1800" b="1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6196390181630713E-2"/>
                      <c:h val="5.590287645975940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8-C9F3-4A7E-A3F8-FB41D24A75F7}"/>
                </c:ext>
              </c:extLst>
            </c:dLbl>
            <c:dLbl>
              <c:idx val="4"/>
              <c:layout>
                <c:manualLayout>
                  <c:x val="-4.7309623580123736E-2"/>
                  <c:y val="-4.2198827684135277E-2"/>
                </c:manualLayout>
              </c:layout>
              <c:numFmt formatCode="&quot;R$&quot;\ 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1800" b="1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424689362030453E-2"/>
                      <c:h val="6.268824951692442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9-C9F3-4A7E-A3F8-FB41D24A75F7}"/>
                </c:ext>
              </c:extLst>
            </c:dLbl>
            <c:dLbl>
              <c:idx val="5"/>
              <c:layout>
                <c:manualLayout>
                  <c:x val="-3.9549742047332553E-2"/>
                  <c:y val="-4.6373674093658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A-C9F3-4A7E-A3F8-FB41D24A75F7}"/>
                </c:ext>
              </c:extLst>
            </c:dLbl>
            <c:dLbl>
              <c:idx val="6"/>
              <c:layout>
                <c:manualLayout>
                  <c:x val="-4.8626063075705495E-2"/>
                  <c:y val="-5.2170152111454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B-C9F3-4A7E-A3F8-FB41D24A75F7}"/>
                </c:ext>
              </c:extLst>
            </c:dLbl>
            <c:dLbl>
              <c:idx val="7"/>
              <c:layout>
                <c:manualLayout>
                  <c:x val="-4.0258350675270262E-2"/>
                  <c:y val="-7.8796099392685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C-C9F3-4A7E-A3F8-FB41D24A75F7}"/>
                </c:ext>
              </c:extLst>
            </c:dLbl>
            <c:dLbl>
              <c:idx val="8"/>
              <c:layout>
                <c:manualLayout>
                  <c:x val="-3.2361360573207126E-2"/>
                  <c:y val="-7.027261131402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D-C9F3-4A7E-A3F8-FB41D24A75F7}"/>
                </c:ext>
              </c:extLst>
            </c:dLbl>
            <c:dLbl>
              <c:idx val="9"/>
              <c:layout>
                <c:manualLayout>
                  <c:x val="-3.9462616494579605E-2"/>
                  <c:y val="8.1687606597752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9F3-4A7E-A3F8-FB41D24A75F7}"/>
                </c:ext>
              </c:extLst>
            </c:dLbl>
            <c:dLbl>
              <c:idx val="10"/>
              <c:layout>
                <c:manualLayout>
                  <c:x val="-2.5368838609907497E-2"/>
                  <c:y val="-6.3456079327950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9F3-4A7E-A3F8-FB41D24A75F7}"/>
                </c:ext>
              </c:extLst>
            </c:dLbl>
            <c:dLbl>
              <c:idx val="11"/>
              <c:layout>
                <c:manualLayout>
                  <c:x val="-6.917153309280521E-3"/>
                  <c:y val="-5.7533349130901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9F3-4A7E-A3F8-FB41D24A75F7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8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'Gráficos - Arrecadação'!$P$117:$P$128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  <c:extLst/>
            </c:strRef>
          </c:cat>
          <c:val>
            <c:numRef>
              <c:f>'Gráficos - Arrecadação'!$S$117:$S$128</c:f>
              <c:numCache>
                <c:formatCode>_-[$R$-416]\ * #,##0_-;\-[$R$-416]\ * #,##0_-;_-[$R$-416]\ * "-"??_-;_-@_-</c:formatCode>
                <c:ptCount val="12"/>
                <c:pt idx="0">
                  <c:v>20850868.670000006</c:v>
                </c:pt>
                <c:pt idx="1">
                  <c:v>24643200.429999996</c:v>
                </c:pt>
                <c:pt idx="2">
                  <c:v>25022780.400000002</c:v>
                </c:pt>
                <c:pt idx="3">
                  <c:v>16423502.060000006</c:v>
                </c:pt>
                <c:pt idx="4">
                  <c:v>19444466.520000011</c:v>
                </c:pt>
                <c:pt idx="5">
                  <c:v>18995234.909999996</c:v>
                </c:pt>
                <c:pt idx="6">
                  <c:v>17489413.370000005</c:v>
                </c:pt>
                <c:pt idx="7">
                  <c:v>17109685.619999945</c:v>
                </c:pt>
                <c:pt idx="8">
                  <c:v>14473753.270000011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31-C9F3-4A7E-A3F8-FB41D24A7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632016"/>
        <c:axId val="384632576"/>
        <c:extLst/>
      </c:lineChart>
      <c:catAx>
        <c:axId val="384632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4632576"/>
        <c:crosses val="autoZero"/>
        <c:auto val="1"/>
        <c:lblAlgn val="ctr"/>
        <c:lblOffset val="100"/>
        <c:noMultiLvlLbl val="0"/>
      </c:catAx>
      <c:valAx>
        <c:axId val="384632576"/>
        <c:scaling>
          <c:orientation val="minMax"/>
          <c:min val="6500000"/>
        </c:scaling>
        <c:delete val="1"/>
        <c:axPos val="l"/>
        <c:numFmt formatCode="&quot;R$&quot;\ #,##0.00" sourceLinked="0"/>
        <c:majorTickMark val="out"/>
        <c:minorTickMark val="none"/>
        <c:tickLblPos val="nextTo"/>
        <c:crossAx val="384632016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464327870078754E-2"/>
          <c:y val="0.8660459996076838"/>
          <c:w val="0.21411990411894705"/>
          <c:h val="3.7223230405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tx1"/>
                </a:solidFill>
              </a:rPr>
              <a:t>Inadimplência PF e PJ - Média de 2020 x 2021 x 2022</a:t>
            </a:r>
          </a:p>
        </c:rich>
      </c:tx>
      <c:layout>
        <c:manualLayout>
          <c:xMode val="edge"/>
          <c:yMode val="edge"/>
          <c:x val="0.85766362013972575"/>
          <c:y val="1.3008130081300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BD_Inad!$B$1</c:f>
              <c:strCache>
                <c:ptCount val="1"/>
                <c:pt idx="0">
                  <c:v>Inadimplência PF Média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BD_Inad!$A$2:$A$33</c:f>
              <c:numCache>
                <c:formatCode>mmm\-yy</c:formatCode>
                <c:ptCount val="3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</c:numCache>
            </c:numRef>
          </c:cat>
          <c:val>
            <c:numRef>
              <c:f>BD_Inad!$B$2:$B$33</c:f>
              <c:numCache>
                <c:formatCode>0%</c:formatCode>
                <c:ptCount val="32"/>
                <c:pt idx="0">
                  <c:v>0.68854847045243517</c:v>
                </c:pt>
                <c:pt idx="1">
                  <c:v>0.64227334571278072</c:v>
                </c:pt>
                <c:pt idx="2">
                  <c:v>0.56875516927718306</c:v>
                </c:pt>
                <c:pt idx="3">
                  <c:v>0.55277734368542653</c:v>
                </c:pt>
                <c:pt idx="4">
                  <c:v>0.53920678525592713</c:v>
                </c:pt>
                <c:pt idx="5">
                  <c:v>0.51525966611871898</c:v>
                </c:pt>
                <c:pt idx="6">
                  <c:v>0.45196750870196711</c:v>
                </c:pt>
                <c:pt idx="7">
                  <c:v>0.38870852364716757</c:v>
                </c:pt>
                <c:pt idx="8">
                  <c:v>0.35397366827733451</c:v>
                </c:pt>
                <c:pt idx="9">
                  <c:v>0.33180230084957069</c:v>
                </c:pt>
                <c:pt idx="10">
                  <c:v>0.31055845842271051</c:v>
                </c:pt>
                <c:pt idx="11">
                  <c:v>0.28856661573008435</c:v>
                </c:pt>
                <c:pt idx="12">
                  <c:v>0.85703229818787796</c:v>
                </c:pt>
                <c:pt idx="13">
                  <c:v>0.69727513161860399</c:v>
                </c:pt>
                <c:pt idx="14">
                  <c:v>0.54542575272403715</c:v>
                </c:pt>
                <c:pt idx="15">
                  <c:v>0.49766670355622855</c:v>
                </c:pt>
                <c:pt idx="16">
                  <c:v>0.4551002350569231</c:v>
                </c:pt>
                <c:pt idx="17">
                  <c:v>0.41446855371946123</c:v>
                </c:pt>
                <c:pt idx="18">
                  <c:v>0.37156580458077088</c:v>
                </c:pt>
                <c:pt idx="19">
                  <c:v>0.34340276215258947</c:v>
                </c:pt>
                <c:pt idx="20">
                  <c:v>0.33885878903401062</c:v>
                </c:pt>
                <c:pt idx="21">
                  <c:v>0.32317101552292982</c:v>
                </c:pt>
                <c:pt idx="22">
                  <c:v>0.31093764237288635</c:v>
                </c:pt>
                <c:pt idx="23">
                  <c:v>0.29716331434558924</c:v>
                </c:pt>
                <c:pt idx="24">
                  <c:v>0.77233570733425794</c:v>
                </c:pt>
                <c:pt idx="25">
                  <c:v>0.68123261017607173</c:v>
                </c:pt>
                <c:pt idx="26">
                  <c:v>0.58700956309277386</c:v>
                </c:pt>
                <c:pt idx="27">
                  <c:v>0.53871167019855004</c:v>
                </c:pt>
                <c:pt idx="28">
                  <c:v>0.49526188828175211</c:v>
                </c:pt>
                <c:pt idx="29">
                  <c:v>0.47067993312807715</c:v>
                </c:pt>
                <c:pt idx="30">
                  <c:v>0.43293792764811795</c:v>
                </c:pt>
                <c:pt idx="31">
                  <c:v>0.40554179989020117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1-4644-AEC1-D2E43F95FA1D}"/>
            </c:ext>
          </c:extLst>
        </c:ser>
        <c:ser>
          <c:idx val="1"/>
          <c:order val="1"/>
          <c:tx>
            <c:strRef>
              <c:f>BD_Inad!$C$1</c:f>
              <c:strCache>
                <c:ptCount val="1"/>
                <c:pt idx="0">
                  <c:v>Inadimplência PJ Média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BD_Inad!$A$2:$A$33</c:f>
              <c:numCache>
                <c:formatCode>mmm\-yy</c:formatCode>
                <c:ptCount val="3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</c:numCache>
            </c:numRef>
          </c:cat>
          <c:val>
            <c:numRef>
              <c:f>BD_Inad!$C$2:$C$33</c:f>
              <c:numCache>
                <c:formatCode>0%</c:formatCode>
                <c:ptCount val="32"/>
                <c:pt idx="0">
                  <c:v>0.81680391377162498</c:v>
                </c:pt>
                <c:pt idx="1">
                  <c:v>0.79601579572791603</c:v>
                </c:pt>
                <c:pt idx="2">
                  <c:v>0.71974665378947489</c:v>
                </c:pt>
                <c:pt idx="3">
                  <c:v>0.71974665378947489</c:v>
                </c:pt>
                <c:pt idx="4">
                  <c:v>0.69619116738230047</c:v>
                </c:pt>
                <c:pt idx="5">
                  <c:v>0.67767074567983143</c:v>
                </c:pt>
                <c:pt idx="6">
                  <c:v>0.64090778320161446</c:v>
                </c:pt>
                <c:pt idx="7">
                  <c:v>0.60402117940323363</c:v>
                </c:pt>
                <c:pt idx="8">
                  <c:v>0.58083120818571554</c:v>
                </c:pt>
                <c:pt idx="9">
                  <c:v>0.56596888738774576</c:v>
                </c:pt>
                <c:pt idx="10">
                  <c:v>0.55047271680071674</c:v>
                </c:pt>
                <c:pt idx="11">
                  <c:v>0.53649009018941662</c:v>
                </c:pt>
                <c:pt idx="12">
                  <c:v>0.9608190012691884</c:v>
                </c:pt>
                <c:pt idx="13">
                  <c:v>0.92608059188901093</c:v>
                </c:pt>
                <c:pt idx="14">
                  <c:v>0.88679276495503079</c:v>
                </c:pt>
                <c:pt idx="15">
                  <c:v>0.86319678468069294</c:v>
                </c:pt>
                <c:pt idx="16">
                  <c:v>0.84001513720403764</c:v>
                </c:pt>
                <c:pt idx="17">
                  <c:v>0.81517744372196921</c:v>
                </c:pt>
                <c:pt idx="18">
                  <c:v>0.78373892613789031</c:v>
                </c:pt>
                <c:pt idx="19">
                  <c:v>0.67743052285636329</c:v>
                </c:pt>
                <c:pt idx="20">
                  <c:v>0.62024891958705985</c:v>
                </c:pt>
                <c:pt idx="21">
                  <c:v>0.59213165428309766</c:v>
                </c:pt>
                <c:pt idx="22">
                  <c:v>0.57132990660024785</c:v>
                </c:pt>
                <c:pt idx="23">
                  <c:v>0.55292939043199896</c:v>
                </c:pt>
                <c:pt idx="24">
                  <c:v>0.92139484383148007</c:v>
                </c:pt>
                <c:pt idx="25">
                  <c:v>0.88818963381567517</c:v>
                </c:pt>
                <c:pt idx="26">
                  <c:v>0.86091463411923186</c:v>
                </c:pt>
                <c:pt idx="27">
                  <c:v>0.83725706300785641</c:v>
                </c:pt>
                <c:pt idx="28">
                  <c:v>0.81534902400166398</c:v>
                </c:pt>
                <c:pt idx="29">
                  <c:v>0.79292135714477729</c:v>
                </c:pt>
                <c:pt idx="30">
                  <c:v>0.58109937930247935</c:v>
                </c:pt>
                <c:pt idx="31">
                  <c:v>0.63260037792210322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E1-4644-AEC1-D2E43F95F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5"/>
        <c:axId val="1972383888"/>
        <c:axId val="1972406768"/>
      </c:barChart>
      <c:dateAx>
        <c:axId val="19723838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72406768"/>
        <c:crosses val="autoZero"/>
        <c:auto val="1"/>
        <c:lblOffset val="100"/>
        <c:baseTimeUnit val="months"/>
      </c:dateAx>
      <c:valAx>
        <c:axId val="197240676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97238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3485292849924158"/>
          <c:y val="6.5000064016388193E-2"/>
          <c:w val="0.36108845933042438"/>
          <c:h val="6.23327571858395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- Apresentação Cenário de Recursos - Arrecadação SETEMBRO.xlsx]BD_RRT!Tabela dinâmica20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Total de RRT Pagos</a:t>
            </a:r>
          </a:p>
        </c:rich>
      </c:tx>
      <c:layout>
        <c:manualLayout>
          <c:xMode val="edge"/>
          <c:yMode val="edge"/>
          <c:x val="0.82714169884815358"/>
          <c:y val="1.7127421116156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BD_RRT!$F$3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BD_RRT!$E$4:$E$39</c:f>
              <c:multiLvlStrCache>
                <c:ptCount val="32"/>
                <c:lvl>
                  <c:pt idx="0">
                    <c:v>jan</c:v>
                  </c:pt>
                  <c:pt idx="1">
                    <c:v>fev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mai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out</c:v>
                  </c:pt>
                  <c:pt idx="10">
                    <c:v>nov</c:v>
                  </c:pt>
                  <c:pt idx="11">
                    <c:v>dez</c:v>
                  </c:pt>
                  <c:pt idx="12">
                    <c:v>jan</c:v>
                  </c:pt>
                  <c:pt idx="13">
                    <c:v>fev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mai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out</c:v>
                  </c:pt>
                  <c:pt idx="22">
                    <c:v>nov</c:v>
                  </c:pt>
                  <c:pt idx="23">
                    <c:v>dez</c:v>
                  </c:pt>
                  <c:pt idx="24">
                    <c:v>jan</c:v>
                  </c:pt>
                  <c:pt idx="25">
                    <c:v>fev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mai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BD_RRT!$F$4:$F$39</c:f>
              <c:numCache>
                <c:formatCode>#,##0</c:formatCode>
                <c:ptCount val="32"/>
                <c:pt idx="0">
                  <c:v>66496</c:v>
                </c:pt>
                <c:pt idx="1">
                  <c:v>63031</c:v>
                </c:pt>
                <c:pt idx="2">
                  <c:v>67571</c:v>
                </c:pt>
                <c:pt idx="3">
                  <c:v>41037</c:v>
                </c:pt>
                <c:pt idx="4">
                  <c:v>49700</c:v>
                </c:pt>
                <c:pt idx="5">
                  <c:v>62825</c:v>
                </c:pt>
                <c:pt idx="6">
                  <c:v>79892</c:v>
                </c:pt>
                <c:pt idx="7">
                  <c:v>84156</c:v>
                </c:pt>
                <c:pt idx="8">
                  <c:v>82037</c:v>
                </c:pt>
                <c:pt idx="9">
                  <c:v>89625</c:v>
                </c:pt>
                <c:pt idx="10">
                  <c:v>81149</c:v>
                </c:pt>
                <c:pt idx="11">
                  <c:v>71891</c:v>
                </c:pt>
                <c:pt idx="12">
                  <c:v>61814</c:v>
                </c:pt>
                <c:pt idx="13">
                  <c:v>74217</c:v>
                </c:pt>
                <c:pt idx="14">
                  <c:v>84947</c:v>
                </c:pt>
                <c:pt idx="15">
                  <c:v>76771</c:v>
                </c:pt>
                <c:pt idx="16">
                  <c:v>79973</c:v>
                </c:pt>
                <c:pt idx="17">
                  <c:v>86640</c:v>
                </c:pt>
                <c:pt idx="18">
                  <c:v>94475</c:v>
                </c:pt>
                <c:pt idx="19">
                  <c:v>97162</c:v>
                </c:pt>
                <c:pt idx="20">
                  <c:v>91604</c:v>
                </c:pt>
                <c:pt idx="21">
                  <c:v>86012</c:v>
                </c:pt>
                <c:pt idx="22">
                  <c:v>86092</c:v>
                </c:pt>
                <c:pt idx="23">
                  <c:v>76250</c:v>
                </c:pt>
                <c:pt idx="24">
                  <c:v>65965</c:v>
                </c:pt>
                <c:pt idx="25">
                  <c:v>73809</c:v>
                </c:pt>
                <c:pt idx="26">
                  <c:v>94024</c:v>
                </c:pt>
                <c:pt idx="27">
                  <c:v>78399</c:v>
                </c:pt>
                <c:pt idx="28">
                  <c:v>93305</c:v>
                </c:pt>
                <c:pt idx="29">
                  <c:v>86380</c:v>
                </c:pt>
                <c:pt idx="30">
                  <c:v>85436</c:v>
                </c:pt>
                <c:pt idx="31">
                  <c:v>95562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D-4393-864F-0A57CD624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18032560"/>
        <c:axId val="218035888"/>
      </c:barChart>
      <c:catAx>
        <c:axId val="21803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8035888"/>
        <c:crosses val="autoZero"/>
        <c:auto val="1"/>
        <c:lblAlgn val="ctr"/>
        <c:lblOffset val="100"/>
        <c:noMultiLvlLbl val="0"/>
      </c:catAx>
      <c:valAx>
        <c:axId val="2180358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803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7978573645861"/>
          <c:y val="4.1894331520011513E-2"/>
          <c:w val="0.85781922540765909"/>
          <c:h val="0.86975331226121433"/>
        </c:manualLayout>
      </c:layout>
      <c:lineChart>
        <c:grouping val="standard"/>
        <c:varyColors val="0"/>
        <c:ser>
          <c:idx val="1"/>
          <c:order val="0"/>
          <c:tx>
            <c:strRef>
              <c:f>'Gráficos - Arrecadação'!$S$20</c:f>
              <c:strCache>
                <c:ptCount val="1"/>
                <c:pt idx="0">
                  <c:v>Potencial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7.9320165477000978E-2"/>
                  <c:y val="-3.4813503817407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8DE-480A-B7E8-CA79929D1FDC}"/>
                </c:ext>
              </c:extLst>
            </c:dLbl>
            <c:dLbl>
              <c:idx val="1"/>
              <c:layout>
                <c:manualLayout>
                  <c:x val="-8.129870353431462E-2"/>
                  <c:y val="-2.6998335171790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8DE-480A-B7E8-CA79929D1FDC}"/>
                </c:ext>
              </c:extLst>
            </c:dLbl>
            <c:dLbl>
              <c:idx val="2"/>
              <c:layout>
                <c:manualLayout>
                  <c:x val="-6.3471185347879877E-2"/>
                  <c:y val="-4.2141898013947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8DE-480A-B7E8-CA79929D1FDC}"/>
                </c:ext>
              </c:extLst>
            </c:dLbl>
            <c:dLbl>
              <c:idx val="3"/>
              <c:layout>
                <c:manualLayout>
                  <c:x val="-6.3444631392323911E-2"/>
                  <c:y val="-3.7995346048212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8DE-480A-B7E8-CA79929D1FDC}"/>
                </c:ext>
              </c:extLst>
            </c:dLbl>
            <c:dLbl>
              <c:idx val="4"/>
              <c:layout>
                <c:manualLayout>
                  <c:x val="-7.7311017616391683E-2"/>
                  <c:y val="-1.8546096578136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8DE-480A-B7E8-CA79929D1FDC}"/>
                </c:ext>
              </c:extLst>
            </c:dLbl>
            <c:dLbl>
              <c:idx val="5"/>
              <c:layout>
                <c:manualLayout>
                  <c:x val="-5.554252999972701E-2"/>
                  <c:y val="-6.1732220050491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8DE-480A-B7E8-CA79929D1FDC}"/>
                </c:ext>
              </c:extLst>
            </c:dLbl>
            <c:dLbl>
              <c:idx val="6"/>
              <c:layout>
                <c:manualLayout>
                  <c:x val="-3.7705540511189073E-2"/>
                  <c:y val="-4.231740660030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8DE-480A-B7E8-CA79929D1FDC}"/>
                </c:ext>
              </c:extLst>
            </c:dLbl>
            <c:dLbl>
              <c:idx val="7"/>
              <c:layout>
                <c:manualLayout>
                  <c:x val="-3.9690042643356765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F8DE-480A-B7E8-CA79929D1FDC}"/>
                </c:ext>
              </c:extLst>
            </c:dLbl>
            <c:dLbl>
              <c:idx val="8"/>
              <c:layout>
                <c:manualLayout>
                  <c:x val="-3.9690042643356842E-2"/>
                  <c:y val="-4.61644435639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F8DE-480A-B7E8-CA79929D1FDC}"/>
                </c:ext>
              </c:extLst>
            </c:dLbl>
            <c:dLbl>
              <c:idx val="9"/>
              <c:layout>
                <c:manualLayout>
                  <c:x val="-3.9690042643356842E-2"/>
                  <c:y val="-4.231740660030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DE-480A-B7E8-CA79929D1FDC}"/>
                </c:ext>
              </c:extLst>
            </c:dLbl>
            <c:dLbl>
              <c:idx val="10"/>
              <c:layout>
                <c:manualLayout>
                  <c:x val="-4.5643549039860509E-2"/>
                  <c:y val="-3.4623332672975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DE-480A-B7E8-CA79929D1FDC}"/>
                </c:ext>
              </c:extLst>
            </c:dLbl>
            <c:dLbl>
              <c:idx val="11"/>
              <c:layout>
                <c:manualLayout>
                  <c:x val="-3.3736536246853313E-2"/>
                  <c:y val="-3.4623332672975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DE-480A-B7E8-CA79929D1FDC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2700" cap="rnd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Arrecadação'!$P$21:$P$32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Arrecadação'!$S$21:$S$32</c:f>
              <c:numCache>
                <c:formatCode>_-[$R$-416]\ * #,##0_-;\-[$R$-416]\ * #,##0_-;_-[$R$-416]\ * "-"??_-;_-@_-</c:formatCode>
                <c:ptCount val="12"/>
                <c:pt idx="0">
                  <c:v>20659530.362153042</c:v>
                </c:pt>
                <c:pt idx="1">
                  <c:v>40477751.405271091</c:v>
                </c:pt>
                <c:pt idx="2">
                  <c:v>50181564.297001474</c:v>
                </c:pt>
                <c:pt idx="3">
                  <c:v>58010737.085941866</c:v>
                </c:pt>
                <c:pt idx="4">
                  <c:v>66406065.64133504</c:v>
                </c:pt>
                <c:pt idx="5">
                  <c:v>74528039.32518658</c:v>
                </c:pt>
                <c:pt idx="6">
                  <c:v>79791366.372447044</c:v>
                </c:pt>
                <c:pt idx="7">
                  <c:v>84968215.907965034</c:v>
                </c:pt>
                <c:pt idx="8">
                  <c:v>87837564.421211004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F8DE-480A-B7E8-CA79929D1FDC}"/>
            </c:ext>
          </c:extLst>
        </c:ser>
        <c:ser>
          <c:idx val="0"/>
          <c:order val="1"/>
          <c:tx>
            <c:strRef>
              <c:f>'Gráficos - Arrecadação'!$Q$20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6350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8.4594076250604749E-2"/>
                  <c:y val="2.710926113633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838-42D5-ACCA-94B26E88CD6D}"/>
                </c:ext>
              </c:extLst>
            </c:dLbl>
            <c:dLbl>
              <c:idx val="1"/>
              <c:layout>
                <c:manualLayout>
                  <c:x val="-6.2832939272562408E-2"/>
                  <c:y val="-1.9137711074974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838-42D5-ACCA-94B26E88CD6D}"/>
                </c:ext>
              </c:extLst>
            </c:dLbl>
            <c:dLbl>
              <c:idx val="2"/>
              <c:layout>
                <c:manualLayout>
                  <c:x val="-9.8459710968074182E-2"/>
                  <c:y val="-2.2866918200504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838-42D5-ACCA-94B26E88CD6D}"/>
                </c:ext>
              </c:extLst>
            </c:dLbl>
            <c:dLbl>
              <c:idx val="3"/>
              <c:layout>
                <c:manualLayout>
                  <c:x val="-5.4910891771135242E-2"/>
                  <c:y val="6.3691403020873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838-42D5-ACCA-94B26E88CD6D}"/>
                </c:ext>
              </c:extLst>
            </c:dLbl>
            <c:dLbl>
              <c:idx val="4"/>
              <c:layout>
                <c:manualLayout>
                  <c:x val="-7.2719290494244318E-2"/>
                  <c:y val="5.2033389513062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838-42D5-ACCA-94B26E88CD6D}"/>
                </c:ext>
              </c:extLst>
            </c:dLbl>
            <c:dLbl>
              <c:idx val="5"/>
              <c:layout>
                <c:manualLayout>
                  <c:x val="-5.9064075668395555E-2"/>
                  <c:y val="6.3534400007896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838-42D5-ACCA-94B26E88CD6D}"/>
                </c:ext>
              </c:extLst>
            </c:dLbl>
            <c:dLbl>
              <c:idx val="6"/>
              <c:layout>
                <c:manualLayout>
                  <c:x val="-4.714406852433943E-2"/>
                  <c:y val="5.175578104217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838-42D5-ACCA-94B26E88CD6D}"/>
                </c:ext>
              </c:extLst>
            </c:dLbl>
            <c:dLbl>
              <c:idx val="7"/>
              <c:layout>
                <c:manualLayout>
                  <c:x val="-1.5475824605347141E-2"/>
                  <c:y val="3.2221089853842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3838-42D5-ACCA-94B26E88CD6D}"/>
                </c:ext>
              </c:extLst>
            </c:dLbl>
            <c:dLbl>
              <c:idx val="8"/>
              <c:layout>
                <c:manualLayout>
                  <c:x val="-4.5164017153212548E-2"/>
                  <c:y val="-3.438180911888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838-42D5-ACCA-94B26E88CD6D}"/>
                </c:ext>
              </c:extLst>
            </c:dLbl>
            <c:dLbl>
              <c:idx val="9"/>
              <c:layout>
                <c:manualLayout>
                  <c:x val="-4.9115216868302884E-2"/>
                  <c:y val="-3.8299172681380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3838-42D5-ACCA-94B26E88CD6D}"/>
                </c:ext>
              </c:extLst>
            </c:dLbl>
            <c:dLbl>
              <c:idx val="10"/>
              <c:layout>
                <c:manualLayout>
                  <c:x val="-4.3154510042913458E-2"/>
                  <c:y val="-3.8299172681380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3838-42D5-ACCA-94B26E88CD6D}"/>
                </c:ext>
              </c:extLst>
            </c:dLbl>
            <c:dLbl>
              <c:idx val="11"/>
              <c:layout>
                <c:manualLayout>
                  <c:x val="-2.7313900781072042E-2"/>
                  <c:y val="-3.8299276070749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838-42D5-ACCA-94B26E88CD6D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2700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Arrecadação'!$P$21:$P$32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Arrecadação'!$Q$21:$Q$32</c:f>
              <c:numCache>
                <c:formatCode>_-[$R$-416]\ * #,##0_-;\-[$R$-416]\ * #,##0_-;_-[$R$-416]\ * "-"??_-;_-@_-</c:formatCode>
                <c:ptCount val="12"/>
                <c:pt idx="0">
                  <c:v>14796436.727616586</c:v>
                </c:pt>
                <c:pt idx="1">
                  <c:v>28990324.419062428</c:v>
                </c:pt>
                <c:pt idx="2">
                  <c:v>35940233.296572618</c:v>
                </c:pt>
                <c:pt idx="3">
                  <c:v>41547517.575084224</c:v>
                </c:pt>
                <c:pt idx="4">
                  <c:v>47560284.835514925</c:v>
                </c:pt>
                <c:pt idx="5">
                  <c:v>53377274.264114507</c:v>
                </c:pt>
                <c:pt idx="6">
                  <c:v>57146889.75228703</c:v>
                </c:pt>
                <c:pt idx="7">
                  <c:v>60854569.707152195</c:v>
                </c:pt>
                <c:pt idx="8">
                  <c:v>62909608.373641044</c:v>
                </c:pt>
                <c:pt idx="9">
                  <c:v>64447852.425544523</c:v>
                </c:pt>
                <c:pt idx="10">
                  <c:v>66110084.299710646</c:v>
                </c:pt>
                <c:pt idx="11">
                  <c:v>67945589.089999989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8DE-480A-B7E8-CA79929D1FDC}"/>
            </c:ext>
          </c:extLst>
        </c:ser>
        <c:ser>
          <c:idx val="2"/>
          <c:order val="2"/>
          <c:tx>
            <c:strRef>
              <c:f>'Gráficos - Arrecadação'!$R$20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7.5394336374083881E-3"/>
                  <c:y val="2.1077616971252751E-3"/>
                </c:manualLayout>
              </c:layout>
              <c:numFmt formatCode="&quot;R$&quot;\ 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6571834558803398E-2"/>
                      <c:h val="6.13147171850588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838-42D5-ACCA-94B26E88CD6D}"/>
                </c:ext>
              </c:extLst>
            </c:dLbl>
            <c:dLbl>
              <c:idx val="1"/>
              <c:layout>
                <c:manualLayout>
                  <c:x val="-1.2807286955227239E-2"/>
                  <c:y val="2.4879905423545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F8DE-480A-B7E8-CA79929D1FDC}"/>
                </c:ext>
              </c:extLst>
            </c:dLbl>
            <c:dLbl>
              <c:idx val="2"/>
              <c:layout>
                <c:manualLayout>
                  <c:x val="-4.0001726791908949E-2"/>
                  <c:y val="-3.789201400627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F8DE-480A-B7E8-CA79929D1FDC}"/>
                </c:ext>
              </c:extLst>
            </c:dLbl>
            <c:dLbl>
              <c:idx val="3"/>
              <c:layout>
                <c:manualLayout>
                  <c:x val="-5.1872330232432734E-2"/>
                  <c:y val="-2.996320762399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F8DE-480A-B7E8-CA79929D1FDC}"/>
                </c:ext>
              </c:extLst>
            </c:dLbl>
            <c:dLbl>
              <c:idx val="4"/>
              <c:layout>
                <c:manualLayout>
                  <c:x val="-3.0097920633963285E-2"/>
                  <c:y val="-5.710252019138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F8DE-480A-B7E8-CA79929D1FDC}"/>
                </c:ext>
              </c:extLst>
            </c:dLbl>
            <c:dLbl>
              <c:idx val="5"/>
              <c:layout>
                <c:manualLayout>
                  <c:x val="-1.6797570896262666E-2"/>
                  <c:y val="-3.3281245758759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509-4162-AD37-D1F90ABE3D5C}"/>
                </c:ext>
              </c:extLst>
            </c:dLbl>
            <c:dLbl>
              <c:idx val="6"/>
              <c:layout>
                <c:manualLayout>
                  <c:x val="-6.8928285782146222E-3"/>
                  <c:y val="2.1574804995471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A6D-499C-8116-73E79950AA67}"/>
                </c:ext>
              </c:extLst>
            </c:dLbl>
            <c:dLbl>
              <c:idx val="7"/>
              <c:layout>
                <c:manualLayout>
                  <c:x val="-5.8353713007229462E-2"/>
                  <c:y val="-3.326829069678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A6D-499C-8116-73E79950AA67}"/>
                </c:ext>
              </c:extLst>
            </c:dLbl>
            <c:dLbl>
              <c:idx val="8"/>
              <c:layout>
                <c:manualLayout>
                  <c:x val="-5.6374448221498119E-2"/>
                  <c:y val="-4.1103018652821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A6D-499C-8116-73E79950AA67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B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Arrecadação'!$P$21:$P$32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Arrecadação'!$R$21:$R$32</c:f>
              <c:numCache>
                <c:formatCode>_-[$R$-416]\ * #,##0_-;\-[$R$-416]\ * #,##0_-;_-[$R$-416]\ * "-"??_-;_-@_-</c:formatCode>
                <c:ptCount val="12"/>
                <c:pt idx="0">
                  <c:v>11173689.340000004</c:v>
                </c:pt>
                <c:pt idx="1">
                  <c:v>24096636.850000001</c:v>
                </c:pt>
                <c:pt idx="2">
                  <c:v>35307556.620000005</c:v>
                </c:pt>
                <c:pt idx="3">
                  <c:v>40577115.160000004</c:v>
                </c:pt>
                <c:pt idx="4">
                  <c:v>46812972.500000007</c:v>
                </c:pt>
                <c:pt idx="5">
                  <c:v>53671919.270000011</c:v>
                </c:pt>
                <c:pt idx="6">
                  <c:v>59004806.530000009</c:v>
                </c:pt>
                <c:pt idx="7">
                  <c:v>61458803.430000007</c:v>
                </c:pt>
                <c:pt idx="8">
                  <c:v>63258602.590000004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9-F8DE-480A-B7E8-CA79929D1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508720"/>
        <c:axId val="329509280"/>
      </c:lineChart>
      <c:catAx>
        <c:axId val="32950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9509280"/>
        <c:crosses val="autoZero"/>
        <c:auto val="1"/>
        <c:lblAlgn val="ctr"/>
        <c:lblOffset val="100"/>
        <c:noMultiLvlLbl val="0"/>
      </c:catAx>
      <c:valAx>
        <c:axId val="32950928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295087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4.3095619077197769E-3"/>
                <c:y val="2.1944592722321851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0290382868271397"/>
          <c:y val="0.82253807076153518"/>
          <c:w val="0.36343478367296411"/>
          <c:h val="6.7127494317125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784391356467082E-2"/>
          <c:y val="1.3519958216496226E-2"/>
          <c:w val="0.9756283368389761"/>
          <c:h val="0.929732205535863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'Gráficos - Arrecadação'!$S$4</c:f>
              <c:strCache>
                <c:ptCount val="1"/>
                <c:pt idx="0">
                  <c:v>Potencial</c:v>
                </c:pt>
              </c:strCache>
            </c:strRef>
          </c:tx>
          <c:spPr>
            <a:solidFill>
              <a:schemeClr val="tx1"/>
            </a:solidFill>
            <a:ln w="66675"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tx1"/>
              </a:solidFill>
              <a:ln w="666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BA-44BC-836E-6640173DF40C}"/>
              </c:ext>
            </c:extLst>
          </c:dPt>
          <c:dLbls>
            <c:dLbl>
              <c:idx val="0"/>
              <c:layout>
                <c:manualLayout>
                  <c:x val="-2.8828832100881844E-3"/>
                  <c:y val="0.117440383013916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DBA-44BC-836E-6640173DF40C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1587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Arrecadação'!$S$5:$S$16</c:f>
              <c:numCache>
                <c:formatCode>_-[$R$-416]\ * #,##0_-;\-[$R$-416]\ * #,##0_-;_-[$R$-416]\ * "-"??_-;_-@_-</c:formatCode>
                <c:ptCount val="12"/>
                <c:pt idx="0">
                  <c:v>33393067.428586558</c:v>
                </c:pt>
                <c:pt idx="1">
                  <c:v>66419112.806236759</c:v>
                </c:pt>
                <c:pt idx="2">
                  <c:v>88210827.224150628</c:v>
                </c:pt>
                <c:pt idx="3">
                  <c:v>106971107.41893491</c:v>
                </c:pt>
                <c:pt idx="4">
                  <c:v>126869345.92172693</c:v>
                </c:pt>
                <c:pt idx="5">
                  <c:v>146336524.56977105</c:v>
                </c:pt>
                <c:pt idx="6">
                  <c:v>164508052.39332825</c:v>
                </c:pt>
                <c:pt idx="7">
                  <c:v>183214253.89967453</c:v>
                </c:pt>
                <c:pt idx="8">
                  <c:v>198285291.58599114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BA-44BC-836E-6640173DF40C}"/>
            </c:ext>
          </c:extLst>
        </c:ser>
        <c:ser>
          <c:idx val="0"/>
          <c:order val="1"/>
          <c:tx>
            <c:strRef>
              <c:f>'Gráficos - Arrecadação'!$Q$4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1.3213062074483579E-17"/>
                  <c:y val="0.11445541997315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DBA-44BC-836E-6640173DF40C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19050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Arrecadação'!$Q$5:$Q$16</c:f>
              <c:numCache>
                <c:formatCode>_-[$R$-416]\ * #,##0_-;\-[$R$-416]\ * #,##0_-;_-[$R$-416]\ * "-"??_-;_-@_-</c:formatCode>
                <c:ptCount val="12"/>
                <c:pt idx="0">
                  <c:v>26495233.292128325</c:v>
                </c:pt>
                <c:pt idx="1">
                  <c:v>52688382.172870323</c:v>
                </c:pt>
                <c:pt idx="2">
                  <c:v>71146391.991785929</c:v>
                </c:pt>
                <c:pt idx="3">
                  <c:v>87193068.099814907</c:v>
                </c:pt>
                <c:pt idx="4">
                  <c:v>104200291.03470112</c:v>
                </c:pt>
                <c:pt idx="5">
                  <c:v>120810517.31602216</c:v>
                </c:pt>
                <c:pt idx="6">
                  <c:v>137098482.61578691</c:v>
                </c:pt>
                <c:pt idx="7">
                  <c:v>153925536.5878334</c:v>
                </c:pt>
                <c:pt idx="8">
                  <c:v>167913126.17899984</c:v>
                </c:pt>
                <c:pt idx="9">
                  <c:v>183022070.82118729</c:v>
                </c:pt>
                <c:pt idx="10">
                  <c:v>196051596.00296664</c:v>
                </c:pt>
                <c:pt idx="11">
                  <c:v>209250933.3972857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BA-44BC-836E-6640173DF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4625856"/>
        <c:axId val="384626416"/>
      </c:barChart>
      <c:lineChart>
        <c:grouping val="standard"/>
        <c:varyColors val="0"/>
        <c:ser>
          <c:idx val="1"/>
          <c:order val="2"/>
          <c:tx>
            <c:strRef>
              <c:f>'Gráficos - Arrecadação'!$R$4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508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4764995798244611E-2"/>
                  <c:y val="-0.10529391570558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DBA-44BC-836E-6640173DF40C}"/>
                </c:ext>
              </c:extLst>
            </c:dLbl>
            <c:dLbl>
              <c:idx val="1"/>
              <c:layout>
                <c:manualLayout>
                  <c:x val="-4.3213432020753208E-2"/>
                  <c:y val="-0.11211220472440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DBA-44BC-836E-6640173DF40C}"/>
                </c:ext>
              </c:extLst>
            </c:dLbl>
            <c:dLbl>
              <c:idx val="2"/>
              <c:layout>
                <c:manualLayout>
                  <c:x val="-4.4838076821382411E-2"/>
                  <c:y val="-0.12229962247635202"/>
                </c:manualLayout>
              </c:layout>
              <c:numFmt formatCode="&quot;R$&quot;\ 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612497270724759E-2"/>
                      <c:h val="3.78051065454834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DBA-44BC-836E-6640173DF40C}"/>
                </c:ext>
              </c:extLst>
            </c:dLbl>
            <c:dLbl>
              <c:idx val="3"/>
              <c:layout>
                <c:manualLayout>
                  <c:x val="-4.6151075403738522E-2"/>
                  <c:y val="-0.12560132003474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DBA-44BC-836E-6640173DF40C}"/>
                </c:ext>
              </c:extLst>
            </c:dLbl>
            <c:dLbl>
              <c:idx val="4"/>
              <c:layout>
                <c:manualLayout>
                  <c:x val="-4.7444460151982441E-2"/>
                  <c:y val="-0.15748828532927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3DBA-44BC-836E-6640173DF40C}"/>
                </c:ext>
              </c:extLst>
            </c:dLbl>
            <c:dLbl>
              <c:idx val="5"/>
              <c:layout>
                <c:manualLayout>
                  <c:x val="-3.4468309237461157E-2"/>
                  <c:y val="-0.17793818678934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3DBA-44BC-836E-6640173DF40C}"/>
                </c:ext>
              </c:extLst>
            </c:dLbl>
            <c:dLbl>
              <c:idx val="6"/>
              <c:layout>
                <c:manualLayout>
                  <c:x val="-4.0999580395750773E-2"/>
                  <c:y val="-0.15517997439045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DBA-44BC-836E-6640173DF40C}"/>
                </c:ext>
              </c:extLst>
            </c:dLbl>
            <c:dLbl>
              <c:idx val="7"/>
              <c:layout>
                <c:manualLayout>
                  <c:x val="-4.3080552001004212E-2"/>
                  <c:y val="-0.13710211415586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DBA-44BC-836E-6640173DF40C}"/>
                </c:ext>
              </c:extLst>
            </c:dLbl>
            <c:dLbl>
              <c:idx val="8"/>
              <c:layout>
                <c:manualLayout>
                  <c:x val="-3.9269785621934852E-2"/>
                  <c:y val="-0.13025316303960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3DBA-44BC-836E-6640173DF40C}"/>
                </c:ext>
              </c:extLst>
            </c:dLbl>
            <c:dLbl>
              <c:idx val="9"/>
              <c:layout>
                <c:manualLayout>
                  <c:x val="-5.8533856371487294E-2"/>
                  <c:y val="-0.118807850546690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BA-44BC-836E-6640173DF40C}"/>
                </c:ext>
              </c:extLst>
            </c:dLbl>
            <c:dLbl>
              <c:idx val="10"/>
              <c:layout>
                <c:manualLayout>
                  <c:x val="-5.414628731045943E-2"/>
                  <c:y val="-0.1142666966072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BA-44BC-836E-6640173DF40C}"/>
                </c:ext>
              </c:extLst>
            </c:dLbl>
            <c:dLbl>
              <c:idx val="11"/>
              <c:layout>
                <c:manualLayout>
                  <c:x val="-9.7011803664811217E-3"/>
                  <c:y val="-0.10269824057691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BA-44BC-836E-6640173DF40C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9050" cap="flat" cmpd="sng" algn="ctr">
                      <a:solidFill>
                        <a:srgbClr val="00B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Arrecadação'!$R$5:$R$16</c:f>
              <c:numCache>
                <c:formatCode>_-[$R$-416]\ * #,##0_-;\-[$R$-416]\ * #,##0_-;_-[$R$-416]\ * "-"??_-;_-@_-</c:formatCode>
                <c:ptCount val="12"/>
                <c:pt idx="0">
                  <c:v>20850868.670000006</c:v>
                </c:pt>
                <c:pt idx="1">
                  <c:v>45494069.100000001</c:v>
                </c:pt>
                <c:pt idx="2">
                  <c:v>70516849.5</c:v>
                </c:pt>
                <c:pt idx="3">
                  <c:v>86940351.560000002</c:v>
                </c:pt>
                <c:pt idx="4">
                  <c:v>106384818.08000001</c:v>
                </c:pt>
                <c:pt idx="5">
                  <c:v>125380052.99000001</c:v>
                </c:pt>
                <c:pt idx="6">
                  <c:v>142869466.36000001</c:v>
                </c:pt>
                <c:pt idx="7">
                  <c:v>159979151.97999996</c:v>
                </c:pt>
                <c:pt idx="8">
                  <c:v>174452905.24999997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BA-44BC-836E-6640173DF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625856"/>
        <c:axId val="384626416"/>
      </c:lineChart>
      <c:catAx>
        <c:axId val="38462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4626416"/>
        <c:crosses val="autoZero"/>
        <c:auto val="1"/>
        <c:lblAlgn val="ctr"/>
        <c:lblOffset val="100"/>
        <c:noMultiLvlLbl val="0"/>
      </c:catAx>
      <c:valAx>
        <c:axId val="384626416"/>
        <c:scaling>
          <c:orientation val="minMax"/>
          <c:max val="220000000.00000003"/>
          <c:min val="0"/>
        </c:scaling>
        <c:delete val="1"/>
        <c:axPos val="l"/>
        <c:numFmt formatCode="&quot;R$&quot;\ #,##0.0" sourceLinked="0"/>
        <c:majorTickMark val="none"/>
        <c:minorTickMark val="none"/>
        <c:tickLblPos val="nextTo"/>
        <c:crossAx val="3846258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0146005398961983E-3"/>
                <c:y val="8.8670365068002858E-3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legendEntry>
      <c:layout>
        <c:manualLayout>
          <c:xMode val="edge"/>
          <c:yMode val="edge"/>
          <c:x val="0.70461671743086896"/>
          <c:y val="1.1124394122267563E-2"/>
          <c:w val="0.28886854896562586"/>
          <c:h val="6.53024498911927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30787523208636"/>
          <c:y val="4.1406210635201501E-2"/>
          <c:w val="0.83865057677063992"/>
          <c:h val="0.87127084759728379"/>
        </c:manualLayout>
      </c:layout>
      <c:lineChart>
        <c:grouping val="standard"/>
        <c:varyColors val="0"/>
        <c:ser>
          <c:idx val="0"/>
          <c:order val="0"/>
          <c:tx>
            <c:strRef>
              <c:f>'Gráficos - Arrecadação'!$Q$36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5.9441678820227406E-3"/>
                  <c:y val="7.52840193367300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E47-421B-8994-EE79201ACFFB}"/>
                </c:ext>
              </c:extLst>
            </c:dLbl>
            <c:dLbl>
              <c:idx val="11"/>
              <c:layout>
                <c:manualLayout>
                  <c:x val="-3.876372411338664E-3"/>
                  <c:y val="-1.725238846360355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E47-421B-8994-EE79201ACFFB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Arrecadação'!$Q$37:$Q$48</c:f>
              <c:numCache>
                <c:formatCode>_-[$R$-416]\ * #,##0_-;\-[$R$-416]\ * #,##0_-;_-[$R$-416]\ * "-"??_-;_-@_-</c:formatCode>
                <c:ptCount val="12"/>
                <c:pt idx="0">
                  <c:v>2267417.3715040069</c:v>
                </c:pt>
                <c:pt idx="1">
                  <c:v>4015108.5195592274</c:v>
                </c:pt>
                <c:pt idx="2">
                  <c:v>5395529.5701630656</c:v>
                </c:pt>
                <c:pt idx="3">
                  <c:v>6635371.2627898455</c:v>
                </c:pt>
                <c:pt idx="4">
                  <c:v>7721041.6845208984</c:v>
                </c:pt>
                <c:pt idx="5">
                  <c:v>8753842.54612788</c:v>
                </c:pt>
                <c:pt idx="6">
                  <c:v>10149068.112386934</c:v>
                </c:pt>
                <c:pt idx="7">
                  <c:v>11519535.891210407</c:v>
                </c:pt>
                <c:pt idx="8">
                  <c:v>12701239.474559357</c:v>
                </c:pt>
                <c:pt idx="9">
                  <c:v>14357984.204981059</c:v>
                </c:pt>
                <c:pt idx="10">
                  <c:v>15406149.681081541</c:v>
                </c:pt>
                <c:pt idx="11">
                  <c:v>16761168.281999998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542-4D42-8999-AFB6E4B1FB27}"/>
            </c:ext>
          </c:extLst>
        </c:ser>
        <c:ser>
          <c:idx val="1"/>
          <c:order val="1"/>
          <c:tx>
            <c:strRef>
              <c:f>'Gráficos - Arrecadação'!$R$36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8332941784522876E-2"/>
                  <c:y val="-5.883792477642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542-4D42-8999-AFB6E4B1FB27}"/>
                </c:ext>
              </c:extLst>
            </c:dLbl>
            <c:dLbl>
              <c:idx val="1"/>
              <c:layout>
                <c:manualLayout>
                  <c:x val="-6.0272176256764898E-2"/>
                  <c:y val="-3.553150671154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542-4D42-8999-AFB6E4B1FB27}"/>
                </c:ext>
              </c:extLst>
            </c:dLbl>
            <c:dLbl>
              <c:idx val="2"/>
              <c:layout>
                <c:manualLayout>
                  <c:x val="-6.6086523540829833E-2"/>
                  <c:y val="-3.5566858715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542-4D42-8999-AFB6E4B1FB27}"/>
                </c:ext>
              </c:extLst>
            </c:dLbl>
            <c:dLbl>
              <c:idx val="3"/>
              <c:layout>
                <c:manualLayout>
                  <c:x val="-6.6053572420156081E-2"/>
                  <c:y val="-1.9771827195748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98D-4B1C-83E8-67F3A93030DD}"/>
                </c:ext>
              </c:extLst>
            </c:dLbl>
            <c:dLbl>
              <c:idx val="4"/>
              <c:layout>
                <c:manualLayout>
                  <c:x val="-6.2081894518581072E-2"/>
                  <c:y val="-3.114115354198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98D-4B1C-83E8-67F3A93030DD}"/>
                </c:ext>
              </c:extLst>
            </c:dLbl>
            <c:dLbl>
              <c:idx val="5"/>
              <c:layout>
                <c:manualLayout>
                  <c:x val="-8.5421661456524967E-2"/>
                  <c:y val="-2.7142720001462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73E-4B23-8165-0BD88110BF67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t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0"/>
              </c:ext>
            </c:extLst>
          </c:dLbls>
          <c:cat>
            <c:strRef>
              <c:f>'Gráficos - Arrecadação'!$P$37:$P$48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Arrecadação'!$R$37:$R$48</c:f>
              <c:numCache>
                <c:formatCode>_-[$R$-416]\ * #,##0_-;\-[$R$-416]\ * #,##0_-;_-[$R$-416]\ * "-"??_-;_-@_-</c:formatCode>
                <c:ptCount val="12"/>
                <c:pt idx="0">
                  <c:v>1624877.0600000003</c:v>
                </c:pt>
                <c:pt idx="1">
                  <c:v>3524453.2200000007</c:v>
                </c:pt>
                <c:pt idx="2">
                  <c:v>5532964.6900000013</c:v>
                </c:pt>
                <c:pt idx="3">
                  <c:v>6889303.290000001</c:v>
                </c:pt>
                <c:pt idx="4">
                  <c:v>8501206.7300000004</c:v>
                </c:pt>
                <c:pt idx="5">
                  <c:v>9916700.8599999994</c:v>
                </c:pt>
                <c:pt idx="6">
                  <c:v>11128942.629999999</c:v>
                </c:pt>
                <c:pt idx="7">
                  <c:v>12539439.719999999</c:v>
                </c:pt>
                <c:pt idx="8">
                  <c:v>13690888.369999999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542-4D42-8999-AFB6E4B1F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923200"/>
        <c:axId val="329923760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'Gráficos - Arrecadação'!$U$36</c15:sqref>
                        </c15:formulaRef>
                      </c:ext>
                    </c:extLst>
                    <c:strCache>
                      <c:ptCount val="1"/>
                      <c:pt idx="0">
                        <c:v>Valor abaixo da Meta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'Gráficos - Arrecadação'!$P$37:$P$48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'Gráficos - Arrecadação'!$U$37:$U$48</c15:sqref>
                        </c15:formulaRef>
                      </c:ext>
                    </c:extLst>
                    <c:numCache>
                      <c:formatCode>_-"R$"\ * #,##0_-;\-"R$"\ * #,##0_-;_-"R$"\ * "-"??_-;_-@_-</c:formatCode>
                      <c:ptCount val="12"/>
                      <c:pt idx="0">
                        <c:v>1624877.0600000003</c:v>
                      </c:pt>
                      <c:pt idx="1">
                        <c:v>#N/A</c:v>
                      </c:pt>
                      <c:pt idx="2">
                        <c:v>0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C542-4D42-8999-AFB6E4B1FB27}"/>
                  </c:ext>
                </c:extLst>
              </c15:ser>
            </c15:filteredLineSeries>
          </c:ext>
        </c:extLst>
      </c:lineChart>
      <c:catAx>
        <c:axId val="32992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9923760"/>
        <c:crosses val="autoZero"/>
        <c:auto val="1"/>
        <c:lblAlgn val="ctr"/>
        <c:lblOffset val="100"/>
        <c:noMultiLvlLbl val="0"/>
      </c:catAx>
      <c:valAx>
        <c:axId val="3299237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299232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4126172564501159E-2"/>
                <c:y val="1.5614320561725487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t" anchorCtr="0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0287978552319"/>
          <c:y val="0.83548396657863766"/>
          <c:w val="0.34386090709562028"/>
          <c:h val="5.92870544090056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1060399703717"/>
          <c:y val="4.1425708610913256E-2"/>
          <c:w val="0.85757422001460815"/>
          <c:h val="0.87121022968880013"/>
        </c:manualLayout>
      </c:layout>
      <c:lineChart>
        <c:grouping val="standard"/>
        <c:varyColors val="0"/>
        <c:ser>
          <c:idx val="1"/>
          <c:order val="0"/>
          <c:tx>
            <c:strRef>
              <c:f>'Gráficos - Arrecadação'!$S$52</c:f>
              <c:strCache>
                <c:ptCount val="1"/>
                <c:pt idx="0">
                  <c:v>Potencial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971036256973998E-2"/>
                  <c:y val="-4.5591988777018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516-435D-8F46-7D82D91F3D82}"/>
                </c:ext>
              </c:extLst>
            </c:dLbl>
            <c:dLbl>
              <c:idx val="1"/>
              <c:layout>
                <c:manualLayout>
                  <c:x val="-6.1657053293206768E-2"/>
                  <c:y val="-4.1864903489571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516-435D-8F46-7D82D91F3D82}"/>
                </c:ext>
              </c:extLst>
            </c:dLbl>
            <c:dLbl>
              <c:idx val="2"/>
              <c:layout>
                <c:manualLayout>
                  <c:x val="-5.1697330914744787E-2"/>
                  <c:y val="-4.5477649015961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516-435D-8F46-7D82D91F3D82}"/>
                </c:ext>
              </c:extLst>
            </c:dLbl>
            <c:dLbl>
              <c:idx val="3"/>
              <c:layout>
                <c:manualLayout>
                  <c:x val="-4.9671398733050889E-2"/>
                  <c:y val="-5.3016145688979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516-435D-8F46-7D82D91F3D82}"/>
                </c:ext>
              </c:extLst>
            </c:dLbl>
            <c:dLbl>
              <c:idx val="4"/>
              <c:layout>
                <c:manualLayout>
                  <c:x val="-5.3646927695232861E-2"/>
                  <c:y val="-4.9306658934249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516-435D-8F46-7D82D91F3D82}"/>
                </c:ext>
              </c:extLst>
            </c:dLbl>
            <c:dLbl>
              <c:idx val="5"/>
              <c:layout>
                <c:manualLayout>
                  <c:x val="-4.5729432370581129E-2"/>
                  <c:y val="-3.7936408188678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516-435D-8F46-7D82D91F3D82}"/>
                </c:ext>
              </c:extLst>
            </c:dLbl>
            <c:dLbl>
              <c:idx val="6"/>
              <c:layout>
                <c:manualLayout>
                  <c:x val="-3.9755792998159727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516-435D-8F46-7D82D91F3D82}"/>
                </c:ext>
              </c:extLst>
            </c:dLbl>
            <c:dLbl>
              <c:idx val="7"/>
              <c:layout>
                <c:manualLayout>
                  <c:x val="-4.1754059513514095E-2"/>
                  <c:y val="-3.7898294934992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5516-435D-8F46-7D82D91F3D82}"/>
                </c:ext>
              </c:extLst>
            </c:dLbl>
            <c:dLbl>
              <c:idx val="8"/>
              <c:layout>
                <c:manualLayout>
                  <c:x val="-4.1754059513514019E-2"/>
                  <c:y val="-3.7898294934992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516-435D-8F46-7D82D91F3D82}"/>
                </c:ext>
              </c:extLst>
            </c:dLbl>
            <c:dLbl>
              <c:idx val="9"/>
              <c:layout>
                <c:manualLayout>
                  <c:x val="-4.373137229797576E-2"/>
                  <c:y val="-4.183931248156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16-435D-8F46-7D82D91F3D82}"/>
                </c:ext>
              </c:extLst>
            </c:dLbl>
            <c:dLbl>
              <c:idx val="10"/>
              <c:layout>
                <c:manualLayout>
                  <c:x val="-3.9755792998159796E-2"/>
                  <c:y val="-3.803573861960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16-435D-8F46-7D82D91F3D82}"/>
                </c:ext>
              </c:extLst>
            </c:dLbl>
            <c:dLbl>
              <c:idx val="11"/>
              <c:layout>
                <c:manualLayout>
                  <c:x val="-3.1804634398527723E-2"/>
                  <c:y val="-3.423216475764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16-435D-8F46-7D82D91F3D82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Arrecadação'!$S$53:$S$64</c:f>
              <c:numCache>
                <c:formatCode>_-[$R$-416]\ * #,##0_-;\-[$R$-416]\ * #,##0_-;_-[$R$-416]\ * "-"??_-;_-@_-</c:formatCode>
                <c:ptCount val="12"/>
                <c:pt idx="0">
                  <c:v>1926442.4732265207</c:v>
                </c:pt>
                <c:pt idx="1">
                  <c:v>4264980.4776132097</c:v>
                </c:pt>
                <c:pt idx="2">
                  <c:v>5306578.8374429336</c:v>
                </c:pt>
                <c:pt idx="3">
                  <c:v>6174520.6920783566</c:v>
                </c:pt>
                <c:pt idx="4">
                  <c:v>7095244.8123568492</c:v>
                </c:pt>
                <c:pt idx="5">
                  <c:v>8100253.3602671716</c:v>
                </c:pt>
                <c:pt idx="6">
                  <c:v>8700173.8804929536</c:v>
                </c:pt>
                <c:pt idx="7">
                  <c:v>9337262.7852477971</c:v>
                </c:pt>
                <c:pt idx="8">
                  <c:v>9682777.6393550113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5516-435D-8F46-7D82D91F3D82}"/>
            </c:ext>
          </c:extLst>
        </c:ser>
        <c:ser>
          <c:idx val="0"/>
          <c:order val="1"/>
          <c:tx>
            <c:strRef>
              <c:f>'Gráficos - Arrecadação'!$Q$52</c:f>
              <c:strCache>
                <c:ptCount val="1"/>
                <c:pt idx="0">
                  <c:v>Meta</c:v>
                </c:pt>
              </c:strCache>
            </c:strRef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9163847798113592E-4"/>
                  <c:y val="4.55130181153819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516-435D-8F46-7D82D91F3D82}"/>
                </c:ext>
              </c:extLst>
            </c:dLbl>
            <c:dLbl>
              <c:idx val="1"/>
              <c:layout>
                <c:manualLayout>
                  <c:x val="-9.5787659578453754E-3"/>
                  <c:y val="1.6031959030386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EC1-4D56-BE9A-E0E82120B057}"/>
                </c:ext>
              </c:extLst>
            </c:dLbl>
            <c:dLbl>
              <c:idx val="2"/>
              <c:layout>
                <c:manualLayout>
                  <c:x val="-1.5524497575687529E-2"/>
                  <c:y val="3.1774257332761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EC1-4D56-BE9A-E0E82120B057}"/>
                </c:ext>
              </c:extLst>
            </c:dLbl>
            <c:dLbl>
              <c:idx val="3"/>
              <c:layout>
                <c:manualLayout>
                  <c:x val="-9.5350565256621198E-3"/>
                  <c:y val="3.1947139051479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EC1-4D56-BE9A-E0E82120B057}"/>
                </c:ext>
              </c:extLst>
            </c:dLbl>
            <c:dLbl>
              <c:idx val="4"/>
              <c:layout>
                <c:manualLayout>
                  <c:x val="-6.702857035813635E-2"/>
                  <c:y val="-3.7840667695419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EC1-4D56-BE9A-E0E82120B057}"/>
                </c:ext>
              </c:extLst>
            </c:dLbl>
            <c:dLbl>
              <c:idx val="5"/>
              <c:layout>
                <c:manualLayout>
                  <c:x val="-5.8920314583027628E-2"/>
                  <c:y val="-3.022838376326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AA6-4046-83FF-896846DEAE42}"/>
                </c:ext>
              </c:extLst>
            </c:dLbl>
            <c:dLbl>
              <c:idx val="6"/>
              <c:layout>
                <c:manualLayout>
                  <c:x val="-4.1008813694789599E-2"/>
                  <c:y val="-3.8268145948759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83-45C1-B838-36727DA63CA9}"/>
                </c:ext>
              </c:extLst>
            </c:dLbl>
            <c:dLbl>
              <c:idx val="7"/>
              <c:layout>
                <c:manualLayout>
                  <c:x val="-1.721839417790378E-2"/>
                  <c:y val="3.1433372391795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083-45C1-B838-36727DA63CA9}"/>
                </c:ext>
              </c:extLst>
            </c:dLbl>
            <c:dLbl>
              <c:idx val="8"/>
              <c:layout>
                <c:manualLayout>
                  <c:x val="-1.5235859218163143E-2"/>
                  <c:y val="2.7561065817320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083-45C1-B838-36727DA63CA9}"/>
                </c:ext>
              </c:extLst>
            </c:dLbl>
            <c:dLbl>
              <c:idx val="9"/>
              <c:layout>
                <c:manualLayout>
                  <c:x val="-1.3253324258422652E-2"/>
                  <c:y val="2.7561065817320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083-45C1-B838-36727DA63CA9}"/>
                </c:ext>
              </c:extLst>
            </c:dLbl>
            <c:dLbl>
              <c:idx val="10"/>
              <c:layout>
                <c:manualLayout>
                  <c:x val="-1.9200929137644124E-2"/>
                  <c:y val="3.1433372391795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083-45C1-B838-36727DA63CA9}"/>
                </c:ext>
              </c:extLst>
            </c:dLbl>
            <c:dLbl>
              <c:idx val="11"/>
              <c:layout>
                <c:manualLayout>
                  <c:x val="-6.717359200991725E-3"/>
                  <c:y val="2.368875924284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083-45C1-B838-36727DA63CA9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pt-BR" sz="800" b="0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Arrecadação'!$Q$53:$Q$64</c:f>
              <c:numCache>
                <c:formatCode>_-[$R$-416]\ * #,##0_-;\-[$R$-416]\ * #,##0_-;_-[$R$-416]\ * "-"??_-;_-@_-</c:formatCode>
                <c:ptCount val="12"/>
                <c:pt idx="0">
                  <c:v>1018975.0580793833</c:v>
                </c:pt>
                <c:pt idx="1">
                  <c:v>2255924.4775186926</c:v>
                </c:pt>
                <c:pt idx="2">
                  <c:v>2806868.906928645</c:v>
                </c:pt>
                <c:pt idx="3">
                  <c:v>3265959.2322449223</c:v>
                </c:pt>
                <c:pt idx="4">
                  <c:v>3752968.2797377976</c:v>
                </c:pt>
                <c:pt idx="5">
                  <c:v>4284558.8450984173</c:v>
                </c:pt>
                <c:pt idx="6">
                  <c:v>4601881.6073588617</c:v>
                </c:pt>
                <c:pt idx="7">
                  <c:v>4938864.2646385338</c:v>
                </c:pt>
                <c:pt idx="8">
                  <c:v>5121621.3536376767</c:v>
                </c:pt>
                <c:pt idx="9">
                  <c:v>5274157.0545247076</c:v>
                </c:pt>
                <c:pt idx="10">
                  <c:v>5429871.5489863567</c:v>
                </c:pt>
                <c:pt idx="11">
                  <c:v>5588402.3580000009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516-435D-8F46-7D82D91F3D82}"/>
            </c:ext>
          </c:extLst>
        </c:ser>
        <c:ser>
          <c:idx val="2"/>
          <c:order val="2"/>
          <c:tx>
            <c:strRef>
              <c:f>'Gráficos - Arrecadação'!$R$52</c:f>
              <c:strCache>
                <c:ptCount val="1"/>
                <c:pt idx="0">
                  <c:v>Valor Realizado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317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7.1408099357783555E-2"/>
                  <c:y val="-8.15715100684544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5516-435D-8F46-7D82D91F3D82}"/>
                </c:ext>
              </c:extLst>
            </c:dLbl>
            <c:dLbl>
              <c:idx val="1"/>
              <c:layout>
                <c:manualLayout>
                  <c:x val="9.8536686034630932E-3"/>
                  <c:y val="2.6844231741998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5516-435D-8F46-7D82D91F3D82}"/>
                </c:ext>
              </c:extLst>
            </c:dLbl>
            <c:dLbl>
              <c:idx val="2"/>
              <c:layout>
                <c:manualLayout>
                  <c:x val="-6.0171506472353597E-3"/>
                  <c:y val="3.6403035766391978E-2"/>
                </c:manualLayout>
              </c:layout>
              <c:numFmt formatCode="&quot;R$&quot;\ 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134603242425419E-2"/>
                      <c:h val="5.9370720653132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5516-435D-8F46-7D82D91F3D82}"/>
                </c:ext>
              </c:extLst>
            </c:dLbl>
            <c:dLbl>
              <c:idx val="3"/>
              <c:layout>
                <c:manualLayout>
                  <c:x val="-7.9838412448198469E-3"/>
                  <c:y val="3.8423343117767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EC1-4D56-BE9A-E0E82120B057}"/>
                </c:ext>
              </c:extLst>
            </c:dLbl>
            <c:dLbl>
              <c:idx val="4"/>
              <c:layout>
                <c:manualLayout>
                  <c:x val="-1.5886505337233878E-2"/>
                  <c:y val="2.303412599753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EC1-4D56-BE9A-E0E82120B057}"/>
                </c:ext>
              </c:extLst>
            </c:dLbl>
            <c:dLbl>
              <c:idx val="5"/>
              <c:layout>
                <c:manualLayout>
                  <c:x val="-1.7848434421802336E-2"/>
                  <c:y val="2.3258536835239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AA6-4046-83FF-896846DEAE42}"/>
                </c:ext>
              </c:extLst>
            </c:dLbl>
            <c:dLbl>
              <c:idx val="6"/>
              <c:layout>
                <c:manualLayout>
                  <c:x val="-5.947604879221545E-3"/>
                  <c:y val="2.3233839446851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083-45C1-B838-36727DA63CA9}"/>
                </c:ext>
              </c:extLst>
            </c:dLbl>
            <c:dLbl>
              <c:idx val="7"/>
              <c:layout>
                <c:manualLayout>
                  <c:x val="-4.3615769114290874E-2"/>
                  <c:y val="-3.872306574475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083-45C1-B838-36727DA63CA9}"/>
                </c:ext>
              </c:extLst>
            </c:dLbl>
            <c:dLbl>
              <c:idx val="8"/>
              <c:layout>
                <c:manualLayout>
                  <c:x val="-4.1633234154550308E-2"/>
                  <c:y val="-3.872306574475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083-45C1-B838-36727DA63CA9}"/>
                </c:ext>
              </c:extLst>
            </c:dLbl>
            <c:numFmt formatCode="&quot;R$&quot;\ 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B05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- Arrecadação'!$P$53:$P$64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'Gráficos - Arrecadação'!$R$53:$R$64</c:f>
              <c:numCache>
                <c:formatCode>_-[$R$-416]\ * #,##0_-;\-[$R$-416]\ * #,##0_-;_-[$R$-416]\ * "-"??_-;_-@_-</c:formatCode>
                <c:ptCount val="12"/>
                <c:pt idx="0">
                  <c:v>414294.46000000008</c:v>
                </c:pt>
                <c:pt idx="1">
                  <c:v>802549.10000000009</c:v>
                </c:pt>
                <c:pt idx="2">
                  <c:v>1029153.2200000001</c:v>
                </c:pt>
                <c:pt idx="3">
                  <c:v>1168470.53</c:v>
                </c:pt>
                <c:pt idx="4">
                  <c:v>1303580.67</c:v>
                </c:pt>
                <c:pt idx="5">
                  <c:v>1445440.21</c:v>
                </c:pt>
                <c:pt idx="6">
                  <c:v>1752726.26</c:v>
                </c:pt>
                <c:pt idx="7">
                  <c:v>2883068.31</c:v>
                </c:pt>
                <c:pt idx="8">
                  <c:v>3427609.25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5516-435D-8F46-7D82D91F3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927680"/>
        <c:axId val="330182544"/>
      </c:lineChart>
      <c:catAx>
        <c:axId val="32992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30182544"/>
        <c:crosses val="autoZero"/>
        <c:auto val="1"/>
        <c:lblAlgn val="ctr"/>
        <c:lblOffset val="100"/>
        <c:noMultiLvlLbl val="0"/>
      </c:catAx>
      <c:valAx>
        <c:axId val="3301825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round/>
            </a:ln>
            <a:effectLst/>
          </c:spPr>
        </c:majorGridlines>
        <c:numFmt formatCode="&quot;R$&quot;\ 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3299276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8.2665278630854478E-3"/>
                <c:y val="1.556295966375491E-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646386007949357"/>
          <c:y val="0.83399410847545685"/>
          <c:w val="0.39973588589496056"/>
          <c:h val="7.01425910253589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/>
    <cx:plotArea>
      <cx:plotAreaRegion>
        <cx:series layoutId="regionMap" hidden="1" uniqueId="{DF8FFDEB-A5C8-43AE-AFB0-9F1716F5C0F1}" formatIdx="0">
          <cx:tx>
            <cx:txData>
              <cx:f>_xlchart.v5.2</cx:f>
              <cx:v/>
            </cx:txData>
          </cx:tx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400">
                    <a:solidFill>
                      <a:sysClr val="windowText" lastClr="000000"/>
                    </a:solidFill>
                  </a:defRPr>
                </a:pPr>
                <a:endParaRPr lang="pt-BR" sz="400" b="0" i="0" u="none" strike="noStrike" baseline="0">
                  <a:solidFill>
                    <a:sysClr val="windowText" lastClr="000000"/>
                  </a:solidFill>
                  <a:latin typeface="Calibri" panose="020F0502020204030204"/>
                </a:endParaRPr>
              </a:p>
            </cx:txPr>
          </cx:dataLabels>
          <cx:dataId val="0"/>
          <cx:layoutPr>
            <cx:geography cultureLanguage="pt-BR" cultureRegion="BR" attribution="Da plataforma Bing">
              <cx:geoCache provider="{E9337A44-BEBE-4D9F-B70C-5C5E7DAFC167}">
                <cx:binary>7HzZchxHsuWv0Pg8CcWWsbS12ky5VBUKKAIEQFLkSxpIQrlFRuQSuf7NtXnut/kD/dh4EYQEFCmo
yUsbuzAb6oFiZUXGciLcjx/3qH9+mP7xQd9ct8+mSpvuHx+mn59nztX/+Omn7kN2U113R1X+obWd
/c0dfbDVT/a33/IPNz99bK/H3KQ/EYTZTx+y69bdTM//9U94W3pjT+2Ha5db87K/aeeLm67Xrnvk
2VcfPbv+WOUmyjvX5h8c/vn57ur5sxvjcjdfzfXNz88fPH/+7KfDt3zR4zMNg3L9R2jrYf+IY6aw
4pww4fuSP3+mrUnvnvv8CClKKIb5YYGl8O86f3FdwQt2184+W8OydPbuwddG9WlM1x8/tjddBxP6
9PdB4wfTuJ3lB9sbt1+4FNbw5+dBe93l+vmzvLPh7ZPQ7icRXHya9U8P1/xf/zz4ANbh4JN7sBwu
2t89+gKV+PKx+X8jKgQdUcSFQBRAQfAXfogK+/ScEMmp4MoHdO46v0Ul7urf/93mAM3ltXHfgcwX
LzhAZz/bp4TOBWyRH3VmyJEkjDClJJGUSk7oQ3A4OuK+YARjODQc+Uzc9X0LzoVtr/Pq+u7D//y4
/NHwAIz95J4SGJfhY3P/1qMijnyAgiHMGZbMh8W+b7+YPPLhc4J8wjGh6BCM/fm4fhZeu+s2N9+B
yWH7A2j2U31K0JzHPxAaeYSkj7kSimDhE3VwTig7UphxCt9RRAqM1F3ft+fk/KY119X7/sN32K/7
bQ8g2U/xKUFycXm3LF+zFN94Wig6QlQBFhIhhn34/4fHxcdHBBCjiErFECPq0Hble29/bT7ePPsI
zqUHb/zXZvXrTv/iy1ccILSf8ZNC6OyxVfhGhOSR4FgqpZi85Vzg2u8bNE6PFIJvSMWZZPSQj11Y
8/H3/2Py7zBl95oeAgITfEqAXP1IQDA6IhIJqoQEr4/EobsHD0ORT30pJf8KQb6CEADIuuke2yNf
Pyn3mh4Asp/g/2RA/mJs903Fg698c9QC/PfTH4R9Bu5dQVRy/5D49Iig/R/Bwe0o5oPrue381rXc
RRJ/PaCvI3LX7sHg/4cHJr+c3839v+8/9t4DaNZ+ZfceHYIP/zBexEeISaIQAcIl/S/I7y/Vdf37
fz02oq+v/F27g4Own9xTAiP8kfyKHgkIQLBSPsIIPIGSD08BBe4LfgLOCFZC+FThu3W/PQUhqB3f
g8VduwMs9nN7Sljs1nfL8d8/GB5WQGYlhzCE3nmB+waJgdemPoevUMoUR4rd9X0LxQ6Cj+7Z+gYi
w+9wFA9bH8Cyn+ZTguX8+G5pfgAs/hFGPhbguzmXBBN5wHcZBPMIA9cCQ0U5JfLgiJzn1/3v/35s
QF83V3ftDrDYz+0pYXH5A32HR+iRT6niSgr1KfSAtX5wRvgRJ0CiJBgzRARlB2fk8vf/bZ+dX/fa
fjse99seYLKf41PCJPjlsel/Y7SByZES4K0hEEScHLCovf9AIJqA8+AcYzgddz1/ZlHX2ffEGcFt
swMY9tN6SjBEq7vF+AFmClT4vUiCEWMUYyBWsPUfHA1xJPcuHPQUxuCL8gCJ2+wAyL2rm4/gQ74j
Kv/yDQf47Of7lPA5/6HH5IhRRTlChAAAkqMDpgUxIFOCSyC+FCTIT3r9/Xjj/PuI1udmB0jsZ/ak
kAh+4EkRRxhEXAnaOycITBM5iD9AVIQwnCL1CYW9RTvA4fr3f7+/vvv0a0f3Lxz6dfu55SEaMLun
hMbuR54LcuRjMEgKwj0BAR+EGQd2i4E2AoksSSBHJSgkTO5W/jPthVU1Gfj1u4//c0B2fzY9QGQ/
w6eEyMWLx2b/jQ7dBz7rK0jWglQFEZ/v44eIUB8EXshJISHwV/XDB+rsCwvp7MdG9/XD8lDi/fyS
A5T2s35KKP2ye2wdvhEleoQJIftzo3yFuWAH/gRSiFBOwCFtQhnHkCUBFO/bMVBDFgsR492n//mx
+bPlAR77+T0lPHaXj03+G/GAfDsDS6YQAw8PCZADOHwGRRLAgBWVbC95HbqVe0UQ350W+do7DiDa
T/kpQXQJgtB9hfXBdL5D8lVguJQSQIJ9gclBJE/FETwFYgCiJNunRg6jx5s2zevvMGaXdw0fDP/n
5/vZPSU0fgl/IBqgdgnpS0ing3RCfXwoA3MIWDCIXVBURLjwxaGu8suH9juguG11gMN+Xk8Jh4vt
D8SBQPyOJCRzMfHBpaBD/gWORgEd3td3CfGlpLJ31JDK3V6bm7z9DhJ22P4Amv1UnxI0a0ir/TiD
BXKWAlke+T5oXoRK+pCJMXVEfEklwAdmi8AZuev8lhuvbf77f3V3n/3nHv6u3QEW+7k9JSzOoajp
h2FBfAjgwViBg1egA3N8eE4AC6gdAukFhC6gXV+UouyDje9JlUAEf9vwAI397J4SGr+c/kA01BEU
m4LiKHwwSkC6DjPqEKMI8CmgshDB9+kUcPUP2K++Tu13kd+7hgdo7Gf3/xSNv65D/aNYN4KStPhT
le+9UtTHn34KxqDq+KDpY8fodlmPP/78HCrk9tH7H9XD+5c8WPWvEdQvmt9cdw6qin10BBYP4hvI
u9xWqD5/Nt7cPpJHEPAQiFExp0Dl9pkwA2Fmti9GBnUHgiEQFOAofq6l6Gz/6RlhR1CEAWUWQDdA
juaI/FFlfW71nFrzx+J8/vcz01fnNjeu+/k59aGb+vZ7+9lyBi9SQOWhcnAvp0JBFDz/cH0Bpdzw
dfy/1DSpGsY4RKanzsaL4m55P6eeKi9cp61l0TCnpX/qCuenZ8Ni08UEupzmaltykTVbu7Qe/5V5
dZaboEy9TsSypJ13juq+y97PpPPZNfEH4r/rByFVmPuorseVl3qIdIEuUofPWTnXeRlIWzXTOytY
7mJmEzwEMvc7Py7nsi8CmS3YCysnxiqmIxH2vK+SflzPaYerGPmDXtYZxWkfzoPg9nSieatOSs1H
dSX7SZNTWhYZjpLFkPYMqSYrqxDcUo3flF07tmkwIDskJxXYRvEWD7WXRWPuch5pXtc6Lioq061s
c69cdQ1LxSvPz7p3aUMZCTqXsFdjkvnDSurRq8JxHpU9rc3SrlRd+Po8b8thOhcDy2yYdmkzbVDF
uz6cKtNvy6J0og+aFh6vZtrydgpS50YbD6qZVNRWYLZjXFQp2+REU/3aytyqk8nijqxKRUj+muN5
qY6XMnMqRjpP0vOiSwvdBVaWMKyODZqcjUa2NpAi78ZYzqpt1lLirohH08/uJTN6YFs5uQW6T9Oy
D0lV5nxTSa2XM6rrujhesGmS9Vi2BG0bPjEdpGU92hUzSdGHrBoBthQ1vQrHoTHtqa1yLoJyEa3a
jlLSkCU+DUvU1HGKChhMufhwdYCV2cBjkAO6PCxFMy+btFpaeWlz2/KXY5qNfIg4lIEvwZjhXkez
VzK0RkZlLqp4tgzByBeJLmbd4uVFX1SePia2ay5na505rntTuFfUc86swCQvMA7WwsqPzShEYKdF
zceGdZ16Pw+TGkPEPTZEjTAdjYDce8PKn5JCRL6PxHDc+GPLgy5XU3KWisUvt5WslAtxnxVFuMiu
bK+yyXrj1iQ0W4KyaSoS2wVlu1Sz9FUvCmlDY0xVmYClnvsVuS4/I3VO/NBjjnzIdFeJkMmh/q1w
SdOGDlW0ijo1+c06w42YAu4VSxOgqnZizUc5zAEZq6wIYMXYsiNpLnXc55Oej2dHZRXbRNObwiyw
P/LCG9mLYTSJDqZciDJK3eLLY11mVEasVh6JOa3a86GRNo+X2puXm4YBXJf1ouR44nqp6sAuJple
WAHLFza6sjqk9ZR7q7xqhwuXjuN43PO2NIERyktDlTjarr02n7J1m3OtQzliNweyLVAd9svIx6CZ
+7E6H73GuUChvLRxWhXqfWumBPYKdWaoX6d50nSnde3XAfW8OWYooeHQ7fer1Mu4bHiZa6yihoxo
cAEU85jhRBaubILaiJRFnfSGPGht3gxB0aeki+wkWNK9dmkpui6GQrbiZpwKf4hGNmV9lHqVPwa2
LrgLmW2MF8xg+BAEBoNWUechk4YF4rwIJiwtWCkfBrCiehjFWi85S2NKisY/H4wUXTynfdlF1eg3
3dqZjGan9WLmLOqrTLWRIXpaDdiNeSjTfBkiaWpmYaMmsJCELyMJR8/veeApNqQRxS618Th6mlwY
v1G/VS0ZxUbhbEjWjZeS+YSoeuhezVVT6q2odS+C3HNjsp5bVNljlCcUh6wr+aspqZVeE265izOs
MQu0P3rdhlCSyLhsM+6CSbT413aaXR4KMINjkLdTV61pmbciULgs2qBHqBsCPqLkauhHfjnl1XI1
cJIWa9+Wxm7SmpTJpZ+5j5TP9a4fe41Cl/mNH5oCpywg2FZTPLupn6IxZbCpZa9FFbuycjRIE+fR
zdJq451wZoo00EQszWouwU6EynMTCXCCxle0MwMLRD1lImgY6sfIK1Q6rRrpumG3qAx2eDd0Ep/U
ozf2r5NKNc2xoU3DTpDXkiUcO9W2Jwutx+FihBHyl9mS5FmYJK3Qm5wus7myxqVpRKSXzVGbuG6O
wZqzNqxGN1I4zYspXmVtZdyrpsW2gHd6fhXKHPfji6zr52KrHZiJEzL503LqHJ3e4EnUadQ5wdKV
EHN/ZVrWp3Epy4lsSyEXEk6S58nG1HxGYd1nFsfCM/Hs19txGksdVGyBjVWVVe+iSdtZrWTSGxzy
0s/HLfWpMcEE9SDZDpmmq8Oxre0Qt4PqxYolCH0EZXbBQU0Hyc5xkpTqJa8HZOC0zjzd3L+L9ICZ
fLD13OZp9vkK2B///Nfu7l7Zp/tJf36+v0T257/O6htz6dqbG7e7rg+/uSeUf3z1z4tOexL3x62n
A1p4ex3tLzjjow//M0IJojXw9r/mk38q0X+yyNs2dyRyf/UMpA0Bib5PuQqgaJ9JpIDSN2BuoMn+
ef/pM4kkUPkJ/0H9NEjnUCfN/efP7jikAlEKNCt4hEDI3cu8d9N/ABRQ6K9QSLIvn7tPIffpLEoQ
5Hsp3JzjQEsfUkg25qqZpd9E3Jh6titTL4y8LalPqk0/oVzhaMrbdqrDIXFVPobD3FD3HplyHGMm
XYbXNimzJOoLUc4fvJm7/JqLQug4UeVITkQihz4J+NKoVAeC1cJskmyulhC0N60DM6HebWjGlE3D
eapKPyIN6sivRiLPu8jyTJm4ZjUuN2VnhTgpLM+bwJ8HfJF2S9HegO8o5BszwVk51cvgV2c4KTo/
CRK/XPJiJ0Y2ZHlQOD6Op+2+FBcYjST1vPZqh9mL1raC3AxLodNQssXSY7FMgl8UhHr6NJVY91GR
irTZZqbx6Nb0sk8jZijwMlu1QHAWzPwlD4acS7HQVUknU7ylBZis06mskmSnqKXotJAJwruq8sFl
Bgsmjlx7NU+TazAGzRyPbVdgGzKaieXDRNpMrXoyAFsUM++GLKxqW6RzUGVT27/0ZJboczymvaVB
qweDqjKcuPakzMM6TbKkOSZigBTz26yYXZYFNgePsxpF1qM0yMuJk9eL4awsQwdxA3unAGQg6rho
a/IyNTTVO9/rWLW2XYqTlSuHfD7PPNYmG9XN/dQEqhzK7uWY5x5/WTdszt7RlCb1GOJEAKVY8tKv
Vr7Ou+uiLJD3NqGebC/acRburcjokIcok970eiS2EUVQ+WmudxB2VfqNLwfVzmEps1qnAekLHcKW
4/TM2ZmKAZi/Vw514OWgLKbXyDJVtWGiZ5T6AUReiNSBlF1FLsel8ZZtx2bfXcAB7XkdzIa5cY2b
QrTnRtd5euzz2uWRP8Df8JbJCBvudUhWBpnHDUsCvxjmGtzbKBJ6DTTAy4vAH9KsTwMObdhm6Gts
buTcl8McpcrQZMVLJ1Eo2i6bWOBkorsiMtlSmDESc6033ZKyMiqFTuuNUJYWJ57ilQRs+rnXG4ds
mf5qG9lX61T2ZIlbbjUjIW79FNFgnAvlv0f9NC2bcdQSn7LBo91JOckKn6Eat9l7W7b71lmBS9jZ
k06A1tee9UiIaJPNb+1Ic5UH3WIZP0d9NlAXpANd8jRo/SrlU5CQlPA4T1pfvhNN1c070gyi23qt
ndsMvjwUdDu1ljZb382007DszvN0WOXZKI6rtvG7tZwHya8EJWmnQ6YXv21D4tsZ7QbWjcCFgWQp
uwVEWnc+gCvPt603dOTF3I002bF2aNG1ALecvJDJNOa7nHYZPrZl7aEzvyVpv20SVtt3FsSx6ryd
od37sQas30CUljfH5SzpvM502U+vS97xeVhhsK5DEzNT66YJmEOEvdLFDCzaDUUOXE3Cpd78Yy5k
IWTYTUXZf+A6G5fIh6jYHY8+mLPdvJB57IISeAYWgelSPy9jAbQgykaPV3ngCS2HLPDmgcv0Q+nU
vLyWVTr7U1jTucrJhoM5mF9Zr0Q6AJ5PlReUNcqHkyKzWr0TxLNNHpghq/O16j1hLvwCsXTbk7m0
L0eL+vq3xY4YNUGXDWl3rKtkyi6yBYqBfGCc6YJVYCHPLougV7WdXvuwEXwTFKwogSkOqlDsqtGz
P1/wSbLCiwYEp+qkH7181AFZWnhfukG90PglTnOj3wyjqr03TZmk9mWtFq5fjQh4y3E3d7g4HXiN
sxgWoZUb0iwN3Y6Oe8CQ5qoE9jhkfp1HOEvEtDIN42ZFWJXr9+NMk/Ica0ebj72vqA49h3i/K8sp
J5H0i1yVIRi4slwiMxox9RB8Gq3kqkyNmT4MdVGYrXPtkJ5OLYTES4ChbHB+XYHtbu1xynxfrz2y
aJlHJHGoPc2Yw3O+HiBOxEXARF1YGgnegcoE4RgbOXEoLokTdEaRxFUDPiRQPXbFO1L4Xlmd/H8i
5eZPypyCm6uPManDO6h/8ily2/QzodrfVCJQRShBbbqt9rzT5OgRpE0plFVRoFVAa4Dp3GlyIJ1D
FQnUtoFgBhoh2qcp7vgUUUeg00IGA9iy2tdP028hVHsR/j6fgkoHsc9kUYYUlGITvpfs7klyC+YF
7JLBRmxNV/NNviWhiWzohejMe5kEbVjvijVygYTM7B+88ytM7lAKPOh3P/v7/VZdljqgUjYqwaoE
tC2rAMqToV7isU7w3/UCkN7vBS+pTIb97IpjnAfuzIZVCLFiULyortqwjPS6WD/e5V7CvC9xHs4L
ElD3e1RZTwE86HGprsywS4ttV8io83mY1CYc8r/pjqC/6e8AvyJ36ZznvY3m7RiDLKVW+XbYNOtq
V2WbJBpC9bK6oqE/xugkqcBmBByKhB5b5K+uMYhYcAMJfj8B0gsPZ8y5moQjnolmaotYI4XDidK/
2S77EsMv1/XPXuR+He7t0xSoYu0MzLOLyyWkK7VKN3STgd+LQPwK860XDyEOvbW9IpFa+6Hemnja
2TMvam6t3u0vWXxl60Iw8+hQDrauqHMtelZY0Gu77GVlxyJGwvFNmzHvzeNre9AV3H6EAy4gnwl7
BsEvhRzspqSrTV/0fRWleYVCjtvkStGMHOcuWT4+3hU+2Lmf+oKrNPuLfVD8BKW1D1dYygq0hqqu
IhcNUdcFNAvGJSiioQvVdXUsV6iOmgjWPiSB7EKUhI8P4Gtzvd//fnz3ENYiAxrsgb7q4fPSu1B0
q+jlt3cBnpjDNWzCKVS2POzCZxVmVULaSNavMTtO6ivrvm1zfFpFDsllKN0Hww5W9WEXwO7rloLW
G4H8tZsT/9XUyRXvpujxmRwcusNu8MFx4BnX4DZsGxUt2kyIHjvs/43x3I/0niX71IVAXClYK6Lg
tzcezoT67WzGnEEXx+4Yb9xmXOGYbP7OYB7a6E/9wC8RwDUt2OJgHQ76ydqh1lWlNHig4ZTxQK9s
qOJpwyIX03B0IdpQuE7ymMkiByrCYZ+frOq9vebYbEpUwtz6ObSbPp4iEKzXpgjJ1r6o4mpdx3vv
58IiD12YxWnUQqn+Y0M4sGefRwB5NQpyC/wUwx7geyPIaN9xPsxtVE9+pDMRjSBzUw8orwke7wnv
jcQhkPAbQn90dbDrmxHR0tCyiiDPEC5RFjbrNOYRKN7rYT1vur85AV/bmnuqA7UvzGdw3B7OjM5W
JlbxOrJ5HuX84zJ2f2Mp8NdMhWJQT7sv/OdwOfZhF2OiICUxmirSp/1WD8ESsbBbdzt+7iB0Ccvz
+Tjbyr/xc192Cr8rIwWCe4TwG0BAzB52uq/FRniv3i8DBbX1ZZ3oSJTkbw42XI/7cms87OhgAdt0
MEk+ozmC38WaIStpvAbC4Vosr8bJ6XPf+SoLJzt/9JqZBzWb5xOtFkhPyJklcVZR/hvx/TpWvcoC
MsjivQeq2bakuSvCXg3jsUsx8BEMYS9qRhorLd1KQDJpA9eRZNyYvt0alme7pYG3GiPGt3qS47lv
rYnLpoMA3ozeyke+DYchzX9N82acP0qFbU3DDDJMmIX9ID0voHVrkA4NuMvivPH8Fg6VFSTys5IF
vs7S3zogqMeVXpqdnElzSUrnNpACVafCA2kiG8pxpdq0PAVJhb0vUeHngeqyLMppka1SWAIS2SIZ
3mjTgL4yT8uqh3xgEXopMyiYe4xvyob3G6n7JZRVIc5qM+OTHmn1a7fwfA66xkIW0M4mgqFPsZdD
3rHgrTjpC57boIbM15aVkm4hzuanBqUqZET7QQ+ZhovZDEMf5prhLiz7BcVzXqOLQes8TNomP01S
30R6HNWLtlXNCrLBIKDjWYayMVm4YN9uW93QCzmi7lTnfR8TSCCtoayyCIvaJsfNgKpVxqchTJak
goCStFtWk3kzVcI77uAG017uMKeeg1SDw7QNCAgtJ3KS2gaiSOWNR/xyBaLncga3Capt2lMegh+0
QKQG/LajqNjBfWb5dgIlf7eIaVpxSKC9WkSFx9ACARkj1In6whu8/GpqBH5XGKcj1C9F7E2gVDLb
gbCk2x5FkBMddxDAulh2fnU5Djx/72lbb/iUT1dZW8tVvigvHMWoQ0hUQ/5wcOhVnixtxGFDLiHo
mgYS2pW114I26XZOxzAHmajQswggMQKZunkuh2s6apdBCihZ1spAmqYd6ywcmm07Q5xte/mOzr1V
gUBNGmn4paKobT27Xqhsd2mn0PGAWXlWVXUD+oIE4ahu81PQBCEHkTv3okdYt0HmcPWbV6PiNc8g
QQ19dO6k0F49R9xLm5B7coqQB3kqreoloKWuTrUGNc6H9Fvs44m8ox2qdzzpITFfJuIS8sUidElK
17PDv1ZTkgdAU7KtKlszxKLKdOhbz99ky8LeLlBeEEthgG8lkKojjYCs3TRVO69dMOStaZ2HtB2y
lcyMjEddd3PI6iQ7yarcXUjPL4uVUmYeX6ipbauIpCV+kfJagrhMly7rg1E26W4gHfnQLbN6h3Bv
Im/gyyqfljGuFibbgNJm2CbGL9YVpLWP86VeTgAdXgXtnOQnS28z2KoZGrYFJuIiw2LZca/KX3fC
2XOFvO4cFNn6ii5UvzdVDzGKbHwE6pO2GSjocOQoaGJh4gY/olANEM0kI1tpMncJqSu20p1eUAhV
5JJGldMqrlqdXjs2lCdJY+hveVUAxlDdJOqgokkbTYNgECgsGF3K0uYbUrNXFLLhUS57G7RZTeOk
tOMVRRNzgWGLjmqcSyiJgCzcvBZlAaEE1LTFusq69VSPS7x4o/deQG1BE8CPxLgVmJU+5Jls3s9+
3r4jLZSG+F0G6W2ehrrgLLKzM+HSOXKSVwrMaDEKr4qYfzkkbberE1wFStPmElQvtrZgacO+80SU
oWk8X3ibnSqv6SKSJSYUKaj40k/cRYGy6a02RXteJiQ79RsrNwYy7+vOK4p1L6QMYScaEC3rMgDV
lm5pIkzoJuptl6TTeeBb7QPnaOXWKFpEi6nmDdQF0BetyjXsEOtHcCy7NS+cDZqUyzWve0ijW9iy
tJJLMIg0WS2g29sA+zWJstybVwvx5ApMgd31EA1uvEZNASNDFRhJvCjjIEAuJPFXvqfm9Vi7JMho
0WxwQnQEwjndQM0BlPJ0c7qCCgkwrcqzG+5nxVljOhVNaKorEM9x/QrkP3vqVbTb5YnF53Soug3O
xuStAbMZlhy25TLUQwg6ebshSzdeuFZMm4EqvQExVm4mY6et6pMZtPR2XtcVJPpbzaawLEi6KVvR
7Jxn1ItuyspzKP71TmHnpHE30WwnB+ydTUpDVD3VLra20etJDt0V5O3V1nlzOwdpI+owM0N700Nu
8qz12vLNIgV77+BHCiCrXxp+5jnwag2I4LEEMnHeJo09pxNhF43Xi9jytokHqM55M+icvRK1G26K
tlouOZnn9ZB12TopkibAJXrrIO8aYZ0uUwhMY5yhoqEb1pMGcRn0UL4pS14cJ87pHZkYe5OAyBka
Mo0NZIozvplAFFyXENRv1WJYKAvAQ3HI+Q9N5wWQqW9DvyJTOLN5yoJ6geKVRonk1EFhwBmrINES
mMwvonZw0wsKi/8W6FO9ErlZ1qRGMkihIi02YzkHkP5A4TgufTClME7PT5cTiJWamOvSxFLjugEr
KkBGJdoAJsToYgP1imQ1wHW3K6B76doQm5NgSrT/PrdVrcKad/p9Kkltghn7XRPigixv2xbYDys9
gSBHg9uLbkj/L3dfthw3jm37RewgCI6vnHKQlJol2y8MSbbBmSABTviu8wf3x+6ie1JSGZmnq99O
1UtFuBw7AW4Ae1hrbXWbkaJA5ZbK303eZhS7NzSvvEbaGyjPnAH0ERo65ElmR02m01dK+v6H1upV
6OrSTX2i5dY9aPTdrvRGD8fRq27NfGo/tL7yjICNpcf8fGazEwx1l792CZ4FtKiqa5cAgtS09uAD
GWX+6I2OXnnmRCs0Mkp3U428pT5Hxe+qQ2v9Nxc6zr09wFds9O+tQqYxTfFwmjlBld1k1QPATyRm
c57c5tRto+UTBCgC61deWidh5c3jti6nNJyJkTxriicvvWLDVQsVsnioRbLv0iaL0Vwqd2WqDcCj
jEXUs7bZ1f2CjAOgZDuVer1H5InUssKaGLMUflBPAgC72mCap+6+UEpuel3gBDqF7EOnq+RVpwZx
ZbgtB/qB0F+epuM+LrJAJU5+NWZUy302CbU3RCrRbDXVrkJD+UrQNPtIlcd22lx13ytbb15YB8cJ
NZSUPkzg92y/6LwKeK8KMCEfKD7CQ1W401UmsiJAayh7niqvl75dl+w679P2oavm/D4VVv4jg5Nv
KupoL7QZ2aGwx+Ix90YEY5Z3aL2AvFoMmZLf1W22SVp73ptuo/vDWCIprPUBdR4bAZVbCHFg6BT0
qI9IdZcoUTT+JE22ndDu+pEOBtyA5cK9SZrU2pp1k8bAhcw3eg4cIut0HWWVzhqfDAOn0k/EJN+k
14qdKEsN6CyCmC6Z2p9VUquHhrjiitSNOOSFanDVtt4QjAzQEF92vah8q9Lz12Jq5BszWVPEesZl
4euFywV6gFX33DiyFQGvPVHHnSXQGhzTjvqeZ1Slr9GiL/xKq91brYWRjnnpbY5m769MWE3iqwpA
mc6V9FZr9GIzEg85CRnqD6cS1I6I0Xnfx24mgOkYxhRXhZDvXKPDpu3xP02W471La8zv0aBzAAys
J23r2Ep97wuvDdM6b18Q9+sfyeiZKjBrpvtKk/l2ctppb0y18FVazEFvZmbQDNTa56lTxp7K6Lab
HMNXs8lDB41nvy5l5buGyrczLX6PDBErY2i05GD9v2joeob5MI2bgVjTxknxSLYakIoj4K3R2Ejz
SjTMCDRPDo828hlkPF1943GKzeI2aqgDfoWauuJaooVyqNE7unJnkj5DhTjxgR1zYvw8fo8WI55a
nuhAsGVlRPQClXNe4zAXCDMm4fWRVbQoWpp5Gpmi8+7yaWS7VMxFaC5wK5KxZlMJyf2BahNusMnb
pYbtbTTlIkYnU/2op0O9A7gIrVmtskOW4u/WiSsP3Gq1mLZYuT1mLOpypt7cfOIPs91PkdXp/Mob
vDJyjBzhZC4RLwJP9cAdd7rJ8xae3vY8TtpJD2fVOh1wfWSMLFOY28bxxPfWrV3cpmn5I0tt3JO2
kT6LPk9fkIFUsVFWI7IGavye5mH+mWrUWU4oJffClOZW7yysRCXazWhW3qOYahQggPLZ9h3PALh1
04CMNQLMfG52QDnmEXBZ6S86ijKaNZpFWPvIgMpqWxkgJ7MCAp/v/TqDtycM+VlqMHy41EJtTxrK
fSBa119xgc65P5c1O1it1B/6xEIFHDnqtzSHNVyHJMhG+31Ukx1aXkt3aJUDaDkocW8wV9tS6WRR
mxLjUGv2wNFWddKgLGuURBkgaJEkNhNB72bGo5y5/abXE98kyumvcwnco4aC6rciUWw/9l13P+rm
+KtvaT8GhhTVj17vm9sKOJcXRw7ydh4MfVvR0tOBEqTj7cBG7ZXpadHjk1Ij7nrAvHxz7LJH2mfN
OzLEIUQrkMgQbY4KreZCf01V45oxEGKoUcjcNG7Gnrg/6tTuQz33VKx5Kn2VQgHT4iByByqEiajT
ZlR6batIi0A5pDmoJlXR3CpZBNqUVw8AnmkhGQtN+qIXxp1m1XSvuQTwVaC3g64WatfAdxCP8xln
vMm6QOllGmia5x4mlLevFeAfj6Q0gQSoAAt5qYuGbkqgduLOQEg/UcMOgcNFgKcjSA96IEcj0pD8
XjNMde0i/AyHqZhva2eY4rzlbAhcNRabDuXLDxfX6K5hso1zrpvXXtUmu4S50y7pger0x3xktzrT
ve1QZfNvkQHf7CMeQviLM3vnuY3Kg8LyZOQBFswWfC72EOBHEqQNH6Nan6qnEnWXTcKLdgxSVfIS
eQRqRYGT0yzsvJlERYLjG+AItvEgiPqt9FZdLejYYAYvA90n4BjQfU7634lhJb8ARy4jNeuInqaC
sQdijWw7t4X3a0HwZIFGGJDVU6o9AvJtbxEplEhYkuZ7lyrjupgS5FYNCgKAdFpPRA4Iwq3ZQ4wo
9G/A3xQvQ+GpwBgt9xstSP2ooYce48OZeDWyREv9Aq6DjNNZEjKgckMrN+uQZkuMPzkUtRWLyR9u
n8hblOLsjTs6JgALXQWsxtTeomnu/SaF64VD4+HJE1OPIGz0ZhlrFLmb3+PJioAwZh3iRs9hgUZV
0/qVFN5uTlztAIltbZNyYu8mOfAtGp7ldxtRYMyy2dyzSrLeT2sToUc/SXhjBQQPICPIcPgEwKeG
NPzbYFZOXBtGfa2D9aWA71D1b92okjuR6U7ii8KYYy9X2m52UfIygYjc9dRi94WeOXdlUhU3Rmlq
dx2ppwXYbt/nVZu+IJHt46kbyC4rk3KL1rx9PQGE/DFNFjkg4cqQmyfDFRgL2V3bjsO28XQa1SxB
VYsacng3qHSfqlym91aS8XtvtoH14pP7og2Mf0xDb9aBNuTlS+mO1jYXEmFBNUjm014ropJyq1jK
Kuwalbb8RkBCPuzwXkW1V7u/bG4Pbw3eoeesavv3BmiQj5IjZRy8wYxTWgDeTMgUCZTvfwxeIzaj
B3wbn3MOzHXJDxyvQ5T05bQjqlF3OL/TAa6NADXx5qt2nPpYovJqAX2p9XPoJYWxHYSoirBrK3M3
5jXtAt2czA1H83FvEzZERZH1h4ZNGSoapl4hR7OqX5qTJkE7E2fvVq0MqZNPSLvwKAIT7OUAGAtj
es9pre563MvfG4tj8bMi2ylxrXtvcMcw6TMrVCZqclRP50DMnflU2q7ae8ZQHlhaVQ+FUdNNT3Xy
PIzJkPsCkN2NnAFXc3plffdcNn43ZZJsaJmYPulzb1MyKj0/nWYR2o1ACbG3izsLoPAg1brpscaz
+M0YcIl2ttQ2LcCSO9W67p2aRb13ssp48lqX7qhKxgcwo61vVd44gTUJxIG6Nl136GjvXI2it21T
Nt+4KlFXVpUnSIY08hu3X7ohk5ZfzznQfXPBZVxqZIwbGN5qnKYv2UJ5cBvi3Xmjkd6J1gasx9an
Z8DByp09TsWux6Psd3xCSSzVQYdItKIODTFrO2+27INE3P0TpRTgdFvGb426xTEaC36H2q4DKDpp
sxtUffmb1w5lqIBHBDBw7D46MpdAixntpgOSN1Z6PuU+XsZqY4D/8QawTbZn2VhtBjmnwNO3rudb
yu5jNdtZXJAKdyF10NTHNRxZvEKs0g7Ntdspei97xu6IqMS9ZzXM91JV+OPAuS/VKA9W7yU7XZfl
S2sQjntjngIKmFZMvdF8bmx3+BAjne8qyYtHXpIhBlq7erGdOb1BZSnbNL1XROYEFIzLnPJdcblp
WoKoJzHkTQdqw77P8+yRJYjFWp7LGqG6pw6UoSo7MySjAlF6aPQzvZ24RXxllukegZYHEgs3kBJo
fIO8CKG43qmbGfXJ27TSijBvCz3qFQBE2YRiPXNAvdDTZsT/lxDDp3bWHdpJ1hulWkCySd5v3FRO
ZjD0FSU+Aez5KgNmNBZp6YHYZKmw1Tyxs0iqhUXOtW3GXRNVu4Ht8QxWD9jHdGviDgy9AvFipppy
45Xz70ZPdR8/s3gCt+N3PVoUuKCpR9g+Iur1mNooI9duUleaN5YzFWgaIPDboUgNtoJe8gdDm6aA
VQTl5q4aw7krZYACbrVzBp3fD13Orz2RO5sckQ8YIIbmpwlK8MNM0aYzBgd5dWVeg0uE/zJT8A4o
zoUzpGZot3gE4LGAB2QO39jAH+Ztyh4Gze6+S6lYNPWeCcaWJSPeNbjXE0ccLHv8aYxNsUUtnAJA
1XkHAnjFZqpAd8kW3JmCH2/AYut8DVXJEFwhezNBbhucIorUZwLtxwfOdYmdVGJHlFhOnKVNfdUX
1njX6ZoVlchrQ3SUZJAZqKx3ZTeiKmI012lFGPDsXrvtgb0NEjORd1SmcIcJAUgxdn3QZDS7A8Nm
3HLQeq5sE6WplBtqR6ldXGjJLi34o06e5RpA7ACvA5z30jc8bkHxDN7rNmitAZaql3eD/d5QD6ng
TzlcsPSliXdsad1fHkrgBEq0YeAAP5v6+6R/u9CUXLplZ5ZCVi08rtBEB+oaBrRho9KDWXwzqRHW
zvuEYktSaehdPFoJ+EnO8Djy7V8xjwgDAiPggwOEtdpJWRW9Z7A2tHTzppmTGx1PBCqlbd/6Ss2+
05aHLJF40uetjieKi+j8LzixwVCwtqBuvQDAoHBy/APQaEs6DV2e0CJ1hTLZ+JMl2YU+6Ql3Aege
fFAI/kPobo0eaZxW9KmYeCgzq/fz1n0zAIyup2ZbDc032TX1heblqUVBoBi6UwAfLDyC40U5+Zyp
hJMmbAwg5bWx3NJuuj+/cQsMb+05mNACuBpkMDAmx1y1s3UQ3dwWgdw/2tnEb4NqY0V6TKN5215w
lC9NX3iHAeS0Djsm5JtWn4kDWCoscOtCWlw3431J98q6AEZYcC2rk0ChcOcAMeJAi3MhZn9GApjp
0OqJsSDG7J88H31ciaze45WJQSgIZV9uzm+gccItINSGQSmLkAji4pVBkGrR/ONlEw4f7I1+TEAE
ZFGyM4Myrky/CPrYidQVyvG37E5Fhp9GyaEIxaPx6oXNhWNgnPiaRz9mcalPOIgEtKxhHPBjurB5
WXAmYHvu+Y7HiBpu0xjFPD9Dt+Awh4Zf3rtXWphfOCUnnBZsEnBKXKh52GA+HP8CVbQ55jagYeSx
5gkglW9p1l8wccKLgOTEfBr0oABaWJTTPy+yrlLO0Dauw7pu/Hw4WMUjm5l//rueWsdnIytXlUqY
LcJmdJuBClig/CCiXFjHCVdFpoFNgsQZmEB0+ZifPhaTOUgCY4Ig01I/SWPmaJvOQeI6r5YAqUvn
xofs9L9gFMccg5nQcvPcNeNnHJlwewoPGVtBgwygCJCVy6txnH6xpr/KiPEyNMaF9+8rxAQfzLMh
PQnkDOyC+X60VK3sNa9M+YI3lBpAsV5Mtvadfev68zWKI3pYxSy2wvOf8KJVemy1UVoHmCOsjsEY
SXQhgb+zDiIE1c83t2LX3qKUeWF/jROO4+B+w9WDlS6DMI6NYqKVkTkqbcPkB2n8bGuCTu7r+/RJ
7sRGC5xAhJFxW7FNsVNR7gdZOBxwJ1y4Cb7iwBZwDVDSlm5AEQTgnuOfQWUF2q8OZteCPxwP43Ma
FkHymPgsqOLqNgku7fbyxq8uXvgU6qcYykIgkLzabFFPhZ3OWQvgGduKDQrcsRl3FxHBJw6/g4wX
YG2oNzlY3PG65sJFAqyJNhQczIqhydFHGd0bIwer5Lz7nDieEHBYxOcRHprEWe1g62h6ZqKYGza6
tzNS+pyV4wHx75NlGQhtFR8RK7oX3uNT3oNZQhQwVcysA+DreHm5XimdltjFjMwvCa1e8oluz6/r
lIlFuQKKPWR5t1axYm6JonSdpg3BPqt8gBVf0Oa/YOPUV/psY3XeBzttSJbVbWgYgMhkzT7trlH5
PL+QP19g7XJQ7MRJIy5GZHgrK5qHzqTVl21I216/65RT/jDbmr/lAwM0qxJV2PfTGLTgtcQuGbII
RcopFI3iAQcWa++mI7q0AuAjtASmmEjXmYOM1Z4DbQunNEGNy6woGed2CxGB9DppLevaKqf+SQO2
2g36rNPfq7G2Drj5hoe6424oVTdEapqMm0LWRhXMpNPitDeKwPI6EYDTi7eXFcBREzuJRGLZsbQF
++2WentNm0z+0mWqb5lnJT8GEPfuJKoGUZ8kPRBSWuI3VlHfsNRrIinnemuC7HjQOl4xPxlN/ZHU
I7lLRAJcgGarfZuxDqkTMa+MBlAQEFKrR2WA2dyKwQ1m8LPeST7zZzKb6IKxhqdQihjtrTNlw4PV
2eQNJd78KR1RClGz6+3tLKdhPTOgwsE+3OE2GL7ZgAhE5z/tSR9FiQk/DUqfX1CPRl/Vtlfjyxpo
QDYSYZxxAVe5pmos2m8YhEOhn4LLBCyT1X2l1VmZ2TXu6SEuDvKahuMmD+3vIBn5Q+T9ZoG9zUIv
nC/Ei6dWhuIpmuyIFxEprU5fohka4ZrFw5FoP0Qp9mMz/Ty/eacO32cTq2PBoW9BTQkTGn1xpwYA
vw9Fvv0FG7gUMUsFQoX6Gt6OYtQ0iMLjYVKZgV19dIXtO5Bh+QtWLCAdAS9H4GCuMqDS9aDYgo57
WKLxKIWfkluWX7hxT+6WYyysUCgy4vE6vnHtggxt6o48NAB7Q6k8hUgOs5/PL+TU44jM1HCARUVY
QFdGOLRrQE6Y+Z/HkWyXxzHd8ouP41ckNpz6s51V1FpwDm2QFhsGDF65U6EdNDdqV8bGXbUBaCBw
9tEY67HYVfH4CjREeH6Zp/bSW+opLuT4QbVYeR7agEZZoLIF0sH1IO87wEvm4um8jT/FkvWt7xE8
X+BW4F+6coqed5CQWQKN8ho4tqDY2zu6Sbfdpr/wiJ3I7DDm4d+GVkcVlf/ELkxQcRhIyJr37ujP
tct909vMyYXbaPkuX9YE8fU/WTh1/oDOP6UCDQMGRdooEA0lD9yu94fuvS9rf0Ad+vz2nXQRhOD/
MrVcUJ9MUV0mDVjiXZjcuEHhs8MYZVcktpesNZy2XiAjEoAKf1vciTstdC64yKmgHPNKMFIRw0VN
3bVXtaJeS0t4aPf3o5BMO7aX2yQe9lAEAGgMFDmXoN8SXLK7LGu1wy7CcpRS4DIGJA2Pl22MiTTN
FmZrQGZyaz/M1aWdXbz7iwlUN3Bh4XL/Uk+cx8kVwOvgJtmkT9M1etvYT77rD1kEXrGv3SzQTF9F
QPnc8qDcNNtLNMAT1wzMLsNEkXxTugjMfv62NU+U3ug1B+oshT4PyIc2eqhiCCrR+0361gt2Y4By
e96lTpx6WIUkxTJXYPmyx1YhAg2eNqtQfGtrz+/cbqMcnBOj0y6kkae+Ieo6gLBToLyIszr5xQiU
7aTShQvRbQDQvZ44251fy1d6hwXRLCi0YSwuqhi4zI4XM2Za6TBgh0IZq1iByEK2aazfmaB3NCH/
dYne8XXv4CsI9dGQX6Q2124JnYM86ZgGSmXv+bm2cc0xqBVESc+xY04aQU0eVzJU7hF1HK/JETYY
QRI1Pp1/6O7gTwPQAQyKgv+NEffYiA59ISCJYSRPbhzwqRsToKnC+Y8jgkUAU0fohrcUVfWVFUTU
iBfR+g4xEOkaM8CflNCu+MUqyR+a1PFZXuyAc2Ma0P+17NXd3xEJgM1Se5Vh/mSCIAJVotB7LfZN
UARZUL61IVBR4FNFUPd6di554den59j86iHt08qdnQHmzU2N3mKC2D+s4+HKDpvr8qGNm90QDFGD
g3176dX7+hQhICaQFNTRkkYas1q5USnHtJ2qCSuORl3XVB8kZyTqWjRxzPHC1XHCGIH7g+qDuAjk
rZVnWsrKVeLSNnSbF/BhfFk+dSnEoy6l1SdeHbAwPxla+Y0pC8swWxzrKfY+0AwLs2i46rYirnba
pvPRzn/2fp4/EKdt4qpCOwwzHjFI+/hEaN4ITDFFhmH5KMG8kLD4MWylD8xhqG1oVEZZ3Lyet/n1
AfCgOomPZoKXiftr5TdmqSedZ/YcdTZ3D+mNnbVZijDiP46MMHIJksxLuwWM+nVnIiEpaSDBA9ZK
80EBCZKAWngc/L/hgNzwwrt6IuCDteUQIlrA27puvLR0nPCuTmVY7iZQ08jW3M0gT+b7i+TJJedb
nXqM+Fi+l2M7UNJfuSNQn53J0DDH9k2Zb0Rq60VkA7EOVM3sq+xyMHTJ4Mot205x2hYwOGgSAp4g
QVAeA1sRivnegZJh1pS+KBO/GIeNkwyBKawN6YHeP+82J47h0bpXcQNLegOaSfgZtULGC7ZBCcGy
sbAgBlleMPWVGI1LBaO6KMZ3IPyDovfxqUhzs59I1pV/ToUKhb9ER/mjU/nZxnwcIhrovv5ONL+N
ivfzy7xoewkwPsW+uqrQ6GewXV8jeAgb4TtxAaoqj+i+fJCb9LCEvl0A/kt43vTJHf606lX4mRWu
NbQTLOfWx6AMX5oAFhRvvff9vJ0TT/3R7q7unLZwRg3imJDYRIjkICfiWugKculIfjFjo3JI0bfw
liEgGLR9vJHQBqLWWIIEK0NokRa7KmJ7AIl88N2B5Z6iep+F6AEB6XJ+eX/Ku0cnFIYhRI4xCSZ0
x1G3OTZc2G2W6+64sG/BpdEi8bvfuxvzbWzBxW0Dtu1vku8Qqt05+2kDdLtpRarYATQXaGF/4cd8
eaSX3wLMs4lQG7GvvtqEgkODs1zkBDJH9w0vDVUK8ou9b+p0C+Gozfmln9ryz9ZWHjRPnlN0CjVN
oeP16JL7inYPmRSP/52ZtQOB+pR2hgS3ash3I0BqwL9rWZDX2a+/YshCGR9XAYK51ZdMi3Gaunaq
oPR5K+sXaex4+nHexNcXePlC0INBJdFAg20d+A4E1N9BsQo1PgOlAucWCNNYbdEI2Wr3/CH3i/hS
CrZ89C8O+snk6kYvdKMkc5VCY8KRkG6bUcm9lG99uUtWq1rtXK6zGlC7rAqTFqxPaePj/DIAW5Lp
pfrbBUv2KhniaL94g4X96+tfNbwgcV/yDqTS+WLXbPnNZ7ZtHW+PjpqZy7FtS7vKiaGQCqTrFIs3
tcuiNDTu6Ka4q6OlXw3m5e2ElmER44TfDRG6eUEWO0/nfefSDzKOLxqcNii/Eyzd3HRL4y7qY21z
Wa/hgrusq9BD7k5tVeFb5pLc8JmFQzfH51dy6uJAJxISZiiZQTlydXHUbsJzDxCSEJDejWO0IRHT
72oA3+W8ncWz158QTzsIm2jGEMxAPd6xPG/cWbQUj6tX+m25M3nvM+uVJq+p+M2sH+etfX3LUbDF
I4S5FHiGUGpcnQKw8yi0/cq/P0EmZJb4jlyLIL8dtqmLWhJFAT+NtJ/a3aW3/MQ3g2VUWKBaAJWC
ddLCpwmsSgHLWlptHav9Bu3XnxdWt0RBq81EYO05UL9yMTNzvZkgkwK45oxdCBqtiuWu2KO15M/f
0CNCfPK/iERPeMmRwZW/S5eTFuDSajG46FqAvp/6SDm3TtCH01tytURF6YWCzon75cjosguf4rHR
BfWi65cwYspvEnLb9mkIYca47y+oTZw4zUeGlk/6yZA5QRqfjzBU7pbmtNwijI7+QnN68clPX211
1DJhaO3kQMmiSAAFtaAtyvxeXnihv5aoVlaWXf20GDZZUGhAkyd0HrODFbebJDT9aU/3DOoqLLyk
JHQizEHuin9cQFQAaFglRah0sqob4e6d40LkfctQFiAaOMHT2wwBrPOOf8nY6vms3UmBNQ037Pmh
7opgzppYc+8qiKhDoP+CsVPxwdHSVncI9EbaokZLNgRDVkGhHFVwESxybabfQEkRBR6ctdtL98eF
Na7lcmxZjyYH7DisK/SaCuHe6oXca5abQo2c70RNduc39eTZBkYNQk2QFENx+NhhKsCMJ0DVq5Do
B2P4rrQ74nUX9vIr9Gzxyk9GVl5ZAMMNKDOMGPd65zeHLjb2NDYjvgMdzSev3Va7qVUwX9ObPiRR
8p5Glzb25HXy6SesPFU3epBwVFsj9fiwQFzqkEDbmT81lyL/Sxu68tJcGeasC6x16RuW5fe8ggpo
ql3Y0ktWVt7JrNJgDHMjQs6flAVt1fShdF7Pu8bpLYMogq5DVhqiRseukYK+qVBbgXL9fAANxVfd
FELJ3PeoFp23dCI8gH+gO4AWqGmgfntsyeF2D3loiEQ5Rfpu6YVfcy2axuRNiBzM8yuWPJ03eOqZ
XlSwAMcBPh0X17FBvbGApFmKGqAeBK0BoSbMu/jPTSB7AaP6D1ZhDRGqGZSeMewAzwoovruxNauD
jqkKl87WqY/02czK3UYxJIJCfztMq35fiyKgTbuXTRFS3l/4SpdMrXzOqjyvyEiF/HoofdxUIOPh
+c/RlRuG8L/avHURMa3tcu5rLsLMy0FQU7uptbd/wQTuPBQpUBNF5+PYBRqqQLKUyNBbz/jO1CD9
vOwuXK5fy5O4+ABT+ZeRZUs/PcfA+jj25A1LpmDvre1S4lVBjw77pcr8qXcDUB3UWyEfh9B3FcR4
+ATzYGE1zmy8SXfcUqZNga7obZbUO9sUF+HEp47QZ4ur/TO8ZkbojaUNMd5GCETkcfNc/ECUHS5v
ZHXjBHpshMa3Dn3bcnoanpcXM/1xEc140i0/LX21xxlUTbJCjHgyr4eQhOD7jNA9CMRztlngnFbg
2MHwq9wAk3feg5YVruNwNByRNsGHXHMdh49zOmmsguGSQd1hrPc59XZZ4t39d2ZWl6M10xmwCVTP
Oqg50YqEnXx3E3nhOHzFPP1x1X+vZnXbmwrTQUwT33PGmxyDpPNjKYZMQXYH8uymD11o9HUbFmrx
+eWd9qN/2115LgFRtnEq2O3qJ4dDCao0w/MWvjbslqUZ6LobUNtcZmwdn0ICkQCrXEwsyrs1Wi1a
HthOVATNswPMyxLtO3e9n+Ey23A7+AtlHyiJAfIIxCget2Vkw+dLAJoU0IRyYV5QwIeSW1Je8JCT
W/jJwOoEWJiKY3Y9YlLLu+HAu0IC4sIOnjxjnyysoqd8JqPdmygw1t/AzQvSoPllVg868s9ARXVU
PbJYQW0kCZi8YPrkIftkefW+5WWNKRQdHh1i2uh0PgnnvWAX6gWn9w/gKwD/IE6yRmDZM/CVE+Yy
hWZ2UwxVMMn5ggueXsW/Lay+EO0hUtCnkFFUkM4r5RgI7VbRv3QhLVCBBUOIqG0V1QjNxKAEu6kW
7a4HZGTzogSy1Xp5KRP7w5T5cvV5oDxZtgk5xnVwMxQ9yNYdrj7jngAJUdzTkMYimF6THWav7Zrr
70Y8YqXwD1BUY3RsZkj0/IMk8Y/xgXd/N/j3uXefp798Hgbzf3S6zAL6QH/90yldxtscDSx8aOqf
/+9/6uztn9MjFzH1f/29fw6Z8f6GLhqqkQvjADqhFK7/D1V02/6b+3eVTSAYlk4F/uifqujO35aZ
ruCzocaE8BUtlX+rohOKwa+gni1TDBeqCEAA/8GYGQC7lhP8yZfQ2AdaA/BK6FVByhQP+fH16Mqh
qxU1CigxQXPHBF8c0i6jgvoI73eQMco7H4NE5u9AeoOFXnhXZmnQqBqICyGNTr3OAx1vBjcrryya
yw9SdPOTgy5UhMFH0LWtu/J6dlvwOxbxDR/4/CQQ1LP91IZ4Gdd2A4OimoU/hChXbm86ZxAPfeV0
gPXYmdlDQ9IGXLFq9B3GVzhvzshoJIwMgiZ6hVIRQKKAUtVlLKySQV6zpDFU8VgIxIsTYAiJeW30
jWVi5Iwx35huITH+xAIWqsL5vXEr2wlIOViPQmNoEHm9taUUUlVahQZpYENJ4gkj8pw3yO8J2zfY
mP9wZYkxi14hXlljJ6PPOUq7PqRdzPcu89QcTKXKY54kCcoistcCUMd541eEzNsUQy92psfYuzJ0
dDYnaX9UdMyhcoSJLgFkLsqDI9zhkFNrfua0muegzXM+49LqxHuTiwo6iRix8C1PdAd/C7JijwOr
3QC6KzzA5AVgsnMHMoZGjSk474XlZuilQtH8hpkNFEnqxrJFQG2ZF34/tqwCI7sdYoxhUC8tm9v7
lgIYb/e62oxJXwUdqKMHyLw0O5uR7kZkFCP/6hGzWkrbbKE6ipENtxBBm8EERk+atgRFGpZBM8qc
s8CGNtEhM0weeII7GyzeCSHRq4MN78gb0DQ60IuFsyGQQ9sKINSCSmltUM9S7qbCbDaJhAiK7xmz
Fdj4Qg82bH/rW537FuvNLeig7V7lRPp0mrlf2Lx/lgLjYDA1Bb0BUmLoo6igs6ZzEul2hwQ3LUBz
Bik8kGOnBUzvoBTY8RRq6qVI8XNK9v/ZO7PeyI10wf6VxrzT4L4Ac+eBuStTu1SqqhdCKlWRDC7B
YJAMkr9+Trrt2+2ei4vpxwEGDbhhWypLmcmIbz3HOUQN0jPgll66RpkzsocxqF8tKM4yLWgfbUrP
eOfajM0JduZyaa0uOPaiFG9L45WHanH5i5s0j1YA46qw5yvmYpqYoGEKsU+VnYy3bK/Et2yRU4Sc
ktV/00FQ0jMqNMvoaIJ0nc/3TDzkN9US+C9540abmDhm45SZgQc4jdsBPcrJ7dGkpCPkC0h067op
9JCXae4kih35uLhnJ9aPUzBw9TvrVuHRVl7/C0yxevPiKrstrR7vyxrAs/EtV+wGOZmXGTAt+C9w
Tru4cdsXZCjJLlp871yx73czjk5yo4ZYv0aeWR+dGVkQMzbVuWcLflT7fhbtwk5H0LIECD32YMeI
fFJb1u11rh76Bw0RFuUzPpmp9gwkiFlRvAwGs9cIcc6+O7Q3xvTxDh+hRxONf0HjM6Enf/062ccH
XWj+yDyXYAWtQLzbWUZ/jUtRPdv9ZPaVOxePWk3J5Sor+gq9iS+vzPXniGEFXyqmxwiXROd9q2LW
J3Q9dDtIzsWblr3ZmwHOZN57/Oz+zBfGmcP3CL5Qir5+0nXB3HGl6idjbO/v3xwuoqSLXbNckxZV
L89EHD8IO+29lJkB55dwjKo+r7ZmsDqQ/l6wXsokYfYTC2FQ75HRzUdAcd1LY7z5aACivUlkfS8D
zTc4SU5ozsFogQhuRXIu6LlswqBcOXh7D6MTUtQG0mRvHQJrJhzsmuK+LNpyhZeRec/2YsA72VkC
lkav9iu5anAqVejeAEjM35zaFj8cb1ZHYVnhd9D0wXeAjH2wzQb4XpUDL6fxcW5teYcjoEgyuAEP
Mn6dq7q+tyOZPMaxlR3KYhEPZg54HV1HvFdNEx/QKw2nv7+ikrCoagJeUZG3bpDaPS87H+P5rY+F
/6iTqmUCXsZS3VeJDrudiWt3SuH9xXe566M+zaMlu8/CzjyGrSpO1Wr4w35/P/zeFG/ShyG18RMA
vH5Wo1bi7SvejINN1BjP/RZbpv/qr9Z6RNIFfWL0ynNlFv+1UsnapBW4kHM0+5AohdvdQDZewo0X
NNeCTlE8mXrxtvHaqWe6eQGmsiJgE7Rf3H7jmym79yeIU742CZPbShVvdrL2X43dIHr6/YOdQ1GA
FaaX9iavPH4be+UZ8bzSPtoi6/jlRuCMv/94mtCh2yFK6b+CdR1OAjD0J/RKBtAXFLbVMpfezs7Z
Uku166F21dL2X2NofYelI6ZIm3KM36UY2xt8TP6rXQKvS/PKLVEvNg13ZNUPM9A3PX8YFXmb3A8X
ZL82RzWC2vkF1UO8k9XKP/RZneIvxfwS1xN/yt+fo8otrk+1SngJuDee7anIQkhKQnUbGU3WOWfH
6gay0vxidBanmvnnhhkUXfA7g0XpYca6wdQQvIIpjLdJW4mLGhZhbRxotfoYN3yFUY3nbnrbc2u4
LA3HXA+HZuvKJpR7bLrzj8YFEbzxR8+9OIn0D1Er8TQZyXUzW5P3Fqvxiq8lLrqe3VQ1+1kVGxTG
GTxmz042YIhWILXr+hwgJe44nbzxLgy8YjNgPQYHU9TDvlkr+/uq0FmF9tq54EmovKRdVkWPEFT5
4UCn8esF3RrkNGDidWO1KnoNbGm+hraxvpT5UO1hkbO+VkosrKcawuip96zyfhS2DHed8oZvug07
P6WiGDzzomZyYwMgOpqJC/ipLKN52bVWOz4yBuqelC3h7c1GP7UqaZ4s+Bg/I28xHy2/wedc9OuD
hxf7G7Is+zmf+FDWvBlv5dwPMJdncTSFa4uNCkX2kfF0BWlS2t6ZRb3oldM2h1dhwGMSA3nuiUED
cdfhW+I8AT/6apo1fyadE5cmG5I7n6P1u1GudcqHWDBkVEzOoRnH+gvjzVObZlXNs1vk2aGxbLGH
RY3Nlx50rTZl1phb6XXRPb7R+dURXfKx8upGmLGi6OJaLF1uhgqYeypZBnL3TeboG+A95n6ZA/vU
ZHwpM3LdlwnIHERDdwYKNAuEBjmnDEtqDdly0gYvo+5lkAY2TMw1WFcM2/56g1hN7yvd+YxGE8Q0
c9/tmcge+AiNGbx9MtZm2ghtS1YlS/vLKBXCWn41g6e7W91tNKhyMwlmfvxxjU5o1/KD4OCGE+Z5
C0Ozs/vLXxL1GfpzdxtNVQx/3uvI1eYy+4p9a8bRg8S03o4W8mj2DwMIavx9/iOJa+9riPVTb7lp
o8841H6RwlnOqrSrbAm4UYS3YdNl97VVdw9EMdFjUwl1Y2xneR7jZHHT0Z66k2eK7s0Va3UJotqo
1I3tMObjG8bWvpLx+G0ulho+tEBkl1qIqP0tc2o4QwARPRXMzai9B3XxFv5fA6XA0foDF191WWoH
Bqyy5M4atfwYi9WCnx+YeK9y7GIfi4r7GxeT3SbvIs6AmATArmVFOdniUFzt+TL1VfVhgabhLAHL
lZA/P3UER59oHKaNmoC/ZWwhHol+kjs0hTMTLgCnlOKkkp102P+X0UH7fXPndk1DrmIi+0GFFAZT
pbr+MF01jAjDCKzRC7thQzF09QFkd+JZwL88d4vLWkg5JAfPywGhdmapj8qt6LQHcIHEJIajqrTe
OLFTnqU1Qwq2HesB6jszDEUQgMyvvQ09bO++qbmXOXrL/WKb+HTV6h1RdDc7HeMvy+bGOa9NZ3/j
QXIPUFeHG8y6+lgOrXOMZf3Bxz1/7AYJRNOZmpNpuP7MvLRPE/GUTGtP60MBmudJFJP1aGCbf+Hq
UDt7ISyUUVe8aMbHt2Gf9w99ULjX/cz1KctC0K7l7G7g/8kD+1n2VjZL9pgN8XRx3XrZtD2aeQh/
1Z3XSffgrn7+UqyFvYvIzG75/OReqsPIfFKIate0Lr3hlGV1fi8SsNdBZaxjveLJnSjqH6HNQbgy
TM6sUbt+qr53+e2scN+b5e1Kitln/TxsNN97qaQsPkLPan9aYqlOndVGb8qs/SYM9SnknEgV9DU+
OpP+0XlL/h772P2aWURP64ySOrBbcJ1Z1fSw9sCRYZdXJ4TlfZ0ig4bjtCZld8hdr/jlcACgB2BZ
+Xuto7rZMPpWPlQ22mBwxnDp00FbxYeo4pIgVOAWbYuJGxlJMZe7FURIPup6+rkOa3Ff+at4HpYm
fKoyOqvc5b4/3ywtAuV5nv2nxBXye5YFV5RfH3ZHyNXJizW15oclB0VeNcsLpIwJO8VUqodq5EOU
Dq7qQAJ5g/8iyrW+b+vV93b47SmqrzM3vpVkx9rV0tskYvLnfR877pKOkmM2bXwQrhgKmwmce6Jw
C/Ywwh64kwaNK6MGd+yUS0WE0avuxZFyvp1U4N5o4ao8Bf/VfjieafttLySZxkIGei+CLnskARa3
3H2RfFILJfeDlefdZTE1+Cy5NM+o3wuVLo1dHrgG1etYttHhumv9NXaXNUsR+Xl3MltbjFzgeB0w
J6O/G0PoXDjAIcxPMQs2pW+x/QVIv9s3lqxPuLi7o+AwCZh69rTY5ww7nkxsF7/CcEH8gaeCbpuX
ZDdRlrgPBEP2TRC0+ihrFYBa9uzvkSvzu0l05XEYW7136jpbgHInBezCYfS/j5RXbvpOmWILbDe5
ZAQELQtZDqqt2qYggKugu58Zcn8Ulh07lNDW7N2NOcGyZZg+ZwhBTZpls+DYWBJSL0dantwIKxt/
EO6B7h2THLpurrOrQqJb42/IHAQTDWEFZN0A7t+QA5pD3bvuXl935HBfOWhUK50PxVbW0/BzCMfo
zIucjAfgYxMBcT4Pj8C0SY1ZAOaSjfrilsl0Ro+i0jk7SWcfreSKt2yGvrnkbie/AQHNf9n1EN+1
KEtPXT/kDwpzLGGVI8eNq9shhtCUuzeqs9lrUdnEqJav8Bz4eOj37MrLb6216teuXhtA0KUekV+S
S36N7DqClt+Xzl0pRs1NNrH6fuhlQZ7XDk14cixtncCP5PCSfX75Muleci5cFndQqd1N/tA+AYxW
w55cCEjUPOJ+9MdWvnl+nB+WsSiPVG3Y08udBralXWHU4F0VrrBvK3cSTKoLqwAxyIx8Mnb4Heaw
uDeONseGPP0Fj23wgog2tdzicbUhZVrT+GrBcSdblnb9I9eBe/KI9T5L01IfTsBB3uPI6K9M8/J+
MK53CL2yOgRwfJ8dUYavGYT0ux6FzNH3sxXJfJ3HoJmFf1hc8pS0quWkucmT+oIWdNiBxoJOXvjL
40T8ejswdQ5dTZcWLgfgnhdyOhu1yKIvZeHkR7t2xV1QNvVWAW07VPMY5cC6zLQTqI63DrWlW38o
SwaBy2W7COT2YvQTrq9+uhlMkOyACosvoKvUzWyNWDriyg2fQQC17wR569mvmursjCY/SIgp+2pZ
XMAMsXduAqXuA0uYPcsY85xaRdm8etlUX/y57XcC0v1OOnq9LTIznFiQU5CDg4aLTpYnMH/R7ViE
+q0RdQjLzs8e7WGMtoyHK+olyycRU3FSUoundnVXgO9C3xoXr66DmeKr1c3hZmb34jaYMBeANOxO
vVvYpwWw6Cv3ptkVIyqTHvz3QdQ1sOS2z2ErUpBbfjEVmOQpE2XlpeFJ2Y/DUl/ALsS3xkj9OTrt
esxC13/unRhp4MzJz7aOpKMiJBugttb7hfTxIdROcOj0CH8jkuBohGsd1oWpv1TLoX2W9Px30rjJ
47LG+QMlimEfly3Qb8ce96KEdErp3xGH1hqDXTMbCM8BgxwhYMR96S3x0+JTsHCU7QMjpFq7Wccl
+N6rNeGOT2BigUg+ZhSXHshcIEZdC1JgSaNdMHLK2g7I53BZMqoXuvpBBI6np4n7e2go/X3tWiyh
eB1uuO1Y4AIBpSv3db1kzFTz3/3SFVX55AV98lqW4KDNlPhfGhewPU+jG36ABlH3cZdFd06VWQdf
LtW+dZJpR3gldqyoEhSEozkva25OoHB5xm2P/cXZH86MCtuP5A7tcs1z5x8enuPTgHz4S2A11jFI
cEmEFFG/WrrzPgtVklWXmfPUtDnaGDCxj0q78a3wjZ1mSTDuoTt7b+6QDJ8SVOM+A5Z963MpZxtm
Zqwnq9WKghIsYWJcp3qNK7s4hHJEQy5UU9xmS5U8j5lbPv1e6v+3Oh/33c/2eeh//hxu37v/ef3W
/2yS/K+//i0tlD/+5GsX4S9/s2uHclgex5/98vRTj/XwZy3/+pX/t//yj77Ey9L9/I//8f7ZlKzI
6aEvfwz/3JtgzOZKYfnPvdH/o6NxW7bv+m+Hn/17qf+Lb/yjpeGhuUd9yYB1woQvq4j0Jv4UvTq/
gRawWTpx+IqrwP4fLQ3H/41JjJjhXMbc7JBz+x8tDdf9jV0Vho9oQdCLCNks+fNl+EsTKv8p//j7
v7Vj8yDLdtD/8T8YufhrRwNuJJMPCZvW/Ii0UOJ/6VlOc5tg9EPI7aJUF1uxNIglamuJ4sfYgq+7
i4fA4a4hj64gBlqxvwODy4KvtkjlSx1bDysf7nXrJV1Z7ftpGoOLoY8XwytvR2tnTUOX76K2bVF0
O55mJDGY9Aw1/6qi6hOpBrC/5WSObjTmIl2iDD5o7jcDR+NqjV9ENxKQhl0+V48BpzMhjRoI/QYh
ZlDFcXAF1chwkufeRj2/WYuh7+7WkZ7MznJmJ78niJzum3Eo71atl+HZVTN19d4pO9YKTXKF2shp
KacNT0hpYJZfL0kQyNDSOi+8Kg+GcbCuPj786k4XrO3jkKDD2bTcCMlmaUZv2MZhB5hPczU3WxsW
KewDS7gsAPCS2dV6HAIw/3RyKiYm94ajX2zjnDkytqVxvP8wuLSIBlwkJ1s7WjVU3zl4mux1YG8g
YnLjVCSD76Th7Dvva8W+78nz2Ky9I4tYHVxWIx2LWkYIcyyJDu2GIRAzvvp+HjP53AAY3BmsNtax
tXQ4bRUR2gtE7Lnao9+qw21TBs4bcXNRpSHwW74ia3S4zRbjTkfuNqaZF8F0Em630Qu7264uE/3g
84tCWuhylVF2NQlAcHdMhqMgzicWXaixY9WEQfnoAN2HrhtUidhbUYQ7RwQGJ3kguyDbhjhQcLtR
PjKbFYbRlA4lL0DatUwL0EoHv0QZcjLLcx2xPU8GMYGzDtjpmtK2qY33IZwV7StFveIxamrmyYrM
T95lX1NVr3FqgMsXMDAujY4opPZaT93ZmpVn387xWAypbY358tBFAMVfFrY42Z2sM/viu2Vg7STV
N7avoh53HSmMSQ4hLStDRwfiXT824edQNP0zBIEs2KrV7rnIgipetrOZ6eYlQ+8FP2hOz2+zby3v
ocIFtVv63gq2FWkLYf2s4efN0WiAAQd4I861BRcdIDVI0hsKCXn7UnCSZzv6FWP5FBR5E+6Snoxw
awWDrTf+Og/ZU9Nn0XuH1QSSSJvYHyAU6cnIILDCFw6TRlK9y+aEZoPlf23wKalDMUczkdBimNhh
JmXw6W2unrNZIOcHPAXWRHO8hDsc7nw3byxw1tOTwV/JZlxmrV5ahoPzpbSz1qcjJFso40kDbnka
eVujxDsLs7QHvmF9S5xAdbvMCkvrvisiD3O69MpoP/AWBtjzXGt8rqeykTSwRsIsGjDTcGF/Pf9k
63kUe6SGOG2CzEz5zh4dC0mPmX08xrM3qcdW+izqWYZOYFouCg4IKsJDj4KByjP+vgNnTZdtSzNX
zp41ASx+UHkWiFNr3xZ7owdnvmmWwHjHNrbGcKsb1bXnZjHL0bFMIHsOMJpcB3qI1XpD6pdFBzPF
k39DqXEKD4GIElg1kxsMp5HLFo/UyHfTDmQRHndGVYyzvCNDrsRuyVAG3szapn5kQjH3J2O6xXkN
lXDl2Zm6RR99pWkB5cm1FE5wREsOpDkI+LyIMZMsVuPoNyb0r5/eRFIR2/D01/NtTnuVBl+A6uVm
5NNVbyYryLyHfBKyZ4ebsKTYO32uXlDyUUOVloK7D7p63QW0sOmNxFYjLn7hdN8b2UbuvU3GLVM7
QJqxadtBrtvYbfPoeUYPJg5aJbhY0IwFzbmcGmvct56W7YahXCVhvV7Lv5NOfHEug5xOJ+ltNh+m
yF7J8waMLtluXVfXfXHwDyW7kB/Z2lhD0FpP7kL7MC38fJ2Pc+KxPex2/trdF7nmbYvjUxIuNEat
Ki6+xGsTQT5vrw4OFFGham5mVizXz2XI63AvuroN9kUltLUvHbM0Bwgd8jEMm346TRkwm8OiTNkd
K3+hGpoOFqEiw3lz7l0mosDxhh/On66JZ0Z/zZ2UPutO8BmsiI2bja50luzMFM61Su0hahRVWjFL
PD9rEu6noZL5Dv3bZO8SEPLFQ96pjCKrJC/LTxinpnCXG0W7wWeKiEVU3YdRusJsp2NbBfzzOB4R
hhMbmheEnFxXNCqsbOtS1hcX+oITUbnXwLFC0laXPyyuOUk13rFChS4ny4hKUbyVtwDOR++mK1dR
bDhyGxjlnPhqlwxqXW6aKqFViZdrRW0phshKw5Hj8oxps8OlEiHtvOfI661HVC1jshvCvPuUs2XL
NLTC/GdrZb3cYIjqaLYm0TcxLrek8bfGN7o79FGB0ZKezO+t2Cy4Nv+T4K1jQ20EaV+HLleO7UKU
80aHhMfLLLosGFdoMzlVso0XHkk0LIHbXUwsAgQmAYywDUB+jgp+Gzo+gZDl9DPJ4qPGwmfvvFJX
TOx7Jb06bv22eJscT+44dIR7lnHF3ZAHcv7A1uZme3sYru2fJs+AayYlNa2q764NOHkVK2OIEu+y
i81LTt+fYimnn9zmNo3fnU3udVVeeD27xPbKp0Q2zdWmIjOH0qTMlvxWxokcDwIBZwu6pxqXvV/R
getXbAppx5w8ENHKWflhXMWHrWoMb78Jg4D14J7Y4V3OtV9v6AoMFNznovguA5dEvvQpNqbtRBN6
SjGuh/Y+HgwvmPHgFO8RMa3uTvNh5pCmTsGGTdMEVMocFI1I1YSEKWgxwE45nimPeKTrQNYQFOZm
KmUkNkhLq+lAiWfY2rS2rTNp6kgNivNiyp9kV3EmUMXDU2ePwwxZKup0t2UcpZJntfgcuIMXMxOg
mrg0KSHp8N7O3Ab7ZbEGngJfOcbaBa7pYIpNI8feqmlZH/X15dmu9koBrIuKHreEIdq663DZ1TtE
ZDwjVWQvqClweOrnLE8inVEqsCq9Nybu5MO0BuGCCDIy1OBa0/v3PQOWCErFlfZzG1Xd7DxrTiy0
KS3OGvnik7wlXyfwpxjYnJASFP4TbGfZSDHtQWH7yh5F7Ffj3rP0El+CyQ7qHQ3sceU590mmKH4V
oj5VIvJfTU/Z9SlmfbF99GL22V8F9cL8NGRMKqo0asteXZvn+eegIniIqmXYiZGLpUUns1DpyU6Y
CToaw+3YzUARa/ayWymHJeUprMSLYP9nTQnyR2Zh0UslO4j5efFY06BnobDlnaP41HNApIowyaKr
ZstfFIaW6mvTdouV6kJuR+GoOV3CvmvficOVOkz+SKXCdyr6nu61iWvzR5gLNg97OYnIEvI5Mlb3
5GtlWxUTJdT7uZsWS1JldUr11gRe5zAbldBFtOQ0rLdZvjjxhtmCIN8icxvo5fs8mpFyAkb1TUNQ
ZlRBJLsSnc/bKLft9UZnHs8SnkwvufFHfuXNWjar3kPLpNNAcIxR2hJ1OTAEgWFiy45J3h/ja9DP
e19H24UXX27qoPJzDhDPxfPLm9Wndksif/AAbHYvfkn5H7XxzMO/NgRGR9EGGuXU6Gj5QDcbIV48
eSdVjcj9GPkHP7RIMWG1jN2z6CM3/laxPuFu5gzg6j6iVUxjTFmVfyyCYaCR5CJ+Qow6UkH99zPs
2/JHD+T41/DXdPr33PAfufb/a3k42Lr/Ng3/e+4+yL/tf36Si9f/nIr//Xv/yMT96DdmAz04HczM
wtUPmGr9IxP349/YgAU3yCQCSCBE3v+UiQe/BTaj2FegPJQGhhL/kYk74W82MmsoZUw/XrnQ/r+T
iQPG/ZdMHHxnDI3GCQPfd8hc/mW20F/6NdbUE6noEZylFVMsLk4gVxRnM01GfXY09Sk0NdFBCXVh
Yme3Buo8OM5ZCcR1Kmhv5dC06P+Sm6mpb8oyPLTQ9nUcP/pMYQGk2LFZ9pqM04/ew/EXV2TOufgU
gX1DeXGXxHQZghajIlKhNCMb4+TNDpi+7xy6Zy7mQOY6zpamn12se7enVeYFFF3d+gHQ6oPR7MLl
mA3RjkxmPSWZ2TfCeShGDEqIdpYuOSBl/hXl5a/ENA+1HTIagyIZNdeB2P29Z7xD9tGNldD2k/re
zRY0i7RRmxwhKU5a2c8XiVOkKpLDOIjnLLl2+trwSZBOJ6N/GTOuDl9Mt3aRbOthPaGzROOIKzjF
onoMBus4LP0B7dBjptUhGMZbjE47hkdfmlU+EZmf24FGU5AQWMXF7WIxn1YFnwJT3lJQddAGSRZV
wruwbO7XtTgsMT7Va2DqDq9h4x36pP4m6/BkV/2xR/AyEBqkK9vjeV3uZy+8aYj4Gy+myufsTOki
RhPHIYz3/Hpx+FIxiaKObtjtV3c6zZQUvEpzc0d2SolngxP2UXfl3qkAMbXukfwsneb11HXLDQ2m
4yTVnjmTe1t7NFvaeaui5TasrJ9DEXwLc455ZILV2lIsRPPlymenKUHQqbccHq6VYLkNh/PkUAYP
m2M75dVmyO2TJVoG6MeX1Y2eYuob0sfmOFnb1iFdtcMdLYuc9Gbc12H9Svx0xyW/V3C902Qdtpby
HpVv01iMYHf2DmOg1vit0NO2K8LN6KEa89x1m8f9OW893tuOqbLoi8ic/Zy5yMiWX34GNyHo6YyZ
nbKKc1m55yAcv0w5KspxPeD7PkLu3nlVdYqa/nFuqgMJzTviHuo2TGXsmB5+i8Lpm3YpwlrckWRH
jEOtPGl9kuHa6JKdX2U33jAcKj28zGJ88/LaOQVDzHJSNN4orHS2oglCmKxTkbAgEU1+y3PHkEsQ
edNWl/p1mc1X8vozxjfUlwWLRZb5sjaqBrgZCVmlerSU020M9QH+j2Bs+G6VfkxwlbhnQLHVQSfq
RzLRiMyUFe64DdVGX/f+vIGStxfRP3R6UGprbPq70SOoovb1PK8htYm4+tAGiBU0jWeNg5EIoa73
mJogJRcdzxHjvMQmJPxt43lH2yOn9v3vNYl3NVBvKS37VlFW3ugg/zlX5lJ2JV1ktWVW7+tsd5/a
cXeKKcGVkYgh29LHP9iRgMJn+Rsf3dmmiaKzsJgFmvFWic6h7uJ49Gn9GOwt5xaa7/ijr+xLszao
q6arnHchsAQHIMvLkJRnJStUxdmGH2gjGJlkyiuhLOBdZtd7Lppopxd5CXpSWEt/BFzSrOEsT06h
v01BvA3B9YTLfCmHq0DNOugoZpA1/IndMGRE1T64YYSlT4VbMCv7OpMHx4iTduSmr/Qpkf0JS+lD
qwtGMKjtT2PJfGV48ov6IwnELmyzN5FjmDLc6BB8EP0IhnPrSykwQXZN/UCSSJRf80g7hzDg/60Z
b1bt8Lqv5k7OFd0/92l24w/ThG/hPF5i1T40Y3ESXqfSYI78HQpwfMO+c/EmLIc4vTdziHGp6tiW
Caa+cHZJZSe3bR/gee5r6zmKmttgZTLn/wcWw3JdPnCvWwb/XYH/qZR/O/Tv7efPv33Kvz2Pfwkt
/vjuP2MLFhdAsvLBRQhD5/zKwv6zyh/9FhJWEB3zPwp8IWHHn4sLbvQbEYlLfAHJMgrZfPhHbOF5
v7Ho6YQRmxVXAB77ev9Glf9fFi7x/NCb5z+T0EyIPRYY/rq1kJiYOWEmO5nbchkuxJ5WI79itUy9
ro5K/+ll+i9aCv7v9pt/WpKImKPgv0RghETGR9rwL7u3Sc+oKqR1teuG6L7UkavGTSTwSDJdPY+B
xwYDJXaEHfGMEs1sLC2npGECw1omw9ORBwymmtqV8cFOJqZ6nElHxCNtpCRTTxWjdl+XMdcV/KPQ
plW8w3JM33U7raQ0w5ZpbKsfNkb29vzgDl4evNo1CxkVw/IgQ2PqsR0utU2c5Vom4GTYQSg24+rJ
jkFGTaP23qpyTZWldGYfldpoL0fjLEUqGBPzv1tzl+kntxOY/2rGwx4a8B8X4+o430TgS/vUES0T
MlSDvQ9e9o4tB5UjFLXJ8ScMta91OSevUUtQmeZoMVsOJt1dprLrHpnyzn/2xdi322ySDlJmVZDx
2Lae423eDkx0RlSW130hqv5HC6mAAkXZZRT/yUGGNLka6RKnrfwNrGBir7oJvV2wqm+rUCVa3Mb+
6FjoYXuF6Z+XNZrnl5qC4qMBM/BjdVXwhZeAnuDI6OVnUHgcPjZi10d5tfUxZxGovaY86OJ684Mv
87ImkPNnEYTpQoPBT93CGllZHG14io1LhSZNxjr/3tV6veCpHK8z35z9qecEkd6OTiGCp2gsxbs7
ihnbsZgCdIuS9yS1c9Uh9kR3KDeUlRS79s1SBmk3Tkl8RQ36FAGrjFkTIosRuH5NIvyCOVlfqb3x
IDayyOkTLPAporfrmMJCmyqf/LQLuCLm1XRR2hrevQ2cJHyAqOkO46SHD4Kb8cJ9S+80GtxSbBmW
FsvOouT0XdVKKZzNPBIUuBqXNbJa9RPV/9IZDllc9Xq3DGhBs5KsPnUZRLJS6KCt2tQFde1trCYv
2CdJn9FRc2LR7fuwWpONUiHxkK7WkZLMgmU7nQ1u5Z2pSwv7w++6VC4rgFIV8ypMQM1XuaooBtr4
lB7Yp69F7pvtxM/AsGhh2f+bvTNZjhvZtuy/1BxpaBzdoCYAomUw2FOkJjCKlND3Pf7mfUv9WC0w
8+alQryKylezsjJLS1OmJHoAAXe4n7P32vACjBzJL63GzF7nNomcAPUqHnqbbnjgILwz5E2tyRQF
UFyQx14IVEVsbixFLCoSuLD5QFXQSxJ/IoVvbolaNnm/k2iAVTxzbF3FOmRQKKtwudi+7Y5NV/VI
R0fgWlJdJ194nMhNLUU7IkKR5axxo9bUW88uwGS6TTAElWv0AekVRW/SOYgMg+WphahDzA4l8ddQ
zPQILbr0z9Xsp5Dcqtz/3poaQW2dL2WIGznOE3GNWqnzEtDZBjojlboc3QEaFoOWDB0bX/rjbjPq
dbEmflF6yCsrJr9HGnt/iz1witd+0S+fRSfwwk1CzFIefa/xPqc0oLrZMErpylJyrXNapQ8vMzKW
sQf5Rlitp7zpiKXwcQR45HVryTqTaeit1MEIdFcVccd+jcD4yRmEEeY8l3MabTVFsFyRwYGYRS4L
7a6WjTm5klsaRK4yGxEgFYtqIgG9mkghsVmzvpXqQULD0hEHiRJpyIjG1pKWzXpDD2DXR+TkEpmo
SJSQEArgIwnMJHBpS3LAIyONNBAGJ2k7VxScXRFLObU/kqDlFeUyBEdTSKCE2wzsVT2DaFEi4kxE
TqswrNkVS+yfV1lmZp03kS0nEaaOMvYQ9zYLeayTObILA719m5G05Zcz3jZct+Gka+tMVzmrLD3M
2pXCkYTHZMz3ZcaRHcmX4RN4PJC8c0vTQ9gPMRu+bjUWgG2cQOgtajdLgHSy6KEMezttNbFCMa4q
a/CtcvWQ2m3erin5mCQGmlneXPVTkRN8ISQZ51w4ZlSEpEGqX2iuVjmizEzPKQY1Q/i17hChHhQq
etFbGpSdvh51VQ+OtUprNqNAN6P3jQwCXBqn71Q5uS6kolavlCG01L2hjfRipSzDvmXENfYZZ5r7
sEPpkVi0EdQWB0xKBDi83MFOTUeTg9naYlk0kz3EcUu4+MhYvfC2BA9+IqFUS/IpFWs2HWbpsGKm
yr6qLetuVo34gf44BeC27uS3GZNL6IWVYcc7NYkDjGZW1KVEfHUyX2odVt8GFMT1im39cOWrJehA
Pa1uwX7JV/5k6KGnEfp9LODMv4U2vgUnG2i5ODWxCBlV4FHMTl7VVXIx11Is7gytrx81tP+lxy2i
hJpmU1dvohrjC6m2cFf60ZB1VxfKNF+PQp9ib4jIa11rcRMX697Q1fLGqqmzEKpNpDug1slETGOW
EUGafWWiVZzLeHazyAx1vAs5il/fpCn4VipNTneviiS6SRjour0toiSlLGBhXmnzOQIi2EvpLcGx
aL7sqVCEF6jWqF+Ng2aOmyqyCAXuDc6wQiP7EHW+FbyoUzjXqz4dY7FNe2EED0GOwLR1WlnmwFSG
iNZ4PZA+73OaEsUQbXpqAGgyu9r40pR2OlzSsO2ilSjDIjv6doYoPzKldFeno1LemL6p86yy76mc
vsqS5KIaarPdRJGVD1sZaXi400caq14ZFJiPyV9f/D646YTkpGNCfz2ttcHH9SDk8ItZLcv3nKKP
wEgp2bj4Bk005UsPYwdd8jTWU7tRI2EqazxeYnkhL4eOSTb/BKX/I13P/5tVR1U3LPbQ/1n9c/29
zl+yb91r8bHg+Ndf++tUoNp/4FO2WD+J/VENZQkR+VfFUfkDsgPZWALWg0D3+vehQP4DFQ7CXqS9
lCgpkCwJoFiX2vB//g/J/kNYiGptm7+44AmRBf2DQ8E7nuvDNl3QbQeuzbHA0hQs1Iun+iPqQe2F
qVM/Q0gD+9ZWvdAynDoeVum9uUb+spVW/rZfKa79yAJ4idO13eTuOWCmspw9fvoUJAipJFzKRAgJ
yOknhwXM1g2aYvNJbJJbbWvsUmfJW1O3wfrsUKdSJxgAH4YSp6RFWvdtT44QNbwV6rjocmnd7qVV
vVLXbfR0nol5StThvCVAtVPW5XvmDr9XfD8QdexkTpnd5pPk46SYZ1l2E9SItO3s2KXtuGtK+RG9
tlPN6kVinYXN/HJrT4Y/+YKBBaY8Yu/X629SDdpMv+3dcUWzrz2LUl++pw/fo6Hgz+ddZWk6yQxL
bODPT1PT0Hnrdf8p3vkA2+mqEGVz/pYuH/l3o5w8LZpkxHGt+k+0clCuPkvSOUTVCfzi9DJOQ3kK
yWwKKfefQmLoA38rrrpz2bGniYa/DHFyGkfap1RF5j/J++ZY3ESrgRPrDxLtQQ/lG+bYhlPKh8Xp
kyP5cu9/c9eWlsrHma4tcvxAxkGFSav0Ud/qq1y+ZxPuVNG9Xj/8fjTlZJ79coEndJ4wRXQ9pP5T
ehhW5BqtqMwf7a9MMog854ICPvu+6NmIJXYEUfxpjKI2FuRpj9KTZLW8kS9lA4Dd9OP3F8SS+8vt
+zjG8vsfpjFiCqMIO+kJSQOnwV2K4ERYpM+GZ+JNTtfC9xtHJgWaUAPPvaqfzKEMxXU9yMFzF075
F+SAS3+iJBsK+ergjKpi3WqYs71GLfjqAALY2NDmMneb0uj/WQrK+0exkRUQgcWEZnn++ZpRUyPV
bOynpPphiOtcv7eSm39+V5foVqiwvOuI3fl5BF2vgM7N5hOWCoRvlF8pJ/uLI5xWwu9HOsVj/nUx
/x5qeYg+fIF6Q4ZvHVpPS3wqpW3EMI7kLhnCvgOcw0vu/NW5l81nz8zHqzt5Zny8LwY72yddW84d
x142yV+ErK5q7pmL+2zh/TjSCe5ImlCijon1hGBrT1QTr+5+tzCxms0Slca57aLa0bm5PA9UPXeN
J48rHpth7gPryWpMR422MlltsnGrBee+v88WfVqsFrJncyEunqwnnV1JTRbZTxiGEbo9yLgVf38P
Px8AADPFOQuR9skAeM6aFj3LU0HZzJHr6AvRzGcIwZ8MAT6FtFeuAp+RfrIED3OR183sP1Hcb6Bb
4HA6cw2fLIQ/DXByDUaFrqlgjbejW1tcFenXdLj//V365cUFEpgAXmEYKPnolouTF9c0D505J7gM
sx/NiwQX8CZdW9eshgp6y2f9ccaUQc3uzIWdFK9Zeoi2hBIlc+soO71ThD9MXngKimk3FBOTrrsa
a4B5qo3IYsjvUmW+Utp/GGzJeCSAkT2oE2mNUIDK+0+LRZHNWlr2kE5omMl0CYBjtFb4fOZens6d
91FgCGmybpIkfwojLmzcGZqx8FS8NeZZyX8W5Hdo+HFI1YknGkTSne7imdWc5MwNPX0UT4c+mbZ9
G2HM9pcLtHvUZj2S3LY0zPWZK1zu08dNxzKMbvEm07H6aJThf76PrWoUaifpwLcP1h5My5IWWa/G
ldq76vYcUvKXPcfpaCdLPEWbyqxsRhvc3hsPs/o+3rIJzQJP3p4j9P7yqn4fj8wglgueSfGenv3h
qdT9PLBCk/HiXbQd74KVRB624va35/e8Z8c6ubY+S6qAex2ShBlsa+BQaxjqxAXAQzkfifTZg7n0
ogRroSKrp7lxiZFZemUgoqCEQXxPXdByhqi+xbbF3rSLyzOJkaeHpPf5xrKiUL5bNhun2QyRhY7S
rhhQ0tSbYpye66JVPLR+h0IiWLxpKbvM/qpXMKaGZwPdf11dFjQYscvvOxFeMD8/pZJZjb7Skhnc
rGSQRrp+q/hXlX+nk6fTbpGv0Neo+orN3iUgWX+JW9+emSjnPsLJfDRwiGJk4SOomybZmvPRn1YA
6jah9zq8VveiuCqLi3mlOtHaOrN5eN8en0xSLp8dnkpaFHP1ZLGrEXTMvT0slz8ybWjgI3XsX5a1
yPDMTZ6JL4I2zk6Q1JavymO2Tq7nRwz4SO4eyH88dy9O32JMq58+z8lrstZK0DTB+GdNwhofynWx
gZqwGh+zxpvd/Diyvz+bdXJKol+ewWWnaxJQwAYDZ9XPT4EQTa7G1PQd41J/QqlBAM8KhsaT9aoe
xDZaV+ce+s+/878HfJ8UH5aPjOotKcMMyGP3oz1EW3Mb7WGJ7fzt7KbHeFvdZXe5ew6Bf+5C35ea
D+MWg/Ato2fciWVSXi0A3PAOhYVjbuiKfPmHqZCn9/V91f4wXC/NtBRwjJPZOeZgXuJrP1AuUwDr
Zx7kz9b/j9/g6S5hnpKkqjouDL/RZoGCrPptxKu0bByV0KSzk/aTt9tP45283Sx7VlK8z8uanN0u
8RKvs1see064504Sn04JHecNW1N8O9ayYH+4h51KERxKGG+2MQZSYasN3JHJ1OGE9Eni/X4xeo/t
/mVB+DDayXrYhB1OrIwJOADWnUnsAEmASF+sxu3ymKQvFO5/xFt1PSJF3xH+dyuv7Y1QHWuLWOi5
u6p21Roy0PkC07IM/u6TnSyTCUKpMCv4ZDMh22vfT+7HMHuVsnCHdar22qS23Tm1zuBq1U9nqg6m
2jA5kiunB+FhbhWjMFmdiXGrXJF8UTqw5c9NeW3XW2BQydEGk4qxL9qma9AI7+dKFac8OvwiXE1l
7BGw5U5eu4T7nPm6Ptsa6JRx//50J+s38TVRn4dd6CTU3TblOlxHbodsYt265eb/erST1Tm1c+i2
Pvci3tW7ZYYROr8K3JgJdi7CUCw/65evG1EepXNitSAi//zYa3XbFUhi/5zQpnQ1tjvNerWyLwFy
qtm8xULolgYyWVBkBD5H7rQuj+m2Vy+liYeRgmuCEhwB/d3Yf0NiyoujJ9odlQJZ3uo1Yhj9R4S1
mtPMdX8jBOt8cDZZ7fNl6cNVnDy0kZ1myqBgu15KD2SfZswjHHBX7BSRbazPlnyXU97v7trJi8zM
h8YeEu6a2GTHtPHK9QjGHfL97GIX9v67z8S/r/C0YEpju51UjSsUm/Q6W/m7br3UMpfgvHMr4fuh
6DdX9754fVgKE6tqujDm6pYCPpWyW/G4fPem2xxa8Wym28wQ617ZLenb57/MT3bGOkfNfz2Rp1VU
Os9TlUIPYSGun0bkszZl/EZ7ofxy5oT2yUmb/Qi9HoODNqen0/jTaDaQ7czc1KU1I4nHP7dBsxtA
t/rR3mo0ajbnZtznz+qHQU8qCA225t6uGXTZCxrS3b+enSZzbW1/fkH/pSz3vuv6MODJO7S24wm7
NAOqm+ExBfMadxdNQ1hTsEJGgqXLCfCSh9N/e6P5YeyTM9U0tLMeQbfj/D2sSjteeJCORs75+0KS
fVG0G0LcU2Xbnr/Rn77JPox98kbPOWy3iLyXsdvDKNyMjnvaSCvrhaRb0rFQJ9yW6c6QHgp13DRX
5/cUn88k5DVID3UyGE4PXXPWjRr7iOUB6z3iRDDdOLCHEc7krBiVJ6/lsnfU+U51ZCfw0nPbtU/f
qh/GP3lvQZHpDN9i/H5dHFG/Mp8z2zW3/i4iiQHqYUEstfRDbM8+5Uvh+pc15MPIJ++wOK0KLAoI
+ZcVsmTjhlv1COzDOzvSp2+wDyOdzCe5qto8l7jGeNe9LAv/UnHWfyxjBd65os7nk4k6GdYW0gwt
+WQ0KahIUUbASNigv/k61Y9/nuGmNZ40/iE9meTQczuCz5bEpSpLYoCg3HMafVK3VhuZ1Rw6nRVW
X6xRqYHGj/qekq1YWTP2qd9vTz/d79AjRu5ETx0t5cnU0fHwa7CbQkdL77HteXp2XyjQrfvuLijy
C4gC1wYuCaE96uZfBHdYJJ+zMj57Zj+OfbIjmQcljdG5seWPD7OFd0O6UgpwRXBt7HPz488Z+NNz
SqqPwctGXpTDS2/85/1P3qUF3ClozX2s6sm6DwQaNDWYUlYlySq/5VldvRZ2iDLKyjvzRQVdQdce
EuwzCpDKMzEOPXT8m4o2RkqDyAoMiB61neZRaJ1xP1XkF69aP1IxOQIFupHMujS90JeDi7bR+9hB
0axrnuEb5rUaq6CGolbBjZoq2HHpOXVCXFRRGb9VkLjx4enmcI9aZtwYMWZuN7UVjIC5HtFJLSmy
bIM0yBAYpr3xZKWJ/mMuhg4tWVln20kZ5WFV+wHKdpJ/22IfaVr4MINJvZ/Mcb6P7AGdfxpPaDd1
tdF5v8cVwptAaMeOfUHg5ZoZv8yaVWSulCiIhoEi5FdQHcZHDS9McUlm1JRCOg+G1MnHyPImFaSi
khow2jK1Rr8z6pbkhunY31jAuHkRcdN9T8px925jq2kiB7InklOl1wBqTrKInTaBgOWhD56s1TCq
9fUc980TCnD0XLOvmjvoFtNdrCP6xYlT5ccBSmnigDSR37S2V2W3a8cYylupoJcWvR08BnDXbwN4
y4nXN5p0MQfUo9EMTCS8I+Leg4wZ7ssQE1PU9wZ8eNOsbsOyi8BQlYV93eoCq6qUdeWjr5vddwVK
yEHXJ/Et6oOaxvbEBDGrOr4JEYhhAqsTHo5CNn5Iqo7DO+l8vb5qklK6JjUhvUwkWX4DWqelmHnK
GXGaNOrbGSPEhaGP+W0xp2a3TTHHR06fAjcC05kHjmQUw40tFCJZYqCrAKkz8aIHcFdyi8fMkiTL
QxqePmPq/+EDKLjIkfB5LS7tytVEqX03mkx+xWHv7wutAjg5VjkN/5iNuxZad/3U6Opiv7YfU1OD
aQbvY77AAmVcpFmOFxQVeA7+4F3yTo3b08O0fIIgGu8Na0DNgs2rz90xGJUbszGzi6HSdZ4aoeQP
ZQnhtgYlaKAclK1nOQwGvr7C2BqaBdwE5oTkIIPjbJEPEianZIxuIKHOB701lWtmVLqNkthgXaxD
mEpZUF9lUXLfVlOzzvqqAmzbqj2pz9PUKmsN3/tzPRfiiLcneuqNSdsrYQLltYQuBv8ZKu+cjJM7
sSC6aqYBVSiF7RW4boZ1HZflUVJEf4mWnvqdAYltPelG74azFkFW6Vn7YcjDytXkFv5aWe6wXhvr
BjhN4ZQWHLROLfzIsTI52XRmWj0HhlzDq9AAQmm93NwhDUdyKvr+Ukqi9tDpZdG7dpWXD8jRwCkO
4CW/4ygjz6XXZ0j35B9OjsBTC/h3tOsjPCr/qhFDeqgbzNgo+hKcUPjZn9Etjy7/SRu2NLNNJvTk
eixD/3nITLFOrBHEBmbkXTb4zV6ZJ83tU3XcNrWkZDxUJYZ2NDY2iJIwV1cpyP6jWVsd6185vWXh
kF1ZjaztkMUzVSYlfcbgGKEYtkb5OUgictol4AR2UOnfE9W37kM7R05NIipWBCxi1P9UC3swSFZp
U5nK9C1mDjzOTRG+aT7mtsBCEojFbdSeJ7bzvUOHrLkcg7k6Do2m3LakyV7mtoQUNFL7YGdlkXiA
HqxuwrYyAPcoJRYMra2C/UTOwarRYZZ7nZUiTw1RinwrrXXMevVQjohJ++Z7hvWtbusKK2fzBuDW
wxzNwy5dGtgEDDn+FuTgF6bIQat5jFVo0cbwME/pMevX8J2vIC+6XVjwel6hPPZkFkVg3JNjhNoP
Sa8dv7RKpwCKisZUWTUGqxzQWm4GEd168hW19l4T2cE2oxWYzu9Syn6dR0gx3yTNrJkwsGuy7pAq
9yKp3aFWHk32uFYSOXI4uK0SAxu1V3Ju7cNquLLzcjULSvzIVgEu3fDgHkjV+FI29Z4m3a4N2x1d
1QNvu00bgP+Vw5tyiBDl+u6CRI7D4LrUj0q68IHCtbC+iki6zEryNppj3eIJGMN1UMZXqTbcN/4X
WRKe3EVfleGLnzGZNNnLpGcDI+uE3GeKvhfENRgwJ+LwUR9wn8qZG5bPqaq8GFmyjojg89Vja1xh
c+uznQGpugJ/rfHlxNVrCuESHyvk4w5T5CiRJqGXXmCIbyxEG8MOV0VVeb4teZAtCfUIfpQJRMNW
jz0VaCB5Bgjo57a/re1Z90wrU0BzdG9FFoXrzES1U9fbmeyfWiJgGb1EPX8j6HCbhhBlFWxj83Vr
P9a0LVtgPMLuVoHqv8W9jIi5TA/2LL1abUnIRPzIsSta0VBe0d/CzDhYGtnospC+NiUOejwzFBr1
+RrRMznLxkDYA5EJ6zi1HuTSvKlp9ytRjdY/9JBfr3ShHzK5wI5bXuijAqmguNGj+x4MkQXvKdGy
2zKEsDeDx2iCiy7PSOpoXBVhegspEgFceKWpwcryO7j46iO6VZip1pr3aMltyveK0DxTzXc5xB3Y
06Bv9Td9xF9azuKakoCj1cpaRNm6GKYrZeq2CVb9FkG5WzTK9ybCptuPIHLLH0qd3ch6s4shcHNX
tG2nNboLFyjeJnVaHdMgf5ug68LosDw1KPX9kIo7Npi7EmaXJ2VV8zRPs7ISKMd5VQ8O9KnyxWzk
66ixr3ElbZMmX+vxArso5RG7aufNwcijqT5EqkprK8zrrW7XymY0c/kCj4l4HGrQMXKzgR7qTGW7
1gpjDzpy9iK5hMUao/WN1cl6mABXvE4tL9x8VCLXHpTvdRRRAgGG6+Xmktkla5JXw66AyCxC9nsh
1xqU2oWEEpyXBwIUmIXWgx81Yo0THRpGrYawOCmd5LARczOxYSg12VZdvI8ADTMXIX3qDnPSOhlR
CPkIIST14QQZAp7soA2gNsOdFigpRqf2Gwz/bVfah6amQtqwAntpkQ4OWNpwG9b15DR+uvfp+V2N
fiutZc16k8uB+ImU5AiSUHLoHUtUQVHV4zd8K9aRSwrZmOB52ctxssr9plzJ00z+WmuKAz+4fNVm
295Ycq5da5xCtv5gSTkU9dwY3KKUzZtWk9PrcGyQthY17RYtlTZhCIqlyWKQUpafzetRgDixxkj9
GislWh1hWYlrlX37rcbU3WzGMlJX0ZjkO6rC6W5UmtbNQKU55qTPOK8V49vU4hcPwb24YxdNhxQI
VIW7oZZvKG4INiHxFA+OLRfEKLRJSI2hIC2jq/hXS5KOHPD/mk6GRFKoITwz7NydV3Zquiu0hQU1
YIh+HvSSXwZ5me/lrixXCc46PNyjdZkg9bsyikn3aBprzijL4bM2hopny5WckYTRKNsuCMVO5vbA
G4No9pDIQ/UcvkeyGamkyI6ihvU2qDTeKEoRfcMu31gOlAFlnySxhT/Kp76f51OJhUkLbsaoRSsc
telq5LvqHKHP1oNqZu1tT87gka23ss0qtYMMEBkwNyyNwEMrm4nuY1Pb6Wy55PFpwMB37LMiaNbk
1gT7sByLH2rptxc+aauRI+R5vC9LGdJaO9MdTVTmmOLbMFWnJSigzoPyCqa98ljIkvG9NsF1OZwg
O+IGMFx878miBMkuJYc5Ao0ccoC+GyrurpNV2byR4k66yEtMxkHX2I9R31QwywvMzWxrX1Sge4+G
WfiPTZLW39KajBiHWCUAyeyuk4u8UPwLYGr1rolkk82AIHkIMpWG2SMI530L6vcZkp39zINFW6WW
xFatfHkjYpA/Tpt1U0aJti1vwStReJr94KqRU2ltSUpxiXSoYqtc8SflBoZKPpgXSOeyi0wh92XA
zOcizCWBeSjlWMd1ONr5JixZEBvgP4VDZq6FsaOFUezxhg6kKykmiiXEV/KQDJX1XBIFxEt+aJEm
44RkI5anWzQo8a3dlM1hmJrxIQ0L/aKXwMoQztQouaun8YzbyEr3Ldi61zqMzGTjw2b4hrZJvRgb
cLtOWsKpdW01ny54AQ58TVUXPUVyNe/jdrG1myJNvCkpurcKzC4nt2kIVlEXdLfTyAlzi/BBx1Xd
qQ8ZHLfXCmMJ4ku56o4BpNQ9q1B+U0kq46XtKz82/+rL/nSPty1/CWLF9CoRAx0YOZ24LbUf9hil
cahxhlpOJyckawXt3D9I+PiuYCNJRFaEvEQC2l4xLDxjLStq/CSU0NgCs+XwWxgjtCJMOsY3qw2k
Aw1OaydJs645bZioXlOSfCOMwjrIbSH2yQgOzOlgkSE0VPv0pk/Gek2hNbmpCuJZhqkOXuuhbnGh
Z9EXSbUVUBYcJufSl46Db4ujPjX2rVEDkMg7wHLsgDqblhdFEFeCe7TPpCn+nhSJTnyT6B4ioy+3
dhkGl1pi6Jw2IDaO49xcVGWhV3ssKaZTWf7slKy5MBRChKz2kL/Z0kw3JWqm4anlRAH0t/IPOKNQ
Y061UJ84imYbokTya6PoS/ZoKoBQo00f7MoeDpmuhBe6aiQvllkQD9TmpA0NBfFARpqSt5HK24Y3
WURRd5EbMewqjIbmRz9XkIbL6rmJLBm5gdQ8yPqo3uVzK6WEg0RKyJ5WZTfTl1k7u7aYloJG15Ej
M4QGbOvanvIDfY80YJtqBq9yQAQSlN4CxeqQYVMczcx0pFQDLerHtvQt6BcalzyWuCODviGiSJ3E
Q6MnKHujdKZxxvM9wFnM833RjtIF+p/oQp7NJRxM4MbyBrHE5RR9NWtOkYaR4eVEGX4ZJJqRDjFC
hr1R1MkXF5hP64DEjHiadmaTxleBYfWvZG4XjTs3anhvQiPNnVEnmApv8iznu9CWw/vY8skfMFup
6C5tSavuxjS1fui87a/HeCQESgu62bH6EftZiN2JYAc/Js9DC/WG+cl9AHky6ubeDHzpMZOtKFhB
irMqB3B5bXHE71N9n/cg4MBZylN1SNnk2LBFUwBFrW3gtqO9cjUFrXnscEXtpN6aOd6Pc8cO0mzg
J8XqbTP1LBmWKPOrdLuNhYqotmOjFwAsQxJoR0V/zZZyutYxSf1o9cn6OmeasR84Gz8UEZ7pHMb+
pkj6+dgGAv+H1mvXtS6XD2yfxDoII3kzwPpX3JCS087Oee9X0agfSSUCjT/P2MwdP8o6NvB9xTLI
4WlaUBzxTW1qRJt1Y0ySbqrqhcfRW3wd60TaEpsB8K/UzC9FkxZPtS8PnAfVoHiCHlvvIagBs2Kv
bh6BqslfDaVLvmZdlJDsLXwszZa1EYoAwJGVbI/dWKvgZLYNNSB+Sp3dQlOrtqMvWD4xTWB8ncp9
XMfNA4PLmzhZ/K7EIbWXhlb1m7QiScepzWSBWcZLPBEsqeiij3gy8xG8Q4tVnfbljPSSh4YcPydX
A+15hmR9QMP4Gg2yegRFhe+XfdatBA0ucfh/1mXPZP5elLDqMmicXlPhbnAq5sNG0TkrybynwOFN
KvsrzToWCd1sLOztTiwBTTGpEF8Fa+Rb0RGNwLFQs2/g6gdfc7i+e4Su7ffSV+fXohMDZS27mdyu
CKu/2Fb/sep6QhPAZ2wqGrKwhdokUw09de10fldOc6TcLB3UAX6uW7ntxRJNLdbNYSlrk/d32Z3p
wL3/1H+XX38Z9bStKandMhOVm2plbQDnvejb0GMubAiSuc29eE0WgJtdKht9r7vtw7jJrrI1ubLP
0TrenJcbvqsMfvdxTvolcQ6jWefjxAf2UR7H6EOwDRHvWF7qZZfGdbSz98MV0VT/J23/pXXwu8FP
WiZKR+IIyVg3/iVdmm3l4gRzGi++/bM39FeX9//bCgk8pXe8mMD+s7HQ/f5S/6//+mgq/Psv/Qsp
bv6hArtFlywDOPsz7vTftkKBUoKph5/fkhFM/+0rlNQ/8EeLdwOczO8xn/7tKzSBlGNSW/4e1A6h
4MH7B77CkwmL1Z+iCYpfMGYWzkJVO+mTDHbYjyOec4d+IhzQXXuvefkdBawtkg0lpWbrTPckrK+V
M1odhMU/PakG0fWaoaiCY6tGN0oXJ+2h0LYnC3grAINQYv+QhL56ly2bCquOlU0nGsqNbDiCZeuh
90FEeYvtiDBgPidmbB+Dko3KMI5LbiHRiPmyjWm0jj+ybG0y4YcXAJu0y6kCD+XoRa4/lcuWKNGz
fDMu26Rc9dkxVcvmiQCj8i4iqOspDCxlV+Fiv9NacFsdu/ptH+viWEZLAF47WTOTWZonchpxKSbO
WPfTqlFb9cFg87BGIgvpIKrVQwsDQF7xgPT3JB8pD0KYeKVBOhwzdYarUk3dxq9qlcyRulfXIJbj
bSARtVdSEneTSc5WBo2fdVct9c187vR7YqLStRzH8woH8XjZtUDF3Wga4LmGUaEegTJUVy3vJ/aB
dtEQalBFlzXQSuobgNY2IjDMm0mS0x0V+OA1GAOV1kmZowHJ63bdKEED5oxS4tgV6j3DWrfQv2Wf
Ir86uySYcJBR8Y+bbcaRPVMHVJ/ZnL4heSMJtqur0SUOh/DaroluJODNXiMTlQNVRMGjK1ITQyPs
erfLWm1j2gSMe5EJjsDVrRnkk0YFBZTdhNVcDQlZGupmlY6G5qhCzd2yGxROPuMXuATTRp6H6iZG
lrAvi8rY934dr2pRRYeqNf1dQ1DLk5r69vVIttRXtarwOgx13B3B44oLoLXqAYu6vpF8fd6Dpmyu
dYkSDJGz0hJUV8juQBBHSufAsL+A+dC2tsiC3JWp/7+YAuutwJhPdypSx0uZTqdn90Z2QUGDsn1b
G5eK0lEOsIK8UQA0kDLoSfowRG6kdjg71bLRPCE4a1CVKEfdIeHLyrwYRxk/My7FMx9E36W5Fkxu
qesygnWhAPwFc7DqclHdhKAzDqQjjnca+bbfusbI7w2s+dSnswR2udEOFO1kQ2k8WDPp3RDQIXLQ
sPgJDaCsomWol9VXC4ov8BSz8sk4BCvC5wvqexp6+sGYFIhpJhVYIjntCIinAjZUgXGiiWjT6kD7
8SD7g+oR/IPMDxQfU7ibpQEkCn+EFpzW+M8j+5t8HUKWr75ToDJNT8ui6raXeF7r4fsQmRqnytS+
1KgBGi61Mqn7asLWiJxZgSy0RoPRfAnloW12bT3HtM152jJzyzarnN3e6BLYMTSupmvWzILiprRQ
FDRlcrU56deqppVrUY/BofRZ7Rwb5DEcIz/wezLQTElf8+uciMfRHIkY0EvzucUL7FNYrZSLUIGm
Ttl+TO21ng/YtlQzpwgb9sH/Zu89ltzGlq7te/nnfAPeTAn6cionlTRBSCUJILx3V/89u/p0i0Th
EC2d6T/ojo6oaCa2y507c+VaP/SkWXibflhEN3RGq18EHCklp0VWdZmXRfVcpjlZvlD12sUyh1zi
Vj62ptMmnt85x7rKEcvzFPN7BB+at0UVADXnvqVpB7J2t/7ZqR4Sg80g62tP4wxmkZuvEzJ16Mkq
vrLrIr/V9qZXoz0SNR0SWXB8xI5b0vzzwbB70brkJtYt/B3RbRJL+kOX5gpNR8fopR30ghpL2Pgf
G4QTt4aXR5sIzup03ZZ9SK6khLpvSbJ6QcINdF+zRCXYum0tJJJK25WuTEmG80nrQ6gV0QnLvgXQ
n7wgRKZaywV1zh+ZbAHX0KX8Xg/Ee8EK0y9+GGW7YlF0dMpYTagiOOHalDTMcldlkuYKxaTY2PDa
5nXW+4VIdCta8TXrwjxeojgrf44KbMCn1wH5MakuO0bfHKEzKYoYBSUIJqoMRu8kcswaZ3C00+oF
LUQUpI4exQ9KXWSDoMr5ppRl8KRobnKnaCmid1Ye3YtbCinkoJM/hBBIP0l+E1Lxy9TVMe2Uzx73
J/6paUqo83ypQKWL3XqoDLcYKNyXLFaUDM8osB6fEPg0t4qf1wfVko90DQdKchMjJUaKMSx4s9pH
N3qF0yj93DHhALlgj6BKIi2uj6aRPkYQeSAUkdkwC9K/cg8DYIU8hQFrXgQI7Vkii7fVXU0lBdTX
iHPHyYCYETpu0LQPcAAUiM31OzTiQmi/C81YpebROjSgTujO6vJsIHVD5nSt2tLiCuCycV9HfXCd
yFq9bcOIAgC8+tm2gtJQug+yCsYiuPyGH2bS2z94kcuf8L35TZibXC5ID9n7FCnDnEYlU/9AFyCk
Sa7R3JpqPuQrtAU9aFcaBINrL9q7Uuxv0BfNXj2ls74bvZTpy0hruh8miliPcGuFt6Uu8RwPK3nH
teNSsWkCbxtK7rCnd0iC0ds73iQpjMaU/8Nvx0WTf2o7i+J1BkLjUMqLxQHmnO6pqc2qWvmGAVXq
0bCCK+9IAryRSxSLYXtQnS7Ig2fPMo4vaQJzR6wm7a3rxvqXvInVew2eokOhBvR7ubLyve88/7tl
RajwybHSvZhxJl+h2WzHonpWIYeKPsWqXKjVjhq69DGQvcBcyj5iUkspNqVvcVtnd1mcaTGUhcjN
bLn/2meKotXnRsmL52Sgz+ce2XDrSeet2jm8Q2Gpqdm4CpVDL7lfVFVJMSwd4FbJXKl8Bgui58sQ
tseHWPNVhEnUVoGH24xl7ZZMtKwf4qYLvsDy1tyC20B+kVJ8ty4lK+IEmNmTn4bIYVlpPqSOrLSL
K7eH2tYyeWazWRdOguLKbUJmpL+tCj3cLVCAi9fo91ITTSsp/l70Xf2Y+Y3C6642FkITQpLkXdnK
ZrBszYRH9VtihaUiyYKCtqdfFRDk2ts0a2G1GLLa+JS8pWfSXuhUNG9pm+QthRMHBpmgTuleOwRB
Sifnm+VVt4Cu1OFrKmS0SAoh1IkIc4m7dBa1yBpRNPFeMysfHsq2BTzTEglTrylT3YEUrvs2iORT
jzT5q/FXRkokp9qmI10E7zM5K+stf1W/5bI0FjZeLrqOoqFHWvbGNtNqBiAuUEK/nm4ExKppWlCP
qLyeeTKMH8+t28fy0SYWL8JnU7uLqueT18mHv37pVD/oPWhUk3kv0ABHOZA28XGXX87cVyjQY2DV
rSxim10Fzo24Dnqyrb2fe5e/h7kJamTL+OuNoUOWcg6LgttNCmhSQAl+0yNYsBOtFxr2qltJWTbb
4qa+4wk+B8cSz+uzaRxZHcG4s77WpN4QvKp0e+hXKU9gbUlzyb/o9lPewQZHtkYQ7kYFpyXb2Oo2
lDTxEVyZzC3oGood0Sbc0j+5qRATXbuvqgO/KOxJgCbnWxzfPabOP2Tc+XAMdFA5Oh+ibYu9vmt2
6paMKc2bs0jJd7tUWILVxoYxhSSxIRIQJ7huAYEOKpdFFbhunMDWjvflClD3g4BKpuvhJfgPs+l/
TytNLakq8yg2TJO2jvHoOvKhhg3C6w0Hmh9SZ+HQwpM/VVtzP3NG3nXwMDxVOBDLlPE/4+GlXOtd
7yO+Z9y3a2mtrVF02iyc5gDKdhWv4rvFau6cvANmQoUhKUAzBcYa0pvRjEpdAPgSGselOsB/HDUr
eR2jffKXd/n/UzX/H5VBmUP+3xM1gh4WatjD1+QHPISnCZv//K9/c8PC6MRzTjPpYzFgdjnlndf+
z6Lf0AK0BaBVFr2Z/1DDSv8HIawmBOCglaXlHifwNwuUov4fzaq4QD5RA0BHz+ZvZGtGRw9SezgV
RI828nTQ02ri7ydHLyyR/4s9K3ds41uO3k3TVTOp1HFSRqfB3SAdpEA9q8BaJY1MGCEscplMtU/3
rX0YtYdAOSLv3IORCNatmX8HE3mA83WLLMT9yZpMXU+jc/Af27YpkfpSwAmNUpca1TYoKD1erdvu
A/Ah/bhsH3CiP4izv5Ac+CmOyHO4mesPHE8rYzaZWgGvZyORrjuf1iEeQCb4duHIarc00+9Fc3d5
ZCOfIgZ2akAf3RKmh3AmtC+wZ1vJHqTrGkK8+wqQwMzqjTLPMMCcGxp3CgRDG3d2KsA6W7oB9+TC
nW6HKNazaNHIvipc86KrSLRRQGU/5zon1g8ZUCjKZF0nZ/kWDpxszygF76w3BoETBHutD+4A1MrC
JuUPfhBonZOC/NO8Tx3ch8jdrny93aZdDiiyWlXkgAQ64/LEj1sn3iZEdPwrgJr4NEEUd3piKqpV
RRm6haPc62DWiGm3wyreRSvoazaUn+A1BmNjHqJ19KzdXjY+ta1QNGYiYByARWR0lLy6kUNwr3CU
xoWxbtwaMqc8nL0bZ8wYoyF2lYbgHRyajnbfflXW3sF20muT9e7WJBFX9ae5AOuNLuEkwPrPpP4z
MGMUYFFvl8IOuTCHttMX92e9zWH8peH0Y+48uenmuCUJuMy/I+NzEF/Qyg6TkG68R/v75RmeXl6h
1GkiYWfA1nK+vMAa9YYSJrv8NXlCRhAqWNq8jJX0Un3ttmnl+F+sTbbN6G+b66aYPGvyL9vq6NZO
aWHmLJjMAtodjv1oHdSVdyjuvsU3R8d9bA4OzJgM/WtwH90cP82MfMqlnFoXfz85a0HfQbCD8I0j
HewX42t/c1yTGKB5sL2un5obY7dYzfWjCy/1btmRNyVAsuFOl0SQdmKyUOScpx5uEs6ZtT+QqSvs
2xAt7yK31pBSL0PF3rRNtb481MmRnpgdrXFllJnc8I5wCu2jFdyW4bNWz9QiJh0Xqq4El9DlvONA
BwpNGiv24ZpSDya9p8fjx0UcLo/4qT8Zyz+GzNEUQtKdK23LWaU7/Mq1eydx0/toMdd5I478u5WC
pgY9Hv5Na8r5SgV+0dgLkNwOaCynqB+7+mcLb6tm/EiV58sjmtwUJ6ZGvgD8/0J2I+F9tt6u3AoW
Dn8n7ayZTTCuU/3lc0SYTOyD5tO4ThVmWtGmwpEbN+W6uHa3PJPDK3XnHSRgx45ZLJEnTTfJ1lZX
l0coRvBuMnXuD6ZTMPOPLm8gOeaRZnMqqQvBKX5rlz/RkafTBzSD+4wg78we+S9DtQBMy+B5rbFD
H9Cfb9ouLRyYyddAILfW3tu6e/FwXmyLLXhzp/00584mjwAZCJSM4HbhvjrfMrRXHGsQVrnjtrXT
qIBH6RJamB/S4OnydI6TEH+t5Iml0Xy2hZ7Spg+oRtuikmbQ/rXMX0D2O81Wqpau00u/mRDQbZ6M
ELCSGuUf9J9GHgT6a0WX6750ABNtzFy7Kxv3gKphscwakCGuJz25MkUesFBtY2/CLJ6JBMRr5GwP
jb9gdFeUQzUYnWuVjvUlQX4mXcorNJTaJTTGx20MMwNNCjf+lScvy0/uw1wD5zhCGFsXfz9x3Iid
Zl2fCCHe7MNi8RKbX35zSd8M2BAbUMrWVIrK5wYKqzSKTh8QjngcNvpG3ml7b4/Y4yrezF+8Y+c2
MqaLTMjJaBrfj1uQto0Tes0+teFEwfXAMNom4I/0GSa4MQeL2DuiDk/0RvoB9zOyVvUlNDelBEH4
NQW8Zf0Doh+AOB+NTbhKHHPucEwMjotVsJNTlKfZd7RVYZs3O1PMpHCn1V0mrY4HxOedgWjOuqIg
sD2uJMDj89S+YwfwNlDeqrIKDwWPYPFlJ9PqQ+oET6aHrDbuBSZQ/6VbaQ6B8l6EU1FHlzHh1HqO
ElSe2JwqN9Q/dkeOx5IA6ELtTZ5M6Bcvb8QtQult6esbY6lt4o29kveX9+s4ongbKvuUWieOm/84
H2qfZuCYaqV2ikT9QdvPx8TIDpmWfr1sZnpoJ3ZGUxrbkUGRPYRKnmfHcad/6na2E+/pmiRRJthn
fjOR9NdmPTE4msvYCg3EIdCaDe3urouMYk0n1Yr6QQYLCnQ7l8c3uWMECbQKxSC06OOjEWko2QXs
1TC9zYvbLOa5bu/adIZodXKDmDykBEhF2DpfLbWydXloOYE2pTmhQh9nMxbeJT3EhgCdo/D+12yo
Y0b+KwipafU6JgQtBooXb2Ri6VNwmCOWFD90Gku8GZJ1mUiTJwuyO+djUcoorFoPUpq/oiXBsQfn
3WxCY2qDqzI4PAoKMonM0XXTo0dADqlANaZHcwT2QJq/2i/HZJYBTPzQ+/H8MjS6WRS50KNEYeKC
ffTh5ilZxVvpLgJrBluKU8/c41OTJwBPOGHiMMTIzydP94YkHNKidPrSXSGWG7s/Y14dMb3GefM9
zW+Pc1zCU1vv1OJoeF1WAaWwh8LRM2WduiTFmj+4m/HzuqDMpH0Hz38+KPpWS/BNdenQmCgvZc9/
UlG4vnxQp4fxy8boUil7JUsRPKRw5rr2Pg/acu8HdTuzPFOb7nQko+VJaUv1/JZ3mh11V4Z/RP7l
uHXl/Pe4jt98HHUHUuXQ7kvg4M4nbFEavm7TWkn7nbep/e9IXDstDX2Xp2xyMCSxNB1eZUHvf27F
SosqsEO9BHrz3TXw1mjuBPXif7QyuohauSYSrzSeg77yKHlg7ZQAicxeLv7kKhJJub/HM5q1KARt
HcMm4PgIXVCMO17JSAZY1x30P68KVEPzqNzJXXdicuS3DVoCLQOKb6cgVSBrX47+3HU3uUgGsbsJ
uNKQxt4UALUEZoQdlyKjnpb2Mo9Qa365vBMmhwGnrUWCCb+tjXaCXVtpOEjst5bu3MbQlkfYbS+b
GBNl/LWngV9CCELelK19vtuSdOiaXBN+Zoku5a1g5KfT7xZ6x1U6Q2Y4NRymCltMHAjSkS9ovKFv
TLqDHTlX79ViATZ8sf6D4UDjbSgygDFV1keeYFDlTA8jXjvIjzuCwjt99rbBbbLud3M51jelgvEN
ZED+ywvPpHQ+fnrkVeAiWW0ABNhY2+7a+HpDH9JaItW+Ctc0AB6slfbobdO9+2gtC6imUG8C1ipt
UKHnKT2bGxVju/A949dJCvtqGh39xjHuzb15Fz35cOobB+s52aO5/kymlB7vLy0EczA10XYPlIyw
+mDOeMmp2IxNy1veRg7Ztka7NtCKok2soHGaqt2bLb3WariNaNG2qpnc2WTwhGYG25eSMNfYaPMO
XhhEMGrwuuybbFUhjnqgKyTaWpkGdDVt/a99U+qItzYVGahorXeDdH95x73LSIu46uQb3r7x5PGS
hHxANdDQ7u8Xm+bl+JA/QBS1yq6NcqM9H++pxa9Sx1yn14ZK+ED3OULnS2Vnf5gjaR1jHt7OMhqS
Kvy4ElM/BnGEuk+uqicqlu6bleLQ9/VNIBDQ0nWK2/b635BOKiJIGG86Xm0CT060x4qf+w+aLvxU
FW83UfyvfyZP8jVJeSfdJqtwl22O0K6BxBtAq63TDUKtf/byOPmC8TO5i+jvLmSOYUIhwNQPhksr
HI04ny4v9JTHPzUzipas0OaFY7LXPM/YLPzPtt/RMVmvLlt546g/n0/LllhAZMaJk+Xxe6Bq2zZF
cLYmAydvYNJZV5v4a78GEL8M7igRwnFrR1CVktxw9MNZZ8V/xTy8H6r4BhRaiHFY0/HlVlSghEBD
1E7fDUvPsJdl9DwEHy+P9L0RMByiKg3eiNrnmIi1s12wdWXVUO1NPlmSQWstHWcwqM/cOnN2xK10
cj4RKloshNSkowcW/AUbDT3ewZ7xeRPX6PloxFecWJE4k0pa8/yVDlAYbOLtm2rEy7+hlBUn6nyH
nJsaRW4V9BWVGjCgaK9vBIwKyPs6OMyCbd77cWHHEqV41tvSR0OiD15P/Bg71Qt84sM6+S4aiYz9
ca8erGLV/JRWOL31rBcTwdn78f2yOxpflwwJCHGSbIKh3Rtgl1o2wLlJ7VVX/qfyVT4osJRZG/tj
eqfP3Sjv79DzQY+C1axCAvooBm3ewbezglR6PWyNpeyIBJS5n7uzxc+Nx4qK11vWm24YIBpn26bR
OgsOrhLvWUGkDcRfs78HUJIuZGrmgGV//8iRdiJtAqSWLrnRiiYpfe1qBSOPAX4X1ZZlFkLEWWvO
ZTPv4zyYyMiYAFg2BaBiFIPR5xcBWAQXDXvNMwkUGGSMx8smJm5dbABYIrwAtEjh4HziVLq6ZSRh
2SKbCq7jTbNPOHTZLt7qN9GjvT7+qFBIoB8UXkZETJ/sdJNu5tlnJ9z1+XeMrj8/rtvU1AQG/No4
JCvgpCBWd4gUw52zMgNHKKN5Tryqvwl6cOOBnp306vfZVbn6z75jHIXYpQl6RvDmaESigq0wvIYK
aeWv0TqcWd5JX3cy929/P/F1oZF0TWcy5oIYO32Qr443wgX9K/7JKWd3amv0ZggDNVyg+UtPp+Pe
e7v4UH2LVseHdjssjRYY9JI847Z5APtdPlLL1Geu46nLA31NCpnU/6R3tPdZa2gI1g+tE9cqfNLw
Hflbd04BY/K8nBgZjbEKFDgtUrV1jt03q3Qd0CTby8dlchjAgGTSPNy54yCtGI6Fu0iRS/a6GLWE
xd6MunswZ38yW7/MjCMxiVaKSoEmBNYO/2GQui9ymf1IvH7zB6MR9TTifgm5n5Eby4gT7D5yyWRC
HUFbtVLsYIMybnF9cwXRyYk7MTW6izQ/gUdiISoTPjSj9MxTb15Wc1fthBWRQuCFz4OV9OzISqDp
AbT3ceMg/AMNSZb81NP+Y0yH0cwF8K6+i5uABQG1FTJYBp2fYiueHN1IQ8w1GngiClJT+sw4T1f0
Khl37YpMzL244uQ9rCdzpayJe+7M7mjJogH508HHbolU73JRL70Hcf08ouVLL4IK/z6sgd5nz8nv
jqtuTvJoyktjnhcRDJkSmenRCTu2Xly0udo4QmlO2dp3ivX2SHdX6u1wK98f93Gz9PZ0Za6TG8tp
Xr5n29k5EKs4uuvBNMLVTDYHyfvx8xzCTdlLdbat+mi/IhO9Vr8h3b6Xt9qrS0Cf7ytHusq/XT4r
E4UgVtwg+pTBKFmaOhq632U50m8Ugtyb6Mk69D/S59Axb9pVfy1/DVfHVThnUfziu3HiMIH5c+rA
tJzvMb+SS/IzCYH9UqioJSsa2d5o1xEBuJ/DT05urBNj4u8nGxryBN1HMb5xTPNbR+tpHClLkIhb
WDDXMcmWy7M5uYTgYMUp0tR3FAPofzUZOZ/GQYB3Gy6+9wu6E8t9s/h52c7ErWfQfM0+0QW+eOwQ
fKPq4VFtKUz6ySbrzfsGosKqPa7N4oeC2ri0GLaS/Py/GR1NZSJVRQN3ORU8+d52P6fZU93t/YR+
qg9de6UezZnJnLj2zgY5CuEWbXHMTbqInTQNXuFJ3Ga9trs8pLeL7d1eZNeDpxYAHn00JsjD2tYT
nhUmhFUUO+omgxJqGazoy1jVK9WRnpCg6JcK0eERMOjMEN8BTt787Yn90Rg9yww6K+UstAflYG7y
LbR89/Fed8KNuc9+//o1JIECp63dVE11ZAwq1Mpr4gXOPQb9F/QOatH7qIr+RzPjkFd33daAMJMu
Ug0+L7qbagR3YnN9ee2mLkVw61zvkgAjjJeuDYo+oF+qcVSZVt+iXMHM8yw1c1ncCXyMDUr2l53R
rIWebPdZzjZM8mBRIVFXqFd9X/c7OYAtbUCcfWVlUrFODaiAB2omuxKire9tXtgbUpPdctDl5roO
lHYdImZaLa3e5o7TlbLdR30TJjN7am5eRtOvtLzZh6zhETfkd2FfXME+ix6m/XR5+ieSicwL9xRb
GEETWs3PPWsrqWkK6yzssHtIAlbSTU7ni5CIMF4g73Tm89eTA+PCEMQQ8OWM8Se21PtG4RFrB3q8
crOHtvzcWdqfzB5VaTAuXIpg/c9HFVpxEBUSsXZsCHK5aAlTk7No0//RzOgJPFh11ix6zKgFtJ3F
c9o/uvrXyys0OV+8fBGcgVOdponzoQx0Y0BShg237ZzKv5Jj/RGevRn8mDJ156moHILNATdAeHpu
JkzqbDAjm2Tgwd1K9zDwrSGjJaUdbt/+CykZbaVuvQ/Ha/9BODZRgY/WdG7MvDunxsu+oDVKMgxd
eQNkn1z1YT1IQVRy+dqFa21UJT9o9GU5oQXV3O/PLHlJugYl8pOIc58POUuD1rMGEalBOeqmi+XQ
fK1mszGTwfipGTHgkwFpvttX0kKtHetGO5jKEsocsJZ2udRvzC20y3fRffJcX/nby6MTXz++E0/N
jg52oqRtOsikuMK6cOB9h8NjLhs6vVS/JnC0Z+yWNv+ixQR9AVTCUG3Y+RtjRavevtj2tLLNI8Tn
RjVy44vebEOtx6QNXNbs4Y6AMO3yxImvvjRxI8/bqZA/twJTZQbSGvaPpeb7gh9uDfMkbAUzMeDU
HJKksyAOpPgLv//57igapasrmadnZTawIMPM0abrzu9nBjUVap6aGWUgYcrxjjybBMhQ3cAJI2R5
rpVZ3c2p5Tk1o5yPhjo6r/ZE1CYJv9Bmd6rm6fLqTL50Tk2M/CE0IFWR5ZgI9tXe2NrL6LPotaFz
s17BcPOjeJ57t08gNG3j1KQY9ckJ9pTQ9LEpnrVpAswuolsTCs7ace9ovXWymzmo9GRASeJDcDq9
QflH89g1lZSqhch9bM2X9sbdo3F1aNYF3VXJzZ943FNjoxmFuc3LjxpbMG7CNUIsS9IsiFP9ibcQ
LVsAw0Tr1jhtJEu4WV3nDVdCbrjX1vlNJS3d781BoW85XfkH1/Hu8t3l7TJ5vE6Mjvd9x9GCQAYg
ZqC+5GHyuQmzZ9Wck0efqI+yRU7sjBZMKaCjl2G6IoxSelR0RN9y+azRsJPcWXsIo16kVXtX/UTv
Fr0XnMpcPWVuoKNFhIXGVU3xBIlQQGjTxRVHHt4/KFsuT+jkCT8Z6OgsQLPVDgOiHU7m7j2IIa3s
8bKBSU91YkAM9OSwlUk1wIXNisGofC1wKt1hsVV21lzAI1Z+7OZPV2x0P7aoZYSKynZMbNQvQV6/
1FtvHTrtxrheOO3Wu1fapbdFZhT9iR/6YllezT4c5xZtdIFCbJs0tcjTVcnnYwund/2Qxa+X53Pq
OsN7vUllAwA0RxdMk1kqerbMZ3gstj4s13lHepOMXP3au78PNxPH4Jex0XHLK2J+PSZ460Jpp+i3
MHRuVPhWLw9p+g5A7kehNARMcywG2NFiAu2H9vbeh2jiJfzqblUYGY+OstiET+W/6Nqf3PcW6TWB
CjSolp5vyy7qQSBYvJNkI1yq/WNa5avLo5qxYI8WKjch+84VADW+/r2PKP6jo3TZwojFUsAMWZ5f
g7BHy9NIi86nzCIuMslZUE9b3B13og1aNFRs3a0Gkqq7Cg/+SqIZCBRaupHX8nP8wb/NHsq7djd3
9bxrrxx/0chv9ikSJ/mCaQ32zTW5BhrP4Q4CUoUjA81Fv2G/+XeR5OTZO5mLkcMUEV6dN5y9TPoQ
t/eBeWXKM5iE6X16YmPsLKEAbKpAYKQ2zar/imLRfyAD/k4/dDfe7ONp8rCfGBw5z4aO++bYU/ot
hWqHnglKf2/tHs3rI2y7kSTNpr7mLI7caIDCSrBoRbT8mC6/aE54UNbh2voMv/a63OvPweHRW83V
66aPig5ylrcq3JejtUN6Cf+icgl5Ur2Hzu5gHsvPl8/Kf1m7XzbGa1ce69jqmEr3RjxuhLDkolyq
278a5NT9/NtmMhcDSuafYY1Wz0Aaq4MuUhxPqO6O6zcym2RTrJVNcBWTYdj8jG7ge7w80umD8Mvq
aAXbNoPmr6dqIsnqjgoi3IQGmq4olT7/iSFbArFG4pI+x3MXGlaZGpcyXjunLb7ogSXGP2evu+mt
8cvIyMUZZcH7sMKIn/i7rAy/Bmo018whHpnvQgewU38PZOS05M6QzaFgxvpiGTyhvLP2drypVsnV
Yo0e2Vbvl6qjrELev38U5p2YHu38tg2hAzpajVOE8HHX5WtaeQU0X4s5zdHJeeS2NsgMQm8wxm2V
ch3ETcwRW4RflMV+0GYmcTLhBG/TPwZG5ytVSh+VdUIF5V5+EQn7Yu890A62aa6yx/BZ/tRcHR11
m+/bfUMqf1dfe2Sd3IfgSznjpueGOjp2itfCdFeLSLDOl4vmy8L/k0fIyVBHJyyQ9d73bQw0ZfUz
7hRtGbfJDc54hgRE/M54X5rwmgC1g4CWKOz8gGmoObARuNL0QiXdc1P00spFdQz+RufyUZ5Mp4vE
Kp28wCUgsjk3VSHRgA64aDxDa2e41WDhRqV1XX6BrGldreMPWrShLqesinA57ymnXNap9dEBDO2g
K5ueexUK15bCTisk4tJvgqBzdXmg05ZQmCSNjALvuCnczY+Sl+Q8q6p8gQZG9q3ppU2X9nOVc/HF
75YOWjYaQeh1MqXRS6Aqii6oJI5bsIfxEnFQ73qA4sJzjjTyzTmRt/j4krXxRiEHb6Y6Z2/xKG/Q
zQYEJ62jO+2z9d18Pj5rdwLWJK+9l+SmuDH3otm+PyAis7Fu5x7oU889wUf398BHcXXZxH3fNeJT
muClCgE69uiiH3OUCFKaGQ17BdRkgyTRzJmcOvQmyFfqaFArcVjON3AIlrm0ZQJPf7jy+2CZ5HNv
ocnEL02LKrBp3in0k52bKLsmCjXXxgSkQq/FHtVmp5OWNBKHTncPRfFCAHs/me1yFgoxFZWdmh4t
cJ+ltdT4NS5N85YKFK+V9mXIUqd3jyt1LlSaPCMn4xxNpedJha3ElKoEdWpL5OC9wAp5+RxOL9c/
czmmHZIH23BR0sC1Vaa38Vqq43JdzRz2txTUu3PxayTjVjk4lTWrTihGQofZP1TQ9rzar9Ia5b1N
6Ohb4zGPnPJFeYm/C2T2v8DcTQ4THgFahkGjyePemVzPBsQWuCmKF1iFf5LgdIZPxa6hdJ0SUwRr
eP5mXPmcyVFEMbB6jRGwVYI634RDsbbszeW1m3zkcU38MyrxCScpHQWxvzwMmdZqZUE4/tOEHckH
YtxcCfi08lJ87R/LR479zHpO+hbwT4akvulajy72DF2tOojEKSD96TRwo6zicOGv+0qJrmiBK1Y+
dLn3C08tH2ATX9xfHvfkuTgxP7r2G/0IHKonVnORijWK2FGGj3051xQ5OUgLCQCISwir1dEg62Ps
+QsV0N/fDb9g3zfzcvCTscWJmdFgFE1rYJClDNlwGZbep0ROIYeLlsfFTDQ2YYiNTzFa9I/ZIBnP
N0vgyQPKIxjSW7u5O0pytI5rJFKOKh5T0opy/9urBBMjyH24EXl5jS8CeYilQIm11pGSdB0VSN27
NBZJMxf8xF44tTJ++3hl7pauj5VjuEu9R6OWlpBxz+z3qQfkmZXR3B07O06UFitevA5vKfld0Y65
qXaI4xg1BKUSnAD9Lp9ZsYnL5szqKBorUwhwqwGrcEDf6AMFMxeR8zo42CpSoDMx7oS7wphowwNE
ibzuaLv7YaVVcoYxX5WvO626LpQ5oO7U0//Mxmivh6ktDZXLkTJuINP7SEvOagHBq/eU7j2nICSb
TYOJ+3h08ZxZHIUKbkXRO4kRJ7RuimvNkfcGKOj0IJ5A2uuwxk3e2VuUz2DWu7z7pxD2sBHQ5wz2
RldpGDg/bvCehZlcY9n7Kr9w7XWr6EO2LzbiTVsidRNQWzMdZLfKVxrbjh+CHTpWlP3nrqGpF8XZ
h4ymQO9qFNA6PqQ90AeirAU3CCo7G9NRDwWZQDozbj1uwHY3Fw5PHpvTORhFS2h4chs3mPb31G2+
hjsZFg00Da6oujm6oz4DmJ2Z96kKH8wJbGBbCJQAdTifdy1EZmuILOG2K5D8HSzJ4d7eirgiceZG
OHVCT42N5tbT49Tyc69zvIo7F9UwGRqkCtZGWBM7o5wZ26Q1GgVp0IVK9x2LQjYYC99Kwg7ZCWml
Ve76ONTLXPnhS/Y21/PN5R08PZOwqQp6TR6i40Z6iSwdtNrMpH5n9Y67LbfNDkyRs+Bl6lTbOSjq
lCeHxO0fc6OF63S6zI6BDX6pym+S8Llp+ydk0WcGNT2Hv6yMVkzNjlqlo3JPKtBbrBVUVI8Oohob
pJ13FGipjg1f0PtQrmFgWykzwbYYwtgbnQ5xdB5s5QgVf9J1Tpm/Du6+rddV6i+bfiYFNOXKT82M
3g0mrUlotLMrE0v90rrNXa/+QbVSMO79vVjj4pfmL1D3llx6lMz8Siv1HRS7fxA/AMMEZA+vC2zV
owvJOjaIzlhJ50iE6M3iroUdXjFnpmoKgmCeWhntuqjWC4jDYig35WX9c1gh1rpT9mq5rF+AIED0
MwsMFLHCu01wMq7RDkSd161tlJAgEByeda/73pj9Q19l97XSfJY6ZTMMysazh02mmgc5k3eXT8Dk
MTsxP9qDpn/0dS/DfKpIK2QYUeoBtTlXoZncgidWxltQQy6ykHFVyZAv28xzahRr/6eBjLdgXxmt
4WkRK1cgC9hdod8ux/bMI25qtujfpKmEdwAMD6MQrJb7XKZdlPAy2C3SPTw8S2QS/2Akp0ZGL0Ub
IfmgbQiLTGRejk8SQtJzpAJTbk/0btATDRU2ZdzzW7EMwdP6MuNA8GbjDuYnva0rRL31TWi4JWI7
x2+/uTpkZxQL3jUuY6ZuzPXimkUYtlLVOzmJShM4fPUiJTPO/N3iYEOXGI0mWssUaxSVh1nTughE
swO0H6Z+E5qvKEr9/jBOTYzW368Ki/4PTksTXA/2a60jXBOFM+v//qZlIJSPeSQJxs93HZ966tUW
kNeOOCnbCyra6q0vrwDRMk8XJw74mf8ZGRNH9yRpgHqJHiRhDny36IwfQE7CFfwL6rUZJ0hZD6la
7xcdmq2NS1Lm92eTuoelAkCVYRcZufTCTRNfMqrOiZAOl9CcXeZx8inQ8pm3zNTGOLUzcuq+YOH0
XOzk5bVsPiyCR2uYeZvNmRh58XiB3NcxLHCjlrQMomxJD/jS7/SZGXsXMbBY9AFpCoBrOnXHUNqj
ncR+7JbsjAUcHJVq7tIqfi79aFssku3l1Xnf5jUyNlqeFJEYFJhrludaXepLeSOvaiByIMoctPaM
lb6lBenWfeQeXtIZu/Wq5fz2nJpYQguYGyWRvbZG95MRmm2pGIw4gFOpqq+OYISGmZFOzqqlwDdB
HsRGueH8CNRW5adewxEoBvOrF+fXceKg2JssfS2fMTU1HChFBA+AqRC0j/bJ4Ldx3FTsk3jRrs34
Ppah9U0fL6/chBEoLwQAhdym6GE5Hw9oLHtYiP0e1tYVyhhsyvpDbgzrPzBDckCw29oKRZtzM0Pu
lZWrMm1t2i/r6mNRf1W9fMYZTqwNGVpajmjbmmjp7/rONiONsbRZv+zCz4v0VTIfZP/H5bG8fxZD
eiPDmwHrDcgjc7wwltpA9tMC/Y9gBwWfs5W/WZQRPkVX+bWM3Et301+ZHyLPmc9GTy0XbC+k4sAK
Chzq+TyGdtH2Rs85Q+1xaUhfVP1Qh3PUuXNGRnsiCgy3pYmJeaTVKO5fWu1H1+4uT+K7KI85PB3I
KMoLEzLT3pH3TI5EO6Tbx1Z5lLVFMXOG3ue5z+2MsdyDllYZRFudUxPpreRiJToo4u1rrK36D9zN
P9vrFp0e+zPSNpdH+D5lNTI9jjFiL+4kg23SH/qf/VrFcJgvASPcL+7zp5gGUHWOaVyszOiCxlXQ
wwNunHf3mCyRiFkuF+IEqH68NPwfCy3c6S065FG+rOyviprNvLSmjhxpBZGnpWuDpvDz/agHdlo0
HlvF6EsPDGP5MaH9E+k7x4z8mSfw5JY5sTWaz3ShHwe0yojZhnwvdf1N3dkzMdv7tJNYsxMbo6Ct
SJPCLySukOoFxcDmSeQZbfKM4O6Oe2kj+CRAiM04R7HX363aidGRc6wz8iWV2KNmvjcH6o+F4J48
HINvkVBwjQInKeeK6MJRXLI5CuWSyMhr9ygcSUMTuvcE6HVpKV9VqV5W+szCTfoTVH8hIhSUfWNi
pTTDnXX06zlxRZIy3NT/j7TvWo5cx5b9IkaQBO0r6Mqq5KXWC0NqddMCBAH6rz/JOefOVldXqGLm
Pm3TZgkEsLBMrszRDVkZf3/drhg5z+kWV+ldDUQoFNr7MM9vkBhBgSS/ElRd3qp/L+Wcyr/1lT+k
FqwAE7BbeU/6GHIXyTWK1cvX6h8zZ8fQrW2TaETMQTnuCwXNVvKmW89yvJIFXT4E/5g5O3go7jKj
cSwEM7Kp47zTjs1yUzT6qmo4oggKircrbv/yLoEwBSAjjAWfxwG9spSoewLHa5kJRIaORY6I0dKv
RPGXt+kfM2en23W5LoWF7/f/GnAkWRtw1+qO50Jw4NpZ3cU/dtblfkmI8tT26klzcegcp74nKLFq
UcOarjk0Zp52T2aWzW9+4w10Yub84YF366lUENTYyrkey6RvHfToCWsHP+xYBjVGsOlpu8luusPY
amjrMb+Tm4kJ8wBMhpaHjeW7O99KmyujIBePAkKnlajA10Fi9+dKTH0WXr6+HL2CSKu+0GZ47Lwx
7PO9k/34/qpe9rJfjJ0db2tSfgO+WASdmAJ9l7fzMYsA5ERAdSP2QGI98gjDu8M19MfFwwclLQcd
TMTU51wUrONtUzOYZfZARX7jozqYdnffL+7iK/XFyNmdmhs/h7IsXqkSYU2W33vsioHLqwDvvk6g
EvGXJsbgZESiK4Nieu1R3v+S/Uc6XuOrulRXQM5ICPp5DgglzgmrSm9woIYJK6scRbZvd2BAuE83
iFxi8wWCTt9/tMux0hdzq0P8cpGWHnhl9P3RDXnWTnY8H5unbl/vp52fkGfU039UL99bvHx1Aeta
gU4gsDxXxXQx4N66GqIzfmgVlWjybKqIJfUJeNFT8winWyVUhe22CTESdV+2FFidqy2ni47+y09x
5kBGU2Y+tM0RBkfuyUtAmbuBT9wVSf5uBCUto34Pt/WfFyBQgEe1CLWBVQr87PoRTIELG+4kMEX5
IC3otLfszfCm5PtPfCn2Brs6gTqEu1KenUejEt4eRTCwIQzxGJGYx5ht6bYqyZ5Qco2WQA+nLACX
o//Dib43feGOrJQruOWoWtp/0SiaBeEYY1ZoPeFxE9NbVr8zvv3exoWLjjzWXNk3weT9F5QsncAw
AcHdGbqzZWTJNmztKxb+xj6Bzv2ribNELCWM14BVzv+i1B1SCjHhe3O3ToZ4W/AGq7iP24PaOrEF
8Z0snK81gC99RpwGfEdMY1t/sW5ndg314x6VWLNPw7FsqC8+9Wvf8ZqRs0WKgpmmcLFI1XzmYstd
0IL0V+KBC3mR93Uha7zwxb103eh1suvnYAbzbjGIoHFnWgDwURi3tsWTUr39F4cD0/LAjIFeCrzL
fxochOr54uLL4Q2nDONJxXzNRV/8bl9MnMU4da0chVLAHBT4YsL5zKefFrpq36/jbxoXHEHQliGf
BAYPaISzBC/NTDf1l2YO/A2EdVWcbci+AtOf9ThE/B6soTr1AUwFrv8OXQH783vzf89wnpk/C0vm
0ez0OUUgN8TlrXoh2/8lo1NBdQdJdRDAa1FHm225KSD/vvl9nRrj0i3/uv4zX1k7+ZKyhs2B7rpR
NUA4/VoJ/5qFs6NiAr1c1yD8AJ/9QkUrIUd2xY9cOimge4WEKZJ0oBvO1uBnut2nTYE8j1eM9ojy
KBfpsRnI/ffbdc3Q2VLK0uss0mkIIptbfbboXLKgu0qldvmD/bOc9de/XOYCaphuptXwSiBHbZ7I
eE0/8rIBaNOAnAayw+cg4QxkPr6/tDOk0PWgKx8W7/X773TRwL8ibbhWKJycrcAxheYUBracSJ+D
Zad5rjLvisu7uBdfbKy//uUrtd1stGWFxzeF2JVR2xulmbdtZl1Ju/8FRjorJKAruGYN/7uWs8jN
M+apUQI3dAxEaCZ86z7Igxf0AAvlAdlP2xbzwtWB7KZdu9XeloiFQ4QZhOSaWBxZnfhfPwlAl+ue
ISUja4rzZcXpAp2XXCwgXwJN82w/IruNCnUDpueg1EFiVPRhm4IeaOi2fRNZisXacGtqOvXKetOq
p97NY9IucWuRU2eKzTxn1F5OIv01TQVS5A8ETfvGMSjrH73xRzs6Dzlg5ODqDX15yvuKzvyWVy+z
7JFFPSzdz+9PzbX1nT2Uo2Ms2Accy5VBcCUa7ePi9roW9sXDidGztaiHyPg88mcDYA2uDzNyqSDL
9qu/Nl5wzcDZiUnz2obUSzWjr1E+ubV46v36So70NzZjfTdQIydQ3UEAc05Pr/ExFZOXI3KK0XBw
dn3SBM7WPpY19ROIksbXfOzfkwWwiJgS0qArzyF6UH+evowVuiqcNYyJOBTozfeVAeNnvsLVxkOD
wbP0Bsxj4fdH4tIlx4lHSgtM89oI/tOowYcKLDaIQfvCpFq3caEfWJef3xu5FDxBRcQGlsuC1/XO
VmaNwsTaEcukGmnBhddspAHsUaXLXTqTkyDmTyX/Gx8MZD8BXQ4kOlE2/HNlbUcyx9MkfDB7EIhs
1DV+0UtFiJXlDxoCGO/5G2Tsozw/2BY2DITaYSkwdW1sBgpkw7PkEVnHBdcS/bUdu3gyAW1HKXSl
otT/lTR98VJFa4xF1aLoqiKAmlsKxdEcwmcAkIVA3Od0vq6iub7v547xq8mzU+JpLSg41wh7pfVe
58mbXwNtw/Ui8KdrHEcXMlqUJVAUQ7RoG0ga/tw4zTR560F3MVjcD67/MiYIy8lIXSnUXzqTgHbh
ZNiY+wcT9Z9WXHD4G9mMM5nn74OtqD/99jGoXswtLac7Mj5+fwUuuSzojaDYAlwodu4sDE0t6/9O
oyC/GbtZ+mvwhovuY5Xu0FfdDmgPnC1o0QRbxgwLAtgWLF8ypTxeXlZxX0jH3c1huYFUZKRfy/Au
7RaAIyhjEmOlpT0zm/lZM3fg+wsq/lk5DW1Bgt5AY7W9sl+XPuBXO2dHUK+Nvu0anArMjsep4vej
/19UNRCP/bOUs4M3M0/jBl9NiEdz+mGIZ2K8fn8MLn4tMJMhhHYg5HYeYXgTl1qd4iIxqtUCUExB
Xf9w5e265NMhqP5vI2efqjY7e84mnARomznW7VQcTfmfF4A8VA6hBYRWIUjdzmLD2gcfQWrDRGs+
9gifjenJc68s42LxwsWUJqDUMGacG5kti2SigxEzsXZ6YD1X78MWAHYMpa4ULmRn1zSNXUDo0w9+
HUR/yel9NX8eZXhj45QC5lWU366Nev053y7xEi5bNPViDz4X3Jk37lN60i2oAmXxtbt1MXf++iOc
XS6nL4m1NPgRrGQ4iHDBKBfl4dpQVKEGaSSMfoB+WdIWBKjXjF+6cJiyInhlCKjMrDPbem+PnAg8
M/CggV5/eEIE31+GaxbOzinrF6MA6QOSGOZRv1voAq3d/z8TZ1da1mpZ1HpO/bGMpGFRrfn43sKl
wjPmTf/9nc6HgIbZB85GwkR6zED/d5CPa9y2EuaxlEKte//fBW1fTZ49JmIguWW1OkoK6Usjn7Qe
E1vX6HcveSoPRLRg3oVSJ8Zy/nwfUcxjQqthQ4APQS52OKZ10DJQyVyrdK3bfB5crBPnKCVDmO+v
ZLknvur8ZZ4Do5VP3Kn2UwVpS2+566ruR9+ZW3j7K4/Jena/M3l28uZKzbJdH616MGhdt2EFMEy/
6pVkMXQC6fdH5OKn/LLAs0OoZiOv+xbWHNB/DN3RJX1UO4/pNad88T79Y+d8nHZWmrFMBT4kwrWP
LGUvs3stNrtm4uzk2XruZO3a8O8sSfng0m55/f5jXbOweuUv0S2CmzbtkCcHVbdElVltSz+/Uti4
tB/A9tlQs7NQo7HOHLsrZl8bZyzC0N6IdiLFo+u9jtemFC69wl+tnPvPKuOyt5EFE/sXFy+NeVNP
V47xRRM+ogioy0OU75wxJzWIxuwGB0sxNKDKR54+yGz7n+8H3uB/21j368t+GFWViZHgUKXqo1Q3
lth8//dfW8NZJDFNNnPlgM3I03fTOKUdAE7dw/c2LvSRVrqTdfIU8D4M7p8dqtISpd1r5vqOFvca
NIkOiqqgPuWhH/Df9Y3x3MT5Xt9ciyj/9jOrXdAZQThgPWtnZ8D0VAu6mRF+xjRCBzLVc30/ofeJ
55aq7gpI5kLHFcqJyEMxoAWxW+c8pQEFvL8oDKChIdkdSLhsxMbYGcG/kNzJtenGv/dtpU0D5mjV
rMOtPHsfOK8r1ZUKo3R5vsnr6sGdSKSya2Oofz8OMENWwmcAC1AVOfuCXurPM0TAl2AZ7EcHnDEj
KghWXyQzf1JuF7ppdSVkuLgw5IWg4l51+M6B/Zgn91k96mguDjWIY34t7MG/ylL8twvCslwP6cZa
YgIM+M9bJUDkYGoITgJQj87khXl7je1Vw6+s5W9nCjNIZCG07WGq9nyTCCe98EeyBJ0uKRtenOHK
mbu4ji8GzrxDM1mm8PoJ62jqoNf67Sy6baMLkN1e63JcPN6r3hZqLmiIoSv25zdzuKjSiQCrWj2D
cjleNhUUmtxkgTbh9SrL32wqaMx6q3ArAiCoYZ63rXKbm74s7SWY4qmg1j1A6SftNL0W0/8BQPUH
iETtAAKN0xjzDGB10V8ZC8BnhLmJa0WfC4fyj5/m7N2dMg62IX1ZgirFa6K1tJntcFJe/L2jXCOR
P+OiPxd95icNl/dEKHeBn1xpOrWIJGprbq5x7144llgNiiBkZQTAPMafO0mcPKum2YLvcLr+JhOV
F2X6wq8s5oLzXbsK+Ovhn0ApuZ7dLy9XU8sl6xyhB468n92BVv2MKg/K3eg8NuxKjIeC5boHf328
f+yd92QmMkBJtJSQriX5kVhpqJutTpd8Otas7QJGOkJroR6lV2wUqY8OMSdqMQgnWvZ0NzL30NfG
pk3FsW4B5ZDqYUrr7Wyaj74P+Ze89CkmfZN6YUegyp+mbNrwPP/RWpWg0vb2jdWZcT6xDeaVjkLk
IZcEzYrZp7muh4VwKMrlSWrqH2YjX1NMSQU5HqfA17Vw6YY+1NvFiBtNPJgyNYPFqGIyD8miL7Fa
5IPrLHWUlZJDUVKPWTo+TIZ/pxzQrDcz3zW9/Wp4a46gdz6tnDFhQ2aGg8uOxYgUQhE50wyo7SMO
hn5SwtlWuQSPDcNPqlvNC1PaTuuYRrMlv9MZ2ZG8wq8ACNwbZrQ202Y2HjLIpAZOW4qAcRZZ3Ivb
lu8cwndaYY6BOQ0nkEvsNSd9w9kqw8b0Pnqu3anCuK9A5Uunvn+ySPmjq8ptr3dxmzd7qAvdcJ23
gYBKfDP7973ppZFs0i3Ti8Oi2Xkgc00E1jg8GWr4ZLn52RHtM9fYPffbu8lsDgXXMK8p9c3oZxuj
W+LZXYZncCjcytkwKV+M27ZyGG3zVAttHfOkhWfcwDfvABZ+6Z0UeBZVueDZGZsQUk+verG8OfjL
y1zIqNKZAyV59SgmniwaQL25OeoJa4bbWWDA1nC71wVguzR1KClBRW+NTy1eSa9ebjy9q6iCqpcg
4gHKpVCcIPadPZiQs4NYRjCx2YyBIXqCfCmjyNPaqK6aT133fgHMfLQtwSEkqk/UMP39nBuKLpU8
rWrwjRo7tKzcaAa3f8TT4Waohq0/ZhtIoj3WOkRQNXmviy622uGgpdURkr5JNyyPBdEzQPbnhMw6
mJO4LIM88z2Kqb1E8aWmKAtLmhfOPYqaEXAyHnCM023B2hgCq2HamuaGNcuDENMdkoUXPcs2gtsN
dboaEweFeitd7wT9hX0vyC4b0ejqvJ0vVbVNha8FbjY/VEN70I1uZ1vs0JpuTr2hesqnKkMN08b/
gY6knitadiYAArmI8eeelapurHoOh5pvMZ3+mE+TH09+kVEOBUjaVelnk7t3tSm9qLPVAU3aH/5k
hrycb/vCevNF+uDanJJcQHxk6GMrZe/c8j4dkbu0kN49nMhNNWkjJQafImbJLHHLcqFTZydtVR4Y
AZ8dVHdKIM7a3cKNbam3N9oE8S/bPaklO0lNQ9+BdYlnLR9WVX4MHbqni7PvS4UryMwXJfgNAmLo
O05xp+pD7fk5zQV5Vbn2s13KXxNrf7gYg5+wDTTV53hoiru0t/dDblUgiZaJluuR25YbxxOHzOMW
7X1IYVnaRi71gwSbIa0VGanX1kBYVMtnbU0Hyx/fBq65wWAPn5pH0DcVFqTDFrVVdeMHpDV96mfO
vnMcSAROc2wuAyYeyg9nrhM9dTYeM+4lnopYHxxCMUh8L83pV6l8qG4K+VniSM9NtpUcbVRjhPwD
qP8Kc1v5bNvbTQB2uW3mP46G0wR1p1lQBmQn4vDAqK07JfKN3zZRURgxJDxjiNuE+aJTBR6vBrDz
UUCV0p3CRXPBENAfefG2pOOpVU5gm01cSScycbIM1Z7seqKN5yZtOW1a0gUKH00ugK7htzdDpGwX
F6qPFm9DzKc5F8+VhkC9BTvH5G+N1IKoCYII7cc8gqEa+Ld7Tt5dv8LrJaFRaZmbClvRunrsOn2y
pMD7K+snhNK2GVCIbdMnpnU38yKl1dR026Etj2XGP4zsM+fTO872VOyalp1c397mqns0OzDuT2bU
53BGk30qC1DiC7E3ILrruHViEniDrqcq1Z5qzuICU5uNqhRl7qPmqbAHANCYjhUGYGQ7Uq6Dk8bw
g9bYlAsJnUa0dBBFwCYML1t4YRYUJkRKXXJr4ZpMIAUmfuIwgDTF3aKDEXXuQvBXmPZxRsTlQwyA
7ev8rm4KCqcfz6mblEbot2VY+sd5fMrVGwoTdOIqdBsMNOEPVND/yKtg4YdimODzLbpAb9Jzlyh1
i0hkmCh0e2C37htgjoY5A+b/wPqbvoOOwiyDjDzy5uD6x1Y+NxlwCbA1O28cX3vaVWyMEdjTbrhh
RCVTymmrn/z+tsfvmrIKL30eeDlJ5Pw5qW1eZIFZPCzAI7ftuwvzPXig2/Y+5cYuE7/c7KkQN810
LDo/MMyCGuqxMfde9qiVFjXzVx1f2mvZlnG1L0cRVQwvOj9JoQD0SeMhI6j+vdvizi7g0WURDqjW
ucoECUjk1e9IrWhZJL37NPjwUOquGk4Ir6Mp68KyONbNz5nLHXAddPAfpyUGcQrSHi3O1C+D/FY2
eP17At4NPOrVEuXNXWk7AM7MoQeRDnt47bpdO4R5rVPXeq5d4LGzV9fo9mx6KpqalvpHA6o6165D
YGWjEqJotnfoh63VYrscERCXSvK8sNcxg0wj/lrxrNlbpNNUM0MtuxdpF7T9b1seOzNyKhUVdk9B
2khrYgRpl4Y43hlEKaTYCa+kvdNE6cC27XQjyc5Nw9ndjl3E62cnSwyg+ecfEpCMactA75qKxKnK
QMvr0MarjKvK2S8v1w9MeSETn7zwoFHDN1r5IdGq8fR6z1AokurJGSEvnN41rqTmnAhRxjWvQ73H
TfBn6nXVRiOMDqwJvVYLVK+oju9a1TtiJlUFcWLVQdD6EeJsJhSZ3RaDZZKm7aGcfEqyW12CsqBm
etCbj8x6UHgk+2Zvtb989isrk1L74SKE7YHbI+WnyDYZPDtDvdnEE2g2H0t/ksWz3ZyqYb/GcHiW
A5Mbgee3ge5XoZndOHyLU02NDJVqdTObu7w/YDwqHrBZE39aAKO3iqCuXiXrqMIT6E6bvt+Y6mXS
78iiKMe3LPFsDJjrB7K0cyzKZyssdCtawH7IzA40of1NrfKYs4/UywLEL4HmJFJP8jRhVuyOcIFy
t0wvfv00ipJ2sg2GCVHMHHf9UROP3bgRsjxYLA1aEJinv8li00EVW+lAYsrZ1uk7+GqA9qTpbNIO
ApwGpqFTvA3GfFOW992EoOsmc4ZwwqoyD/4jNKBWaXRPwLGlyAtwWPQsUHNFU+M4DbfCPej+w8Rf
Ed45y5Z4m1b0iJM+KnKsjY627oNlnGbbppoYqZbOmwJlY9W3oelB6BryrERaYV69zl0bW85vpMeR
pafw0LcWe0z73cjqRDEwHmnFYarHiOt2UonleRE8BBcE/LsGp1fFVVMFnv5QDu8C6UKOeeh834I0
3bz1iZa0jU7zvqQLv2f5W9/0YVbwO+CVKcGmLmUW9wzEJZ64T4VJnUKFs21EtYmr4vOwlnCdLpQe
3kbzQxUnQ/72qw9TfbjZbQ09nMxNQWk2hIPnBrrAczSnFM+oBcxGuxRBZmlJVbz0S7vzahmqUr4i
BAgNkBvOeLfTV5BWJEPfUO5u3Km8xUeZvI+pfU01PW5SHSWjjzzPQ8tCvCYXMGkCMZ+DsRTPdzZy
uggvHMmLN0yxi/2B0JdrenjYe6o59YbrhPqjFfTVbaffldULW/beNEU6+eW3v1k/7awhbstt4+y8
RoO+z0aI51w+2uKnNUYZ1/FCRkxLSAE/IWguE9Crhxwvu4ZhEgMYZeGZdOyPS/Fk+9vGDhdUPuFZ
8um3N92WvgjkGLPmt6dNCUhiNl36Lv38DUyIRgZOY28jxkd9PmrtsTHJ6oS1LtAmsdHEDzI9Kw1q
pdq2tu5LbwkRYG4MQ1CfOxsJBbtULQdWS2oVxp3L+U07yLh1odBVvfL5YXGKYG77jaEZGx3vpemk
N8yd96kqAVADTEh7S5v7qXrrxJCMELbArDMo1dTGcz9BjD/SpfXAFjUn4AMPJJjq/MENh3ageZpS
lQHg5PqhA/a17GEx733+UeWnXjFKijqo4ILYXEUTjlBVIsN5NL0fuGKW/0NDLWIGuTgDmtaxXseS
0zQHBrv7mcHhlj4kCMoXmWcQ99wP2dbCaAvJCaKpOpmqVFJjlCBRBhet8kGQziJZNrFVj4mWAqGm
IVivqrBtVID2P/UXI1z0atuT8r6WqOJ2PLGAIZqlCDxuw2p77w2/Jp5GpTKo7/DQHKtdapOIEG3H
Ujec8O+jn1KGbLCacCER3mvZxrXyTdqhiqMOUkNHCOGgPt2nVhMQPQ/MTMf7oOCz0JkwAH4pLOhu
PI6dS4VpUwzsPLF2fMMTCcifbYUgBgwtc47bQsWkTJTN78vytmbFzudi08Ib1qaepEipF9s5ZHBF
U/kbU1UQZszDwdhXNkQTzC6ReDUafrI16P3W9nHoJdg2y9guQelW8mCxm6TM6rsy8wEFOojiWHUD
LcDmkdYZTPkZYtblWPYIkBsrtKsq9qUPB4R6t2HHTZG9+qkMLU0Le+z9qOC4Zz3qGU8yuwmJxAD6
mMa+jhpXV2ys9E6smwHnCX3nwCxrHG4nwWxvqPuIiqwmHIYCmvF9KKaTV3tbF/nSOMe9ehFGe9JR
gmQom/E0bJAHjBhTLfp2x3tOe2EnEppcNpMfZTolkwERB7yVrnsv24y6zW4pxmTMatoJL0EgHGUi
owMgAK7VBTLzXlFTpcpoo8oSgQ32H1DgBWUJOUJ0Lcgcu0IlvGgogGCh7VYItQB6T9PNAufp5jgO
Y3rT2s0R/9ykmgFcuo3fB/TMzE6QDtso/dYbTCrKg515Ycngvzi4nIl3wisjR3sDXgfI272mJjuk
uTwNHqS/jFdNgIQ1+4UwFcKP8AY72frh5Bz6dEFquQqbLgevlZsx7d7Qag164E907Y5oGrW9MugH
FdtjFvtdR/X8eY2BS1TBHefI/BsTFMeiaeNFyaNjYTi8hj5Eb+SPTYZiUYVUI8un2Mu1uGTpg+mN
BhiRrbjM0h3qqAZySvWcWyRWrUPLLN8MLkCHc7lRrUx0RL+LMk5ZsfxEPXwPmXNQ2Dlk0xjjxvaz
B93RfmlA7fb+EBpW87PPMJzTl2NstuYSDHlDKAa7b4XUtyxdYscuI1Sj99Y83KvWvwGRaqy13Y6w
ZQexUDzGuNiMJZy1G0c6ZaSQWWtLvclZ/zmNCOB5utcAsPWa/haqn7HM0wDYCJBSWpJsJ2N8knnx
LirLD5Wwd23OTstUbcrCO5adEZIB3lqaccu1oFcq6dnybPj+/WwxcFsK5+dsFsFizm+FYQAy02/I
+gtGrdHBKN+NCoerZ2IvGwuFgPoIR/KC7h6CtcX86THtl5sqkHH6+Yumodqj8l9+ZlQH3670sF9Q
7bEwLh0qqe16s74F7uGEeY6UziafoOfkQGIjzZ6y0t3kwgKEr3QJbfQ20QznIe2qO9stt5Wpnuup
k0FrIS3t8BojdnFvmGcgtimzBPrRP5bFQlbboRtTkxaMrrLBdysQZkHYRimSU6uveJC1VR0LTfmh
Uazw48GnDkNBQjPIG8nmBDOO22YFkA3jRufZIedI5aGP+tq69ildmi232FNRimpHuuGuG8jbrHm3
I2nuql410ew4btj7/qaWHHVL564bK0y/jySLTIGMtfVsdnQWYYSaDh0m7g1p1Ot6FoNC9sk1e1RX
7McawrRAUN04TbdDuvihaWKnJrLzHHFTOzLWpAOubcbcwNLqFybrhzFDk1IaL9qcP7NcO1nc+kkK
/VZDyzqoPVMdWxBDhcIAYqLh+L1Fu8Yzqqaka28II5Fdz3VYEuejdzQnUFL/mFl9byzyqBgbE3Ry
TAz81LUPD7vc9cNaQfXzNjKQ4FO9AW0gApGwK/hKza2Vwei7Dc3zxQz10p1iwK+fK6t/gsZJCHpD
CJ1k3KV2Mf3qBhf/NZLfvJ37cKozBTkN7bOvBhX1fZMvNJ9z707M2birPGNI1DRjgkbl/o3XNTpH
wsaLZOxGQRsION4LHwNnEW9ms4/syrePiqT2Sw869MepIep3Ax4kKqQHnIVwp7ulk35YoSUWL0U5
R6pT873F8UHa0Vo2zjTyG1UuKnB0zcamOOTOMFr+XlWqjCdRjncY961CF7HefkzlGDWoar3l1ix/
D4NHNOTfGnufuf2hMxSv8mHuOHw/whrMe7RdSOx6fM7zyXgfeKmjXGRrn7qf54+4HUWsu6IIIdGr
b6TJvFCxygprvXNouo5hlUx0ydwUSDtd1B4xIGqPyIvUUlA8Zoh2Ki2N88Ex1tqiXPrAJjWE28Ti
J4bbDBvN60lCUoGSRau52yarUawbcZsyQ2dbkjoGCgLMDzXfLBPhOnmsma17yCs5hD5L65BntpOw
rlzlYlEXU4ZimMHkVhHm6cDjXvfLTQqA9bawrbtOr7u7uug6J/K76V8pS6Gsk2Zm8ndrWKjTSJFN
kbNMDS/p7NZa9zSABrs6Of3I9k6xTIk/Q3UUzEzeJsutJel4igTLsDg1R5e8ItcANWdlsSQrOpTo
y9UXZ3kRoa+5BoyOf2tZeXs3SxQFzcWWQZMVQzSJtPgU7tjcNr6h7TCGw5Fg454lTiFI7Ol41TFj
N+DdLzS5KxeGQoE+OcFoIZUuW5ZGVu8g1J1HYPJ6vdg663T2zDUjNjOmwL+8ZJFokGB2hQEuJ9Hm
ISGomWmjOb7rpHKeUe2STyD+dRRoLCT+jOn1phVXs0pvtNnpNlnv5HoAyXh5U/SlQJSS1zdMptUP
jCFkGHIHXvqHO7ciLD1QGOpuVR5rDO8Oe2P2oXxCSaVNJPQqT1OcSjEUxoboBYY8FpXB0WqtiSnW
EbXOUFiT1tw7sm2B6rO90dtW/0PalW1HjhvZX+nT7/QAJEiCc8Z+4JKblNpLUtULj0oLwRXct6+f
y2rblWJxktPtN5ezlZHYAoGIuPfiQOauxiUtvSLOcWOB664hDtCvluaIZFSQEYS0md0kFR1B1DYm
up2UJc5+M/he1YnwvSGK2tqyh/dw6oEYCUJIq7n1s3REeDdaKt4INfVGa7A8X9W4HQEce6zUVLnm
qa8hUWW0th+hU64N8ieEu8NFJnXzjkCSyrMU80qHyjXpVHgqcR+O6Re0pe3xao3QcjzBWXLVxPOZ
mYqXKKm8iFlLd6ohjA3VImPno4i8DZQB73ytbb+rogHQdsSlY5YV2Sk+4V8rqwkOaiN1OA9TvzAq
biDEHs1jTyLLaxi6qCKUudyqRYA1dFG4T8ckhBa9qjhlaJgPKFWTnSxra2v2jY+QtoW2bGeyg1Ub
yGR3Y3wtjLzclXo61SLasdo1veIflL4xDz164a+FlgpvHMb0NUyJv22E1V2MWOTLxJTBFUOUd+jC
KAltgnvtPuhyBfDdmHltm+Bc9uhVbePgaayx6grwGE5JFe1F97nhZZYsLuE3LU+aVfWODdtdl9Lk
r9yIVFTpS//YZFZ4F8dG6Qa8Th7xzg6uCgXZNU0S32vVpLLwAFQMw67RBP0IpgD/tokbaku0cl4m
VWtcMZLzCiTrBbYy2IqgIRZZ5h4x/OjhdsorcDJF0iNWZXp+HqdubDXaEUFS+dhEonvEC01+MNpV
rt4z+pK24K/LYt64g5X510omssiFsklzRTCZ25ar+SMJYrRLFJG8rUcOv5iaMsIB8qNbFoJqO9AE
MmQ04Pu0NziaRVq9/6LhIztpuPY1jmuErmXYfTPbXt2XMY8uaS/TByQTQk/T+/ARUtxVjMsMkSME
l7sbFiA1AzXCwo1aGV+rqc9TOLMmfiqSPHbiEVc8dLGbr0VsZrWnSEjY2UWTNP2NwFkbLnIzjyAZ
x5tjBM4euotDwMOvcjlVa7Si0Gzuh+Fzk8u4xymE+LVNCCjf7aClw5aBBAPbkJL22ucCj7ugEmwL
crnaAWCOvFnQN5Y2PsZrspyumqQ36SMyN8V1maigLuspEtYCSQgnDKv6Wkcx7wgwEISPG6PflAlV
uBNJP9k2nOpgn0rIZQbKmI2GTLzYhWlbctsH8RaAppLFBzag2iK0KfGQJWXyrmnxuB9KKjY0KxBX
jW2NlAqefi9GrqbXLRPNoZKxea11PcirFUu8cOn7DyEdsXhmigxYwaeXR+PXrmwbEy8P8KbtGE0h
AAzKMbza/NBLspByt0xGdR+igwfRn8UmQZ2Yo4ilGRdam1T3caWR17BG7UVJeeiyqhBePsrywANV
eNlQxG6qs861Gm5uRDymHgmRwMzxlN7gugl3EUPpD9EnHTYkKQfwCYtWungNI7SFN94UOSmvA6vH
gbDG5C4IGlTUeh+JtFGrTUjCROVDmOhKagP9X+5SXjBPE0r1Rc+C6W1owhUILjZ1PQJxlXQx4LNB
rn7IjkVegt4WO8g5uaqxDV9RorBGG8TR0GbRsuQCLQYGEjoIvN2wGulDWfZ4nIdjwZ6Z76PiqEd5
8xTlIbTZ0EWHLJKfo9Go7QftgoRqcoc424uaYWcY0RHK209+KZ9BrvLQRejziFk2IjuPakhK79U+
3ILGFZVMqH8im1AAWZw0L6FWNW7St7u6IbGTxeGxGREdAHh4GNrCS/3McrVIV5GwC+8tbiJNVkvk
KdNXMPXh9NSavh11lF9VtdvXDQqfSFRkyG0mzRYl78jrpRpu81DeFLpp2kqZE7CSSJRr1TDfApYu
HD/WoFcWKYcwC3AlNnh0h+SQ9Z1wx7ACA8CULGVRj6pLoJMN7bMHPRO5k2fJbQLiduCJDd8eew5u
riA9krgkOMrhfdRj1mhloPAZ+XuDVy1y9Xq39fUp84TmH0PGXku1a4lLlvKkduu4+GKW5usolB3x
hfSsXItQwRqbTVQiHGUSb1YmUG8aGyTYxqxCQiHIMpdo+DSwhGUrkfKKlHy87zJFcwDtecusiOxI
jhqPafG3sRg9A/1hMjEvIh8ZRZ2aSPOOzQsYufhW00VmI0DSnCDHnQ317xvN8h/ZEGa2jIKn6R9V
VeUewJ7dpkN+BUFCnCHBie9vOUO1Ff9/rPpvQVlwL+vz5I53Uz5Q4gdXMf4XMmXQVQJFkTd9WdbC
jIlIzw502Ij49GVqlnuZyg5KgT+PaCFuM1ABOrL2H7V+BBR+CmvjGk9yiasDTMl1d8hZBAxiUl4D
tZo7IS2u2qm3A7HSbWIixRWaQbbD4ZJOl+GZLpPoi4Go1Y5HDVw8cfkmx1Zz8tT/poVhj0Q5YsGU
IdOfxMPT2CLnmeLK8Dl1eiBUPDOn76OQvScChCM8KJAhQIUY4J/ShVAseMqN6laC5hQ906kdFsh0
cB+PuNQovwQ5fFpk4EkSj7dGq37QHpWTLsKlp1akR4YmeEW4dci4Ve/AGIRSoiDb3FAe0L75gfjg
0hrzA/R6hJ0rSDdir7E+uEdA7fhdsg3T8KrTBYhNDJBVZAKZabRFRW6YkTtkNXETpALpVj/4Vk+P
r2xqlTDbYCNySJCOer+XWoHtPKQolURfcI1cql3n6Sbbt4nYZcNH0yVuaVQXeYuAtRqTvd+VyNaa
KlBB8q3qzftiSjTFUMSF3GGGhsTOvEb3mxdG4KhnFGVSrLOd69ZON3H6g2qfJjHC7L5t3XzU7tEL
zryG5rvaMp6HKHDN3ECJbdjHbXlpZMYX36IPHQ8ADQZ8WIXQIR7qr+qgoLAh5QH9Od4YKq8K0mR6
9F1lcb+PUbv2RO972DZIhyHBlWK0et25EZFbWaP6lCPUYbESuj1BoUVYugJc5NgiFdJDEyGtnRpf
JiLta8KVA21SJEl8cWjC8cMMU0xWb+Q2EFglnvHDtzGL3lq9Uo94yb7kvfkgwdblNGbxpOv8oNZq
5sZlelWEndcl2n2sWGBp0QwoUVQXIfifTa39xuKqt3WiPaa4b1wIqnIkPPpD0KC00ujDnSDZG4kF
d6WB/iaB1JAjO/U27gZl0+BG8GM0aOiDSR3KRsNhkYq4o0Q4ykHkkDH80kp2SBuKVysTx7Acriqm
34S1YW0mEW1kBuPSVqzhpTdksGlT48MfkgNU068Ql7+hZb/fUEwrgqBhX6P/xM7bmNhsGCG03AXI
2CO/hNrUNs39zi5wCSFb6d8Rqt4iNq1dqwKfMdBLkR2K8j3oC8srEvTLCwtnIOqacheJptxnioLe
Ium/51XwPSchSJ8k3hAqzd/UPkJzsgwvfe4LaOj691zDeyNP1W6jZ/kdjdpv+Ygqg1qhsViVmu4F
tURWvRhfAXzUnbggKdpl2/RC7QFQUkL+arXJtxFN43ZPstZNVDNxf//tv/7xP6/9fwfvePslQyCz
37ImvZFhVld//11ba4KbtfZJlkRKbxV4F7nIPU0I/v4PVS3NRsZl2+6FA90Vr3ARVBzoBaRrtcvg
kFx0z/Jh/JY7yj5AEdb582AmFXxdHF2AE5UKxC8/9wImeOalVsFHR9GjY49tmI3WCv/ZAtPIZxuz
5kmUc6ipFMk0dBBevcSonn7FPeRCTz0EE7mbIv079Zl76O2x1UP/vk7uuthYeTLMWVP2EIMFK1fQ
75tarU36J02/P7++i32oJwZm/b4NC9MKRQHiFPlr3uzAUWcP/E+jGibK4kmOG5xaGlNnW2gIamXk
Gvr9pI84XH5DrsNO9TVy1V81crQJ20+gcQVMAHJWs7kqMh1JBRXABtxpB/O6eRlfhw/9eXQrB2Vt
jme7jfbE6BGTiSr7l96TbgjQP6h+Vpq06cKqabqKTmPgHA0dAJ7Pm9MsaAstF0CtkDDYK5CE2wXv
4O3bV/thXzrZFtnRFZMLy/jJ4qyrnqEr1kxLEF0M8RPeLFkmbH9N02nRBpbvB34QVMOz41BleQqw
K4AdQXA9sosxPIrwz3efTxhagNSg+UjQ4v554mQOXSrEK8CoWQzaCE29iwp+pYlCgKy3/zi/9Rfa
iT8Zm21935J4N3PsFwupqRK1W1q/62xwfaR9oUpz3ti05LNe4k/GZmeAMDG24QS4twSzw+i5UTGk
6jZMV/g7lxfp5wzOtx5K3Z06QTDHpt5HKb/qcZGRfg28vWiGgSeFA1TBkXz+vFACKVSjUYCRFKa5
zZGYsCpUGEjvnZ+1NTOz0RSqnwk5VWgbVW6D/JhSDe+r1/NGFhApmg4aC8IgPwjQ+8wIkhmVLBUB
txCMXsZ7t0t3dRugMl15qZVvOajcz1tc3AwnFmen1Q+UqokLDKut0aldxmj9sw5JST1/jYNkzdI0
9tOW+ZHFxSjhF4C1t8upsQ1KwNS/9M2v54e0vFI/J3EGiSzqcSoSwTmYypAhZq9v6xq1anBMPZ43
9INP95eT9HPy1BlqxGQkNEMRjk5VdxTZ8pA8V7jGDkjW0mdZFOqh1Up9kwtFHsecAMXCArRnxugK
Mge9c2Wcv2Y+Ee89er1QkNRudFTuttWQNS4yv8SWOtoUgpTWxzRHR5gPCUr0finDZqw5rnzs9tSx
8Ml2KBNxRDEqeWaxynZpjr0z4FV/F0EBBdTJ/XhliVJ5SMGJ4sRKV+wSafAveWrIDZpUASppFAhr
8srco1gFLTVwdV9InktbdjFEYiqZbyhyhFOBBRUCPdauRgpaWKVAWagFA9ETpJlyPMCi6pj1kqAl
MCrRX6XTY2aI2h1ETdBRzywPGdjRI2rf6egKqUpPtLruoeGbbWhZ+McxU5UD4vPuUAXAzjZgityc
X7UFHArOGFR8J4EVHfiuz/uw7MCc9AN6Pxxa0D8Fx0n9gezW0KzLu/CnmdkVZZEEwooCbqmEl82I
5QbiS9OtSVssAZdAZTKxSk16lAAUfR5NM4YFND5xqroDkhBueEAqX/f8a2MD6fOrNca7xWgC1MgT
cJtDu2o2dwKdI1GuYlAD2quG8cGoIvf86ixO24mF2bRlzBjbpANEl4z+W0HoZd7nmwAAhfNmluMi
kKZA+QhMsnyOXut0ntYAbQK1eQv+B6/a+m570K8KF6+8Q7oxb8ab8xbVRd9+YnF2xzcNWpFqEzjR
4CXfI0MFke52ww69C+Vq9Bm7oUMh32i47F7fDm45Sdd7AKqAXQV9Q7vi+/mfszjP4NCywMdvIA6e
+/2GAvPma8CNQ34laozJR6A8sCYztXjYTszMnH5eEC1CTQNOP3urzVfU5Mz4OWoPVCOu2X6v16K2
Bd4kRN4nBmfOv0L//RCN2D+d07vo2UTADd3g3AseJrBq6Qw2uHLXouzFY4Fn7w+WARXEJZ8PoR6p
NUIqBNkmnLLOnsd+d361lvBfeEZAzw3ZIgBH5yDjjvNRjCHmETX7x9Trd+M2uFHBwBus6mou7Qzo
NRlcAy6Wa3NoWy+Ijq4zmFJG9aXS6M5XW832Y33lpC9N2qmd2Q6EfGdnDDomTUN7t4KimhWvEMks
boZJGQyoL9zSQEp/Xpc61UfJchw5trV2xWP/kNznO2Zz2/T4dXUzKSHylWfD4uydmJx5SF+pCDJL
OFfIWaLd/GWsTLsq17C3i+7rdGQzNzkQ4XeGxMiApnjpHifEquV0G+NV3CE5swncNYe59ELB+1HX
dbQz6L8oC6mVzlofhUSHxpXD6m9G8xCiMd7MLJBcxStX9ALflKqdWptiyZNYUWlilco8Gh3UAxuH
fWRu4fiuvxmeqSPd8RBj70OsYXv+lC3uyJMxznZkUqNyGmnBhAdHllX48sYvifef2Zg5xD7JDd5m
1oDOpBhKxK3NrHrFxNpSzVxgmRTIcsh0dFR05yGxat7kxHokufFQUPT3m2JY8U7Lex5cQmAIQHrF
mB0zPtB8kCNWyx9zt85uQzX3iuHt/MRNSz6PtQ2TGwR5G5Qc57heHo2kIr7E4kju6Cj6+eSRh2BA
DSP7vKXFbcABPNfh/EDEPzvC2PwZbTMEOV1C0f2igpfz9ryFH47nl8GcmJgdXwvkfnmdIGor4c8L
B7RPDxw02igqlCBi4uiuw7Xlv0GCG5MqbeUINeO77FBfaNvsKrsDPbQKzkbLlStbZ23os6RHIEhX
DQK/qy8hQl/rtr+mS7q4jCcjn37ByclmXGl1tZgsCADA+i+EomvE5LbGVhzxD/6Lc3M87doTSwJH
zfQ1vGzV2+5D3LQNupRtQC5BoAQ4Ep6eAILuUVpjTr39S57kZJQz/4VSaJFXhGKUeXSLlg6U8tZo
hn5E9r+MD+dNp+DzNMEA8nl8qYAER4jWdqcYvPwyYg5zkk1vx04FOhDXuFbRxuhMNGLyRt0V1Bt2
a8QBy27a0k2OqxVXA5kNEx3+BHQKWEx+NK87j71sYg+d4Y75DQgjqHCD22vXrr0Q/o+B/7Q6c9NM
60QOqCMSPnsTeCABQsLQi4/5hXotXw1bGTym2myH17Zt3UdOuFkd93QMfp36n79gNvVVyfyKprh9
+03xqDrDsb3QPcMWd2zzQzhr5emw5F9BUYKeBgR+KsoMn1ca3epGX6DTC1W1d4belBgeYY1qbOnS
OLUxW8pM8NroOXYTeOmA2tdd1XqMiwfSWZt0LTG45GVObc0WUIuYaANeInjxO+Q0im/cVKRz3sUu
+RkTYQqoFCwLHJyzOwk9djy0Jk59kYQH7qcOOik6I99mSOaet7QYZZ6amt0XaThWfsIRMOv38VV3
BYD8XicAadraFtzvF7EL9N+er7nq5U3xc4CzK4RZg+IDfY+Hcgkplx7dsmhGBBaS1puV8U3fNN/t
0LqFWDVqGSb4+j5vPyq6Ph75tNtHyreg5EHzsejDfVakiMbKhm4txRAXCDoUF7265DrSaPHQtgY7
tsBzeud/zuLmoZBaRcqDMsJnv6bQ0a1jdHDrxmC4FP1ag17/pRU9sTE73yorSYSGwImfmW2Nw+ia
u/AgXP1K245Os+eb9Fr/K2f8xOQsaGvyRuZDincDKazrFMQUaqleQjbsL4Rq5k8zc24gtJ3rY4LO
TcjztHanfisQSvBmrcKwfCROzMyOhKYqlZ4OSP0rO8AjhYfLycMLxTOuoWtUgs6GHvH0WtkZiy4M
bfLm9DxB6W0+hZJnMci28aBsK3jIsd/njYIu++FKL/NrTtbc2PIofxqcszPqZWCY6RTFoZXuIcbN
kzjhDirUrulEj6q5Gy4TiMmmK6/aaRi/HMcTq7O5DU3BqqyFVauJcfBlf9dlDIsZjftC90FhoX70
JfBHvq/cnT96C5ShyDKemJ75nNpMSdNUSK5UHsbKD/V1cFE40kF7ZH0RO71DgW53ew9IJidAX/2K
T188+ifmZ9Fprhd67jOMXFr+BvxgRzXuV6LGRa+qwtNRYlggjJxdG7RIO7MLp2M4jsBXsnIL6hhu
h2SNQGixRIywiUJ7CHloas2WEd2bBQWcB37sKB6SN+YBJbiRh0mPoNts5aHeQUrSY5fRDqCcm3RT
34abtROzOKEnv2G2npSFpZZ204TmHxTwE6NcUyRcszBbsi6q+86kuIYb4FLUAXtk+PNc7NiUJ4OY
fsJJnN/EPtUVCEY5aVSCgiAB3Oj5/L5fjCVOLEyb5sRClKhxgE4ulIJRKQX3paPqozu0F6zanje0
IFfxeSyzKIwCGDXEGcZSg/U9Q/MAgKe3yj07MAcJkH2Z2vn3/i57tMBLPFG/NpcFOs8cYPNt/HN/
/tcsngVgWkCWAj45ZH4+D1vhbZUHDe4K2nS2Ggq7IoZDgPk4b2Z5i/w0Mxtz2JsWNHRwV1hJvuMx
uYCYx8q8LpswCcrDCF2hHfF5JF2bgb+HY5/X1TGJnnOg7s+PYXmH/DQwCxgEbwoxKBhDVYJxQrlG
ywAAWt+zfKUPaM3O7IrzZUdkksA9GTitdetvJVE3WRcCBVqtDGlx9VEjQ23phxTbzJSaZrUVhfD1
gAdsgO48JJS4UKVbachZHNFPM/OAJE+gy9oPuLRHZl6XqX+r83jT94pnoDZ4fpEWd8GJqZnHZUEh
NHXAiDoQxBQUHYLGShC3aGESPeQgDZgkjj/vMz8nPo80vExzGYV2m9Roi6QPf34U6DXT0Fxkgdxx
fkOlVTEaBUVsiigbRAoow61lp5ZW/tTCbBR10xQ8jzFPOb1RoxosBu99uzKKxdTBqZHZ1ZPo1OdD
i53cOSAiQT/ywd+DxmevOEDKOpqjeel1830tgljabWjmgWjHVA4AT+DnBYL+UyfzcgBCSoZ7s+wu
IirAVhVsCz1aOapLYRon6CmGLAmaU+beU0Lul+oAJjjoWnwFIMQJqHCK6LWtJq4lcB74JbgWPs5v
jsWo4tTqNAEnV1VI04pqANA54rLxQH+gCa+9SVzgyfeFM9UYo8cBsTF8upN5U5AmtpY7vje7NQrX
teHPXG4RBCO6I6YM/r7eZ5ADQuc3pIjX7qjFQsjpgGeeN0gi6JWAKgUSlY2XXqle4rZPI55pwVfV
Fj+qrOenePl0/FzXmV+UwC0roYFbsAU5YdiLG8KDa5UNK+53+t3zKP9kXPOcuq8bIrES7FTAPzYK
+1JSsAANb4UIjgma0Gu9cv+jcc1FRHK07OtKCLZVk5cPeSMeZc8vDb18/M/MzM79SCWo34GPd8AJ
OPavYfhCzBXfsrhCVAU5D6M6IXMPmess4EU75WPCoLQbLbmM0ugrEJa780NZdCbgKWaGxoEEm2ci
wl7vUmTMkWKqpp7kmKB1WjbgQIp2BLQg540tnqcTY7N9rnMZqEDkTKXMSaT0X+ypa10ry+eJgggX
BTi8g+Z9AZkM2qEHUNPRrvtmC32yHUTybHoIL/k1f9Yey9Vc+fJy/bQ4GxmJ1EKYBTZe1QJ7SmPA
EnAngKHo/AQudsqAGPbfI5sd3KgGkLruUN3rqB+4gd+CZqkcdCfpkh1U0ohXgHNH6OkBWO1jr4QH
NHYLW236lYthcdugbQmKlRTY4bneYQ1VJ0ubmLRNXl8QNPGjVdmNVTA6kbUYbtmUZYKxmzOUbWdO
OBj0NmBQqXAsGYCmGcSeoNJsta2udivuavk+Z4RYeDPrhmVMP+Xk4kHTAK5ADeU5kPKornyxnqcS
luL1jtE46iuQom7kCW8tFc8W3CSSu2BBn6ogZN4XYTbgBUpUQJ47zUw2Rm2CC7cqb89vnaVpPDUy
e8Smvt+DwhMcSJV8DKjp+EON/nGgC/Iv5w0tHYVTQ9NoTyax6iqCBkmMBmQINktUUDvJLRnWcg/L
k8YYohOCrtm5g+yYoZsgUQJgIU6dkIFjl6zs8QVvhb1AdZTATAPAiNnGQ26jMuoAgMdUqTdWAOx4
bYOqCeA9NzMews4Cfdv2/NwtDAomEdehpUkDlfdsA5IyQlEhxbHS8q8xvaia+/Pfv7A2jFC8IMF5
bqIAPQsdjdwfjRbdlGAl0C1QlKbp1zBTOieDRtWa4PjiWFB+RoQ6vSbmfSto8ExbJQKI2wxeWPcQ
ZU/nx7L2/bOx6IgeDKvDXIHc63tbp3d5Nuz/igmONiIOSQS4hc9bWQHLL4gRAIoRylF2D8aa7MLC
mcRy/Pz+mTcfobNhZAnCMAI62yEwnMTM7UipHAH22vNDWboTT2zROTm8EoyAeIGqGuUADm5jaJ8B
66k4yUfjao7+qIK+yV5zbMtGISuhG7gqLIQynydQBEkighL7TUP2jCuqF6jBPo/EpHTtJGCWK8cD
T29yH4EauUigbuSHIBNs1qRGFif65HfMAjZQSRGhN1hI30o3avnCwEjA2UeSBu75aV48YCeGZl52
RPtzNzDAfybKN1B2gnDGDYu1MGDRM6EqCO119LZBie/ztJY1KP4KDdMqQfkLQT7w6gIUChS0OKQx
xK9KvkET/PmR0SlrPAvm2XQBQh0E/Xt0DlHQeBr6Y4h7OB9rMEbobkZjp6VPRVpeCOUmBpScjxFY
Nt7OG15cuxO7M58YZpal0Bob1wQLUymuArDY1nQn19TUFieVY4gTuIqSuapi00HzOAsN6BmAFi9N
wFzFUvAKWXF6o0TJUzhR4mfc9BjgDOdHuOjJAOVC/K0itptfNFHDqCxKXDQWA4ilpnaY/vnLf6oy
/tvCbMOEVqamSVTCkbXNoY1qdDYprtbf1rRY8TOLB+DE0sylSfQ+16Zi4vaHKmXh66BVuJ1qqudn
bNmxWNASQEeBZUCG5PMJqIQAACjFYqGtf3SGR7DSO8ExkHaH7iObbyIvOq7VrJbCQ4QbP41O63gS
2QyqIaso+mG08xR05Qae4nEFVTo7sTs3v6q34BaOPP3h/GinQOOXk3did5rzE7tWWxRSK2ucgLSI
QcMXtbZKzJfCyo7cMEIQXSgroc/SmUPHqY4bA89CKD5+tkgboQLLjod7ajxP5AJCqIDcXgHx7Zwf
2tLWPzU0m9IeBB/Aw8fEaaFj3jdgINJW/NbShqQUEkMGxXMaA/o8lBoT14OiDzF9mu/L7jmO242J
atj5cSxVFZEh+2lmdsP0XamDeKHF9ep2HlS/WscCa6aDe3bHr6HAgn5P6HJvBoSQrrVfSwmuDXK2
Xnqkg5xr2iGEfaUdeI2hdhW+rgxxGsJ8G54OcbZWRMky9BpiraJ9Wjj6ptqCTGmrvmZXupMDg7li
bm1M0+cnux7xihonYK8A/DR6ECDtuzOc/Frc1wdw+bggA6Z/7R3P0JIBFB6BdhPC1s9G+yprIr2H
qE0KrQVL3VtQhui7v+CNT43MvDHlXc9NMMKBWSx1weinmuNGB7mTIlZ25Y+e/dmSodkKaRCK+Mv8
BcKrFnwAggceS37Ul8keYAJ0Qx6NH1lGSMdvppwmenzIRoBzal9CSRtaQROoY10tc8GJ4WaFlg3e
UqgqzM+hMBW9FjEuuUQHs30NDjqmTOyyaScurVV46MLmgTWgl6eSHIMW0ud1LBTWNTlDwBcUjxKi
pD7gwnq44rzU6Vj9Mr0oLsFTEkigm7NjJ3NaZT7oYx3rnm+j/UR++obb24u/kHvwRvY705suhsxr
C1vdgAHDrXb5l7Uoe8FZA7QBZkVTpSCAnOOZ+jaA2AeBWJCVRi5SrHZMNFCggGgr+X7+TC7OqmVY
EzQAlZv5rWuMYBcPxinLZZJ9BmgflbHbys2fsgK9IwhxTLjoqcqp/7JppVIqxBQQmkkkyABKsKiD
p+L/sXqzgPYXOzN/pgIdneR5hhTPHpwcB3bXbgavuYo95Sp0ai+6BtVi7akbsGsw3PWrGBU6nfOT
7fPLD5h5uLikKvg9RfWjfNQ9UjfaKE58Me0fw229+EbzJvyUQey11t45FcMvpmdBta9JAIyhl+DQ
+/gRzER26lHQmbrxARSkX6eGW/AjbiXIOe/US8N3u/XH4Wzb/vITZq6WVpwMzTT92njViftGewrL
6wpSYud30yzC+KcZwArxcsH1P/c7tER+u1TBFwoo6mObqMVEePX1vI3FoUwFMmjioappzILeweg1
3k1DYYhBxQAGwmYvypec+isJ9Hm31h+jAa4aeuzoG0QJ8LNfMwfelkVYVGCdD0EzbrxgB+15Ir/Q
rt9urPg9Bymg92SN3Uee8IPegCGnIvXu/HjpzPH98TMmz6pOATEyI59/hgU6AdryEIzjrrEFx+BW
uXqtvWqPhyG4SdbKcHOpubm5H0/Tk1CAB7mhhyUpp7zsjblvn9lBdVIvAQvFj8iff6XbcKvfAs+Z
viXI0AJ0uBde700u95/u9r8+UbhUPyhdXtGuWIaBqGf//McxfC1lhUvzf6Y/+/d/9vmP/nGdv2f3
dfn+Xh9f8vl/+ekP8f3/tO++1C+f/uFldVgPt817Ody9V01S/4tsZvov/78f/vb+41sehvz977+/
vKUhGK+qGiFg/fs/P9q//f131eRTLfbfdDaThX9+fPWS4i/vQvnbtnzJ3t5/e5O/XYGG8n3h799f
qvrvvyua9jdox6KnWEXmB1lAgk3Uvf/xEf+bDulAiL9Omn1wexm+Skx/8zcOHDASbQZB5Wt62P3+
WwWFmekz429Iy0O400L+EpkkCzWHf03FzR9e9Y9VWubhmVdSwJ8CAXiG7luk3A28cmYRgjIU4H5s
04/OKUH1fAPq8xqvuGFT1V69XefX0X5cjifeHgZRXUOWn0+BCTC7M38HomQmEXOGOI8WtKHCAD/M
U8CiWG9by88vtK4dr+OJbBWkbqgFk7CrQRCN69CmABOhLYxIttPGTP8GipTimFVtFOziFirAqMqD
kyqMoNjjj2b/pIBVdgfNOchSxYP5hetRDGEOLY7e0r6pnqoQRH2OAgYxYEgSCX4rOdGs2oYyAArd
Q37P3E7YIWoXJWmpayoUtKhMjVthN23YqXYLfttNlNQNdESCLv0qobOGluKMGM/gyTUzRwPu0h1A
Nu2NdQD1oBqMlU+ajJVHZYC2XNMTwIZV1bgFw33HHykJfBULkaMDKBqYuK0KozbszhyyrYgHMrVu
+ea+UroGFDCsakMHNPrdtSEycgF57MwtFVSHxmZMUntUmISCbWwB6JfyMbPsChc9swv0zhzruqQD
4K2SRTboQ41d3DVQMBIlyN7VPnmCond6pahZyoA8a9HnZ9YmqP1IK8iX0upBOw25UGXjZxJsDKOi
tVsjA9t90XT+URJeBhdGFhZepRTZsxhi5ZamqfE6Fm2l7hWQLF110sRvhE+OwJNVZvVVKyj6bMZu
SLetGoxXIeLjqshqNw718TLW9RgSFWWePRiWXz8UleydOolaCFqUGlK4OC9AWJkkRrtJGbdHKEqx
q95QoX+iFXVeuBxCJ15RDsODxhr1teFqeEsD1iNwQ2FcTcts2xb5eA+7deKpPiSbQMMOkT0QIbSB
BQLwAITSmhXV2R1ltXk0aJclXq0kDBjvGjzdWyYISK3rJmoea3SvcYfpUSYulDrIHyu9ZIZXkDGB
eHjpt09RVMXvYx8huiozcFVPzL/VUSAL9mGhOpF7soYqlRkWrxrLiicmWLRlaFg4Quhu0t0KzfhC
J+ZjXFqg8xtk2TtFpeHCDfroWVLZ3Sb/y955ZEmOZNF1L5yjD7SYQrj20HqCE6mgAQMMejdcCzfG
69VNnszIZMWpHrMGNcnKggMwmH3x/rtWgYg5U8ZzwjcFtKAbPJBebf5QDctoXkgw4zmd+/lqnKTA
d7ezEJALRWK7ZWXWdwrUXWgI8ERL4lBKRQDjF54Kyaapyh/8HRp0kEb6aZsudWx20Tzj/X+bmTkm
0+Za9ltNG9OvU+3ZMSCPNUUTlMfO+zy18qbHq/2taCooNDJZvGLXuaV11edKdeOZs/7AEhDIjo02
fSm6obvB/XJ6tic8e3wMYuqHAmnA/Yo4/AsgRPVE3wr7S1BVy8ET7ipDHBKVOTDX2t5XuTBfq3hc
le1FxoOaz2RtBo4ulyWclbnbjr0jYGTMblOHwq3rmP9ErEvYLlNzzp2+38WjXR1VdYGWnMr5bE2O
CvTXFFOkDln5LmKcy5ENrMaua3rvOcncvPSHuCFt1+bY9LVUTcNBpPLG0/mORFkn267Ora2baPpp
zHPzaCpmf6WXNt6jmOHJt8FdvJvO1OIXUDsT7iOi3cmEIptVySHqzSTOSHFsehgXM/ADbrnLGIB1
FoAoG20nGPD9piRYtk5T3b3Mdtc8JpTLG3weRXPENVf54aU6lo40ga1NMk3zFVbjfec7UxpficXA
DUQ3OmVr9vHwUCCbYIEX87dhySxIHIoN+gx6p+5oTRxyuPSbOTH1m8Z22p0zeIxaOrk4pdmy3hr1
Opwdz1F8vW3FfcNrPhZ8Jld9hV0kGTE0wUlTtlWtwKzApaQMpiq7aV1dgUHZlvcu+/NXyHjtHQF7
HxT6uB7KykkiY6k0304m85uZV8N2KpP4WlbuSK7QuMZ90hfp3WhozclKJ5vMfloO3DNUTi81IttM
cVntme7e5YVdmP6kpOm2WnFz9JOum4n/ZcbO68bNoXTidlOsbfOspfQIkzRer01RJPeVV42osHoh
sQk0XQAGjeY5N/pkZV9EMWGDygWMPUdvu3GVCuhXJfV4J4EEHOu4HQ+t5kLgrltvhy3mamAULCQ2
W6JRdm4rmiBXTAqCpAjKfqymcpNYVd9FXexRp6ik8J5KWs2VT+WjgqtXyA7U5sV/Ch8ZxTsta2O8
uNjnn6Vr9JjPZ4wa+L2Ba2PgzMtwGBx3OhhY8v4AdQ/GxMOF8nYuC8MKDByJnehyKFqgGI3lR2Zl
8ctKoHam7Qi8wFlXfD1VafZ30pvGfd5gPFjnc/W8lqoCedJgIwv6uXYbOloMcYVZ18VoFka3emvM
CatjESf22RrjYVci52zDvrc6ayuNPOv2jZYh7FgmCVY7VVxTOaogo02AgFn746cA7j9x0c9+hB/K
Mjg5Mh3MQv8rn2dA6kN5tE6tzK1n+y3l4CqbLQJjPy0U+mRZqHlPf3+tS1bwUwR0uZZnUCOlFXiZ
wHIvadRPYXyp5EUzSPuNwUO2RUxBjG2rMi+g6T5DWyTZGhgbd/4kAfxQtGA5Me1h8w+NaGavP/Yg
xxTXrrlwf8BTAb3l+db8ltdO8Net/f+k4H/olnbRM/+/k4Kb9+5//c9f0oB//43/pAGm/S/Vvgga
MPCzCIAvMyL/SQMs91/QdMk6SL0vubmt/99MQP8XSYNHsI9Nw0WaZrNu/08i4P2LuTn4mA4KBo+/
ZP2TPODX1YEPhEcvkx48Tkr0GB37QxFIKyE8LBjX+Z3qPTjKWAZzie95nDgvPz2UTz+0vy6Enh3d
Lopq1zI+tk8ZG/E8zN8v8DR3CsqqBte5XntG3pFyFEeRaZ80Pn6tLv11QcyNTFIvniJWR5c7/+lr
q+pWTcYJyNza0ObubOcb/vEnV03uE4nnf1dSe04/63//4aKu6VwMFPBxYtb3wyfeeSNDgD2Ps3Gl
CSe4hfKNDgRVQ+pcDO2WYYM/ZnPdDetnNa1f3+RFvojXC+Pb3C+UDtrUv95vs5QWrrxQOeq1eVEl
rsbrK3XK179/jX+4imddlGhoaCiA6h8qH4wZAsSJsTNQxbdphmVfvhmYjv3Ti5jMhnIysmcxu/Kx
ykOAbbbDiNM5XYi9k59FQk3JnDb/zVWQEuq6xzjlR//JvAe3kKguPVPMuRcYAYl5Zwvnk6tc3vhP
mz6v5XIvoHFI3jET/ahV0IS0LQObF7/XnsxKXmFdfu1M19Xy9e/v5vJ6f7sOWi0+Zypj5kchK27m
M07DKa/f8I7YHu/yqS0/eS8f617/vhneumGQxZsMFP26xmaLERUOcugIs3Uy0zJAHxmYpjw3poGF
nNMXkR2bxTc3toBCSWxzpjh9WBN9IR9tx38fOr8Uon4+u39fiyiDL9USKv8OX/mHs9vDmNJuCx0T
b4JNkikg2I1tRnNSV+E/fbhcycZsmgInPlv25bP/aS9RwN3nZYLNK3b6yylRClw70jb/ZMf6/RVa
2D+rCOAoCiEz+bB5ZGk563GaC5+xxcGfrfQlneunf34nqAYsDK4oXOp/9fh/vpPCSrzFvUBgpxpr
I5z+TXn395f4dQ+8bEQ8KNY8TRdOvt90g21TUBLRLja1SULL2ZvzndPPWkju070vaQnKrMsBwmoG
Sf7fX/pPTxChB/fGfJhnfHxPXpHGszbjKw3OxolGMsFdKaX68PdX+djsvtwhAjJD5RiDKEOf9Nfl
MOYyoVrAt4btSQj0sAjzGs70GR6AEpi0E/VT2vk2CMEBjWS0ZJvpyz/sev37N2DhR2URhy/3462u
PbliA+vFn4oVY0LVG1bNB4uUotIpsxayOua37ifP9w+vVsNGl/2f94vy9PL8f1o9iM0paVRszKmi
fe1T940H9CSSNjQX7dlj//HnVXzylRsfTWAut4ruWNdou6FM+i10mObcjnMKXNSxjtkcxcBa0Agm
IhghdM8RDNqmeq7FS2W00dR/u7Dl5zEFN3Gh8YamF4CaQ6SyACu+Lkdw850eDBXw2kNZTr7kqDSU
hw5X+HXtw6wK2uQtIX1z6b0PoA2K8m5Yb9xG3XTzGKp1EcUuBKCoNCNL7I0VYBO4snK81usWIom2
meRGzXbFDL7IvuohxcdVhkmQdXJRbifeCcit4b2P4OPrtAsmG/rDXIVLkkZLCvzmQGPBT2lHgfaM
hE1Zdk4Bv7rlaRry9lCl86vigPBQ3lxvX2ZdoMV5NLhvSeNiyTrvsrWBhGU9W83j1G8cWtsws41A
05jYb09Fv1+0a3eA3hObIbUD7Mf1oMl63yhvzeUhds9q/phqu1QFqWs9MTcaJdWjOdo+hC1Z3U44
sKmbPE2YpL0bhguf+zCBj56wcWjXa1u9jqF1OtpVAYeogbc9P3YK22V36JUkqk39AtMMUy/ZuDGg
BxTY9o/O3a7GVaHuVgCM6SD8gnHIHraJ+GrNhV/078VwZ7uRB1u7KqDFWylSeKbW6+feaw8myOK1
KK5bms4arjVrcR5FAY5xU7sRFIDRZDOYV7bUA2TtyXuVlguZot3PteK7UgmUgWKKvtON+DBQ9yg3
IJkCOEatE9gIReOrFEYoNNppSv2iO08tvL7Cp54bNgkkmqCMr7X1elLvp/Zo1kyPfGkaUChbvcG6
BslZWjRBPx51cZv0u2EEjAKF13QDe7yJx22Cexjcm7BXbqhQbpp08E3lVV83q/ekd06gFvfZBIYg
UuJXtdxpzraavifrY9OfdAa/Wn+ZQfsd7OIuQXxV3urFZoQbKAB5yKzZyPZthjzagSjvMOzt7WDN
ssiiqjC3EJj3VbdbhfQd71jLNYReGOTjlTD3TlkEqdWHLmWOGjZW3i2+6N8sWsT0o2tIRh4I+eV1
9b434z2AmrKg917U+zmnmQrc9c0qrUjUWLcwAm1ZymNdN5FSMFxrkYaifaDgvBNGVFLqjimbsbw3
wj6M3m3a8gjGeKPgAWEvZoBvIsYMwy5TKwpgVtQNalgCle/tm0Ltoai7Z0ya+CPm42r4peA3cKn0
4mu9gYgDAMTzdeWLHkP7HsYI/90aZtSc+naufBLufagn/LVX0cXAd4Bh60tp4dcd0rQXdx0TGONI
kiaoI3oMrjEd0318mX+4iotu1Z7aybMe//5M+kMsZGOrhsSLFtEl7fn1uqJfXBf4G4nHMsX7lDKl
66duLp5GacFa+i8uhhz0crj/FRF9uJjZyS4VBBGDY1/Kqgy0eT7t4T6n8m3bn9g5/OFQRzVjMRWg
X7Ldj4mcUrgjLKqE2lt21tzXxak+uZ3f3xnaOF4Yow7E55g5/Ho73qJ3lbkgcxCyGfk4erwlHQes
dhsKPdtkai8/OdN+vyVabsToDjdkYvx1eZs/naOM6nvaOnKi1f3q7Nc2KXeOs8TX//Q10YYm9WDY
AeUrTcgPV+kkfDiSbt8FBWN80YApW93bf3ENkyCIGSi6kx+FRvNQTm4P2BWeITYHy7QhLNvT3frk
FWmXkOrX9IZwlbshALAJ9c0PkUeCdaXdkzn70mYvGzEYYf9l0GNnECDtqUxmu0nOo79oRr8tqhSn
g1XXITwNQ/5ZlPl7Ssf1ybR4tIRCOBn++lwbpaBiIYgXgBjua3d4TN1kpbRv7/VefPvHz9fCMBZd
tIWDg/GRYJApGXizlpWytCzFspQzjYilDnPn01HI3xeld+k9W5QvbEJ4+8NySbLC6fmQSe7Swd5n
iH0honJU//0N/fEqOAMj1DIpk3yMnbWx50srLouSzQzT4qkOTA6vv7/I77sh1TEHl5zLrWCO/OGL
NlZvyouKLUP14PEWeqjIOSg/k4P94VaYPSADpWyM+/THd2NaSt46l6sYfRqVFoZBeHv8/Y384RLc
Ao/L8gzP4l+/LjVMzs1eF2zri2oVPmy+s61m2394DSYLTZ4W+/mFkmF8KOlMuc4QLDRTn82e7hFT
XlY9fFaF/u1GuIilgVO7SDHJcD++kWWsNDUjZarGaYYXnU3U18fPjHv/dBVcG9BasJLZ8S5//tO+
ipG/hI1KfrKu3yiwd/94t7sMYV5qa6j/0MH/lan89P+Xmlj1xqG8N7ZlcWpdBj8nCNmbQrafOdz/
toT59SoOzhpe0ZdE/cOB7hVlNWs9daPVYjftRXxdDRUD0J+NEvzpOhczYG6Kq1GJ/vWRScMcR7Vp
hJ/FE9GvFSs7uCxZWMXyM/bTH94OuhXG7nh0eF58XGhWY/W6hQrEvzC0VkD03WeDQX+6mcvoqkNJ
j/P84ynRDfkyeitbmNdqTCI8G8s7xYJPDu/LUv3lKPLQm6DN4QRgvID2569PrEvlMDuYQbCDkTIO
epSmF6Ilu+X0AiT0k6v9fksaQ9x4WWEZyT7zMfrpzIl+r8OSdp3sGj+9XWfnB4iX4d9vAh/1QAaN
CRSt9BoupwwF5A+fTtuhqlNKHt3cjsviN3L4YlqpEaod6VhFAbYBF+kTtxA1x8v8kDudFQyjleOJ
sbYPf/9rfjth8e29COscw3BYMMblz3/6zmbEf05eEEVbifa8dAAmRUJH0KqMhyL3Prn1j0UN7OSo
nVOpoLDBW/2oeVemRM95yIQwQM7VBTCWayxXo23v50qeLvoi1RGfxLSU9bwP7UB2KQSMqLAu06GX
0YwPW6I2ap6UBil/M7rkldM4GDVmUaOiRCIthbIFX+3gyhbnE5ZHZpFY65NJs7Ra/DYumKP2p1qK
bGcB98YVqZWDBBRapBocqlQdq6fBjmc4k3XegQWYhOV2uW9ms5YlviXmYeD4pcOk7WiHKOU+U5Aj
32lLm8gHsdqyPqq1Pa5fwNCZfSRoLLuUu2rbXR3UyHaSP8EiQRDE5CxNXIPib/IC2bqYt1BPhDgT
Vov5DPPXQw9SCyWHlcWMZ3ayisQZb0wBOvOpyq1a2TaZjLsDTniXXH5Ulatk9LKEDvWM7spD/DEE
nourt29MVFADpVc1IMZ6Pt94MRyVpbHlLo2tPD+gglVNv8ksjcZ42fbAJ+GgomcYnLKJDEWuZ5gU
6Y2Tl3TT/aFt2gXVuuqo97Lqi0NHvT4Q1Vi+iJpYKN7WijdzVmWuPiBSqkV5YSO6ECDjMgssyY8I
cdmR4z5RCN6gx8VIbctuzhy/Vd1lCPVCRRE7LJp2qHCRiRDqlolf1lKW4J1FH6b4wuJSncQhjiRu
7NPfn/deZnb37pCenQHYX3E1t5XYin4yw6ZbMhA0ZbZJlrTeJIh9whQWZWhklnolXWUNq57r8gbT
/YDma6doibWNe8M8tXPO/J6iov2CwkRfJQUVOLheGrolNGIA5t6x1SY7VElQfQt54NkqGvU8t7Al
La3GGtRy0khPYmfb1EYT9UYMyxtovV8onemjY8AcjlZEZFIwv2661NgPQ51tmthd92g766fFc5at
Bo13o2SiDJK1lXuNsPaa1nV3WDweyCIbRmK1UTmTPduUMCwtytNcbnBGHMNLhfc4q8UcVA3FImfy
lm1ZIDMRqMECw8qr0B40JtMmPBTlYur3WZ1694WVUzLoSs8vc0/FBCC1AneYCT4T5Gykh+LImxa6
vwzeF+m1/UGOqrEveqfYdqpZ4EfZa4FlDOqx0hrQj8Cp/mIZ74fCMkIvH9ZrwdcRziBHIStm66On
t9YBp1Ptfl7y/tQZfXmsHKGh5Ss0P57rmCfp5UHaCucKERClKGVVDlPVq+eknZ3QqhSTyLUGRojF
V+SkfXldKuuwRX047ipmg26SpPROyJz6Q5kPro9lSn+yEmYhurQedwowyWidSm8vXWvasajQnLGs
t8XqeccBHebJibsv5mQAXnTn6optkifXyZSxvlEPcuouZ2wAKG7npn3H/6M+5IYy3nmKqd6tlSl3
HtKUjc7W8EWvDGdPFSLfZMWUn+hG2eir+DKTNleuxqoFSeVw6q92J69cN23fK+iURwsSzd1Sa/Jq
nYc1VFKXUWwC64jyvnEG/iSRstnZAZvICp6VKverKORGisX1lVbTXpehorqHdcQWaqugsORJw/ca
6NxlN67bpSiWV8xqMqaNOvuoVEMWKrMqkPRb0wYWsvUkAKXfoqGwvsfOkmy1tRkPpZiQTpcjXtgL
hVP68BoijVaecmVMEaza076Uk7vX+kRhq7NTKos5XsGaJo5jqbRbKymc0+KaU5Av07TLkny8w3N6
2aWeU/hdl9dRMYksoPFdHRnlT09Wk8xR1g7im2exgQC9qjIMgfXRu9Gqonz3UjtF8e3mIGbWtjvC
MaeTPjiF+w7JXl4hBtNueEXd0cr60heVq3wBJmztcxBTGaRQcwynwha7Ju67V8fKu1CYnXvMzNRO
QjKA8usskvSHtY6qRgBgeFeNdHL84vLqWbscH74k2d6kq0yfG9g7wp+FMDR/AV7+rLDZqn6ijgWq
08pMjorTqQ4azLZzdhRCnIfMSK29RDtWRxzkbDAg5buHes7yq3U0nkfpDZtJwZ1Y0XWqylprfp27
jOlLFoZzopBSv8zxmDxqjiefuqyybxnFkZuFOguq2qF4TRu8hPy6iO0EWHQ54sEPV95MrOEJD8u2
DjnnUQgaZk7J12hd84k+SfbY19VrmiULPN1YPTYi3eKcdFwbnSHC1XB9U+1g8DrzmYj95FIsdzgz
28a+N3MVLHNSbIgS98XUvBemunE9JUH5a5+rGtXoUJ/K0r1C/CkDWxQ7V5Fbq9J3Dm3UwHQrd6P1
3cMYdyfEHofYdZhDQeR0HAomrnVjg/7y2i4XzL9aBm0zMUdM8ofgLexo6sp6n7b1cUy0ivLzzNSa
5x5tBcMbutlulE75rZY3d6PV4imt1rUaik6+D/O+1kst1FZaRQlLLplOszXubat5Lpf0mRl+83Ko
gxirs5PpDjCAaUYQ723a1t2pYmMm+nHUv2oxkvGKThg8ay6udNaRcleBbkvZNB7U2sG8n6clVPvq
Komn3ZR3D4QJSPccfk1y0OLyFpb67WpY93OZbBWqKQ6FFCVrN4OB03C5nJbJdXwrM76PA8bN5XQ9
xLA3USpvcvuroXZg6822Io4ZvEBfvJJfkRCWWkpDhyaN1HqNWK2XCtjI4ZXn/KAcVNKs24GiuC5a
ifYdZUAVKGnthkOBkpqRqJ3ZzpHQle8zcFyM3pJwtgfK1pUED1/L71YKbZSZ8lddG36MMr7z+oTi
trbrV+t6Tdm2CL38slQCqdioAzOZB1o9vnRFpvmqpTzbNVPui8B9hMm4RYNo49nE1Y3lCwcua5rx
9X7nE9nInLM7S8xDMSNKq9iEDMV5RuvBCV60X2TTRxPhSRnHBbCarIomBckjBoZ06N1omr0IKvF+
TtttmaRfKt0M61zxpxZ+Ur9IdjQ1SBz6hoaIHIPmQUYjZFkZ+sQ19BHnu2QXd3qoFmhZwEKf4BpD
3c7xRF7KaDWZmBqQLHYFL3nSz/1g7hFC3uopnYOsQHoTt8WxV2pOVZNuqNHisGYs7nvretFgjsfC
c0TQtgPtlLQqoKfXg59mAqdK674avTtNtCOKSyvee8wB3HgeAPjY6U5Lx00uF94zUaOhQxFpw8X7
NnWsQhUEV6G9KU7m+Q77fpB64m7W+681EPYAtb4TWIny4s72fSUY60qlFS1juUnxNfCLerr2cnvr
DYakhsDbmkbnm9mOj80aP1Wa/LrERG+tKw/68LUzxoWaTLpdk5MZdzB7R1o3nFZJEOvTj7p+VdZ1
Zce+rxf3XHsFElOLOYf7ylHnUEOwP2YUnNlOTvwHd+zKmNEV4sZWp7ehdJ/wRxEh5xe6yWxmHUIm
zAvtepydsyvHH+lUUYjI3eZgxdaDcMXXGcctX+h6H5DVH5PYDao0PVaTGpH579iwjwO+I203+UnT
Gxig6E+lKr7n7cLpdWU1dVB7R3PtX2qbiYPe+RZnylXNQ+7m+WDn5vMsqgC+5D7WeQGoegXQVpmo
N07CPKtSnTOqecbEGK3LNpuMLMAyWLIOR/lHRD0+qSeiYsdXlOOSXrfcnUbKlRM00tgLREwzKGU2
AQNq3QkMKTd50/LTr8qkvl4MUtDxpq2g16/ljhlPf23njcTUYUrH/URhJJEKNWHKshpb1ooriFo+
eLI8TGxyGnjEtVT8EkOeWjaLP/csyK6nw2veqkpCh4vYXN5MyfuodoiIH3Wika5CF1tbd+1YHHqd
RGFSn9Q5P6y6t0Gxvi3sHkLAnJyG7N3K7xJ4xH27bgZ9Pg5C2TlztStjd9tY9dlczbNrfuszZGd0
RUv0wIuh+B6d3M55yjk7mfG6r5Nv7uoFVjE9LKX93nZfXTxk/LoFaA8sajdKZ9N3pApuHxW1/kVY
WHLNVLyZ31CTL/XAJuZNYVo9Vnn/MKIUXpLSbxRnxzRFAMUtYIpiWxis93oNMlV/p5biD+WRn5Y6
OXnIcmC2gED7XNdis6TvROMbLFg2s3EZRB3DVQp6iFUkQQJXZhvFjrefY+nPReK7xIz6kISirQ4K
IUfZdfsWKFhD75V9+ZHAaD9SmekmiMXuKV/KjVYgxPZqKs1cfKCchgfOUjWhOqeBqL/UxBtW8iPT
mdFM4o02TaHroqBXhoOuviJFjhYsvhuz22SG6RvyVTFOlNR4/UCZxgdGafyRzVB0W91b9w15UeVo
cC1d+PPszrSSpCa3rV35nbdcDc1ThbKgdGMRpumJcG0IpPGtXTj2OFZE1fIoR7peW7nc68OpnO7r
aadWTKFMu3XY53MbWthJTXXsk9JfmiLbnBCySb7SSvCLOA6s9U5hYatKEXRaHBWACfLmyjXrjV3W
wHyTNxSKp6U2fpi0XMmH0kDRani1Q5gMya4vtQdQ0PlG7cjacuciMRm/meybmGiG6lgSPlCJ0vpl
w4QFs/s65NBO5sT+MQ37SRzGxDnRxbyhjMA4QtEFevOt6xYmT8+KZfooso+6jeVbpgS6SIKMga15
6baSs9ec7p34SCfJpXU66bv5Ui+ezKgwtQgsh28ZfWBXBJlTu11IhtnTMa2zt2tMsiatIBbDvhSM
HHRupNHv1VdxUrX33pz8ApPHTtFCl05+Q82jSpzd2r/3nqRx7O2n6TbrnyyrZH+8ZiCKun5IDLzR
+IpcWZ2kF83mFVNMTA4xpKX1zm0x2qEhrvv2MKoPOt+iloUmmV7nBUvynicwWLXnrtkrFO+y6XYi
vEhuZvlYF1e9qUemw7yF8tWkZCIIqFwtSqj2ja4Zaf3kl9YT8jq/wn6YFrY+XWoGnq+SYmYIK2bH
8XWz2qZNv5EJ0ISCe7VFWC0qQX3vU9ALdQO7oPGrOSLhKBS/YzqoS5ct+eWdWRO+OieU4XR8CmyN
tPTL2j0LxpySVQvjhDeS8nRzzH0L3VfgWbR7sjffqF1/MjaTjr6gelPLY9mexPJeTyqeRY6/Jj/c
t1g4nCZXdWb6BZZUGgNsHILreqWlRWCJIAPuOL9l6nGIr+cxsudNZlNKbQJnwvlta8akc2eHsjS6
EjKITY6kwG57/uqmch9k+WB34Ug9wJbKpsjY8iX56HeTypSxagH6glHBxci7cvU16pP5QBmQ6Yl2
rxf1oeGkYDCEAgAGlfYcdV517Azy22U85LoOlsD+1k0FUp4kalPOeuJPQYOn5svW6fZ/s5GFrMWV
7hnb2VUCCuhbdyX4sBBCCEi7a3UyvT3f3OyV/kU/0pt2QGnuGYj2UdWLXdzKg8wyRAfF9yZXcBju
vg+KdU50Fc3T3PY3o1wZGhTGnY0rcGNg5TWOabrJxTp9MZOy2DUr2Dl1nTdDMhzWMqcMkFaB5eQ3
dWcfqswMvDw5ZwaqodnZxaILKy3fEvZRwNkgJN2U3i5dbvt42jfGgykeXZYDKDPamfdlHR+hmkSt
nW8gvUSEmYdUGtBj+huHSDJNbRIzggK4vGgi95UKMcNPtIfeuknGs81d69LdMZvIPvQ2L8rFhOJc
NK+jdm4THH2cYoPRwDP4ML8S+AjZ4miN90qOzQ8INdo7YZ85B9vbpM4cSkkSbb2ozhJqDDrZuV85
U9hlkdkw0fLiTYEToxDtwpqJkLp57ZVnaRa+xhCbo1ycKUDAOSJM2ttGvXxlnBfJvUifLPVFtY9d
zHQahUrnatEGpEPRIG51PcwpI2rLgXjVdiZfjFvN/FqUy95qUQNR9JPzQyUwWDWKvRy9jV7w7dYZ
ekCYnr0ZlubDsG5N766RXmjEOelbs9eT4TiaX7UW7VRzZeaB7myXMjl76ytT7Vuj4JRrZspzPC9m
q6mu1NbVUu/q7NFx96V27zYvBju/TVK2rL7t7vL43mYBWvl+1TCU/WKaW9MIXe2FhDGWW48+9pof
yDZ8HK6DKdmN87XZ75zpMfOu7PR6MfvQG8pwHjbrGllUAWCGG2kaZTkDpXcxAhfLyn2vPKUtleFI
2vWWFToxURtPDkUxPnwOVIehqksNtGQGVJTtLtctANDLndcMSuAVsRfaBoeXm7gvWT9OoVHw/cyu
H2fUQ9a4jubae1yN8VZtyEspwMdKf6Brc2inatuLa8ZeI726X/BdY3ztplLtMGXybcaSyiypkc7C
T+GCaoX3hmvTF4cIWEmcsFRQ5S3nVX0ZmI+ajqj7AtnZftZtrB6NrdwY3VPrbBO5l5KAU7mZzFPS
Pkzyeq5elHJbl/XG1cuvWcpCVfrmyDDfTsMPldHEwFBrmLHGlhL52zLZUTa4cJQRY9WueHAWArrR
2LW5duqr4oeLVa20plsCu4OiJtiHDCHHfFCSzNUVXkb4JSTlqRPM4cmxDhWKnrpLUQEjo2JAiNYy
jVoV+179hqVOqGb2XhUEQWL5thrq3ViPT6uLbEWuW1uRXTC27LqN8SVxgFBMzJlVDBYrWsdyyJEX
DgFWfcw5yfUwxaufLbnuM2CfKOJmWCJN8HxeZ+mPtudnOqqUnm6MmSz7sn0wssdYEC8BGVzaa2Oe
gzq7vSTLTTPu4iWPGmUJB5iz1fSeKwT/KHATWUeKMx4KimxJXz3jSIGxLjYKu1yObK8TourhRuYg
ovhaz6qXlWit1KtcUUMJ/H3Mx5dKwQDMsLaD2oWp+X0Ux5Uo26nO66pv7crw3eWkaOJ/c3Qey40b
QRh+IlQhhysRmJMoUuGC0iogDHIGnt4ffXDZZcu7XAIz3f2nJgLmjOAObMATGB1nkz9FCjcvt6ds
eh5kP1R3TrKTwqBkKBSzdmgzfTNWwB8sHS+VY9UVYoUHzU2M8TYsVJJ48euuB/2VLwqGxKGr7zi1
D0Z7MpTW70brXkf3LMVTyIirtjkNinStHOmh9/I6pSEL1XgjOt8oxoujxT+65FzKaqJFzJFzAhji
b9AsYtxmXla1PtAxrWlLmyX0aI5fFEq5KiElNeK1llSe3uhbacz8ll6mFH99bwZx+06mKQ0B5Hr3
4sQ7XXov5M5tpO9xKraq/IPYhfDi1JVAJJoK2eKjtBION22+Hu7GxDyoT/GoraznsdlO3eAPNnfm
+AaD7joWiyPkzCNE0y/4sXhJAX7noNadldN3m3wa3byJt1nUvKZ6+JJ0x75aAjX64QZyLeWVcdiv
koWpCrM5RwPQ/YACfptnTdAP144iId+KhsgJYyXb30/3ft69t82jNHh22VY091i0YCL9Kg3lQ15H
r6FouQxItzQAOI0RQWb/V9D/izGmhar3Jd0t0U/ZTMOX6V6PTI+53KwAE+1hxWZVr9bY5jh+qO0p
VndNRBhhJW3LDoUfGTSwK3r1NscPFojR0TCLwK48+QL2p4lR82ses1IP5747G9qysiZ71zLBJJrl
JZrGNP1SsimrFJkfGhzHgW9qnMKzJpWvivMyGd6c3jt1OxQzg/pVKhlP8adGA8bL6tOSumMe4zvN
Gd0N7S3kq8YNWRT/bOtqw1LVqL2L8jxVMNDZo60/WnXxcHzunOl9THdtgz13sj2zqfk08++MxlMU
BjeItXnWXDttAGeH58xF14Jpi3LWePNouMY44h6PVrmsoy4FRAfATuY2qED5u7nYT4ruCS32YrGc
5ETd5ExdoVQGeJjxk2uMUjn3VrkXNjRSQ2YJ22AQuB+HxXylSpBFKnkopA/gztuxJ3dHhG5fg7Yg
UC5sG1V0uUptNvjGqV+lsFLGNamYZOtuZRvTJueAl9xACzrXhZhTMek7nFCwA9GhscOtHNJ2QfeV
Ir8lOVk0psIiusGrZ3SDACfC6f04J7kED+vg2H6SDb7OaavU1i9M4SPvgiX9kWl3KS6szm7DrZpE
Xtc6H+nS0kIrG0cM2yF3rrLzaaTJOV7CczQiZjDM7VPNvWg4Dqjws54ze8p+XspePuouhtOtkMOg
D7F9R/YttbgbE8kXIVt2kQBnqr01ZWKcLXIczktornWleAXg0FwzSd8H0wLisJgW6lnj1Dl4ODs7
M3m5xW9NcFPRj145JEehTnds664gHUISNcpUZ5X32VrvtS8p/SnM4tEYy2uW/TZFFMzW+DaNKvVI
O0UmOye0dC/H0XkcCZkxnL9oct7iAtdeJfNMnuXjMjiDH4mXNue6NOSf0ex/O2XwbFPx+3lcF3O1
U3SeYFW7dDRuFD2KUllnzhMdtWna2gVyyFrWjegREUeeref7YehPZVc/mrkBdjoIvXPbTAESKV3D
DDDASNKwWaJiZ4MrxSUQOkiapitrAP9rnzr+QuPaygO4r/ait9JaTPXWISQjvwzmZ+I4Oy7sdGXM
bDYNo4CVgL4+DTvuk38Cp37ExStX5W/ddWcR6yCTma9rvOlgDymfw6ZFyYZi09v6USimJ6ajMjqD
y6YneuTpr5T+xQsIrp1aH0spDp36RQeUmRAS+c88WnCBkseO2XvHZUIMxUcWgpgoUx7IkbVKnJQ5
YDqm6lvDkZvEb2eQI2JlDJKk9EaGueuXR4Ii7znwzJNJpy1QivuFXP5GfPUjpmj0LpssatsV6HYA
57Ju8m5TmoZXFoqb5t9D9sqCMm8w60CF4BpDc9tW1ZaMpgCfy3Ga8QqWmZfW5kVrWk8qm93Stp41
6WttjPxs6h6DROiQHJ7GpfIVsFRq0qFSas9qwNeq+MIeP5aOSr9AmQ9D3FPnJ6nvqZSdrNCAziM/
UxnpdVtPX85zZWiIUsvnCfZ0+avSqGfs8Yb9bdyG075k6t4APijaKLDmxiutAqFsumHP0IYK4o3L
SOjKcEgSdSe6McjH69SnWz2+Q2+5xVzz1Sb0ZxjFouScZMl+6Yuz2rwncr2a+om0ui4Ykif4Ex2k
pPdr4dyaQb1Got6oQPMjQze++ld91let9D2oMKY23UPPptokhlmPux0czKqhQ9OT9kXTaAUY+huw
F4W2qbADk0onoZnXWkEEcschq/wsI0gUsCSop53oLa8i9KsuI9+IQu6NST/2mbGTFeE7lYZzJAoW
xiTCWAiLWSWG4U751WjDqzUN+7i3Xk3E76Sa4FNakbvh1S1MMLge+zmhF+UPVgytahM5xVT7M+nq
YknbVS/4CJ2kw6P3ylU2sh2L+n7F0v7r0+GfcGaNbjq31vGEFX7KYaaExsLCoZ+/sXxcnak/jXxK
dj1lCIttJhFVAB/B50xgg9j+89wIGgsVf1KI7HXM5/bMmrLwHNfl3dbrIFcwz1kFpT6vb9kwj26r
dp89NiPqJtYVnVgefxLa6xxHP1I1PaRY/Jpl9QCG+J2WmN4b/V9Qj3WI7IIUGKumf00r5d9I4I07
PTW7yNN7X6vHIZDg4jZFJ4z1CN02N4YX8qirpjeCmF2PTO5ltkYcdHCSiaCbtPVqXfrRNHExmyxZ
Lzh/iip8yZlevJYvlugOVGy2E03rQuh3deTyJcbj+VrXbDedLWDVHlBSK8IMDW1dvoyRBvzh9M7/
F0Tdqn+V6CP6fTYaiWE8We2kgltaEP2yKbkD+Q7u2FQ3GcT6iQpdUJVwIRoar4phfETJvLZFeOkL
shoWlv818iZWuX0L9RViDwZIW6uTdTKZoT1FmS6RKbxw0F8aDfi+oBTqY/1XytYtitRHZCfvrKJi
YZtDFoQhS7u4KV5bmt5VrmV/iSTdtXF8w4eC0kTMd7J17jlRM17Rm5Ty8sNKUggNpd+XfXJHwnNf
Sgs5C1kRworOho2eBUfCrg+nAC3DtkBtAChuvZi9OAxSe0nm8WA2ww7ChpSMvFyn+fKWlISOIXd9
VWPLGyKmyEEKsNm9jBnQY1gF2AK+7LG+EFnta6lzkUlZ0aeC7qDehWL6UGjsq7IFgVH3KZCkFltb
pEAP24qPWddcDYWBtFJU5NuydVCnBdJRDSYcMs04ujZXHHjIHefxIdGzl1LHOtLL0LGNuRl12AYw
CuoZigpP6fObHUXXIZlKr1Htfdlm/+IE4LgtXFQeL2W8/MGFfOr1vCnH3uu06m3A7xLFJN9owriV
2nKbJ6gyc8nClWSKgxRy42hIO0yNfdVz+OaMylVT8FfZ4mzmOQF78XHsoq98ZG3TOB0a4M9wkrZR
uVSB1vdBqAIF1P2WCAy/XXpiOZRTpUZ/4K4eSb1b5Evb1pqZgpccTh5XbdvRUuQ0OnEvPeNkTgJu
16nUTRhVV2GT51dRX5Vk3TT2NoWpzaVpJwl1g1DRw1CqraKOHhUWQVLtgyT1H0lm3msb8kHFrQNU
CIrGEIdj8jyrgtErWbfDEMRzuS8lE5q22IazsouBfewq20xZ7tosv3qSP7A+snhZ1DAooM2j4btO
tIcYN90Q+RMOrITqp0IZZnbmFuZxaOh9l8gDvzhKQ7fOczzxtno2je61iMvtNOTXVICk0GVGuLd6
Rbpk9W+Cr2gwSL1JbLGeSsOPw+JKsuuZm2mjJj1yIO29gY6RSuvRC2nTlDdreTfKhyP3r7IsBVUV
ftpSFJSG9TKqF9Spp0ibiR9J9yNM35iayAYyH6Gdu8zWlagwPzbzLeuGdqVZEXQ1QRrb1c6a503W
la7jHEi9wsG6eMtMHLtluyF9YOEka1XCM5Zou7Tuqe+61wnzECX/1CdMJ9U7zYTgVl5b9grO2Vrt
UIZAPsSE0lgzDRaHsQgRkjtwZg6fB7BEf1ki5iSYvdJ5k6GHGzADQGje5xlvir7rwvBY2OSHFKrX
UkV7NmTLiBfk8DfvnWDK9KDWyNjp6UTqwi8s00WaD2g0IN8BBxcgd8/ZqKRK0u/z0P60qvzKJERf
/WzvGutI2jZMIpHOkNCL2KD/AlmbOdjVH73jtlHurBrc1Pymrfki0th/yqObnD1K4ksUj6pFtDfr
H9p0mHsebQ3PgIxTlCKIU0jHkRa6BohEOUVpCWY8mmP2mhQ63bMGRmB5KtRL1xKbgggwLDXmwKej
M9lUKjrcrOlf1I6ypUjbKZt2zhz7YmCRrZQztTUICTqvWtB7aQc7/yARbdWWsMALOhTlEGVXZcnW
MmOdVg5EkgGvZyM4SUmPlpFhXVLc6XKLVg14rVfNyAWOv2wuVmX3bQ53lBdBb96eUFNvNytD7knq
YR9BLm80WXIXJ9439P2lnQdRwYXff9fKXowkw2f89PJtwfNEsvKj9ngh0wXIEHatDmGWO3RqJsZQ
JfqnEGekGKNfJOkhWWqywGKfnGam+3BbOM/IvAai9S+CExqrqzk03xJRcuXo0A2kULkEywBNISrd
2/gjq0WgS3S2dqWt0eV7k3XTG54DdZvsu0BusawO48pR8q2eorHjFFtEM5nVVx+/kSazTcBXlHDx
1Qrx4bNrmamRLTD4QIuqE0+ELBIVwAGZ2C6KVW8ZuFbn+ZMrzKOCH+o2OshQ1IjmIu0dkZo0vg1W
CtWXeoYcBVNrPep0+ipMK6aH7Xaz9lBm84/bcSfDMLSpfBzzNGAP00rNr8r4Z6JXiRhlpnRfF+5T
2+C0R0fAfM83mU6rfD7WstwUc+iTlOBnxmsIWT2+1FLkTsUxBww3OVxdxeLWRKqjFZr8+yQVj7CR
/yldHSSkF67mEint0NfHvlzeVJHjWXTIr+bL6qVxM6nN3yip31m3n9MJaioGTI3HkMsCVC0VrlUs
uzYzCJl6zaSzZQNmheNhZMckYSUe+muUHBpDfvuytNlmWZ6Mz7QvKh4uiyIzmPHO4SbScjy6z2rY
A6uR25U3njBpvwisu/dF6k7W+Jfqjp+b9c6GC+FN73gF89J59CXy+/qDV/0hEONVPNoEknusk5vZ
ao9wmjmWoNsGeWtFuGYJ2ypLsvUwNCtHv7fZS6GTK4bZnd8dhGFfRZukO6TPtaz2anE2giknZUpA
1zGT23GIsaR28gbosu22FOqxdOWzOaxq512t7+bynhPZxaK+1aLj3/41oEbsnWlcrFLxQUu4v5KM
pK4FugZ4+9JN3wspdY4/qV/KfIzNYIBQgbKF/J0vxFGzI0BArh+YAnsUNbRz7Uj4xBQ03IpaMbjG
v3x+z0BP2l/ZPpDCAg6gXER/IMowDH3OUpZt0/ZbJ3F9DBChr2ZmQnO+q2zpRfS1GDdJ6VdKtg/1
zzan11znsHWJGa/H6DERoKOg2mUbg+H38s3W/k0pCgfMLidpHDat9YnSQWaNctaSbtJvI3VB2Zm9
28W9o2BKxeAn9tlgoDTKjTqto2iv5ete2gGerzLTL9OKYXCtD6wMsOdzJ17pvFyWQXi8wERElvOn
1FzN5K+crrWxrst1Yt4NcXoaavNVnbkWJt72R9Iyr30z87UlH2kL8+XbzmoWEODhmwjvX2faYSwA
LqtX0hjT/IpCIJV6VxkfY+XS2hXGT5IwEx2MmnFCKlaiFevkrQ5RdhLx85QL1XsjvDfGtpf8zPb0
IVDrD6ZXmZCEsCY4rQ2cZPGb8pGVa6t8saTURxhW2Fs8uy1MsM0SEsVjuzZ+fb8IWTT4Zyn+dKmY
qaz6lBnepNwKtI8orCzrODfwv++ZUbvy6KslsuZzpj66aS019158LRbwgX1cxmOh7Kv8S251r579
BIZfjd+MgfQXhoSCqvk2JesssY/5EG1N6TLkBHQNKzRYF2BUao0bvkZ48zUvcy79lILYbyie0Oxa
Qme1LszPSR/XyAJXXbmLQSkyfqgDG5IgdNLOcB0tckcU2eKqTO+Ig7p228c3MhY5WtF8bP4VI96V
gzGsexJcQiXQMrRdZ7O8N+qaclkSNclmvQiKP97m0ibl9HRA9u/VWyFuocHN+s2QszWhzlCXhKjv
tE0o1bwAl+G1FRfeFAvDgaOdAZ3TKuBzGWkYZAw6Bn3bGEREF6Tl0WoA0JF7N3s5f1P5dCK+ivKX
GDlAAl26GNWpqJCxxHkQq9t03HYt6QAXJUx28+zX+hoiZaCIx4MXWj9INRNro2HRV50UDPogyuR1
GVw1Q+E3jXuNh+7Q/It2XkGuQ4eS44CUKhe+kZPRz3eV7hXqx3dPkYl2WkHpPU32XRqIk/JQGMVn
CQVYJkaPg1NljEW+1vtTsxnZd2EVx3a+aqBfuKqQrC0P9hOHz2ttBGzIjwMUtdytjfHQOb03fEXL
T4F7IP6DOkEM7csJyhrQR8Ia3sflMrebHJR30vfPNwu1gDc+773q4aBtY5cNyQp/rcpqVqLtZDQj
Eb2+PME6vBrNfpg/NeltRElT6r/askXK0SQBkXsFZurZ9my6sDY6Kv1WQ12BGjDm63iGcNoXJdor
5S3vyT8wT8n8nRaHRj3kExHl01HWIZK/Z9B2iwMd37IxUGFnhlVsnm3nEWWBFHsmMOn4Jzj/GmmO
N4fwanljKi9Gf8iRQ9FoOfjUY7Kjxl0nWnakz+jifIPNHfNxth7JuKFXKs2gGG5Jfxj1XWF8Ze2H
VQVDdBbph6EFScjA7RvWjQBZDFJN/jXzZupr/lO5eKYIr6HYku2EYj8bck/ouzQ+DOwPkPTNhFxh
Ud4J4OwciNyQFYvebG9L5Nh4IfiL9eVzIKGXrIfWV9MVaE6xPAr2OHTytzx/WO1+No6GAyt6nuef
Mf7XyblL7SQMpHTWs+oiPIvRZedeLh8GIhQL+RM83MxczSZSYvVEQLj/jLOd1h4GHob+25Ds635D
MpqeMhUBY4BWDY1rcf0t2QVIa1gOvY47AUr5O+06oFR3+cDZ8RTt0DGzf0Hzgaws2S/Nb4IrvQZp
YC+d8+iRV+9VDK4MWzPkyyktg7rFmwJmyAXtRJ+x+o9wtiI7ketKNdoLeFLn7mivi45A2AeXX0ns
eIjxB+cvzfIeQUoR5XZg3bsXpdeQkT/BzJsP/1pGs8gT2XZOj2a0sbN1XrIDo3+fea+n8COzf0f5
J9G+8ho9B5NaG7111YcFIeNcp6dtBWQX3Q8ZS1u1XU8RQWNvkkrCg8rKL3PDa4d23Zu0u0DG2ej8
KQjqLcvX+AeCvH1Jp3FnD0VASW6HQ17+owXyDONrEe86xCriovw7xXIMVLIC820ibudys9T0WYXD
8o7zZKoBTCLqe2pw3L3GwgqUCZnm/BENH8Yw+NMyeV0Weila+VbDyyoWcooP3fJacHHNIH00gJkS
pE6N+gpucHw4kUUDwXI2W/NLtJwWQ1RToE80fFGdKrTg6FaycjO+ZKZ6hrYopXNhBBL7vxTtbpI9
ZelHGAvt3ZK/U97DzARE1T5tuJLBnzv84X4HTYUe30ICRBqcmr6a+aYVeGIuTnrXw7PZ3VBmZOlO
U+5m67FVtEbSAiXEriPkcQJ+X0a45EfcvIk4pI0RFA7xKzijtD+FRwOg40bZXm1vKL0RKNy6zEVv
u14mIozHSV91xh9fXpyedST7RBJ3vKSj9sHvmxx6Cc6xcp3wFObX0LnL2rUztopyGs1LU73loxfZ
QZS/68uxyTl/frJ4kxxxHa7EgpaBAb0qD1IEU6m5agTdTnHekC1TWfei+lBoOiNH9uzCXEngjbDH
auX1yFA6arCCEC22dkN3sqtmm3Z/0vA1RdcK8HyiIcZ90Sa9q+v+YPiofcRo81BXIoUllr2Z0JrE
l51DYrzpPYndfRwktEpLq6BL+2shgwf7yuuE/qrmKTakUCsuvoaTmAFzVUTXLrbHVTHcZekK/+MU
56fINQTWfhIO1wIDQiIbR7aRb/JuLeO+UWjBfmXEe9lnb8U08wAE/5Txy4H5jg1tbXZ7u3ozgVBk
v4i82vZJgoYvYHrzgGB08q/TSXijtC6U17n8cADokwbhdXoOU420YMTBIf8D13lM1SAHJrl18bv6
lrWBbsJUCCqwuh4HLxWvVQsn3/0u+W2Yv7ps1yCNA++JdWJcnJNWXRbjZ07Jh2FX1r+nJaq9jPM/
CHU3nt/1eWuHPv6g6FknoFCl+ZGQrxAzcLojXlYdWMl2nyIIFHTqtp/2Mgr9VNujQnCmv6KDCJWY
ZGsfGi2U5GOSpC5INSIyj1mHWKDZcRV9U4P7k6yUKeju0WNGzUlC0DzLntrMbq89UJMl8UZCYjeB
T5cCivbJ8TQVs0Hscm3NShCa90j5yJlf0VD06G9G8Zc3/5ZW8hTrX8odpULygiOTE73SBpCmo15d
FCKeYpNugddiATfxOvVnIiHMyNUgTT9HcJVaXdfcTjK2Rs0f001av9p9xxuzVyqq5kgHQxoO99NI
ePdt1n15eQMWWIPQ8+5BeRbaNQatqzdm/WkuJ8kB510V0oei+Or0/Kd6lYpNl+4SmYNRABZV66b+
EulZSU6zHizjuO2HD/wJCJXwGbFFsAMTYKDDNhZXINtkfBvPvrlfdcVRVn9KdPp9euhBP5sAkcZq
5jVoTagvcSrDv5S+TxFZYOmBVV00dFHN9MW1YfI/G/4YcbcTvlN64F7LW5du+vKeRP7cI6fVHnbx
oTLUIteL61dL+VOrS+ucEiiwzjGDsnYZW1tk5OpbCN6BDQGGL6O5vJqpy7rzlQ6hW/DLVKdR/GKi
9gT65OVUKtyhH7p00JPSg7pM5B7DoLKquCyzhHAuC0wGLMnaFPZDbVbghSZffdLctek7j18s6x96
AjbQXu0PPEZmFNTZqVl+SbUnpx/S1U2KzwxBa9U9opjyzadg6GcVCP1j5EmUcAI/b+0AvoHhJRhe
Kt6AxqsRgPSGW5c7jEKrNPEWwzPbP70Nsn6rqO/tQhFxUBC2p8LyppOB2vOp3lQI1lo8I6LUtzwM
Yz9xNYaMCEAWUb5PZu7F8UdZtmwCkOZDKk4NE062iiPbHZPfNOaV/SuL7woJi7UoW6H/2stn/G2g
jlClbaZ9xizrNPL0oHdrzGp+83yt35B72tKLVHkq05KNmDLvbunwOSAm0h3UXWvFPs7zOZk80wyM
mRjQcJ2IQEbqnIxrrhVF/oM6yaRjKLEl252GG2PIAEvdLKc+bZgRib1iDYERb/q6Wjtp4qesYzDx
dTAdKMqvGR0tfqaDBu01VLtn06xXdb6x57UZvfXhQwOELizdN7nu+a24R3UROMtnVpEMXf3o8X5Q
yDILPZmuJMm8ZIDyiomkrzYyfyAh9sLyneWoma/9uHeqixztQ8iM8GG8oJzrxndTAm+7Z20NdRwU
MUMXLO2XjiLKRhrHOhpg11v90/W84Z/x8FNqLslmZL2FxwiBq4Ke+sE80j/T1zZ2CC7q1vAqA7ge
CgP5UzF/04pBGIrGNYaHVf00xquWbvsmcs1+V3Es1XUR3ozlFHcbJwXhPSpQAqFOG/J8xKR56zdr
+EqTrxJR3EDK2RAYZYDkTA1djjwksjU9xmxrNFs55lr3FdslfHTEcju5cMktQJ+xpYgvJn6TBLhl
8QWXKW/HXG6ZV7MJm5fXty+GjSF8+lyoT3x7Mhe1OJJM1qKOFZCx5o0Rbwj/BMC6OgCr7cKwC3Rc
5LxPTsx6pyvCVBBdgu6X5BRKb3H5IQ0BSJoubnGOSar4HDLoh5sso3NcG9j0Ju6Vxmv0INQvtn4a
FJ+szyS7tvMLlNiQ9ByrX4G4bihpWZ++Ji7IdEiCsN3QiRvqSbSHuftV8MQ1VPeGQ7P0wFJfzwuQ
/B6vTAD06kdZ8ksBYWr1E/RksM0/rfhfpYidWf2zgVi1p+0ACsItrUvB8IIJbFXVMOoUKKQYTSDZ
h7oH79vkBDT2QYVsl1cJ1hdVe9p/SSFqmm6b5r//N213xX6NSfDXga+9nFi0ljuXsBnumz97fqbZ
PTd+MaunD13DyHTqQQUJq7Pj+MRcHUMWK9+kG6MqOmJ81vKNU15a6TxwTUt7QgzAxQ5qS0+B2tfg
useyvp/CHdH69uiNP6q16qvfRS1WWSc8G8X7CHjOaGmiABaPGVYi/lnmHwtRQE8zmdcHlUW4xbRB
5IF5GSKVI8tbuW7Li8WEmRo/EVi1nCqu/JjFRbS3sdi0CnLITahdCwcVhHONSm0lpWSuUwUFOteh
ZxSsS2+YUJo+80cQNmA1a/4087eP3o3lZkQDn56ExeeIB6ohxWRFtLIbKtExYiM58DsuMGcZjsoD
dklw+PpdxNNCwcLkM2AVQLELqVDkgf775Cs0O8GPi2FjQQvEDthXYfqq4+piD5EwGlD8xAW9G+1x
sa7xshXRsbIfWb8raR8lr4s/aiblfCJxVFvJF5xfvBf2BZ6yJycvW8/htNL60yD9WdopeUjsfg+x
OTXIYqBCUx3xGZR51VJrTimy4Wn0cZ8xWNkt5W5V5A0EwgYurnxtAcu7NHGxcUvcJdHGuULuYyZi
4zstmN1sIFJdBLnY+fmBVn1U+a2Un64+3A1+J32Q+ZgOLBhgznDDcualWQg0uBaIC6iTZnyUIoTb
v7XhR9M+wo89FRN1xldMf4ZRrG6hsHEgYc//0rVbNa1neAJMgTrANXYllFOoBOVxH5WcC1RJq/mY
2q89ZEmIVY6+rr6j3tFMWrfPEktUNSPo/JNFsGRMIJs2W2sOqm6NCeHUM7KecLl2w3XooGSkYy+4
Ar2meIGnkyZjw/Ic14GTVoIk3pJdsYrnQ2x9ptpXrL+1y/ckvTjjP7XagOMSB7CC1XR6clJ1/MH0
skPzqai3uAsBmFxoAAA/hLdBW++JBcWF4Tr9WYclM5JdUa9CjD6GIKSjo7apNwf+O6m2ABhDP7mW
wb/4pr0iHSPr0CyvJexOyU5etBuR24Rg0iay6gKDzUpV9nkchNlPqQYYd2m1FbTjO+tmIfwZn07t
b3k41t2phAEM619NxSgIQMoQLsMea4iE15H+IJKStjXXf/i61j3HybS/K8lPl8m1xwrl+JUiQlzB
ouzH/p6S84gKxkXXxy7b7qP9Es0lyU+TOBfLPx1xgwbTVWFX2cWAK9beqK/PbOqZapzCCaF0GfYt
GhWgDw2L4aXSX2yb1qzZqMauav1wJqcTNnfYRNVliP8NIqK2DZzowU+RIdsREoHxxxAbXBuDfbDR
baboscJoXo0QjbE9BkXy2ml06/mfPu1r+RBnfFvORz0TtGajp2fL9lmu3tuy8vPxhIJetqkY24Qz
V46b1lYP1ngR6XpCNJIp+PTDR8FHcLKTlByfk4++tYctmFmWvcwK5hnjrP+kCmt62qs84G6X8Q7t
c9NiGwYn7iBgKORtvtQ0VjaepuuoXJjnKnFJcHEBo7smE5R60sLAFr5FxqfDxgvJeVWnDTatwvwu
6cKpyYsvcSVWGDt6eIEOXE0jLePBrhQczF5e/6mjjzBNZQKfueT7tvVl/t7h/mE/b/VcTz1tyCVt
cv5sTAiRl1RogsUbTZMMbxv+X+V9zl+vwfQplAuqWPtE/ytosta45obXyfY+nr5yXOpD1aMGp9yg
8mtRdt+H6ZX9K4GTqaivXGH4qY5GIvyRh3+G8ZpbVxPVKrI3+iWwsebN4r/WFyiSATnFc5Wg1zdc
XfWO/Twe2x3XuQCoQGvRhqVXxUf8TBsR199mkn+FzcHIbtl0NIGZG+4/usX/ODqvHdeRJIh+EQGa
onuVSMq3XEttXoh2l957fv0cDrALLGZn5nZLZFVm5InID9gVXfyxkY2ZnmeJQ0o91GxRu3vZJVEr
D/6RfknZgBs6QD47+fNlVvkqycxA9/APSv9P/JrTWTE8Q3WbDP8Cn8qf/adP8dpIk00McTxdKf40
xBbxatTHJuFp3xg9Y/yzUW8VbcAx7ba5ulP5bzd6QYyhD4S7qJOtXSa4iOpXmKQkcqZIc7gRx1Jf
xQ3XXx3hpuUsn9Zx/tXGh6UQCTPq9UFZ5ep+iFl9QXoGTDLnmNhP4qmgeS+k254fr6Fs08VOhoLb
5eC7LC/RrOP43rY7XVvb+pH5kN9/W+klJz+VFIcsvifWWSmfDO8AZYWxRMByeBD5Kzd8BQc7u9T9
TS12Su8xPipTzbX6CwK3Zh34iP2ITI1bDfQaYnyd270pXyT5pefWB/xhdmOh1qnJz6BgpoAUgxwP
ytMQVK4R9+uwOxvNS4LIrjTnqDtNEUcpQkMW/8jLmXREO2rb5Y5dtRE5xTvDWhZrwSFhkZ4fuf6h
6iWiWwLPSdRB8qbECXPEHwaV8GIfwbyz4OGwUzA4PAQYYAlHsDx5eLbdCb/9qskZwryXBQAhp57Q
+WqvknYh4AV4jzGFuBj9lTjagCpBVe/ivdIf8/Cl+iwDcnt6mOIWpq/LYJaMVM5PEZBS44bFd6T4
21yXmS6/VeMzzG+DfzNU6hIayF1b3SdipklGZmNbN2BHXs1sWCIloqcZZkgtQQ9DQA0XH0E7d+eO
QSZsQbrzUV+ta6IcpOk0EAhrPxohvLI7t3WD+EvR/xtbyC6Kl+Z/qaydWh3dC/kfGv4Ya6NjW4Or
zOU6xmHpC1pnq4CBJGCX8rAS5lol71ghhmA7w9pg8eVz4OxIL+ZwixVnki+ROJfKsSP3N1/FeY21
3c00cMZ4bbXrWPuAiiZPp+orp/8jGiJD9KWk6SDDBZJOyaOvlG8qxsPK3zXhMae2DoktqJtoJfxX
Q3dZ+NvAQDbRu82pM01XPf/Fn07QyQzqxnQUol4tz4z9qyIELH9mhadaG58aifO54dpYnDsvufJN
PgO+y6A71tWp/52ViRymec/iIw/hPRNP/sq2IQWhIfnBgJvIoSXwe+N/t1Cyow/4FJ5/nfvGf4T2
QeYL4rYIjVUb/yuXI4q3vI7/suKTD5W5cB58tshwSbexFpaAJPEiO6p/U8FElpsIdlSD65QZNj+I
H8Nfz7SLEQOuJZSHvckbJlDTroXN4cNxhRdK+uLJJI3KnJivekq1tY2bhGBZq4eq2si8dA2e1ULd
4uFLMD/GOrjcIoUeZ/+PQsRH8NCztVZsqwSm0YHEniRuP4RntkshbFdbbaB9epjlj9YYTsQpjb4x
IkUMX7xtJFpo4h8zhyo7WDmoA5AGb+oB4cqON2n7ATdCvzbGXo7uV+wnc28zDsGXlqiQ2oir6aPQ
PFO+mfwisQmpeO46xGkykFJuwt5l9qA+w6Y92Pankj5qVpOnSuw1VryeXsLwXNJvs3gKrYxYZKtz
a/kc1cQRl38dwIDiaCaLmyDjlbccqjDtuTLnZ2w84/Ey++927eXZPmiebUz5WFzDFhE22S8ZQnH5
KTOeyCtkgbY9ttgNY/1Ym/uyZMWzdq+TEnM7DYt8N5kdx08tfMVHbckM2V8aKXFM+VzO8FM30AC7
xvF68XWvW/oM9aL9X/Ee5eh15GiyDPqP0RXltGEmaJFIXdAVgd3S8r5F5lNFjZvYOV3zOw+uGb/J
wYuN5aaq/ur54PMJoBP4B7IF+KcMi4OHNdgk2rGkz2d7nu9vo/gW4pHL+neT+YwP7mI8LThFEGKs
lFywBIvLyacUXNXqRVRPa7wmk1dau+Elzk40MMSDDJE3cz8V/3JYqiLZ4WVE5RwyR52vGSGRonNl
3DsqI8k946202aoPuDPN2M7Gpi1uYnQzhWbfHTVGBQ3CM5hl0X9lEClBfpcqxsxI0caZMRVSZc+I
Y5+PfxNUzXglTUEdd6J7HbpPNYeC+SIwzE+3Gsp1UD0GnUwkdV5zUbi6aHaGuIzGq0wIhGx/FQmm
hFuSUUyMrj4hX+N3WYt3m67Orv+RJb0qrUdavrCnMBx32vib+dvFmKJPhqNE22n8s/HdZcCg/Al4
bfSXfPRpOICMkr2KTzoJviEvMsoIA8BoQ/kr2UDfw01Lwd3zbYzzR2t2efgNBRuZt2RpbzaEFfis
caSw5gOO4391/w1fRbb4onMG2WkkXATVKDS9cqT/xl+KV7RPz7n1Kg9Xn882A+IXoPguHCvTHSY8
ZLQNHv4XP3Jt/dQymovRlOs1DNxa/WxpTUNsDyz+XEtEgYTpJYLyVxqihN4tea1m7kRO2rCBtu/i
mxkcsP1F5bdk/ugMsQEGGfULjusm2oTRuorWIt6q4j7NFI4t/MCriLD7et1HGaOoX0YY4hayRF5u
ts7F/TAE1yqg69lN2q+W4K+CZEUAhx+hQezSexOe+o4jhJBC/46GIcxqZRW3DDqnxPrlZdEWp+PY
XPrWd+z8ZTI0bPv/YKE2zVBCcTXkxtnbmuuyR+qfk5u1IOrNp1i8Up9atci2rAVIkK99wR3+W3fP
ktghQSRsRCvLsGY1UYBrFDAJVVTGT9PK8r39i8ZjXnsZdE3/ESQfAyVHFV0kkynqSKD9pPL7YbAg
cED5qG9qwFD42dzTGB75aBq8pPScXH6i8yT52I2fklRsuQIo5mUOlXZD00zCSO3/qahI5rrVXoyZ
53tbG+RReNN3NG/VkBJ//iRPRWJuP4zfwniEBFlO/qcUYxUxz5J0tMZnTR07baLelXSPuOoIpwj7
JIsDGukktg2/iPYTDT89cSUqtWs6HAaWSMY7ZXr3yR5pxClgUTl49NLWrLsBSxDkmPUsACmr82LC
zv41H1U+rmsIMAZYanfXoENKHkGarjRyZ+MkjJdJ2yfme5YyWNjCc4MraA80Wj8/t2xzZcIkJofV
tyZM+cx7aWGWlp45U1KT23623Jnn1ch7lqxYuG52komxAFXgLalfhYkI9zWnxD/4/7TsKOsHAZiA
HbqHIgwfeMK08bmsIUypRXkEIndpput6K0IW/FXrxPCs5ev81Ypjs+hxzQEXZRreNGxgKoXLSIWT
MFicgttY3ctEp4D9skihKjYLdt/Qc3d7EBPMv1mQs2phP2qfymACGzvGtwzUTMZKO7FhPgWyfA/z
79i+6sVevAft2q7flu0XREsKnLTIAUoGSg5kqPJ5UljWI0sYpFVg3OR2NzQVnFbKBU1n7KuHoQ/3
fY9czFnLelQFIHEh6xe/Yht0TidvJ82TkotfPAt4y0lcdTwBMcS/mrtZfpBwZ5HawPbbb1XdKrRx
7HZIwH9z6UzfmEFpS/jVmp+KaEcmsjl1ARAfo4az3d2a4VA3L61xiO138pfMzza8prO8qU3WwcBx
EbE0tE43ZJ419YQfHmb5qPS/lXQrYjdSj3ysENjdtMHxsaq/pGX+0cPOIvwhbXY8CBaWNT1yrOon
811joMIJ/qTRZQ8m4nHqezoBDppCz0WHEyo/ZWWvDJCbDgFCvCfqugrRFR4pVwTouYeBQDmJnECw
x6TB0JRPU3rriVhIg5vVXLCJIUTq/Ws9EvPzTEwTgZMGotuOkA3KQEoDLrjAdgL+zWCCyxlIfCCe
FO3LbO45SzSk9NQnJ6LBBpzjqb/Xqn84Og3525ocMfoeDi+18xTJdjDs8U3+jt05IrOsf/YlYKr9
OlKWSepnpJYbI71OGO1aqNyQH0VTizVL5RiXDetywRWZY9oxbh5HDjYF+Xqy+mj97ZINRerl/D6h
ZTZwix3Va3HMR489CsDUZ5VMGXMr6n2B1YfhBPt1Q/HC3AgP33eVlLxqjIl1y5mVCx2gIU5FdxpC
Z8z2SelIhhvg/ZUPeA1F8dkgZCbWI9TvVvePUIfSvIzFHTyRw6DKjlzJdcxr7E415fOlq/hnmLSS
7tOziEUBCq62eXiseM+bLHNC9cYeyfUcD8tFVIbbqb3n7R1e3VHzY1XtWtaCrDmHJO2zaK9BSFez
SpUtLgbYkMy89eMVEd+ancS8ZeqJK2r4MFSovTciqNbVnREzIw1GmBF3WLHGVWbN1Xqxm7dboCeh
oEre+uKufGbJre36dfvGcq1B5lM9zNWHYnG3duMGe72r2KDszgxlH0V3CKKC3xcph/k4fK911+nN
Ql61BlA7wc2qQpenpB7ltnbAeseD/WEcZXuTV+cObD4K7n638xUnNw9p216ILHMiFKMoMC+s09lP
Lb6aVaMyGN5g1a4EgtTsLVz+9KzNANT6hpdZTil7vKQmonlVdm706K3+3he8gugBrPDW4xc13pE7
5/d/5D40de90EdxgwITvJM1XvSNcLLvJ3XUcGb8e9PQ7IfAkHf8K/ZKU3NFISbVnAdC0xI65Wc1A
tL8k4Yc/vbcg7BxI71H4VwsgU5IWK69snNkenaq0NxKlH2texN1arkosvonbZxQuMoMdSkH89AWI
DWZYJt5Z/xqQOPkMI5hYIQgou0If0RxLILPwYWO5NqBtav1tIrejh+y17b8x389MMSz/d5DfVXVy
AxE7RvdBozyVAn8heAnpUCEshkCESiPO1Xgv6W7/MLL1hI873OMQQrQtU4fLvSTBDuJXQc23vuvC
HeZv5Hq9/1UgKkYXwY/+KVH2uXGsKA9H/TEkh0najnxB6kQymMIEpNAJ8HzOenJNcmRw1uyYPNW0
Ujuce2+DjPDUUtCapEDdhXYqGVfVV2k+EWe0pqnGWMIpmIeeQXQLeUpSxWYVt+czWGBp4cbykl1H
VCPmsIuM7FOYfxllFioCyUaNwRUyfDfmeUxfhF5zzrIwL9hmFGOG+jWZZKAgv7cQc9lJLVcmldcE
DQuaUG14wEX8osu7gN5fTwyactITqhWaD0tdlUcU/8B1S7Ib62s5eNfqjyr+ExHZoS8NEw+kQbV9
ltXerlkE9KpyI2Pubw9ivPAlk6gg7Jcl6WRgXm+vWSlFdAeIJ+pw/VtqW40PBWBE91R7S6iqLwEL
bnuisMg8lA++foJ4Jp/UaaGhOO3RFxbkAu6f86XkPUhH0IP+iUWFlWT3xJg9o7edemwfqvGNkc2b
ddxI1gvL6iVxE3DQomhXk9Q50wjKxt+bq4LpP38cenmU+UDVxbsJzJBL3aWyynUhM9bxibYamYbL
G6Hes/o9luqd3j7xZtfRh5/r3FnQpua1Nz+6CAcnmpTW3yf0WDJMYWmVzQwuoMQvXfMviGe3AapT
KQygBMdg2mqxgMUOL5W8RzZzJRvhMKRbb9YSIRUlYKKgPEv0zyTbdcWlrk8B1oMo4raL80eK9d/G
fFcpnuRfUvhHLXNJXUYAI5JiSYxVDXSlBW9GahHPUQ3X6cKIESgX+mh8rboS5Kp0/a4KvYq5m5xc
czjSniQkLGHe7P+bRsKKv2zS4BgVMrFtjm2fOGlzzyraMU5FS2dfthej2Q5RuRoYN+J4IC8pcVgV
y8UOrhYbzLEYDGH8G/wSYgYTTLA1ORD7+TSPvmsZUCsoGHHLGUaPg7dpTYrvirOYODrjy66SzSR+
I4OlXVxeIdFRYvLqiVGJMeN8QXFxcFbmTPnEFEEt4vDHOoWEOpKhYOCBZdvLVo0bRDPQ2eKEjcyN
wbvy8a3IxXaOb2PEXJWLI4H/wWAAXI11TNXXqoItP1mQ2O6VbNAzmNleaDYAZgrf2nwrPnkHdZOs
GFfE8S4Lh91ke81iyn8E019nXTFY4a68+jXnIJNbsslEfrWlD8n/yqwjOYvrcXr0/jVVPkT1UROa
R3cwv+T5Sxh/quq1JDc+4IWrufWmkREkwxXKERIKiAweyKCd0QwrNePKfcMzvY6VVzm9i/Zzjt8V
+9QwRpuspwytw8gzZtStV/6aHV1YQtCpVc7HkHsr8DELGUgu82y9ZGO1CVG9oua0+O9LGYqr/kti
6z4tlGwYHwgg/rFLakbyCXO6atISVrVylmsI5uuQdqthWG4wYj2I50zac2iVB7+GAHyPgeVZd3Oe
pXAdhvwbqA36LN6maIY9PrEWwwpJyiSMqZ6B/aLUNYJFli90eMp4+u2ee0Yt3JFceeYKa59sj9pg
oZygb6nE1geA7eFPDPOnrxmRNW3Aia0di6FicFv9awmZM3kqiCnjomZXuhYRX1W5VVdvZZVLFVBx
7ClqIh80c6vXpyEWFRTHXal/YhKO06Zw6vqtaoNNVN4saa+322Hc+3l5jgjWbvlWZIZTlUbz2k+u
T65wVH8Wy4++fBjsvJ9sg7sgZxZu2BCrS1tFaAsJyba6F7nar5R58uK2/5dp8UujK38SNFNIgDOA
yrpDu5SsV804V6lJFA0XDHkhutYCno74qDsnhUZANTVsbHQe117Y4r5j8BETGqVGvzgjVuVSM4Xw
6TuhH1QmByCpvrj65rvVH0XMcTtsRJMeqneV2mZmkFxgem1NfR0kn2b/v1lrm3BzRhRhnOwghH2j
OSURO2ZCYjaVGzvoCQVv1jPBACwG4IG4ZwkXxDZDTTMs5oXzjKJI8cdY89goS294FcYlGlhGigLG
hD0ZNjYMTZ+tM/FTFL+znOD8n8kf9Gomy035Dc34IsXvIfS59GFR0lGf1ZbXwfjCf0YBYBFD0Z1S
85gdypY4IG0vt46kqyc5+JKZV5dQKvIake5SavqZbQTPnFEdjYjI913AeQmONytkLSdHPSSuHtFT
hgm0sO2YxY9ZTl43/iNiJsEcUQOoIccw1zf/jFB7kcSml/dsBT4kuYnhaqBy1/iyl2QwQgOoyaya
tMrxphg/WkFyAGJVtMP/0rTfrAgjtXNkVL8ntEVDOhyHe6wuEaxsvUd805002AYM7kK8Pw4vQXud
wx9zulAgq9JbbGEkQgKxoGLS/lFWJD3IjyKJCRqj1iInl0WSAQqAnx2z4dVWE4x5lOaAKKpT8DQ1
fAlK9F5ZXCfTAiwDylokhXpx+g38HHS3vryKiuA+fud0bYEDYJFbtSZWeFhtwcQcPdLRFJd9ooP9
Dk4Q55qjMRHdBP7DkggMVB2Z81uyenL/h1WMuEWGSsiwgiMrsZycFKpwlyi7UDeIPH6OPvAZCZ1M
rRjH/Aqe9Qo/QmE2no5F8tMy+ZOm2MlQ/sbkbht0nwOf1h36teZ/Vf5WyBd5OmT1fvyXEddnTdK6
AhdZelmmbEpzKb9y6A9d2Mcih0G/zDNIB3M1H6TmhaYp7rcKhqEe4W+MUA1atgf+Cr0iiBjjwMFU
BW8DP+1PUTKXXjLLUirWwasRtUQ2EhHnEB+JGcrUzVWAeSqVZ9e0+k2iUE9twjkjYxCasnGnkvEJ
9oAlRaTXt+BvGWhgIBc7U31EoPtsNneWf0uGmFK0+Jjie0tCYLCp2tPU7SULPWmXPXLprQu+F48B
/6kAujS39vcZeVkNsTDzqxR5oJwBsx+NR+CKT8cqb2YEOzlmhHpGCPVoFkRqaYRcqVg5JnCkQpKv
mDtPPrQKexG4YWiD6HjzoHqZk2WgS5ZpM8keNJQXYrlP8R5MtvU10QS0fbdr7RSXOlqTUr5kYboL
MRRNwIiYui5B0W2ALlMejeA+VwdU3ElsEosAf1yiizAetWdMS6Hm5arL9s4Kk0eyS0fXSC9pejSD
Iw1EQLwZY3SM4oG1hZxgzjR0H0FqwWSiYY4OmybMllDN167ckPeiJxvSmrCNTAxgyu2keirLNdWn
hMv9rlbnQl2XeHtyVlH6cUJmz50rtJuhIr75c/om/pCZvgayNzJoYQaM7wUywy6pwbXvAhdp2Z6N
blfn9xYmYPxrqLXrisuoeZvYkEq3WMZOqqPDlT89CvtYz9wW7Tpsi1PKIL/hwJbN/6NFJ+1jls9N
w5xC3aisYKWbRqETnBVzuBEicqp63sCr427QRglC5qnSAiXx2xT3XlFfg5QpUrArK5niEm9edM9k
fzPqVA7nQMWyP3CVjKg6eF3bm8zYWZQfEh+gygfGos+GyXiGXPwo+38z8bYN+eA43h2dlMPRbfV7
BeTfWk9Lrim/L0lwbKOTSR2oSjYF9jHUznZ70U3GK/LBzp+jmToTnbRRfrBwazPLu87H3IoTsiqI
VkwDbwldGdNTpl1r7V/IWEJSnmUInD3sbSyPevYlugwNLgfgPinhxgcP0ejE+DsadRWUbGe44QFL
W8qlF0u+polXYN+O3opk2zFgaVNA3u0Ul3tUOsW/FPAQKXYqyfy1OSQmmsm6udedpxErjAOEIHOI
G1LFiG9keZDXNQHrb5N7wdZb5TJGp3D+ABqI7EVRb/V6JQgrD0yPRfTv3XQN9JeKKpwMeW/Ot2Sx
YGbSdBx6oKoLoefjW89eff1tRuPoePHQ1PFSByqRHK5ktB70Zk8SQYQK7ucUx3i3oMwUFeSDHGv1
H4tvvHiwcG9ulHIXhUzng2AvR5dw+Emg/tWSRU9DvLF0JgjSW8tBrmBpNYLFywkKsORPM/no4rOc
Uvh6OM12ffQy+zervpsJiArbgXlElOKMYEZqMoQn7WzLiPs7EIuORGY6iMdfpDrpvPP9N2M49Tno
EECQvqy0glSPxU16t23DsYOP2ED24F0RrJxGubfpiLFtrisGfjlTinCbmXuT1N1CUQ+BxABbp7Hg
3Y6vlvKaENlAio7XSrM3gYOmDaFdtYKGTMAkAJ6JMKto9aaKa0ZsvxaNEC79lQm0wHedtHhQ+cBZ
+dJiZuBOgrl1CdoxYFSND0F8TzTufGNf+W/jeBCV9Mf8/J43OaNoA589l0hhrWW5cAKOgsZKtobl
c76Q/lWAwUv80ip+bXkXJr9K9NExQhvNadcN+7weaEJ7z8zkTa8yl6CWj/BdDAiDZVl4RUYid5c1
n7EUYX6ynTS6lLZF2qBugqajUClGv7VUe7c8veVngzYwKjmscok6Nj9ki8ZbZns0cYgzs2E1+eoA
a0osPBkUjMipN0AxUh/irbT/rP4Ujx1TQkxsSsgIx3aBO78iZDhfCY+tBlcWIPD5JP/W/WluJ8gS
AvlRxDuMFYFurAXBNL7NTaWNzWEw/u9Wd11JLxb4hmPSD3Zd60l5DVyPj6YZm00Ff2Ko+NS5eXvm
vJRdiWjeczKT8AeMO6sj4kERxBLg6Bj5MWZjlYp6U85PA50X+jV4ncFibG0g/paca0pE8MYYHV9T
ccHxpKVasweAcczGYKE0eUgk21WtCS+9aCOPaCamOzTdQPfXKv5vtXdq+a6PoWvHFq38c+TxV1EH
++4rkTnajD8SGAjriE550uHfZ1qT5cM/THDIaY1/D/3MKUeDXU4p9hNz8gJD+9RxtLIuvrTuUoEm
y/5lrKYZh0cCce8HZGPi9GlH9EfijTWA/8ji1TZ3tGNU54xdMa74fMyY4dZmy1HU1O8STFqNNbzz
92b3zb0VAL8UGBjSPHZsU35GzL8IRcNVYbqzD+Ql3f2GWYwor/msrTOlesNZm03tT2WQ7D8WpBkU
2JOy9QAUmUS+I7Vfk0zQhtCOAW9nbi30cLBLOWgKPaMzxPTAI1tV7J9p0eeZVcSUyD0PTVHjEQ92
LRr60H5l3SUR+bmbpXXM5Wdi+rbBrPR6esmN5xKyINvHFI5gmH1Mu93aSgHd2oSsJ5vlEgLUI7DD
F4Pphln98Ddeu0LbyfNnX2DoRJ+qM69l6ZhdTA+MBox18iXJ2GXjLRwvkiVO5KS2D1Z2kIkvMyp7
06XRuerR2jLWj9fszuoJrDW/QsajAV7MDAEr1tYakbXs8GGjVOElmNLtfmvkxx6iYsx2Wtw5Fq+y
PG8DuO2pOEmgIzbinUqMcz78lHTuE4yN0uP0Jhycy5zfXbideiZ7z5trDL5sYTBJe65Toq+Le0vO
u798vCN/RAKZrrNWzZ868PGXEiA9l6YVa5/2sZw5giIzV7N9OqOuwIrCTxXdg49h16AaLlHqNnSB
pgQbKTsmTHslmRzzspqxxCyJnB0rspVjVYdnNnFRDwIAk9JpsBxdGVB/dXaz9vUlpYtWFzuvmt4y
c9yWGEQEUGPB4FZtbwbXo63Q7PZ091XIotJBWgfdv2xKp1Xd9ecoTNyZDDlbtmnhNmQWOXaTOXQW
G0mjSqIT9ZkXUVv1HeOxkEpSf/hYC/2GUzSyekeptCP9/2sSotZbJDucOpKpKaIcG/gh71ixQ5sq
YSnItJxcFpJryXRjWxpuNcuRNDLbMVwRutSRb61p0k6i8+04QJ7asOlU+3ugSfV5lmOh/JuZjXF3
MG0Va0vVHWbmmG/WMhbuQqM90JL3WC+fIU2mwmC3zVQ0i95rseJAXq76/s8kv2+uKJzDirQIdP3A
OCts0B7BvlNAHRKcvcWZjY7nacHA7JP6Qdm02b4rDFePX01kfamhIpx+9YhkXu1nquA+vnSLOJqO
xGstPtlQzZKZPkZj/JikE2DfqMI+WqlrFCRI9ptcLp9sFAFrHwacjCL4KaaEDTv2wsc6eVm+GuZr
W+gk4zQEYxcBSRhk/LRXu36Y1snUCvCtT7vOVuWI5zAgp7u1rmU7XHVgb58ru+Ee1mDtumcDY8Uy
lISs6+wxmOYhCuxtpjVgAZxq2XQOJft3qiKS80CTx+Yo1+wKbO6djVmT/UuAsH61klUdXFJdrFT3
omfjk6nvo9bcDrHPJB2yoSI6ji0PmHch81ucehFtj/glq3VdxLSuC9TA9UgOtViWOWbvqvaeoE6p
yXdnIrXH+l+fU2KNCsE2DDsDTH1Rs02mcBW24ZqsJvqHs8Jz33WEL+DuKIKvGZjXD7qJCU2Nv5xo
pLC8qTmWG0l3IEbw8+f5D1r5WNmwvr+1bf2wngyEi4UtyuAIhomMCpjX2m6BuDZhYRsaiGocaEbH
9iY2AZk13/VWgvbVeHk0ZIpiyG8pW3NUn3JNWU/98Cw5KqueM/jMGFNm/BZqdyLlK/tY6lQu9cPG
HRTTvYQHrQOMYRlAIdCfP2Ls4Vrgs36EPpjpd9QFjMNOtrlMtRe+aIB6/puq71oQqRpcsgQYeMAK
zHm9rMUoJmKqO+JBWASkoNSNpkfOPe1+TOdLiEYVWe6ganeJfIwZgIqMbqdnWpvhVzO4l/2MSE8/
2s5Ms8Nl+MuD0fCd1UT6yZH88DEFdKpMqvoA2Cu2cU40dmUe5yjek1foDCBd0qQz17aKc9aw+MPn
qIxh6gWOvcAm4oyrxA56T1kQW6Ac5uzaX6N1KxyjlV27c2F99GxdQ84yN1R+64E4cZCB3pg3hUHO
NIyqrV9HthDWCL+zCRXEw6hilB3DW8N0nX+Q5/LbHpVd1JIDznONIothfm+RQFS3BJzL74K+sFGd
Adpbr97DPic7516zh6TBalhiRKrantxLc1Xm37OOqxV5l91kuN0kNywbz8C7YGak61v7GAciUiCX
TOXVeKLlrN5NekzLGrkSg+1SPaTT1Q/aQyMURivyScOewaqwdaaf/DTbRjnzfGX81Pp2n1kaIRid
42NjzfCP6bdSVhkFwqUi0LAb8Z/EVDGRJW4e0tCz3rWGQ8N7VulAXuBIKo6YAdkxSsR2CPJd3cPP
a9MmA5lkZ4ybUO8ZII2qFW1KNpL5dfU59eZbakxAWj8FCqRCcK3ps4iv/cgK7RTrjJ85rFK7vcW9
cDSm3h1LEG00bgLdVhECRSWThTAULwsVnxCwVyA4EFd3I/GDJTivlk6T3DJNbBWHy3Q9WNpBtTqP
WIG6uIxqt+wc+Y1VZTtSz9bybYy7i0LNk88mRV27qW1jV5HgLdLq0YYDfcUb3j2iV1PXpGopqspV
RL+bKE7s1ic57bmgZhJVIZtXVyrVXY9tLSmD3WBMByFbG9Ymbqql6yGzjnKeDTHsD7B4O5iRR8Eh
JmI9T+R3ui2oFNmLAQvlIXqNgmeQKWfdBgNG02snNixdU1iAivowm26+zJocPFT4XHe2RNwZZ9fE
gRbj+st99alis2U+EXXVLmZepgq8ov7s5Unh+f/nheouRS8ver8R7F0b/OJiz8U5RtgStWvxipXS
V5ddhBETGs2UylJfhohgEJyBk/xSNciBdfZvTGavpFlqFf9gh9HGSvPzUOf7inAGlopynILYEXOU
1+8Qp3QD7Y0PP4aREkBzfTffRHHsBSWIFTG7pqiSSCGzGmrF3H5pA//km8nZ7CwnHenbJLIoMbsy
7YmTejOyljr2502qxp4AWrUT2VMVcx9ExKjRBssIAgo3CSZ4U1ZPhM0WzaugkLAfcYR91DdAiNjj
UNL01PyYvwxzLDVaD/jwG7AtRojrsSrOA07NgECe3GdbA1NDXzAaoCg2mW7sDIYHZTnCCuLfp12X
TZl1JcUmb/YWPGuKyaokM0vH7U7IBynHG59cGsMkjyV/C2lQozrhqkcq4n7Ky+RgsZXKrIMThSRE
nf8SYXYRfe6GEfMqKdgqk7lt2tItqcsJ2gfXbW6tLz1q3LctU4ERA/SMVDJlnMV+5zLoH3q0EDbr
qZni+uSnyPnAO8xU1tX4f1gJtja1dBsKdBW2ZJfsOjIMkpr4oQyBlexptOxvAP3kM0gU3hF8dyUc
uYUZVfz41Wf/H0fnsSQpsgXRL8Is0LCt1LpSlNxgpRotAwjg6+cwu3k286q7MiHiCvfj7UeQvOlM
HIpQLH1QDAVwKb/cUhlt4mB68x2yraI5TjBfhli9bfO7ARQWsc1X4pEXy1Sg84NP2FukxU4Uh4Hz
PNkaIwJiaWzgPyg4Zq2IOzLkKsBxmYCIfbXuGLwGffjRSjS/ObrGvOFVQOoMGyIA/tEgrEBusLUm
hOwZpRh+HSvJDrbj/5rWd1pSVYfanTTOk9KHjTIHzOn6aqT0HyLtofmEUrTtqQ3+deNvHi9bLsck
nOsj/eD6ZJpGn9J+SSZ/FYo/5fyRkHsT9BfzvF7W/0xHLUJkEkMmmMea+9qjz8maFQi+pYnTRDAn
yPlVDfNqwCUfcjbHtJMpRwQ2Xo0dLlQ3IHsdujgJfZh9H9YfqwaqiTSpmbY0Qw8n8jGEYd1lSiz9
jE4+WKYSaIWnpncXuVOPabTT49OIE6aKhk2kMdisrb1utrsqiw42e9WhebHkuRvY/AjGgEFg4chm
jYrdwYE0hMfqjANvqwsN6YZ/hRUIYxtzJaU4ioZtbvXHkN2xl+JZiDHOGh5mooJ8lGDnovXQBZLR
ruD/lMlVkzVf0zjsXCYrXl9vnAlNmttxXfBpj+QqAEIAhn4c+/rV9bJ94k3X0GCG5sY7Cxt4CYG5
F8wrp/jQo5sW47Q0HJAMTrqBw7wZhrfQGx8UfUxIxSr1odWaSCGsEg5EbBfoFzIc6N7ehzUjML+H
WDC7gOyMsgGzODAIClGlspxFkGykOtB7eRudc0fPnPW8PkHxT0JNfyoT8xqy5OsILpFMOrOp3hSV
eE6ROHS+sRjSnzh8YUu+cTXsEpAdZd2g/p13D7BmegeanHlo+K81iXUUnBhrzkPLysXijFCIfNUA
ZSXSkZSnZ1nFD1768zhFb56dck8YTrEY9FedqbxRvzJs2rol4FUEURU7qhyxllb/lgT+ePRvgHv/
xmoDf3sdIfKL2g86QarX8IlCH2MRMtOLiii1TQdFTAHKCE8tLqMM2n3iHkr9pw53DXcjz9zBHr2H
nofbBjh0PvAJzFGGdAnBNB16f/htUwb22NtSslkiMin1kFMSfO9I3eLZn20Vb0o2w2OJs3VgsaQ/
zXE40uU2Qs8XJfVvMZDd6dB0ZTJbj/gOBEPqPqIe4fjxgMnpzj/F+Egbw1MAF6GBdEDa7F3oM8WT
lhponG3dkeXiKU0XBpj5tqM7RUtgow9OxK+N4CsUAqtljbUD/qplPg+i2cxT2MJwuo1JiYYbC2xd
CPviMbRvAm9tDA8oGPd6Tb0ruOwr2C1sNo8Rb2pd268kg7wg4rwGLd4cJ58P7RiaHsngZUcyNyw8
Fn+tuXQpVDVCe1iRPemCuZXByKBguBlE5kZo+mngPI5HMJHK/UfKM4cyP8zGAmGxdgaW8REyExgQ
9hFVb6ET70dtPeTlrfaZL0XjLmH96mPizZNiH1ps5tqGXXO+aIkGI2AYhVa9y3WS+fCYjoreOnJ/
jEK9Nhw3uWZQcBHvm5nua1YjcKS+LtNwZr2wAKsPZngr4JwUYf+cTdbKk9F7CNTRK7MDufK3no2B
GLOd1vC0zfkPNXoZM33hx9yl+1VPwylqXAZC1QLA/qpUvKqtWJTw+IxhXCm2/8ZsEHK9NyuicR2q
fQEoos6Qp5j+X5vZMZrVDtiOeyOCMMbTpgf5a8NxQxQBgvJ4OlopWD8+wzIUBH8Vq0r5pw6vmJj6
R0ThPY34plLwPxWQvHLNK7NzhxDfQjtt0ryiYGf6rTtiLczX1qKC00P8BxkPhCPRyxmNeEuaK0Yz
P3V2lSrRq1MSZnp2IcXh2VLfVfaq+ulQW5yPtX30TcHd8z2HudhA+SprqQ9Y/sA6i9Y/TMO4c6sa
mJyvr1TLWCnCsh/2PlkB6BRFC5UoP7dQFvzMx/ZA2VzXd6NA0FLEG0HEnkyRRnjMT9vuYLoOV0hI
kklHoUbTYKNYdZLk0YzO1hEIfh0ARCR4R/mrCJCizCkiRCF0rn8vwSXVasRDMC/6GiyITKRQcIWm
vU6Nk5qc17Bpt9I0z33sbUx2jnYRLXRR7Wt3WFtNe8jbEhkQEjNGlv/qID+omudwvgSVxDucrS1C
rcyRhYjrrFXVvKr0K8y/pxa4SV2uAXxzDLFlKvq1OYX7XKhdnE7PQVWtfHTPbIGYfKcLa8L2hbPZ
nI4mM7Cgc1dczOibcthGxFzqn62/9lEQeNBJa+GeDcmeJBXbDrlKnp3igMsk7Mnv/eWhwNBDeh4U
42GihYLOmGUud7B9DhMwlZDc+9DeKR+WIkuYEmJIrbtocxgbjqnBGatuHjt/RTZLFMcbg6wlzBKW
O3cNs8vV2ZN+BQCclQgLwIg0W1Eq3GX+CSRN25fXAPEgd+19lN1SFdgJ7JDdCKVvAzBo0r5zulID
GaYV1scs8jZJ4vyECs2GkFvdmjgQV15yn3uQRMh3+i3WCBnLtg4lyWeFMm5A7D0Jta/iBonxX9ii
yHfxas5ShBbti171l1xgT9HFxXS9jd1UOLmG/WCD3E8jkiDYfmuufmr8YBeY7sru5U3THYxzkDuY
qLpjiCHt7GhnMXmbTgdr91Ho/SqrOExRKmZMDHsdS225DSVKWEpuu26+c/XZIJEu/C+b0Tbs2Yc/
sd52yw3hcaQ4Z9lnyo0cxSOmnCE6RIoBbdJ+O050r1i/LzOnw+ITsIC3dDXbkFIM0MJ+dfuLVxWn
0E8XQ353Z0s9pkQvPoo62+c4hHs2QEAQmLDxrinF+ejcZ9JJAecvTbZl/Z5NycFtrxYEmTgdT5g9
NjWeBt8ZLlkyYenECYBo3LQUpm+5SAbKvxksoLyPCsmA2anHOOYHVxl3g5gtEVavVsSMbHBWLXqg
p1HAEwTq6ijUkBSWgZ3Pjv/pFkUTMI38prs1WsbqT6sDln2KOVHyo8uS8k/x0HWdDTYnGd5R2ZGG
FDIXkrHHsMNqAmKogk0SE6REmqULvKKs0o1AizLV53osrqZOxhXqkyLJn30DDoF7SsMYfJXMib9L
NYoR61jFv2Hh0s0i6ovY0tR2tmaCtx9wSPYlIJdaf4typpijnNXGQDAg3lppTggGUv7ht7OYpkOr
W4mg24vRYfpTbdIxxBAPCLw1TrXEL+SXy0CFBjoaqrTJP0VFf7OQACccbZpoz6HnXKs0PrtiXBup
vVVFx/3Z4bBwia+52OXLFDxrI+XM4F5aT8f6j4sgr65JaR7GSO483FsTGmNpaM+a52KVZDBM1KXZ
d5cU4nQTweT3J383hsgaTcDW88yZ7IVUw4JJN6U13SmErBzPtEAgeRCjuajzQzqIRdO/+1m7CW2u
SOhxym0WLamIMccQfx5LJkTcUXaYjeh1JSD7GhvqcxQOVFgcb5u0y3e2Zp81LmsVhjz1zkYDIxXn
ACXJCLIHOsNZr84ln5joeQWDSbQS5MPz8NoLmc9acrRzZsJ4scXMzgGuh7ta/I6ERhjs1bJE7Hwo
KCnAYvgzLBPZo5GaPA8xk9zAZIH+zIZ/kcyK/yQhmaq+arzv11J2/7p82MrYfonqWDJdoBfDlIs+
VSW7LGaQEDav3hzrnSDW7JBRJXMfjHup9dWFyg+tBeYy2+fs4mP9yujT5Ox20dhrZLr1aWjtsQ+C
h1bKP46Sy9jY5zEp/1kuqqACbaagV3QmCFIpe9PS8Va95xsMegyGlR19Y84NAUoVtK07cW97sckL
3X2XswA7Gb1nf7Avjfzti+coU9O6izDl1NELw+RlWIaMO5Hv4ydBP6nDUIhe+op+WbvU1bTpg5Rl
HWmpquQ7miUPDP4mExJK2HDuUazWTU2oJ1x0vaA+5kbpYaHDIkcFI+kCp5i4mSTf6VX2aNw3w+SZ
aSgfTMsFqQwhKYDL5CISGSQZtYreVfPYh8eNd0s1UHlGsu85rUboDq4KD1ZmnnMidwA1kXGaIGyP
QfH1Yf0xVsar5ROITcOv5e4uay0gJNArA93e5J62ZYS5oMre2nCpEk9sNEphBnxrZahHUhjzgg8P
A5Yuzlwtk/s4GVlhOIybSK1Ftu9W/V2y4ltHvPuFUuuRwzREfDBK6yxB4rdu+dW1aq87NNu5vZyy
6pRDzjNZ/xbav6B8pIThMaDFqY1NxygI+p2Q+BB8RPvFyBA/v4XeU2sBN+LnLBI8nVXy6EjyscuS
uNZin0Zq69Xfikq/k9Oi7+8O1Q39Ct5ypG9teqtwcOFKBUXz6pXDezmhBlKEntt3+t6PEldfrBsb
E3OyllXMeyTkY/w9IWRJbmxtRirQY/XxMWwRkyWz9GOpQHUGFolgTnuUYXVLE3V3Cv2mFXCHJxMs
CcBH4TyGTH3ZYbetxq2HQbJutGXVUQXa5G9owUclncXEdtZj5CAUdk8GVcmoI0wY+aZbnXlD9htr
HsFIs1NAxL9Ekd/6EQd6p3svquo/JeSyp0jOiHT9AI2TZimEbDQV5g3p7M1NEMVrA54+myJFR7FW
mQ4AKw//lvis8UhnfIA5jthSH6C+Tbhw6upZOuleJ9/IcIMfGPBHVvGQf8Objz2ks/g2C3WtTfe5
NglcIdXIQFaNRuTK1TAwy2KmpaF9jfNLbpc3ncleMkoCOLxgYzXlwS7I+6xoEEvE0QhNbM3/bEzU
1UI8tFY/eSYeNhW2RBzFGxNVzGRaZ6vwNmGUbKSPmAjBjq2otRLjAcYflhF0MmY250Ew2ywcjocu
YvshYqoIqDeGbO5Jba114b2UNa1Nmw7rpgupEi2iGkhbye1PH00A7q6/mAKFAJKr00UONtoR/zPU
9TzRbaoFRCyhRtx7AKI6nJOHuljM2dvwRqyEvUUTNi+6DJ8tv78r2lBGmsAXDdBwQ4mQHXYan/1G
gmlqGd3RDV9ypCAijZhjyqPPV11p+fQ0+ETieWFJf5ht9LZdOVS1MtGuzC04invowpgBR/VWSrpm
rOE9LX6MNJg5OeBkm2OxTSK6FvVGt/lHj4pTCI1ZXTEeq2Hmo5Fn9siU3rVeaxYWGc7LbJC/Rs/2
0yBJpZ4WQ4aWPByOBttODYIxHw7tcr4bo2HtFP5KWDannruKfI9oanAVcGZ1GhZk0ssJBoDWGUsH
948L59VCrOIw8Opi9676rF/m3hwMhlql8t9LE2AghYcjJRuo5os71lnkkbfr9JoOA694PPgJDvYZ
Sk1jPKO0ZSjufYZqt3LOePGIvw1wlJWgMf7JDkpW8V60FUWbeWys8SAr51DJ6Vzl2TXv002QQx4z
GmsXm48IGpDZIoV1GF0gQrfYxy7GxkCi4BrOltnIs4zMRTlPGv3qxMr7L6sA4bqAt8qYbLh86k5o
OVHZ58m5joCoF0QAZJrHpgrpa8nZuZqkdXc5Z6OgRFhZ4RrFlIzlLk9gVJXooRO3OWhNe+1LeSbq
bl1RTICNMt+rDMFElXTs6LV0UTYejlwHwoaxKvuaTtUs7o5i3qqqC3OxM44XrAL6a2N0AlUWx7rb
0T2ViUM3mX+1plORcuGxsRX13tb6t3Isvv1ELafCObRmfGPIzVQJQAsZk+B9wzX+95/eZ3Hf1sQx
Sl5D7Nr8gwsTwXbLd6Oa9mGX/hVhTpyZdkhbPASVw6MQX60e8T//kvUFM6lWBmvdZViUhweboijx
ECbWGiuIiPG7xJnIAUnQiAHXbSItWKasnASmtDCiqPUoxkp82XodfHd5cUThv21IMghNBLFG9CdS
9VwZoH9LbdroKRpmf7QekWd89TYAzQRB10ihFvUulza1NLDxsWEiQ5KUOzn+09Ax6yygxRR2lyw9
Me2UqQihxlZmS1YNPoRiHD0BZrW6Lc5GUJ2cIf+Xuj1p3wBky7BapUZLtJ9drwtFwJiW7HOCiblu
yj2VKr4GxB+6tyvoapzmI0MdKKfw0ggI1y4sLCZcekZufeYvLDd51KnYEPVLiQ/v2SKvu5bNg+Xh
yoDiTbwSvqRIPOdsEyerW2o6AiHdORuCCrMcMZUY9Y4PDxmZtlKzNyrt5JoB00FNxjmIEcxQsjZF
fzKEeS9jDvy8OEWpv84L8S/VUPbU6IE8h5h1Q4b4wqu1D88Q0Q1uUZ3tGjWK8lASuahUmWcZyNiy
q420jHTACBkIqzbmeUgQcd9P02NwYQfKUMOKL7z1RH09IJXSk/jguiykUnZ/Qq+RFA/3uGnPiX/X
jWwXiv4Qx9YPiWGr0kkOleBCrsXJaFl+m0RZuSjkwFOGVbAYvOoj8qNHHY7o0uxj6rOpH1mpE3yL
6gREAfJwq3jP3ekxf1SlAv8myjWvAQZZzD0srlKGl2E4YLUN/zUBqIVKKy+d1l8ibJaazxWRmCcb
jnPST5sk8ulhDGwv0b++BLhtWKaJxW+gZkONE5XnQbMfkk2W1rEuMfAWDh7sEVQUT2WWMe326JR6
A0UChRbwNeMw6mJjdmiGRiLgLG6SqLWv3ZhyTYFLGcSNmF7wzfaSzfnWychpo1J+KgjrLPQOZDpV
DBryvtPfAr9EeaXxxOMQsGh5U1jDudOchc1oo8TuFth0uAOVOrZrwhRbexlV2FHGOD9KgRW6tdHn
tT1WyGKWwMpoP3nuS54QaYdJc3Y5IVPZSTw+jdDfa314dM6sXSmDjfCnVa/6T9fR+LOjjetG5wzi
LspFfdng64LYc9M61u/Sse5FUG9bTC2eHu6dTl4nPvfSRpeSg4OOrAiRxo9nA7+Kx7ttetRdRsFq
L3vpKoaujk/Jpi6ZLzkBi2tHt+aAhjOD4t6FyUM40X7sppd80lhF4cCp0nsOOKG0wF+wvGYPw1AZ
cJ0AeU/gHIZOEAyYR1S4I5qQFheaDAqt/mZj+KfvWnvhzHUvt15ir0yVnWxiow0fbJ7o/E+PLkTj
kI8624cBh05zUD/Se+PMeNeD7q57jIiJCLH1uzU5i7ikD1farQOLNFKa2k5z9fAwOYXx7oz+c8TQ
LScWvIawggZgZzRXQLMYKJqVab2kAFS4eiBVsTBCHWiM2nkakFP0PDFV7r7ErI8czCmOVf8h0nqL
3ATn5outjCs+nT+Tk7iM7+yrz3Vi7+wBsn/8YWe8nwhCSpubt4YdbKmjnqOAiQt50M3hRIwh/tIX
S8/YccYozFKnOybuHPSCTjyMSRQgv8wXjNstZKDl+F0H7IBwt5rwWjRsgeyAn4eRh8p1FkP5qtkS
311GNw0wrjZ2vRHsQu23hBDYtuV2dMCiG52kWIUDMUm+3RZaW++91OX7kPIRheNr3KOPZk6qg2Ip
MzKUsZcOFqOtMiJphOimkVu8m/DU+Tl8IoghaQEKA1j0vG2YPuIEwUfg/Nk6Z2UBwioFFkikIGh0
z8IPJr4a+mGFyz1VI8HT3bFMgY23/gnL4zlQzqfJtVAp492ri6cGkoPykpdRt8hr/1FN+eKGIK5V
Cy0TQTDbIr3oN9rsdJLH0WYnZmAmM300EGlWMjXN9qWuMaTyZ77YqiIay8uIBHGIhxmSUyKARmiN
2GpOB2yRZUZMVOgQwIKaqFQhU1+SBj2a7cVXFcqzHSIi1TubfOSOcE628Gxh0LVsjFgeYvy1rvUz
zesWx7ng3KA++64H5zf12stUzoNqNAZZZPt0RLidaiYqSv2MyJsnl5DzWLOuldewTx+XAWwIk0UJ
lGnJ9tXEHdTW8a+sCsSSfOV+N57J3VgPCNaY9+9GxNdtTHYCj4hovTdg8e9aQzIWzrASgWdu+3Pu
ovZUSO6LfHSOU4/ati3Y1LfFBv2UWDYjy5OEXXSBjPupMcsCBweg6TSPOQ8LoDfQ2zXtOwtHxId+
sHXHbivi9uALDmZDIz86n4aLNmQAjySVWv6jeY44FhU7M0dhBy4LFKNpSIJg70tSByvMG0JO760w
b00md1WHh9agwG3kP2wbt6hi0crUnagnHzVP1vQEMZQ+gpZ+gykU11Rm/FkjlrXR1T4bNPGUgE7+
ND8cHn0OmgeECwM4kaJnvKmbzA84Jm9TIQkOdI/ISnAgRPGlmaFies0OTKiz1Vc3s2PYzlgAuEN7
UAPsEJUbe24b+pQRGbVy2DQoIz2DHXNBSABvn/LpWyuri1F4typhNF/X/J3R/12TvDoaYbG1KuKt
XXm17GivkaZut+mrBMqgMBPlhK0hDvA/bOZhDSW7VBrIr5g+2bNgA2eOg9kM7z3pfnNYgw71zWz5
3JMaPsAoqt2UIUPX3BJhvnmKRX73w/rLRyevXIEtwsRVB4jLAeFFoJZjkh6cxTQZevYLiHg5pf88
yVeqeXsQZbdBFV9MD56JgtgmGZdzn/xARTLXnWshOAPtxxaJ4Tb3ic+qIs7sXcLl/aT8LwtMsw2r
oMGm5drVr2Pp71067ZlFXu2h2oRt9Ki8ae0bA5mqGhOvsPcwqIX7NBNURBpedSBVxIksgqR92LW8
m3Z+qUswlFSr6FKILUY7lkyEsWMLGFB8+FyfqWF9Jn24rDP7njRon0cqhREwVJIqtHVoUwed9DyP
9EMdk6hn1A8j9l8yAz61V/kPS5gvhDz8KUYdg/Rgp8KLcKMdGI+jM/aQzLxu39hiN/Dyh1l+DKvm
xHJq5Qmcrq52VoG38Jh1SdFugxjyXcL5TWGNKZU22rHeMwvcSTtidB3VMohp5nobKzeqO92JYeIl
GKdNGIhBRSK7FmzTMjoYIr2Mhv6WFgTESX1NAAJMqhmICMjVdJkDOwgNqr45+x1WVQCCsZ4slXvR
ISIOzH9sY45iEM2188sNV/46GpxdY+6VbeugRjLr5Ogw24romfDocdGTVtUW3doYMlK1mGuiTdVH
VGg2Glw1NKRKjMl6NG0iaORqyOqjmbL45tckozV67jJoloEpVtg/U0K8oFwaA51DqIBoT90M7iIG
LWfKPClAMLVg9Em9MiI5H0vtYaLxGfXk2EjAxUWI3EKjFqxIR7bpAJfGCL8v1aZ93+g3O5l2hU72
zqijt5FpQ1Cm/dN33rltusegA2GVhfgwpPnu5fSB9YwJV2hLnRLXly9TjtQKzfcQl1tZTOumZGVr
xPk2wE445KG1Vo0zLfMoemk9A88bx7wBqSEYXpIxezEliSJs6zmEPG3mzXBKybLb2ZH5qRJ6MqC/
l5iqfK0rfz1xEDmaRRUA04m5RLkqcRg8ST39LkPn5/85vzG9xyapseGk/Qt951EJX65KDXMpQZg7
LxsOBPWd0nj68kSAzGXyXrwct3rbRHsSVjcDbFJuPmxQA5yzMnLfOm/8rKbwyoxvk5EbWatuG9Gr
Ia3s7rCOAkCmwbIrigEaPdQjgW25NKub5eQvWt7r6BH7T2a5+XbOmu8bJdBdqV3YcJgqb+6tE8Qd
7cBMC3YxuxeL4jjNsSmKihH4zK8rpkVlBKvWUo8yT7CPJ9Ai+pbNk1VgKYxy80ZNPCfNVffcsdnc
ImiS5iFW3ls/YnIM0lTN4Wqcba1+b2TLFxhBE6vC4uSk3tnKlL2goCCsY1CsK0acMsA1hWBH6/Z0
Eclsg61N/Rb5RXNUHphx/uQfZbLdrT3n1enZUOqK+rWl03/S/PI1h0LhK5gCcuBDGNi9rx2lo2zJ
iENW7W8wzRPl1ODFTciO9rr6e7Lqh51Y1lKrAesZ/Q0FK6PBFBWYTr9thdE2VCnDpOLQRAgvYnTu
EymF+aUL6h/LooRJDbzffqlOUrc/eFC/qXIlq58aOBJ/NVoKvtbBG/Eg2GAGq5jpHyyER2x17tlG
DI+DKtO4/jOAaG4SoCuLwToZmQvDuRO9UJdcj6jdhyBC1YGxS/PU3deyjS0Y32mq+xuEvqucaCsE
IiAe5Jqt6GiyKemniRVNVODlKg162az8KoruLS4m+AcDYYcW+HPlk2BVS8a6Zu9+OmlBM93kb7gL
LgrB69Im5WEvIz3f1GjYln6nfYvcJOVtTkUzyULp8XGtuhhGpIxksR9qh7UkICTP7+rDgIvyudcR
dlgSLBiTHIQHQL2byhn3bpslt9qpK4y7JVqojNzQ8DmdwNKC0W8rZqSEATiEtnYzNGPgtW5xizi0
eRFkblEEeG9L418+sWtKYWo0EEmAS+H1GW8mUi8UUqw0lyggBnoI71zNUvdP3nmRb3JAL827o5Zd
fW6ns97Osg9Kd3ubEDieog5agLODaG6SNARBdJH0d1D6ERtsgx1G/TK5O1u+m96uLok7yMuV1xTL
oPwqQ7if2toAXD2QwOSGWyCPSz3NV4HEl+/zES4UFlySdTr32VPXDnWA/MQNyYaCRctTpV4xgzL2
i9s1XLKqO4GSMkvQ6tuJNdgcWTEz958INfajrYE2n5VlVNxx//jkCA9zOsE57ze0ynhtU9QYRfgW
QqEOHHTQt0GuPJY8Myp5AnAAR6fM8Koin4zPlGkZXbZpn8bqK8bTFAU+Td4/DegjIH+GMH8hHp6+
zxcJujbHjC8MFHlR6LU5w1z2az73tRkmi6RhPa1xOLe8MVp7zpDbOTj9Yv7MGHk+KBJUZIxawV1+
9URYkArYHs0GSnC5q30+D6jPn5G5b7U3NuREcWnBwbxi2FyyNWbqTeYpK/OF4W5ySKNWBI0XM164
K0GJw56J30bH2Q4NArAn45OvR68JHvZWJUJHGic06IeBebTF1cVqjf6mjC/z0r2uXyuI/REbYbZ7
JVG5JVUZIRUA1tlw7bJiFVuogqgSaHdxlXDU9/O4d1GgrhX5KyxlnXeBqDCv+YiiPY9x126YV5A4
Zvf7oV+jtcEzuwCwq1GhFNXf/NnKQ1UcbX2GWJXVR5HszPZZQufosE3EzJUW9cBSolq4xanPniN9
WKB90v8axqggBwzzQriE6L6HCa3FWapraq4tY2OHgmSwDaX9k/7r0jo7jGJ1d1s26x79TDLvVpAG
p2e3uOEv8wH50UhG8FYLgiYkP/otRUfQxvt5P45pFNlqYb/W7W2s/6oUE8fwV5E24FHO+0xZiPRq
+ArTatcmZ/qhBjtA4LPwB2EPcrIoniymHnQZyD3yQzKqmw7/sIy1vUMpjjOFywdTwMHjbzTd6+xQ
+Eg4KdSB9tT8HnABXHy6zhsm9sm6NR5sgVeJ/VBbVf5O63ZN+9Nll0neJvOA7QJZJm9FSM10A7JE
jEHOpEurl/pI5xvA/JxgFWYPg+AHEBus7ZjZYLhxgUp8YSqQ0St16Dx9nrbKWsXhcigRWm+ndjOE
3CY9qugnVYknzCH0hujMN7Mgil1D5rTUrs2yiJnmIhs0loZkgn6DvWBCDe+/guTuuIdcN/AJWtti
RlVYBe6TbuWxL5TnPvnQsmwzzTB8vXsiIAONiiH/t5POcbj0vLl2quAv1f6pmR8/phjOUi//meIa
lzcxfOBNzHGKogAAgraBMEK4Rhp9pfW2Nl+YxtkcJIPFs4Q1P33mfy0dF99JicCQtglLRXoSMWTW
5pgH5J4vBcuciv7U6b21L1GBrHSUndoXmfb33Nh0Nj8Aa91oAZbmrsftxrrnKR7PI6sgmp+VjBCv
9WDKqzs+12UtcD5YrG5iMp5cshM39vABAWSNUX/h4ToLbcoGhw7uubGvZbwK/U0C/GAyruaw65k1
THNCmnwJUKe2U7P2i62jzauGj5yiPf2KvHU9wPWrXqX1WiKs0h55OlMc8BYscq96qkOH5vMbClnc
rxOAm057cLhjZpIYca7oDMwtZA1yYwxtZcDlMoAz0LGNMXgTuPjeti3PsfEW08UbMF3S7MwyCmXH
XptgiIpLlzDs7UiYspZ9+wOm02oPQ3RibZyWqINWnUJ4HrMSWbQ8ofk1Qu/M9Wj4v81wjMZfaX6B
KuV6psRDeTQcs/KmlIGidZvMDtRhX49A7qLz0DXXsDpWalqQpLZJEyD2MBCDUxu/hdGvj5dgSD5C
XiuOrR7Ig6iOnbHB5N9HL+horEtiP5Mu4/ObA9/xy7WOry/k82nMN1P/JyDxTEvffKdxtKBVGwcx
XCA6sunPh/WY4U15VijxFMcRrxiRkmP6ZoQM6UhcG57dgkqSTyTd1TQzpHlkEnLMWzNfGMxbmUg+
pTzfZbCmstrZRPxE2wppzHiu1YvOENz+1jBGRR15oXfI809mM0MDMkAJFZgS+VyMa5s6OQAYB7fX
fJfEJrGWbgwUloi37T3ukrw5NijvNDb4QEC7dpthCc4nn2N9H+mH1v5ptE9X2/XEUCTkytkW+46V
/ilxpAhUhXKnx786+JYuv2ryddJMXEcAY2wuD1wmbDwL3gqLwMqo3UlyWTXNf0tHQi6AVCbT1nXA
NTMapWCNwqVuvSYl/v9948mVMl8zzUDUtSuc91Y+V2SEiPcCaUtAU9wQeoYWrCfCZpw5DMcB8SEu
9cIgOeVmx+nShCrpBHuNlxdGD+3R0uSCybpzYKBFYsTE0ZKvDb/ZyOLhIBnt49ssaODxNEITQ8B2
Zjh18BMZvmELrxRSYjwGAIbzfU0nbEQfxJqV2d5FFpMkt8R/qXTUU+LF6OdBETPTyCfq5CpAK7C8
TmrieNUcDPlpiwyIlYl6/tTEjyF/d/3XrmEZszVZhXkcZLbi3lWfNvPrHOQ9lgp6jIqi8uRkFcKf
bkkY27r1mgUiQE4GaJLjsRt7diDVpk3ZQa6FH+6kOa5H5qX0gjTY7yXPYTNsQaVvJplvVHH+j7Qz
a87bSLL2X3H4etCDAlBAYWK6I7534U6KoqjNNwhaC/Z9x6//HqjdbRJEvBirfSdTVKK2rKzMk+dY
Fk275p3K5EWtQb5tXjQWgBlI3qMLy/k089xHsMaB26qcTyIOj8AG9zUoVLpgJ0QMVU6lsP0i1J2k
9QRYOGke0Oq01nL/0ZlUQTYA/Vir3mn+U2PQKUUDpBvCfDHQeVtBDEjH8wxCsvsPDvxJfeBcGHn5
kIvgNw+lGlUabJ65wQtMEdV7AVRbKcSHqMB6eU5furGrW/eW2iKyEsOVVmrvmo70tEsXRTL3SYR2
eAnfxHmA4psIQfRCTgIT7meQsjy4Ung59Qxa2dyT+G55kFQUdOTXA66epE+OlT03gyE5Ndh6cZtX
uQErpAeKxI0fQWVAgAsJU6ob+9BxL5oZ1JMFwTuwwlQrQViYIZ2nrnM+wo9Av3d9rUvI4IaZb0Cj
TLsvPfNces55ojyExLzoW+CQdsvZQKpJ/MtWlo9jCcTMJRd738rauzQC+HhH30VIvhjSgxa2xceo
KWmUGmFFB1Q6Emu5bfj74P7IO8D6UY7uTe86l4NZzLyDE43NkhNgWpzoAt2GWk4BLOytvPQz7d5x
/PjCS9vyqnUAi411BoBT6rd5aX9UQgxQBbHl+rQgseXbAi8Obzid/vWd4nN3cW9/RKKY0p7TW2f2
IL0PgAtI55sN1KUDlVCYB8maOFdTCps++ETiuWm4czUaZdLCdObZvO9zq73WNb/cOxayT05P+7pt
iDtSq7ynptuEHgPXrIg2+vE6JNBLUoMmFfXGdEnfBYRWe6Oij5ly3kVBC28T6U+mSfdiy/1BuR6V
vmKvV4Z9SEvKIzk1h9TiyBph25M+h9UD/rTBRrSE9v44H68yBT3mKL8oDXw4JJVcsw092nVpng+G
NC8Ae1wM4SwJFF1J6UAA5A60NFiMp0y7u8GMP4akLOixVZcTj50RYPwoSipndGSNM9sgV21NXTpX
ED5W7awhEFMaKmBH1G0b/Qj0AGhMUjSLjJC1e0H0HRQsaryop7bywUABU4tgQA4bqMMy1M1GgNyy
JWWRfw4t9dCBuQuA/h/qrjtvCudbNsVf/JKqBN9GHWWAdaTWnoaAtjqL1HzW6E9NM7dla1+NyP8W
mNr7XEJD4hLam9ptgt5WS4W+NiqI5vLbyAovm4AV19I7aDkOBk/HiRWwJ/OyIbBPLPUByAyQQze7
papkUNemk6ZJL+n0O+uchsSdfxFByxtG9DGjiGbZNc2U9ZXp1Oemrn9IezCKgG6AfIWHqIJQsaFx
YbLp6bCzOx7HMLHZ0du0Qjk8bh7DmvdS7cJtAtOfVvOAMX5LPK2BkkTQBd54jolSrx2p0UWiivpM
9d1ryUw/TJKMOcWVyMeV+Y1Oyy28i6YMoPdG9pVnvdXIsOeuqNTXMRXVeBlLPbY+2bL3mhslQkd/
5xepASWMKltIi0U00jefZbQR2DDd9cC/6AoJ8pt8MiebTR3Q1GhZNgqGkQWNCN5ooNecVAa8Z3EW
07LiRyOcZIZGO+SsHosKjGZIGDJJnivIYVs7M+sDb7QuPPZ9TFNLZBBeHMe6SXuCjLH+UiczDCiq
leteBAk0vOwXajXnMGgYPWw9CskPN0wKWs4nY67IRzaNf7JOjfQi6aIRzivDozNQyMiZbvHbZoOE
mIcAYh8OpXzMsc1LEu6piBCZ6vekPRU0siGmM0Q95yXhJmMqPWMQ8kEPZUCXVhfzmnEpV+e3SnSm
Cwls3hhU6JUFgSCoXKJjh+xWYGceZ1Q3YYs4T0RgWbed4olBdDGl1EL3luuW5VdHgMkGxJuX4XXq
ucF0AQJuyn4bLcPihV549CO9hWkX1UstHCVUeeFISuw+jRIqZGCNvZZgCXh3AzaKmnl/HXg24AkS
b05QvuGl38FeauT6yLaNPb26VnYSuWC2mzgxYSGOQqXTAKBrsrgrW+KqT8omzXju182Y3sN3ynuq
lslk3mWpmEI44ybRUviuwQt9VImhNLh8+zA2jF3eUUS97uO0y1CsH5t8/EDGMEXaqe9RDoPpmJMY
StPQblI1KPWNhDDPHTAoZrGvbR+FjT5w0ajnH4VTu8Gvh1/qfDSdDqbF2OZ97IASgn0ngYV62pt0
xgefAEq32U3S6iZXGVy49BykmuJNqFwq1k9BRhniLV3Yovkt64T7MHi0nBVndg1ITWcHAzjTfcBh
xehbBs/HQGfZLJ1y6UNWeU7z1XKaPPvcVrmv3ggtH+szP+9bqqymwd6VvWNJ8ItVAZup3tdUhkYz
6t3zsGx6dKe1OoNysiT5j87CmFoGXSwgdK86m4asnoeZwWFCQ0r6jsG7EpZJt2SuIEqf6COWoVOE
n1o7n3lIzdb15PesFnrwJvON1oW6SUui7iYPQduQxS1nDHDh5AMyGqUdRNzg1JAy73e/HhpANSML
mD8Y0unwndCkFZSVYhAQSKn2Hk9IYvNW40I2PKcgI8KxMD9WZQFCcqh9630t06zlnkgT8oW8D1ov
jsbibOi9sXWAJaqOZ/Th11/++x//+2X4H/9bfp8no59nv2S0XgM2a+q//2r/+kvxz/97+ZU/KTqc
dWHbygVQLZXhmPz8y9NDmPn8ZfFfrReaRtuC+/bScwFDWJm/r+FSCxPt5rQhuWLINIUyDFu6rms6
Lw0lfTglfgB9Z94X6owIud+PRQvzT21f/2eW1EtLgaRpmdQuQ2p+PJtyBQwBSjlARN7+tCmxPiqw
72xkx7aX06dCGY7AYZFNdXfVTX5HT8ch/OafI8t4jmb0RfdWv1DH00bXlsy0XVso0zGEq+ZverZk
fhiqwayA4tStdhc26jztKJKO0VdCtPvTpuapWu4OS1gG1WzTYIDuS1NEuXlMUp38xijvlE0mj/Qf
mBqPXoK4ja7KKufl01+ctroyQGHR+CJ0aZiGuRxgDDwFHA9F6zG09p11QwsYqV5rz722O23Jej0+
YQlHurrpGpZhLKdSS6tM6KS19fIrNUCatcMNC0KsmTAE3bWmbRvSXRywUabCET4maE47c9QOhP3N
eEaoYOy1Q7SxH1e2o5CWMJS0pC6t5XY0wzHTB4NipBdC+2OakpRKCC+9nsTFxi6cl36xNTBlsQO5
KU1lzeN+tgvrJnOMMADOBxfwhZz0L7ox59nMC1dLYbAn5DZosqt1a8OPrG0OSTHbpqjiOqZYzKdr
Si/LfXhPBsP6IJv8BkT/caQuhT7q3endsbL7xXNT8+55NsSyIwiZGkx1xr2BSmNhuMhAvpva5NaK
EWVSb0/bWxuabVq6tB2LU6cvTpteWYHj0UuKRBaI16C1+ndTZNr3wzBL0jZxdvYT9qRlO4ZUVNHE
wiWrsHABjiICSulmp4FJ1Yh7y6G8dOgRPm1qbWM6umtbSthKsjdfTuVgJjpEfOyWtEfpqkZiyEPV
a+ra76ftzJ+82JUAUm3dlrYyiS4WdsymdyBjZ0iFxkvVnTli9YjqTpQ2792Cmq4rrWFjGleciIEp
08GuJeGCeDk2FXr1MMGhu6P8WeW4ysG9AT/g2htzuLI9sEPmC+CJMl/doJri/g7NihM3Ns1Zamfj
uQ7JcjR3p+UW/HCnp3JlyQzeka5yOeXScRa7w+AMV53Zwl4B+84R2Z/orfBURH7GizZmcHVkgHUM
aeFOhLVYNbeJ3VK5dF7MqXg5a4s2+2R6TEG+nh7T6lI5joHjIMtOWujlUoF/A71msVQl1bTKhojS
enPawtoGpFHEMIQwTVss3b1pG5aEyBHQaypupiABSxH4xQTfM/lDWsyymxxtj41hrc2foHNap5HN
wiUulipNaXmuI0qkFoyUOlUtjRxAExKAQNh1enyrppSpyHxJpRtqsdmlcN3B9UElqeyug8y+jNVl
0L2x0HU4bWhtqYTLXaZbjivZ7i+XysiEE9OnTFN4579vwXcQtl+dNiGMFW/x3Mb8Dc8cvJnbBkkr
ndAa2iVXGW+DvrOhsrWvnZkcBOlgN55+n8rSO8qc4j6kyCUpstNfsTqjzwa62Py2IsOVBvNHxAiG
evI8jH8fKo+0WHw8bWntRD8f7vwlz4YbB2MbVLD67XjB85qAEmT6aEAZddrK+ngcHKElTTCMizPW
EUdGng6SMoKVLQIiwwv1oGBDTrec/Y8LauntCQL+bWpe32cDmmSV9pnPHsmr0b+CvWq6HJyMjuEB
8WOwJO5RJnV9jgJIReOvRX+67sUPQupQQE+uD2uxbRErSa6KqSvoNhlBgNt0mp6dnpL1if/zOxd7
2UR5qAAOOscsN7GhDqWWnKXD99NG1g/Mn0YWm3mYosAElYUT8G8NkBkRWf7TFlZ8m60c0+UKt6Rh
L+MTWq6hsrBxM5mZg+iZhkH/3AtlvdfVAFJt8HNavNMqCPSNLbUyf7ZSuqOU4xquubwfvKnxKsI7
gpQ2/Bj2ZXzoVHYR1GDoT49wy9DihLSUKWhixFA32qCCahrGaPqlXPqfmVn4a6/u4toOMcMkgwN4
GqlKASv/CSMuZ9Bg7gy1jO6I+ia9zVit3igeQ2V+9XXAew4dMv+ZncVzW2haYQ2BicoWBczEecxz
Gt7cjah/dWGeDWZx7ZA6Kptg3np0qNTguLKyOLjd1vNpbYPTd6BAC+suW23hugIZFhUrznNQv03m
rtfg+2Q/0nt6XvWPp2dt5bQSgfxpynjpugj14zAGe0qduTpG9X0UhRunddWCkMKi90WY+vJtm1WT
CwsEUyZdEs7MmWzNDz8xiGcmFsclp4SVuWJe+s75OtXBhWohRz9tY23lXbwOL3QllCMXvpOeHa8o
Y9JfGhJbWpiBPRwuRGVtJI1WZsvRYR2BFo748FUmQMqYhqSY9RhUkF0IuHzpNYWo+vRg5glZXFhY
cVyyNgZk/cu7MXXBDgYWVijjovUY7iErbnbcYyjhAVo9bWzl+Yo8DEg/XugmEdRidWgKMCPbL8gD
ADU/r9IhuCs9+sC9wjUR+oZ3BcIM58KrN0OALcsL/9blodtCOlhyySbN+yAJjNtOkqF2PGATEL31
Z35Lw1zdkjg7PeaVZVQA9V2ppK0D0l9YTuFJaLIflOd98yGKprOmLjbWcGVDztvQnL2R6brLpyxp
3TpQgmq8WdN3G8XQg41d/ZTBIXQ4PZgVd+QKoTumVBxgsXyBaTSAg9VH8qCrBezqxWTdpwM0xhCo
D9elUwtqaAFV6tNWV8aHVbJigjLKnEh66ZmyFIh2nujQ8w45tAjvXYW4O6wRp62sLJQrDF6WLq8W
NunC1daS4EGPsWLDMKlAFXkwOZ02sXLYXAPmIbLb8PzRcP1yIAOkZLU0CES7mZJDk7kOKhx2YQif
yL1pxl/fFy/MzSN+FoyGkVCqCwnyOiTm4Xum0zOkGePiJwbFtJlzKGRLY3ERTiRNQTRghVdgQ2sX
kpqZ/ZEI9hj36sNpW2JtBjkx+F2clvMqs0GvTOf6OSFyfRSQbwA/2ttPyZl9oEFmP32gCwShO1Xv
/cPWI2Jtezyz7OgvJ9Nq7FoDEIY7pne619VO9OL89OjW9vlzE4sd2NmG24lsNlECx6khhPQqcMr+
xoJtjWRx0ZsksyGh4I400ulr7GEvGru/fkeS97So4rhSWubSJXWy1XrN51op4uxOE/eVO93QCrfh
W1cn7JmVebc82+BtnzXVWGDFHxzg1B/qMTsm/vfTq7I6Xc+MLBx4Vns86hKMCPijoMOJboy4/et3
/Yvpmq+vZwOJRVvnwbwScLvORA/VTdiM735iHFwTunRcXkti4Xyc3iSUnGv8YfVdeU9d/vCf/fsL
bwNfSJgCtUI32Gzfuw16cTPa9bSNlWucLOOfY1jcBPFY4hk8xgBrMYoejXijw7w4CsjmTITouPsg
rQZJfdrq2jazXS4gQhZhkad7uTqisV049rHq0dIhYgQtdBgrmy0zaxvtmZmlh1EeHRxWwQTm45NA
AUn3NnbZxjichX/Rgj7VbKr+9E9C0GRdy4qSb/l0erK2RrHwLnlI14k+v4wr9VQ6wYGAfGMTrF4C
1DcVe5j7xlmGVLweMruYnQvZc++tftS/IdpIdUnbA92dCQV24w2c1HsoUXT3cHp4axEQ9WnHoHJs
uK/qWUZH61oSztWJWb0xhCm5+l0h0j35j2G0kbldm0qHdCOWTMsi4f1y3wVtPbTx4NNTSCROWZBu
7HRjOGtbgmILVymjUeTyX5poy7GItMDlLqiK63rSz7wRuvuu3YhE1q7tZ2bk8vIUE6DRFDN+4F3S
Usl0oZWQjpdaHP7EJoeZQ6DbZpNiWIYjzuR6llWyQKpyHmszQw0VIt3uJ8pH7jMz5mJEbWObzRhh
JmzCIyiTM+G5x6HVN0KCH1558T57YWdxZhutHY183m9BfSy/VzfWHkmXM3ffyWv3PD/QT75hcXXT
uRxRXmoGFZCFQT+jd4PGQeDL2mPVz81/6fH0EZr31KshPbOw8BDRVNhu0WLBken7oU1vIRz62JZI
lFS090rN+Vz2OZpW1lYlZG0XknfiBcFxotiy2Oy+H6sozwL41CZ0Nis9vjJacQHkCwIApEVOj/K1
McXbHQQCpUWb6s5igxTGFNt2CL8aTkz/rTFhVavCmViQsxBl4F07EW84xteHGZOSEhl0yzpFuYW/
6EGtSeIIKEgd/61yECmwp+mQASndMPR6jyiSOFSiHY4AVeGFIcv1x8ajUXAHMPXNELjfoXaSGzbE
lpFFTJQn0ejmUVcS6ltXdnIR0pRyhDTrXYs+BSQh6BkeaOHbCFxX0BHz2HiwUz0FR7Cs19q9lutB
S4MQN7HDq4JGB3OnpZ5+byFG9SAr0fyeFyKKIN+CnYY2vCyGQwq+i10o3Wgr/7u2jShhkS0B2GC/
KkQC5vJjP2Oqc9O9RG5sJ+jv6gMdYpct4NXahD83NX/KsyA0mIrE6hJM9cj0AZYwP8LxtuFdxOvD
z74xbNJZlkGxblnvlBVtpZBYQDt4Ht1bw86CxAqOUx/F0ti9Sc+tw7AXe2SQuzf9dFPLZtcj8e4f
ko11XjsrM6qBXJSOo1tuYeBsTu3AnEpztTIAEpftfij8G20zLF41NNdB5yMJrm3++bNZRXdiqoHn
EZ14HhRioPN3MZLjO6q12caY5mP30rEyt9RBSRpi6RU2CvymtNJecix7eUVMbO+aILmPav8BWAzS
3slGXPw6Gp/tgTPAv0FhYC5OqAKOqIUzjXwzefq1mjspvOpOaTQ24aLaN0ON0mFqOsnxtGtdH+ef
dhd+vKXnMGTV8AxhQ7tXOegU1MBWjH5zrodpWh+ioYG89iesuhbYA0WGyFhejNMoNHRhgcNrvvtb
FztvKrT3RiKQQ5uHd4BoLk7bW6kFA03ByYLjm7Fny9iMvg8typ2m3CWxY9yBpPJpEiuDKwgbIDws
gvzYyyT8rRWgvUfeRXvA4MSjg1MjtdVkG5O+to+ffc0yhEsnM4b6k6/R44vI/QyTApzWG1O8Eu28
GPIyByeaGk5FUbOjaNnctdA476W+A5lqiEMAfd8+pofuSBy5MdVzULM8Oc8HZ7w8pAjfyShwsAtx
3hfrCHH3p+pDs4/PoEPcWNY1L/vc1OIZDibND4SNKVFAd1yjR5JRFtsY0NqtQbZoxhvNeXZjMR6p
1SSrQONDu2qHtLhO3T5qUf1K6ge/ireqsKtbA2iJAz+LCdBp4QfSqUsLf/aldqWQ/9PK6z6AxR3A
uvgJD4e7+belxcmvaIuvwpIcbeLG/UH3yuTYlPpw0GBaigbj0W/t8nB6b6yuF6WKGV5CfWxZtKKQ
NfkQ4JBcz5nPflS35TR9Pm1jdQIJOWZkCbjF5Zul0pMsaKu5KbmdgevJkw4FV5Y3f/U9yaVL4WX2
2BZQ3WUew2n9lmQ9SazKszT/2CZ29NAmWZdsXPKvpmy2Y+qwbYDGkdyvL08TEZIDwhwyWdBnnng7
mkgl0rVetOXt6XkTcxD94txiySE6wj+6pISXFWXfz4Wye9IAke7VZ/WYVzDEdvGX3Daj69imHbSV
IU3D4wiBsU13fJ/RArnxEa+cx/wRhjHHwoD8XoGDkZ+KgAUzraVAFrjNkAcMq4ym+2mwLqj8zK3S
nbX3agEr0zTT3dmdhOVKM7aOx/p8zLULVKZ1cNiLkyh0YdQqS1GlamwTkvZJQy0kQPy1Ccxj3qF9
AjMKHIxI2lxI4t8PKQzEG6v/ajMbkijHpLoxo80IRl6uftKZIaAyopC6o0tcqP6qltmlJdUWxmwe
zGLxXxhaOLk+duvEcDEEgsDfW5l5V0JQZds9PVIh0jGhepQOZC6nl3t9eKw345OvKxBeYdEWapvl
zuhi5AgiHld24s8cMU54/I9MLROCWaD5UWJhqoI/p0jbc/qvrxDQ2fBwr2/dHyv27yEt84Jl0bb0
VxFPeQjvyXKIbmp45B6q67YYexSxD1z9xt6JjepYsGkBseqoFwZjCptv6T/+xKAhKmOrKvN15WBq
oN3xHYJKrdPf93LYyz4+jq359rSZFR9FcwRPV+D8VDSX0ZxnDc5gpgqWFYHyYv80hVuQmnULFs/j
GSP7CjuN5KpZxJ0NZwkiaYkgaJmi5tvpUawd+LmYSGVUoGYBtOLlYcOxaLVTzEbgxEDc1+wf4qx7
b0VT8AByUN37NDkhe4o+3lvyZdAwiKHpio2YRsxH7dVRpKpAWE/7jqsWHt9qPPpV51ZRpRcEahnM
DdOtzN27xIuPMLrBXJIgZjsYZ70nD6LVL5Oi+quJv3kXP/uG+dXw7KFVmDmdbTqxQQ6WsJgpAOA9
nFkjf2bKn9lZ+FjD6DowTNgZA1rVTZpdtA+oHkYEW40q7/zGHXddbsBRjLbFhvFXr2fGSPYZnAZ1
tTm0ezlGK4uzqJHEIbV4hK2qvCYaguKS/9BVyaBaUlB4jK3tH5wehr/TI38VVP4wDsTAwPx84700
bqR+0tUNbmJKxcfGFBZqNdlDi+bj3h2yLRDq2vEhZUyanxetBcjupbXU8MY6nf1sWaU3rmreTUW6
VT983Sw1D8lE+5NOopXHuZeqaQzpzoNysmIBY1sWtzAaQ1ZhxflNDybmyaaD+ZMW5MOtb2X6gzXW
xZvWhqQljugudzzueKNN3dsycbOH0xO+dtU8/7rFqUp7Kw+akK8be0hkhgYcZfU+8N2NKGp1XZ9N
wuLgSF/SLKPwuP3MCUQyluy8PABsBKg3DIefGJNNaIhPBAa2xHIEsPqH7YjfbXUHOr3qGEJoAJrq
Z8w4ZEJtNqoJ3mixe3JXL8Fr496hIMrG4SyD8zNy/jJ6at4/z8zMK/jc5/SwsiHHAx4mnvPZPQpN
I/gz0Gf5t0Ezt5KTq2eCZIAEpmIb+jJ55ghhG83olrswDu70bjwmURhsuJjV3QAQZr4X56fjInwr
IzRhSi2ogGRH4lwWwTt6fG/ihIiqDTNjY53WrUEMMT8VjFfg/TCKjFKz0KUJW9SgAhF81Lr4Q2TK
35q//pKjzgWyx3DnxwJp8sXIgnIqU3eK0LjooHlyUJFoRFtuOMmVJSKqwJdQtgNUt6xNCog3Qbjx
9lHD1F7FDWRbEKsUG+DTLSuLOyiiAcZLs4RFGur7KR9wRtFfHwjgDcIKSoOKF/fCK0RtijB6oKrd
CLuJ7fkUIJ2N1/zKKFgLyiMm/t16hevyikyb+t6biYm/mM6jZ2zVKVYcKAaAxM3UIwa4z5fHU9P7
Vg8qxpBFD0kMvZsHc5oWbOzh18OwqTaSaiHnCrB1eSkTEpfciDFaVuFDGX2xZLJxJF8PgxedbnM6
mC3Sj4uLdwRHD9XpiG5j6Jh3raZZB2vUrSOEmM3ZX3XPNi9YMvAOCU5JevzljKH6RGnJpKyB6osr
30hocg2ov08beX3oYVCenYukh9cgqfLSSKuHtd44Lru3MieYgYidczBIFeIMkcxoaRmmIPiruWoD
m7MD4EVI04E7L+IzT62l0ZQXiq0QwGADEbnZn5VCxTtah86FqOP5kniYNnH1K3vDljxlXEhUSMEu
h4rcsyh8iy3edkn0KQmosGdt4G6s2poVm4omqSM24KvbbqBJzVY+VsahuPfC+FFCZ7qxaPN5fxni
z9G1pKUcUBfuYOEP4siHTtiOkN5CVipIUL1yP7lZejONnyft6+kNsmILT61AKTGm140ChRGhOyrS
mTU0bW8kQuewouRIH5FDQQqMImocRs3htNGVScRzczOYin2CQ3q5Q4ysrbWqgltMS3qoocxJgJWU
6eVpK4unkjKhGsDlcY553NIYvZxH9JVK7gdem7nTXjbOgBoWOQp4/d8CWd9FMOwOUBuG43RZafqZ
QjrnD/zff79gWKh/MC58yYuxCpGbWfzxH7fhlyqv8+/N/86/9u+/9vKX/vGm+Ja9a6pv35rbp2L5
N1/8Iv/+H/YPT83Tiz8cM9jwx7ftt2p8+Fa3SfMvLoj5b/5ff/jLtx//yuNYfPv7r08olWcH+Nir
8Evz6x8/mskjqHtxE/6bbGI28MdP755SfvH/JU9+/lS//pVvT3Xz9181U/5NSCr2v/7Sf/vn/1B/
I3okwqN2x+uSLoxff8nyqgn4y+pvYKDnk02Fn0cK2/TXX2Cd/vEzof+NdK6NhxMkF2iNVb/+a9T3
/zxU/1yQdUaMH9Hqs7NnuTQbmiRUocQgsQqxw8utCUsMJD0e3L/Fp/Z7/wQJyFFdhpfJx/7MuQo/
Fefe8dm0/PEFzzk4FjfOK4OLa8CADA0lLwzGcXHdhRV429i+UANKU3/JEFES7h+EhMvVyYQtE7hc
z605TGEK6X59ljnOb27T3FvVFuSVwsdL94UhFpEbgNiM3PerY1f5mhl75IsJ0qUM7jW9JXy262p6
SDXow6C0D6LpplCpSPYm3Cka/FYo3EnRRfZ5KwBRgPYKpxKetjqP37SZHE3EL7voXEgonsJkSs98
QnIY/0ZjH4TDe34JBS5bTuZjGwbWDgz7eEgQaLmgVBI9SK9hj6NKey5ZjrM6CBsoZ+vQOQyZNTx4
fW2fFehJ0GVaIn4WaXpdQVELWSZcO/WlC/3WB4GA7cFq3OEhcgL0NcrGCFAJoFoLZbwj3lAHDg+W
lXtoAU5h8tgNg3+t6sH+hCgV6tomK/pu5gG67qrauqzyDp51mJCCI7GI311RJ5i+S71yEjQ5oURO
hrIF2GeO6soIRffk8/CtDx3EPpBfKgelmEgfsgsdEMpXLU6HD5Ujxt/dSmjn0kDO9NFGq/PG6zt6
nbtOyxMquJCkeX4pvzlxHN2WcPrQmBymX9ypQwGpFlnyWTloJcFSbV5mIBjfDGMbfU2R9DwMZmvf
oepqHCvo3mhhiblrd7XXG+muT4zhwphYJFAV9dUQleVlG6rmkEY+FMeZtB/haWoeksJJz7MYxvtu
qpFRCoz+s+foUUyZV4wH5HeTGx8+4Tfl4FZ3fjFk4DxiCvrwuMbU7bRWqNuOpP43TVQBOslIeWfH
arJqNGyS7lb61XiY8MXvIjN232nM5kzMZxafiwZ9q5hqAZTp4FF2BRiTAIaY0r+SVlFctibiBuxN
G8rDKrfOwskMDzD3dzPdnDhDulohp2q0HZ0sXn6XE2j1ZxW8/QdjROxnUEjVjPGAzgCsNvtKpdCk
GAF168gvzSuFFuqnesoRKnT75HMzjo04C42xpR5JYsnZFVZVI1sRPxqdKN/AFaTe2WKcxRsNKLdQ
MxH3Mk2nG5yW+KjgToAsHOqZd3E/WDBsFaV5OaSjd1bTAX5w49D9XMfdYO/hyp7ewTKbvbeshKZw
dEPSa6jyxNu8IbOGNIMU6b6KovhKpv3wQQ52dOymyEMXOYOpPE0zaBaDfLSvIyDT0zXCXVSGQ9v9
AMsfWoQ0GYUfHOH1B2sos895EbnnTRF5V2NuTl8sqzC/DV4Vo/gCg9ihnjoYtVWVH62++157eQIB
r+Ef68mVB9uPdehsdesJDfoSnmpLhPe+k/dvHQRn4ZBMzPyQ0lsUAiORMJlKOWQPWee513AgyIvB
QBgTCBHC83SVOLBPBxX6S/hE776WgVUhZ12gw0Si2EaYbU6NFn0RwyhZRW99L/Jm2T2NaNxVkfX7
ENLA36Y1N20SFB8K0wX1LkQqtD20TeFT0w7q4EMac6klVv8JqoTuY6eX3peo7tWZ8u3gUwoR1n0s
hsyBqtNO0RKqiuJ6hDkKtbcuhPTbH4bms2yzIUQGqMNjpahHDTs/HnmdQfuH1Fhqaw2Sr4HKpiuV
dUN9ZQRk6+i2tbSPMa1A9cH1Bpa2TqBxOsx29EOmJnUd5YB691rhIJdmZJwTh3jhvVGJQQfkIMvf
Q+gBvtJ2mx+UGVkPkd7H7xBMRwoIjSE/uvQ0kd/oKE5+1PNJ3cFk1XR7v83UCDWdl1p7yy6de8cK
qTzb+hBlu0EPrHe1KKObKaNGuI/j0j1reYLQmuBE+W9lOkQPWgmp7ySlPLiW92Shzj7ErvZIuIEG
sBzTOz/NmqspwEdCtKXT7yRr6zGZMldtEACsXFOmM5NbGLxZFfiklzd9m3dy9LopQSAKUQ3uk9+q
YQuMu2qDByWYJJqnKTm/tFF6hQj6EhsOGtFNYOyc6fz0rb6I3+fLFpT+nxYW6YkyyduBCgAs69nn
LjJuTNi1W7ApOuo6fqA2Yoit8SwyxaMhOyOYrTXmjVN+FPbH06OZv/ZZ9LUczRL50uWl6iTiqRxh
D7453/+YB91RTN3HqoNR3PTBm2fVhtGNQS2RMFzskFJW8yI5LZpQdvumrMONt8giyns1sEVeIYAu
bkx0bEgzOrOKG4j5D01UbSzPlhXz5XZDd6PKAySSd3pT3yJ2tovdFH2DjXrelpXFwVH9WJcoAaFX
TbOReWkGt3GykScXWxthERVDVDjpujYitX1jXOnH8m3oQ7K6G3bhnpr6vj+gpfh7MOzU79t4xa39
MOdUnuUvvFzPu7TDtlVA2Rkr+GPNjRf+1hTOp/qZCcNCmKVImEIL4Y8+eFe0cJkiB3r6NC27N17t
uoVzKGJLTyeLkUB0fs47uLkUuxK2/x2Uj/sEVuozYJJX/mHLTfx4S5w6xws/ERVmNUCEQ9B51Ryi
+46A4i741N+Ve//KekRUgY7WO0+hLnCQ96cHvTG1ywdclWiN4c+mw7qzv0Il6V+6guAKeS90RX7G
FswUZLmhgHqVYECTR0scbMGDvKv67jBINBXNDSzR6ojIe8K8ASjqFS7ZRNgbfWAkmuvgbTcgLYje
sbU1lEWi8J9b5ZmR5aYvp6C1TTTiZRc1d8NYnTdRfkEyFk73Wmxcvesj4u6FW5ASyzJZ7DdaJ2wX
Y+DZrsPovCCcEI61sf1XfQhFqX9ZWfgpwMyI0w7Mm/BT+DYRudNbhSgJUlJhdtTd8LaKx/PTO+JH
zebVzn9mdB76s5ONIl9uaS1G9XOwCFAz3rhnyZmPYNNZ/147lofiyX+M6Dnd02e0Dw9Bf7lFtrks
tf6xln8OfLGWAe65KSu+oTsL7vvv7pf8gZ7/g3Gv3kV3HPvxEXGEjYEvwfyvjC5cWlm5OUqG82yD
zL8M2kZHO6NRqCIUhaQToyxu+8ywj4Wt+5ckDxB0MNDsUvrQXZxeg7XdpWCNmNn7THiwF0tQotvo
BileL2qzo/LSPVJg5wmiK6fNrJ2Y52YWs+yIQC9tWiF3lD7+P3fnlSQ5kmXZFWmKggOfY5w4d4/w
iPyBBEtwKKAKQAHsZtYyG5tjXjkl2SndXVKf0z8pkRFOzGBKHrnvno1HIj/V8G/ST5B4/8Ux858e
p3/9VX97tq0zOXOqeEcDjOpN/URRFuro1rli0bxfviTBQT2V+2RHL8x9+e/f5b96mH+7QjzLDKjq
+dW4o/BrHe/Q6SnA+fpfKc3/s1v3r+/xb1eGHxc4H8Pnw/E8/H0R7pMT1//iIP0Xv+LvIi/coCNs
Pm7XYRLhJGTP+Vx++nhc/1bB9/+7Ui7NYD72/7qWe1TF//nf5j+Ucv/xLX/Wcv3gt4REmuG5GM9A
KrfuP6u6gfebywlPG4NSIBMgkpD0/1V1Hfc3+oUcHNR7aRIzKPaXqm7ym0//OLiJGm/yBaba/42q
rn/7UX9NLGhrRT7TX1zSN9uE5O/SYuqIncmHjDKN44dfVd5yMCkzZCrfwlzSw0H7Iv/hAykcNoat
/ROvMN0dg6Acs6vIdASwdPaW5NgYPUX7YQwkgwEwR0E/01nAcr0Z1n65al0yBiaQIx2ZZF6brUxj
p7sYNGklsBm0EkyxqgVQQ9sleF/ga+MfPWVnu5u06hlYMQKMJqk+2Gr4YhZwR8dsB7RNVICweKqg
Gnexa8UPKjyFunndz/jSTzhkjZeSKiTSFf4LQ6vq3Pn76i2Ft/f7CAK0VxXz26r7CQda0ZfTtWLE
4TnOGCTfi64Mx9e1nbDvV5Sm1E7Pnrb7yjR4Uwl+TLP3hcvfi0GuHghuNb+VoS2/VYvfafz3Ozcg
nJvojGVLuKybdRhASPlr5acH4av5uwIezjxZ39fD1ccX4Si7ZPjiSzPBDcyUu64QFFXSbcNhjR5i
bYF8QDD/BZuxthtRVqG9k3T6qWoEmpZUt05U/kzVt+1zXDpVssu9IQIeWfTttiypTeFasQQxQyuL
ljsRpiJ6xGg8/T3Fkr88GK/E+dqvk3W9oxVcPOt41k8VxFoQWhBMpiB+8qrmiZLrUxPfTBxGBhr7
bdXF889ILLgSof7qfhJYYJFZt2E1vKSjUDPMlzT9GYH7Ndc0kTbbMnqbrJehdnv3uQ2iAeYD5QJA
8dR35WV2zZTYl7JdcGqvuqSFe21C7ivULu586BkbjpnRaA5lUasAPrGCFoV7ewEbg3cLvALr+fxi
BeCO4U7kPjN74Deb6kHaIJ8eRlZLfmhNUrTnsITqe5niIUkRKVeRue+qTtf3QzMICfM19BXvMLOh
DFAkpe7X0K5yOo+Lzqu7uO3DkFVcl/MONIh9u+khwy12uDXPOllYe5ml1Q0lAQToVulKZveKinW4
V9nsZGdBdVcFm3kZ6Atgtw9QKysixrSwDatZ1jHtx0MWMIS7M61Tu48eiDU/35QJZPmzLEMu8xLa
TfOOMb5INmtY6P7oJWuynHKcuvKt70yt3sp16MWxNfzOLVsL5m4CCzGEGR30435RCxdl5aVrfUpk
UjF4246z2EWU0G5EbccnU0KBll6SBHnJHld85xtu+PZROV36WMWUBLfsDqg7qapy7PGLOYi2lir7
Vzaj4GRR2j7CeXGcXY2YwL0GifDkBq/w5CEqrficiK4qd06j9O0s6cHj+dW0snXHroOM7tYjALx6
aHjJg6WcXlg/n7a6UOkIlKHU4ZHjpjTv/ZpVwR0KSfW5E5Qe4TBw2u6aoTHOtgzq7Puw1pB3UCAw
whlEVRAAXatG9dz4cUbPQMT7MSz89dI32oYb6r1Gg7AO/SHm3dcyO+SUYsZPArNvYHE2liLal6Fs
ymOfLCssRjdf9XMX+yNIqdXtr76OI3FYjIjW0xCPqr1Oq2j9k2rdVG79dQGpOfVdi26ScsWDl/uh
2PUy86dtrThR95T9ODFjvwr7/ZLnqt6Oc5Ssx6gz8js4g6I+G/4Lpcvv3drfKpG0GYuZTjM0voZj
zGJboHa2xhf3ME6dRV/RpPxNEUbrO97zkX+3WNCXLmPxMwTDcCo3RRIoKJ6tL+8XoBrNRY/T4G7p
r2Q/s5rT7QiTYV5PTJWgpqgqnJ8OSnocdLKVfvZCRg/7CReB5K6ynT0AQYv31szeTvU5NI8WXLc/
ux5VepA36VsMyfNnhJL9xRtUUEH46kN2EYiLCFaue8PuCddXdhMHjWi2/m2zfFsTX03PTMOb7DH1
h2o5Rbru1NYLLF9JA22ExDh46QTYg3JTDiQO1/3y6s0Fkv084/kiJI1m1j04EGczODXshTAbp0Mz
OPG76m6OOwul/Qho12LMt3kRV+OGfcDIRa+q6WUoi3KBa63L94SIn5DUz5Nos5S9Vx8LD1Ltt84f
q3zvxzQBafIMK0D4VUXOXYHMgIJOsjT1I6eCdnmRHlzBsMzL4LN0O6i6eTLV0ImKaV6PMJnltI8q
YTHTpdcx7JlyauNr7VZug/txS1rnl60SByM9U6Bp027aP9KeE/NxDedeM5yCJSrDbdic7DCS8/p9
r6VI6EwJoD5RRU/s9Qa0jjZBW3P1jHOHUCWpUP+QnFJ85wWb0knMH3JlBvkU1Vq24DKIGDZUlesM
iJPIbo0/aCXPcsgdD/YUFiZgFek27XMDPOyaxOr2pFhVpn7UlBO6Y+7UPiA5kbf0gha30z7QxdZ3
NyOmtMVGZsRaj5NwbcmYJRcGKEKX1RcOMywoeO10BWoaHMM9ViZ0kNK1qH5GzjDLByGmwH1149Xe
OLpzzl1Qsvo2mhABegzN3+ZqJ8ZIj1K0hX8cU8Ckl0DAG3yaLP2LUx9ks7tdJ8+xz6UfhMN5mbIx
e+bSjMN7s6Y9eKkRJsvWTGsbHpZ5Fjnzw8UYXoUQ5Yjgb1iZN6bh5l+mdlyGZxQ7piQZQ2uCo1Po
fjVxRnhhGTKDjYm9g/s4FeicH/jYxgiAbpblT62sRlxcnWVtzlnVN+mnNraca2Mrxn0bFyq5clR6
9WcZLFNwSlodubexCebVis5g4schHep5s/RrkB9iwdmKfWkJBDRz4f+Cjy0bGkmmM0DMurz0nrw0
7cSD42fky0Gigztk08O6//dzhP+ZohCi65va67/OJF6U/lY03/6aSvz5PX+mEgFSjxh5ArU0XLSZ
ZCDV/VMgEvqoQLD345EzUxchjP9nKhH8Rsf15rWEVSSCUC/ku/6pD/kN7MLtRzo3B/rkNjL5b2QS
DgaX/zGVYNrqluKg1MRkzcdvkGTnrxWeDLiICSm0b/0a44ftqHM6yhkdw9deuv27SWT57Tbx/oex
yXAZ8yk8ztOvsJ8PoYqd3aC8caPHLN1OWUm0PSVje24LunpbmYfdc1yrhT07u/re5XwGO+aJ6YeZ
/fR5Hv1JbGD0DNclyPpn0471Hcg7Lmyi8F+Okw7v8dqlv5wWdrYqtLizmW1efdM4zmY0Rn2DwnJD
ZumwA19Y9l/TPKkeiiBoX9FHEDf37bRe3TRoqbI7crJw7qPkC23E6eLJfLnMDNl99SAC3iN/KB8x
zRzehrgbKmpqszfsdV+bexup7IDvXvvUIDS9+lEzveSqF6e4sMk1hEF5n+gpe2X/hXekVdmzGdf5
R57Z9EfGPfrWDLoDZRjDKJzLSZxGp1DXRYcl8XqaThe1TON9IHIzMxCmxmcxF9ORu6erN95SSbER
UYybRWz64gCcCAIlFCDYs3FzctsW/2dIsvULbgEkMjGY3zAAI+2UY43VQ1f9njRrjkbBF3vP18Nr
rLQ8hE2h943XuXdRFg1vqCarQ7RU66njrj5AaIpeqhQe9qQkcFBkAdu67O2hgfD5fcJ793XIp+Gb
4c7cZWuk3+Yc8cwmFJV4LZHt4KFDYvS63CLUTanQcWzUGGQgjyv7AnNCHYCXy0+6a7yLReS8Xymr
HopxBeoXyBTSh27j93L0RprkQXSJsjJ/A/4WXmD9rAfVVKAbq9iEuyQP4q9rFPpbSUB218fxeLIQ
Qy4ZO2tPfpW8ZMKz+8GRK7qBkOH+Piy6nDvfrS8iTcJz0znQnWI1PRn8uo5+vRSflkaI8zqGDpDT
2VwNAdepFnnJROZMCIfN5YyEPswelSvk3cQc37YGpXroVZzdLSGyibaM/V3bDfKUhHrcO2MS2026
ZMWp9W11T/jhb+c6MDuTAqQOVld4uykcm1OT4EVXGF2RecYlQqCZb2z1VD1BSNzWOgwfmsZmWN2M
4R35md6FEOWPfT01n7y8My+Dj5enrHuY7MNcwb1sZ7HcW5NLUJvCdsp9WUPjuc8TbVy3ewl9b3qy
4ianjpulf1W+zd9hZvav/pjgaFmNXnFV5PG/KuhvV9kasvhh8D/VOJU/rtgJHE1B6i2l8T9JL+JL
umw4E5jED5kJPBCUqsKKqpWQ3Su3mHf5kJSXieR8L/XQgSd39Rcux27vJ3P+bhB2PtjIE9dMS/tr
7gTAvwnypzXAlTvHm6+BiSURdD39rNkx+0Hp6QSRVb6NCIgePNeOB14wR4pTx2elRfmUJX0Nlm3h
ZSqXt8MWRKqR81YqZviJmof2YirkFruPd6pSlb/7AF4vdGrnh3U1Gfj2GfuEUVv52cbwTVXqpo9r
uy5QRMFIvviJ5kNblI89D5phqhu9Xh4Ecz+PSIfUvpgMMp+ogApH8WKUu3IowiehmmDbM1tPLDtk
+bqZ56a6GaSGT/0y5Ec9CjRSwVRNb9Ib/QOgvu6rbWZzytw1eR29odwvnts8pb31HhZBfgpROu+v
kC5CNEwdTz0m/r7rlDDoeMjz/aR9XcZV3qfGnTe16dXZG2YMh4hZPFa4HLLzgvEHaN+2HB/mdS3r
HQCL+E73rnE2BIfVM2PCy/dILW1xDkwpycbm6dXXfvUtTY055V0ZvJgiAHnsi+UaFOuA5dpQQPbr
hfKA2S/m8xgI/W0F4EZOPAjvfhlBK2J20lw7f3X2MgShirk0x1pb4puHNo/anh6vldBgYnOdvcjM
azymP3oH0esENi0uZ/+F6UmA8NR6DjDHcN6ZRl7/Wk2PmOMRmqZO0Dy11PGfKhst/EgHpGrMsOW5
NZO9hDY3b9YH4o4yukJgWJA1Gz3Gj2qu3C9p01X7Itfz90XA+m2aPvuxQA2krjSx7GNh9X5x4e3x
G+fHwASsjz4OAa6WIsUvZravaknlO+Met498NVsRyeGuM4LOGzDF5ldVOSTufm0ORdQvl9q6ECMm
lZzKAc8Q8sDluzNhpuElQ3Rau6J8AlfZ3TtDSK6eltmbXRmTAnil96NezMY1XnHktpXntbmFuW3C
ARMJd5vJzrnqPI5Av7XiLhVFebaTdHeemzpnbJ+r19CvokvulvHBG219npZJ7z0m3m4FEv/L0izt
qbWobFAf1Tsuj+iitZkvSR2snHa5d+/3S3tOF/s1Xjy8gboBiO48OUeJn81lKLrw0No63yV16O6W
cUkegiEc98KZFRFFOj1mvWn2JThBiFOJ7n4GTcGYRKvCwdu4Nfkcs7ji2A29f22ABh5T0nBwbCm3
N6424WFO+/aY8tDe0GVlnFS+u026YUo3YeRxVrQhtTe12kdBKXXftjNEa68Dpxv3yfgYq6g82kQs
3wp0YtuBeYNdEgl8UjxdH93Ry7dLHhUP7mKrK43NkUypXd/JQZyTXNvyqN1EPMSObvZur8ont1LD
c1azDbRkfDgLgXQW0exvi7aeL3ZuDL09E4avpux9lh700HOmV4A4c6nM+3rTjwxdnB7AepeHbk5K
YNNudy6dMD9C3SzPXdu7BxU36lGMajyHHFC7pUfVtgkzx3kSda+PXjBmRxFl4UPu2fS5kHo9xXnA
wkxDA06iQ9VGHSqf3lanQISqmezekH93V5X7/VZlqXvX+uGyTa2eD5M1Dlhv28/p0UY9IFHr5e0l
nhfgrUODOjSHS16Mg3iMu6x7nRbVPlvFfeKnS7lLVqXMpjXKuW/a1qodSoLV2wk7kGSqNNZ3resA
6aZ0sRdDlvyAMFpLJDVGnaLSqeFwM91wBrWL1cY8JIj/K0wM8Pfs5985qtzNXMDHrmdArHg4uM+r
0fk2MIl/dPL498Us9rQOan1eJ8BiKbHDwzwzLeMlo+NvkG7Zi9Tu/IccRPJHLtv1aGrRnRJViGuC
59wRaFfPR2Gc1yZohh0ek8ueOYiJuLi0yZ3O5/51GhLKzJSV7MFzKaBgZpNS6UxKeeJjoqL38UcI
WaagqBS5X23ScQk7YERBn83ek2q69GSx8WZdqvhoPE6ynTWIDuKyzH6K2K+Pthbxhgqbt2N6LH+2
vcOcqVz94moK7jwq6CslhrqmKELtM7mLm4C/sHioI9Ary3bnFQ5/rEBsPeg+Lq4fBR+TVcO5EjNX
9O3Sjxurv/iD6saj47eA6uWcMicejuF8bi2rAz9xsmVqePbAr9VfVFTHe4P27YskqDtm1BmOeAXG
+3jmf5Gnx8dYh/wyegVXlPvJ3ap0fCx7vkOvutu3FU+JCLd+iSHe3smOl0c5Oj7KsFHlxliVP/sz
93VsiDj8HMmtn3s8hJIfbTm69mZS3Z4MixezevYtm439paWmW+A38ZE7rr1EUuPk7hrev63ycNNN
tdOgA83n72Ch9RcTSj4wJQAw0oWnTyD4ThVN4moX376pHvmxwqb+KjMefdU4fHAEZ+mjgmp4PyeL
2jnGL7iKG6qtnV0vfswrW7OB4hqz+NePr6O5wjcPNY+kUsU9dj/eqxzs9NSOCktcVLats6vSId0p
1ciT7aNM7tDpUWh3+IQzIr1rXOv+tbz1QmTFMIRseCjYq3MzoRjd69r3P2Vx015W+s1EE93yeczD
9Juivnr06S1fTEsfRPo1IZyM4oc4oQjIG+fJ4HRefjMrL9msvEbrEa1Vft7uMt3VL1A724tN+BRt
2MR7GVM3FD3C248FVblcjh9ldpqW8b4tqfQbJf1PWgviRJ8HrYvbh+rfXn7fsTRmFrrnrjHz07d/
vW0mxJWGA9Ep1u3HmpbpwIrIWczVwhoyWU/UmgIH30iq33dRw/rBfcr/VJLYPnt2ouDNaT8Dcu3K
bz4P7Hs5tEjfVafzd+17BIAAhu2byHy7l9EU35d5TW1edd3Nf60PqfjQ6SHGvYW3LAD7S7HuSBgB
YPAxFCyyOGYvrVMRUh4s45zUepnyd245+ljE3QTAxh/5eKxDWBzNS9IeEj0Xj7iPQlWG9HorIhXY
hrErP1oIrZHEYlUid4M7hc/BNPTHbCFKz4K+vfg0Ul4qCzKHef4s+2lch239caBMzJni2WL5SOrF
2+mFDxWDJyfYRBPv4WPLKd1T9p3qrjkVg9O9QbRjjY9+B4o+4QephUPHx9rw3QYdOnNZ0cX72LaK
tuPRX/jyGMIILFjdkUNUmvXysbg1TaWtiaPM20W3rekVtTytLg/n4yPBUpNDSnE6ZEs3f69ov2w/
Nq6aWU3Sy28NmGzgYXzUoZUMMc41UX3b8wOaRtzawRnLlRMDwjCP8uN4tKh+jpXwWOUmcb9WOEwt
ZA6KV/YR/vsqup3E2qVeZ2QD/dbXtNE2oOs5nAICCiVZvcjXkCfJdPoUcMwUx6pt0+pQgad5QAxM
Nq6GnikE32oeXj4wVLCf4955G8JqERtg1LG+qtbobSIYmdxETpn/YvTX2Q88Fa5Y9kl+Nwdxn7PE
Q/jdeI48gn4uuLyB9Fj0bRGdWak8+TkqshHaetpHnzl2GxdwaSqrb+jhNUXRnn13b4yXYWvt852b
oJuJzCsj61MXZO1Vi369OL5v78IuBeyAEcNE/BaFNbeFm4uGx6OzT2vSZOmOvFPxgxRV4Nku4rsk
XTxXMfGqLM1Ib0nJknS46j9XWoyfrbTN3Tgm/cXP/OaxXNbg4GXYlTJ24WV/rNU67agMy4c4mIeH
in7il0Ql7nfttPNnesny3HtldCizeL5k/mruGYlkFH6dnfZp4TZ6RFBTUYahQq7zknonMWrya/Ja
GlJiHan5p7V9Cbm6IdbLQN+lnScvtHXis1M50bN1nPiryhpafL0M+0NCknRy/To/xvgXHRDz1zSG
+FD7cYkObSDq+yZd1UX4ub3UU2Y/k9v4r0PfUBNa3ZjToZ6GcOOit0DzP81IR7z2sxtr9khkozdW
VwcMEu3H9mZxv2NlpL8PgokdM1drvNGDbnek/eLEvPzws/K76SAFVB7ZjQ7XMmIUL8vWXSwGddU0
M3f1GtPfm/Kspqu/zo9OxGwKtfBBaLCdpvpVR8rnjctnuZJbncB5DM9iSO1baSV7BX8aetmlk7J+
Sy1u91Ky3K65xrmdM24tm00ptKjvIsKxby39pOlQQkF3ti3n7luWT3x1Fi20pVp3iL1TFmqO0YE0
aoMCICpo4Jvy29RxjYqe+a+zCAvvawmS/exVOpc73d6a5z1AaLshbjnZaRTXf3T347Azy8PiBHZ8
x7SI0IQuBnu5pX79VcQthZWPVxEPhqO5UiMb9uPqxigsf27Die1XtZyNvAjNv8WDz5klsklNJ7O2
qAW01ZyMGpzATlHb57y31CkjeD9A/9juvq+5TT5uIb6SY6Klca427TjO39tS8QIEw2bvsR36Vy/v
+f9hztf4hAsCowApicqItBaP7bAAguMsUBnhZRfyhGKUHoe+3XHSoXgm8YHDgjkhsMrwFttkMVfO
x/tsXUugwNTYZUpDh5EFovkMuPQgrpPDmflRT5ksIYZJGrqlqqE3+vGXKyayO3id7WUQ87zPaPM9
+UUabfWEgXk81+MmGEbvKYPGemEp07aLFfFTj5Tlkw2D6dqOXnlfgv28mCxBM8L01bYcpDx2Qetf
/ZZGOdwWilo8lQs00hA4h+/+EVUL3ejUyOy7jjq7G9M4/CxHkpLJLulrNvjhUbjluF/RhW+MVii7
ygSTxNot70LHjjtaJoywlmnUHJq+JqOhiQqcvmPZYVq0y7zebPLUeHe24URltLV/ZL4oeW6lXPeu
XlH+2iR7lIz2HpasqY6aFjYHO5uuyFJ76Ur6h5tizfwdMxf6EtWsblPRFmtnghKt1/KbE+j5S+Mw
9rPOzXBuBfe0IjtP93VMyXqr17SeNnO4JiRgExNepNFzelbx4n5hsogpGFjn1a60ffo5qVdtTv3Q
pa8ir+cnbFbHh7GVyoFAntHN1QmXzhY9hn4npJbho5fURP5scnY5V0Uw/8Pr4d9Sb/3P7MzQ+fjv
+jL/64f+9demzMeX/9mSCcPf6JLCqESucBvrvw3f/tmSibzfkhi6GMPjIIT/Q0tGRL9hq8u06W0E
EiATPZi/9GSc3xz8/JH44qeFkR9yrH+jJxN+KDr/Irpl0Fti0ETjKID8y2/829AuSBIgspbI3mBi
XX8zjljOXWXDcqsSFYoN8Wt2iWnonyK23kveyOauhxN5Wspcv2Xr6GlyjyJ6zLM+erdN0xEOmhDg
Z2g5vpBn5TToSZIvMqKWNVECKbY68/Sh90San/qWMJbOemfIdRgBzXvHOTKYFd0pV1ckqElpqKEk
wb0M8uVubspoW7m9u5Psjrt4CYNfa7wkT3XWix+MUjWfO7mwIQdVHkpn8fb4DCIUiagnQRt2npop
Med8mMx26ONm4xEw1ttJx/0uXRyKRoM/yL1YwuaifN71nawm984S0T+X8Rh8nbuq/hZM7UREmGr/
3S4tpcvGn/znNfGcQ5K7wykNh4grr5niXYfjziVCznMeR+HeN9obD1Sam69OFbg/mtk3h0wk07Ot
qN9REK3OaxnIu8bz68Mi6/y8lJF/WerZfSwUUU2PEuAwSy/7jF1hWmyTBEurRRXV1WN48G7RQwqZ
RczunmMVMZZu3LPrNs1rIAcivDTPLt5cTw9ZRF0SS8LO3fahvxzzzC12k9+4NEby5b4L23Ufxaq8
OcCv57HNkr2POHGfrmNEBbn5XYruaV5cc3Row29Xn8pWj9kLGT6kKGjF5fFmcbHr5BhBuKwxyY1q
evRNEzX7pO7Wg+yn+o5ouHrBmETuKFz0vIBl2Q8EG9jBxxmJnwm3gCzKS41ryo+1mO0FrXRXMmmY
2G0jaOnVYdd/XpEqn8LeI1JA6LNJE3Mf+4WDOVCFgCdcxotyZbOj8Ajad7Bqu9DtfBkT3z0RsUOs
ZABxq9pueuJIbXd41iwb6Qn5VHVFBhVIDfhhCPeQtsLbz8Ei36dgtcNzXjFB+ug4llvrHPWlKn5v
giEx/l64a6qjr02ShX0PBFeLYtrT4U+6fsvftJPYITzxWue+AwRZzxBOWzruFC3bms3yshQEG8U1
rMa5cp46ZihPE7qqHYsjP8M/VG+ixd3LzyofGEbpfKpF1D2POI2+xdXM7qiW5RyHxfDezitkdBvI
5IkJ3GZb6cX7AQnb+drn0BpiZm23luLUuTYlhW5WdbZBYqivk/aiuxRDHCyOMXn8TC1muqyVoT5d
++tDYBP3iU5a9RXLj+FYUPIvN3bq5JZZYO9p7eF0bAM3hQe89PFDO1c2JV2o8mJDmKEfS/p3/YXi
BG2OdiXaVkOFFGygdPv7VFfTU9qN1WWtV/88RmWHfiRpEZrVoT3M1VReSlCjJxNly7Me6+7e5R0e
jd/XDHmYFtBK2a4/iaAo1g2ePleuUK9WozxdRp/N2S3u7+hZyLhEWnqbyDXVfdUG6kwjwz2CJseV
c1i7xyQLGgpAko5Kgchh5Mp/77BlJ24Khf5sdeJlJ6cqImQrdQ5EZhFt/4tmiPjUNk7xzER322wD
WenvAzbkXy1SbcYmleleo8L1d9hizNlmrZryZztlPcuOXglDqgRE3QaT7Oko63Lc5ZokjMllugso
nErmQJUU5iGP8vypjurqOYmXale7GpMv+o7qvmL8/tmlKknh2qEsQG2xCpsdij51GLyh+u61Oj13
VG32uWjzayqL+pPys+laYyJwyrOZokdbh+EmKwf/DW1PiEFq2j+4VJ8he7hCv8p0CV6dNaASu0TB
N4IryfRp4l2WtO5+r721x3sgoItPbdKoPWsoOXsFDg036iLuNor9lgVeeyjaMXnos9J89iIafLon
oNuMZZUcLYXiH0oEztneMIFT0Wd3ui1JaOYuPUjHaR7XCqsk1ZnoVMRd+gMtmD6iAwBTXvAJbnn5
GMxPZSnL3UD5/pI0qIApKbT7PKeOkNP84wBHq3IeaWAfqkhGR5MtGHsvg8fnMQAhz0vZnkzlYrqw
2uqQ5SG3nnFz/aSHIUdDRPPoYWhkdx17Mz7qNQAvB3fh7CgTfOldvzvNJWN4Jm2KYcPGzR4KerKo
Qp2Ccyx3qz8kqekpAevwe8gR8EjXwnO2nc3i27Js74cF+OPAcUSyq4EilUnjvdXpMHxqRAJCA30w
Jf3c1O91M9FxGSuv3ayojo8FVpCvsNstLT5fH3y3d+4DI8Wpbjr/3gR9d8iTAARRWxpxq/mUCabO
IPTO/Nv0dWzydtvmqXzoMkd4m7nt6j2dP//gGYGdfedG6W4Qxv82os44NjXCVBvbmpPUF9dQg82N
USPwXkKfAi5jLOmnaBX+sZgHi+NoPzk5sml/PdLFtHYboT6mwjk4z543ME3fZE3i7FhQy498KoL9
wkX1PY375Y/RLy3a8VYLrvEiInPvFnUKVVP/yFSPDyFDWfHzGiPjcjuvfmzYWTtPBfXOdUXInT87
9yHS3iMa9f/L3pkkyY0kXfouvccvmIctAJ9iIhnBeQMhmUzMcMzTbfosfbH+EFlFehhRjiZr2yIU
SUpSIhRmpmampvr0vcqn6NPdOLFaHggIwlNdqLKnVKpNKwxqE4c07SsPtL5xqCpwx5YNNFklFfHB
UhBzt7sw3iMp5dyS/jNIWZTmLVkXa69qhfFWV/vA751ag4sz0PZxvxRokjp70EiOPZQ2iwT0PThB
NEDraU2CZlK5LWZJUvwwzYY7slw5KIqpPKoU0Q5DOivvETuIH+Y67w892IlFjA8JHIh5soAKU90S
soUV7eoUa887szQDMCCU39tqNP6SG8h5dXTQIhr9yvoV5dix2KsSBdbStc7wkUl3eqCnS40kCkaf
jAiP1jz7nlXEj5STA11zjczqn85n5Fv81GrvYGsYnN15jsylPKcpX3l1hae5iWUvaULrpCxpr24o
6SBL5xz+DpI8QH0Df+D2p42ezMnQVLyROP15tg1uQrf8PqWN9YvMge4ZVevsa5SMyeRPnFm9Pfl1
W7X3aczrNiIlBt4sle+CEAwdgVz+IYA445vZj9auR0LDAwwj7xVyak+TYvev29Ia7yGGSt5IQ0OY
EuSGP9uEtG5JoISYbSM91Okc7tNYC1+bMwkvM5ApbEWR6jyWRaufyqxMj8Zg1jwBzfHGGs3IV1HT
8YFg0F7LAhf3wNbTr5YU2n5c6OFNRnvBEQlucnQQAL6OqvHMS1Ux7+rQWQTi5N4DR1ruqgZebB0y
sNvWThu/Yqdy7GvFJ2WGJDI2kuRWzWrwKmVq3CdF2+57BrCPgL3uZ9tp/axSAH07oCXjaI6ZkOp8
rJSem60EFJKN6AjNZqrdQB3aHUrQwZ+Qyjl/ByhmoFBB0vY4AtP3O23O/K4LYGHPE4SjjPLvPE76
m6WhCtBQYe0DeXROdqQpd62ZjFSulZgqOvAlCzTPqQ6z1s2nnJf5OHS7gYvcCwM79AByW/7Z1Gml
rZoAAkJF8zLwGySZbBPwfmq6UUYsn87ZcOD/F7shT8OdUUDBVsBPdpC42e7PUwcyIcvKmxnMNPts
1N2xIddvnAFt2ZkNvmTqHLJzrXEsazuhnY3LVVLy2QsULfBDM6BO1hzi1CFNW6npW/N85hDs9OKW
nz7vNI3DpTXwA31GPnkw46dgjkgim/YA1QkVDxK0tyMX8009n2W/r0GiD5QI9j1kf6czdc9db8f6
rqZyRP50VBpf6ivljWQ6wGcD+19iqv//Gf6/Fvp8mqCuPcVff6m/FP/nf1++xn/81L/7rez/Qc9H
h63XoCwKswRP63+9yA19eazbhmXRlPyvV/e/+61U9X8MfoLkrC7DLCxrPOT/jZJUzf+xYDmF6thW
nIXg/3ce5DSPvWi2MmH9NGHp0uDjpu3LoufrEiFJK44mlQqML1OZnKai3TckaUvp99o8oeZySPGj
jQVuWUfeSMBhTlKqacD9Ix8u6sJ3zNkg3HKMQz4Zp4sFWKHoEjo9ny3BZgjTFQhkxLuFTs/iDItK
gBShX6kyhV3tFCjRt84BLtZr1eBeN6Ys332RzFi4LZcV0An8ZHjCRQ4Mu6/7czhQTtDc+Lacn4LO
HaBpdOXQr07jfejP0obJX9YLiypd0iw7dJSgNl6uV0jtZeRNENGEkh9A8RBazlsswb/MITaWEAnU
rE4JQUTN1lVjpOPMqMCMu2GvgcOmt8Gk50idNxxD7PVbJhCWM7SDeOYs4pUvh4MUw6A3ZhTTXyOD
p+chc7i+RKtjuTAgtKoSphZRD+X40sBzZ5jNm0L9XskP4b/SkS/IAy+p4VZcAcksQ9NINTAOxxJG
Ypt0lVkSI4k0z1Tfavtinx+yW+n81+Cf/Wj3+4uEPfS/IdAEai2Ljt4F6ZiGVEf9LLkLF6TCHHnV
+Q1p3N/2OJKJcPVhjPZ8ekBfLtFkBiP0Xzk+njXgs0aqUh/iemOZxLZpdpKFtxlk5pFrJ8koTF+l
U7KwpiDyzc/SE/WsR2hEbpyHOXTB/r+VY7d9ANHqN7fy43UH+XVDYRjpcSgb+APf3svhDQqPioyS
hK+kxKyq+thVxa1yHp6um/nV0V+aEfato+ezU5vsqbkPPVRt/LH6fN0CuHnhLCKvq2qLGXVBvQsW
Qk2uLIrQ7FpnojCRwyVuUiGpaxpSZ4J5v9gSVlsbE5ZsZCCRs0Y58uXUQeOlj6CsuTtansZ/ScqW
64nsCM9ecWHhmcjggqFhnGkto2+Ocu1e2Zs9qZZD5A+v253sx6pnR7zX3dQP4EXbcPq1ybTxRhqi
rUViUHD6ppSLLp3YzQMQdjVqF4D7K7oyX0fQk+rwwF9fu19PKeR66Hrm3UE4YC6d15e3sDxJuQ68
IfaJhnejB/x2f93AiperskonOJl/0vnGspQXE+lksZHWVhH7wSDTuGQad62cnM5z43h/YGhpBkd8
A+lcQzhvOet7DbrI2Ee64G3LO6SlvbKjj2zDjsiXs7gGYdEPQyJ3DCwurT4oHBjqm8lbTtvgU/yu
vB298PWn7Jj6x+Ax+3h9bCurhElWR4apwmYyX05iruvoDnTsMCjgfMv8bqYSQNTATUE+X7f0C7Xp
8+isZSdzIsqqJUwjt2GVxhPXVvB50AbXk8kYcYXIh+pV+z056If8VXO8blNwEYu14uxdrkrDQMJH
Fw7CbK6ieQSU75vOa6s8pdo3M/7035kQjqhGdZpkHDBRGbdyfLQdaBPbLR1sYZV+GceytS9cHSrN
JsoqjKTlN4t8Ylw1u96ydnVsb+xacZUsYh4uXjQBUHdRF+3rl6ZowD7T4VMxZakS3tPfQDP70Hbv
zSjSjsU8dh3NyRlN0aEymI/23OEr0BfeVGYzlbvOIsXAFgwPOuJuGxeqcDb/69McWiYRvkSnTXCg
OExAT4x14s9z98C03xjytEH89ctEL6N3tKWiqNHoJTqME0ckm5uY1WyDvVbM70kg7NSS7JzqbBD7
/+KbginBcao2TR0riBLeuyXbDYTDeYIcekvqVWQE+mfWeKrwsCKihyjq5YJ2pLYqxwwTX6qTrPOq
qjdwoLPZRwCqO7oDDJhP/UBy/lLVML/To6Z7oPmy39eZGR/IRZSeUiTKFzDqltfFevPaBAzqdVZU
HfQewke30IPMB9VUKchKKZurvjZRmkFtRYPaH85z4d4qWz4VkR6iwk6JKpQwpX7wmnwslWNvNpKr
wYqbgPSWM755irudCf7U60y13HMIRUewbopv2tBWlbbUP1FbKDsIK8nny7SJPJ0BI33mGUQP97nQ
fTIhrVeVzfgxASnmqenkxwgahSGQiVF5sIMQjlFwnqBcLOnWqNXoFOaUBQ3JiL2U7MyrUTfLm6I2
NbKeaXIA6UABNS5octXUCgg6+7dxDH1yzwpySVKlyK9pDZs2Qicxznhed225GXlZMWuiK2d1wnyy
fL71ZL/R9vmuo1/k+A93XX+o3qKc5G2xMK1tnyVMWxisCUBF2W1g5XRlBefYL0LbHWGQBTsDbEba
t9X33zx22T0wqhgwSqsKAsPCyY5Mo4KwFzBxWRmVfZ7JtA5N9k6K7Q0+NzGKf57HS0vC/gmlYDgX
2UAc4/b0L7vhe/Mm3+W6S01WeQRwDpZ6n+8LspX3ydadufj2xWP8H+McdjS28kZG4ubl5jXtqIM2
A+ODp32bdgB3b6bEbV3roPotnXp/cMLCffXDnDCrbZVF+lRiLlKKD3Fe3+dLI8EfrNyFDWE+HcsZ
JZp+Yr/LnlLJugGfc4C/Yn/dyqonLkENz3AZOW1hJDS1mXIlMxKA1ftBRllWsry5mXcNmOrrpkSy
yH8WCT0QQ+WUQiVduJfqoJWnbDlhnz3kmKc+BZvkySBPe6BW6k/U/l1apuSvVBMsJMY3xioE9v/Y
Z5jEOdxbhqjjw3ti1OXU4TVrKDTGSSB6j1Pw6dx+pJtqwyO3bAmHMS2B2pnTmFzUDOKkfjLsr7Zd
eX2fu6Y9b7jKajDClKoW5z40febSC30R9yhGayBdiq+ok6fou/KU78aj8miggfYtM135bqGwO3+9
vp5rYcalUWGI57iU8nLGaBtE4y4IDelkljQoXrey5qDcabwoyB3SVC44Td7K8BObfeyXEZQa820Q
fMvK7B7xmY0V2zCkCeCkpUBAnx07oYspCMc3Ac9mS268ZNxgVVy+WDyrWCQF1RoEbBjay8Wau2Qy
p0jmSL4JDvlNf0RD8uH3mf6e3f3SjvBkkQsFNEqDnX4/vM93wQnA0c66Ud1kt/V+WHWFiyEJiwQG
OmbllyGpNwrgR3Pe0uC6bgEe5ZeTpsMU0zU5FjQoPDPajOWn636mLr/hPy8LYpsvLQzQI4VZgQXl
ybyXsn2/nzy4WCUXVP/nhcx2otAZuZByxS7wnpvioGxcoVtjFDaULklDB04EV9egKa2+0QGyMcZl
DNfGqL0cYwOljDxXWEjfl6fqYfLqfbcbVZQH3P6kHM1TvUtftw9nMmK2Jx1yP95vpTueSUOvfcMy
CxdnlWa0IP5GvqH2u7/L0/R5vo384kjmA4rGyJX8reBg8fNfDMJeRxIEjjpbfKnFuVFnY4Lot9ao
X+hE8UaHAnpSHnjB0fiknuqh2HAmMSP8z967sCkMspXPlZWH2Gz9+m54b92Ot61rutrfsMX5W+ng
9QGSQSVtr1MwEjxX6uAiCkMC/zRrpFeqMUKFHIDIHUAP3Oa96vx9hl73TrK6ZOMKWKKDX6f2p2XB
Y+l/n6tiwnJk6nvauQ/W/FZTt7RU160QJRPBUksT37NTnphmajGZYRQB4TahOHrTdNHG+b+6+9Qf
VkTWySKOpRIMOiGk8wSo3jW31FhXL5gLA8Iy0WNdnK1yMRBHB2rN7mw9oabjx+Dqr+/zjQkTX4LV
1LRg/yz4jtoZgjL6QGm437VdsJEFeM7B/rr+P+dMOE+ywe5i2r1plMi0+3EKH3MtudFmxy+n7KgB
RwTertK+MWhe1MSRB575w/Whbq2asNGqpS23HBjqbA6wWL3X7I/XDfyHrfxzjMtkX5xXQSx3bVUw
xmY37ExvIQw4qZ+6/bzjFij305ai5eqD1Ljwk8WPLgzmCfFO3ix+4g275fohnR9+1x44QBRKi/k+
oz/TRbvv+kC3nEYIS4C7OWda0Xi/BfclqH6r/6wayu66kc3ZFIISPY8Ad8Db5Z//hu7l2Bzao/pE
z8RpuWvMDWurzqHxSkM726DMLSydbp6Vqkx52mdQb5oK6iTShsLylgVhrTRobAxUVbFQNl+mLHkb
Q7J2fcpW14Ukm0xT6lJJF/ZYmtb6mDTzEmbTlhc4pNhGTwn/WzPCRhqbvO8SmJ7BRUdubjyZybum
ePPfDUVYjyRsskkOma06glAk0ekMdaBdq8ONQGptyigdkbVCi8wCXf5yBwXBAN9eNSR+HPcArL+i
nHJUFrqrH4xYr/855S6rvmu37qURYeklwwgpGWIkKpFPtM8OFOlTC0PgHAzpm7wAFNVVdA+4QxuB
Nb5ufGuEwmZVrSm2zKJP/KHus33bpfIJMBrqWhMJu8D/fWNMIsIoVKpABgix9yTRt9YGY+JboeFN
wxT6Le0WSGvlj9cNre0m6m1wdS2SioYowzLCumTT9EHi+hx6o/UpbN5eN7B2BV8aEE6fVkr1AuKp
xCflB21tupuVt52DVtLQ/MECXVoSXkQD2HWpRlrX79PsJpKMHV0ukN3Yf3A4XJgRQSjmlFuzFWBG
NW/lFEa8nmT1b1dVyCFeGhEClw7YYWEVzFpW51CoJfRsS5LxWYoVr6Ov9PoSrXn2pTH15d6FNkDO
ckIiH02gz9ak3cu94oVxNf6XMyccqz1cacEoM6iB9pqOOlsPwNhUvl4fzbrDoeJHzXJJMAtT1+ct
4RHsJX5ytu/ISN2FmYGg3/D5HMxbcqSru0fXNLq4QFv+UufNCmZMqxgRzJY+FUSUY8+H68NZjhUx
3rMuTAgHq1yMbZwgBefLA83hyrd2OvXanr5PA1TwdVOr70SLrDVwLpCguiNMHW0nM+lmjQXyordj
4HaHxA9O4cG5Lx8iDrpjtDG41cDr0qLgekqh9nXcYzF4N++nXX+iJQPSPa+hE8RVXS553svtFtBh
LR10aVVwxMZWKjoNdFDSh6WU3R8hlzjUh62U9erSXUzn4j0XUSUqYjRRD4uZdFAPEi3pT51dxJ6F
6GJMr0wY+kZvDf71VVzdzRdWBYc5R3D8dLJKO0TwrpP+supv9KhsecriCb945YUR4Sa26iSliYp1
K4Bf3RT7CHpet9zFf2ne9jyu5lov12uZ6MuJ5Kzokvh5vZr346nyIv8bUOoT9B2U6rfTF5sGhUsL
JoUU/QyGV/vKnhzyGVxU4QYnydMOpPPIIfrFwdwQh960KlxgMNCcSYYxTKpTmYpG2f35oTv0x/QO
+i45uJEO2S7cb6XoV8+wH0tpiGm+fkykM32s3GfFa/Pc7Iz8N+VVnzMzP5cP1oWXy0eLuzmZFR5p
WV+L+tVwTvzReX/d69dHgYwBzWdAsgzBReqpL+NB4w7rLPri6cSkhnzdwvq++mlB8AlAtEOo2xzE
o5nSeocOdPu1sDbC6NXHGvWaH+MQfKDgX3JjCWKanbJHmnXXH2Xo/r1pD4fdMZg2DouNaRNhPdZY
y06wXGD6EO97KbiH/3TjvbY1JLFSYlhQRYU1PSmwU0Bk5y6FErp3Pmp/Qzz6tLWLNpZJxE92dTOC
NGcCtQgSucy8Hap6acLZuvr/w9X1Y6VM4RKx1KiaYjj2fGN6MDoPuV2YbTywDJ7+1jho2qfQK71w
M7W6Nb5lRS/OQnWh13iOcm0JFpoErnj1rV1GGwWTLb8QLpEkmRd6OvyiQ+MiaR6GYOtQ2LIg3CB5
FY2pOWMh4/2m0+JmlxtjWA0Ef26lhfn4cqaiPDZDZ8LCGbE6OrMgS43f2LX8yXCG/+70MYWzQUkl
IwmXV1SqlN5clvv8nO2vHz//YRuBQl5UY8AWCktix+RjzwMkdyOBkukl+7zfLWJ12g4xlk/NVnJi
FVwANhLyAKAasik+QSslMJJawb+nycuy/fixjfz4mMIp5cIACe6PyCVp79Bm9bfz66tefmFcuDJK
O0TQcnkqyDKve+v+jIN00/frU7plRAg+61rjlTgsLpjR/lV+cWC46TeVJ1cd/WIowjkBLX+kGBrz
CGm6mwA6se15yzdWw7ELG8KhUIRKqbU5NoL7mqKS9HiG5cQzbrTddEzP/vVpe175X4K/C2uCJ0o0
ckJjz7yph+CArx/QETwsmJ2tGuf6g+TC0rLFLw47qcigqU2Iw1Ta5Xaq13jz15ayznxj3Iym+/8Q
ai6rcW1swqERWl3kPB8aVCKJMxGcIGEKxs6NzNvo2N7D1/z2+nSuPkYuxiicHSNsBvRIsnZKHdzO
0Ek2de+31NotGShbUBzLWUpdI5iO1+1u+aUQaZzl0crhieKipIlzpns127qKl9UR55LiEQVxB+gJ
7UgvVy8uU3p7HdRcpLwHUfY1cr7F3MPJ/OX6SJY1+cWO5hgmYG4LYI2QLDtP0XAGmxdTJug718ky
+C5g6TqcoRC4HyPjm8r07q7bXL3+bZ1oEzp++k8cYVvrclcOiYYYul2oN8hUZf48mpJX9jQ5G+py
a0phd9vSdvvakazhTq8HtkhraDtbsoOdBUngmy5WZhgRyj9BGNkGHWCGyRc6YkgfNJE1lhCnkT2q
M8uDxW66n6DvvlM76JjLuIcWbWM6lrPylzUAN0vTChhYUHbiWg86quWAb5YKSvPYHKQd29SDXclX
b7s/cF37wphw3CUhTUaTDaqoaENoEONmkcwujN/TxHt+tgDg5waEOodSgOC+IcTHNHJQNwngsQ2s
1LWkv6/P2uoGubAgXEBwy5Twr2FhiqWbzqACBHXvnVnlr2hh3Xq/rAYQdBzSz0avI0UN4WiDhVxv
ZKga/bDy4mN1yD1ONWhxT7CH7yhwbeyQtdt1aZkjYSSzVuLub5xKgkOQtx4kyp9tvfiaBc7onmXr
8fokrtpRQRqAJ4U1SQR2TnTzqnJTEualAaDObwNt0EP//bqR5+hK9G+HuZMZEq9LERNlWYMy6kWx
AOlA6r+z7+mBaffDbvYHcB3LzXQ+9JDVu7qrf4veo90z1b7sp3vH34JzLBfClU8RUVOGlWW1MfAp
DsmXMns12Q3/Gfa2/ldb3WbK/vrQ1+6Ji5EvrbGXd3CV6FYQIGxGizties3rYAtFrazdgJcWhG2A
wFUZaj0Dgplx/GjedHQdOd75Lojc8511yA8HhIruzON0pIvbuz661aQLfRjG0kaIGL14cFWqNoZJ
LlHNfnV+33yBZmQHmwPce678Tdkt0qFbJdLVjchtha+iymL9Aq7I9UJXChrtOSsnb/Ybd76lcQeY
03Mof9oY4Or++GlNBFlYndlEQ4W1Zjf6w6P1j9MeKq/+uiBAoZA8P0XvNoyuOg3KFWj1MT5dFoIL
yulOENdc/fJNf1LTXXX20u/lh3qn7pV75bvMyXP2lN/UDn8+sZ2fVsUnC4TKkw01Co5U72MYVaGC
dKUh39gQa+HGpRVhQ7R2qCuNipWgMk9p0z+cu5mrHEE6nddRpG/M5cZUPnvTRQwMMbZZpCH7T3dK
V+n+VqECvr5a6wOyQK0TPRFCCRdDWk7T4GQMaEIfZqjfxYWEag9EVvp7LRr/yB9t4kHZkp9LNC/P
E/Z63g9Zvng/FCywRfnaUWtdyVNPnd++P39S4TXx8o0s1OosXlhdruKLWYRbTFHCkVlMz8NHpcl9
ZSjfX59GsUfuH/e7sCHMY5nUYfQc7+qH/q6R7xE05V0JcuBo7aIHNFpq+djlnnST762NWV3d5Bem
hUeEg7hQqKoMz0x1z6kUf6BoMhmpvzHE9WnUbDq5LERrnx9sF9OIuiEEXTF2Wv8fZE7kvE2Tb9Pr
nCiiegWha5PdG/GfZEWhU/xhdvmsC7NzCRVSjyrTPwUbf77VqoPljZ6+V2GbOm6h+1ZmE94zjR4r
w1qwLMKF1I0DIg9ymqFH1Lmx9QCDuAfT98a2W1xOuMcps5Fb4fVPE4wunCOxCXeDGSmpn4+ftfB2
CM3THNCn1P4BzA6iBgV2F4WOVPmXzFFK8XJRx4XBr3Tr8Zu9WQddm7DlCQsFIukp1unl+hQNEjjn
HAuwQt9HY/ZFCYb3WiptXNbrZuCzoG9iQd4LM1YQ6bWKY6Y8WRMAdkr5ubBRy4Vo99N1P181ZOsE
jiSZgEUIr5laL7s6YCuj0JN5sLAekwwtg2prYbbMCG4N+XJb8EZO/aZF8HD+uvATjdqH62NZCzd0
7mEehDovQvU5/LrYPAF0Az1qbenz00wnUoUSOWfzVCf9KPnaH03dD2vPmO8LawkqEygYYQ26OHfo
JPir631ZzRu46sWjxM1zMSixsQSps7K3Khu+XGnclXGMOFHsRrN6K7cf63FjTGs79dKYcB4MbQGL
34QxCI/Ieb6Zh9lDicjtIO27vlhbwxIcr0AyFkk4LKVKr7ulNt1AJe85taK6WlZ8s7Nwqwdj1Qcd
msdVMjQLkOHl1j3HE5qosZT6BkVqv4vsN105l36ay9+uD23LkHADD5WRVLRuZ/7YazdzgLjpUO6U
aCM1sJaX0Yk4LViA6BOmWfHleLQemC98g5wRr3pf3hV76SG8N3bOPaGuqx5hirlVNi7flUvxhUlh
CkM1U86BEqS+nT4Bs9uZyVbKdW3uoAWB84FXLul4wS3KwoKuQ2HuQs3anbP0ESYwBLU2WVWW3yPu
qks7wuSFldMoOfc7bwVtv9QY0u/Og8NZscAjbMs1H6/7xJq7X9oTZi4plDY6nynUUal5YyvHsvt7
DPqDigSkJoUbe2trEgUHHBEvnlIUOPzm/Fqf3wYBsnvwBP93I1pGfHH8qXCJmgbE535ZVnQFD244
Uwdcik8UMkq0Vq+bW6vSQP3A6Q5qh0hCzEsYuR2G0sSglrwbmtqgYm/Gs999QhfWqz3Jt714j6Id
FJBbTR5rT+dL22IiwgyboGoW2/Y7ggoqAeNxrr0W+U7KUoFbe+W9uTXg9UX8MV4xG0EOuFZDA5uj
diep79CKod37D6CeCwkJTa0qERMtcC8XEYWI2chRQvE7Nd0bqGE5TfvNUYK31xdvZSyAIXSVnBwt
kijOvTTTqgYyFQZhZmwPO1Q//y5Q+lKk4st1MyvH0wszwtuggLreREAhQzjlKIfQJxbmhtOvNSW8
MOG8HAmN4yhPl5iYK4Tm4ofJflDOEOZngdtDmlt3f4UtIq8yR0nZbmwBdWN8tpD+1/JQ6jpUpHmT
KPuKOuG7+av2oXxN48re9Mejdjx7FOXdnlx0j3Ksa/D3ci+d/uDZcDkLYsbT6emQnOEr9IvI2pvQ
TqaR7AXWFg/G+ngtS3ZghwKyK5xjJSyDE5LRRCINTQlq0RSuCmDzutOsPWYNfalugEBeyMkEr0FP
t4f1F1jQ5CG7QtQYQmrqll+B7ioH47mlMXw1Fl6+VXhe2xWXhgVfQlVwyLPeIImTjjyGGh7RD/Um
WHhrfCIxvp3JReEQk/jJKTxysXLhRZ7yAWoE/cl0ddrmEW0v/fzr9XndGJ0IsXSgJ5ejGrPn8RhG
mluaD86wBeTcMqK+3I6hMtX1uOA4a31n5jqE9enpHPrXR7J29fBCJo0D2AllabHK1E1jkPYjVvQD
YBu/P79aaqXSrvpmwTcIKvojwarhpb4EZdSGbY0RCIEKji87kCw83wXLDFxcs30W0gLXMY0LTCqE
St6L9jSb6PABlo8I3UY3W5t7JVR5YVHYdVkszaa6LJwxOjDQZ24T0ETfvZKhzrfJZ14f4Noe571G
UYOLnXtd2AQGMLccclLwN8nkOuX3ePzruoHlc8UJvDAg1ky7eICG2nJYvHn0CuStzeiblgwe0r0b
a7UxFPHRnjpRaeslQymMv5Hl9hqj3/DELQuCu+tGbkS5gYV80j6hAXRHR8UfBI8oaPxYEBHthYSZ
lrU9NurGiFFam4buJs6z8oBIT76x+Ftrs4z3wrkdJSp0TcZW2X5AcneX9m+zJkPMaAs3sjVxwi5C
doBieoEhSfsuT5y20+N1L1s1sKDXlyI5ZWFhZSCrq+VpxgA07fKdPjnIHDgovV+3svbmgxCPIg4F
B6yJ3ap1TsOxqoWp7zylD7NPReM+vu+AbZRH+wlF7Pld87Xd6vhcGxs5L5UuA0JEUucvVylKLCXX
lj4Qpd1JATlead54V66xd1C4oTnHoa+KjjohQAzyVNWGmBN28NSb8Ig+Aloc5dF4NGCtG3q3BWHY
tW55aG4NyTXeXp/W1QFeWBcigMJMz+wjrIdN801Dl6SwzhsQvbVD9XKAwjEX94kh90g7+TqwqyT/
S40tFKF1t9E+l9YfdFsym8RM8FpYkHYIC5ZNZdaiJcydUac+6qk7FEC8qjtvZCDWLt9LM8u0Xuze
OR9hkbEInMrkEXXQY2Chmuwoh+uLs/b4ogxtGKQoIRNHUeGlmbxNBiNq4V3jSB12HQkp+Uiv6mGJ
dIvcxyBqXshobNhdFl28NyzKNhruCG+oeJo3fQbPmoNZG206T2qW1hfQJOhT7HoF5Fmg3CJFueEm
q8HapVXhHBmKCZKthNtq8OZ9/dq+n/dUwSAK2du+/qoxdqFnHlHo3ri61gjKoOYjcb48rqFsFvyz
H+kUgV2OBO1SO30Ib+03TueOfng07hSXKvUuRY6m90xQFGiH67etzm29cR2sOdTFR4jP7MhMknya
Od3G/oOeAiJKHE+JNs6aVSPAdlhUnhTEcy/dyYka3sMLjR+nUL6zE14tqZG1NxZkAxuluLV6vwFt
zg9bwmqeB6tTWyNYVvP5aeE298g5UNKBlqjR/eWlFrjIIH9u093wodT95g9g7wbPek2BB9mQwdu/
HG3UcF1EFeJB6Bq9Qzvkg1ygX7CxQxfnELfKpRHhIOiStmzKBiNwv90lpds1bmi4ztfqM8EyoSrQ
L6RLGtd5PxXu+D1+2gpZ19b08gOWf784iSw4NZth4gPQjHyodTq4IPxHC7DfYjxbuSm4CdF/hVgd
BJ5YFSyCZKAnOEv9oixdowiPkqXuNmZzcQphNrEB+bKMoBkIaMFB6e0MEnnGaYJ7+6bysleRn7Lv
bJdy6tPWKbc+oJ/GBA8l0E9DhG+4KpRTZuZuPphb3rFkJa6NR3DBitrqJJuYkG/iYwtn5c7x8lP7
gGrH5miW33XNluCJ2hlK60DDFuXM1p/36D7vwl3q1UvGEOeUno9S67G5n33Tq77ou3gngTFHiMM3
fWioH+x9tmtO9jF/pfq67U5udkiOaBreQ8G5cehuzb3gtch5dnma8bEpEpgDgmSIykTVxvSvnewv
3El4zikpqh0orOFOn6VX3ZdyTyY4sV30kaBvPgy+4cFHEnwdjsSNMBDdPTd8bfj0M2n4tXUR4jvE
PyK9lfkIToiTdTT21tfgdXqDmshuWSD1NHoTXv6cfn9Dm8TZZ4vpLoySe22rxL4SipmyCQ+nBTTJ
ASD48rAYbCMrkagEDkzdxNinO6s4teaNnX9N77XD5Gc7YzjV6QFwbW7cdxvrsWVdmIk5tcL6bPFQ
qBBJ20WFfDi3CAuaRoiox6Kf1jnt78dpLwYshLdwgi1atwzYyFC0k5u/sma+i5tio1C5uOsva3wx
r0IIYQ1ImoGg4+EY9fugQggcIbxhnjd8aeXNeDka8T2PHHUWNT1mguEe4faq9Z30MKEBeP0YXtuc
yuIm9D1RNBTDhDkMArteJi2wqLkqofx0VufH/86G+tIT0VKd1WFJTdA6+1cnxa+LsN5KMm6NQzh9
a7UmNGixwdOueSPrRfuYqXm3cZSt9S/QOPNzuoSDNz83itXamJFvjH28m79m8d7xOl/z6G1+laF+
KG8s0JofXFoUTs/FpZU+Io5jkR7T8hF5XXNWd6jGbzjcGnnbi7EJB4YZhqkxBYxNOna7pdA6yy6K
47XsIpZoABX1enjj60MluzWlbJ6R0E9/L7eo1tceQi++Qzg6SthmQj3BJZNTfFRsNwBtOL6NEH/m
JTQiokHDwU08f6s2wti1jX0508L5gRBgUNQd4z+Ho79IwkeIRctdvbGgW54qnB8ZOWrLSFjQyap2
HcTufRJvnIRr+RMTAmZtoSNHtlPMn6Q5QpX6bHH6/m1G5Jlc5W4p/kpe6/LesNENf1zae7ZAa6tD
+2lWRKYidl3Z04jZIcpv5ana27+P41mK5WC2EQohfScmUJJSaaxihB5f6Yyjpdc+LYd71Gc31mgF
YrPYATlJAXblMS6BTiNghFw4q0/FW8VvAC2rb6dpb9yQAN9vBXS/3pYvzQnHCly4AcLYyAuctXPn
jaZ1lNs6cuEE9arefGUryeP1I3nlAf7SonCslGbeDobCAOP35/ej3zwUezb+g0KND9QmzDGH/nN5
X2045q9b7KVV4YjJtTGScgerkv49yz7G6msn2Wi6XzGxqEHRUKmgMfBLDRYKOqtPypbeoYIUytjT
LPO22uoeWCmVLE+jn1aEs8LSERLSK6xIUO3eQAq9i1O3+tweq9AfPQ7Nm/qNfMw844TM+PWl+3WT
vTQtnB8J6m5jGzQwFdZfgkUBINH96xbWnONydGIBVg4H6kQDJpITEDnrbXaafRinjA9UZDLLNQ7z
bnhqC+6CYLdhWv0lunoxOrHkSlEqDlo04TAd3CwV553Ne2XwUVKqD6G/FaY+C5G8jOZe2lu+5+JJ
HUajY9YNCwlj6SE+diG5N3NX3I3PJVJgsbchSHev+SjvIxTdeSEBv0ATdGPYi79c+wwhfDFNFKfl
jM+IOu/89yLI0R30L9qR/rOj9Y5WkI/ynX12qdduHtor9/4yBfYih7bgI3XhKDDHZEqShR148Mq7
MHjo6fDaDe/oEL51vPROoSv97Fbd0nt6a+4TN95vVZTW9+zPLxCOhSmrxrqZoA3Ou69pFLk9F69q
v7k+x+v75qcRIaxQWOZBnjvOWEv2iqBy7e63A4iXEykcCnkNQZHSMIwW6UDER9xZfdsPm8ot677y
cyDCARCBc5L7nvWSb6b3Ze8aka99JBq9Sb2C2v7fqDZ7A13JsTu+y75vRUn/4ej7YV6ky0KDOpNp
kuDmyP3s7ZJpUL468PsMvrl33lg762B46jE7bHXZbKyfmC9KOicKhwq74/j0f0m7ruXIcWz5RYwg
QYtX0JVTqaSSf0F0q9X0AA1ov/4m55pV1+qqYmYj5mFm2kAggGPzZOoQd+VAHH5/Q76IPP84QPvC
GICRbeqohSUsm40hb/4CSXgB5JxR1/uRbwioaf5+Te/PNS9ePrfkAA16XBp9rgOXvzReB27W+Pud
XXlglxhKzSz0zOyxMbm4HqsX94GqBg9huoJM+iKO+WxK7AtTgjYtwNcT1lk6eUgr6tfUDEdqhA7f
2ePfLyz9+ekuzIZT4hrOLlYThcdcsOlZWfj9d/t/3MO/LvuF0dAWw22A3F3DJCWZZ8S09413950m
cZuFqDAFWczPVeW3xXYGQWtyZ0GEwlc34/7abq/ezgvzUtZEYfoYBiwroQ7RC9T68mid+XTE7RiQ
YN5oD8nz9x/gq0D4jxO9MDZ9PZXQRscHUNBQYNlm2TiBeZc9AH0Ycv9afHjNuFxWPbSM00FbsNwQ
0XfoeL9MD6hc+iCi4tCRZdXD6n6NX+nOu3LS/0/M838nfdkHSwGx0ZoB79CKnR35UYXQpFdwgGtF
evoBzbkQ6W65+/uTz3/c4cuGugO9F6UUDpV0UH73bsb6ytDzFyWLP1e4MDCL23nDtHql/CB/QB9t
BX55gXHHb9f6LyiIrnzJ9Y3/eyjzrw+52vFPEdVEcqPMK0gazPQlabzYRLMH5clrtnq1xd8ts/4Y
n5ahnQV6qA4fzj0TFNzXPimPyIvpV4AnXX171zZ1YWoSz1GQacdHLJ6y4xS40WwxfqKhxcof5XE4
VpH2Wl15e1eMqXNhexKeeTwV2OFA5xNPFzY3ZmgpdRJqeBmX9krB+Ip/vaS8caly5p7j6TnK28m8
D5r6Wi2LrHftu0O7sCaWo02d0LEGuQMTB0orFqhoCLNK5vwAM9Z+7pm5w8ggVOki/UDjsvFBXAnE
WRlfi/y/aFr+8S4uixVW3nhul6zvImNQfU5WnWlG3xOH2UCfrd2UdAxmI7Cr0IJm+kmAqu0aVciV
a+Ve9MBo5RSjqfA9PPFrTm6lmfr0qmVbP+o3H/2SyVyizJE2BIuMuw499savOlb2sdqWEWj3ltn3
2Hio0tD43TrMwUDFtU99bZcXFghzfiWdV8eV9+PWSCFU0/BYZlfJZa6tc2F59EqvGnfV4UFW7GB/
7mb+QFsx6iKH0dSvTs4mDTHE9L2LvPZ515/qkyESIiklBQEqHEe77eIiNpEeX5ciufI83QsLpOn/
6/0JYIq13Lq99L/fyLUVLuxNMxCw4Lbr4+yrLVVQSOz+PgvZn2/uIoTRKozEmGvu0KilegLtfR+N
piuvdGi+jpQoIB6QXwYs4K9f/3QkC3YBLmlk0+sMxQp1Lm+lhYHkwYdJCSvBsvPf1M0GZBY7+7Tk
xS0wVUF7td6CBNq0SZIx0u5Eec6zj39wSJ/WubgGahJ5QSXWsTthhCnIQcMpT+roP1vl4ioYWu8O
PWBA6DlJtgh1NDv370OA/vxiF3ehL4At0P/7kFIEV0AaVz4NxykqUf5Af3KKa1/46U2pxd9v7ovq
+J8rX3ihHvqKK0ntGmTqcr8MjGbMDGRM/Wyr976AB/itOZgtu2ahvjRQ/zq8y1HKxJxl72j4rEs6
nw1rfBF2EVZ2vf1+g18tYwLmD677lez+cpSS0pxQyHgiNHLutewBHCKFuLLEes0ufcrnJS4zZZ5Y
CaBLSCith6Trw3retLZgBjjE/sleLMMyKYh7oJX8p3Ut61prnHxGaQgKGIxyjUc05yS0reGa/ft6
T66Nr4ZxBUxy/7lUsmoNig57ssFcMovSz0XkJDIktbb5B5sC8MWwVyp473J+W8s9Q4gMKy31qw6g
ZCUqn4z/wFKYnxa5sBRjuZR6uy7SN+/gm2CWdSWz+PJ7YabaNqAqg2n0C7deN2CyXlZ3686On2h6
JIi9aSbnrLfi2pP9yjeZn9Zaf/2TRfc6qrrJxVrpFnm4/IvELWH3inUYfwoUksJrNclrK66P7NOK
EsIEdk+x4lCMEBy9V+X0T642hh3wj4Mx3cuMs8FgpIb4D6VndwmI/OnMAnWSay3rL08JEGxgHsEV
5TgX+0Dhp11abkEvgqiwTE/CMeKk9lgz/v77lxoww1U11Vk1cy+uQ1/xuioXLDTS6dYAnlFMPTLm
lr/9Z+tcXAW51GgSVFhHjfnGSrwdydRvS/x90ALu26ftXHw3DM1OQ1djmV50e5DfhCBnuhI5rn/F
pREF8E13ALGz9X+DaHooWdWjcPGA5ODbRs4suw3d8R8YG4jM21DaRJUf4p5/XmRHZHPvYsYhgNxy
3FTL0RuK2wFzPld282Wh4dNClwlVDiS/oAsWWqUpVwIt83mtTrmxFaF8srP+QaPv83IXuZOkhp42
0kGdAaaHK/CJinq+J476B3nx53UuXB1GtZ3RbHARzORUL5avFhp+f6O/MjWfV7h4OWMraNboWMGe
VTii3yRb7YoixBfwuPU6/98tcC9eTb3kjspdHM7oe7EdtWcTAhTQA5A3GlCDWjyis534Q1ydVpnL
/PFa9f7LmPzzD3DxnjT0dyClhh/APU8B6GxWgWAz5oyAEsyKWl/E0394cBcOUFcZkPYcKwIbGLmi
Wmkbz9+f3Pp2/v0F/+urXoQMKmmhDulgiRXzae7Vptr22yLqrjSWvoxYP3+8i1g5yVKS5AbW+W/9
rCxUS1AqVrIVeVSGGBnJziWAJNee9Hq3v9vfhe2oVNnZzfqkV2qnJeh8cZ72ru/GTZRDfOiKl7/y
Di7bzsBvmSDiwDtoMVGkl8TP7GsJ6Hog32zosr3M88I0aoIN5SoUVmwV576CurGD0Xp1JTwi19a6
MBwSfJN8sLCWCsD/uhWvkx5AS6mJ06i4S8+Y6wgWfwrJQRzVWuLyp1N/yt+6nvW35Rvcwfd39cuv
i7FfAy5aB6PPhZXh0lZ5s/rNOcNUtd49pbx7/H6JL8v31qc1Lq1MT7QSozq4LzycXuqtBbwxD4w6
bjC7RR5MuAILND++O7Jr8dqXzvTT0hf2hQLo2adyNdMmHoQxh3R8V7ZxZYfXVrmwKZXO2yX1sMGF
3+Z6zib1mJkq+P4zXjupC6si68mYlvUrTtwIAJ58pIt+bQbl2hoXFsXsVY5JPqwhFs1PRHKqku5K
QPjl/f90IhfGo68TrTMKnMjgJsw17xvcbDcRkdkcKnItefuynGvBxYH40TTBinVx/sIzlDmsDm6V
gFnQCj9rYRVqS6CFGco+MoBmSvtYxspHnzW5mi587d8+rX9xMwSvvEKu5LLGbfdkQeIwPbuhES9g
WkE/ENCVq1I764P9N1v2acWLa5KVmJxUq39bnYL3Y7ypgRj7C10+r3CZcvKvlZK/vP1IjnXIAFoY
YLw4USVbY6EzVizmuwLy9Lq46ftrOgxfhyr/WuUyjqygHVCMCVZZnQ5KqsxWiIxhR7yDVaIfACQ/
ZBiKBxIgc77FYLD3dh2Q8+X7+PRDXESX4J/IjKnBD0Fit4xIaGxoaNzN70PYYpJJ7MTNPzJgn1a8
cBfe2OpkXF1TO589kSCNKoKMLFfKbl8+yk+rXHgBPanzAXQFMGCLAHHID9ATN/lTVoC5UU7+93bs
ynW5jDmhCIFiV4q1+mZmZuKCTsliHp7I98tcO6qLlw9tn/9JcEx5K4fcrzTtiuu8tpGLtw1UtOPx
1ZNX1cdC2qCqt2b6T6LVTwdz8Zpzqi8F/StaaPsTyXI/s4rX/+xDXdj8iky0AOIV/NeTF6Rqeej0
5vn7JVYqg0uztApGrqVHcODYQJRdHIciTaYXKh2CQncwTO/SjZ1oUwRmdTtsDdvYJWPfnZSSRARK
70Bhg5m9eJyn9q4lfee7rge1ssReWMEl95Usp62TWOkuE964qXoALYekkVu71+WJgqhmK9A/j0bR
8Z0zpTwalmTYJ3rNnxaD8Ef8+TToDWfcoJsKI5IIYy9TTCYSS9WhtAdxuxiNEdVWCqStl4w3LR28
yJoML9Sg+wxUUM+MylrAicHT3w3gEvt+4g2oixMFkqQutyqmSGtCPJBbb3XjDEBYc9Nvpro6mA1X
LNGS5LnUUmxHr/ri3S1HDhb3fGre57TpDgbYz28gFNJu09Ksbl2MGZQMKj5VQIy+f1ucrH+yU4NE
aWc5pyofO9DvC8+rfKghymchoJTt52WSP0qMD973c9rdF56rXCZMDXi6BqKajT8uEj6wbxrjtRha
kC6CFNP+6YJAnADhv2RxYyeU0UKzTgSkk5Fd83arDwRA5AKjl6Wvz6JpmA19F1CWTU3I7WQBzBvK
BmmqN/6SyrWHajghsMWYvGr7JS4Ks46gk1GfNeUZ5zwFrH+wwCPL1CDEQemadVMOmssma55SZuGO
+pCqbv2+6TAAPxjERzUbuj9NZ/n60ONTaxA27H3a9RgwT5X9Cm6Ffg+68nqblSLfjmUt3xxrGeIU
fFYLG7tyGf3eWsxAL/RXLQfyb0y7NM40e46ztlrOgtD+w00H6xHS8cPzMJdL0AAMEmW4XZmvOUt7
21itF3LIrkdWMju3HaD3I8PwpPWz0driWcl6vsVumg9oIta+nYpuZt6k+l1SZ8UjDqiM7QVJx5C7
jj/pnnMLQpf0xqxFEhq6qx3amXe3lWb0J1hL51BrXhUmTT9EWq2/lVUiNkotxn2pjdMOqovepjdp
uamLfN4YSwcaaLOg8eANiOZMOvl9nZYrjVDVbVIujVMrVXczlpqxx7Plj/Oct6BTdiYaFEOX3+a8
4HE/AEhvOIOKQAXjhuAlTkJr6U3IGOsTy1HLjl01gKEAKLzYKAbUdZxObfPJA+skloIYCrroik7u
ZrLJdAORyzwurXKJiF0Dn1RqK4TVEjyyKm9hglokNusUin29UW3mepQss0uoc4zKhusr2qDuSvcG
f2G/KZaB+Au300NLpRl0pYlrCWUoDeJtrvCFmk0wK2LEr6C18ImRUt9rey90qDA2emHbm6JNsoMN
HtDToA/Tq7c0/b2TaOaurzOJC4J+kMra+gB2iPE0dJqL0Lix/SlP7XgCFfC54UDHg/uEHkTszlM8
V2kwddMuI+S2NZzIG9QTVwqHCNZotFA73u0xGB32HAqBdnZnkveJe1th/RoMpCik3xpN+lTw8dgp
fqAlj8p0hjCBRzfgmdsoE0P/tQrzZXoeNfSxQUtB5mKn1yVbtVqUtYTC25r2EOVTuzGqKVQuZLW5
ueu67jhVKh7a2mQmdyPg5DalKcNStDsQQx+IaT5llMQFpuP6xUmZqctN18mfbYlOgWk3H9yeQHNH
9FvNcyNVuDRQFeFsWiAWlA2P3LFPau72Otw7M0kTTVw7jQoQtMG9m2i9txYnQN/GAP108U7T0Qgc
SV87sdxJae6MTJ+ioiWRauU+98b7JK+37eBg+j65Lfr6WW/LDTADHqNzdQNStbMsJoh+8WeiA6Dh
iBQGvsSYPlAkoLpqWGoNB12/nxuktz2t2Az1ZXPq9Ujvya2m01ei0qMzWlZQW8NpIQXGMc1+m6n2
Q0v1gHbORixi8JOOzLGeDp4I9MmmBataPmc3WVLkD2iHF4y4umITxAv8xrbvqNsZrHXNN4ss8Ac6
eaqURKXEcRTz1Iz25TxDEXXSLGYsxnPq9RI3qIMWOdyRlYP6QM+jqfWOWmnDpNW3pKTvgz39cOvm
RtXYew3qWpiYArUdzwNfcqE+gFrZ04reTga/habhy0I1J5CAd7M0Me9bRTeeu7QM4s03Y9qeOvCr
+E3XylhNteM7hh3r88D6HJk4t0KiF7cJNXe1zQPOu5AioO/TCmyUo7M29GqLORlCw0yM72mz9P7S
FbE25w95kr/2zrRb1jl0xy4O7uzFeUlVmPTLoV2mR7PtbmpS35XzLINMx19Xai3coub5TlXuITe5
b7oyGGzoCPdeGk5acothqLhI+MfUQCzAtDAm1VUQawQvfUgHsFK3yg3A8Jf5UiuiscoAFidV6w+O
DjHVgYRCajeoWL1UY/VWLplvwZO2srmTtQTvL6g1tMLEbHaF4pmaX2grNyIHiKvU0YUBgrROp0c5
4ZzLpMlZ5SwfSe1IsJnQcKj1j0EHF6KnJMSlLJ+DPzPp54M9VOQGse7ZyMoX6SxjIB0+sIlm911V
tAxc/VGag+2lLTbuCMcOjlS77nbabOJ+0YYGuDgVMyz3hyuyw6yZuq9AM8AWPX3XU4BJXGhjatPP
ZdHNWE5aHxZ9caS1tWZfec/suTNwa20QagROj7F65iizvtU7Kt9L6L39Shxa7SHMSjCuQp5bTAX7
uCEtE/gdPjhvDqrzwmHQdktdLH6Hzsdbac1tWMBRAkc+R5ld7BbMCre4IHni3SsECJt+qQF10MYu
ansH4hVa2zPpdejiG8m+ocDwSy85GvhNhSFjpKq3VWFWOzFPviPTGBL2YZ0TXGNgMzCgH5vWvJFF
BYnnwjFYnZXHUZGI1sNNO8KCivZ+toawTo1jqVcnVzgNkxMoVG29a32qeOL3ndnhN5hAxxpDE+h5
GsMeFYx2FE+cnAxJwrTM8mOaUIwhd9mus8uoB4EsbTadzHZcyLDIEjyeXPpEriPkQw4sf1buFpoc
rMKzGEJooDvK7FmvOh9RQs0yzYrSBWFp2b50vRNh1jWiTqlDxMN+T0TnZ/UcuIv5LIB5oguoND39
1dDnqBzTR1PrwBiR52G+Nn+GJYJClO+N85vKC9iJRrubHSeqOueBSvIo3UQyNwPtLQGMSvJwtv6i
vokszToKxJ+s5M0vg6c/E5s82ZCEYq3Rom1aG8wbRcrcyTvx3n02zOWochvTA5kVmao7F6NxXyEs
0rQMriJ5dOX8WpGjM0C3SutOXkkPCxh60aeqt7lXH9CVL0BIT9+6YrgbrRRFaCtIkFgUsIRTTjbe
2m+s8/2sjTNr52pmmZ6cJ718VQg/2aR/SE4QbA1WIEv+mszitBjLVoM+OifjXUXNU5pMUGcZJyDx
yFuee0e7lG+080AAZYoBfLnZyW75B5dQ37Vm8oY5OQzMpTTIWu0kvBZurc22nj4wBPg/8IuxmBsm
plc7QU+Xwxt4dnWwzeVxSdutVgM3puR0xPznFtnXrQaWy3HADTZuarcMdC0NcoIAcIah6LkWFjmW
oHNZ+0Vv7JBWhwmB9KG0TqKREa3sDbX4b/CVxOnSjoFHsHitFR+Vnv1sKB62S/tH0BY+J3yemVOR
20WWHzbpFlAntdB58wIq+8Br8UXtqtFY0eU4eMPx24WUTGiGxkoD2n0joNnNmAadBoJWy0JZ0rZ2
JCeg+7V0CNvMe5Jb3qbV6HEuqjjVxD7HbDQ+8xlg69gcIL5GugAiGKHtgCyh8Sibl2G/eO2H3tkc
ljWNrEyebamfyqStNrTMftWaSH2oLssQM33n0W12i13ez537AZTnHZip/YTTsNHq/VglAK9qrJl/
TsoLJ9c5y1F7g8gdRN9EzEW9wdvZtim8d7cOYQHBW/RBm4G4poXn66V7X+lJYMJ/lYi8BtfgyBWc
CBLqWzU6odn0oeU2bxWIEZnrFPczZLmm0tgjqA9tTo/CqTfTkgY1EQjgs5uJWJgmXmDFRa5axs0x
GnqgWbT52ZvXlXSHoLyFy8Idv5Jt2CwjMs6cFZMDUR4e4vpvyhxUXfSRwnWpUr9rOb2fK0WCRW/R
9JyKZwrCTciBtc92imHAzNrJJClZ3jR+MS9nqJAX/tiqu1qijrYA4S7HdELS4wCsYY6Ba5iwHID5
YzC/lA/I/e4b02U6F6xL2pfChMMfUWecKdPSBMWcNraF/dA4IiAIpeGv6x7DK0USJLQ9yszcWiIL
E687mpMLEci1vtyzuvrAAwgH02SLM7GUNIdcQ/qbmUzP8tjLwKSR9ndyKE6axK+nN5O97NKqONtV
GUqxQMdeZymtb6Tbsrp9AGTGRzr5MFkv2vhDGmdIGcVSq5+U8iKJxlWfeUzSJ7t+07ufXV7g49l+
Nta4j9Zj1oN3yYV0HXQapldeHLKpfDIXb6fA3ek2YCopG2bIoxyPmnygqYcbM/8ljpEMAnQ17zB3
sWkuW33U4RgftSHZcK24Rfcd4wMaxOMpNjpCEajVg6H7sHLdd4uMCVmjc3CCQCFr9fJoScxLO4dU
/9E3JNR7w1eTcz+0y7EzeFg0uJxd5uukwNNAut+8lCUPzYTsmqoAtcVHgmxodLowqe9T3T4gp0Kh
8onzU4kAuur4MSu70BNAOs8MkXroIqpF5yuabBBzYKy51IivQZEqgehNKV/NrrhRc4uRNcWEcWfB
LReQdskqZBnJFopZiA+0fUWHKOnfF7jQYsH0QrngxUHDSoevoxwhOggk8P884fkTTaK0dHwP0mFQ
/g5lq+9y885SkWZWqNUNgWlAc3Jr5I999lpCLsOjMsybNJqLk9HA8juRMdiBlvyqUE+3F+Sp1lbW
R6O8sYod9fAHWisoTVEx2siAmpo/eW+DhaRN52zGSPoIYas6eUysW41490I9qyrmFsFYazTXr229
sC5Fvtha3nZGLM56a0Kc3707zl0FnHhna3EPEEPXyGNb6pGdpKGTNbt8OOrZuGtM0MFV7r613EOn
EryoYQ56qR7cGTMdxgvBeF4LauPpdbDrY+WMT5330zRH1jpZmOXcZHPa7wTMvjlXYVE90mbecie7
s4V1nhMgDnLxbBBEPLQJ0wwDsYgaNF4wx+tB4aftLAeKYTOeIaSEUwGvURYbgoSiwIxHs100Fcpq
jpZx3tqgw2EzGcIJ44Kdgbvw4I0fsynCyjrX9suiW4FZnKRzSvrd4i0AZWphx50bLYsdK9t3OsaP
aphQOeI8BPMkZy5wRKCTi0yI8MpmjM0SmG/d27l2uyc4BJ5WSZBZZ9sbHvsBP3U1btMeKPjyp0AB
qgconGcHE5e5aMw7bUQRAfWOpv5wSO5DvzOyEYJnZQsN1AUDT+MeuicPXd3vxqaKmqE7SMgUAkPD
bAqonvcLQb/BHGs6NTX9MTiovrlmc8qM+kepy/u2mV4XI113UTOiaaVP5/w+8+wfsAUbVC0q3+Dq
zmoViuMmov0s8VgnEZMW2e90ljDgBOR1WTk8SAO/WefNEECH74ZwZ+N55QH/jrCp1G5SofmFfuM1
YtONeEvIDppKnlpdA28qYb3jAgx6bKZwNFycR/bbLMcAXWm/RQXB6Kcjn5OokXbIcXh5m8HRwNRn
OpzOECqR+7LMd1lWH9oGxFy8HgLhgH2nfi3EiSfZQy+GnxMf/c5LNxRFFZCbhvCymOH8bU4YcdZf
Bg4uJp6HqCOSwCH1vueIdXEvRwuhc7u16uqmpOSgZhs1vjESJS537VCmN1PvV2XGlPPaGRA3XTLE
12jWl5jY4qvMVO6n2geqWfcaLcMSjt6Yp5CPSDBGM0wGE1RAWNvKD7WES8UDMZsHo/iVw2Ygq4wM
/ImZA5Tb2/eqnXaaRljqvTfEYKge3tDx5AwuQ0IHQmtWjwYztDu3Qvhr9Th84vUBz+uwlWnUYwgx
F3AXtmnFk5rOQ+LuBPEeJrfdIQ4/2+ZTYYDLsUh2qE8Gk56GFj0vHuZCgHp2xMbEwS71ELqwbZoc
b0CB9lS6MiqFuSXGI8jqUtB4NifL7Pfo8GMwlgYVt34kDnmAcj0m+RCOFu1Gy93V3BV7N6M3CDE2
JqlfbH1VbUkD6OLckuQBk9k+pem2GkxGW4peVDilKGxQzEu7HKa0Dzk6nF4G+F7RRClyfCHeSW3H
modPDuVQ2BRfuedWl2FnHIgiWyHlL0OEJt8UOsj9+U+Q07v4jGpDR2NreGZYLiRARsc6rd3wcQIF
ZIOT5YGr9UFlH7oKANWBjggZxUbiBTj5s9X3uDpQYofZsZY3jZsgD6oOolaHwklDoRCBOagj2NsW
Z9ZkEk4EOl3mE83iLE/8JNmk+J8lhFcWENstrfA78itBfKHDZJnI/ZF97zgRLwZYUjifXwh148R7
rDs4Dam9Yox7N4INeG0nmfqLaizk9PptlsAdz13sZFUk8cxRyGeQWu03xuTBrhMkv5lwXlQijnmj
HYpmmJA9q1+QPd1OvGvDlmIOp+vJfTN3v9Mm5xA2K44QqkMwhRwZkqm/ct16Mq36HmCtc8Kx09kd
byHo+gAOkXsTjONeTX9qtXGPmVE4j+mxT6G3rSLqHhO9P/fOPboQQSJuiftSwpW03attKOTqVcCN
cpsk8G4mRUoOTlprTxEHUM9XqXajTzOw+FY8pDRKqnIzt797ToPG0Zh0M9/mKBxkvgPhCLd8l8MS
VqMMXfynZY9shE/wNFSvfqacRIn92g/jxvGODvJpwHejDBZUc38r/qQDherJhjnwvU7aoJXW+Lrg
cZWYOxTSUNbfTIMTO0a/o44Wy6ZFTe3WHtIfmDBmhZZD7BS3ps43ALJiOKGvNo4zz0eSdCgerbX2
+pVOJ1zibb0sgU21qBg3o9KCaXnN0OvN9R6dlWeao4JlVzHy/K3T0I2TvLiU7+ay3+dpzvK+YbpE
Z9Fz47z4OUD3w80JCvXupkICrkEtgC32dK7S5WEBrejg4Pnlu5SIkwU9Ljt9WAlHHeeUoXnRDh+A
WdAJ7gxRExTD/WSOkkZt8hxGRYfISAuBgrHfeLnBdPOOIIQuCMbJxE03nd0ERIL5D946zKUDq4an
tAHMZzhnSNklPmyW7cwc1YriDteZZYvHylln1QJb1TxXRPmtd7CVGfQ9shY3sNJNCWYkFBeFRAEA
o0Xmg4ViD8+mPcoXTBH8Be2HAFTDWX4LOcVaC2zPUv1QNhSEKzfILS2AXm9YVpD5LEyF2KHdTrq9
GcyTKE+V+zCWMhbDMwfnQtMnrEPiYj/aEpUNmfoDj12Nvo1ujVFcI1wSwO5XBfIGuSzKTJW994Yn
UjXHeUCFyyvRrQQKB7VX5soNessxMHhhh8A5s8Y4y9ROGwaf53nPCLJa1Xj3fOxumgpuRHoy5mUa
gTJ4a3v6uVT2huRiUzjaPXdkXBGMTKQdWmWVuB+rCqX/MdUZQf2g1TvYOgM9IRtFw8UINb0yfFFb
e9QpQ0P0O5tOBAWB3oEYttVFJodVNM2oTVFxVovd+mVTPXAbVjpR1m+gbdJt0ViBqNSjmQOaX3nz
wZtmFWRLocWda4fZiLzQK34ROp/bfjykYHgYdAO1zGZnG9VeojvVoLehVb/6rIKCSxnVRjzaPXIT
/ADlWyJbGGGA8OcHD4H5bAzHpsifqmq6h8UM8LJQFmpfkirfL8l4n1b9TkoDiezH0rQb0pcPjgJh
VJOPsY2K/7DkUedAPy9F162jKI8iTFOVF1OF/rSok4ahaYRWiWe8oOt/O05ljNTvtjHoAbXZyNTq
QG81VnPIv1oIKCFEDUZaMB0DYh1BXscfpmQPiu7zlJVpnMzdDfiWAyQRP51Ooq1g/h4J9w283hqx
mlK/57xDBctB9fC/uDuT7biRLcv+Sq6YI9IMPWrlewOHt+w7UaImWJTEQGvo+9+pT8kfyw1FZBXp
YtErXs1KMy4XaQ6DNfeec+656pDoAF5pd9GF9qWYTToMJhfxgIFEoXblyOnda4/j2CyYbraKnOTG
CpydPpVndhNuE+rb5744C8xpo9xiE4DCScGLMXBHan0rrh/0FBy9l/x3l6hl8LO83ZDUrmvnSTX1
YYrocSHdtRPVe5esqamRuomyvAEe2WSuzZn7UmjZWaisx6FItxWPrlXj0sDyepoc/G7cL0n/OMT9
1knmfTf2u+WGH3K1q8ZhU0gsXBTqEN3ZVha95PJkM3vevZBsvKm/tklsoz7eZmnhB7S7EFi+hEQy
XTiX4ML63mjYSI29FWb6o/XQYbDv9OmGu3jrxsNF50EMyeYqnZpVHJ6r2lmXXuOLisBAl36hx7so
ms9cEd+MZrYjDtxgk77KwL+8Kd42mufXSXgRON3WlEBAM4yccRa28ElRsIuL/Mr2CN70YjPrwd2c
j1c0+iYe4YWZJQFeOu2tMdgU5ktZYbfbVnuPcpgOaMms1ZUoo29G2pJ4lee5UdxWsbdRNlZulemH
qbmhzduXwOB9dPIwpPFZPQZrM1T4hTQP+CeChepr4VZ+rm5lbOylIEhWsfPQTUxOmJ1pHQ1glid3
ApjCeOM4+drJPb9tHw0N6kxuSmoLdFmi9IrWGPlceUsNbz0TLnjbuhh2Q4IUStSsecxI2/k2mx9z
h44WnEVmRXdl/JLcWn8IlL6yjdCv6j9kFftj5sA4lttmcrYGF7XTR2cqa3d6E951tbU1enXuJuKL
ZwxnpcqvnXrQ/Fg4uwIo2WnxdFfDOSVfFyro9ojI4FcBwwO50zregTntvNHc6yPNGuvwe9WZeEJD
+4R5dlY48yGvs6tYEdvEJAN2uTKcdJPo/XkBelwJa92P5R2tJC7kXG8h431dpZeeM2ySafok0wp9
QbDNR+OqtJFoQenvOSjPURg9m2V6kYfQRCSzrYr8cf4aQUtJ0yJs/2zVctvG+FSnrE/PLjatSTjv
uNtZ2hetyj47kg7KfXKGuc9Z6qnHMLLxoMj1S4HXZznYu7lDKjW6G9Hnl33i3dpGSwjRTPdBRFbR
kSrlSby1k/w2cQ3jkDkEpEA7yFLn4qyO8B7SYgupgXWWkDwN80gPUtO+CgpwPc++jJO8WLUsGeiZ
tezlPhHxl9ybvtYDjSnTgRxUYOIg3I1ROLhH/AyNW8O3ZuNxSgTU43STDsk37P4f9M7ofFHWX+Sc
jPTarlDneu3nJAgIBMaw9LXMc86zLHbX4NfST5fc0a4eZ2VAAWjyys5BClUNsVzFwSGf9DN7dM+o
EfjCcrsBzjyzo/bW1iLf1qxr7N2I6ivtS552f5RW+BQG2aXd4d5sJmjhawcHmDmqVnXuPo/68DlW
1Qtvql5Rf+KHdn7nlNFZoiiRHzOzXCW9ru21UD7lZf+pbEnoG89GAZBPn9K+uAqzGh0BCxU4IHuO
TZN3GItyJ7Ji3sXRcJkbZn1FRzEO3HL8PCttHw7po6XCuyptYYvChv7K2tM4x/YKp3jskYbuherJ
cjX1MIiDABfM7UctTQ7RNP4BUOqtcPi/q2PIijq11kBWFROTl2CHMl8pIfeziZrDFFBolUYQIHt3
WPGGbAApXa0Nb85R7rbhtpyLy8IAUDKj+RZM5UtnesA3uRuuc2rLV1ovvrV0A9wGmf2Zd3ywS3HI
ZwN9geOFfhxDFMiuOTOtcNo7pJljGUu/L4MrkWiHyZrmXVumhxjOtR6dm1B6yp+rRF+lqfcDEgvQ
3AkoE6hxI2s1dz/Cma0cqzQQpADYWNzyZJ3a/VS546VM8PsVA8WBLhLaDRKlP1IDKsp00m41o39Y
VU5L3i0hvbESvJ91NyFRlcOVF+VfONY+DwbltEVsf+KCknsjmb95olarYC7cTafc71md3EJDXut1
PK0GNYi9qUfnbVACPwZ0VE+T+dYJeSYPWLFKAfdkSWDKnI77oBx3Y8M+McmjK0NABtrGtOrbNqFy
zrzzVPOUhnYGSRo7mzmpIZVdRAiRCZsUGq6xrkR4Dc+poLlLSn+h8zCTv6HfOeEqa3yV9fV1qPLU
R32u0Wkp+BwZwIOAAw4iieTLGIqHanKfy9BL/bnXAHjSNLxwggGj+5zAMWiMu8AyYK21cN33aenr
AmVOaNrPYo4/SSdJfTyHYz+MVOHjoQgPwtwgAnBxdEizLzRDj330QKGP1UPBnDi6r8/hS9k2jV9r
3aHPq5rP8h9a41xJbIFWpQ5pnifSA4s0utWgawavycqgiUlUx7l/FqV7p3T8o0ubXd5UdQC5gDeb
7qIKqdhpNBsmD2zujEAyjMJgv4c50rKdQl5wKKzIJFUh23Uagc+Korp9Fhn3YdBbB3NgMcxQbAdX
IhiOYylujV6fDm3rODuhOSymRHMQfYR4n47M9ZObLaFaUrQHgW8u6GJjDy+paAZ6F8lsR2Pu0pdO
PU9rrfCar2nDz6xPlLpWox1cpxq2qaSfg61H2mMXBeWmofzh4HVmsrP06NFNdXFjWYUOcsv1B+kb
pxu9IxOY8yw+H7QQ0I5uovFOEdTsOP/qxzYfunM5V/nF5ETufTs6xlZWZfiICtv1ZxlSLdnwfEmd
Zr6ZcA4nQ9bfJnUeXLtRkvux0q11FaPmCRsio8lamnlngcX5kpNzaJOE83X7Q5J4tGelO9o+aqP4
vg6U3AakrKiDLNiPuJg30uhInGqP3EsY4QE7V/usR/z3qexI46axUme1GD12vw09JJzqsrFG9lbp
Ano1StuSnOa7zs3SMw5l/aKL5mIbuGaD76whd3FXT7uh1s1dE1oTR4zlHsbGyi+ruo52dKXRNm0U
qH02QncNwWjtmTrjPMqa8bYuu8qHSagOA3avK3uSYjMZrUao7oG7uV1Jy8MiGK9bp1PrEWnbl8Sp
5WUHncxWnzj1Is3dRMlgP9ocqIeqaLXNhHKF2Wrz+mqY+/pqll53kdD1eFeIOdulhKZbpnZimU/F
dWLKb0KzS/ZlMRBpsjpce0JYNBrZrnCFe1lPlXPBUe5dEPKUsA+QLLXDsaaPjcs6GcZHNxrs88r0
Kk4FrS13gV3Ph96cpIkwTYNUZr5hYetqLTVteOlLLfpem+Z0NdHy+TZx2u5uMB1CGqbF/kG4l5z3
cxSuXSMIX4wk1O+swYif0Aq10yopLOPWbTV1W2vOQGI31M3K6Vx8cArT8uCINBMaeGkb5s7xXtOt
5hzfD3p+ijaDxBgBRe57PYO0Gpq6vQuUms1Vh/1qwnLQwh0EVP65SrWWQ9hKNkA27YPupg62vxFC
uTnzihsTHGoLUkZTxaxKz9JYJNAmRA6fcz0coYpidTFQ/7GbBcEvY0YZB1OLhJJQKv0qZBTxHRFV
b5ooiW6FWt4ATrmfKNKMSLeDABi4m9jvZjgOL24hABnYOA6MNvvsKTVTWJ+UFpCfOgsfm1VAQRF+
+nk1zvuwRmOItDAYHtJ5TJ6HktfoyoDLJ+wCwF068BLMoWQdv4WGpj+VY9qct3YjIRHsguOj7Kt7
15j5hWGcoAqEbs/SH0ZUrMhbeQLUo557ZeaDdt6kJDWbAr7qzvWoaALSglpf62ZtNwfLUcmVN449
Wa308n3VaSMQ9WDppR939DVa9SqlcnpGCffoilFtuSsjLgDlJd+aLnKoRdJT4C8uLktstCxwZ9QG
EtSzSb0hXCf5JD+hFAqhmss0wJlTGqW+m9vJNtbSi1H7hVPBV0sjxPvYGNn2XSjT7K4htsecvXRd
mslR+g40hXC3OJgy7p/bvBR/5CImBNFlgoRGydaxbgoOz9IvWkdwqwnUN+tm7BrvjB7b6Mvy3jPI
uhbxmDuHs3MeBsNQbAdppiR2WUiSz3REd6Weto+ib/kmbkUTrnUThHwV5MDhj4Etxj1n6ekLbvps
AUO4zSWKje65BhMn/6YQmAQcMbSzKpu5Uo8VIpVqa+s6moEO12x0yyMsLwGoZnUbpXVhvi6FRiWX
y4tbWUIvM65/ldNrLsmyey1XsblWJkn8oXOcdr5EKOc6tATQvAG/VZ4ZFkSfs1vLaQvTTy3kkbfD
aBTWbRWlje6nZubezPSR2cai6B5qZdTBXqX5yGarEvFQd5E41K6GEZ9d9z96r2jlCtEtWJhlZgk4
XSup2Xda48otWsvzaVmV3iQpeMlsto5fG8V4oBpVbYUovT9EGzYlGjXE9eY4cAQY3lSdJ0ZaXTqR
R1lEFvGcCLKM+96D86hQEVFx00pv58S92Efcm3dpmuRq31ZdduENTtpuzGRUxUoOQAiphjKdVBl1
WBZFgCau7ISfmbK7NWk5t3WGWdEMsFNi5wWN4xdzU31OZo+EtY6S8ySjESksMsl7GaszywQY9dJ0
2CHTwsMkCbGWoq3zY4tQYRVPU3ZuNtF8aKZkuDXM2D0MWmEARunRncy0YB+GBRaQac3lqpr0UcKc
7kbFxRI7uUFHcsiFQk7hIYX7PJejB3ipG8AJDmyckSGaLILO+2PM+/ZMACjvyOo1HzHFCNMyzChg
22iPoAaUpjKqWw5Nun9NQ73zqjHdpRkeyXYBttDkmbZxWrv9ljamSQcL1Vu3ga5Japxksok6fYQg
dstN2GK3qEsShT4svfNp7tKzYEioW0dpfa9GTpVemKFv1gCOEcjaNonoYJwEw1c9q5AeFbpYG5M1
7uLelnDTjULBD+GnGbTYToAg3AEdbtaa1nniDPp1m+ooyyLdfXKc2vgh2GTXJfpR1y9UyNHY6N1Z
6YjiIahb8tegjGvuhkg85ZyOB32OHSp7Uje5HXDk+OaoMnvC2AaaJeBh4VnGbdFnNHcdbct7slVj
2JtCD/LvvfSmdVCIdFe5Lb0trFL4UWNBesZunbxUoRddB1XRXIWmY13rqWBDYGChME2MiKd7lSBo
ae2oy5fFX2EO5E71pzl1S7Ruqd2mMCIhuFMTG+2zqUTyueQ2ZfbCga4uOYFY6fd1ZW9EziBAAO15
qkUOCWESfNNbGx1rTTxM3tIcbFDA+6bNcSvNrP4HrSPGB60SAkW92Q/bOkf3H85QER4VCfuwwAAw
7HUvXMkQVHJozRB8K8CDp87N+UZra7fjwNSbq6ywudqmenCu0ScWX3oM93ZmWCF6QJZ7G3uDQL8w
0L4cNclVRpT+aKsIsqaxkq/G6CW3cRdVdxbs4YVXDH27qjVh3kSFp30t8l5HaxElGl2MRltSStbm
gPOTZvY/tGpIp7XuROVjX4/Nl3CIkrPaiOLvmXTt81wO80E2UXuOLnA+62NaXqJAnpLzoU9jv1LJ
n+4G//59/B/hS3HzZ71b88//4OfvaOjrOIzaox//eV2+5PcodV/ay+fyP5Zf/V//9Z9vf+Q3//rL
6+f2+c0P0F9xO912L/V099J0WftzTL7D8j//bz/8t5eff+VhKl/+8dvzDxXn67hp6/h7+9tfHx1+
/OM3ym8t6sn+/fUIf3189az4zfsXtOjlyzu/8/LctP/4TTPs3zG3smlkJvAN4WChJmp4+fMj93fd
NJfiG4PaS9OxKVbKi7qN+DXvdwpyKMwxXPoCuPQCpjanKbqfn0n5OyiNZQjh6g6RheH89t/f781b
+N9v5d/yTt0Ucd42//hNX+rjXhUn8r0svgLd7W3XNWwpjmqNSt0oU2XBtIizYfYxafHVXbZGOJtg
rDfSTnzpIzviqYePKCEnfcOqE6VIUrz9CsyLudjfGJ6lu3QJPK71nvKgcVMXcICGwMA6m2JnbTpi
9EsKoE5Uui1P8+ppfxlqKVF7ZRZTOWPlmsjESEPtG4KTLdcNp4Rhn3mF85B3xGsVlS2v1sRfc/56
jo+9WZdRPYeqC6rGqKpxjKM5DlN6njjLAy7N7JbmTmwzoNilSQc4sU8Jx8cD6uZS4Hn0nK9HNI9q
FHFZkXnWJM1Kjal8aKOy3s4NSb5eQi3105xuprCOd5yrHD/ITbFcaNInl4DVpwKm31Sq9LZu244H
bYrL80qb0Cpps4IpbIqJ1ID+mEBCtWOOq0DrSRUD0KO7OZvaeRM3A+xwP3qcvW7O7b8StqpLqCQv
/5bgauJbk9dfeUpibCG6rn+hhXlN35Kha+/1tNLUNmwAvm7nPuzrJ1WTo3FPGTEHf5DmJMVCxvl0
nWeLalvVorpTc+4topkGl6tpoI4sbOjuPnVdfllnsr8dE3iNKfUw3rXmz+7STRjQn2i9VF3u952I
y1WWVt5W5CKAF5NVciEbadzbgRaj1DHJZXzLrpybcRwG1JSVRt0bgnpPrWUxu1cNgrDPmiaLiywr
wuSQy9n8zk0KC+kZCYCRcKhsltXwQ6VW9c2oJYG+y/H2KdVztIMhaNdVE+GLCHJShee5rZRYt1mH
3M3SA+8BBLK4U46kmmoKTe0zEuBg9idy2GrvRkzzWU4RJxZpvQrR4aYTkrdOa2DoVe/pja8b+lxf
mmPSPhl93M4LGoOmLQoEpVooT4NLS83VPo9L5YOrwKH0kmWhZ+VlkHQKAREpzZq6PdcPQom6vh+z
mwFL+v2k5/lZM2X9Omgj1WzEXAxU9pRNWaHY0OeV0WTJVUdVxtrtDbfCp8umqC0cwC7LVOwh442n
vlQKpbkWo+TUkqpElgDkepZoRYWawdE7emuS8N/Pg4JJKIwOPZxuhqnnk5OjhnVreqaAEfpCjLBv
Tt2cxdxRd1rE/bmNtGy6d0gqPlcBETFEKNFEGTdoi3sUH31JJ3cABLBVo8rVmZ6OnfYt9uL80ksr
QaSQWdUaVKu9inStop667vX7fi7qxRW1Dx4aVPR3Rm55X4zZmh6ScnCfRs41aNS8OqSgkY+xpo33
oQ275Q9yEA+KahgcAXPnAPZRXYy5EEgf0urR87rpK2BJhlQiKA5G7rZXbQ6/Hmfuoq8apUG47sQ4
/BdNchv0U3SlUJU/u92YXoSgc9dIBeavYVPXt11KD5nYs7LLKNaavTMuIIM3Rv48DQjR5rw+qBTX
ldaa2+1YhuJWlFY7rLKc/kijtCYEarPYO66qDrDQxbnuOmWx6s1hkznWvLUK9JekWQuDTNvYQhZU
ZHh9t84q70eY6jWAHOidcJFz1QlMsaxb99aFP/Xttkp2AewM3MVAC7ah0Z+tYAFOaEqz5+yYDoWK
wwNhU71pqWBExGOFm0QZ6d7ui2BfdE2PCCYW/dqz6ZUZV26E5ZhXTKREVrRHQjcfPJKCvdtTPhKZ
NR4eRZCdxUmD9k3BS85JKR4/PnvNo8Jtmtxigee6lkfjUu7un0fzqysmGKumkn0PfdPXWzuvrgkW
7zFJObMsC7e6fA+u8ZRP5lXcPYSYnFbWoQLvrMMbm51oDs466HWESfcyPY+8ZNPW9AlQF1F6lzl7
vSK7ZfI67yuA9hYQzce5ORByNaNgbtSw6jWybCCCVNzHzrgTkbbxjOu2keu2MajDunELSl6Uu6bH
C0TnbUZu/fEMHPtLLTNAu257CV4kFaLeUYW0wVU/TBbX3eDLbWKsW2sDUL+DwIbrmH3X9MHATlx5
Jwc9umM1tw/c2GFQfClRjvlLGMHWhuLfJKvaP201vdSSv75i3z4lrl1vQ4lAFXpTpbznRXXYKsBi
7XGK+ousFev/pwnFgeztUADJc1Yu7Em7punJYllRbVBtXkiamaX3EonXiYhFX+KD44dj/dpC/xl9
/qwdf7WIq7GPaJFJVEhf+uuBuq7J/7PRCuI2LtKtl0E0+KhbscJa0W9kLyvsn+vdKach4twPv8dR
Qb/NP0ePBnqbDve6kT0k1ieK2v/4F+b39dMeLVhKz6px0n4+7bim3Hhrbhb7/GmrZrRixL/h+i8b
2v+v0yEduJmF8n9Ohy6f6+c8+s//WbxOiP76rb8SIlP+TiQsXKBykyTGkrzRvxIi0/0dJSAf2fRd
x0hU8NF/J0Tyd84RkgPK1zlRMUx9lQ+J3+kEj5OB4Ov9+Wt/Ix86Cpw5s6SFLSKju47kGF9ylVcL
P0mtFDCK8nv+J+qLOMOV2AY3NTo1+HnTiU0zkhuL2gb9srTs7tV83fy5w16nCkfr/efwpIS6Tt0K
K9tZ9uWr4Y2ZIrsSjcQKmFXum8571CDkd45xynr5nYFsYRBu0DaYDFQ/es4wHdWcFS2CzrIa90Mh
KfegfB7Vux2fsLRbTqdXZ8nyTJTXc+gzmGt6xtEexhg/jeoZZhazhWEd2wBo9midMBmUR3nsn6NY
2GXx5n4aQr6dOVnkEY2DUcWaO+17tws3yg/21aG91U6eju/MnYsbKHwKL0pnobwdKq4ITmSPgN/w
eoNgUhqYGVB9Urd9sP14PRxfa38+lidtm3TOFuZxpxtZewJdCI9F2ceP/OA+J1sxcpVy94/rahtu
81Oet+++Ls+1TOkAPIAFvX26YRzC0GoBeykMC/eTmxV+KUGhP36w9+YQ0MG0LQsc45cYgdywKhJM
HSi9CG/bjKYs+nifTqfCguVVHK89YA3DcOhC6Onm0TJXVDFopof4xaKoclFkdFTneo2kNoJKp29Y
oUb37ZBWwYnH+3USdY4jZtClrSOn0/L4r/ZxpxtpTak+hdR0073mnDHv6qTWP308ie8seoahKTdW
1cyhfdyWoJnQ6OEYCuy4htl9REnqi0NxGB6QG918PNavL4yhloGgSoTB+fj2iaAGqj60aWs7FxRZ
FeQaaNDGFGlel+0/HurXl0bzQVvwPK4hLUCzt0NB9xegxHg4uGnjXdZ1fJaAUXyPqRBG9TqZX1PP
Ai74eNBf3xiDLhiNtBibq+btoIVpzLW7LPs5oCm8lhcPHdYK6789CMaurAlpu5y5P3f7q2UxCI53
MjQcPaFx2uI7Vea7j0f49TVxBL4aYXnMVyN0eA+A4nI2DdQG0xa2CKND1o7UBA0IfU48zqnBjo6K
Wm/I2HVWOSpS+pu7xfVYRSiGsvCElfDyh95uY54K52Xxczlg4/n2qUg5cz0ewfYHt5FPYQKxbLu2
e0/ld/QtEH329xcD/ou2pVuGpIfwcXejoPQQvHZUnJRudRur8Tsu039zP3nguw4Hk7BYdRxP+ttH
wpcjyq2exomDmZ27cyG+Fu7gnatgqk8E88fwIwA0IYXrCCHZwIRRR7PXzsgg8cJBi+Yl83VXm9Xj
lOXOtlc5yZnqxXlsRtNWgIp9JosvLmdB3W0GHSDqE8vz2CCVmE8nvPJsDi0DM/LjAEefRN7IMOCx
Na3/BG1f7tE6pjtHorpGUz7ApSI81eHtDrk1QKSN9hT6eUUNJNIn2++LPkAdK8KtMbSnDH6PFvSf
347YC9k74QpZ7NuXgsQwVwEU1Kq1YHKz8iynOhHq7NQsLH/n1Xr+OY5Dv1/XZkl7BEVvx5FRocqp
o79F53r1E+S+uda1Xq6x76k3QZ2jpUK6fNCCAh3pNH5KUiolPz4ojrbU8Vc43lJ47sZVZSV0epce
aGJaZg/gRG6za5O6/WpSuW1vPx7xvcl14M+XMN0SKDXePnTTBEBN3YhCz0B3Hnl7SdlynugnDqUl
g/h1ci1yhGWFcYcs18urI1BmAwaPkwB49WqtXElW8WaKFs8AStvFJQCws0kQ+99EoxiQ/FdxC9ex
iLMj7FJ+2Fx/2hlMv/nYxFl1Xk86+AnyzFOG77/Oh8ktgKzKIR8iTFg+f/U9Qy1paZ5d56tqCths
ZXteN8Hi9TGfarOynCVvlxsjLdwO9Ckcy3GDKm0IzGquCROWbolik61NLAogd9Ay71DwnWrCtdwx
vwxH6IOSUBe2YR7d36Vp2X2HwGElPCe/7frEvqK9oHPiWHtn+hxAJv6Ga5v0jD8CfIYuFCGliPmK
sq3HMA5QmJjpo1c26d+7DNgppqPj7EKTaYNA0j56nK5I2x63Ng4FUK1tXgfBwSuC/svHu+OdSVta
C6Bz9YhVgc/ergZnarypiNHZ9F7eIJMNKKYotebEybNMytGrWZIJMmyDjMIVR3vQpMSD1n3wxf1S
2wL3B0OUDAMER4UOorwsO4uq7PHEs/26I803ox7ddapE6hM4sOMiVA9jICIK8hDC6OOjx4T//XXh
SWAC2FPib3jStxMZTbnmavVI6wkKe/DA8fUeYDrLNx+/r/eeiZibDucORsq2cfRMvefGrBYvXwVO
e5egF1kxtc/STRWFkgijPh7tncXOWQY9asL36qz5tw/lDLnhTgW3YZmplxyN5bqfak5RDRnqxyMt
f+l4hRBqSVYg+aY4joOVpXIGo/hqDMqd02SPaWx/xowE0Z08R4357e8PhxoL5hnMh1Dr6CYssTaJ
Q3RARKo/5jmhhAEqsd6H1i7XT+Wcv74yC8G+BbXuMhIz+XYSkyAOqfQjXIWk9VWg7ZxB20qVvqTm
p4+f6tfXZUH6E9+zy2ilepzBkJchJKSD+grPhRe9jHs/LxS6VXp8nFjt7zwTm9myLUenhwxAy9tn
aqcqweYNwKgt0MKsjBrMZ9WWuijXibLVnbKRep4Y852nW8B94iPiVs7Eox2GB8tgGxpkBRQaumeG
eUEn6+0jfChPXF3vDYV4gtzdsg36Uiyfv7ojeZ3YL0nSmcSl/Y5Vuel532ToAiyvOhE3/HoAWzaJ
ExCS1FmJztF9oplZE7dRAYAEeLk3pbA25Gvm099eGbbn0XRlwXM4po7sikMrLU09I7cdnW9LdNfD
rkcqP/Esx7DRssoJLGCfDAILFzbq7bxVTZvKyuGc5/yrD/lW7Vp8KVf2yty2OyvBx2p1qj+y/PVu
sUDFWPE6Ry+H4tGYFCgj4o4oMEedmy2V4jEitsYsMP/pB9xQGgp+KwdJr0PFpFJak++V5lAYEuqm
9aOpxxFzKDRVDjJD0xAbwFDTw6GKYmrLLNpt3zeqPbGU39k+S1qJcI2M3+IsfztPeWx6/cI3InA2
b93J2ah66nkpFUhoJed/YTRb/zk/khvjlzisHQNluhiDeabmD0O404oXowNtSE+cqu+8CoIiEksL
NMNAPvf2scwGvYm5BBMO/sRN9VIrb61Tk9Amf/SRwub5xKXxzt55M94yza+2aTnneVrYhPZopnu6
O8fbEKXfiTvw15vJohmCbnA7gT+RpL0dxNJjLa2Xsu7BnCWGgVoQP0VqSuUKGSPFjF5T2BDbnhCn
nM7fezyHZALmbSEvjgPaoayodrTYTUnsXvS63AAO/PHxufDuEKZOmA7Gu7RDfPtwyOm1FONNEAcq
qtYqshrfNvvPHw/y3mp3HMFVq5uAopbxdhCqpK2yaolZeorNRhSuken5joz3rdtvPx7qnRUIAQ54
x2VLx7Hjcw53SbsKdGQVGBB22F/1lN4k/ZnhBEvRt74uCvWZM0qdWCPvTCPoHRor1j5DHwNsjptQ
6UjWsUrDCrlJXPwR2eWJV/Xeo70e42hzzUMByjVyUcRtr22Q/FHDPk7fHcf8Fg4oY6YEKUX7N7G2
5UT3uOc5zYltHe8Y6hWTZo1VSa/rCXmUjvtlk+VXvVfffvzeli//NvxbhlloNppQAU8tD/9qJ/dB
nbV0wmMCu0+aiQaqWbXJj39hDJvonB7zOuMcbeQK6ZJp6yWXE1YRWwMt+KZqzWhtZ1lyYhkeawv/
nDaIbAuFJVjeMejgVFhGy6khG7D6LMW3MRMxVmpW8lxGDo4Lg0pE5lt5i1yKP5E9w4pFDw2FNqeu
Gn0JZY+n1hVg2kTxrArvKGzyHDgi6h+QqKAhGj85cV0lfupUvbbqp6oSawbNhn2SJcnnoutQPGGI
Lq6DYg6+mkFMYIxKJ1CYlpapRcFihN9V0toDddMlwl4E07MZYp1Ahz9/auYMCbWVeA+jUSOHaM2m
xi/DCGukdFSnYFoxJH1ubEOzQRsyNVGNT8ScNzdOD926/viNvwP7oTJFOe9yhLMtj2MDlYlJkZZR
NTFt8ELZqF3+udwMa+xwrvUtNmhQ7Ke6Gb9zX3AKLPQmIldJOvN2KeclKxDFFEdQkZaPiGGCdZvb
NRbxXfJgxDYF7IpSv08fP+q7oxKwAnQS3sFfvB21HWRSS419ms41pX14IkQplQYVxXubaqi/W1UX
3H885K971l6wXeIYwhiyQ/3tkFRplSBJBMlz6N2lMYUFPTZ8U3GiudU7w7DzwUXZTAvwcrRtXYoU
4kEHHJ1j95oYDx+y8hBJeWICj0kttiwSYOD35Z6ngcnxbatsPehTA1xMk4v/EFZ+VTeE1ARDRGLO
ErjTlXCSbRhUiJZ7+3PYnWKsfz3hSUYtYll2K7mAeXQIKoKPIqj5BhhnRCthVQjO0uc+tvaYoHWI
48VTlhrDiejw1/l9M+qiPH999Ar0l9QDEYuOGI+t+jk+d2atXsVNcuou+fWWZCSHO4xXKXm8ozdZ
zdqQjovHXZ+r8roSxoBQcMJv8eN1+d4wrBPuLMQevMijddl6WmVo6URC0D3bw+UEIvg3B/gv0s5s
OW4j2LZfhAjMwyuA7uYoDpIoSi8ISRYxzyhMX38W6HOP2SCiO6hr+8lyOLsKWVlZmTv3NrnkVZ5S
BBfe88Z6HVEKJVtBqcdwMqPYVZEsxkuoagbzzKvt3UoWQ7SDGAM1KWGvOyhERBOwMs2azC7DX9CP
MfJGK/nx9HKUTTMc4OVpaFA3WBVDHNhj2qpYprH8yZt2hS++EkigEgOGH7gLr4tnXZ62+c7plpVZ
1ESIWA4AjeUnvbnvhaENdHwSiuVKsi/HCwtidqhmz3yobSsEYoUMhkxm5QkpX69pZR4+onmqk99j
+KCTEJ5eyebmLQVuZ5mYeHfTT5HUJlYAcqeNYHFi/k86Kzz8LrazWVS06SuQO9N1X8WFsQ41rawj
ZMkr8djiayU6OWOI3p5TQfU9+x9fESATR+XKJGN/RZq++TZm64yd5HCBZUN4G48SLGdZZ56JOu+v
5mVRb6ysFqVWdSxVJhAJ/RBeQHF1UWjJzbCfd/9CZ8LIEzvZC9JzCn9bPsFjjncIZSuO1MquAZPp
QNZBwbuSH8su2Ftl+jSj3Xl6EzfNvMrcyFQXkbw9dvBZGRg+Xmjb9QY6QPGSLESqYXwmz9xyPm2p
mi5DO/Q8Vg5eDp1FR5faR4OWvKzDRS0xAXZ6JcuGHOWPfCieVOByKF5S71tFh9qOMykbSJtFwMy6
6xgjCk213i0g6Lodf4yRgKB/sIPq20AufC7Yvt9ITYHHn5o30Xap1x5vpKr1ZVtpA4/gCSLmKFIZ
05Q/J+0/p1e5YUZdUhmgpyCrdHVlph7llpvrtaCZNGhoMAfhGkXDWNuwcHF83BjTsuC1Ceqsbvkx
b05YncySeJ0ZjJ1u8uSmgfRO6uElTP53/O1o+u0EsI+Ks6bSDiP1X97DNE+PLVkNHW2FqRVXkhE5
8dXa0GcXxQqYUm2eJ+cqTe+TKPpuOk3/Za7LWAwe26tjODGR2qFY0uSm2wiGFsAJhFcdQ6Jtkexz
6OPhPfRgQxn3tj6C4EWw4+L09r6Pl2wpzX7YQUF40Xg8/hGAiZpQt2n2l9D9MzB0KAUT1iiIVPZ4
6YRnOtobnnNkbeU5TWY6faYAc7CnH1N0IWUveXAmD3h/BI8XtI5ZjlaKfGlkdWZDZ76GpJxUUdpp
dvYns+XgMSxraVfCIn/m7K92kkvT4oYG+Ep1g+fX2n1ShtITWaJb30E0UOgTxRQmGjGTIZCB/skZ
c6utfDVn8YBRqaBQ4n8dGnxzLjRbDIyxGTAJgdisGUI16uhQat0Z/1hFzX/NmARMwLumSffz2D+y
OB3LWicthPHghub8pQ5Z8WkX3FgJgBODa4YOBA3plYlWndmpIqvcHnFo5lMqaIsk3TPH5stpQ+t7
dFkMpV0LujqauDyRVs97k/46IAqSg0TMau1D2lfpftSLafCTzJh5LY3tVRfK7eQNNES/jVU238LY
Xs5+WjjiMdHUMXFrfZquhMjzhyCgVndmN95tOP3KpYQJ/AzgJVC+4w2XqkpqeqfjYTNAKNRX+icD
Ju7TG/HOVZcKKdcE3qPyhlrfE4PNDPxQoGmVNf3sd1r5NAN5gw5l/KxEGZTotB9OW1wuvjcXI++L
BdjE1nMvLmXa1TdOK4nyLDy7btV3kDlEgD5QtjMhWOaEfIJgzrmiQmTuolnXDnEuT2fsv/Oxlf3V
roqU0dsJ1k0XQBGqUXRb8uEf1aAHcnqd77/e8Tq14683qqWmp5pO+RZyAVfvg++DrH+s4fZuL5ff
8Obk60YZ95ODDXhH70U6X02quVOD5Pn0UjachGNJOZ2OJTeUvPpkfVDZmT7iiGJMDlJk386R7LVj
sp8D1dfa+ozE88bOcc1TteCl+ApCP16VU8Bw00NxTSYhXzS2fMOg5ZkVLXfZygm5a03eu0BS6Lit
VlQaTJ3mMyaGxGYkTrcuFETu6AMzY2kX57L2rQW9tbZyuWyGsAE6FoC/sZC7+zKBN97rlUmWD6c/
1KYhSpbMZ1u0x9ZnC/Z6XaosPhRzpnsxa/dqkn9sPmBxOara/5lYrUXqNCmLA3ZOGeAN02bpi2mK
M+MBG/7GLUP0Q19wyYZWR0eNqqjjogGyL6sXTq/QnXyU7ODTRMV0sj4oQ7qs6Mja+hBB4Bo1EUCD
sTFcNexc9OfdJvjnw5/myMoSlt4cVQQKUSJMsAITHIPlNGQvabkUZxxgI7gtGFXADMyLkLsuO/vG
il2Xkab2C8YX6l14z30dUmSb4YPTi9kyo/B80ilHKLTH12bK0ciySSKzGsefNAO+TtD2uFDPnyli
rhsCr9/mraFVChfOWtcbFvSK4GQdzZ+qbMwPYR50+l3dxfCzkMXP5T0tac28cOIu7K4MCWo0D7It
41xLcyNo8PoFRkEcpAy3HrPrmbGrHIjhqfTnPkS0mbBck/tpyNIzN//m/lLLXN6ogDfWpSUo2wvT
qIjrWjJoflUo0c4oo+pQDGrxsZLSvzu8APdZj84/q08JTyOkbyHJo6aBIGpa3xrtb3p75kRvBCYm
HhZQCPMjC5/TsV9qYxnFmgrEBi6VZ82ErNOg1v5hp8QGjsAJAHyyxuRlyQA1l0yZuZ2RkFdbUXxr
ndS+iRyUTP/CFPcgR4CaMy3g4+X0gZZ1yKLilk1l/1aqEcI7vSu/Vt2U7E6b2nA6A+azpfEGFBAw
2bEppjagYIJkwaXdtGCF0pusD0CGBtaFOYbDmT3c+E5vrb2exzfxQ4tUOlQmzYnOqPd9139pEmie
Tq9o0wblFxJOjcblGu2SMu1t9jDiu+1EkR7lmzgL94rWwu5z2tDGKQIDwDgP9QJKKOsGetMjeJfA
iIkkKvSpaTOgKOEMwUMu8vDMrbj5lXjBE+KXSuO6W2hDMDlXgjU1Udp4I63J5eW8r+TgeRogvT29
sCXqrbIXFvaftVX20ldmG8QR1oIumEyGxzP5AoqADN0dVTnIsczkPi1SX4Ly7+O5mUGkZY1EQrDJ
q6s5JkvM0pz3QmWjKFdPTXjJaLVxxum3XERhVoopCFMlLK2cvg/bHlFzkgxptn4qLaozoXxmIUvE
We8hVxfzqwxWEtJXESmwk2nscpxDl2vlGc4V62lQcoRhEYSyKuiHgaV6TR6AOf/4x1OXCj55hwK+
Tz0+0Ok8dM1QLc/oySpe1E5H+sVJo6ekROAhUwwIQ5GsvjCKxPBPW95y0reWV9+uGWeaqdBkuC2o
axt62nS4VsLRb4JzM/DL91lvLi88Hq4WkyPv76++t8iouCkpWGi7PEnTPbP3/UU6pYzk1kN+kKSI
V75mFjuku+czt83W+eAFQaECcAp32rIRb6KYaOJuGMGbu5IVoInjJLTPvHxW1R9KMI0/1MgpXmJb
qR9q1QBVcHqXt6IOXRPSZDBdlNFW33fMY8ecFxoaoRr7CG7hKW3+Ua3wzBHZXCPPaDCQoMPI94/X
2IeJGsOyx9PP1qOnrArHizmxsotegi2mlZBoqUwI4fJhKh9PL3Dr5BC5yb0p1TjvTo5hSZFTNzai
zTAomz8mBIcGRJV1+1fR92ceuFurNExdValKMoNirwIBWK4mNiuq6EnQil3f2PFh6C0HgoE2vS7q
0IAoPjYeR6Ovvp5e5dZhMRZEOr1lZv+c1WEBtJ21zesxTb6aMXLG32a4sNNztbvNBVoghGi4ck+t
i2q5qaWhalKH0mrD3M/09tAvsSHAz2Ehz7xSDiHyQl1j38r1l9Mr3AqypH+kmGTwzGGvbhHmnAIH
Ue1lpmihZnVUmPUXkszTVra8hbyPByNXBkZWfgq5UKbUEwskdRlv1A5IyQjq4iHVYH7RJAdRXnuU
zxyOrTNIhZKZPUpbgOOXP38TADJky0IJ7mUejtbXMVAu4BP8PhnTmTtk0wzYWcuiLErBfGVm6dMO
WYiZJC/3imrRXezgoz58fAeXapmhwbRATWTlibacFHZfsYOjJhg4y7IohiwqrCYo2CiX2q5ilrnj
9u1UnRsAfO8ioCgJMYRwW2fOdhXLzKikC2KQfA6WMK/BQ4WPFTC6i9ML3LQCiIQwBvCLcZrjr9VA
ZGYmsMku3ZYeuTqN6vPOSpwsOuOL65Y93s563lhaufxQJkkdq4QuKRpoHmmScqEG3S/bgK2fPp29
U7LxRxOr1wFaPlWrA8tPkwbh3hHudQNxHoqX/unFq1urV8A8vXapQeysVt/y4ctqXrCXVm55djTq
e92Mo2rXFoM+4MGy9ENyZiPaKY3Of8Y5y5BnJ+uCttQsAtSMYdSfgYkpgOVaRG9v2lGS/jErpMrd
wk6hxawrI5Z9SDjr3wOjuwC78jqa3U6EI9mHPQrzRnLMp9Mrex9Bl2QDl4UwkAtx3a7r+4kgXbLZ
ah34DkpW0ZB/ydLULxF7/QtTWCJcE6yZPj72oDnLQJD2HJEoijQU6ABlhFy7nghLaO/GM+nFa1fz
OL1hZW/MLUH9TXgpnKpEo4NjofbxxWwiAgN9/k2qqV/g1O5RJEOOqHcS9Fvl6ALaq38CWzyreXWb
FQgmZrbyq2qb32WuPlFPKGg7JBIVXHR+HMEcg1aizaHmzgSm2AYeNisg/iRT9SZ0dvJI+vAVy2Ko
s/KMXZoA61hZ0HMphMZi0mxSdZcwFH4KagjoNXsed/QH4AJX3DIIpzNxbT3p/HoaMcjsIR1d4tpq
G+Eo7lpRgahP0brwclVrbg09EvewKAPSyKVnMoNw57QLHfWMlKRQEFWb7ETdF7U9fD/tQlvHEFrp
5YXNbciPWn1TbS4lGyEsRjuD/CdEyabpG1matP5pO6+ljjfOQ/RhOAbELsh4sClE1WNDMImaYz91
6L1NUgzLsDM9t53+vIxjuJWaOMigDNK3NnckT6ryxzENIzfORgQ/mW91GzMJcI5I9gPNHq8aiGf2
QkAULQxp3Am7RAzY6NGINhAIgiC929d1gUx6bf2YZ0V12wpesaBk7Egkw7PSE/gASF3psMd5GZHX
LbQCvUe5Cj0jUy51HYYAWNzh4hUXYav9qZzgGpnQW9E4L8z3yL4w0Myq1Ny+zoLquerT71kY114U
pZYfypPhjcA5bouuMw7tImE71RwbuQk9eTYUr27P9ndWH9JWFYp0zFdxQMlsAHgc769a9AZdOx52
GdICnxGQz3ZSMQy/Tn/GVXB7taJSZscYeByqDMdW5kAC0G7hu4OZ2hddazawAJVoakD5V+quFofn
RsBXyca/FnUKQSQaMmxDK4vxIE3O0HIBiDQn90VEiVp4X12GsKyf8dHNxdF5ZASZDvq7rBsVdMco
ehZnhs100PRR9WO0OO+kQIg7w2rPDfKv8Q//u7b/M7gunzRo7EbZAiI16tKGyaB7KbUsuU0q6QWh
oux303XlSyCj91mEinyRtEzHlJCReqc/6nJNvD2ai+tQbmDSlryRiLjsy5u4burwHRT5xFWsBPoP
OQ2Di6YXFXIi9vRd5RX5kDqIE7mnrW45LLk/r+WFUAsAxrFVKQWfxtQy1Zwi9eU8e3bm+Iy3bvrO
GxOr+zFjzFyqO3wnaIzmMkyN7oZHpX6IW3N6OL2adcn+32+J0A/UETSK3r1oJEF+1S22dPDWf8g2
4CYKoUmvOJfEMIjr23CEpFjV6ggJRQra6aye49TdXDCUYJwUgyLLOjNHOUyBFHTBZtZlhfpZAQme
pj4tKr9nlrscu3c+A7MUtXpOJg+B468Xoi8UOkteJovMdebcb0z0e1v5aiSKBxUiFDE0PzwnXaOV
Pwk0f878gC33oUIG2xq1Nxpzq0fI0GWJqkQjtLci35kRguSxyS2mMDAkW+21NbY/JDKIvKAqaApU
f50EcXR7lC6lCIp9u308/YO2tp6+kK3RUqBAuH6u9JoSDF0JQlHN0f8p+6S6dhLL/Cbzr88QzWyd
12WsdZmag6Bn/ZV1LYMdrpdwa24/3Z9iAXQ5b2fDDSXUA92alkS/72XQfmcixaaX88JkXIFITJxc
ReOU6lYctsD2+nHuDlljNw+qXTs72G7KfZ+19FIQfLyoutbY57FaXNt5cg42thWmqRtACAe8lbbH
6qZjDMUo6ESABZVa+zsiPCYM/GAuIk8a0znzbUlDn/70193acno4mvr64KXudOzuUVqYSAVp1BAb
RfxOhga+arPTDkGI+0t6+Q9aS+a3D9ukZ6SzUq5a3qGrAFnXcdZPBS2qumk/tVV0KBZxugLhyqZE
pdtA5um0wXVmusQwFmgvQFQItMBvHq8yN6EzlpZ3Uq8aKPnFiTr+goy3RFYzk5XfTShE5EWofnx1
+hEhCWF1fwyUoSY3r5TAdsswRXjx9I969eZVpCE/BfhNrsx+rC9JSH3TsFmm5RRzaP1GSNK+khAE
RPd5RIRhgJQNprQCuUef916PSp6hIp/iIECo9+k+Qklhj4KD40mh/mQDK7yfrQCR86Gkj6UYyZWQ
Q6SaS2s3qVPuI5GIFLAwB6qo1h3CxPAOia91p3+WqkZ2zSIcXbQ095IVvkxFnR4ii4HfIkXfzEr7
HbpuT3lsfidxn10lLZSLrtAzplHC/qrSIdWSC0O49pj+SkT1OSmHX0AahD+0+qXa5CWwEgTZR+1r
D/3xYJm3edLdx1r+p82cPazirYumJtoyM6KZifwgouY+bY1vXdUnfqOdi2lbx50kbyFUA+pP7X51
1Ao1k8xp+dWJjZbD0l0eJjeNIkYip7pQ7pH8GV6gNITXBHmIRPeYiRX5IQYidw7Zu3HqKb5y4oH2
UpxcB72oRifGHgNOg/yQ9tp+NC5hX/PhpznjcBtZGQUZcIwLIx5n4d1Zz7pOe+31DJOseSmo7x9I
2UWPyeAmJp+4DZLgG/MuKLHnjqO6lQyGTkFu+LTjr0qkHEZ+BikWqHeaNe/4+JcnjiO/VrrnUr1p
yvQ+DNTgnqLxwHFLgh9OVhl3dlWXH6tLvRpeaD1pHyK3QB5xHAWarBqMYrlZhQrRkK3ckDKdaSS/
v7wZrwOroVKshNFufXknWmHRtyOcomdfIuFVfE9Y0ZkU4X3MxojGBWmwjeCqVtEsUaIpDAeIwJM6
RVyxU7I+3LXyiNkyReOCGQy9Vt0pb8vkTHFhY328jsBMgLWyoDNbmZ7KqZXCUWULZzO4qWR19NE0
1j7+obBC8xXaJEak1pexmVoiqyIu4wxV7MGtDSWK/TwNunMzUhs7CSulRc2cxFZ/N5Kt1zHdloXF
qNQK9WrWxmcmRB9NGzpRxxY7UoXgcNr5lw06DvrL9PfCG0mvdSEjOPZBVG0g3LccHASWRW53Z5/L
3WdZbb6etrO5Mg0IOi4CbHkdVRTNDk0p5nIp23THkO/3ukp+ojKxqyy+HhSOH3f8hVgMuDLzgwv5
yvG6oJWdLJM+HKoK4a4Wyedco193ek2be/fGhnpso2gt5ssdbOi9IHwx22lOfjyMZ8y8D8jLuM9/
S1mFCUMfmyo2ILNXkWJDea01U/QKcNRur0y68qfIG146f7E0A2w5rshIzhqABSlJYsUBNinSoPcX
JihHtvPodpbzwamLJQoyRbK8bRjHgblr9aUmmmMB4m3IiQVFay8SqjVZkL3ooVGa+vwX63pjbPXJ
1Lodolbn/dJLyq+IvMpNik52J9k6EzK2fMOiPM2VjvO9w4YkQefoNMOpOLTNVWj3N0VZfMYjz6xn
yzfemlni45uKQt6N1cwgEHAJOUbvvOrk20qTk0OdWcX1bGT9mQ7H9rJAZzAOwPTRu48F14aR9iQH
sjIVO6uSDVQDyolsMTkHNdwK7XT3/8/U6lONZDhMP7K0NHcODH0+2GP+5ePeYJF6ADJciK/X3V+7
E/rUmYuJzkS6Myk9I3Ku5zn7WB/v1cXf2Fln1pUG2GSwcQa1RzB+mKrOp/kyPkTC1rzTS9rcNV5s
S/YGDfA67qF4JkUy+S1UBkKyfLSYRUnmrNW9f9rQVkBfXi9ch0y58Zg59jwNCdQGQTscPLwPGh3d
H8u1ChSHtZ9tp+xPG9t0cwoQ1JHIzxipOzY2IvP+ry8U0aciiH/oVnk3S+puKQOdtrS5f28sLct+
c6D0vpSbWSIahWF+B2WSPznhy2kTa2qkV3eAL5yntUnG+e5tX6RqqUgad2Eyiu46SmTtk5bpzT5L
J0Q4GIM5NNGIzOc8PVtRp3io6kHTtJRVZKSSvNlsdH/UZo1WcGZeDfr0EkehfR07lXkmvdo67mw3
VQ4a7Ez5rT5yWStdHqPT5CItskPQzLXU8TJuPjYj8u9+gBAA0QLe932S6kyDbiyxMi2MByvLRq8T
00Uyap9rg0u7KKczBjeXBWwHOYuFk2Zdwk+hd0rsCd81h3pnBPXVwOCpYkT3pz/0thkQYMzrgkld
Yy/C0VFyCM1Lt7YRrJqeVUQfjfSD7MT/7h4DRv/PyipORm3eTvAeQSPVicC1jfDRaLrmzGnfOoBw
3POUAOq8MBQfHwsHxGsJrAp9RNMevQZc4M5BAPG6pYHj90KPzpQ9t44hhQg6EfCDQAq0SkuFg4CY
CZzdnSBVLD2YCahy6hFKT2cWtmWIWgelTTJgEAir7CMIQBTzhEB12F6Uw4cA8XcnO4dX29o+5o0B
5LEmLptV/JJlzizoTSppU/85raqHzJLQPUBrF0q27m8yKioJCzGQhsF1MYHCwNgbS0YlMnhglAE1
tns4SnenvXtz595YWf78TaScB7kNKmOh8Wza/lIvc3GYWzM5k+BsnSGG1BatDwCpDFIcWwmzwURB
DLJabbR+IqjDrgnpMhbBxxMba+Fy4BPBI0vB99gOmVOuGc3yhRrnAPbtdhibeyPWDqc3bWM5mAHP
QyOIgur6uVUE45iFgk0z5AEe4TlXvomuY4DaMscvp01tfB9yGkjLmXQHorRG0mq1VeW9ylAQkZ0a
W6a+NEH8F7vGTcZFZpJsaOt0sAyp4s4TX6e17WA/dx2XhLiE7fkcv+pGxZS22WtZisIU4PtlY994
WxciuK1P1BhKq5lQui/5lrfw/FSKN4u61RFCraveL0yrbQ5pNWeULM2x7b0oiGOB/HwN56temPKv
07u89UEdQKBgi5aG7Ppkg+mJRssiUNmJfqml8jcdhXpRyL9Pm9kIIHQv/zOzir/9GFoyUDpe6Fbf
/JGasruL2ji6K3qwtdNch2ecZ3NZy3VsLARV70ZDHTtQmlbDeZRaTej4ZF8kpMX9IbGM/V+sjHlc
hnxgEnhXbkT+TMss5D/cEYgILK/oKoLli4p9Ffw5bWlzTW8srYJwNmt5Wcy4EPfA6EOC7fetve9k
OApPG9r8WLAIQBvK1rF9x76a66IMcsGSUr26mjN4bCsNdXJV7f28m84cwXPGVmGYZ0CZmAaUZpGQ
r5uxuB31+WrBLXNdzvGZlW1v4X8rW/78zSmkMhajX49blLHY23H0CXHpgxNFZwBQW6ELmq4F9wjG
kcLlsRkN5vMkbcnJ5mh6HjXERkFbnbuTN4wsVzHof9AydHJXKYZhxEvlC5xMOLaaazTtdWOrj6c9
Yfmhq+oa4ZGiBlfLMtGw8oRIIlgxP1ZC1DxehPZzCOBOjm+MYIT0YHfa1tZ6KKQoVLDpGlK7P960
qBF2H77eYKrpW32+oyfi//+ZWH7Cm8/viETVE0Sl0W6VptaPskQZPXXqRHvGqTf3jauLqMCT7929
QurfqvQ48TO6Rpb+D1wfj3Xn7HtFrdnLc3wKm1u3ECpwXVFIXtcBWkPIzVQv0Q6a0irYl5rind65
jYMD3IMHh6UuU5Pr9EKpSHFhvCwhvu1G8EIQ7jVR4OxaUZ95dGyu5Y2l1TdKe8MpgAxSACj7zkNs
67vRxP/8zWooo8FiQolh/bCJ2yzqpXzg87TNM/WzwMty9aUTmXpm27YX858h9djh0pBRtLwUMNcW
zpx5E2uT9vas0zk8vaJzhlaHB8X60GS6j2TWzu9EWT60xvxy2sRGoMYF/lvL8hPeHJ7CctLGUVlL
nVefrLm4gXMfUeX4p1Xmn0+b2jw+XD/L8Dl55noEKBB25mRQnzLeZPgyBaBkvg416VZGn9mqv542
trl1b4ytts5M6qII9CVzDpQSKY32k8HgxBlH2Dw/b4ysNs+ponQ0FrbMRnNeYkv6WtvN70JzztGG
bX0kaE55sDPoSRt85XCz0y0JCR9JM5yDxJXQUIa21D3PxL9YEeA3qpgmf6vridUhk0Iev2xbi+ZB
kkv72QEKZ53r72y5AioVC66BYVK6gMdeRxTtmrnmqNpJ0e/R9Co+J4wx+3WuOncWwn+eI8nqmfrK
K0//+t57Y3XNOA20vqYyLRMgIC5MvVkaY4AAYdvtUA2HekNT80/jUFq+FSXRRSrG6p6uRv1l7ovu
UJWGBJVjDGg5mM3kIQm17DF1cnET8JfFbM6o3YeFkn2QuWOppCzZ7jJxTuWBstfxXuVGoIHJw8kQ
fcw8Kxk/R3W6q3nHnUmjtrxsSTtUemEA2dZpwRIxndrAyxz4e8LRvgupd6Vm8CRK6ZxHQya7aW4Z
sVgG99+PGo1y1TUaUFlXyWYz9QBdRqnXqYko71IkxovrRO7SwTcrS+T7iXF7bR8NjdD8MdKs7k6y
m1T3simclIPO/2k8tLOmRLeQK4Xap7yhSM/Ag5kPxUVYFnLxuc61aH5S5aCrP3eMFzzGUtEnOzUO
svBzC49d+LOXyyw6CKA9Q+qWJW/iZSS4zdMv8wDH3Y3dw0brCy3JrCutcPIfjhOZ+sWktGH52YjS
2NpH2ahKNyixS5MfhI2C9HxkFSxSZ6zKLeKFfQP9eaPeFaOptWihM3c8/7TjMY53KF5Nyb3InEVD
rovrH0UtsnKXF2aH2vIgD5mndzauULKU6rIziyH3ysaq0u9akXQDEkJzFIKJkvTwB/AdZ7zVElXc
1VkQPo+diNRdnlt2djHPVV4cekWqyl1JHar9zGBFWTmwDmdadgBgNn83hDkOuxHGCuMpg9gPBM1Y
Q4Mc546c7BJyodg3h2SoPk3xUNeeJLIZRUvZ4reKnnaW2wK1y66QrSk+zUqgqr5DJPumNkX6W5pr
9Vs6xBYbQDHyV2tW3Q3PZPOuNDS4LqzJkC61bJIvcPT5e9HPXeE5ui6Qhy70vvDHnH/HpKqV2fQe
e4F6RdRJAvbzGhgNCtpgZaKmZwokxHfobDTQKnthXNatH9B3hri4Tbvf8RRnD1Km2KEHTXsLqxG8
yx5MeciUC9uo/qSSztgo/UHpVqVwscv1YPo5Gu3wp1NHRmNqAOilx0yZ9aAoXevRZagad1yE692y
rtMfndRawL7brr1Dd65UdmIylT+hGJxdg5xO54YWs5PuxOs89SwjUhNXCbOp8MQ4IYauCp5L5DVp
Dp5zHJiwAH+aXnQQ01wq2mi+hKJj7j8bxcIm2ZU4B0y0k72LhJ7eqHVj7Id5anRPpyUXwYsXwfkX
trK4qupqehZJbbzEcQSD1jT0j7nSzl9lO0Q3mXWIC0Vvk31VKYJ8ugpeSnlO7ut6qB3mbvpsJyoj
+zXM4YCIuE6VPCsa+3fK4i/yOLWuW+pn96HahH/EJFf3UgGwycqn4VY3KlBC+O3elvM6dnOJAZAy
UOsH5OiqX3WU8faxqqp7hikYQlFKOM4+7pqeXoMcNdeJNho3/RikL6qwnPtEbRvkIkCtCF9IKoyD
osqsTyK2LdmL2sQIPhlzqGs+WmLBi7B6M9uRHoz7XMWleTYQde67DExDMkTFH2ZH487vej0xGDMt
59YfJkW7ysc2urMFYumRIjU7KQie9VB81+rkqbLa2mtbLUUDrgrReJpJ2ofhJpzbg2KKJ1hzIcs1
ROrRe2l3eafZHlz93+QxFwQ+81vsWOKmKaZ8H6ppz/1k3WcgdGgyjMVVkIYpuDFmiMtZhE+B0TW/
tSkP7wupDXbNVF7AzGF6htpfZnkr7UVfcICskvGFKZkPfKiCt53W/Agihipsp74KMl3xWnDmPhsS
eGNfz+6clJBrBoryVHdNe9FUg3SfhJEse1BTDtknKw2U22ACeiUyJO5wpNgDfxrfMix+abd19sD8
+nybGtFPexJNclHWRJLWRs3MbtU287jF9N1gBL1yaXez3HvaWOe3uRbkoZtnQcPgyVg7j5Okaled
KTThKSbDMq5WQM8RhVr7LS4YX6vK7k/claY/t5XtT/0sDqzmpS8qaZ84zuyadpl4qCwUvgpgbl9U
hYroPOFkNFvdJ0O7iWzj0swbZPuWnygp1iGcRHrFLVJgrq01ui6B5JWVnXvd1Ds7cPHfjKZpdlah
GbdQijA3pxrFfQV/jjdo9ZNaS6orW+V83ahB+NjVc3wpV7CYF6p222XqtexkDkwxmgo9tJZ7I9eG
W9XOw6zUN1pU6G4aWOVhcsb5SQh78MtkYpokUPalaEAWjtbgDYzKu4GO/IIy8gGEGt3Pc2y4vK10
z8mbO72Bcr00FyrFuSEGZZq9TzM8I7WsGkk52/ArYanXvTDuUY/+KXG/uaEzLVom+exNIkRMOq0a
j5G8/rqniu8axtzBHsicnZkwZqkN5sGuEhuO8iK8qnvtilEz2zXbtPAa2fGCPst3sx0dEvBqrmIz
DOMUMqDwcjb3RtXAENyL0a0l+oi1UxR+Q4fIG4BcfqJoZV3Afh95eYxvavLDyNuKPUJwRUoD9saY
+0u5i9O9OSKewdzUdRkD+lW5WjxJy2cwO7LjQ7Hx7HSd4tad6Ha2TZsmi5j/U6qfVWGNN1Kqf9Fb
q/WZcXpCTVrzWpmJ7knVxx1VjPRytJLad0K589Ow6g5xOhnXUlBIB1vuh68WHV83kTp9J4/WddUP
zKcWSQbT/XCfRW1FE6qovKoeVO5o9RIdmvIgGuOijhrfGUtjNyc5SL4ovuriTvhx2EVu1yd8Z6nX
drOp/GhaZGMZu63dqGCDeQ3MXqpn2WWSMZCml2nuKWFtu3maHSY9Dd0g7m9oWs1uK3Iw+Gpzowdc
WVFqaJd4lcQrmHmyNEq+qb0MJdvSqw3nL9GYVr6edddlLn22uMunynpOtFz1usG8QE4cDIUV3VdG
8FXoc+3NQ/UYlPpzpBPtnRyQbajX/QNkkpXP9vf3iZMM+0yomi83ih+M+egNTvFtSAdtV8ZD4Mcp
BXinSCpezIXkyWEXMsajFjtIyCo6kWHlxTE5XS6Mxs2pqLvZlP4RcAX5KSzoHpRImh911u+AlEaJ
p+9wRT9XVf29Ec2d2tif4kjcVY61L5gCcDskec1Ckp7iULnLLfTqBruYdlprX42yeFKa4DFqZG1v
zcqd0k8Rgjrt+FIOSHxqRlzBWJnLCf8be6pid0gztH76NrnUGzXeC9WcPQkBocsRGj3SMSMJby09
7Tz7fzi6ruVIcSj6RVSByK+kznY7hxeV7bGFRBJICMTX7+l921A1Y3eDdO+Ji4vHInG2ctY+Ul60
cEuNfP/doBV/7KGRKjqI10+CoayVttY8unKgr32Ke3cKAvMIb7NfmdT0F4ly9x0Ka8R5NaSOS5gL
7Jq3ThcmZb+I0T64UuGlRHQNX4s06sd9KOMXL+SBRrwoelQzZ4r0UNCt99yskR1O7NFVFxX6O+a7
LuLSGloi8ETfNevovGo3soBPXVXgg/xhbqiyNp6gi162+mBWk2ZzvWxH7Y42x6hLMSEbXQ4yxhwY
zijZCvHQRpbXOeoFaqS0JDLbUFm5T1N2Wunwjs7LJuept751UzqXS2vHQ3rz/M5uNJ2ariNQhtSI
DB2Q6TJ318Cf7ppwDYpQb1MVz769IrogKKnjLZWQes82aSvm6QOnbA9Xr4VQuQdtJTnf2T52s97v
9N5Z4E0J0+7Li7btbp4ZzjUJrdoA25q7JekB4Wrp0e0adlENPhZ8qt5B0RpuHVTmvUB9juFboB9h
XcYzZq6niAlZIOkU752ZfBQG1g/Btva7lAVtTscRf2B0Ni6FLB0eihxTs58bB7lxQq5+0ePr+m1n
1e3gNH3aUn9Gamk8wXMdTAevBSQPvVQZ2zlCFCin2TRIgXuuucM0WwV6gacoTG1GF7kPV5SwUn1o
XLNlCH36VNr8SBDv+YR0k51AvnOR1OxX8/rCR3GQrTxM7VT5Tt+cAy3uN8zPcJ+1ASZPnCDukKRZ
nJoEDoCtLuMRe1m7GExP2IcwzMGk3jyi/eqIM7rANvEjlHxrzVLQVm3XGVRzLrFA5iBOPuJOBlUz
hL/eypvSxsFPX+MRAi2GmWzFAR3O44G0PiJSIoG/bzwLujwzWqclWRG4CuzbW27O5rdQE5ozAhVn
Jvv2VYbek5d0D+jdTe9d1NidY9Ngl1D7jmDdsrP7s7hNmQytqdJoZK8RxQHdOZ4oQpaOmdbtXq/t
CW2+ztE1OBhqZ1iR3NxO50Rg40To6QOu2JNmi4WyX58RioOS3cZmvUVYcTq1MCoremz5ViBk8RNP
NKby9kIsAvGxNruCvnp2wR637kmA8d3W3hd2GURcLM2M2syaV+jKrYtYJioXAprCoBbQaS6AdUAG
pRleJ5G3psaT3zOn4J6Jcr74InOjOoZjWc95GOv4ZY2ZN2ZzRINjwyEBRukZMhKm8TI2sFDH9cAR
29rgLiDxuYu9Her+eDFJ38kmFz9J0zSvakkmxMwp5AKgmgWbhkyLCD7vfMO97YnuFUT3iYRKZtaz
92tt/jjZcI8PkZc1ojV5tMz1mUp7TzHI5mTxHrY28UsoNOHHgDVnCtavibVzIeD3zSNv/qWpjO/R
fYt4cGq+bK8/m44wuBoGJ2fabeFeIw+t8R9YO+1qWkPWt6RPSEhHyHaY/CIJReSwnrQ5x3afz/Mi
8J1qjC1cva/O+I0yin9RjXEfpcj9YZzoiquRjJWTtk42KwLvSDuWJpZYjdLu2ESzPiZOLOHA9LbS
JeN80tIDFN4Gf4ifq1G2R14kytfx240wtfV/PRE7T4QX2SRLzlWyYdWv97Otj4wO93Jl94phEFL+
lIl4+Uxq+jghkLfcRv6vx+ieWdMfps18kA2hBtuYdjjivDnzJvbgICYAJTR3ysRnSAT/VrRiw9Tr
fC1jcsA5eOQ8DCokLV/WuknLNaRxPqOPe0JQHhunb5bQx95ITIKbPz3GW7CzSfrj1xxl7tOKBKQh
eMMedPXb5rKmhp3QKPjB+cpQRey9I8C5yxUfhzwato/BgaHGp8meCts9INlgrWbEiOVugpTgjp8X
rBYPIpr8S7LxPcwgYU6i9QQfnC3wHBcdm08iZW0GUq3aVr4DfNPegpfwufT+P5cMJVK8nF3NYNbP
I3hNTu3q/hOx+mBb75S4s543Vl8H377DOJPPrjsVQe1orOwrFpOZ7wRpD/EqTnrrT7CTqpw4kXtl
XXroHQARDeE8A8yDmWxJ0aFkQgZlyCJKM1Ifd6I4ikVDJuKRou2QPKPi6LGmA25/kvzSZnmqh3iH
o/Gees5aOMH6h5RynUHE5e9VqL8m/D7R0q2wfU6l35hfXMN3vU55mbaYDReW3vleUrSB8xgxby7a
oX9AUqnG9LNU+PWq0dDP+FYANOOBxGSJ/phwOXiG/kXOKPaQxyOotR72G4P7CLQDpMgO4me7Tf/W
I2cwnoyAGJYScQyvNe8e+URuhuVXzDkXnN/fs5BBjnNnKCcnirPZ7Z1zvyDuPEBatqZdvBMS8UIJ
fg86mjkzSd2XHK7Zy6K2FOOWuDSufwwZ0Jtm+fFW/53BfldRRekpws+SEUfAvO8IRIk4JJ8CeoeD
E64LM+gijo3KWLduWWM1ckRI8yzq4MFQ74FQqTIZUJK1Hh5fAD7lhIhYgDb0EZl/edeH/FCLRO8S
hdMn6LD2Mf1aI7TWmSW4V9Ye0Mf+kjrDyZmCfaydczORQ0hp0XQJRt863AFzQ29Tl+BqGAqC1rB9
skUf1rD31Kodcg7wStYHi2T9DKHpBojVhoIRLJeTTp+SSNTF2lNWTBPmDXfZ84GQXKTOiRFS54MP
vAnJYjs9hec1CgtQNbZwa/EzDB5aLB1x6KduykDluwct+10zL0uOK0Zcktb5DaK5zpxZPTMSj9mK
5knqRCcAzpkZfSDjAwAw5ZftcsYrUCIoqpyib1rLB6Jlker1p/XHk5NovHLkTpHu0cArmGqzk2R7
5ykrFz8u137bIPa2T/3sFH6LUw144GdIaJ3HC4dKcy7SLnB3WKgf0DO1Y2u8GwdRTinNJWGl0xAE
xmzlAu6Eo79wjGJ0AeBo9fmxtb/pDWbDdtTluHqfh2R9v9lgUTUXPulw3ik3yVuOSMXtbVb2Mujx
Dr0+cYb2u50Yu5LE6x+8LTcMEAk4TGwvvbBvNiFPoYR4JVThCUGHzm4Z+keLpyifubMf3LHSAWO5
icL7iMcPTt1dFPp5kSJT7wcdfCZ9/B3q8B2x0IBFAjwsY6jLNIj2qDwDLKfGsbTa7faad4epYwjh
nqaKyOjPeh1eaXXsFpxQgbvvtxj2S/OStP1eLMEJlMWFA+Gpp+6Opz2EE9FOofIRATTRcaxHmnme
s68pGk1Dp796c9CX8Igu0M8u96mlJ+31B0HDsz8OEF9SazMeTZ8hXfIuNceeJahPWaG7pSrzN1UJ
PLGOnv2sr4fHvp9epW+u1NMoRuua47bBAzouSO8AJL3r5vXK5gFjS/ISalZKAj7P7NsElSJDW+Ky
Zhl3xkPk8/PkmgPl8Qlf+aWe4gdfi4KnTjmv7IrBucNHmTzUct45ROYsYUDX0rTNsASAvevDVwd6
sRxSBXxHmPmGbr2DGLqyK63cBEPMbJBUsMG9XODgv2+Yc1Bu2gH6ED8xjC84vDNCRJ6qdYc+dGQD
t5el906wj/6TjfsZWXb2g+7Vcc1juK22NEnsFB5SbbZ4efLDuVK35JSge3easWDWKa2/YkZHYXfm
e9ioYQvbd9rkk2SliUxpo6CgAHHAo9KrP2oMO5Lvmy66M3T52tLlOUktNuLuhEiPY7i6x0mj/NQm
fy62uAxZMUGmJprN1tzpKI7zvovR7+WWiADDsck+HRL8rUY/RQPUAb6J3hLThEC8+N/GcUROidcf
ObFtwZKkzfrRlIPyT5PqMOyE4BKQO1p2fnAYV1LJuKnsFr5Z2eQDxdPkrndDYD5YSA9c82ONQ6Yb
gSKG8R3+X5km9tZAtn650j+SleZ4PirubH9epwps+mcPE8XUkGLh/j0j2B+Wmz2cm6Nw7Z8DU1SG
SsoLkgEz7t/4sO+Fi0x1gwLkqg+0Wx4teULv4RtoHIzVSRHVem8ihs469xrCd56rhX7K0c38YTkx
FKsSOEVxjqpniE8egNPNcKvOx2Bry7oDnrPc4ErKZJIvk4zzCdBzLqkBVbLMqkBw/AHw17egTTlN
aEtNB/EUEHRLOWqpYrpdkY39iuQMxDxtcs9W558n+hVrWP+YuvScuC0p9MhewgYbYGfbCjGXRbQB
kA9MdEns9mWj8Jo2AEkAUFQdnoFcWmwX67JpFLp5ACP64Bh75tBgcQ7nfkd6DaknxZqCwHw3BjQB
Q/jdzSQ5LGOB0fBxswLKE5sZcCEou7jUG/mSzPtmA2I8U12xVd+e4B2PWrRVTpANzG6wa6h/VIlX
JmsK0gXvezfct1E0AdSJzzG4jbJlqtDC/NQIxRl0eCck5td5GQ8roYUAV6lW9TqQ7rDV84QXFBH1
0YywGa3X/TqP39MQICpr9PfTjPQb4bJyJerOnUFmjfzs60ejNFDAjRxgE0NkQfjgdPxzsVE5pqqC
IP0+BHXUTYWm8tTppPRvv2gUVLBWnlQXAOZNCi92npDTc3TkuvcMu6zrUmcRBDHSBI8kdos6QFCM
TZwDxmFUjC+pzgPV4UXt3KZSvqj09qp9g3+np4RJv1y69o83yXMEJXbRB91NOyRsRRI65FgL+hzs
3EGAn0EgbJNpSepi7DG/RRtqNLwQYbQC6CGhFuGF2FFa0ZS8RxEWAv39bKTNbyKTuy1df4Itfgg0
zpi28R4WmqLPTv7OsQCh1hzBhOMdRNacn0CyPL65YB/taK7jfDHYRqxkLwsnH2JWc4Uhs85aCJxg
oEfkxKJ2VJKyxq6YYh2w+Oyd7cnx1FV5Q+E4BBrrmf65Sw30fkSH0IjUTMA4SfiCF7/s6jfJ3F1L
kj0P8DQl2Kb4sgMimY9xWrZb62UU3mfOsch24hvFNftZkkL5ScGcaAFbgbjkVrt9wRbQX36/1Hdq
g05yXIHPzr0X7cMGC5sXgFQxHl3vTU0UYCSNOayPh8vIuAbUT+xptEg6SCKlqnHoxQMEUCzzavNj
WCQL5E2z3BsBELau23+By6qRVK69op2IKNxQzBeXTAgjcoE+0cF/n2rW517HSjfo/lpnOGLQ2+Nw
LuPle5ULcuiinem330l4eQw0g6EWPGaHKS2gk4V2nAJ5hUVC4/z2YolRA3ZoQY52aIp+TI8ekDxg
5pdaI613YHOuVrI3Mj5I1DU1DQagvlWYpCe1C1tkpHga9KXJVoMt2Rt2oRnKMLZ4YN1rD1KK4n2n
nbzMA7ZyPwa9tJRonrm6/6+f5qKRJ6cChJk1fdE48tRDuhB7i4IxvT2AJswE8sVbpr+QiYwMT/nb
hk22wanWkQjqZ/7cL1gHdS3OoVDvaR9d8HJUM3YTOr+TGBK9acxgEj0yzU8M3VIJFi7nxyxoolgC
ZBp4F3xYZ96RvQySPMJqIHyxT9bwyBP/rWPBT+qNl16MJbCPnYO7nWDdd+kdoJzmp19QFdmuk6im
VZUNSSthyB7WTnxpXgE6tsJ2i4Ss7jgSfl5BxJCgeejZFT9aBQI7yGCS+XOEd4g7UIZ6vgQuTk+G
n86hryMjOQfmEytodOEuCNdd0wJEAgKUQlYgnOjaty/D8jwsP6lA/0oMsFC11wboELgh9J+u701k
8rn/VTx+ZmO0n4f43lv1S4T+Yrotv0ybyjdQXxheIrMIEVRD/blS/kSNqRxgDQaHXMcfo6HfzV63
9zXyOgAxiN5rMNnhSZbzB2eX3uW7GdeLWuefaNAXhGkVLcPAgBjIfAqHMN96dxcv7gX5jNmWYKtI
4yPIksPczDuTvOD3LobGPhoftFINzGf+mmNbajzN48xPyQR11dCdBoY1reNP/cYu4HOPevFPiEY7
C+VeQuSE+TXmReDdgDJ1Y09B7J47NuA7Xfwjxr57l/FyTZLCleA76vUpbCJoIMRRprg0HXNfB/bU
AJmYNZp02ymG7hZ4t7Od6JZ8tyzKbkKS1OF7J0Xp+uo+q9o7Ue/P3doD2aLTjOE6gfV0wLLMzfhv
jFegJxJHYWw+8TL8plDB9DVIYdLdt/YwR1cQnU81ws7oqC4COc6yt1frT6dNHFMAKMlWZ/bGO1Ky
4+AKbAo0bpH+YWDOborV1Z/8F2TuZsENME2W+LvX/Ee2NATgH/VABfpDF3rnZu6+20Q+44Aq1nau
BqisLK5MRIjmLSBxxd2vG4s60/bkifrJctsiZu52FLfv0dC+ETQ85rPgl5ZyHA/OU8rDDgGEJ0wE
lZxxk0GQW934FRQbqwyTCfoz2YmvWxFu0R2PBuwgw84DZdI0w2mg9BDKpkjUDNAOfFKND7TnZ3xD
VzxB53a1f23UBmC7XACi7muPDInYm/4YQZmys6nSl/UnwcDD2/kJ2UEFieO9ZiOaFeLtmYa4v2oi
bRbRt/EG64Xq2WMUdN9cNqPac0KnPJjJToYIk+s4AiCByydB8jgr58Ef1ytY4VIE3kOcfppgK/th
yF0dvkYcvq81bUveYHvwQ5yyCXA/4CL4ZFNs/3qBXELYWzBD/Yql5tAlS9VNj3RuvhDTkMfyYXF9
vB7t0QOSonzAqJMtHDqV0iJyyQ7ohu+LiC5VJOuT70Mtmxxn4WGNGendOrYnUCn72O9fGuEfbYw6
co7LJZ0r6FFyusl7J9oyH7zwFL6MdLmfYkfmwA+BS1MXHYy70XP+9TgZAI+g54P/rkFwXcVydsc3
Y3CzNregNH51VQsTHXgCsd057rbfTHdnrPxIrX8AU5CNEKlg+chR9YYzGHhki8APhiFYABA2CvBz
0/4YBJUCHod/AlzC7KsfjHvHLsCcMcrmFPPgzffMbiL62EzOg0u2A9o3XyO9Zn6zYWG+D5y+XCdg
o2P8EE/rvu6XrOWHmV5DHJYMRwp0JdP2t7VdbratmqDFlX20q+Fsd9vTsL7iwjjisvijCyuJdLLE
feFJuuemO08Wu8SkqnRMXxJcYFigCwFZSRkJ8tqsZlcjg0b4+hDNTYVkg9xbcVuA104whXjmebDp
peZh0ZjkIQAMglyvrJu+hNwQfpfiiU4umGMOoaIZo6YMOv6FmSwLFOJgEAsdaGiGAJ6NmAib3kE8
UVOG0qtqBJ65rSg8i3VPrujwc9MX7bi/tePs2g6DciRBZ8LAe0LsXlUzQOjjcjWKnzW6t9DMgZ3a
wQLuByXOvmLi8PGuZgKq6ZyHIH3TQ3qZ6+EdSMu/dWDnAM2mgKkPwrmJFwUeAIKWuy08Ng34xskt
6/TqLMG7z8VpTuad77cZFJtVTKbcdlMO01DlrqyABxZo8S+2A9zj/c5T/p+Z6WkC9Ok4LwgXgqxA
Ltegs8cAqgnEnD32JOSZJ8TdEpuzjuTDJIKy1s1ZDBBUD/6/GyWCjoLrEnhvq9fvUWyyI4MPY9oM
0h6SnmYs4Qo6tNAENV1fipgUW8iOHu+Oin7RtbnDHQe6j0PF02N4DB9grqpuMfL4td/8gD8CvPxA
+vkENREAtZXiPOqDsgUMMK5dFTOV0+XFdribQt/gPIMSYxHfK3jswcoTQaGuwmCgqIFlGoqDEo2B
OWq2IK1CpuyGkDE5I2PpMwEj2oGW4cJ/rXsEXjrTfJY9dHjzfeiiWbTWKOPCuxs9kxq11AyGDwj4
yhRIAUGfejjtUoykM8A2dGRfCGgBpS++vTTN16j+3LHP/eTPj3V569716fBFUElQLmh/3zxx9Lfl
s17SQwcQHePvct8p/31ApUrfQtKAemV0qtnzIJI8jk6dQ6pQXWeCXcP919r4TrVBiQCOP8QA3yE9
peIoS5bNlveTPi/BdyCg4m/WUmxNZinN/PpvlrZ0PA0y9A9LXJaM0w8XdWVpfI7WJneULjo1AgGr
Ly2m8SS9oDgzr9FOW7htCAhHn2G62wPkhcseZ51u1JFiv0pi2MHEgbo1AqcanNx4o0JysupdTwg1
mlqetWR+Bq8XFA1f70zrf0cT1ILbPNxhDv5g8I1ZnAE4CuSWJQFG2Gicv9pwugYOsmAkHEsJjPYe
/Y56KNrCesRIFA35jFCQNGwzIFrAJ+oOaamiXLz5YdXNS4fyhXm6wdVNFTjQu3icHa2q30b81fAs
39tOnhk+0AViPncWN0ULMA2cYlOcFJN6ZPRb8g/cSHlwY/DCBKR/AOUTDpUZhd748e0u7Orbh2rf
Vu591oDeM+Rv/Iajm+JPMSBnIrKvGSYpLb96174lhFzHcPzgXvIZzq/Ard2SWLqjwq26sH4D6vZZ
J/dr3/xpa1/6bqdwoTfTc+rzj4CtFcEmJPkTYvI+3KU/px4UgIP3pXn6D15RHF8nZJXkU0t/0aG0
7yP+HcYT2bma4ZRiUKSkLG2LwTS40rpfOjRnRjGJ9Y69o6rmj8lq6ed0eySbTr9w7id7j91aTRFB
AXyY8DJBJfeDlk5XgNawRWi9Ghod4pZSqOQUygTpX1I3RSCg1NCNf4KsiRK8CjXeW8SE7/u1xgIY
aIkFGsu9dUlbuH4zZk2sN+wRIztZNxyztNdjvnr+CP00CjhZnXwta/S1WaS1gnb7jAm+vM67Qdpk
eOzGoalobL+W0BMQhoEJdFa4Mvs1DjJu2cs8Igetd2Zz42cv2xrNuzEABKqE7qB7Wk/17MyHEBbA
HBDDgFA03Nsa0roMsN118cB7I6MIssseBAWcDHgSECsXU/wxHZiseA3vjU0eE8NjwKidjxFsLCEU
9WAb8zjEij3ZJfV2joAc4oRFWsQ8mJ1R0VezzQqTJlrlYobG8wCCOsgsgQ3239A3F3ODfBgeoE9A
yn0HwgkNZ96VNOmDCQFeh9G+QXBWjmxTyG8i0OrJ/JT08166+CsAqkpOqiiZCrT/HZaIfSUASmLg
IULRq+OAOrXT+AiN2jmd5htx5Ty3GCS3MS7AfysgRPpb4AVYCZyeLQGss2Rx0N/hj0Z8Gj5TRn2e
QT05HaAF/oaJwM2nrV7LrcNuu3gmyOukA9u3TnlIXYR+JQd8Pf98MkQ7KNAPfdQ+LELuTGwfgJP1
5QTJeuGHcG5D5QF0tZFVSNpzPAAYA635vFgYIJr1jSNpZi+gR0RbTwuZXDIfOpjnwMRKDIJp9I0+
zOjadQNwLzoh09FAvKpFU2w4jnjSHNAue0pcTKuqVv+owLleY4dGl2D77Onml2/rRbSqYqF+nIn7
5CbDv2Czt+sHuBi6MWekjcifyHdWJPXVh94dCjkFnzSJaB6EzjFAamY28xHWWdP9ejzyoBNc4kwN
mAiGHpBy0I2P/RR90aATeZRuB1JbCAhavR4Q0nMvo/oiBvlvg4P/iI30G5/rj9dJN9/aeIf/eIVO
7vMGbg23cQQ1w8CfprweFQcYgqxdGyPbYgbXsUwJzWAaMPlSLwg+FMunpzdkVPPLum1fTbARQElz
NcL/VqSU3g1DcyEcxxy2F56ZjrfVPG8NRJasUnTUECGkY4WMVlERoWyBbIcxD/BqZUIPX5qSpw0v
d48XG9/ixiGGx8tYI0/2MPsAg5eJcXCBEL/1AZ2zNXJ/O4WHxqoeYko6vKZS3RrlQR5RMSD5Vbel
RoZT1qBh1LMpKmFS88t7yGzGJcbdrfm9F49tYToILND/ulfd+ovlf9lPijhoYTMPTRLtwXRjLWoO
DtSJeS2XQt0wzqB1AM5DF9KNzhHE11cbJKXEP2RigXRlWTF2BvANQOVzQUaim6HwEEIR42LkvnH6
C/HOoaz9YuvNgkOBQG2MpTkWOHD9xqnA7lS1cXE7t+FJhEzvqJXPw9p+JekATER6uxZdIUgrwWBp
2J0/YnNDnUi2QDGdM6/DrteYKqL0ZbPRve6jnx45sJMairbtr2aSn6OG9nFwQEOiEangArsNIU8S
krIixaNWLCpEWUdNnSxYh9PY0bsghUx3JScxeXs/mGNAyx/oe3ar1kZPaKh+Mcktux4ly72df5q5
vrezPvQivggBiKcbQfqIZR/U3nXigEEIaXfIQb7XXvCpOva2LeYV3uY34PqYP13/BKa0crUDjDn9
RyC+PdSLWgtLAPNy4c37LTGXuN12fu3+gtLKRLjt0j48TFGLVwYtTnZgY4FoaegUFbvGPWL2fByW
NJgPSlqo3sn0ge3LL5wwVoC4xi/ZgHxyBc5JsGLww3SPQtzGwpthFF5waMgnPBwinO77JoEqHQwk
kl7doolx4yCCFSSLuINkmWUxzAY50VxhUQ+Q8N4v7zVU1Zlvpw/CkhqHSvIYatVBrawZDnATV2wa
u9wO/lhOyPbEcxrkYOifRpJA+AAwNbS9VzYGD+BALV5pPYLPh1zAsisOoqMS5DtRzXlteFAoqHih
lkFMPB17WtUSOmgXfSVIPDnBT3XvJfJvcwHO2xhzqnEwRDUkYQeE/l8U/r9R4D2Uf6AysnvHaPyc
oVF4yMbM3ti0TQiASAK4utPrk21TWfBQ3S+RPvpsPWx44yHG2aF97eYTMKfOj7py9YaxgEAOnb+g
xUMneRQD+ef5qi6QU4zbWzgYQ+kNdgJXsNcR7ujB4Jy1jcbh1IdNDuCVI/k+fqwRI5CNG9uLFM+k
AuVDofiBZgqz4WrKWqUfygnfYq8FoUAvMW7YmLsPacePKCLEMuW0oHMHSHKx0z2iXe20KKgQEDuL
Myxqi1YPDwAMAeWMQIFW0PBLwD9H6C82bNoOY98wRPF8JTixAG9DiEkOmMLBxK4zf9IJYnKQ+PXe
d0BFLUvLGb96dxPp2hkZzALNfre1UETWQS2AERXcqH5ew5C1V2kNYyUZpjNzDVZvCWWOiSEUC1EB
eIU4PN5PVN7ivB8ICbzK66OXVCTuAbYiW2w6QlIqGbDOcQ/vYz+6he4CAfU3lvoJcoiri5k8h8y2
qYQH7LfdoLQbRoAe0NzgEscJs0zOflGgufB7vApgNlJEn3IFyp/49SvsDuiBbZHx3zavUE49ulN7
qCEUmz2sQj5EAbWF9i550LHzvCXkauLgNYW6MATBTy2cI82ASDlJ4ovetmejQcZ2qL6MxE2cfqtv
9xtREAfHt5w8kK21+6nlcpihV/TH+H1c7EecEhdgo7JV13BsEEjE3nOUN0FlwjCfdRZUh+ebMlnI
kk+pPBufPEcshuVhGj7AIdwZwL1wgyy0NMZ9amrMfTIKX7ZBPSlc9kGvDk7ML1Cn7m+7pBj4s1M7
d6ZnL3UdXWjqYF3XJ3izzmS6TyEvy8kE4b4cTsiSgqytdXIJ/DVXAa9cNVXBtF6ivgfV2K1fME2l
YnpB88QexOx/pJ1ZduPYtaan4pXPBRf65q5rPxAASZHqu5DiBUuhUKDve8ypRlETqw+RdiWFYJGV
6Rdfx5WlDRycZp+9/2YHf+g+y2sQosW+04XLSK6eRINsqQ2MJzEmaZX13KNU5d1O2vhiIlYG+ksS
XXhiIy2FxuELcStXbWalvwefWM4A66cu8W/G2NsHtPiwurhkOkbcPjWK6wrIzUi0o9j8kgXSOwCM
baMEe2EcrsXRpOCZd3ZnNt9yaquOIAs31M2AsUZfgGPYSYYLWOw2o/QUSdFLXja7ypC3A6r+KxFk
Ecqgl3ktfqPFmm1UpXlsc/0SaIDLx6YrQ24YATCpOu0CqOPKs7S1bNROPgEEGxJjL9SvTQfwz+8S
SsRegK2KYld5rbPhqRJZXfqM0PoXRdB3CQgXOEJf1FF28KS56UkZqKSarBaTAzptQQ1ldeRE8Nsu
+nbUNo3GXRJWY6BwG6+iLx4YAzwjd76lP6KuvAkswSkl7T5BXlYux69oqlHexPYw4tZtCNrWEoZH
FVBdr6WOVADaBRBTS9Pk4u0FqcAApKvu+9HfYoN1I0w+NYfsxUu1rapqpDvveUkHCw1rkOJT+KVr
1DcqH1Rch+Ybp/JDKrJ9W0BYde2+Nkw3N4xb1AO/18Cv6SoKH+SEbouOcyqZ95VMYSgN6CfWtIfd
pkGjuR/ADPkQhOI8Wo3hVzFJkkfuUk8l1xCOwrU6qZEdGMJtkpjXZAoAHcUH6H1z+dQpcxmDKbzm
1hF3+FUJM+2lofONfidtBcmLVwY7Ic1lRKcjppUlyJsuKclQFQTBJxKVqe6/NqW+UYWJTEqYXgyJ
k6ewgrtZktYf2GAkbQwgBXATGA0MtKLqiz+AqRJTUvLuh8IpaesDXfWyTLdB4V0NdfKQW/m+ssSJ
plTD7RQjIqr4beQ0ccuOkiIGa8jGVsP7y1RwyrIskY62mO6EQe1WNAV2fRzSRStkwfW7bD8YAi2d
sXnx8+qLUSnKBtvhjZBwNugwWyGjXZSkp0XeUuFT7BA/hRXQwwCyXRu7VJWfe080aKMPwTaNR9lN
Alnec2V71MScri744UAH+GxNQMbz7iuE7NsevXCh49ezUGm3EezITRd5j6Fu7LyCfNcKrooWTS+1
7bZsZk91QkHfGHc1veRSkV25ElZy4FPqAlDYC/1eBQfF9dPJaf/0heAGWugUaUc31ioqRyvp4QNI
vI4i0xW0ap9VXFnpwqmV4EIgkSmFhBcC8rYghGDexJbZbQQFUTRxrG7HYqSDQDPEGkgBqBvqFgeF
leb3rTAIIHujfRaM4AYZxyIQLaZ9n6yksm9BsQZPJFW21ChuJ42vEjkZEEGWvWJBMelKYbwAIwcP
jkY5pgFQOrQemF5KG7aI0ntpVHoyIfkOY8ytEOjvoxRedBXNIPTLbVqxPbkC7xb0erIxzQo2Xsvy
58pcDNIGi0eQAPRanZZFia24U8TxjkrsNS0zF76cAzcW/XrpZSgzFzGD2FXnmr8I228zlWO9skBL
OF4w5LT3+8IOYi9xrcLiOqgL5AiRt9Poc7agRp1GMtehRzdP1RHpDR5SHIw4tmpyRcXsQBwM6jd9
4AABEutg1cWMmpg2slrBeQ3ze0SOAQSjME9xWDF7t1FYKi2smaFZ6VWp22OsXheYvm0Ez7yHHMlR
lAB3EFtgP5Sqv/sl1KfQqx4rITZtEKnU5vyAW0gX3nmadg34exMFIacb+COKOvVGjTls24brQohY
U9Z03MfT8SmXrY9izLk8pNJVHtAw9DUeJ3dReV4FGtuGUeEIp93pVArtPOa6bqgtrf7gEW7Su9oZ
D02hPsip8WSR065kUgVFrbZ6p94Yc2+QG819HyWvliA9jobyzYq1EaKNt5+gMHEDL1/bHkaAXgy3
xoAdWySXlNu6/raGKExlOhghj8GKA9sPLbWCGlAYAWVML3rRBx4rEWlk++AW8/xdtoglSl8ULX3x
Gwrkk5cHru8BXTfVtdjrLdmO9428fFrJhldvcozUV9ii8bPqFfAAekTBq6R6tlmbW1pk6sbydGoT
k9Q7VNbIRMv+SygoT3057hIvpc4r3xtqzscWSY8rrjtjzdcedP2mVpvLtgSRY3nTJqdpmrTDRwXs
N5si8DeSyCEgfkHdqYT5WetruRFwvpf8tZdQWJWLey6+JMGWse+hSESAR72guzJD5VLtra00cFmQ
jVtPZf03On8jDlzSoH0E1gweqBNyRyTJlLZC5l9YfXnjo0NCOcxzs3Fq36mTRJfwifK9VVvfQ5HW
mODFgOWHa3BXG2ydJFhYAqJ1cQAnGAhgKngvnQoyDgrCZDdh9aVo669lSC07pzMlVVFGc6GgKCaG
32UfNFWskEXR4+xFcY8peOOKem7aKiracgoWGbS4443ZxIlSkuc20T2GyoxzH7op+nyoYbGtZRUt
AjXoVmFXCXbto7xdesN6AskME4QGswDWnv0dJo4nTPqqafV7fyzfxVBp5vILly8o61jhUh9Sskvf
rL/5Mkghy8z5awZO5WHAsdEBCS918ZKL2BYdYYj0QNaKNP3qt3pDxgwCP44GWm+CuFE9PURAMsav
awxZDiWXLkHK/KsgtR4VVGXppmncYqFk0gsVxDVVhtDGdQwkT2zUtBBouIllQJPNB2tFS2U0INaI
o61pgA/qUGU9xZXx3o9J7FC2Y9c3qKyO8gAPU+s1oFlmaq6zPI1cKQ6/Kej02IKH5rueR+WGvqe6
GsbhW8m9b00B8dEU1UtdB6iserHiShrfo0Tk800yUWYbxAmkrqr8oGSm0v+BjZcJ/WWqx4MTgr1n
4w97u0nMEnAteC7qPdtC4IAMPc96l6PApFFY+0/MLRJMSxjt1sjcSeEMEUrwKEaFyVgS0+GNunqt
C8INDvEf6qgr+7jlcqeVQ+CYZcLaVMN2m6ehSoOCOgj9zWKNJ0Bs+1aQ3nGU9Y4UF3dlJI12VGlY
J0YhegbUKZ/rWL3XIGBdI/yTvfhgfmzBIoEW+8K/zhI64yOk7rVR4hbP1KwgpaiPfTZQBRk4V/pE
E5xGre6A2RRrT8kHR9S7lAckBypqZsjgRz3bkeZHuwE6lLJCirNb4dcD+iPBC6Gewis0LI1H3dP8
D4lu3T2qrczroR6sdTUp8tbL2sBR+orabAYNoczV3tFCucWqR9TWWcNlv83RTDCDttgWidLd4RPL
1YV55FL1/uC4rV3NnGCm1ME3pkp/kVOFv/UbbVx7XpNvvTGvV5OUKuupUt/UBuBkFVDhg4rzjtfb
CLAMb462p5Eu6ylzRgfUVbRBc5dO3CjAPgCqxoiGmvbQ+z8SIxG+t3U3AKhXK3Ova1HlkOpWrzmF
vG0KSNMxfSwmaVK29McSuSHLCEGcSI1X7kvggLdBm9TXjRGbb+qoGIz0VIKUEIToEeGQ9MsQqOll
OAopeUYqALgR/BrMJFBtBFmCedfh9N4grjZsc+b/FVOCuxVbDegeg3ulQucjzfkoYy0JGGJWBj2q
YryasDrYZCAbyc0qwFyjHuy0TPau2glceaLMsJPSn2HdTbyVcJBywSn1G2AZYGuCzpRdJOW0j3wA
ThDmAIA7UetRVuwKrFPa0Mn8St8bNbWAKY7H116q6G/rpCmqBZN/HEakJaqoB1ue+VwNSkl6rYBc
UoqyIJMqYn2RVhVohVCHGGuScYqibN7WEaV4LzDlrZLQjx4yaR67YLznX8JerKcCJCfmOCmYvVWf
gv5SFVZ1z+1/26eFvokrhjNJ9Oy9lRrtm9mlkC4wq9w0k989Zl7m3+gmpzND5j1wfmdX9D/YwKsK
dmtdB4BK6F+3SHxfl3MnOxpw7y1lwVw1ohVcmplo7cvAR5qzrkOHEyYBV2uZF35oiS4KlPomBXXo
WGXXXMZRC59/6pqdB3b7qinL4YfXUNJJBSjsYF6SG6OBBOHVWb3XU4ydCpAaOMdIww0fTdgpgiqA
5CyMa8UHvGPBTHCVMJbIW1LozlR79+MYNfD6JukBLQVtF5Xh9NREEiku9REnKKPpBlwy3XQS2AvQ
u1jZdCbbQKb0e0TAKbV3bC/eJEobyZdzQHfcaVvF+wLKDtwkIi7FPo96YS1myHFUOcRprVNFO65g
t4tJIXJeauazwpd6aIdAo/MtMWqqR/sMlrsNu7y9woDe28RQqdaUWgJ8wgtvJ7GDwzqN6rXojZIb
yR6XlFoRr/zCam9VSNhubfTSVlISzEDDMrxAtyqBMjaEa/L7cdPGfvaceSbdABCh66wKlAu1rKOb
PvKY2zOOM4ElgoAPfX/eiNtCPeRuO8nGBiUIDzMQ+nR1P3wv575eHzfFZe37xgoSou6Ajbb2VsJ6
TT2UhaWaijXeotFVT3sTHcUh4jKqNOplVWrqBuxxuRW0OLhImrF14l4HmhBq4jX3kQmQsIYXbGSk
kBiScK2CU4ELH+U34MrvzFCtHlopGi7KGiIXdQDfc9AAAzMLu9ghS6oSu5NKio8J/RsXuhyHWwsY
ul0PkwE50IhTmv19a4GMERMY8S692vJWS/0M6mMbJVeZCRKTWZo4UuBFb6WXlfcR5pYbzAd6ER8h
XU5BeKRdXTWRLY1B8lJL8GWbtIl3uWiIDzANyjbeGHI5cEp5Rv8RxyaSa0IXfIkY1mhVZaZ5LfbI
orgq5Tl0fRRNbGkBjO1VPIRV8ZwNiDbagpol91M11REAUTinbofzOswqVa9eatOLLSfzDPjFkd+J
eF/FtXwN+wjifEk+RzFfMjpXqltzpBHTkcybOMHpXLLisEGHoCI18Nlx76fcysytkUcCDfOiLR9Q
dolfIRRL/YWnZGmAtl5ggSiVjcS4BH4QC88daDD1WhHQwbjDqTAt0dUIfHCTfpACJVVoGIHKHJuK
xFOdojYFNtNrFegMchk3K+hDvbd4k/mAW6yKsyyIhg7Bg14bZiZSbzzlWptqbjCmkb8LlYTqh2HO
qpJ1ofT6GneGmH3GasynWAr8N69Iq9bV+ti6Rx8LsNlYaKDDmmbmIIJ+nSw7VTCT5MbEDVJfRczt
cqVUxYPRVeSRaWaOkR22Mbg8LjQD3HuxnMZV1fhZRZd3bHrho0v9XgcOUKvBtdHGFKFjfJ3yB3+a
Pa/QUY7NK9OXYgqrvim/QpLOnLzJTHcSY8ZWBGpQuB3OHwXFoC5sL3y15jNHkomkVC/DInQBXaPK
YQ45H5REBgJwFYX8LhqSrbxnSykKG16L/91PDf6rYnIoOGbLbrqJgdHxS1hmUh2Vh6y6xEyrzZ0+
mbMiIapL8wHRjv5R4Z76OAxZajqRTn1ulRfjpKy6QC3o66cBjfOI/8MmoA1B49Y+EkjrPgCtZytp
zXSdtIEpqSK5xBV2aGcglq8yrwUTstpFnvaifyF4Vp7sDDKFcGMMOhyGzoR3exPIIBZoAStqsvGb
XkPfTJH7d9EYptD9H+j+srkVIlQtHaIa9LQ8fC+NB5UkzNRau4tA4zemo0LbE1AL8Kr5Kq5N6SpI
EEtC2YLVVbIvUe0S82FvZelFN8VgbaFHUnJF7AJvrhGtpOF3abj/+T78l/+R3+ZIZeVZ/c//5t/v
jEcV+kGz+Oc/b4qP7KGpPj6aq7fiv+df/b//039+/ie/+a+/7Lw1b5/+4XKYNeNd+1GN9x91mzQ/
Y/IM8//y//eHf/v4+Vcex+LjH7+9feccdcK6qcL35rd//eji+z9+k0Q08w6EA+cI//rx9VvKb7p1
8b//V4VezN8e3rImP/K7H29184/fqP/83VQNbBFmQydZNzRMB/qPnz9Spb+btMbRulcUbXZLI2KG
gVTAr0nG3xHvpnCkQ5DCQ83gZ3Xe/vyZLP1dQUVexeQDMVZ+1/rt3yPx6Wv88XX+lqF6kIdZU//j
t4XgoTbL6MkqGtQ6ap4Shb/PMnFCHJGdc26t6DStTDLy0qvPCMQtBfR+ibEwXkDtsFWmuTNtPrWu
6Kp2aXu03lfBN+iCoIC0aypwjmKzm8+iDRxzZ+QJJYW3+H1mzp9TXz7B0kZarlI1FBVaLxzFb+Pg
kPjY4Uf5Dr28WYOcAo577qUXOnWz/ireg4hoSyr9f1FdaBUaZiirdIupN1xpL80j0B3xOf+KOg8O
Ys7oNHdJZYukdhvDOZiJ//rCh190oS65DKwtROZrDZXEriRwlT4V6o2oXCYI9f5nMRZGAwAABXFo
iFH3T5I3rSoyy4YK/V+IYkq6xi1BlpF//zw3C2PwIUFyGUuQJ1pxWv4QOuO6U+VzsoLSQljy55gB
F2MVitjS/SJy3fupKZglkdQrtBu6VXWh2uAaPoRrCO5Q+Zrn8REq3o1yqz2efsdj0+Qw8rw+D4RU
Udgz6SYSuUaAybJI1WH1ZxTSx7Pmu79MDHP2luP2bMFXpTyxGE7IAKFXN9DQGwfJv9CGhlHnNme1
3TIhESpXaTN+hM65CflTNv5w9UEM+RR4HoODd8xVrGfSisAK5b0QKTAJlBZXjVXTUxJRDbA5VIGC
rT/eVN2LIn9JpC+ebMCq4JDu1H1mBBv6HA5qf9uhufOk0Q3JPfRaBMavQmzQbhNaeHC0n6lax2S+
NPc06anuIISEwjtyIrwe0CwS84HDuhR0G80oYG9guSnjBmN9FYr5ujADpCoaOzfqNVJwrg9CSo/F
GzoOkPzIyAp9O9UDcHg+kRW5CbULP9L3YVpBLg+/eZ6wtqgPM85u1V/1Hu3i75N1JxokoX5+bYjP
Q7Sx+je5+dECg6yDzulCwbVQ7Jh03TVnjMIoXvQAqyXgDWA+Vnkj27l825TSXiaHaClxn56AR2cF
njhIlBuGBJrm88fxarUFl5o2IAtvoXGhyS+SSXw5HUT6ZZrPU+AgymKaTxxupSkThVLac4Zigbem
I65eIPbkdNeGacevSJJgywPI7Uzs+U//MvsOQi+mfRePktB3hFab5wb/Rh/xs9Nvd24IF/NbVkUt
SGgkU8nEOg9XF8WoXcxMndNhjr6IwblP00DHMHrxpcBIIR+NMhFl0oou7Mgt/PV0hKUxhfZzpR6E
WHym3u8TqRMJQYmJcxoJxW/6bem0l/l63Mvpnxs3XQIeMvu6yJIJ1s1Y+ocgn9AkQ6hxJ+HGHv5Q
iu+e8nb6jRZjtgyhLA5DmZzq9xCRFm/igdatqrmnQyzOjt9DYBcvgxohK1saJJhVnTYT9CR7tGbw
FaoAxl0x6Fw7v/fNGT30xUz7PZaFjwWpofqryWrXlCj+WiI9dQpHPU0Nve8vhuycjcW5MItpAGMl
Fn0ff2QZgShUSUCl05IpsjNp2WJT+OVt5sc4OBd69HtAOBMGxhal5OemMbAHw99EOWPBcC7QYoFm
ie4XFIjAfU6D3QHKTNVrK4ZgT53j9GQ4Ot8OPtA8WQ5eqUTqZdJVIoGGu4vl9C4IqjOj9tOH5mBD
+zlsKp7boqaQFJG1f46BrVAMGkyJbBHI+iqjFhA44o/ATpx044PY+YFB0o/o2rKHHVwmh/PJKf+c
IekvjyB/foRQENoyMnjNlOKyHH2FYX56HI/NQFVWNF5Thc2zdMgRo6SE8UGAsgodCeDPSM+rrM85
Gcx3rMPD4eeLkF6ycIHwsh8tZnrkKZAgsOf6eTFAMu92ulE3oq2scZxw/V21bXYUWFr02R5AiGxM
8pebc4O5PBx/eYjFOgi8WVdc4CGyS2GrObXbv+U7/8OyO7e/FL4S2M42web0CEvzNFlOo8NXXyyK
vorhWAYR+9YuuiWL2lo2MsoXiB85+v3pWMe+pqaJDLJssuOrixlbItHdhhNlQVl/abIXdaA1HyrO
6SDLw+v3YTyIspiUoxBqsSrOxccbc2Os8yt/07iItNqVLThnr5RHVros6swY7o2zKe/inXzL181G
AjGAGIcpbbR1vaG2+XX4IV5CMFwV982m3Z55w/mEX3yyTzEXbygj4IdBDmw8YsJV2ZdXCHOuorfe
AV6xOZ+5H5uZnwIuUo4eSUpFk3nJcdM42SMdrK8ITU9INdrzsPqOx8IZ93/SjW3+kp/CLlZl2Go0
c/OSi4lag08BGjycmSxHZqQsknFIMn5fSIMv9uluAlsGkiC2RX1E5PtDSsF7wh0+/cGOR9EVlN6o
wZJXfd4m5djIc8MbZ33672lHih00oMjPCfBLx8NYBt6vmDxI8jLJGTxF6CdeJv/RAgpw4PxsBJue
tGm368mmS0aFIzqzfxwLqohYGs2ubKq69GbVu76zBC2dIU79F61o9o0vvoWKemYIj61qGQ8gLiaI
eJMvLqagIZtDP1Yy/aUreYcc3BYx3N3v0y+zvTPRjp2tpOuzkwEuoVyVF9EapS1Eacafibtwm14z
kjbUqhUM3L2/Ux8HW9ggVu1YF/nWuA3X5+IfSVRgVhgqJ5ImzxXDzxMmLKZSQksPhMwobwLtOUMN
xut2lv9xemIejaOJlBcp/GEPsZiYJp6tcMGIgzSLA8fJTqPEhte1m/RzZifL2tvPxazpokm+gpUv
0kaf38mkEj+MDTjQ6CJ4DLfTvlsVbuXOe1a+Bil55hMeXQ2H8RZLmwlbJALinfbwEj2KbrznRj9t
BRdwDQjfVfo+PIVr80zUY6vhMOhiQNsMo6Su5SWlUHmZUm9byOMmr9Mz29bRDZmqosZRSl2ZK/Xn
wUwB3U4DGoy26rkq2mdbZW9eGF9nwoJNWRHjOZa/m92BODtb0ZwrlsvT5zD24kOOMZdcRSN2/mMG
7130V3P1SH2s4Pq6OZWcFYyJFwXN6BU2KdlX4+L0pD124h7GX3zYOmUnNQbiB/6zr1wig3767x+f
qdRrFQz8ZBK/xeLXtUGpej+IbeVG3dFytesn4V5dmTcs+qd+f64udvR9uMYBpmHHkX9O5IO7Ql2h
jSZTf7dBQGw07vMt3o6nX+loCEuipqloCpfGxXRRIgRO4h7YVYOO3wQkaBjOfJTjM/IgxGJWRHqP
Z0pIiOwSHWJHhpbsCra68uWVshN25l7cRna1Ts/cQOaP/ctkPAi7mAy+JGhh5uno3Yb3Vu1EJr0z
7yaOv8YoLJwexKNr+yDUYm0DFmB3q3hDoXgdzFd4xZVxxpp6WYD+fZPEilDCqUcin1x+qKGH3ALA
F6Y+lReSSbaseIfCkQOfbzvYk63BHVnFZzeuY4t6zrZIHPCnF5fuZzp5Q1225nwL8LfZutvSodw0
m/rM55LnQVp+L7yhDMScyRgxP/+8cUUFJREJUpKNptpG2Mu7aKOswLnfka8M68Ep7619vBNcb5u9
eQ/AR8JVKK9SaGd25lLSdbQzW+mRr0rizq2PappliEubvCkckU/CNxGQ6nOCqg9y6HBH/5zz8/xZ
D4NYi8ysUixS2Rk7ltfPATI53Zlr8rF5o9A+kESKAVhiLfPYEWJDC5ojhO5o/7z0bOR+JT+CjWM7
Rm95haHADQBQSBxnTjx53g0XX1TBhEnHABqLeUNZrECEdRDAFo3Q7tb+1tpHDkrna9Gt7exBsM3L
9KraG0/JG6qDTirYwRWiFumDfmYAjiQyyk93K6YW1YJlT2PS0GLqU/hDzO+tkBSg+A2gHZg/hO9/
ehcgkk6HSMfBGfeizxN4KuBEVbKJGjuER6iaq94b4aufHdYjW/anOIv9NKumWGpq4hjSSrxPUwcd
oW3wWN2WG/Miu8k3uqNslOcevY5v1hXYR3u4kq6Ks23Ec8+x+Lxqzy5ltTyHjsZ4CyXP8h9Oj+ix
TO3Tqy42VsXv/DAamEHGDbkMmEpkzR3Pma7lC9laUZ6Dbb4SuGOejnt8zvzxJect8eDcNVMfgaWY
N0vg4iB8A3b3NQoeESD48wfHwfuBB/4cSNJ7dfBFAgEwUYK1V96i2v4fxliUIbjC6jHSERDokGSC
T7YKa8spAW2dHrNjhbJP7yJ/fhfyMhPoKXGUG+sShT93cBDJjRFjtYN1Bm5tlT4iy4pK6XXqjNt6
q95FT+e+3Ok5qYnzlnTw5QqQDJ0w8BAjqLCyuCqqM+fwsUNh3s5Q+AUMQaflcwAZaGrFpseeFl0q
kGJz3DCUPj8zmMdf448oi63EVLSihP8LA7Z4zcIR1wXfOf25jt2a+Vx/hFjsIjp0ZylMCKHfgZGy
jWYFZ4yyFFoRV9ldvT0d7twLLfYKhHm9VJwYtjT/Fku3VfH0n/39xUZRKJRypnnAxAzGg0mLRbg/
HeHonmDMOAONRqi87IKas8lOP6hoOXTAWWd3nfZdaF59PNJOB5qH4pdT8yDQYoalnRUhLshQDUBg
FGRnNRKc/IdvJHaDD9DpYMenwUG0xUzrSg0Sr8Fr4dG1LW6mPSXKp4K7t04/j8rX6XBHV89BtMWk
66WRO6JFtLa5rJNrHEPqc41k+ehUO4ixmGq+qSddRc3ehq92Ie7Se+Sq1oiFuZrbb8pNaoc2+kN2
ekvyCHFkjQ71+i8ejgdPsZiQSlENilTxFNgAIcgKF6FN1qcH80hirpgHIRan1AjXBjVJQgykV3Nt
Wduoa4wtNqfDHLu/KaYpAgnRqAVZ2mJjH5qxaaZ5QJv3cafv0O6+zvba1/G1csV15hYbfBFPh5wH
55clcBBxsYvjq1hZwjwpsb7c57l4WVvlVkFKvAgsp0Ux1B5Qlzsd82cN9FTQxbprLAmMKZQju3ab
S9x0bqpLQCJP+QZpu7vo3rsBhG7TarptH0LnnJv50TT9cJAX6zDMDVC7uPGyDqX1Ff1HF6I2rKnN
sJuT9BlapN+n67MNg/njnXrrxYrEfhQEmkRc42FaG2tpS11mjzYztft+f+50/n+8pULdVPsJ2lrk
OzqceL+C52S3duuam/TN3M0Z3VyK5jpXOpM9uXPJ7y8U3yhuGODs1PnQXqbmQVqNfhmQFiAGtelr
kLCdijvYOf/uo++H1oJJ4mFqBq/4OTtAMGdQMmwv7Oal36Ei4oi70dVtZY+S/C286uEZd4GrzD53
Jzh2OB3GXXzFtvCDrkNQAaQwlPaIxhK6yTPhavJ+nF4mx3bww0iL3VVpYyhMc9JfaykWmI8pXOLU
+voXgkhgTc353JaXkFOE/RRIDwqTMrmso+ekuxyml9Mhjh588BI16tsmTm9LaElW98mEIC0ZCd25
DQrYXy1QbgiaUCbiSnHuC0nz1F4uNKgboiLSDGEEF2m416tF5wUstHHXXChb/SK+MFf4t5IIn3mz
Y+fCYaTFfo2HtCahRjafC7hyXYb37XV/P1G6EVxQZLb2Y1y3F7IzZqvi6uw+Nm/Np15zsXXj4VRU
ZTZv3Tcdu+i0Ndz5RUdn7hpDrz2Tvxydjgejuti0RS8Ru0jgXVUIxtX4UahwI4NzTtnHUorDEV0s
6zrDV7nriDLm+wnA0/R++pMdfQtVnjsgAOy0Gct9eGvB0xnlqoi/H4zaSpBvNLnFkPPMojr6EpAK
qeGBY1WWxWStbgzUpcgrizq/1PCQAU575gw9vqgOYiz2oSnJEiQdiBFJgi1byEGVWJdkTf+UlzqI
tOkeO4NgZUTjXYAMVxyIGPvpw5k96tybLvYo/N7/dUeDt4pS6EMRnalVnguwSO5w/4KBNIPFo/jJ
UG6S8v6vzIc/PtUis+uKGt5vM18BqhFRpq86AlJWHK7+QhSNNgYMAgXmwWKpykWLBVtNMlXr0yUN
pQ3CNg+CJ7inw8yj/cuOoHFhZtahs/QT+39wJefaVOqRyORGlQTfKqqQAAT05CpSLzv/HE776Er6
I9iy0e3VrS5AAuYglKm9JSWyXm89YiqnX+lYH0ixDsIsNvM2aio/RqgFEU3lOfaQYxemna9SHW+D
dR0FSFwL3T4rlXuLUwb7k+gasUis1HDCPf0oR6fiwZMsto5MGHolnC8BvtW+eaH4nLTmma7XuTFd
zBPEq6R2JIqNj5ECwErH7U4S/L9Qpz0c0vlFD6YJfzgzAXrxIsWPdEDBLnoWEasq/PHM4j1+EoPC
lBS2WjgYi+1hsvJmipNZUWrjbYp1upk25QVkS/tcO1I6do+xDiIt9gm6Cs2Ajx6RCvhqbiCXwiZH
4GtTFz4Ca7SNSh86qmiutREH02m2B5dzFUZyao12GGSTrfQIJouCWWxnOsVK7RLptujL7qFoe/NM
5nB0pR487mLb6eWy1Iycxw10rnaa6kgUNyr5MUrkmwavndMz9+i0+nc0U1zWPpFzQnutIVoSX4o5
uR5sAyP7djrI8YwcfQ3ScZ4Y3MTnaYVOsS9MQOds82p8roFqZGvzAjuSDUM7X5cBfgHJ/yt5iSrK
XJgBvtAnXqIG096IOyMjIRcndMbAlZvtrGesiGcG8ViPBXwZSF8qUxpc13mUD5YNzHsLE1aOin/j
sSv9Ssdzyy0e/MHFLBuIIugUt11LXCMTVJ2CFYKnHm5Jomdbj2eGe95uFpv9p8dZJAD1hHUdku08
zg67Y9K/Yj8DOSg8u+cbdJgf/hKOS4IKakSGAEddbvF1x9DHpcwfUjsrZLTsPD8ckcQQMWpC50T1
KO7gAgqLpDOtiu1LEB8qKKyvIwdVv+qMWNbtoJtQ9TLqwdxP+EPfBVU8bjWNMrwpK95LpTBRIYt2
9UsxefG1xufWVpkl1Khvom8Yh3RGTbOc7gYVPYei6BRMCyUFpeJe6+9CvYEba6AL3ir0EiRU5H+w
n5rtamowMREMU9/lSCM7w9AiZDkghJrVCRoZpSo5vVmO2wAKsF3yH+um9VB2o5WFYPNgrIdZu5k6
94DQNcRtBTWfHNtX6K5Q940JvImjTHF4Y05YTe9wB1ee5VRGp0D004swTMevKeIre/qDZJuJofsY
plhNvuqKRrrHbx3vTWt8t6CRu9g9l05dNvJGacPhvsnC+EYWLRp6fo64ew6MbOrVbivpdGQlLWlJ
X9MeQSS16sYLtVPL91Ts+P9KQ4VyqJeMl5UZjFtJrLl/DRMUOIRhL5HKQtNMH3FD2TZJBVNbKILv
vZRA6qkC+b5pEf+XUrW+maRKxB8wqso3DYhl7pa6NNCEmlqkLymjVCsjQWtJrwNk/eRhcHokAa5S
jEhugAqHxnUYFiJlM6/CCltDS+UWN9SpQ8oqKRUUybMsQXMvKhVjIxWsuw+j6IvaGSbN0C41y8M7
MVJkDQKQCarVnSaj1K4MoRWMdaSVY7mfDCSmYSOXgo8xIPJ1LZKBDNQVJBBjnUYW7KSowVEHQfxU
eYEhzyFkTeitjXyzlWeI4wVaQSUSbo0MB6oVDbT1GD6cAmXUVwa1vGsRpoaSHvWbuurRbq1r5VkM
eu06SEv9ytDN5AXqZnqPfnvm9HNugEyseo+XtLTzYLqtNS+VtlmsJbdSZAUuWPv2VtOEEm+wFsP3
WmmtVd5F+kUzK+VheGq+eqgA6xDe6gxBscxSH8sBt0fh/7B3Zr1xI12a/kPDb7gGyVsymZlKrZYt
y9YN4bJd3Mngvvz6fqjuxuekBCWqgcHMxVShDBQsKBhkxIkTZ3lea0bXt0D3VrHa5LctQt6ejrCT
36ZVvE8SVV5l6TIj5W1nzSOwN/NKrTUzsGmL+BUrerPr7b6/y6lRQQdgUABzgHzxaGxOb+0pq3cj
RiikC1/kfjqj9FfKOfti2ANiBWNh3vaa4qyc11U90+4MlL3NeRmv8sJyD4bI9BvEPvJrKkon6LYA
Az144MX0JXQ787Bk0WjfySbs7+OwTr8pBjAAZxh036nove5KOONzViCC3stl9CbD7V6qvHSDBvhZ
G9hKTttL75TjdTrb+g+zXFDLyuLwq0rn2HCa6QS/pdUcJfopcrtrolOI/CZTXD2j8E6zPBprQTJW
9VFK3eDN2tZzoZfJpzJW0oe1POdTOyuwX2xVw4DDm0ZYO+vbY2NHxp3eN+4Dux+VG62qgIhF6UOo
Ii9tFG5FtYKFpkGqhqjGNcpnowyLO8zQfKPQCX6FrHJyY6qFslNDCRthJFnXYgP/riMwFOqodYfa
yKNDq6ruIRyi+nbOli4oMzV+hEhC33Q0qUdI4Tkqn5nYIUeErnxjxhC4rPIG8Q8AmLpR0XLejbwi
GXZXTlegvuUW7SlGlZxM+RDvdcieQU9T/2HUHHRzwXbty9kI90igEV7udBSgsnBVegiNliZEzWzb
v6s0REJz1a/fZ2DEb8LSVh5HsDKHHKLeU93LDAK/lbnpntifvG9C2AoJTbjBLPWU1rJyOUAHkLsc
QS9OyVDNEPhro9tkTJbHolearyptb5Hf58LYQ+ICIYFm7Mms5vLXsuTDM1QXd9fKvD+NbkX7oR0p
OS6dGT8DyehPSaR0YOEKB2zELLqH1qzt72rVky8czTTcVXA2vkQioxYPkU3dUyR9GqULUt3oS5QT
DbP/IWWCYG2lZ+LJKuPpe6MUqt/r+qqGlFWVO+wbCzh1VHXoBSWwxB8TDUE3U53TfV6hleSF2tAd
RFTND+PyfZRFe+jUdPppquV4KGeABR68fO05amS+0kiS8MlyiBMAl4+tL6kptQcMOUDsWqqBqxKF
p343vMsrA8njHjGQ0lq0LlAKliDkSl2/itBNPilt3+yFNvYnOVQ12NYZ6nk0oGEH4M0NpNXQNgmr
9saN0ET2DbhsJ0sNldtZNwwEmZLq2obfdFUaXfkXohIRrLN6uRuRal5V3RIU7eb0rrYKlpVA8vpY
JmFxL9NZu7IAO59CC6tjSMsBpwXsserS6aD0nf1lcjgURAU5KF1Ckgh1fatZpXqsrRaYpsjD3bj6
vGOO8E2V9hLkWok4Izjmm6avLE8b9P4KKzC9WABpjp0VQSyq4uwg4gXykiHokXAs52CpjcCEsfuq
KQ73kHOWU5lF9pU+W8gLTCmVIQNoo53shPZCS91LJYf7duHIlFY9BkD/qd+vfoBiuu8W5j+XcfY5
jOzsesnEZ4NjBwYu6tAwA1A2rhPrfkEh/lYpYrbSrLj+0EkTMYxy1XNKndC3pgrQZ+PYIB1tSK3+
vDg9ckFTpvxaWOhBIVHnBX2B7MP/CkODHVvlsT/ZU4PCkx7xJ1rq/OmOQ73840ssAAPqqV3qjV8L
Ec+dWIcLe59CuPJV5AxH9Y5m4At+8juVJDoFyxQhGK7jEO3Y+MlzLodOmweW7T3d28bN4qU7ugf2
NinvgCb7iMq5S+Wb74TD1kEpDKT8id6h7eUjqqKmrEo195ud6ndX0L/zPdycvcbZcZ2eLkV+396o
GI6+T+rgX6u9Nt6wNBeqrSbmaFrWfophAVbHRLlUs/I24nA+yuainuMDrUE+dEahdS5oac3J99db
xD8CgtwmP0EOV3935/SPc4rI/6vYkJ9VX3YrhCSCWfYn+sPgAvO//5vF8YYZ4jU/2iTf/vx/c0Lc
fxEwdVQYdRpNb2INEv8XJ8Q2/kWUYb1uuuScIIZwcf8vToj1L10l0EHnhwYlxFXXJfjfmBDD+JcN
OYTfBLNJgCTX/gkmZL3Z/fvmZxHds22CiSoesKCd2d3EOprO6RK7RpOvd+L62Zm0ZrfUqEWCnjcD
ZwUx/fFqHv7zN38AsSBqCVGff3WbNQ+PfL0a/nHx5RREM7RcQ4qQ05Ge5F4HxdO2uEUN2aWA3yaQ
A53DpdmDeJG+VmPTbng+WKkYpTYipI28c5ncgoe2v7pTF9+KrJsfGlNJkXxvzQeQb67/j6b5OjKe
3VoAbtDS62ym2eRKpwNJQlOsHcSvsY+AjGo50k4FAb8LY20b/tbBbOraWV+uuo62CQDJZm4cMFQT
oB+3ZLb9mGgGMoJD7NxKTrLkTgzLE6JFNOaL9quL58WxHw4jYlK5UjpXH899Y2lMQcOly9NQC8xD
Ea47f+uyQUvL7RXUexWhXXHbdm5cEuUXYhbvjEL7KN0XpAEpPt5GUPCllSyqYqI0igx3c2e3t0NS
Ro8fz2V7FjAZU+UbvnaTQcfe1uG2MxHOvkBbGlHq/saBNIHsV4ULVS+gyPWwgjSRwzQ22lUpk0s9
er99eZeQTvYXJ6kuvNvNWcHjsG8oeaUljLA8EaTzdxuNISoRSYgAU1SA3u4LePSDiTgzzVQXduq5
ZaCke2VGcA/GMmEmSN2eD5WJwiEFAPAKWbyQVjoUbw2tlseOfw5ln8oLAd53psaB6zpk0rALlD6f
jxdZLU4xlzpPH+blBf0c+yolXsMtZ7j0FreJAJOVSVxRuDQtUZv/Zns6eJWQ0Vii4/IqGdrMwbjE
SCyaarQvwKkGYojChxrNci91erGDAoIsdjn2IZKzyE27oi33F5baJtVMMJCGLchQFo0CiFKpm22c
OL26uDUvHNr4p2qiUKfq0J6w45tKWYKURCBeP8oMWnLsYv1CDnBrKhncBWJlCpwQQcR1+7VrvYsL
bIW3CFRPwzD7MsXFTxzTqzYsUfvOMJFL7jxcmPP6Uf99/DDbdVi6x1xwEezjbXtE3cBMawYqhDU3
da/ivlOlP3VOjmikxG9fqAUdS10EUkBYIxWr0HGpJleOOg3Hjx9lY09Yc5zOLmoIMEYNFuHmrKiR
o8smHWHVoSzkfa0a46c+m4lmfDzMNo3xOo6rraX9gvSdpm7GWaIszeeZiJ86Q0vtTGc4NZaKey/N
HhrxGP+Yh9byWsigWGtexLSoFzJDm4QBj0DGhqpl6nlMgfnc7LQs0txZ1t3gl3Wq0NwFlJ07uaia
7+1Slb8sgTjS1ai4xaWE/LqC//ja68DrWUWr+Br55Yw43+LS5SINqJ2B6V30h2pUdkWmoE7T6cBK
tabZxUWhflIio33s20S5MO+NhXkdXhDE5UPTU2FoG+Mp04bQaB72vtlBpiUS2BxnS4g7dmVz4TO/
M5RNfQOFKnDgyCRsZlpPakvTK7GLrkob1NxFURCebKqFKAKq3R+vqY2lXufFYLgbttAdPLmN4bBl
VerJBFdodFrte5Tm2pHGduezXg3xX6GKAO4/Hw+7iee4+qDma/7sDx8ujbQl47wYfWt0h/tE1fKg
6CPAa4Yd+6rZtBcOva2D8zpBLCJm29LxhbeFRXVC9F44q4RiA0yr6Yla4AdFcCujXYtiW6EoCbFB
P5TltHdMpBk0NRIXDMQ7u4b5/vshNm9Zzc3KqkLY507WurdNk5zQPil/JuQjbutiNl8y1wIO/vGr
fm8d4eVDBKQEjja/jS8F2bNY8gqlqUTW03GstGXXi6WhVlokF06AbcGoxX4UgoZ2Uqw28MLXTq8/
PquWIw5TzWoBrazhjqiFahPMMRIl+JUKIB9rsTmFXOshnlSUxATM1TTI3FAPYmVOf9F7jfIzyl3m
V65L9XVDVOiey0Vyyd99805enxNLYmlEBjg4zq2IjQ45ildodS9Vr/moVWX7vqZJPpz6/J9+c4YC
qqZzczPF6iycD9WNCHNpCjQxJPM+dxPKsnGmFrBLYC3XY/PTqvvw88df/O0BweunsRNXk8CTTeTs
fEwtrgo59wVqFGS/vg8qkq+6Mmi7QZ2aIGxApqzga3CjLHh7np7SLBlPHz/DOq0zO80j0Fbi0kIn
LHJZ+vkjxKHl5JNiE3VHSV1JAk2flNAXVulWv3JB1T4cZiUsd0Arhuk4z5MSI/EtkWr4+DnenMnr
c0BZQAqH2ynm9Pw5spK+kCiZJr/uIoX+02TUP2sI0R4+Huad6WKhCfkwgg2uajNMmhFvzjK6hLi9
doGVQJJrRdiQNStG8no9vW9TkR4JDjpIyyv548fDryf+5m2fDb/54LnbiTrUEVbGJ+yRbxlIwKXD
ybDDmxghul1VFc9dhuH5nwxrQhxDksVRnc1pWDtJruSjZJ2FmovWuTWJNUXZDZWX1+30MsU99KbR
CeXzCLD0UjzqjTk1NGb97+HXQ+0Pa1NXc6FVwpx8tMfyfdwpt9Vyl1TsrrEZgWbjJV3YzO+9Zwu6
Gl8R74tNdj4i9q/qi1VJrRNw8O1aL/fIWiuB4eS/cweNxqhCIrwi53LhTb83VcjaUEM5LDHl+vnA
RY3sg+miQ07TRim8ouunvxa3BYKUVor8q0At5nM3ZpTcffyF3xrKlXwEBwX+H9t561wDcsbPknQX
GymS6RKZ8YAIuzyUo15efTzU2y3EUFgKw11jXDiV51PMpOKicoHRIl6LtFDM+YFoCkIgXYLYaIMz
eaL/UgTxYhqHpFAveZZvv61OjMfgXyriiEVvFjPJ/izSBTKiRm2JPcIQoO4qx0Lw10UU1K/UiEqG
Pin2XNO/fDz1t1+XoZ3VjXY5O/U3tWtOCsEewVDPJDf6rYul/XXUCtkF3dwgnoheuYKadBFyZH48
8HtzJvTOYWEj/Wnq64P9sYMGcjZJO6eInDtm/DWX0XRcUjs/DkoHGwb19y9STOlVge7048cjvzNl
Erm8apqgbcvY1gC1rmZVclktlo2ipxNP5j4tQ8JOHkkwp3rq+mgC1S3Uyr7gpLwzZxjJnEgkL6kf
2bq6owQbJiRGK6VmMKBhCPGXwXap2mgzCvcia1+raLJM1nCpVW0bCcI84AiQqqYhEpeAF3/+utOp
6NpeIkiTKYPqF7rR3Fpm3EMorZddWyjfOMKiwG3Bi5eLqux6rRW72Un1fVk74/ePv8Bbl3jzNOuG
/OPjx3nXGVmRwySdkQHMqi58KYc4foQsmooMRa8wDZ/bVZW0Kegm9KQqKQxDieXCc6y26/zwwrLQ
pc6tioTJG56bFo9Thpzl7E+LRgIN7hjqyFNyVdZkjKum1w6uIuLrqFPIVy8wV1OCSF/QMTRvh9QS
wceP847FI49ic7d1iQ3irp+/FdfOa73SwcFHo1yoZR7RLxm+lTFd3/qud9SmuPAd3nooOpdJeC0m
GTsMz2bAOmbyTTlh2l2ETgM0aPrpKjTbUVwYaFsR97r8MOM0w+MJaUA/zqeGw4grHQPPj20bDRV7
FgjPiUghB20gbDj5WqE1aNb0CXehMUZczh/TjAKPWM9mhGVDHTKwahZGdp2jZhgdYqXPvqmI6VBX
YNcQbsJaXAqfvvd6cC0wFZgEDqBN41C+SFstW4SCm6RXEWdPjbxFr2JW1cPHH/4du0A4FEoNCB0Y
71sod7QY3YBUofQAobrGbpb5BDOxCDvzvu4SRwZA+JfqwbLr2aUOJoysS9b4naVH/gTku0FkgfrI
rTUOjRzNlvUJGun81CRSGMLsqifZzf8wh7IuBRMJPNoOHLps1gTQ2d4XMlwEQZvFH0ktHRRiJt8T
NKl8UMTzJUbKNgP7Ohg9PQY5XpiNur7x00STVJnMOVlfBSR2fSQwJPFAafEOifCFmN3UnkCEtbOP
mFT4PMl8uR3ivlp2Wen2j4RZptSrzXk+9SjTfApDQk8XrNB7736lPK7NaYQut01BeTpO00DdDlEz
ygD0ti+fWzdzbuhZ7S9EqVe7urF3ZDVI2xHWeY3gnb/7bhjsJq6I+pP3MIIizbJ9xn30mM0Z14R6
LA6KEiOHaIgyUIt+uVBu/c6GOht+c1fIDCsWg4OsWjvTbLyfs4QqA80gbuf94w0F/k3njo1Xs7IQ
z+eZLSNKJshtYmjs8m+9A19Tuln8NWXufk71hY8MZXO0yvQSv+Wdrcyadld1BcKE4NLORx6kQHg6
ZophF87Cy9RcPS7zmO+TSdcOaqJSq9jp2U6xrfT+40m/s45A2HDKg17hC7/a4D8O1WbIhJYie0uh
aNxfZc3YB4h1h5+KvoguOTJvgnZrdBBfmTSOrqEmsD7LH2P9f3b6/0V2uiDHRirEprKQs902nM25
hW7u0qDp8j2uy3TYs+6cRw0foji1UgwX0BSbhYAmr0UugCiqxYIjw7jZaUshisnmjPYkCqz1Q+1a
s3YYOdCQLFCiNPqpJUUiLljMjQf/n4MShxfEp7mabkPhBJItOwrz2XOSGBVaGh+/VUvcHxyA515i
he1x0gdx4ZDeutCvo2JSuATTaQudafNaLYoMXTcDiGYr2a7U499Wn53CtnmqE+2UpP1tUqfPA5FO
5HKGAJmjklB9U194jM0uf30KvMS1sGdNPW2REGG2hHoV1jxFP6ODqNdWYM7oBFPhuew/Nigbc81Q
RCmxY2uxAwTxbWRJrnfgfknpICadc+/Krrhepn78xxMSKO+t1Me1Sop6h3NTQutglzbmhGhTXZie
WU3NF5mg9l06xnTBDX1nQgwFGRRvlxKO1xjyH1YrXZJlwp2CTm0Xmo4KrlxkYEbRxb7+Nx+Ju+Vr
dYxDowA3vo2Ps+3BQfa9DH07rQeqrMs5Ga4+/lBvl+YK/NXXK+1as4DK3/k7/D/UArkN/hJ0F6sp
IMGPQ48B2nhbBKXcXpsRto0shCwCe8jhzsvCSn/I2KbYYaQsmGK4kgPQ4wTNf5AdiL+0eSsu+VRb
s0RMg3j3+hh4VWuC9vyFdHOdJgm1n2SwIvpRjIbrvNdJXZW7FJP1iKazEV+wSm++gk7LD51dZDzW
nlpwjeeD6lE7ZehwAVAoao1aydZEL1cZWNlaq3tmbS9Ba6P3XRRKWx5nZVHLb1NK3Nkyq24/DBD7
LzzSunf+8PdoMOd4Vlf+LndKIlurP/jHgrf0RMma3iX1ZC4a/croyH6P0XlHEC8aKI91W/RH/QUD
ehHLuTo6b4dmt9lsBIs6lPOhu8Wws2gWhae7CDX2jVl/nVGF2w9Faey6YlCvqVqe92pjpc80LlS3
i3o76aTGSNxcsDBvFsP6FnA8qQYBYYtXtnmURE1oMiPURF5beS64EHxJiM9Qlpw23Qsq15q4YDm3
+39974S0SH/QiUGT1Gb/10Ub01dEoIdC+2hvJKMM6g6tRZHn6YWh3vvErzbGwh1bu13PJ1fKNR+m
ELvUuel8Tewp3JEAbzyt6NMvRiJWKb+5dp4+tjjvTpAjnwyWRtGHvb7yPxZWUrs0vwzg1wyX3qOx
0IyrkehF0HRDeGGCW6P9+i45i1bPltN+m4zudSNriHSXyC118T1HiPnYpI1+YUIbv/11p0BYelX8
oGNvm6qUJlaqzOpVBXoSv5cKceZusY0buygz9IAro79SJlXzh7DOL2zS9ybIpyMHTrZujc+dv0vE
6tdWMRtbNc5IBTdheOVW4fDtn3+xtVwInKZDOtbYjBIa4ygQXS28XCa0xGAEf6ckbY+xDC/hyt6b
0Gr+mBPFVxDYzickKSsY+oLbF9UU5aeeZp476Rr2hde2vdu/fjKb9A8FdACjOdXPh9FngjNaFGLc
MLJP9N/JoyBidrC1wjlkkgamRIQQAZqpuyotJEe9ScwRZSO58CFjILZUDSEFbxRNGWN3SXLjvR1C
ndtKoONSRmTl/OnshnGBnZWeoqqZtcNPMxcvnJOm2zkckcuFt/H+cNzK1qs91n5jcXrHyYxwZkOO
uRGpXlJFq2DrRMchzni++3gtvd0s6HQRT8E7pEaE5PL53HokCMdJZTDFDvHU3JTSI79YdP1FC+fp
RY/d8m9UZutPtW5x7H88+NvVxeAmKVVcq9U2bAYXccVrtcAUjXYvrgmYRo+yG5Tjx6O8NauMsjYy
4E9Rr7gtZ6vGMtfqmcARXS7Tjd5VczCRT/+UGYgmG4pLab0zqcHHg75eXM4PTc4pgo3sG/pKiZOe
v9ixSlE51h0U6uMRUKqhaEc97P4C/UeJc6g5gZZPL02iX4fmeJCtiTeTpc0xNyb6py0XZ0tx/wff
GkUXFTECseYeN4/UJAPlq695mqXSb5oqe4hCPXwgojx6hUzDFzeX1r2Dkv2FL/Ded0YEEpLrWgBN
qPD8XSCjbhGWI5yR92r6OaZ7PlDKcfzr41f+7ij2yoZC1wUDvK6DPw6yhhY60DUYX7bpEPv4icIK
7JRq4ws++nsLaq16RyOT/95sUEdNS2eQLKjJ6CmFyPOYeuo+kjPqrSZ/54EhLlxvaGd5yf95zaWd
Lyv9P2XUCAvhC25LnkpXVklasmX0AdK9qE2fCOxNZuhfkA8faFsdEDtyU9WL1fjYDtWv0Om/6YW8
zUvq23NH+0u2zc+q0L9KdymJn6YK5Qxz57u9agVGFdqevsIDOAuA0C6atpsVofvzjLx1rFyIOLw1
PkyGCp+1KYG+k1dZvz++WKkvJs1rTCbLZ92k89eI7sI6Tj4bzjIFTidgvmheFUbz4Z8ulfOBN0ul
NJZKcQzcSEOGxY+Yo0/s4M6n7YUdtxqw7dfi6s0aoWjkbTa6VZZKG2Ws+1qYQlOaq2TXWl3hO1M2
7Qa7zy+80HfHW18mXvKaAN8cHfQO5+UodQQHuzgb/VgZk3u6YeebQmOsItLnnx+/yLdnFYuQMCWh
I+IX5us18o8vmLPflbojARs2VnMVZVZ3Q6GeeUhaMX/6eKjNrqNYk2pRINS44ZB14SOfb2+6LkfW
Iyoqmij6G8sKxUseVogRh612KByYyVmSdhc+4MambAfd5o06moUVVVST16tZYwX1LOXPtk6cS5Dd
S+Osf//He3RF3Fh2TLyJYozuIetU7YvrykulxVTTvF6X/1iS2xlthWrdpulkTI1HIDv7PqHlmf5K
O01NzFY19aT79hQXDlz8nSmy1dFX2mrg1gl1b+b6OzQRDQ/+mOsVMPA+NQYva0Kb71/adbVShkan
+Db3UQuPJBQq8rVEZao4KXaIQc+rVHzZKs3KGmjU6UGncNJ6UnNLQ3ShnKdB4IJ0kgo/3wmjtnJ3
1MQsaez3i1HJ2Lfanuyiz9lWScMfmrKsVwNllkZ86Mcm1B9KYbbIf7jqiNqmGNsQ1enFyVAxikY6
9mMTqoWSyPQqpfbmml5eWDuNUNJTWS/GqbY6cVOqkeubem55/ZQUj3M5DD0FaKbW+lm/qAFwleVR
LyX0nqZObkjhlbt8HN27pnHr/VLqqi81AnpOXXIhp0Lh1EAFeHRGtb3Jkx4BHXIyh4iH8FNZhVc1
eoj7WEyDHy4h/aW53pxMqc/HqbCVq5YoRZBQbnejdNG072CEo4fmWtcWjjkdS8oofiu6le0r4omQ
v7TiFPWG4I21VaCBePjeGmp6uyJOvk/TmN0u9jTtSQcoTwuhs9GvaKEYd5QJy0dlUJIvU21rL2nZ
5TuViGGg0LZDKK8Frp43vbpbHHW8Leg+CRwQfp/HQSR/KXmFwz4l05eYnOM+WVwy3vZIr72Vw4se
OvUpCZdmJzQlX/xhSUuKq4qq+mEbdXSakZRL2uu1HN325Dh0nQfmdfhhjDmYXBf134NbdoZHGij2
h/rUzL2XVb3zYsw9vSC2Wke7nF6VXdMo1WExnOY2al31atDM7L4oZP3VmtiwoWySG9J/mieTrrvr
qRZuvLjTir8VqaZfRRxFGWO03XWaKxK5WoVKYqEgDKUqovNyIoyekeXFTZ7blW+lRGstbdJfaLiR
tyKkYxnBP/vznFPT1YWRcZg77VsxwekhyB+f3AwVi8AuYqJmlQJwfVnM74sWwbG0S91zQrfhZmHH
u36ailsgVJpPbTOLzGjocVesCILC6HSznxLlPFSd9anrgAioaSd2VRl3x5Er58mlX32METCSbYTi
r7OMUTDZ5YQGe6ZNz2XZiZ/FhBTPuKhhkJSOvQtrbaSSVk80gt11vS8mvcNX1uJB0rfdao/hPNDR
NWUPmplSwtD/XWjZE+H5AFG5n0vuHpE1PqZ9fl2m8knmNfLqyi88fstXuDkd3aUgiB+XxKzmqfAm
HRaBYtRfFKt7QruKrTUtY8B50ZxEbei3JpgiGsDRStDyiB3vflXiko/gZFeVOd5C6/usxnIMDGnX
weRqkz/XqvmQ0sGd58nky7YIqBNcIxktFaqMBjh6p5jNN1AkTxBGvg3UbHg1DRC+0inRTg/bqwxG
JFfTxquy5QVb92QiPuBFWjTTEyioWogz4wrlpE+dSl+MrpefXJH+Xorynqb3aJ9Uaxu6QjMrMcB5
ba2Oj5W7RP5YqyxJSvpKqzzoCigAqmRbfy6TvygPl35MRtuLKFbZlUVPw1wNSmguKP4LFfM51Ey4
LkN2Wpa087LeGm/kMDywom9bQ2fARodZQ73Bzpg6WKG9duoWYBIL0A7DKh67WDs4vG+vJsSJ0aDN
Q7EKcx+OIgoGseheMqaEdYu5gWjUC3L2Rg73bHZjxasdDTqNA+snVxWVLIz2K4szx2trp/Rmrdz3
URbvI2kmD6FwYvRRaIFHMMXi5pKnAJEpkZBeYYTNDppNc6fNxvRQpDU1UkSylodpiNz7WsmG1OPC
m+5s5/esxNdu4d5PWnjPNfwbZoS1TXjPo7fhcYyco2MvDUWhKB/HzUNLVhPFxqY6dJMUPpePA60s
Xp+axzk0A13N7iPXOEkr3IVhG7h96/UxeYloXCEQlCF5IqkoLS7Hn3G99P7SZgfqx7+kUfq9F3Bz
zZjiciu7sWfnkFIdS+HectMs05PRtLdSl5/on6l2icqvyymtqyfF8UWRX+ezcV23+W4VHU1oZw0m
Jbof0uSQReHvqQ5jDyBTSqlWFXmkxQJ3mB+KprN3RM0Q8lCy/VhwSxz0ovEHGHtePOhBWSm39WJ9
g1nwkqN0b7a511T1p0pWfifL3lcyg6VEuWHezd/cpjqWqenlubrTbIqvZDw90VXF14zq1CvE8juS
ArRG6gaDVH8jNwH7tat8iir80LFBTs831lDot3UsPgN6/1aJZdxVgo6/yU0e2yJrvLGGpJAi6tJk
R6w9sIj4aIFiUGaD/lKXtQyjuYC3Yf+wy+RmVgyu2jgG3qLGP9V4CXR7YLrUoC6qcagmpQ+yPrtz
JUCWvk174HutNh9UK0ndnegVeOaiM+S92rrVz7xPol+RcItrfWj0nRLrz00DlIEV0nglP+Gz9m7Q
uQgg254WmVGKmEzDS27OTZCNcUvGcd4j6HhamuzQsEDSyHnsyMsc+0U2u0gZ233Tw8JyFRRjQSMV
vqtF11B2Cv4vutP4oUyrDkYX3gNHKk74L76A5JG6WSBTnWVcscR0yrfN+VhlRQp3RaynT343dvoe
9+62GeGWlc3jbA6UbGl3uVo82KWoccWifMelufFdzhK/b42WHzAGivmGeqem8QGhevTFkWJwW/1B
q+h9yJP0Lo5Q+KFj6dRSctrX1xrIjbZKTiG8HWk5/GJ6BvVqgJo8pCjuJvlpcaMbM3NML7PtxNPz
5FktKN+qBypnFXPPbd0bclhKvdiPtrt3BUgRmVs/o7L1E85JezGey6TFzgOadtTvmjrv8zF+MpS2
JZ6UBqnVkD9a9n1Y+s44v4Bbqb2oVj7NQuyLVnxxK52TAD6LnejHSIcYU4XBbGY7sx/3pmLelVnI
Ug7rX1oY/xVZ+ldLnWzOB5RbY6l5FDODt5mch7C3nzVjuevA3nhWYu6Nrv2cjdojQXzKYRKiK9GT
Xc3fC51OZEQLlPbByd0b6OS6b2nyKnXkDbTJzJst96XNhk+jGQfwoHbR5OyyBaJQqh8dvQtymKC4
XrPXzDSnJWr0eVLz72qC8jcl9M/DTLNElYffo7l8WLTlSoksP9THT4VrPMTRZKH5MPnxqL+kqXNn
5dWL2zoQOwzYElGZPFhN+JuOXhyvWX9xtJTGA8jlSaM8lE7jGWqzdh7S11xrP/hLSCy1V07frWjc
1aFp7hyruLGM5WmJmytl7ZvpqumuiqarBI9I6X9F48DyRdOF0geVlokUrJc5YyV66J1ZyhC0p0m8
Xe00xE0Q6dQUV+ZDWVd7t7COrhn+TRb4EFObsHN0BpdK9rtQk79ql11Nz/VTrpbPUTjPnij0e0Lw
vy29XYCPNcescnZAwXYOmE3PKmp05dqUr64Jv1lIGpWKpni5lhymsc+9eox3ULxuwX6k3mSZJz2F
voMI622Toheems6xUdw7+EqUEZbXadGvr/mzsgwHY7BOk96ic68HllgOY+243AWGawolf6utBdkL
x8pMqs9WpT7kUVMc3Tz5JRW89joyK6g07ufRrk8IIT9aRvq3sYyfssX0cxnva0Veh3gIpuvSkP0X
naK4WeIzjYQvkSZPEw5+WMojG+eqiRPYWsmxj6BCZ/0uS8tAa9vU6yv7sVCjncHhlc/TgeRV6JmF
INFoXXUj3J+6D0y7filCkXm2yB5nywimXLuOoY9boXsHZ+ao03om6SCgP4Wkm4lu34IJLyGMgjsa
AYqiMaLMz868jkSzlaci3YKuGUoaTVADubL61Msm8aurw0AjqLSSGvvxyeXc6nL1k7oYj9Pk6ju9
zOzDXMlnF0oCh0Xz3Ak2Q7ucihQG9mRVPvWdn8mjZf74HzSdx3LkSLJFvwhm0GILkTqTWtUmrIpN
BrQIaHz9O2ljbzfTU11DZgIR7tevn6uGJ5YBryMr4iGrpEvoTGC/bEB17HpzbPARsPlYNq9pbz93
lgdMECuZVJ+F5bN5UsbpGqCcSiolRXKd81rDgbL4M1zW7ejHYyFjGahbk1lHu87gqPU3a/Hidc3i
RRDwXf3wAiSTxcDHXWC4dZdc8/m2rVDP8r2ftTusgU/NVDxqdPdpel2c7ZRWxYtTlUlTb6GmoaEF
7bXxVNiqVxhI0WBtr4v9qRGebLy05bxnaeJ9GPwdQNB4zGigg3en/aP3//q84MNzIqaFPI/2WzYe
K37J0h3DbPkSxSVbyndr809D1sZeB98a1KzR3Jr5pjWvQerzxKzxPMxQj+q4br856/aWtR31WedW
fNMmeRBa8cDMvAwrzbhQ6ITbLOJJ6fHU/8DJjzw4cHXTxpb1qJGao/TyZjdulLuXVP9LCEJCvRjh
v30Z5+XWGyIpujFWAPV0Rvrg4EO/+yxLkVjSPHUVAmfwI5nCz26fyPY5I6FuNtsHbXgX4rHcurDq
xS0r+8Sv3xsI2rjUE08i4NnZbnHWuLRVXGogC1XOKLVkBPhl9cWV3YTQHwfm6k82d3KhU0RW1bGX
x3UYKQ60M9iMnRy/N+7PAvLaUG68cdNZJ6N+DMRuEcV+5Z/5tR8tgdyljIR8Ore8qBM0hlNuPdnD
TmOUTxpUbBnPjXY08rcx+yohI/hBk+Rdin/x0eg49t2dQTmtyf+qtY2dbdpp9rFpb0Z5tYsTA0tm
inZcWvCFgq6JA0sjAvfPBKKvJ69rLXpmNsaulW/SftBM/7kePoZqL2wzLtRubb8UPWSf+kgOtn8E
vYjEYC8dqLxv132q6Gt7R9uPi0WV3dxUqe8cmSZu1p3y6aazXddZ9D2Vd1a2d9HqXIYLbMKxGV69
NYhW90NIgKs9BsWvaRxuouzfe/+fZc1IHFmSkUUerulI3ngZWyv549Vb0K1HMiuenNp+WaW+E3n9
YcBzbIIuweOdzFKFmigowElcGLSTfYekEAJaO2OU1twaZXG476oX/nXujps2JE217rZ5PTrYqsLV
nJLFfJ16aBTy1Z9/VqtOKvuldT433Y6t4rFxH+V42vwtDgqNZQH3qmV7AKDnngUs1XKENjPfR31n
XYAKQXpyQHP57anp5j0mbroT/+Q56mzyJYi0knFmvzj+9DZO/NTVjC1YJrL8V1cPHtQqX2QXi4e5
6KwnbT6kuCrDrv1xTbQYK9851N9ZqeJAbZC/57ObGq99C6Gtq3bd1F8aAKgV2yVOkDCb/Y+K38Bc
vTyyWPV3cp08QtB4zIz2b6k3z6pbaPAZRLRtG5qaRpDxmj9nvvOXs+Awl1qFLDw82YwRFay1aMok
7VVDQVpkv+nacICbKB7gU14bgz+si26KV8u9msI9+H554T9TM5XaNa21qNCvCE5Q+HiXaA26qnlU
LH/YdHmj64VBduuWZDbA6S+49rnLIuU4B2Ncbswad41jvOUq44bx9namc9tMyVDnUVPmJ1iXF0W7
jIIyxbU7xU77VdSPwFJfx3r6t4g56v30EOhL6LZ9wvVKu/xrQdJU+ucEqawUedJ2rhnjoziPggqX
B3K2KZjV0W6raxmYl2F1ngsfcF8J07t1g1DvlpFsBRa33K/ecM/pBpM2Z10O0Jwlxl+TZM5U+9Hc
7VkLyqTkhjfWJREzbcVsJXKy9rRnYWnnl7bhLtXourpXo/gv57BQQ7Az+DdWVuDr0Xke1HLSNJiV
/ndnGnw62TWYH93JC2njWjhp7QwkVXvCQgAhdeRbN/0xFjkxw5DiRganec09wXx1vwzLyyS9U236
r4unTlTfLw6Qb0OPukKevCmIFz1N7OBlo2s2ayNx64PFN7q1yEMcalpD7O3UvaMy7craOprGG+O8
NDaG7tG2xvNYmUilQVwJ+690zVe3Qz0yKEILddByxl+WLM5eFlypLQ6W2X46umJSlcbsrj+Y8lUV
ehQE6bGaLFYEyO5yElTCcA7mqPWA2gV4jT1JdwRjr+h2GOjDuv42W2evgapNMxZ5CLkZvBelN0lv
MFA1j3XT/GfUiSUOhd7Eo/iXZ6XHxzgcgtk4sqWQlFAt6ePCXlMH0DFhDTVmcEXsaWNcORc29krm
VjO1Yn1oePTd/MMG+FqKIRw5b+ztjyasWMzVpW6HS+GmCdiUkFo99J2j4jvrsobbY0Baeg+yfZbL
SMpDyj/EJBFu0gk3Op/e/A+HYKhzVll0/PTcJ2HWnzA/kAjWTyADe+m/tT23RaN9dYs6zc4UZ3xi
lv45AKJaNP0hk9txrIvPhncbBS2cc2s8GIvPYW7S7ma1+8nG4y3vtEvRIZ0twfCf6NPjgsE0UcFq
xP1oPndr/5t2gBxXvbgxIi/DnK7Ydu3/ct1+t+z2GavhixT8lgBtH1q26IDjPFtWdfPb4J/WGs9F
P3FjLG8w48l+3wXeTerjy+g+2+4Qy/rB9D5L7g/VfznGQHdexcIoj1JypVkBTTgp4/Y52G49QQtD
ql31ZY2d3t5PabCTVXlY1e8ogrhzNZgG8PdBvqBHumD/vPK7mSD6zU3i8V9tB28CF4Gvhan9LxXm
Tjpf4zQfXP/m0kFv3GRwMfEY/A5wTQu6BqxyLheum3axX3TErol9Ja1ToTiuugODgL1rjKfABXje
qWeZPzhT+leQzlFoOa5dnpg2B/K7hKYaq4PrrusN0x5yESoU51OwPPIAg1ok2zLQdsV8mAcN/u5X
Vtw/6HE3bR9B3oSpU+3p7I9uFxxc+ekF4rSW4zlPc9ZMuhCvUrT63j4v/oHhYU5iRnnqHSpabm1p
Ges7y0uVbq+bUZwmDHJWfiLc4dEGr+Gkr5owzq77mMHLUdPPJh6ChTuMUgmjQyTXneyGQ55zoOhl
7Koy3ubx4OfIsNaTSd1cmDgN62u/vIAGpcj+K5QbemC1quk97WSkppeMJr3hg82yk5WjTxRPPMph
tvlhCQmxYnhqdh+VOUTKvziDFY8jrYoX2+mh1A53M2Hd0PKvP6X1aiPviGw5I1iEg8lfoH5qvQ3d
7bduoF8q81Jv1d/BAbZReXFus1c4yATMc9QWFjuugTouunOYrMe6fKy817ls9vWEhqnCjtlBH9xq
581p0DIaVHyx97Tgz+y18VgayYYK3ionzDsaWISlyjn7E7Tp7rZOaFp+GVeVQOvFgOI1B92c91q/
Jj3VcoZ5IsuGkzYxPcnzEWl23g2d/yzmHhgGV0jjN3tRkiDpFkfH11/KwTmYeX0oXO1ZuM2+MvFa
pP18VVX9PFfgUfI5JW4NxUDpPeecYePHQCbcjETTGT7VrX3GMXvI27rg4h5BgFtVdk3VXMRTLb+L
roMjIz/yoXvGDkYInpuYGtRSUx7WRZ4W3fg7td7jhgxzqFL/1SlpJAO9vKdLpdzexZqFpeP8EkOH
VNf4w/ekz9Ox9amP84ms+SKXJ3wn+6WiMQ+0scWdpdTe1/oHw6KeNlGk56yVu0IhRivVPeP1HcIh
yLaDrlJav9EuKcicg72khw0WXyigSWDvFAcceq/T0JrhNAdvrT0jrNRkQQVduVuqbt9D1a4M98Ee
KDV696ER9GhbyjfSWLyQmlv8q/2MSUHN/4HBoKkpM/BBstfRr11jxyiOO48EvWG++Fa5NzfTiRAK
6OLFUdyfyIKZGKVlfTPXhWionHGXmte/ZWF+tQFDXj/oswej2Lp4MsxL5627brSOWyOH3Z1iEU8Q
ztlsN9ujEaTZbrSmP60LImJunOE8q+Y/GjY/6lu+24ZRUxSInvXU7ia85VlXnvOU6oSlQdkIHMDp
aO6QchzSOVJcF1QQCthEVubYP/053MQQoIqRtrkvrcpl97QWadOHzTAbL56+1m8qaIuALZ55fLcF
OuJbwSfNQ26a6sjDULC41Q7BfUyRnykj5uBVOYs3gPkadIY8CrXakfpxDmQLyFawJ1H5aXvQCJZ+
r7zK1i7bOLbVIxrvlv3LiJf3vxutUfnOHtwCOYF34rI4vXXtfB6rVTXBVXdn/Lk6g4l0GPTPHrJC
bA4+TSktRcJsJT0x3Wy+zNEWh2xSUyJZxHh2x0w0YS/KhXW2proSCgtXG6QrUOm5f9JSwz2SleCc
LZHPB6vKexC6bnPRNxxyZl5lSZePkP0pkaELb20V+/P4PNLRHjNJoxjUpfUIi73JQx2pLdEMs4s2
sryitZygkPrF/DMHXR61s6JM9oIoh35ydtF3LpviHCgFA4mxXLOkVKUz7yrTH45ISjVW1mo6M2SG
tVT55au3MMfknYKhO1XoxOuYPuXGonuJ5vh0Ir63pJc5tQIOfJZqKev429Ymd9twnOriaEGIDtdJ
6k92O/WJXZgduTdz/cDza8b6ZI1Ynx3mfCmZAsVqM9hpjGrezwvmeK+uofC7Xn8oBDEZzRaIi1ma
Hjk9XMOrLyqS0oU0P9b7IzqXtNF24YqoNvL8MSjv59zC0kphktlQW9p0ajsPzLtV5jT5koDMc2v0
6a0qtlEPVRr0LqUcx43dGdVRRwyE1Jume2Hq4p9wLSas+Lb7N1mvwynIUiO++5iSFYQQ5dSC+LDq
JhMj3T9s6VCBMa6NvT1NTuivAbtvTjAwv3KDU62h5oIm5ELxe0+EGsOJc6PZ1lWaoO1WGRjMI+sl
GfPMS1Y5Vue5uLcjCM27dquLxJqofmt8te+OU/1xitkLXQY6+94ZtbtsaLw6zqQiUyiEzGIq3s0B
el6c1sC8mGQxvdlUU+Esm8pnG77Eb+ZNdWSUPWR3iLM7vZ2ryISuHw75MF3WZuSiH6TxUlY1e5PW
VLVqD0lz5podza40Psi4BesfMg9J57etNx6GAoI0H3eRXgNNFm5730AsCgZlaWuldWymyxRcWqWT
GAKksCG3BbmwTMuzVVr68DfQNRyDbymGA8l4g7grRZGhVVP50dWVbv9l52Bb+p1tb8PQHaWzbiUT
I6/uPjZtE81jm2vKe90C5fIv4gwdyNJx+CKmD8+rLOfXNgeH8Juh0AzGd/+LbgBJ5BdPxaCZwSkP
ZjugGhFOvVs97sfLqLTyPhbK4M4Y4bAFmeb/f47B6MDq/fpfgoG0WSX912jSW/7bWPamRbCaYGXe
5GIgpQwW1tRnMmnbwh7+InSM6jr1mxJdbDgL1Vq4+qQcPWaNXQUnw+3mBhJZ0CztB0EFrhQh9kHT
QeCxAyV5iNScN21IFlyArof8Jqqvgn12RA8OnnT80TxmZnTpqd7r//GweSjEeEr4kcLWy4buayy7
enxy7WkJjpqd2+pDCKMPjqUnTfHr8eivD2sjlvXTcuzeOuVuI4aoHzwJetYGon6Q9aRc3sY2y6Bd
FbX+3gQM686uTWORgHr1B/Zfe1vtmHHw1lj67DVfTt+Z/XPpTUtLIbDAYqhG/M3YBV2PYdlgGvat
7zplxXPH5kyS9aOw8J/40tubctW+VrPxv3rb9+hcVqngHqWTlqZLLBYIZF6kZcqo9KMPcBTpcLAb
wgj3otV8Sgij1Ivxl1+5cxO2sDwmcqSk/Y76OE4/agm0PIu2iYCzrwqLAcWkvXh6he4gtiF70/Rx
gkCJYsHXobet++kTVrEg0WXZ1h2HYdEpwXPX2azXxmrS/3rfXLrzUtvLs2cHI6aHlsSSh8BVpBJU
DRo4ip9laeSQtT7eFC8kjtpgxmz2cmKWq62b7GPp6mb7ZU8bx2qH/MyjiixDIxw2bUteAVvQjYwX
uAMG3bf01nPqlLb3Qm6EW0EEnfQf8Hbr8Azqy8z2QxdY3WkuGMr9rpDEAEbmZddEnYvXWIS9N/Uk
tuSizGjSzEmLWjkaFuEHPcW3msw1P/tra3R8OGOjdf+A8NfZrtFh2561zlFOrJZNmb/d1HhLbCmh
O++B1DfxbaliunqKuch0h0RZHhMcKUWzX7csQ+9iJa6myrCLJo27rGy1H/Ycff/d1ZdFUulqqPr/
oPFv+gszmk3cUp1EsEvJS5UeDJmPQIK2zFzjkQSB4e/G/6p9enXO8RmW2ySIIxr1yokM+ILdr+id
AOo7b2F28F1QKPg48WJmCqNR2dZIZXOpjw996VD8pY2XZx9jyxD4U4Jtd/ZCDJZ38bGFT69Os7pt
4qyZZsG9q0q9/WNksxfNNbjfKBuHro8WaXr/lUbayz1/rWOH61zkeWwL1JpN6Mu3XQTpHR1nfNa9
CuZdb6bmYSnT2T4Gyic/J5f9STZK4+ox+KoiQW4CMkywgoISovZvKWPRGwclYJWmMz8DMPefkFOJ
RmNYl75Pi7qnFVCrlv7oNMncr6yzGn2H+FOmGmgJf2xsLGtT5t8wqlHOBEI/AzTEzWazw1495EXV
/st73/rEH80sQus976clcGdXO3r35OR28WyBp/uTFiwp8KMi1hb+VFCvTPTKbCD1TFB0Qg6MZVr7
I+Z9ZPl19JeXVg80m37EFz0WCyYA0YixBXtQWqBX15nsv03oS3No+c1ClHolrB3+YjPKxNrfOuIx
YCwUpf/kDu20vZJw00BZSesfuDoEfw2TnTsgeJqtj+fVsE7V0qcPMIC7h9TQVEJG5Kctxy/Kr/fW
67uIvBdMd10rwxrye2jM80Vu/d5wx3en2vD6sRQbwWntk2qw/KhytA99YcBG7sdHFnjjRZEAsZMm
5rpm8h6pYdj05AE/iQInlU7OB9XNKN+FM6hv9Gb5WGu9SNTaHIBiuJFjTiSs9NqOokoLPa9Jz2BC
tj23YX1xhKX+0FykFPzdSeC+Iwum1WInF2hURAiEW96QOS4M470bFHEm7aw95twGeqTn+lzevEIY
V7xLfIglGyL5mhIb7GjZFQLS0e+78mmS/XYtnPSvv44qPzSklex7H8Kg35t9ieRT2MnsiMkgdoRX
LbKWrrriKsDmU5U047GzdMHzqpnWaXBHi5wKFzhPiNulj1PQoR9YS4awbYafbGjceOtb5jrTNu75
bX6nutV2eUDmk+s3CK0wo+4jtn5Xt+QK93zax8Xt7bjz1SVF43IrxdbL/UfUDFSqlYVlVpIZRFh9
Z2GdZj2maYmnGNYpSAxhfzhKMXevLYKF8J9R0Tj1Y5siaMxW9252qJ2612xnZQr5PHRbdi8Op7A2
retQmmc9KOlbQFxEbWVV0ZKSrtZ2wdNmdBcqHdwCwuNYC5btfRx9nCH52kWpMHbNqGTsLR55YiAa
iCGlpzMWvoDRTB+3jQF5MTl2FFTqwVaFEzbunaR5N20sJeZTDHYuxjevA/PoO3E7euZ5Gp1HqpO/
GrlCoWT8yLNabREuUyB5RUtJ6FHfTziUQ8fZ6AN1g081p5qzZheebe6zR1fLUzdZp1E22In6oo6U
HkSCnCoEazwbvO2h4RdeHNS6flqazd05rcLRMI0LVxFCAkjzmn6/aKKZd/cGCd1jvlsQtc2thMfy
aQnArLcdb7RW3I98xkdHfciKnbuwkwmn6cy0Mo3MzRDcidWWwKQJYiAan8EwIGBSzSa+XzdRmXbf
M0OEtvaWi1bYr3bv9cyN+/fR3ayo11Mnwi+/JIGhF8eFZeSY62eIC9kO+6xYnTNMRG2PQ2B+8+w7
o4oomQTLxLmdZsqQGup6V8yPZdq3keKOjtpuNsPGMo+stTX7UTmHLmUKQvZmspH89SjTjFHlMBLZ
Q8MwTDnfszZZyUb6iOqBjbLwxxir5gOGgb9FhV2WR4R2A98AATOGpE6pinKPqYMxQjZdyC5lEoaU
zWhWXWzRM3IsHOvIU6VFZUXNVKT5hzlhcrDv97fcXtOlaGO7HM5Npb14JkP11vvMLdRwZuUHMIlO
GHjpI3avt9FGstjm9hl/+GdKQX+3LZiRtLvpSTYdNjirmh7zgKCgcjStWFcGtVW1RHNQf3ACW0mT
cWpnBSSlAFdjtDpMWHQ5ELe0kilk8M9YAJNtlGWFjZxCs1TdB8XlWvyMhu7GBcHUESAgK04H71uY
44ORrV+YcD/btvtSo3owlX/L0vEBUWNXUyGHAyBXt9a090waD5VXM0v06xWeu49kNL4bSjynSrd2
3mY8GNOKiJb1y28zVwTlORli5FIRzRMS1kbZOBelTkPV50dbmaggprtFTKCq41Ih2oaNk8urZxcD
hhydx8KH6z0OFhyXIdcJI61qxIc+e0Y06xk0WOU5Z7X+Ef1hetbxLL/XQb+9Kduentl4sXZTMNXX
1icMrYH0dlnuuUpM0RscUYy5HD+p57xbn/S256V0ZyNb4sCticRqvTcDow4o+5XlYppGd2hisdUG
elFbcWJ3en/tHWsvLV0Pt6nAo2DYw61YOu190N1152d6T3bR+C11h2mgp2guQagfJzox/H7zdhr0
bo2KjJ60QfFJGrqD2HVGNifvhih3zdIIuirTw8EnkASM7CEI5HkRzScc2iLKsJh+VIqxyFyu3ZEe
uU1G3VXnoqLbL4o0zjC47LKxYjyjboVDepgzbGrnjdb6yH6qnQjNmHcIPQe5tci+xnDMhMQQgoyQ
+zUuZBqM/Vp7elhb1XDA0k3+YFD9ZUS13cZRcq61PW6JbSIP0g+OK+LpSYdRf+0LPhY+VQM6elow
WeqdN6nArNU589Nl7i6Gtby4Mm8x+uS8d5PCASHTJ3tb6n1Alts9Ypm/0L1gAaT91hHHlm7GXA/A
C3/6YsUE3i0/5dijlG/LyxZYI2KfpzCz2OpolCn+k0FPvLsS2hjo1qppc+654kZdjgw10485wRqK
uT04C9BYYrwKfdrYFfD/9MP03fYro16q6D0WDYxBqfwhkvKO4Di2JQnkpdpZWl1cgEs8bJVHfFkH
GNXjqEefx9ODJO6Hk7mlide5RVRibnK2GVJAEETKKp7NQJ44o+MxNb/zvv0oJ5Tust8eRxAAUeuM
dAZd8+VVrb0rGufHWLIiWT37u055hEje06N04YB2xu5olhaYJaZO091RIuZXKdIgoQdiJdVRxoyT
JP1wBlNE8r4CHbZ1+d46xovhV3jJigDv4rpevKn4KOb+UJk06euof896kfhNOeGu6+S7KzigcXXk
sSMD1IqhPAxLeWYZVjvpEwdDeveszHapLn7OMAXS1RNX7HmQBLfVxXCB9HiqLUrfem1xKihmcWYv
TmWGtuX7f3iio8krr+ZKjNPiP+i5eDfW+XEsl4NpM/leU+OvVa6o+nPBhIn9th1s3zT2WnDxeb6U
OJxzEMSz4uds6gCX7JhHxHzw5NfYnDJjcvG+WCh5buqx3YWVw/EG723xpNExjxb2iWKbhAUoLOGo
umtX+H3opexHFTUG0dT0LpVn7JeUtErVWhqdPT9JURTvyJXY0/ye4Uu12RhVWryh7MRFxHaejLyi
l9rOKE4tJuX1YUmnXzLluccbrJesGEyRO9NRiXZ9EBSykTkbT8QJWIlTGnGHUow1Y/mrZDnGBB2w
XWeMPyJovQd41LBpxfSXRNA/BVlWkYmPP5ID/anqzKdysp5kqfapYDFQn4OXTM8ROBz/By4kVhVv
KKMMQ0I0jnPOdzpQtmT950J/mfVAq1PbiiXDo2OnxMLVaHY75tpaOPYmRsyySyaPfMQ5qE6QXIaT
r+GutoSxJTobPOehNZjLlvYvWFVcab751ja2xW/HaC2tf2siA43cubaM2Nm1QOMUMj2Ma3qiOX1o
F/nQSwqhHrE99+Y/fiqeFT1ksnXZfzWlO2pnfVTb9GVupQi3Lqg44gzyOJV80vCO+Vp96yfvYpvG
L0mYLoue2l8Md0fOQfwDjr0rczTntAgS8oy9aFwhkQKAlZ36J33c8RMhC81mqWdvs/erH3xbaRZE
jOWhizT2B8iHR6ssrkswyXOfDV9Ztkjw4MZnjnrG3ITu3m22LxYrCOcS/kHgon+a1nnZjTCzIt0H
DVdll5nW4onNH+vq0xMjATuR6S7noalXliiYqUskwUCWIXzmHYCZvRrZuOZo4nOprf90s0nAgGn7
FE2TIGt3tc/lov+Xe/2X3Gq8k231usn0sbHWT8LmolHXFdM2bXjS+HORPmZ78u2O3pKfh60+gwvo
I7YC9EdZBcdaG0yGfhm2rYmao50DJOTJkQi0c55MHe6doiXfcB6OdmOYMVmOZQTd/5kMPG5/0/8R
xfxCH7/naHwQhraw9bD8Aqm/BziYJDQ6CHP8Pu6Mo4G7ivDP6Ydr+FYzGkqCktpwlsENqiBuLe3Z
lcYYl0395A31EJUddlrat24Sf7w7pGLkgaSybDhB56MxYQnVuvxACpLLQKg5bFLpoXAqP+o0YcbV
NvyQMydjY+n+DNqcsLr6zloYRjLzQRPjO3XOlfP7H3kuNMlzQT6ohm8F5Uy71DNoALtL94OoGMa2
wFYZHrG5wvx78tM6ydhBvM79FlBu5ddCt06ONHEUzd/GYn3Kmk5a9IJhAT8LVpyciF3GyLhdzUjR
qnNwompNzRB7aEOY6PGuFCviYmsWr3lqP03CeDJF24etLUzcqTy+3upg/shJz6Mwu3ui78GCx5SM
RwbKnD52Rdsnh/fU9g6M6DC9yfIIzuAt0JqzpuyDN+APUObRESIuKp/SN3X2qi2wuVU+V0MTm+XA
ysNG3vAkP4O1JyQq55VMj2uG6g5DesJOse2aheYSR8uL7+ZpzAhKxkpRb+jzIWtMJtaBdpb3ZNPG
0rB24o4YlHNZXOe+XLLGepp/N43hhsRQHWtVqZBME/3ITsG+GCEvcMXkV7/Ufmx3ZHNn7F/Rebpw
gYMjNPfc402dOot9QYx1Vo/TY77wCiTQehPl/hNp+2QObRwMy3dpdWfNH3jlzFtvVs8Tam8wTPvW
3D6zQCboZSQIbszO+/WlHrXYKjnVcnP845iCYFaSYmd7jIPK1kkMdZ9goeyRqvYdyYMqEBET1kQr
zHDD+TkzIM/A4nSuB6SBo9XKTuX6E5CzhaGN/TOu3tfGXz4NMQ/RtDgvgzPuex2wetbd3QFjv16b
obuRx+Ix3eax6yoWFpZf9kzYc2QwHcl8e6vz9WP1zRenxU3g9M7ZBkyzn5v6eeUpioCgHhoCmQZk
QHY5nAc38xiVVddeYqXwU9aEBvuPX3v/nMH5XE0XWcTmYWERMQls92Ba2Noa1GKUZL06DFl1VBXq
+KDUzmzd39WoeKX7U8VMLLf1Q715YaemN7+sD/lsk/bbXJkE85BWtyyo42pw9+SZFHht3VOXQvo2
DA0bnPQjR6sfjdGuEyGxdATZ/BCs4jwY9TEXzsW6b3fikcFn5P4fR+ex3LoNheEn4gwJ9q1I9WJZ
7t5gbF+bvYP16fMpuyQ3k9gSCZzz1/bTRvOFLvNQRuD++XQxczAtc+k2KU+spnpzVcbVrSzb19oc
rtJQEYFRdx+TJD1nxHfdm+m26Ce0fxVji/dioyWoxcVdhl3uIUiqcnToCNITrdk7ZnJq9WEvEwyb
jQfT7j6aio5yX1v3U3RlcMZRHXuPcd1vNVEHkYcMkoanfMUSUK200n7VpruXLMFjYDPzVcV0mfxp
M09yA6qbc5YhTFhI9Q45+B+yCNul7hdAH+mPS1swh/dKIBH0O7T2THqyy2kDMo5RNvyrM/2TLJKT
aRWvmj7c7GWa14PnaqERVfvFHZ9Mu99096Rmq3jX6CIG4l9jhmJGVzFMocFGbZjmrqAHp63vxqxh
PTsWWh1MD7onr2aDI3Kpk11WOJdBjl+LPz4D8LIRF8daFAcYn0OrsFzO3p/OFrcSi2WtulYinRou
ilKPoCzci+7qa8d0ODajT01Yf9OgnhzsQytzcN6AMG0Qr+RvSTgiW8+ABBcznfMIDYlzG9ZVZx7b
DqE3RuWDqexmXZjWvpnEpnazzbzYEJZZgG9tF+uYDazhI7LlPlHJIeaQKRpQRNsFzwa18GZEU+30
pdfmQUwy4PnYJNryh7k7ZNM/UcX9r81EOCbmQyTYH0Zn2AzJcEj1+Q+akXZbLz2TSgIThFgw+h7v
wrKiQviq1J7C2dssnshnerN0nbHaCx3skXf9uUDob3eLHXSj/KwbHQZrPEZJshEE8XKOds+ewTiI
4nNFCODBWvJ1XIDnjHe4UkbohaFG3ABVBVo5ibRLjn0XDrLYA399pzJbty0hXH6VPllC4oroxo0r
l6s/GK9jTHdbudS7aNL+GWlJtGBU3nxdUhuci1A10YudsQEWc75RcR06i8MgNzhnb16+Zse++hkg
CQAFWi/evhpZ0moaFwRvhgEYUVoH1xj2yAzZU7AalmplojYaRF6A8wFNlE4NfE5z9diEjIa3ZU7D
GD3BkIwc5jYNz+KrjozvqEJk6qtNNKn7E7xNHES2ql1Aq3Vrm8FUdZ6x9iZ/m0PrpkX1kDtkVPFy
nlw39+j+7kKVDj9xXdxwqV5SjHL4CZr9JGSYVm7YTd0rndV7Uh5bXtBYR1HWkJikpt3UN99tZd3d
QeYO75WOVAv/quguel+ePMzWproNHQVo0SL2sTMf/dR+1Irkc0Rk0/gQp6n3YEfvU0FTmKyPBb4M
8/6LOtYmGutjV1jAvB6WOO2Jeo2DVk87Y4jOGKPjlYMfuB6sm3D1MLZahl5P2zMON8E4+grDHTId
eLds06EUVsurwvxuFPLoRbW5Hov8L8m8Z4ew1bDExRG6QzpvhIcxlLWgDKoKRMyuf0mUzVYIbCCA
SuY3ByYG9LYNphT0UMj5CeszHnAMBEmZ4XqyIBgamf16tXdZfEiUxUXQzhmTZ8bjKP2ju9S/vZt+
mGV20I2SdxAy1vTwDzZvek8EdTNcm56Qc34hlOmUYn+kfQefMaSwInQqux7+Y6zyUIh3FxlaYdYB
5GOptjxpRnftjCpEHIu6oJd/+oh2bGpokkIaijeauuIXXvx1Eb/Vkb7NhbdLLJ4mj20qGbcgkgGW
T+SfubGSqQIwY5Et0m9hIkCraTo3Pax2zghbIW2si3oZRqOlQrMc40u3uOToT+CzqA4cmEwWNsMa
eGgNOT0MMe4e31HMYaVbnZsoUUD9Yj42szK3ntN1m4aOz8euxmeJnflniJwa7WUZBUYDQJjrevnl
4rQkn5t+u7wVaagj+jnroiWgRgd9khU8UByhIiiiNZnlf7lW3RukdxzOa3f8nuqRDB9nO5TLb5vS
TA6aERVbKOR9CxlEx0aPgwIZBcZFzm/DrRk1CNtJxWGuSB5tYMJB8sDMz9SI83JGfdBNYoc+bF9j
tsgyBqAyRz0l225r5/XGN9SF1MkVtuBVjPvQHqq17c48sPq1JMFF8r7Loj7fnfHEgYY9o7bp9Vf9
//VzOKsY3NUi+CUrwwwTU5lNgWuMXail+R6h0Co1ETNF6qvW5XYc6t/cxq+J8aYQzkrLk+dyZB1U
cXqy0+7dL50zLwfWPnMlyZlxK7wyWEHM6BCp5Bghr/ZYuLSfYdQ5dAnriIwzH9YpKcSutrDLshog
vN95NL0mnvlWRNaPbzTnMm3WYB+M+U6VhqA42U85Vn0AF00h+9StM+Fv0kGgYGv5voyQXLsNi22Q
t8WhEclpgoPBDfVYRld+qk05wV/Mo/WnpcYe3VSgVH+20DfKiB9Mk69NBM8G3ON2WTji7LWnbZaD
HwH++I58TTUHXeNLNT5X44+foox3wQm7nKgOEK2mIJ5ves+cIejL3y5xn6PGoZ/RfTAm9eKkaiOX
8TdSw8ZEUm4PyXrosR9DoH+SDwBDi88EmGG4exOSm1OV294odqbKiTJCrloaGUMdD3HdfyTRudST
bc/N0k39j1OpMzbRMI+YFe6UaWtXdrCU+tZF5HUvWl08FgrfPcCT7Pus3w7eC793WGXzbcCme093
mPuv3p3Xige56ZOj19YXtyqOVcSGViRP5RKd/X46qNE80kZxqpb5jG3WN2NGRaBuUEyVzUfL1UmY
qfg6R/PAxPegR8l68rxQr6E64ukJ9ys+t/RQ+9yX2vAQWzOhD/YZEY+B3NQ9TxZQt7Yc5eJ95yjC
IvoTfFybGp7WbtKfu9g4SuNPX/K9WJxjz1xdAwJmM4kfDakWq67mCHSHT16CX9/WGELTDQPSQz7v
e+cKwfkUi+Ism+6ckhtel/MV3wW088EHOPHoHp7vfKMU2wSOYPZB4cbahMLVtq3bXc3WfBEue9Id
KPVG97tUyU+dS8xwtlOCBpT7wjaony++c69+5mAKp7zfVOT8z/+XexqUNnnrLtG/7uxpL/OjkcZP
czLjhgKydcb83anyN5F5RoBK6pxLZKVKe/ITOsYSvph52dQ9NxhJjps7r4KCqVsxkaB3jI7EKOBY
ci6JU7F7VFsDqiTLqmNFCKFdZ6HX9YB18Eg0Y3TYsfl6rjw+p3ya/3Int2C5sCg0+mtJe4drtH8R
0oiVtnQkLcSfgkEnyfunEXyezNidipCWju7yLG3urViQxOvIt+YO59ndM1l+0HzYuZt7fzyyBKsX
29qmbafAgZeAxyOeufWd9mg20xU2eJ1axqPrfw4WbfFVFejKfnUS7242RyCTsTWYNqcr3kBKqfjD
0GfrV6MKuxR3wNjFrywz+wIDSdHeZJ99EWcWuPXjqJu8G/nBAEHpaIXT2znUZLuuUeEXmPcLWFdH
jhunjo8m6u3eO/SpwfrSyMvUINsaup1rli9Zah5m3BFzwqXi9xsNkapcsL+RDWHCB7f2SyPHh9bV
6gDcEDxa6hsI0sbQ/mGZCYBFsI4lv5NlXad0POnN20AdYpRFfInJVe/yA57JHRvlRdOX3TIUlwG/
mD+beJJp9rWc+9KBhgaCh6XBz6laiRh+U4DgoQN2zvKfgS4cYPFm38Mh9Gb3w5h3KCzmi6a+O0Ks
N9MYtq1QqOy1R10s+yYuXx01EWuCpw5Rr1auJwRPonEf3XbaYfBCF7bHsWNzUkacJ+QQtMvfkheE
uCybVk3ruqSsdmGYzY/V9MpFceCS+JPEjohaW3n6S+L5iEgRDs7sEHjT/MZ/8bi4WJzD1J/V2knF
azYN27g0dqmp9k6fbbQuC4yJWwI+22P6MLBAkewcJ3aYDd6jBfwxWbDw7VdaL2EifZ5o78z8src7
uYrksLaK5ItZbGV1WmAiwbVQ2daAZg2TYFZqYTlla7s2NjE6ah09rzGz5tUT1Y26/6I0/Re5yDYv
GJAdClxWNLUeRe5v4gjovBmvSN1OygbUsVHedORjlKa15uAL28TFij4QJLJop8ry3xSK2z6ucIs4
/6YKq32/hMDT+1SjhwufKDgyZV+LfcgyeMZWX8f+VRutdzNBEez1uD7JQXe1jSvaYCYQoor8jT5F
IZYwUOJftgLu73JrdObf0MtjC+SpaS8eeSOhqMerVcwHC7VEBdRWohldISO9jO5wUk792KbWOlbZ
Ka1Q6FfmvzsVQrnBdbSMt8kodxR1bUVlbpeuh6wnWI7YKGfq9vnoYx4s1yl668WODgTDHzr5Jafs
wgUHzUc8RV0yNNqPvmGgyy7X/NpvppXcAC0/aIRqV5ELkIYlBsDfWues/81UbNyoI8/zZcahN9mk
HdgLCowxxbRgrakUOYqGADVI404OFgNHGyG5I4sHzWmGvi5aLEjhPihBVGBCC+iYJDVfJ9pXVpDA
kMc8dvKjLvFw9w930VMbq8MseIWdZ4KgEGDpIkBxvPYBCkSxLe126zOR9mBtofTOAlagU2dzPmfZ
V9P96U0ZmN6fSRiSxblkyupLTOxAY2eEi5EecNl9xqO/JycZ/isdH4rOfK80h5EORQM9PSQHzKcq
9QLXORaa2NjdtcetYen/yEK6dLm1Hmb3r8IIQZU5KTNQaeRYlK06jda3lWK8z6Z1SkLDLOXKjP/6
ekY3reBC/9jhcPC2P0mKu1W6J4diSq1TYdE1AGDxOWcY9xCDs/bHpcnkS94Vhq0TXrMdGC8hxBx5
KusOkvXKc9ttlu6lHocIGjjAebFscZy7d9UWodZi08tF/wytR5N7Ml2G3Px2Wq7lpa8ujMEfESrs
maOAEwELrGcxwTpN/5Xb7dXS7hbMJrA9lzwN+e2UCNjsuGEscqqgJ3vLt5EA5nzUelwEUZ9iY+wf
J5W9FHR+9O0drc7IiUDuYiTESXXxW8P/mgrXh7moTxEf6CjQZeNzR9ACpMFh1roeXudbJL/r5IOL
KbDuBJ7twflbCJ84W/qFn2vp561dxPcPdX6bEuMzBnm/Z0//2o2Ojta9h2Tggo8jpilVf5U6Tnsh
ro3dfCSG92n3r8DW+lrMcitTfVPY8Rug22fsPUxl9qfm+aUstqjcsGo8+2byQTzZRrAI1ckTSWEf
+liefKMLZWV8qcT/18maU+xYcg60ufzVdHNXkr9lu63Y6oqwIodQnsCP/DzE2s7NVhAjkZ0iyTRW
avMFG1py86ZZfrb3RzIr1EuSmB7SQnhCZGQz8LBI1l7uVY+q1ooQVmMO6YGIkegIHQNm5x3t2rP2
olbkc5BFtVaZeUTVJAWvQszrSwrnrsRRGDaWIlHDZbdHQk7QhEnsR+YqrPV5Ex1n3W7Q/KsmmAwT
g4lmzWh5vS9E8l/LnEHh+PWnK/jyCuOOaIvqVjRVtpHu/DXaBr4/HyJQmzA3l5NrrZI5eukbh7/T
elrpRXNeJqffNhYIaJeSuTia0zHutX5va6h/QBhIdL9HO6mGYFJQu+toQHuTyZgHUQk/4TBQDnay
QTjAf6aAyEIU+TDM3s0bEhcUtTCZxJq1FLgP495IVulciq0XLycH4JCDFrtuXw3boXO+UON3DJw0
T7kRuc0WerrOjYAGy2+y94kzMPgNLFoCcTwX8E0rERlXkfmPgw12bTu7jFTWgHBe1DcOrLrXP3ll
v6t1/hdgquRAbxyvDSdV7gl3+vLASVzgkLSTV02DOZ3vJqDePPltf+ettOeceXJp3BD6uwMgUt8I
G+GQhiDOBagORiurvPCfRtnOZxpJM1n1tY1pRS3f2cQL0y7xtF4KVtvRIEol9grIvqnFJahfLeHt
+Xr+EVLlYMXU9qWTP46EQg3u/AhMhiPDJfLKtMkBQOQBuJrVG1vkJ7cCF4PVfB5RPNrZ9JZ04A0p
csRgsnJUcl6/L5LFh4itmQd957sdFudaFBWwl2wrkvfdKCBgJlw4jhIiw+jaPHo6Q2sXd/9kyrke
s0IHi5U/Gyr7pUXinOYdfkV164X+pHvVP2uZ77cQsBh1JTjKhvrHMTXU9GW8x2sQ1q31KT0sGZaN
Id5PIamSxkI4XPwaiWMgE8S50FUMBlUJomwVza1sHcyLODscf9mLeEY/QKLzfkqah9qJzwjd/y2W
IQ5spd98rj/UNuq03OPFNsQVmdznHduq7lMJJdPAT20QNyQ1GBZO3Nk1CG+F6hhbT66Iux2CMR7j
IE7HT0Mtbx3mtGlZvrK7FbyR/aYRFqlBUl6qKjuLhGOOJSZZDUVCZFC/ZGgsow3BiQoNAoGGtTGl
G5GSR2FwKgcWr9YqVdWXkuJp4eUuebH5FomkUoKXMSaGed+bYMEjMn6oQLRvpUUkx+Tov0XHQzN3
OGC4K1/9unNXyMhQCaYky7DvrpUAuc5o6jRmXGmI7X+TEpVNM7oNYW0Yv9yGXK0CfQWdX7uumH4B
AMZd2wnMWenwSB31DqKb7Sjba4gTCVgbw+4OcVq5BjaPLITImQO811dueeuav8Dvh3JlnJg+LQ2e
Ip/PsVtggTdIK5GDzuR9p/RHYZxsIpjCpRxGDgWB55fF2U05cM1M20DubOJB53bO7WNqR2or5/q5
mvIvz8fsWtTGNqcBdJVOzJdDdDEbFjhKQlcjISlBDddbm82wcaR8WWbnQZXOT9n7XFJVmOfldWjr
z0Yhfaw0WEhaPsMkZcUR4qlGUUaiTmmFY2cTaB1LDVF/dWwKeUGSf2oncUxbY2davQuy/EEDgb7J
Z+eJALqXwUN3gfLnVs79T9bHD3NPwnrqntMUhKdAAn83c1mxcW0ToBAh8m1S9w/KsD67InpbxuHV
aMQbsD5jqG4eIUo3utKAmP1/Au3tPh67KZwFKG+SGv1u8dDH58vWjPVfGK1Vat/DHXFw43/Gz2mv
5ipq8PeTQDh1EUkBKXMNh6W0+n1XE/mOXPCDJczEeYQZ0DGbrzqDe9JTzklIscs0Frc0vU+HC+pT
XZDWl7Y8HKndPpSZV2x8CMhElHqYudw4GgID3UsvKJajlVtQIipUgjzbtvz7LfBO0k66wlP5ISLc
+guRHrbqCsTKClORO7ibqG2KYK7MZt3G457n1Aog6J8a4aF7AEu18RCts4EHsJIzr7TC74MhO5qj
KwfRoUvFt9dlpynDHkAmEWlIuT+sZVPKTVwjg9YF2h0xHRNhPhhe/bfoYPOzy5xKVidKdgJc9uQj
nzv+fOigPTpzL2tn3mkDZe2uTdKX2ZCBeifTlpRkqyYFVtdKdZxJtAwTu3sYHXUwCYdaeOPR4mzJ
xEggIIdjYTrFmhQzHDxpS3curLitebe0Ev9oeqMCo/e5vVONMVTeoSeogp1yuKOrgXN2zhSHU0ka
ELhrsu5t9xbHnDMkSexSn2eyg/GRCH6QTDEbTsM67vyPTrPfXEJtZCLPOJp2bqI/+kVysDVIhkrL
YXMpWscYZtxoZzuOxJauhplFtXbyMFcVEQ0CRKcBDMJ0hEgq+WyQXyws3FoUfesDsUOT4MQC3UaH
KfZM4RCxU588KY+Ykdwt38sCUBTD2rrnVy/uGt25H8BqcmBYtsPUmfG5z0O6oZrWDOKoU7vOJ9cT
3057ivSBDbxGmDO46MTsUbpXtOHurpX1PRv5UQjL2Bil8+Knno5nmgi1RTlkEwo8LlVCaOVQNnqo
CitF/M1u7+pLTdSJ/PN7QnuYzQPUttkmNYCAcX0ia2zuCQmAoLXNSTO2GieZurX1yPIcvaagOHXq
fNYTeL+FKJ82xI2FWCEw8+Jc5tkrOiq+mnuHXkwChnboDbYjE5lAzJmPDHyZ1U652vPiievgWq90
zKxsaH9v0d9ngqyyKiFOWLhnfSZaX5Wbsc3Wy9CHc0Hns5Pe1ev3umuTmMemql+IVzjULd5IO9Y/
VT3uKZjfm4373ozzB+VXOpkqPaS8Zr0UGbGkViqMXUIHIGqU6J4cO0OJGOaw9kZBjIlfnwbyz53I
bVZtW33ANVwGsOFVBM1H+p/+lMUMiLVjvyxV99QxFVhlt9dcQj66ZXffPdMqedZi7YJ/+yWOnbP0
NdZ7dbRi8yTaB3cGgGLLuYcNBEZdHQ2NCJXB3mI0XVY1oG3QEXNEXN/GaqezU+KkS4rpK6qe/LR9
IWN8B5F76PPlVlYdmw5xG5kRDo4G4AsaVyhgS8asPnZfeKbaYESJKrCjAXfJ62LP715XjjgJ7T+7
IZQ2YgfTwVyhJQhUTh02fCvg0Y6OaBybu0j7ZcijhzmTxxiasCeZZZ7ZiCIELr148ez8XzbHG6kX
FwWMoPqvTM1ni9CoNPPeQIQeVO6jWoVyUd2u778ggFdJrTPHsS1ay0nm1XDPi/yuAHJDTWgP4HTI
ZdM3ZB9BXn7OLgFYs/FiQ7sn+niqGnVoXdw+hIGtyh4xB9JqHGOnqtO/pY5MxuMStkz13FcOkcqk
NpJTEI0MpH73BwjdDvYegeVK+vZGuF1YLcjPptw9ahymNdZmNFyXaMiP85icCr/cxrQRt1XncNxa
JLrI4lXW/ZupOYcceQ2Gujey9UjctB9GBhbgXI931WM8KHokS2VH7mPbxqG0dO7+fra3ymadLdU2
NgEE2vRNonKgovEQ+yoEMAGHrQNN1ttl9Egk/KQ26obpbIfh9FPeJUfI5PcpGIBL+K+vTc8WCj+r
/NIB04waETECnc5YCNVwTEwOqJiLaJcPPClzxL8/hvSNhtoSgYmU72519blxoygKLYvcBPVT4Vdl
BK4Rsi/J26CsLwAagOFJfTM1POEtDclE3mLdu3Wut65c99rk7j/MF8R8zId60H4ZW9e9BFUzvNtI
quDQq03h+HzhZWjLKSg4hnH2LmtnsfYO8CGrJXMTUqco+xMZvu05QVsKjLFk48F1Gvizcnxp2KO4
yzeGM2wNLz1ICx+Xq10thMO5BiecDWg29aehNO+IMCcE6RMGleKbFDyCADSbfgw5npTFsFnN3lnB
6A+V/khuJ05XK4M2Xk4uJz3ceRY2KU88P8R2yMkXoeyHWEUGsaUbP1XjbC1tYVLUlnccISC1Yqe1
2glX9OOIECLCVQYZO8chAZ87hMTH2VXBnLZv0YR4TC9YPoY/k3kgcCbkA01T7OJang3EZPjGjpVf
HVufwFZZKHZxw3bhLfo0VBlxxhlljitXuDtbGjvPxIZMH44im1cFRpsH2oQxDSqEdK6Wp7nEcVoL
jRyj8jiRUxmKWb3jjXuL854jZ2LCoWZ4q+Vci/c8/Fik+4bJvCZasXGI2COXf+WaKN0NcEZSm7M1
2PprQRHgynHtYPSJfiiyWazzWIgjW+uzbVgY9dGfcfNgaMqCGMt/4C+I56vh0yqr6+jOaLnbVe+J
CzLVbiVKsvfipn2sE/9zLvwpGFL5nDjE6tSsAn58ru8h5TjgdxzfL4DSoXTtleHOh26wbowNLO8a
x6q28ovxUpENiLXONcifRXw5auPRQjPGrh5W8GUj3YiV841t4Z7dyl01FQvTXYWsj39Uek968UIw
BG+Zh5O/PZYtyz70pY7CK87eMN+QlASgTTIb2UYV21KhV7th6Y6eo5581HCkBwmw7Lm9Au2kxAbF
bGzkdk3MU2Cxjs9t6xfVDcCzWikkoHOcHst4RofJVwRigGGwtt+kRhpuRV6YMlyis+IXhtXAUOZ6
MOYPg1kX5SUnm+nj3Bkabd4jPdwmCN1XhRPjlLHJ1YmV/xjhMHEy7a1Oixv5ySODpnik7pb8B+dn
NpL90MK3uQTEQnSPjGKoP+LRybee1677ur+HNsK7TNR4ZloSFO4vKeecXpwyFrdpnWWHvmRaEJ9w
k+uuTUEH/xGwH3LBBDLXT1NDiB6tVhTc39O13bO0U+DrVntYyC9a+ehTQhlPVaiL/s12zYelR50j
Xevq1z6LuKMxnaXyYEMw98h1Q2V4G39sOH8XtkLnSRfxEwV+UJttR9SIQ5LhrNdMaJP17UzczGiS
Q/JBeLAXnUnYahNmxepGKzWKbOOnBaU3vXGNUxV2FNvShB+9bTBtZ9alpotlq0nvls9ltGYUvca5
t9V7pFfQBv+iBvsZyfrPrZZ5RDK0WdAWMVE1lMOPQ/IobfuCCH+bxgnTAzow0LVua2XMNL1ib0tq
wmAUPZB9Mb9Uwv+l34NdANCpQ2tUxTC4kc1PVhH2hVDdjnAYk1NX2Y8OsG1QZWAnrtUju4if8Yn9
xHm+aYkUU7X1JAr3xWfJWAkzJgyq3RFX++DeCVtWTE7n/MPXjOfZNb973bvM2sRoKY8LrjJQEazv
IyYNp6ZgQYJqK5sc4VTQdj0O4zXp7WdoPsiDGLdA4fw60wXjBWHCLb6N2o0BmWX67kz2Y1OZZ5mk
e2yYYemgMoQnsoYR2T4/g268DYmxyzmoI3UnNbqWxY0PRzAsy44Dz9bWuWdt9NEh64CgoHleOJdQ
opThUhjP9YLdwJXdFqM+870MY5t1gphhfWw/UILgd48/DEsGXuft4D2trRAARkMUneLF4EKMgLQh
Y95KrsLEiEnpmw+5LEDvxc21Kh4gnaWnZXaZvOUcV/dcVuehs9Spb1Ba+RQLVDDieT/9trzL5ZKi
qzJ0bk/9rTO5CsAe3u2FvguhtAu7ZCh1Del8roIJP/as34pRBAAc1V3HFGjjEI5caik6YRkPZy8x
T9bo71BChIZFDJJwr9LSeLMdjuYM9hzYfRjAbJAXJqDfCbgAi4Wxk2jO4qrfeOYtRvAfDcSGCMEs
K13zFY/uAzBZesJNVh39zv9nT+YOi/0BDyDeQ5lhmUCB5/yYzbydJOnkdLTvxyZlJMiuhKT8Ivzg
mtfk+2ChlMSSsgQqad962d0W+d4k8Bvp9Bbl481o03LjCtIzKCa8pt20FhE6u8xkboYFH3X96LRT
AZ6WkStTeYFFsKgoUKrjJQjlXC7hvOCc0v3HdinXGGXWk+Xy3Y3JupiHJ9PByFeXLXySRX2R2RV/
ptPfusiQ20ZOTBKIYbFiFUimkeUDczWojheHmdW5RXPzoyeET4HTsaX7sbNCeb2xzfIUed13JFCU
+V4VdJFbsIbw+0N9+4P6aHojJ0BSrFncd7phUBmFwrEuik8sYAyLDfMkT+gj6PeNTyIgQOXQ36cP
E97MUzvX8I93Fe5Yio3loFbx7bXwy08Neayu+v3YNSdfJV+gZvukakFEILtoI45DUxu3c1dfSLne
+0S/t7F9Q35pBDoGYBh4Td+APfw2SDEoKKqYYOttbxo7C/1kCdWptZC+lT8ZhIx0X/20LwW+FWPh
pY1oNolGwn6GvWNXb/kc3zND0NLPVKVkEP6AxuhTyBhO3XbTNN5OrzdWhL1W/BgSvSC/kb0DFKKK
uLWJuCIGdh419AtEWPbW0zSiFVfFJZKEqaXtM0wf2jqSe3HWGhI39TQ/Lqb9hNJ2q7nZ3o1A+tFS
9zwrfj6f5pHBzE7MX+y8CIbHh16ykHLSb1IeVb1FGXif8FK79wMxc+vyjeOgsLWKaTVe6+XCZUBb
i9cOGgnoKT8QrQhA4g7ORg/r+dJ8UddVBNRF3AOCOy64uuSTg6QWTLfku6x8iFNYAfLYCo7zpOx+
bc5laAjxIYz+rxlJwy3kM/vbTi32wxKbZw23EjH6Gjc8o5aGVycwyuG9vS+mKG7enBIFEDarj2QA
ZjHyp5oyn5VTweG4wwoR2YosYpOtpUsje5tEOJ8mLZAFdiRTc9+qmYYUEvC+u0qtx2QMcym5e4eE
EgutwgaPfIdswfU4kSA24PaNG+RZ8XchkBmmGhn8sICKu9hw9SByDWa+eu2a6dpOoEHmRUFPo/qz
lU9icAsLlnHZ6nV6GiOMQnU6n/I5Xy+WZCvjBm4zvuRRnFVv7S1SY0RMMU+SkQEpm+yoNJSCs8Vo
aFKkAi7mfTW4hHprOCIxqlGP9ITTx3eld1n2q5iUZW+0n4rBvxk1x3AUIwmmmkC70lPiMye0JxKp
Tjb+v2psD72JpUBvUN78A8sONB2EOzM+WdTRZWnYeMhjvk1C/ZRt1WIqJn/CjrR3b3Keinpk9Ons
9TzkGxy/SOdKBOyps/UZOlf4zlmkBvcfDuCXapGvhdH9zBJMDITlIPqf1gQItrJ4u8DQSzySYkBm
kSQOBRti/CvLD23BmOB5TyUbSOln22Kxj+b4VLjcUwbq8SFhJXZ948S/cJOKGR7ZytXR/+PovJob
1dYg+ouoIodXCVCwohVszwvlSM5hA7/+LM7bqbpzxx4Jduive7X412f2k9wnjiKIJBsjHnkOY/k9
SZXzMFrABoa/iDYcVmm73BuBca/s6nuUCaRXy/hL49MNA/gLUfSSC4KWprO1uWz0CbnFhtlM2Wl+
VKhPoBy/pGz3qXYyiPkXzgsUofcCXUHtrJ8glk4FH3Izjnsz0d/GilW7SXdUkB8MC4kI5mkbyhcr
RIeQ8mMsGLhyjJ3t1oWczAOIwBU3rjw/TAbrdEpu9A75XnqZojO9WK6C4zHhDOUIkhjBFh7SsuSR
g7TWGlbMpKz51U8ZXMqJ0WOJKTXHFTtnW+I6RMpGvyVuL6JhRweoG7bc0vA1DwpL1lx7qpzdncUk
wyKncHObScZliMpFy8ySUfBaa7p1H+pXGQm/yBIPv5YIP4cluFU+VI4nQEt4z43Xmj6VDrIiD8xT
HpP9vBgJpXyTmvjwtTE89PGnkTAZ5rWqKS1Ae+0raWuNOTuevSmN4qjP+tHWfwhj8M0nq4xw66Rx
g7GKVWM9E2YHpoFtLvyxZ2cNx+o+ZeYno3g7zBYvPWxJGli2Q2v5XUPK3O6Q5NQvptBuMnabFJVD
Dr+KhXLuCDfKGXN39wH1aWIHLCVrm8YGQk3K1STYpBrPe8G5SlY/TXYZanj41SIShwwyUJWe8CuO
RVH5U/RJV6lvWJY/gqldbN4Y3aEO5F6L7pfrTDItZ4GUrka0cHtQ12pPtLfO9xIDiqxpdjVj/nLB
+oYG+pK0GyjfapDYevuQ4FpX8Pd1DmoJGC/BsJ0ZHo4V7gacjariq9DwN4SkMRGMwsDHjUcYNdw0
Ur9X5Q+jwCAwa6sSmFKs4Y1sPyTtAPGUrx8GwHCfCMIMLIYEyDl+7soJbiwJUaB5sLVZndniW6Xd
1FA4Yaye+vJJNfc6s4PKjaJD2+g4a7WfemLbY1upcgR5iQs3g9zppvaHTNwKsZXJtTliO/e7ZKxd
QwJiUQSoOWw7VrZJhtQrw28bfSKFQmLMr1Rc+LLEvWHBp5t7kCQnWy98E7OCE4X/bDk8TIX2p8Mk
nxxYzpJSrHu1d8M+BF6q3I28REVuHCoYLBxP/fBDIeIqxI8kD5lH4R7rejf5eY1wP6okcxu6EriE
hqQDqz2Y4YNm2xcjn7hApQRKy5+mmc7teJTA7xhD8KKakjfGNOcCIouZ4Y5Ts2nZe3Vx476QaF/2
GDHa2o5oc5XQOYUpnoBzZ2gdABrOs6ImjonInfNiM8ydFx2opcui6nfIkYw/KDLFJ6nO1QGuZaeL
VRpCbJQU1yZuVM5UVofWdu4+Owfh03B2QlzjDsIbrqb0HJFRXvT1ufYV3iK7zQ8tEVH9FEYw/uoB
w31nXQlcU5Jw7ur9IN9V3kUldnXJZ8FBpf9MQrjHyltT7qSINh5xFRwvwsvYPor01OkqFQrL3OIb
A9OqYhxkK164DA1s3VM6DG7GM2E6QyLSGLOtKhjT090JQsaNe301Wsulk3KJsvPbUPeoLkWYrfAO
yisZ9lnIAEPFoWUP3/oAWiwlqbzwpaNpo/Xyq15QemAdZMvnlrTQ65Xoa27eKi5E4YxUxxlyjPh0
E/BYBNckrFb1zmaD0PDwC81f9E8l/4e5LqsP1fRZYKOuiHjN4Z/9L6hIesangtspUrCNa1FhE4QY
AFBobcCmMD1r/BfLILfPTFfM0Wc6jXJGkG4jmg1wx7A+WgtCHEhYAsMM1KHJJdGo/Ny+t9ndbNwB
/7EJoof4N/eEgxH+6uT+NMrJ2tkdJCwwzslWZ68Lxz0lvCtJJyOfFvuSnaLLHWoMGjTH0Wvo6Wk0
h3WCFA+ZxFAj4sMwFkHTqyP2es6flPZxiNtRZeMEP6ZBd156oo95M9rSOkfDsJlfT8bi8qXgb84P
urPjnUN4XnVyjRBINkA135wIPKuabnH57tsY/rOZ/paJtO7K5reXDGiEMh6Ase7w8JEfz3PlddGs
KfmIuIxFEZyGWXzpIWD7Elop5WFkiBdEfZY8HBUDkmElF+b5IAWg2IDRiImBlKO1pV/OzZELOPa5
WszdzfbpRoumawdvqNTueoUrjyDCUKxm9ZaBrmzkxINgTegf8mRv7qNWW8tNd7E4STKFeCsNDgXM
RIso3uXy2ZbhO9474xIOR1Splcq1WJoprpn/jUykel06puXHoJCEwBpIKCs34rcWnSyvALiZ1Ysx
3KRE8mxskFAI3S629iaWRhhmXJtcYbzLBAkwooAxWuVc0tBa9HKbm++gwa2AMHLjFiidRfnRSW8t
fhElbj1LmjHTEB+E5RtSRyUvbxn7RXiroqchv8vmSxOcBkHVlXWaYDp3pPYqpmBuAspPmfacV02L
+R3qsP5NEexuGXHAy2SAd8+riaFAumsHx1dT3l0qcXJirwaVPJl+7+eN7ryWlCDBHMUZWe5UAtyD
/q3UI9nXk56ABtpQbHN05g9BoBULkheUoxuDtO65gCN4FsZpwukYPyx7lyk3u3wHa2qYpicgP5r2
NgluJg+gkexmxceugwyBqcNW3mUBn2yDv4S56n6xHy4eXxFuhxE6Ln1Yj9g5mQzUCbM4feaOvY/s
ZiS+hp9XY+QZk+XtXgNamAyMpE52iGpKJryW6hieUEF8NhCWT/zoULGhgoxY9upVBm2Bjj00O8NX
kunVKXsJ7jPoMVNj87JD+x0ZQVCtwPuDHBnEJJex5RKsdR6zNlxlEJnKgEgndfu+Sfe1IK9Sncu8
5N5+Y1K/B6V/yWHYRKW8HuN5DcsHQaFaRcw/ldT5l2PItDgBg4JEwLdcfToyCATCq1CYwPfQws+M
G9+gxw+pQGueNbyqdtdSoDVLF6Efwvou2vNIGjLbFFnh22r2HUc8qFJXvowSkSzwf0x21xreyyDT
NjBz/00U4lCmZvqpnG4K/PUWtnlnwKyYKIcuT/9sUhKtIa4c7PYSZTcN6XW2eaZRyrZgTiZQx8Ps
0FRiP7S0qkgIc0s/tz51sIlr4lLjmr9n18k/ui27cmxCxOIQVE0/sya/DsXwnO34qLTzxpQQ1Iaa
VbfUvkKLJDCcrzk3VroE7poxOxEV2MEB64tFP44IZuxpiUqM7jeUqks/eQoyRfcxMus1nVWsggGg
cJFByrTLarIkj6DivDS53VSftXEEDnddLsvwa7bBlHgU+lATuZ1z8UkdIrYTPM9t4UnWsE8pKAi7
/M2Wp7VQqKTcJu3A8ipWTdFf2gSANW/rEQogSlouo/zJbovbk4Hpey7h99eMTS9DVdV/h+pl5pRt
5cd5Vjcmoo49HSSl8ob6HMKMERKVWGQbmF0PiYyVtT1lhJuoMQhUULJ7KfBLLoXppB1wsm5FdSYm
z4pC71SHOWrGHhAb4oaT3B2ojao7pLhUviim2Axd/QBzdjBwgSktRn/rQT4yW3orueKqODAMTbpW
jvTUe4ZaHMgCNdqm4MAKcSGY8qNLzqWsRo6IOVwSSvXGcK1ZQLwmHlbQLZyYgItgYgtcDsevzFHB
AixEoGijxWCmGn2Hhu/RSEQj5F+PKBm17zIniJGIE14xJ9rr0nvB7KaRvsVY7FT5xwQYnAkKHFAk
muo4VE+o+bzcHPP1YC9i86AyKCZau5kEsHQU98FmzUS/jMXasVS/WDjwgLML/lg0JxAyJr/WMbv1
3TYfSVw30Y6eqnuiB69xd+yr2VfDH1YgHOBELgQ2wJlblcnJO2OfkQ6Gru9y8Dn9cO3YJORb0Vg7
3n3Z/pY5DObde9s8S4PvLtulzSMiGx9z/kwCkjx1eA9w/2Z4cLFIeKkh8I73f8WCRhARRyjovpxu
MTxlIMebTIeQ6jncy82qQm8d6F0w3VojaSU+CHBG6r4JFbYiaUdkaayQSfF669XbFD3nkJqgkLtI
xL0wv1Amxo/QvJqvGQjnue9wI8y46u19yw0mJtUWa+Qa01dyc3w9mReQnxwGPikx0hxJg5LivI6G
OyWPTt0NxcRF/SqVXE8VaQP61MNLZUndMY/w8uZc3Q3tLeCjxgdaFF+2dbVh+dV4GIryPDIWdLJn
W3+06uy2Jk/2+C6SfYujqqIUjmEDv830i4ucXIHBCmJtlz3XTpotPcrLnYtTC0XNbGeNOwmszUKs
DJBpjGTXsgNxijRWPLV+BYS4m5j2ESClypGE3kznj7pdOlACqfQTXOZc9blKwSGwy5fUrjZVY24C
0vqyJh8xQt7ZJaDHScyJJ3xf8U70mpemwbqvUVuiZl0Qx1pGV2RKXO6h+HmPVm9cY2DcCu4f2xi3
OS94yQo0A7qbJZW6GH1PWm0LeeWAwXAnBxy7qvRJ/ugWUxQItXc9zoNbTw44GIRfQFkRHVpR060o
WvXijDAGb1ulomCapFp57cvhR+a4y+aCv6gNdgDr3Q7zTzKTLUiVLTzj3ZA7V9n5ZyTxOaI6IRTS
tjIgjDcccTWwBezwk55z95ThzMpuTrhQS2LIUgFpxMmtQ/uWWKyNMVSWINmQGD8QTt2ZhK3XFvar
8xwwDVYKXC0cu8w4eR9MC4nD4rZQT/RjMK4KV52dQSfM0t8aGG3Rwzkc4mOqjo8ZY1VqFbRu1meV
rGXeZxu91z6lhLxP8WyM+Z5lv00RYtYSb6OgnVjRTiHp8FpLXuQoPAvR7jrD+QtH5y1iRttUMt/J
sn1cwKl5Yfra5iyXhvzD/OS3UwbXNhWvnwR1f9Uewj64ohrrYY0N4FmU2AudRR21ObS1M+hva940
ae/hwHBtPX8Zhv5UdvWzmRpkp0OqgzrGMuDAGzRMH/y8JA1AW4q9ja4UldMtQkmj8X1jWfK1pyZ0
5uDaygO6r/ZKqmYDgg0J+73KL4PJ2N/Zs2Djd5oUD3y5bwrh6eOwZz35SmN+RxZeyHG/sAzOaUQW
k2y9rvGkoz0k/B42R5RsKLa9rR9TZUkVHhXhDKScVM7IcO6kr4hUFO+V9TFjae/UT05AGT0MVv4z
YbjNEsmNxuzRsZhESvIBoJNFkEyJHFqrGLacyV+ZqG/YhRA4fjuDkbGVcZGMuYsZ5r6fn/D0/r/w
TCPZQyU9RYGH3/c35KMXvbwGObwl3Q4/hLO1ZSSbhpxVCUalLBTA8t9Ddh8pORvM2ldJtInAxLJI
DYHORMs2j+NUnpsyc5PaJEpI4LZs9nPbwsrU4VRSpTF2z4H4WCEHJzFXnoKWyp50AETsWg36WhVd
VCQNO5d+kTKfRvpInJ+4fiQSsNPAoOkMGrYiOOu2rj6fp8ogx9ZBLAJIp8uflcZ+luJVNxTSA7zt
M5hPA/mgwJxhTY1bWoVfW7SqOMmWHcQVM/WB6XCIY3WfdiTrxBUzw06PHkuNB52TfLQx57PUw5B0
jjMM5T2lM817LEMU6Edq4DqwDYv4Ex6kuPfq1MHHo17DtN6qSPMLhigYuBlN0CrICKvSXticHnpt
b8QMYrMIzpXDjZoTmh63dN9wFODSD+7XUDg2FbZvstNJdCdSJfcHKp+XrPKyzKTUZI5Jju/THos7
NUN1GXpGSEgGTtqxzwyS8qnnVBr4zdDHMNP2BtALNFtaq8f8ivL1mgYdeQHrbmbLIsTMk59YY2Br
jb2Brqc65kaZ5Q85WCAzBhNAGC1Sxy0/wcuX8it0El7mvFeuspHt5b7/TecWvNHwlRLr4zQNyiga
sTWMOZzhVEvN1dBP38AEr87YnwS/5TqfM8wb5D4XhzwHemlesBGwcPLc8BurmfgQ0uyOI649F9MU
nKO6fNg6Jd4KXUVWwVaf17cMEBbVR92/XoO/QEsdS0QRYNVLtfsUhT/k3p5SlP4CA3kiQ/yOc8TZ
W2H1rAWEmJgCOs+qOb8mlfIl+pFrgcZwqJxE72m1ILws5haweWpsYKu9TACyA77qqumxRBtNxc29
zDaOQfwgHs9mlLRkQ6QfTUsv1N7EmzkeGW4Frzm3F7flg10LvawIeITgVlL9oQoW30mQXYXrqWyc
ie4HY3FNa0VAaw7/ZsqhaXpUnJ6AEQtE3ap/VUqmLcw03CuDOFmk6tEtLSIdsimth1Jx8KdXNxnF
elGFLiqAtjWgSR4Vw/gI42ljp8GlLzI/nMt918jbSGX1LdS7zZFSKbSNOlonUv2WqyhwbMwUr7j+
2mjI97RzrXRR/5WydQtD9RmCeCVOH0GbJjZqyNI+aop7y6F3lWtgI8jraUK8yUkKvCedHpocP/JG
N92iN9nKQRPGwBtSpX8hKwrctMPHaG2KpW48tcKzYeMucizYtgxMS5mZoJFLiOIWiY/0MNBxG0/i
YDbDnoHNFsB1uUny+S0uSYcDwSf5ZrlDyC1ykHyMaa8iQ3oMKvzHxqct6guBMk9LnIs8IhqNGEKA
qwfp+IEj5VCVLQoMZl4kSS2yqHNrnrQlHLOuuRoKF1Iyl2TQZeugjjNDR9Uf6dFuFqwUSxx6yEMg
uZN8eS31DlqCrGzrxtwKnWkDGgX7WV3xCff5zQ7D6xBjNWlU+6Vss68oRjhu6WfqkQCi+Y9ZyD+9
pmlZ9G6nVW+DQQlWpKGlpcat1ObbNDIqg7dBN4WZHqSAFYeOXMfUFM5fwRtNZVdNmRCl07OZ588h
i46iCz8XtJImxkOD/En1xi4s58rX+t4PVKSAmmlvIXstbWJarJwqNfxDdwXHNe4MWd+1WEeJguau
GLVq1XYcKXIOOlEvIQXKp1SxWYXULWwZogt4zyr2V7pvm8beJUxqc2ncQ7TaNlHrwk/BGNhxRmWK
gIXpIEngADLzUdsMH9SUUNNyjam4xOWTdZ7UlKtXvGmBC1AmSBWHyZi22AWTsqevw7erDPY64CQH
nCPDH6Y+cvo6q4FfVBAxhu86prVObPEkeGNF5o/djzrCVWZna6gPQ8PZFzci+sURq/mG4qRdaatn
0+jusJ9245Bf6Xl2DU6ZYZ/7vSJdsvo3xl42GLjAyeZsFrxwFBRXe8rOrExbNe5fRhniBuMYqbSe
fSptm/Jmze8GYRG5v8uy5FNN8M+WlsZC61WoF4DFp1ADSDAkL4JJn0hIV3IlwIS/nifrWmupF5k5
cD0qI01sDzMOocSu9tY0Yf0t145zWChW1Ea75H7cziJswDmwcOKNKlkcDCmGqHv2dx0bn3kI4y91
kemkeq8RHsOE0zpfxUSTUQdujeFDFGmeNXHA4mUsQB0mDjMzh98HsUR/nUPuSUz2SudNZjzcoBkg
QvM8U0Uu6/suCI6FrVH7BRmFXbQ3q42sEm8IfvPe8cdM92tN2tDftKXcwisswtq6imhETN1BB09R
7pa7UckuyXmfL+1Pq8rPTMKH1U82FtyjbFEyQkYQXlQwp9swQJtOJ17s6o+z465RHmpebGmwWLUm
5ofIq7P00IB9l9PPtHhWrbKWJv1DGw8TScyQ4JNBO3uK65+GpHUhOELXCJF4i9hafMh1JGruMcDw
Ar9sLFNyz+ila4klJDBDSo17ILIxNMZKhdWVNf2rirlKVsCfZ+PemSLSE+NakXJubQ1GAgzPAJxs
7WDnHzaKOk1AKKCFB3khzK7KnG1krnXaQitbakQygU5SckYDgliCxhg55Rat6i9Wm0awgJOhmACv
dN/m8FAWrde8LVJTb1PnSE9caDgHJ5e3miytZyd6aTj3l8RIQsq/gv67Vl5SYbgt1j1j/qabch3K
yo9Ke/0qmZEMma7VAZPlDsoIVRWTEn4pafSqGMIr4uQQz/UxB1xrjOz1TbArnNyzQ4Le8R+Wq0RU
V3NovqWQSinhcBpIGOWSU0GaojvixbYpOiavRU5wZ1faZsC5N1o3HdoQ/AI8khaW9NEPcGw5lP9g
o/ct3mIrBTtUffbRW27TpIO+omDqVUFERMupZVqIAsjgA0dUnXweVBxcAAdJl/dhRN57YFmdpn8s
YS47+KFuw4PMiLqfz6H27sieJN4AnjLqA18rh/7YWs86GT8L06LDsiJvrT2VyfxjddxDUQbgIB9F
DlCJiZWaXxXxZ+JXCbnKAMkkX714G5z26BBcsKabzEmrXL7WstwWU+BhAfUy40750lq81lJIA9cx
Rww3ebm6Cr4tADlMdKryGKXiGTTyl9LVBKnJwOCl5F/akxOVlbcCiIXoHfgefFgwc7aj2vwJSf0G
ojElI6OpCDGVKgcWC1S1JKXHad63ZKbRYzLpbC3FsZiUBd6wGvGxlUijsF7nMpaqNtvO8zLxGV8K
aPWTBgiEyXhHQjvR8qOM7czGJDXUDRGkxqXcEt+wQoUtmBlA+n+J7uAKr/c2sxCe9I5HMKdquifg
RM0Nj/oznckF89XGDLlFHS8poCfFNryWqNuk9ij8ptiyhuaQbQbgBI7+aLNXcvBCHDkb2jiWpZcq
3MbdIcHvC79idrYptxw8sBTB19OxwnQXJl4nb5Eu227HRi3AdJxN0CvOu1o/zPk9HzDV4d2d9fdc
+zUYjdh707hYpeKhlrB+xdm6Qwsl9yW0C0DIWQLaBd/rUyFzZ/rESBkSQiKBm62ws1tgADJePywA
OGo4zrVLZdfoN6yKGhlC4yuf3jPUk/YXLM2cbNABlEvaH7SB8hKPd2mh0LffOoh2eJiM7ibuhOb0
ACNA78BtNuBbAbHNXgKdOBtnzU3OtC42o40In+PAESQ6WvC7DIDfN1v7GhMcDq7inLD6bVvrH04H
ArgqgLTc6XehOhuelb3bxaNjw6SHyouhkTFBM4gBjJswfNHyTS/tEc+pAvdKoNxJvdFBAw72RLfU
nZPXWo+wzEl4Yxhx/5Oaqxn/leO1NqBcwmKDEXeq+5Wer+oMBOmqan8kIu3tm5lvLPnIsTCfv+1s
8VGCXgIWMtBMdxAFwmV1p/I+ya84BBKJGIt4igpTslcYP3HMnehgQHShAg7rXrqJ3wCg2DY4p8Uu
VL8A1W+MHfUzme3qg6/WH9xeZUCOQQ1gEaoHXdFN+QSwYJWvlpTAz+besgNiCgoBc1aOSw2GGIB3
ryDgOP5ZijdeKu5UVn3KAOUot8L+XMzslnWcGua/7xluUFl4aun39jlTn93SQvkA7TIT5sGEM4sj
CMYq/5SXlozJi5nwq8C3iUyEXBLAZMtE9jdZbB/zIdyZ0mXI/VIhyBLqF2RU9pp1AL97RRFT5lz6
EUgz/YcEPKnuijlZbQrz36jTbBgCbCv3ESpFxh/q0IYkBjpJZ6wdLaSQmvnEVRnfMQd17a6PbnR6
8GoRymu+CuEOBCmHTV+TaQOFAW99OJvlg8A+22WJc5kQRciIn0JenNi8PR2S/Xv1VtDcY7CyfnPJ
IT51mnCXBLjvNIrfSbOiutzb9MKTYpGocbQzonNSwT9bGlL8jIuOwblNgPEjKlvSSYSAHnlq8yLn
byq/XRpd0/K3B3rAaUO6GNWpAOEzRbkfqbtE7Lr2KsYL+bw9ma5a3zBIGdjEowED/w+gz9jaapCK
gfajQR9IgN2B06tL4HEULxpfusPhP22XdC15zphKAqxUOcwVIHoyn1VChsrVvqEKSeEewI4yn0b7
IQ2UP7g4jKKzhAMsA27Oi0NqtqYergdOsxWSTSPlsZ2uGuqXwp2hSefnKHnBsqwRe67yIzlIbJgb
g8yI07vDZzj/0JMSR3+MTmxp8GSyFXQukjsPaQ+6TO02R+UFoL48WbgFXLGse9XTwdvWKJwL1b9W
Dd1owtyGZyTkrC+PTB3uZAyG6Z8mvQmcNKX+q807rBxN7BeWV1BVPtmuzSmsDY9KvwMQk+IGpPBW
4wFJ7YsSvijlLScM1UFtmr6T4tCoBzh4XBaOsBYr63tCbbd4oaNbJnxSrPz0yDzbzjPMfIkAJjKp
+Et5/+kP628O+FN5azLQ7g85digOWo52wkTdWmJBeQDlh/nAUQnH7HScrGdMA7rCSugXA7gJmCL7
wvjM2g+r8ofwnCYfhubHARduEHM3AmTkD5v8c+LJ1Df8T+Xs0jF5DUjZ27uoYNCSu6m+T6LDQPpO
0rcjdoVZeYfA0DkMciEyUYBj76C8Wz0BazQ1WZ18aXG+0qOoEiDCHzU/C+CFnfwtEwZsXybjSNs6
VaPT9COir45aA/ZOyAWls5nUNcazSHA6J6dJg8GSRv+HHm7S3mMDQlwtCgjrn3G2iVpQl8Kl/zbE
L3W/pTNQT7gVIWOgVtEraLH8zdkFSWuYD73uRstI+TvpOqTU9fwx1vjLtryc4bDONQ/JCpwqJmsz
ZFCONbCXznn4zKv3KkJXZloz5POJWHvdkqpFM2SBdsJ/kfolO/ciA26w7EYvKXNS5+Fo9xlApeUt
rCcpAo0Z+1n+2szvIUMpSxoOahy5YXJdqofiku1m+Gq5moVumu2m5GiGWzvbQOL3h/6dKC2O6Y8M
8Lz8E2ufeY2fg5taG7511Qf5ZIIlwNOzAmUX3483hju13Yzhu9y+SWq8t1V5TfKPx85h4D9qjxQb
Z6Pzrxj4QMp79MOAvH1NRrG3B7Ke06odDnn5xRHINYzPOX3XGaxiLsq/kyhwkUpge54byIYqVPAa
zgig9cA4j6bqM0k0gYdjFe3uEYQbZVzybh/h8GEMgzfOo9tlJMQipBNs3gbxA6hK3XwvWLjIZMJW
ZFWmRanGfcVsUFDDZnGAUL0Qon+Jl9PiEtUU+BMN2OwnIF8zvpWs3IrXzFTPjC1K6VwYvqTgvtIe
ZjytLP3IxEJ7t+TvhOcwI41XaPCEcN/CYH5EtkcsdmVLXxYWIPAvanI3822b7vrs4iQPPTiTJcKZ
kYH/UR5m69rdC05zh5HQwHLJosh8X8a45IWsvDHwpcbwC+e17wHdaH8KXw2CDszQF7W9yVgdC+MG
uxG/7WYenVUtRn3VGX98eFFy1qk80k2PNgFOVB/83PjQ0zyJ+ccJTkF+DZyHrF07Y6coJ2Femuot
FyB9/TB/1+djAxhf9SiFGMlJEDlIaQGbuaBX5UEC3dDQH0CHsMzmvFUnt7IeRfWhcOgMHdm1YVtK
6I1Mj1VKnLGhdOzBULRWkbUfOjrKm13S/UnD5xhegVlgrnKheYPq72HteIPh4fZJiUqSz6Lyd82P
mbKrHnuyc4iNN72nEIle85ijEsWb+NL+WobBsL94nPBf1XyLzU7iJF221imdEHMB6JVraWmtGh6y
dGX+4xTnxeQaIGsvA4drAeoslo2jZuvQlgkCbRKFI9ivjHkv+9db8J+Yy81fivh0mHxHhrYxuxe7
ejORUGSPwryaYBkXMA6E5POQYHRom8kIMVLaFMRxSlI5RFEajNfJOUjo22YEDb0GrpS+idg1ZrTm
Wxe9q28wR3STSQVlF4YKaJMY5L1qmcl3v3N+A0/RZfsGaxx6T0RJSwKWvyIJ/DMlG9EdbfPLYFNq
L2L6YqC+jqZ3fdrZgZc5HEPZJxihStMzjhjlcOFcCwlwB7KSDWyMlsGtpe768UXGoZ9oL7gQnPGv
gGiAsb6laYIxWkALWkypBko1JjKXuw5U2smBOLKt0f1jpuoKvnv8mGFzkjA0TzKxsGnda0/cZHG0
XeopRvTpkjrvcpnxNBV3AyKuYjspfmA+QuUj5/6Kh6LHfyPSv7z5mol/KhYoGlAiDHnRkXsJjvGA
0nTUq4sCQTkyOS3wWMzoJm6n/owwIo0cZE3yT6Cr1OqmZnUCo2zA5E22SX23eyJh1YtSsWsKTjD6
zmJ9Em8kCCZaseY3ZAHQqnuePUaehXaNUOvqrVn/M4HxOei8IIU+FIXwyvJfwE/SbZfsY5kXo0As
qjZN/ZkmFDydJt2fBXH24YN8wmItI8fqgQ4OKYNquwONFyjb47oG/BVwiu8K0KU/JT79Pjn0qJ+N
j0ljNfEYtDAD0/RUBn8J5z4lzXxL963qouGLgpzNsmHyfzY8EbK2A9EmBsgM/a1LoI4+aGGdeuy0
2tMuPlQutdj1ovpuKX9qdWkdQPDVaimuLmuSLesWG7n6FqB3EENgwke5S341qXNx+C8GugV/TXUS
EIgXQBf+5JmcJmvoB+XTely6jC5jGbQkgYaKxTKLp3UGcZwyhMbaFvaTPnn0QpOPPm4e2vidQ5e0
vvATEMC62h/wzMzQr7NTM/+GNScB6uftdVz8yzC0Vt0zjNi++S249Duz4PwYuhJbuKtEt3ZA3yDw
4g+vFU9A49YYQHqDMOQ+NLAxxMDpXLP901tqvnaK+t6SJzYcHITtqbDc8UQscb24NxUw/MAzQ7Z6
wGG98TKyNAZcEZAswvwlBq8wix9lpk3alaZDQrURNxywl2DzRfybRDyyf2XxXWFhoZ5rl+q/9vwv
+jZwR6jSLtP+EePyjTyhw2gj+Nqa5bF+w+5pS69SRbbXYkdhiNzdkuHfgJlId3B3EZc+TtOZsiyq
lQ0ySVZAvZsvY3UGrcyyosh/jE4y6RhI+1qiFvHGNWRgSt3Mpz4hcZZRkA7S14i2fV1tnCT2Eigk
JrkObgeK8mvSAsafIaDG7BrX7tkkmkao2Z6o0SQP9tQQoQtL90yWe34U6yioNWf+lxHLaqofPXoZ
lIPoA1fmVBJnbkwuOY+GIx3lMv+gNH1JoenNRwB7vXhxqoscvgQMM4Kn8YpzrhPvpoTe9sig0hmT
X0RcupjSfuo4omyscSb9U116q3/onoNhEQ0/JTlC9B4QgMcQgyukVPXJfaQHmmBu7QBddA3uMB8W
NspqlP8p5m9ScRFmRLM2hqdV/TTGXUt2wAPXZr+veC1VqIA3Yz5BiXcSFN6jwkgg0DmGLF+xxt57
s4bPJP6kZ+M/js5rt3Esi6JfRIDhMr0qUFROlmz5hXAq5pz59b3YwAAzaNR02RJ57wl7rx1gC9Y6
R88dJGdgiHjlWSKbw7NP4BNs5YBjfa1Yy8J0+vSoD0t2yTWDPn3LJT4Z+E2gjSAEjDlMeTrGfEu/
iv9vtFdtfdOtcVEOnxP3E5+ezEEdH+FE16hjY5axxp0Wj6SVmMG62jFW25HR6oB4RDm3sAMnLq4I
U5noGul+Ck+e9B7kL6lzmKSJ+B6kmKSyzy5h/XCXZXSOG5IJ4EWaKFcr4XjiYolTp6yhMoXJtR5v
rMS6ED958xcjruswX46zr4kDMupCElVcKnFdPcX1YWz+lCJ2K2530F6riZjR/Gs+AOMUM33IQK98
5rM1nRGmVs5DTxrb9NMMvgsl3hnFt8WIFWub1bGCWObmJaN5wQRGniIbdS4opBiVI1mHsmXe56b9
MWpJDSfJgdg2UhlRGbdf0BdQlW2j9O//ou2hWG8BnkHB+HqVYsqsOXNtjiYD9TQIrpaLu8vp1aOn
0DAynWbgfM/XEwQ4ahfBnI3xQzY4qqIj+b9a6tr5pZbOHcc0iSodB814UIkSJkDA0jnud6pBbNwu
1HcEYva/kHva4m9SgcrAygO6gaYRRDhKBBTA8XNkKxH8TuOviSigpZhMy4OqIUgdCGZi39mySOWV
5anc1PnFpMOM9F+fWbUcYRd8jvElru995tYKckjX066ZjQoC03iuLaQIkhK3YIzOFYwD+p981Q0o
TclTbBA2YDWrMFr+tT7+1rvud/z0oAjmFo+phgTlilBtchn8I7yVkPE7LjB76o7Kk+1SzMvX7mb6
LAoWOh/cqQaKXZYKWeqIv3lfoVmhM/M0uwktECiUt9jAILkU8Z5FQg+lnNO5/dDrIzD7YNoSZFdY
z6TdwbhGvQSkqqRTTgcg6tpCvuD84rmwLuwp2+YAgmokIUtrT530z9RO4VPycNRgc6qQxbAKjQAp
JKzMi5q75gSfi5yENe4zGiur5rpbzPhESwN6uMjfaoblTRQuY4VdztzhEXGKwqBhw7OgBLMql0Uq
7kwEKvMfqNVnkd5zeXb14W5YN9LLGIgO2gQWfQa8+JGHZlqRB5YhLuCehO4m+Qi3/0p97Q97vw5Q
4g7cM2vFIOYD8/fdiy0cSCC1v4R2L4bNyJ4AU6BgcI1dCeUUKkGZnIqc9wJV0mI8RtYbiSXUECtC
V0X5QL1DrkedfOZYouAJ1XD6Y2dK6EBglG80G1W3RodwamlZT37sNN0VRAjVzJEY2YIXKLuxp5MG
HdY2bQg7acUJg23B6xOMh8D8jLSvQLzX088g3ez+Wy1c5rgtamy2mnYLe1yY7Fk5I6pPRb0HjceA
ackagIEfwlunLveGruPCgFR3FmzJ9HCX4eTF6KMTH2zhWzbVu83+Oyy2DDAIXYUQwz/4obyS51wA
NMtY+TdxuJMn7d6ijlSUmeJeLTDYLFRln8KzSX5zDLmyQ6mtoB3fmXcT4U8vRjf4kbtj2ZxyNoBe
+adh/e0YkNKEy2yPNUTCG188e29B2ZqKXz6uTcvrZFg/MCeiCQtwX6Acv3KJYN2flH3fPqIWVzxf
ALo+SCPNq/6Kq0uYnob4nE1QKi7QyVhCYFfZBQxXzL1eXkcbsyi3ccROCKVLt6/RqDD60LAYXgpx
syxKs8pV9V1Rrz0YIg3b3M71i0sXfHfAgssJuGXbraFnbSzo61n/q8curo3OIqpbPkToseCBEeTF
BAMcdha+NeT3Juk/MexL+RAkfFr2qxy3TWihp8fTf5aLjzov1gA4UNDLFjfGNuSdy3uXeHfIKpc4
2gyIRhIFvAXZn/wIdnKSwArS+Yit1W2ZmSXJbVQwz+hn8RspOerNq9ztuonwxHSfkuTlFbxxh5gN
hbxNJ2JwuI4G9dorF/q5Ir6EuLgYoy8NOij1pHmOFa/NWCM5ql9K9htmbmxaUPFyqnDu5GktcSQW
GDtIKKRiCoCEpM0z55RBlpmW/9R+jTBNpQMfOeTbul7L/HeD+yci2UcESxTUDYlbKb8bHQJp6AWa
4Pidoklmb+v9f8uvef9ajU2fwnXBLVbP0/+CNVmtX1N91cjWPhi+UngPHeDhnFqyReVXo+x+dMMb
yA7HJtxFyMtYXwNLBXv4K3ffuv6WmlcD1SqyN+olZmPVO+BKrbywIulmNtqSfXRLKClRG5MRrkiA
36Qxgwq0FrUHgzI44mdyY5KCjTD98qqDntwT0FOMmSvOP6rFF9oVrOQhJBosZBZJddRDtcu0uwMy
zXXh/zNwXtoBbmif8dmRoBpSVczpu2ZYkXh7pfsnfs3xrBiOoa7rFP8Cn8of7NsRkGUSbyIUx+OV
4k9j2CLejOpQxzztG6NjjX82KlfRehzT6yZTt4BIaDkdP8LQh4Q7r2LXhhFZT9UbmiSQBWOorbgR
B4IAo5rrrwpx03KWj8so+2qi/VyIBCn1eq8sMnXXR59RtoloAzl9CL8ZxZMsTX1Wuu348WrKNl1s
ZVRwWyI4aygAmnUYPsgH0rWlrR/YD3ndt5VcANjoJtin6B5bZ6V4srxDKCuMcy8D70IvRo/BV7C3
00vV3dScqDuH9VGRaGuruzDg1qw9H7EX3iz9ViF6DTC+Ts3OlC+SfOq49RH+sLuxmNap8U+vYKZA
KYZy3C+OvQ9QOwK62p6N+hQzZFfqc9geRwBfHYMG8qfk+Uwit5Uh2nzHLppwy5jZsKhmEHzArlMI
IdNfql4wdAPiwd6jit8VEKix8cOiEr0Y2YRb8g4d7BQsDkmtIhJ3n1twNp5Ne8RvD8eKJcxHAUcb
8tRC6Hy1V0m72Ca+NEZQubgY3VVPrj5VgqrexUepP6b+i4wjlWBKepj8FiRv82LWw5YpfoW/8Zp1
kH+HiudmOgDk4r0cnkF26wnLI+XQoIHcNuV99HjC14VNLl2PHXkxBRgbyPmlGWZJLaEeRgHVXzwG
2tl6allkoi1Ith7TV+saK3tpPPY2B9qjFsKZwZQVUMiEov83shi7KE6S/SWydmx05l6M/1HDHyJt
jq3p18oEqx+HpSdona0cDWTu1JSHpYAC+W8eq6ijy14Yy1PC58DZkVzM/hYpq1G+hOJcKAdQYRRz
ERG+LFdSDTkjyRDNMtJeqKI9bVV2AH7+UstJGfpS0rQowwUjnYJHXyneieeEyLqtg0NGbR2ALajq
cCG8N0NfW9OyRgNZhx82p844XvXsF3+63jsTUje2oyjq1eLM2r/MA4TlzzQnbWjjUSNxPtdcG7Nz
55Qp3/AZ8F36LSSiY/c7KePCNqadKAgmn32/T/6JW0NBqCE/GOgmMtQS+L3xv1tMssMX+hSef0Cd
lvcI7L3MF8RtEcDgiP4V8xHFW15Ff2n+yYfKXjjzPxvGcJBVrFlLUAAoTA/q35izkeUmQjuqoeuU
WTY/DLpRT2XbxYoB1xKTh53JGyaYpl0hiJojxxVeKOmLJzMeNoSUmPiMS9c2bhIDy0rdl+VG5qWr
8azmqouHL8b8GJGXEc+j0MPk/VGIgJJmSLTUcreM0TSuUGKPErcfg2cfQELbla7W0z49zOJHqw0C
BX5l5hsDo4j+i7cNooUm/rFzKNO9lSF1QKTBm7pncGVHYF1f6Ebo1+DkZsz9cpIidjbrEHxpsYpS
m+Eq0TEkd8s3k18EYLBin9uW4XRHBBc3Ybdm96A+g7rZ2/ankjxmslmigPq1ouV4CoJzQb8tpTaz
shLUcruu5HNYtauh+GsRDCgrzdxGMJAnlAyoCkk4XkrTMzKe0XCB6GJXTgZGpn42EeVjfg0ahrDx
LhQAWItPmfVERiSH0TSHBrthpB8qc1cUIWulexUTpKvRsMh3k91x9NSCN3zUlsyS/VRL8cqUz8WE
fuqGNMCucLxePN1p5z5DvUAVpeI9yOHbwNFkGfQfw1oU44adoAVfLKcrQnZLy/semk+VadwIOJGg
gbFfm9G77J9sLDdl+VcRCsMnwJzA28MW4P9lWBw8MCxb6k+GcPkSAr4bRrcAj1zafZjsZzzkLsbT
QqeIhBgrJRdsTLETf0r+VS1PonxawzUencLa9qcoPdLAgAfpQ2fifsr/ZWip8niLl5EpZ5+u1Oma
NpTl7VrGvQNKOd6x3kpqV32gO9MMdzI2TX4TwzpVaPbXg8aqoGbwjMwy775SFCl+dicjFUf7NTPO
rKkYVXasOHbZAAx35Q9XaArqsBXtW99+qkDKgy81PnmJqzG59stHr9tMi6clF8VaF/XWEJfBeJOB
QMj2Vx5jSrjFKcXEsNZHxtf4XZaC4FDKterfSHFbWI+kOMWEPgxbbfhNPXc2puijsVJCdxz+bHx3
KWJQ/ga8NvopG8CdcTYTq6Pik479b5QXxC8MBgKjDeWvZCP67m9agtydwEmcP1q9zYJvVLCheYvn
9mYDrMATp4HCmg84iv5V3Tf6qjjbznNOPz0OwEWYGgWmUwz03/hL8Yp2yTmz3uT+6vHZpoj4BVL8
NTpWtjtseLqt3zv4Xzxia/Vjw2ouYqZcQb7HBP/Z0JoG2B46YmslUCBBcglR+UNWFfmHBcU4XYP4
s/oNavs2upn+HttfWHxL5o/OEhvBIKt+wXFdh5uACPpwKSJXFfdxonBs0A+8iRC7r9O+CqIb1MuA
hrhBWSLPN1tLKJLT+9cShjYmOe1Xi/FXoWRlAI5+hAaxTe51cOxajhB7JXt3ZhjCLMlPvaWocwqs
X04aujgdh/rSNd7Kzk6joWHb/4cWalP3BSquetkK24XBvuoY9U/xzZol6vWnmL1Sn1o5j20Jj4sZ
X3uCO/y3ap+FBRja4uenlWVZsxgpwDUKmJgqKuWnaWT5TmbtcMgqMgYZlr38+NVTcpThRTLZopL1
mAMMZPAY0DsXyqu6qT5L4Wd9TyL0yGRH8JLSc3L5idaR5EM7fEpS7nIFUMzLHCrNhqYZwkjl/alM
kcxlo52MiefbrQx4FM74HU6uGlDiT5/wVCT29v3wLYxHAFqJ2ALiuxaWeZakgzU857CUcRN2a0l3
RpjcOEXEfcr3zEhH4db8ItpP2P904ErmCPCk3/filUZbZfzwYI/U4ugrpHxfaIQkPFI9liCUY9Yz
R0hZnmcTdvqvfpXZsKxQgLHAUtu7hjqk4BGk6UrC9WQchXEatV1sfqTkOucuem7kCtqDGa2XQfFe
4dygiAXctDDRlE+8l9actfrM2JKa3PaTtZ54Xo0M+hU7K/gnkomxgKnAe1y9CZMh3NeUgH/w/mnp
Qdb3AmECdugOFWHwwBOmDU9V22cJtSiPAOENNNNVBbP7qPNixIZjzV/nr5Yf6nkeV+9xUSbBTcMG
plK4DFQ4MYvF0b8N5b2IdQrYLys9KzkptvOYdRO3OyQmmH9T+Mitvxu0T6WHZ5iujG8ZUTOMlWY8
R5gX8+QjyL4j+6rnO/HhN0sbXiUTZPhsAict4wAlRUqOyFDl86SwrIZgATLBN25yM1Oz0GklXNB0
xp6677tg14GSizhrCaZRECTOyvrZr9j47aqV3VFzJIhm+TNHbzmKq44nIELxr2brNNtLuLOgNoil
+q2qrkIbl3jnGPlvJp3pG1NU2tIMKvsp2xU77zGjLkDEx6rhbIMg64k7JTyVPPAP+EvmZxNck0km
CQzgJjouEEvET7V96lhjt/Sn/SQflO63lG6kEYfqgY8VBXY7bnB8LKovad5/dGhnGfwx2mx5ECws
a3q4ssqf1FsbPRWO/ycN6178MjxOPEcH4KAp9Fx0OIHyU5T2wkBy0zKAEB+xuiwD5gqPhCsC6bmD
gUA5igwg2GPU0NAUT1N670AsJP7Nqi/YxBhE6t0bfOLaf8amyYCTBqJ1B5QNSg+lARecb698/s3I
BOczcC3h5O60L7O+Zy0/enLs4iNosB7neOLttPIfjk5D/rbGlSBJF4eX2jqKRAj35PFN/g7tGVRj
1z07sLSD/TZQlknqZ6gWGyO5jhjtGlS5AT8KQRHLmNGWMhP4Zrkie0w7ws2zkv1NHmVrWX00njuz
ocy1mD5GZpk1usWW6jU/ZINj69g70rMKU8Z0RbUj9IwTfG/G+0Cc2Bvh4fsuiRGbNNbExLxMyoUO
0BDHvD32hGanu7hYScbax/sr7/EaivyzZpAZW49Av1vtP6AOhXkZ8jvyRA6DMj1wJVcRr/F6rCif
L23J/4dNK3Qf8m5hv67q0s2CQ8l7XqfpKlBvAm05jMH5IioCd2zuWXNHrw6k81CW2+aLa5VzqCC9
KHn4AV3NIlEgMK/QhqTmrRuuDPGtCXD9LVWPXFH9y1BR7b2DoFqWd1bMrDRYYYbcYTl5GZw2hCZg
N29cRE+CQBb11uV35TONb03bLZv3jE2nzKdKEshLsbhbW1IP5XitENnFcYzKPgzvKIhyfl9GOezH
0fdad53ebM57qBFqx7hZVdTlCdSjzNb2WO94sF/GQbY3WXlukc2H/t1rt56yysx90jQXkGWrkIlR
6MNDhClMBliLjltlMbzBql0KBlKTM+vyx2dl+kitb3iZ5YSyx4mrNRdS0a7DR2d1d7ipK0Yz2cR2
LTqBwIU753V/cB/qimSUEN0g+VraUZquegtcLL3J7XWAu+nt9eQ7BniSDH+5fokL7mhGSZVjIaAB
yEugacVCtLvEwcsbPxok7BxIH2HwVwlEptYesF1BWrE9rMrC3kiUftKLEsGar0osvhBTUwoXmcUO
pSB++hyJDWZYNt5p9+b32+QZhGhihQBQdkV9RHMsIZlFHzbAfEVtU+nvI9yODmWvbf8N2W5ii2F5
v738oarj2ocOb7QvGuWxALFpIS+BDhWgxRAMoZKQczXaSfq6exgwSfFxBzscQgxti2TF5V5AsEPx
qzDNt4jcXffTN+N6vftVUFQMZG8zaT3Eyi4zDiXl4aA/+ng/Su7AF6SOkMEUNiC5vuWYmfT4GmeM
wZUl7x6oeI3fLmjee9L+moaC1oQCdRfasWBdVV2l6QjOaElTjbGEUzALHAN0Czwlor49ed3xGcxi
abGOQBXXxZFHLmNvyNgnN/9SyiymCJCNaoMrpP+uzfOQnARBXW1UcHSTngPgWP0aTRgojN8bFHPp
US0WJpXXiBoWaUK54QEX0UmXtz69P7mUNOXQE8oFM5/a+FQeYfSDrluS15G+lP0PrXqV0Z8AhiyT
STvNC0C1eRblzobnWryp3MiY+5u9GC58yRAVhH2aSSc9+3rSxmn4S0ZwKdPh6rfQYHXuVQQjgMxt
16jRcyIWdDtQWDAP5b2nk7OHGg0vCmooTnvmC7PkAt0/50vBe5AMSA+6JxaVVRXfY2NyjI6kkKF5
qMY3RjZn0nEjgYX1l5K4CXTQIm8WowSQf0DKxp/NVMH2n7+OeXmYeoiq8w8TMQPZSZfSKpY5DOuO
bHRSb1pd3gj1nlYfkVRt9eaJN7sKX16mc2ehNjWvnflqQxyczKS07j4yj00oo1tP2UzIBZTo1Nb/
CDZc14jqVAoDVIKDP7paJNBiB5eS8PKKj99mcAiaNKiXEpCKAmGioDyL9c843bb5paqOPtaDEDKx
FmWPBOu/jfmuVBzJuyToH7V0HVKA2zB2RpK6E9VgrjTLmxm1iOcAXp2Uy2UPUI64+1XQqAsBV6Xt
SEF0SvZuMmGx6Eg7SEhYwpzJ+zeSrRZ82dDgWBWysa0PDaFaSX1PiZfwORUt3Rl8J2JmCwx40bNu
xPEAL4kIHfQrFnvoKTLYY7EYwvjXk4YL1JP+wSVSattNJFR5a4sghZIJRtRwhtHj4G1aih4dBWMW
jSwsu4w3o/gNDYOyQ0X/gm5xdKqRVYkx4Xxh4rLCWZmx5RNjiGoRhz/WKUaoAwwFAw+sTfWjQiIF
vM4jdMRGto6Qd2XDO6Ex7hTdhpC9KhdHjP4HgwHiaqxjqr5UFWz55KEJs32DDXpGZrYTmo0AM0Hf
Wn8rHryDqo4XrCuiaJsSgDLaTj2b8h/++NdaVwxWuCuvXsU5yOYWNpnIrrb0kryv1DrAWVwO46Pz
ronyEuWrAppHdzCdsuwURJ+qei0Ir/R54SpuvXFgBclyhXIEQsEIHyvg/GFmWKopV+47nullpLzJ
yV00n1P0odjHmjXaaD1l1DqsPCNW3XrpLX2byarKnFrlfAy4t8iLZH/IyGWarFM6lJuAqVdYH2f/
fSGj4qr+4si6j7NKNiCVMQ1/7IKaET5hRlcNLWFRKWeZ8Bnr2iftou/nGwysB3jOuDkHVrEnctQO
PiLE8qqG7lAining30Bt0KWRmzAz7PCJkQe3TBk0qqj7DOwXha4BFpm/0P4p4+m3O+4ZNV8PkrRm
rwCim1W00TDBpG8phUugAxeGglz8p6tYkdWNz4mtHfK+ZHFb/muAzJk8FWDKuKgBqmsh+KpyXbaV
C8F7HSJUHDqKmtBDmunq1bGPBKFt8V2pfiJSHRPSiKrqvWx8YoBuRIXojdsPOy8rzqGI8epYC5nl
VKnRvHbjmiBqxjmf+fyjzx9G3a5H2+AuyNiFGzaK1bmtAtoSMsBQd4Wq80U0AGGb7l+qRadaV/4k
1ExB/79AZdkyu5SsN804k10AioYLBl6IrjUITwd81O0qQY3A1NSwsdE5XHtBg/uOxUcENEoNf3FG
ANWkZgrQp2+FvlfZHCBJ9cTVMz+s7iAijtt+I+pkX36o1DYTi+Qc02tj6ks//jS7/81aRHlLYHuO
RHaXSAi7WgNiTFJLHDkhlVsvBQuPpmcCDGDXmBL7expzQbgp0zTDYl84EYEkKP5Yax5qZe4Nr8K4
hL3NzhgwHhS9fmOjoenSZSp+8vx3kmOc/xP8Qadis1wX36gZT1L0EaA+l14WJR31WWU5LRpf9J+h
j7CIpehWqXjM9kUDDkjbyQ25SepR9r9k9tUFKhV5yZDuUmj6edTTZ8aqjkZEZLsW9H2CHG9SyBGN
D3og5kyEpYwm0MK2Y+Y/ZjE67fAPxEyMOaJCoMY4hr3+DJnXTpLYdPLOMrR9nJkYrnoqd40veyaD
AQ2gJrMqaJXDTTF+iGibkPfAs8f/UjffGrobgm1Z1e+AtmiMDof+HqkzgnXRaAzfdDJ9XZ/FXYD3
Z8VLQMBP8GOOFwpkVXqPLIxEjEAsVDFJ9yhKSA/yI48jQGPUWnBy53QnJgBeekj7N1uNMeZRmiNE
UVc5T1PNl6CEH6XFdULaeZ8hlLUghTpR8o342W9vXXEVJeA+fudkaSEHwCK3aEys8Gi1BRtz5pEr
TQGzv+rtD+QEUaatNDaiG997WBLAQHUlc35LVufA2V5EDLdgqAQsKziyYmuVQaEKtrGyDXQD5PFz
8BCfQehka8U65lfwrJf4EXKzdnQskiR08jeNAPyZ/A3x3TboPns+rTvq14r/VXqukC/yuE+r3fAv
BddnjdKyRC4y97Js2ZT6Qn4l6g+irw55hgb9Mk1IOtireUhqTjRNUecqGIY6Bn9DyNSgOcX9r9BL
QMQYB/amSoa0wk/7kxfspWdmWULF2jsVQy2RDiDiVuAjMUOZurnwMU8l8rQ2rW4TK9RTxAinMAZR
U9brEbS+hz1gpoh0uov8LUUa6Mv51lQfIdL9IclX878lZZiSN/iYonsDIdDflM1xbHeSxTxpmz4y
6b31v2ePAf8pEXRp68rbpfCyarAw05sUOkg5fXY/Go/AFZ+OVdzMEO0kTPOKSEdlXgGC1NKAXKlY
OUbkSOTwXTF3Hj3UKjn7j5FxdEzHm/nlaYrnhS4s03qUHdRQToDlPsF7QJzd10gT0HTttrETXOrM
mhSGsUGy5Z0im1NnUlle/LzdILpMeDR84vX2THFHsZnzCYDHkUrVA9A5Y1oKNCcju0N2CPey420y
rI3kkpCg6B9oIAh5mIXIGMV9wj075u24GwlhtdBkMsMcVjqD+wao5ltbbOC96PEGWhO2kZEFTOGO
qqNq6DaeEi73u1qec3VZ4O3JSJTxohhmz50rtJ1QRXzz93R19JLZvvqyM7BoYQeM7wVlhk0CdK19
57hIi+ZstNsquzdoAoa/mlq7KrmM6nfC3BZ0i0QPJPqcnvHTMWEfqonbgtSOJj8mLPJrDmzZ/B8t
OmqvST7XNXsKdaP69oFumgmd4KyYgo0Q4aqspg16ddwN2iChkHmqtEBx9D5GnZNXVz9hi+RvCzK2
YrazkHpT2dsMOpXD2Vex7PdcJQNTHbyuzU1m7SyILOYDVPnABLmdbMZTxsWPovs3gbet4YPjeCci
59QN60a/l4j8G+tpyRXl9yX2D014NKkDVcmmwD4E2tluLrrJekXe29lzMJPVSCdtFC9NgbAqE7iN
uRUnZJmDVkx8Z4auDMkx1a6V9i9gLSEpz2JG2fc7G8ujnn6JNmUGlyHgPhLZTPx1pNGJ8SdqUrCK
r7QgtA0mA+XSyZKvCQlt2LfD9zx2STJiCoOQ1x2jYseUTvEuOXqIBDuVZP7aHBIjzWRV36vW0cAK
4wABZI7iBqoY+Ma3yHTa2l9lQXzPyXFTLkN4DKYXooHQnifqjV6RTSZWvklqqf3RjldfP5VU4TDk
nSlzYbFgZtJ0HHpIVWeFnodvPSVX/n1ixtHy4jFTx0vtk60aryWjcVBvdpAIQqbgXkZxjHcLlZmi
IvmAY63+U0DTRL2Fe3OjFNswYDvv+zs5vAT9T4zqXy1USopoY+lsEKT3hoNcwdJq+LOXEynAzJ9m
89FGZzmh8HVwmm278DR5N6u6m8RBGBmqn8FR8jMDM6jJKDxpZxtW3N++mOdIMNORePyF6iohJsl7
N/pjlyEdQhCk2wDFUKpH4iZ92Laxsv1XRIxnybsipCU6LeLZDIFtc1my8MvYUgRuau5MqLu5ou59
iQW2TmPBux1dLeUtBtkARcdppImg58ZJaqBdlcIMGcAkAjyTwayiVZsyqlix/Vo0Qrj0FyaiBb7r
uMGDygde4SrBzMCdhOZ2DWjHQKNqvAT4nnDYesau9N6HYS9K6Y/9+T2rM1bRBj57LhFiH2RyUX2O
AsLVXMPyOF+gf+XI4CV+aRW/trwN4l8lfLWs0AZz3Lb9Lqt6mtDOIWxz06nsJajlQ3wXPYPBgsSJ
PIXI3ab1ZySFmJ/sVRJeCtuCNqibSNOZUClG51qqvZ2f3uKzZjZAajla5YLp2PSQLRpvuSOyOn2f
2A2r8VeLsKbAwpOighEZ9QZSjMRD8VbYf1Z3jIaWLSEmNiVghWOvEXd+hYzhPCU4NBq6Mp8Bnwf5
t+qOUzOiLAHIz0S8xVjh6+SXAabxbG4qbaj3vfF/t0oWIL2Y7xkrk36wJVNLyirE9fho6qHelOhP
DBWfOjdvx56XsisW9UcGMwl/wLC1iEVTFQGWAEfHwI8xGYtEVJtiehrMeSmX/bcJWYxNOpCiwrmm
RETeGDHH11RccDxpiVbvEMCszNpwwwkeEmS7sjHRS8+zkUc4gekOzLWvEyeK/1vtVpV814dgTUAh
rfxz4PFXmQ52xMQRhtYYfxAYgHWExywmDz1iW5Nm/T9McIzTao/lFrnRwnTGPMF+Yo6Ob2ifOo7W
hE2UdZdyZrLJpsdqmnJ4xCjuPR82Jk6fZmD+CN5YQ/AfWrza5pZ2jOqctSvGFY+PGTPc0mw4iurq
Q0KTVmENb72d2X5zb/mIX3IMDElGepspP0P2X0DRcFWY64kQeLTmHjm2kiiu2aQRLF2+46xNx+an
NCD7Dzk0gxx7EhmDiCLj0FtJzdcoA9oQ2sHn7cysWT3sbxMOmlxP6QwxPfDIlmXvBA3zeXYVEdd5
x0OTV3jE/W3DDL1vvtL2QnDQmVTxJZHYCxPTt43MSq/GU2Y8Z8iCbB8SdAT95GHabZdWgtCtiWE9
2YRLCKQevh2cDLYbZvnDH7y2ubaVp88ux9DJfKpKnYZkOjsfHxgNWOtkM8l4HSI08hRGljiR48re
W+leBl9mlPamTcJz2TFrS6VPqxrVRQew1vwKWI/6eDFTBliRttRA1koRovosd2JM6XbnGtmhQ1Ex
pFstalcWr7I8uT667TE/SkhHbIZ3KhjnrP8p6NxHNDZKh9MbODiXOb+7WLfqGfaeM1UYfElhMKE9
Vwno6/zewHn35o934K+IUabrIwKOsUU+fioQpBNjvohseRfJKSky0TJT010yMV1BK4p+Km8ffAxb
su5gXHGZoC7QFH8jpQdCbxivwTEvyglLzEzkbFdhohzKKjhXI+4fbDItlE7DaFylZ/qrZ5S81YWA
SFed7bxqckvNwS0wiAhEjTmLW7W5GVyPtkKz29Hdl0FB3JhESv2/dEzGRdV25zAgDROGnC3btHAb
mEUru05XdBYbSaNKohP12BdRW3Ut67GASlJ/eFgLvZpTNLS6lVJqB/r/tzhgWm9Bdji2kKkpolY2
4oesLZYabaqEpSAl+2ZsIdfCdDM0kLCNtZI0mO0YroAutfCtNU3aSnS+LQfIU+s3rWp/9zSpHs9y
JJR/E7sx7g62rWJpqfqKnTnmm6WMhTvXaA+0+CPSi2dAk6mw2G1SlZlF5zRYcVBeLrruz4TfN5UU
zkEJLYK5vm+clT5aDci+E4Q6EJyd2ZnNHM/R/J7dJ/WDsmnSXZsbaz16MxnrSyQwJuOvHkLm1X7G
Et3Hl26Bo2khXmvR0UbVLJnJYzCG1ygdEfYNKtpHKyHZDYJkt8nk4kmiCLL2vsfJKPyffIz3nW/P
+thVVhRvhvnW5DpknBowdu5DwoDx01zt6mFaR1PLkW992hVxWAOeQx9Od2Ndi6a/6oi9Pa7smntY
Q2vXPms0VoShxLCu00dvmvvQt91Uq5EFcKql4zmQ7N+xDCHnIU0ekMRUAc7Fe2tj1sype4E7EQys
6sgl1dlKdc87idm2vgsb0+0jj006yoYSdBwpD5h3UeY3OPVC2h7xC6t1mUe0rrOogesRDrXQIzrc
D1X7iJlOqfF3azJqj/Q/smXpnhTANiw7fUx9Ye3GI1l6TUAca/QfR2fW3CYSRtFfRFWzw6u1S5Zk
S97iFypewk4DDTTw6+cwb1OVSeJI0P0t955L/3A1ee77HvgC7g4Z/50R80ZxP7GhafGXg0ZK6ptV
Ybkx3DWKEfz8VfXNrHxsyIosf9ow+A7TRcJFYIup1w7LRFYF7GvDjWS4NmFh0wpFNQ40rzcIGbn2
fst3vTdQ+9q8PDZjCqmrW7FkfUaUa+TsDfqt5qhsBs7gK2tMwfotse8g5ZvwsXapXNrXEHdQRveS
nOweYQxhANJh/vwnwx5uxxHxI/TBbL/TPmYddg79Zau96Is0quffqflqHZCq8VOZIwbWWIE5r5dY
DDmBqe7BgxAEZDKpG/0tnHva/YzOF4hGkwYbbdl3Az7GjIAKRvd6YFtb4lfzuJejEqRnlO5nttnJ
svzlwVB8Zy1IP5GK1whTQG8JqOoaYa+zz4gdMxr/cU6zI7xCQsWWl5tsb7Cv11IR/BFxVGZo6h0c
e3EI4oyrJIyHrblIbBHlsGe3f5XdP+AYbcJ2M8vgz5CPJeMsf0flRxBczpIVcicRaB6caTSqofs8
JgwLGPzOPqogHkYLo+yY3BTbdX4jz+UXyVOHtIMDznPNRBbD/DGAQNR2AM7Fh0NfqKy1Ru3tNmRn
V7Bz7i05JAqrYY0RqekGuJf+Q119zS6uVsa7yg5xu5GKVquth3fBL6HrB8cMB6LJemgsm22LJ1qU
7WFyM1rWdGOw2K6tUzE9R3F3UsQpl60429gzHFmsSvccFeU+JSIdMt+nPXTHMrCBYPREox7zJYfO
vdXCYhWILpUBjTWU/wy2irkwuHmgoZdLsvBJ8Z41LiIv5EgWjhjN2DHNnb2Oq0M7oJ+3p12JZJLM
mE1OvechabSCdFcryFpt8zkN/nvhTYi0viUTSBNwrR9Zq6z7U0r7nLmsnzmsirC7EVe+ttl6963F
2nO+AHR7SBlQNAIWgpaXRRWfA9iTDBzA1d0gfhCC8xK4NMkd28TOXHOZEhpsn6yg34IVaOXTaPVL
5sjPkp08Us+24jZm/ZNJzVPNPkVdt2tD70Aa94NTNK9doukr3vHugV4tNj5Vi2yajekMh4niJOwi
yGlvi9TMoCoMiFu0qO4GbGt5HR+0N50cEezqodo1S9cDs45ynoQY8gMC3g525KQTZyDWq1x80G2h
ShHbDGGh0OlLGr/FpXl1Q2TAzPS6iYSl5wItQEN9WE63SBCTg4cKn+shNMCdcXZNHGgZrr8qst4s
bLbsJ9Ke7E/2ZRZRsIT7batcbqP/eaHuhqKXF33YOTUKi4j43FleMwZbTrsJeMVq429fPjleBjSa
LRX5pjoFDIIzcBKXRjEObMt/Yz5va5qlzoxOYZLugqK66rY6NsAZAj7umAOiBnNUtR8oTukGuhsf
foZGykE0N/TzzZGPg0MJEqTsrimqDChkgaJWrMJLF0fnyM+vfh+si5G+jUTEBrMr254sb3djY28z
EgsLK9s6iFbDXGwt0z/GKRg12mDBQMDkJsEE7wvrDGxWqheHQiJ8zVLso5GHhIgch5qmp+XH/GGZ
E1jpSuPDV8i2WCGuxkZeNU7NGCBPFZHWwNYwclgNUBT7bDcOHsuDuh7RCuLfp10XviCuRO4qdQzQ
sxaYrGqYWS5udyAfUI53EVwaz4fHUr0nNKhpm3PVMyrifqrq/BSQSuW38ZlCEkVddEkxuzhDtUlS
9lVGvDcnf6+6elNTlwPaR66rbl1kvLa4bzu2AiMG6JlRyVRyFkf9hkW/HpiFiATOnLmJ4KeISvMO
s5Xd2PwKkWAr3y72icNcRUfHmqwjz4PUxA/lOVjJ3ryO/Aakn3wGuck7gu+uRkceYEZ1vqPmk/zA
KHs3mThUsViHoBgq4FKh3FMZ7dJofg89sq0Szd1JH4TV27W/WkBhCdt8LV7Kap0LdH7wCQenWemZ
4jDynmbXYERALI0L/AcFx6IV8SeGXBU4LhsQcai3PYPXaIj/dCRt5iW6xrLlVUDqDBsiAv7RIqxA
brB3ZoTsBaUYfh0nK06uF/7Yzlcuqapj4x7a3lmb407bI+Z0czNR+o+J8WKEhFJ03bmL/vXTT5mu
Oy7HLF7qI/PkhwYMtE/lvmZzuInFr/Z+DTe6CfqLZV6vmn+2p1cxMomxEMxj7WMT0OcU7QYE39rG
aSKYE5T8Uy372YJLPpZsjmknc44IbLwGO1yobkD2enRxCvow+z6sP04DVBNpUjvvaYZevCTEEIZ1
lymxCgs6+WidK6AVgZ4/fOROA6bR3kzPE06YOhl3icFgs3GOpt0d6iI5uexVx/bVUZd+ZPMjGANG
kYMjmzUqdgcP0hAeqwsOvL0pDKQb4TOsQBjbmCspxVE07EtneIzZHQc5noUU46wVYCaqyEeJDj5a
D1MgGe0rflOhNm3R/p2n8eAzWQmGZufNaNL8nuuCT3siVwEQAjD0x2lo3vygOGbB/BxbzND89OBg
A5cQmAfBvHJOTwO6aTERteqBZPDyHRzm3Ti+x8H0QtHHhFRs8hBarY0UwpFwIFK3Qr9Q4EAPjiGs
GYH5PcaC2UdkZ8gWzOLIIChGlcpyFkGylZtA79Vt8i49PXNBSq+Iqn8KavqDzOznmCVfT3CJYtJZ
zM2uqsVTjsShDy0iUb/T+JUt+c43sEtAdlRNi/p32T3Amhk8aHL2qeX/NhTWUXBirDlPHSsXhzNC
I/LVI5SVxERSnl9Unb7w0l+mOXkP3Jx7wvKq1Wi+mUzlreaNYdPel4BXEUTV7KhKxFpG8yMJ/CHM
eQ+493eqd/C3twkiv6T7QydI9Ro/UOhjLEJmetUJpbbtoYipQBnhqcVlVEC7z/yTNL+b+NByN/LM
ndwpeDFJY2+BQ5cjn8ASZUiXEM3zaQjHny5nYI+9LSebJSGT0ow5JcH3TtQtgfvZ1elOshmeJM7W
kcWS+bDE4Sif2wg9X5I1P9VIdqdH01WoYjvhOxAMqYeEeoTjJwAmZ3r/NOMjY4rPEVyEFtJBnZp3
YS4UT1pqoHGuc0eWi6c0X1lg5rue7hQtgYs+OBM/LoKvWAislg3WDvirjv00ina3TGEry+t35N0u
biywdTHsi5exexd4a1N4QNF0NBvqXcFlX8NuYbP5mPCmNo37RjLIKyLO56jDm+OVy6GdQtNLH2l0
nvwMFh6Lv85e+xSqBqE9rMgeTMHcymJkUDHcjBJ7JwzzPHIepxOYSO3/S6tlhcsf5mKBcFg7A8v4
EzMTGBH2tS76dsg7k7EdS3lrQuZLyXTIWL+GmHjLrDrGDpu5rmXXXK46osEUjgPDaw6lSTIfHtNJ
01sn/rdV6beW46Y0LAouB/2b7b8VDQJH6muZxwvrhQVYc7LjWwXnpIqHp2J2NoFKPmKgjoEsTmOp
bgMbAzEVB6PlaVvyHxr0Mnb+yh9zV/7fZh7PSeszEKpXAPY3UvOqdkROweOzxmmj2f5bi0HID96d
hMZ1rI8VoIimQJ5ih79d4aZoVntgO/6NCMIUT5sZlW8txw1RBAjK0/nRycH68RnKWBD8VW1qHZ57
vGJiHl4SCu95wjeVg/+pgeTJLa/MwR9jfAvdvCO6noKd6bfpia2w3zqHCs6M8R8UPBCeQi9nteI9
a58xmoW5d6i1RK9OSViYxZUUhydHf9XFmx7mU+NwPjbuY2gL7p6vJczFBcpXO2tzxPIH1ll04Wke
p4NfN8DkQnOjO8ZKCZb9eAjJCkCnKDqoROWlg7IQFiG2B8rmprlbFYKWKt0JIvZUjjQiYH7a9Sfb
97hCYpJMego1mgYXxSp5vy/t5O09geDXA0DUuMekfBMRUpQlRYQohN4P7xJcUqMnPATLoq/FgshE
CgVXbLvb3Drr2XuL226vbPsypMHOZufoVsnKFPWx8cet03anspPIgJCYMbL810TlSTc8h8slqBXe
4WLrEGplTyxEfG+r6/ZN53/j8mvugJs0cgvgm2OILVM1bO05PpZCH9J8forqehOie2YLxOQ7Xzkz
ti+czfb8aDMDi3p/w8WMvqmEbUTMpfnZhWSrh+sAOmkj/Iul2JPkYt8jVymLcxpxmcQD+b0/PBQY
ekjPg2I8zrRQ0BlJd+cOdi9xBqYSkvsQuwcdwlJkCSMhhjSmjzaHseGUW5yx+haw89dksyRpurPI
WsIs4fhL17C4XGFNV9cyqVmJsABMSLMVUuMuC88gabpBPkeIB7lr75Pq17rCTuDG7EYofVuAQbPx
VdKVWsgwnbh5LJJgl2Xed6zRbAi1N52ZA3ETZPelB8mE+qDfYo1QsGzrUZJ81ijjRsTes9DHOm2R
GP/GHYp8H6/mIkXo0L6Y9XAtBfYUU1xtP9i5bY2TazyOLsj9PCEJgu234ZvnNowOke1v3EHdDNPD
OAe5g4mqP8UY0i4eyeBzsOtNsHZ/KnPYFDWHKUrFgonhYGKplftYoYSl5Hab9qvUny0S6Sr86zLa
7uX8Es6st325IzyOFOei+My5kZN0wpQzJqdEM6DNui/PS+416/d14fVYfCIW8I6pFxtSjgFauG/+
cA3q6hyH+Wos7/5iqceUGKSPoimOJQ7hgQ0QEAQmbLxrWnM+eveFdFLB+cuzvWw+ijk7+d2zA0Em
zaczZo9dg6ch9MZrkc1YOnECIBq3HY3pW62ykfJvAQvo4E+NZMDu9cs0lSdfW3eLmC0R129Owoxs
9DYdeqCHScATBOrqadSQFJaRWy6O//mWJDMwjfJm+g1axvrXaCKWfZo5UfZtKkn5p3no+t4Fm5ON
H6jsSEOKmQupNGDY4bQRMVTRLksJUiLN0gdeIet8J9CizM2lmapn2yTjCvVJlZVPoQWHwD/ncQq+
SpXE3+UGxYjzWKc/ceXTzSLqS9jSNG6xZYJ3HHFIDhKQS2O+JyVTzEktamMgGBBvnbwkBAMp//jT
O0zTodVtRNQfxeQx/al3+RRjiAcE3lnnRuEXCuU60rGFjoYqbQ7PSTXcHCTAGUebIbpLHHjPdZ5e
fDFtrdzd66rn/uxxWPjE11xd+TpHT8ZEOTP61y4wsf7jIijr50zapylRhwD31ozGWFnGkxH4WCUZ
DBN1aQ/9NYc43SYw+cM5PEwxskYbsPUycyZ7ITewYNJNGW1/jiErpwstEEgexGgu6vKUj2LVDh9h
0e1ilysSepz221VHKmLKMcTfx5IJEXdSnBYjelMLyL7Wjvp8QXybHF3xLu/Lg2u4F4PLWscxTz1R
52Ck0hKgJBlB7khnuOjVueQzGz2vYDCJVmKcKfASd6XKRUuOds7OGC92mNk5wM340IifidAIi71a
kYlDCAUlB1gMf4b0bvvQW9O+MfgjSwuTBfozF/5F5APsnRLQXxosrkye56n9hwhvr1L3NWlSxXSB
XgxTLvpUjcIRam9vybdgifXOEGv2yKiypQ/GvdSF+krlh9YCc5kbcnbxsf4t6NPU4nYx2GsUpvNp
Gd3jEEUvhlS/HCXXqXUvUyb/OT6qoAptpqBX9GYIUjl7U0lG/BCEFoMei2FlT99YckOAUgVt68/c
20Fq80L3X3IRYGdT8BSO7rVVP0P1lBR63vYJppwmeWWYvI5ljD8LYPAD9xpsULFpzJehpl82rk09
74YoZ1lHWqqWfEdgMbmaPG9myB+3nHsUq03bEOoJF92sqI+5UQZY6LDIUcEousA5JW4mKw9mXby0
/rtl88y0lA+244NUhpAUwWXyEYmMioxaTe9qBOzD0za45QaoPCs7DpxWE3QHX8cnp7AvJZE7gJrI
OM34uVNQfEPc/Jlq680JCcSm4TdK/1B0DhAS6JWR6e7KwNgzwlxRZe9duFRZIHYGpTADvq229EtW
WcuCDw8Dli7OXKNQxzSbWGF4jJuqdRez0Sy6u2LFt0149yuttxOHaYz4YFLORYHE73z5t+/00fRo
tkt3PRf1uYScZ7P+rYx/kXzJCcNjQItTG5uOVRH0OyPxIfiI9ouRIX5+B72n0QFuxM9ZZXg66+yl
J8nHlZK41uqYJ3ofNF+aSr9X82oY7h7VDf0K3nKkb11+q3Fw4UoFRfMWyPFDzqiBNKHn7p2+94/E
1Zea1s7GnGwUNfMeBfkYf08MWZIb21iQCvRYQ/oYd4jJskX6sdagOiOHRDCve1Rxfcszffcq82ZU
cIdnGywJwEfhvYyF/uvG/b6e9gEGyaY11nVPFeiSv2FEf2rlrWa2swEjB6GxezKoyiYTYcLEN92Z
zBuKn9QICEZanAIi/SGK/DZMONB7M3jV9fCpIJc9JGpBpJsnaJw0SzFko7myb0hnb36GKN4Y8fS5
FCkmirXa9gBYBfi3xGeDR7rgAyxxxEpzhPo248Jp6ifl5UeTfCPLj75hwD+yiof8G99C7CG9w7dZ
6efG9p8am8AVUo0sZNVoRJ65GkZmWcy0DLSvaXktXXkzmexlkyKAI4h2TitPbkXeZ02DKBFHIzRx
jfCztVFXC/FidOY5sPGw6bgj4ijd2ahiZtu5OFWwi5Nsp0LERAh2XE2tlVkvYPxhGUEnY2ZzGQWz
zcrjeOgTth8ipYqAemOp9p41ztYUwatsaG26fNy2fUyV6KArI22ldD9DNAG4u35TChQCSJ69PvGw
0U74n6Gul5npUi0gYokN4t4jENXxkjzUp2LJ3oY34mTsLdq4fTVV/OSEw13ThjLSBL5ogYYbJUJ2
2Gl89jsFpqljdEc3fC2Rgog8YY6pHkO+6too54cxJBIviCX9YbEzu27jUdWqzHhmbkFI4ABdGDPg
pN+lomvGGj7Q4qfWAGaJwi93ORa7LKFr0e90m7/0qDiF0Jg1NeOxBmY+Gnlmj0zpfeetYWFR4Lws
RvVjDWw/LZJUmnk1FmjJ4/HRYttpQDDmw6FdLg9TMm69KtwIx+XU8zdJGBBNDa4CzqxJw4JMej3D
ADB6a+3h/vHhvDqIVTwGXn3q3/VQDOsyWILBUKvU4Ye0AQZSeHhKsYFq/3LHeqsyCQ692dBh4BVP
xzDDwb5AqWmMF5S2isV9KFDt1t4FLx7xtxGOMgka45/qoWRVH1VXU7TZj60znVTtnWo1X+qyeC6H
fBeVkMes1jmk9ksCDcjukMJ6jC4QoTvsY1dTayFR8C1vz2zkSSX2Si6TxrA+s/L+LWpAuD7gLZmS
DVfO/RktJyr7Mrs0CRD1igiAwgjYVCF9lZydm1k5d59zNokkwsoa1yimZCx3ZQajSqKHzvz2ZLTd
8yDVhai7bU0xATbK/qgLBBN11rOjN/KVbAMcuR6EDWsjh4ZO1a7unmbequsrc7ELjhesAuZba/UC
VRbHut9zRcnMo5ss/3a2V5NyEbCxFc3RNYZ3OVVfYabXc+WdOju9MeRmqgSghYxJ8L7xFv/79xCy
uO8a4hgVryF2bf7Dh4ng+vLDqudj3Oe/VVwSZ2acctTpbu3xKKTPzoD4n19kfcFMqlPR1vQZFpXx
yaUoygKEiY3BCiJh/K5wJnJAEjRiwXWbSQtWOSsngSktTihqA4oxiS/bbKKvvqweUfjvW5IMYhtB
rJX8ilw/1RboX2nMOzNHwxxOzksSWH8HF4BmhqBrolBLBh+dIrU0sPGpZSJDkpQ/e+HD2DPrrKDF
VG6frQMxH7StCaHGVuYqVg0hhGIcPRFmtaarLlZUn72x/Jf7A2nfAGRlXG9yqyPaz222lSZgzMiO
JcHEXDfySKWKrwHxhxkcKroar/1ToA5Uc3xtBYRrHxYWEy6zILe+CFeOn700udgR9UuJD+/ZIa+7
Ue0Ly8ONBcWbeCV8SYl4Ktkmzk6/NkwEQqZ3sQQVppwwlVjNgQ8PGZmx0Ys3Ku/VlgHTSc/WJUoR
zFCyttVwtoR9lykHflmdkzzclpX4lxsoexr0QIFHzLqlYnzh9TaEZ4joBreoyXaNGkUHKIl8VKrM
syxkbMWzi7TsYWIjWvqs2pjnIUHEfT/PL6MPO1DFBlZ8EWxn6usRqZSZpSffZyGVs/sTZoOkeLyn
bXfJwrtpFYdYDKc0db5JDNtILzvVggu5EWerY/ltE2Xlo5ADTxnX0WoM6j9JmLw08YQuzX3MQzb1
Eyt1gm9RnYAoQB7uVB+lP78sH5XU4N+E3PIaYJDF3MPiKmd4GccjVtv4XxuBWqgNee2N4ZpgszRC
rojMPrtwnLNh3mVJSA9jYXtJ/g0S4Lbl2DYWv5GaDTVOIi+j4b4oNllGz7rEwls4BrBHUFE8yKJg
2h3QKQ0WigQKLeBr1mkyxc7u0QxNRMA53CRJ5z73U841BS5lFDdieh+qwV2zOd97BTltVMoPFWGd
ldmDTKeKQUM+9OZ7FEqUVwZPPA4Bh5Y3hzVceu1FuIw2JHa3yKXDHanUsV0Tpti566TGjjKl5aMS
WKE7F31eN2CFrBYJrEqOc+C/lhmRdpg0F5cTMpWDwuPTCvOjMceX3lu0KzLaiXDeDHr49D2DvzvZ
+X5yKSDuolw01y2+Log9N6Nn/a48515Fzb6bIXCZ8dHr1fPM5y5ddCklOOjESRBpfAcu8Kt0urt2
QN1lVaz2ite+ZujqhZRs+lqEihOweu7p1jzQcHZU3fs4exFecpz6+bWcDVZROHDq/F4CTpAO+AuW
1+xhGCoDrhMg7wmcw9AJggHziI4PRBPS4kKTQaE13FwM//Rd2yBeuO5yH2TuxtbF2SU22grB5ok+
/AzoQgwO+aR3Qxhw6DRH/a2Cd86MDzPq72bAiJiIENe8O7O3SiV9uDZuPVikidLU9drnAA+TV1kf
3hQ+JQzdSmLBGwgraAAOVvsMaBYDRbuxndccgApXD6QqFkaoA63JuMwjcoqBJ6Yu/deU9ZGHOcVz
ml9EWu+Jn+HcfHW19YxP59fmJJbpnX31pcncgztC9k//uAXvJ4IQ6XLzNrCDHf1olihg0kqdTHs8
E2OIv/TVMQt2nCkKs9zrHzN/CXpBJx6nJAqQXxYKxu0OMlA5fTUROyDcrTa8FgNbIDvgp3HiofK9
1SjfDFfhuyvopgHGNdZhsKJDbPxICIFdJ/eTBxbd6hXFKhyIWfHtdtDahuC1kR9jzkcUT2/pgD6a
OakJikUWZChjLx0dRlsyIWmE6KaJW7yf8dSFJXwiiCF5BQoDWPSybZj/pBmCj8j7dU3OygqEVQ4s
kEhB0OiBgx9M/G3phzUu91xPBE/3jzIHNt6FZyyPl0h7nzbXQq2tj6CpHlpIDjrIXifTIa/9W7fy
1Y9BXOsOWiaCYLZFZjXsDJxOfvpozgMeJMxkdogGIi8kU9PiKE2DIVW48MU2NdFYQUEkiEc8zJid
MwE0wmjF3vB6YIssM1KiQscIFtRMpQqZ+pq16NHcIH3Wsbq4MSJSs3fJR+4J52QLzxYGXcvOStUp
xV/rO9/zsm7xvCvODeqzr2b0fvKgu85yGVSjMSgSN6Qjwu3UMFHR+ntC3jz7hJynhvNcBy379Gkd
wYawWZRAmVZsX23cQV2T/qi6QizJVx7204Xcje2IYI15/2FCfN2lZCfwiIgueAcW/2G0JGPhDJMI
PEs3XHIXjYdKcV+Uk/c4D6htu4pNfVft0E+JdTuxPMnYRVfIuB9aW1Y4OABN52XKeVgBvYHebhhf
RTwhPgyjvT/1e5F2p1BwMFsG+dHlPF6NsQB4pKjUym8j8MRjVbMz8zR2YFmhGM1jEgSHUJE6WGPe
EGr+6IR9awt1qHs8tBYFbqv+Ydu4JTWLVqbuRD2FqHmKdiCIQYYIWoYdplBcU4X160xY1ibf+GzR
xFMCeuXD8nAE9DloHhAujOBEqoHxpmkzP+CYvM2VIjjQf0RWggMhSa/tAhUzG3ZgQl+cob7ZPcN2
xgLAHbqTHmGH6NI6ctvQp0zIqLXHpkFb+QXsmA9CAnj7XM5fhqyvVhXc6ozRfNPwM6P/e87K+tGK
q71TE2/tq2fHTY4Gaepul78poAwaM1FJ2BrigPCPyzyspWRX2gD5ldInBw5s4MLzMJvhvSfdbwlr
MKG+2R2fe9bAB5hEfZgLZOiGLxHm2+dUlPcwbv6G6OS1L7BF2LjqAHF5ILwI1PJs0oOLlCbDLH4A
Ea/n/F+g+EqN4Aii7Dbq6i/TgyeiIPZZweU8ZN9Qkext7zsIzkD7sUViuM19ErKqSAv3kHF5P+jw
rwOm2YVV0GLT8t36x3PMjz6fj8win92x3sVd8lIH8za0RjJVDSZe8RBgUIuPeSGoiAy86kCqiBNZ
RVn34jbqbrvltZFgKKlW0aUQW4x2LJsJY8cWMKL4CLk+c8v5zIZ43RTuPWvRPk9UChNgqCzXaOvQ
po4m6XkB6YcmJtHAal6sNHwtLPjUQR2+OMJ+JeThVzPqGFUAOxVehJ8cwHg8etMAySzoj60rDiMv
f1yUj3HdnllObQKB09U3LjoKVoGJ/1x0+yiFfJdxflNYY0qljfacj8IBd9JNGF0nvY5SmrnBxcqN
6s70Uph4GcZpGwZiVJPIbkT7XCYnS+TXyTLf84qAOGVuCUCASbUAEQG52j5zYA+hQT20l7DHqgpA
MDWztfavJkTEkfmPay1RDKJ97kO548rfJqN3aO2jdl0T1EjhnD0TZluVPBEePa0G0qq6qt9aY0Gq
FnNNtKnmhArNRYOrx5ZUiSnbTrZLBI3ajEXzaOcsvvlnktGaPPUFNMuIgR/2z5wQLyiX1kjnEGsg
2nO/gLuIQSuZMs8aEEwjGH1Sr0xIzidpvNhofCYze2wV4OIqRm5hUAvWpCO7dIBra4LflxvzcWjN
m5vNh8oke2cy0duovCUo0/0e+uDStf3LaAJhVZX4Yyn7IyjpA5sFE67RlnoS11eoco7UGs33mMq9
quZtK1nZWmm5j7ATjmXsbHXrzesySV67wMLzxjFvQWqIxtdsKl5tRaII23oOocBYeDOcUkr2Bzex
P3VGTwb095pSlW9NHW5nDiLPcKgCYDoxl5AbicPgQZn5l4y97//n/Nb8kdqkxsaz8S8OvZdahGoj
DcylBGEegmI8EdR3ztP5byAiZC5z8BqUuNW7NjmSsLobYZNy82GDGuGcycR/74Pps57jZ2Z8u4Lc
yEb3+4ReDWllf4d1FAEyjdZ9VY3Q6KEeCWzL0q5vjle+GuVgokccPpnllvsla35otUB3pQ9xy2Gq
g6W3zhB3dCMzLdjF7F4ciuO8xKYoalRzC7+umle1FW06R7/IMsM+nkGLGDo2T06FpTAp7Rs18ZI0
V99Lz2Vzi6BJ2adUB+/DhMkxynO9hKtxtnXmvVUdX2ACTayOq7OXBxen0O6KgoKwjlGzrphwygDX
FIIdrT/QRWSLDbaxzVsSVu2jDsCM8zd/a5vtbhN4b97AhtLU1K8dnf6DEcq3EgpFqGEKqJEPYWT3
vvW0ibKlIA5Zdz/RvEyUc4sXNyM7Ouibr9lpXtzMcdZGA1jPGm4oWBkN5qjATPptJ072sc4ZJlWn
NkF4kaJzn0kpLK991Hw7DiVMbuH9DqU+K9P9w4P6RZWrWP00wJH40Wgp+FrHYMKD4IIZrFOmf7AQ
XlKn9y8uYngcVIXB9V8ARPOzCF1ZCtZJheMY7SSnbHwtzYTafYwStoeM0dMSYEqFw0owvjN0/zsK
TP3s6NwgPI48yA1b0clmUzLMMyuapMLLJS162UL+rar+Pa1m+AcjYYcO+HMdkmDVKMa69uB/enlF
M92W77gLrhrB69ol5eGoErPcNWjY1mFvfInSJuVtSUWzyUIZ8HFt+hRGpEpUdRwbj7UkIKQg7JvT
iIvyaTARdjgKLBiTHIQHQL3b2puOfldkt8Zraoy7Ei1UQW5o/JTPYGnB6Hc1M1LCADxCW/sFmjHy
Wne4RTzavAQyt6givLfS+lfO7JpymBotRBLgUnh9ppuN1AuFFCvNNQqIkR4iuNSL1P2Td16UuxLQ
S/vh6XXfXLr5YnaL7IPS3d1nBI7nqINW4OwgmtskDUEQXWXDHZR+wgbbYofRvM7+wVUfdnBoJHEH
pdwEbbWO5F8Zw/00thbg6pEEJj/eA3lcm3m5iRS+/JCPcKWx4JKs0/tPAcsl1AHqEzckGwoWLQ+1
fsMMytgv7bZwyer+DErKlqDV9zNrsCWyYmHuPxBqHCZ7C20+K8ukuuP+CckRHpd0gks57GiV8drm
qDGq+D2GQh156KBvo9oEPfwxmDkzgAM4OrLAq4p8Mr1QphV02bZ7nuq/KZ6mJApp8v4ZQB8B+TOE
+Y3x8AxDucrQtXl2emWgyItCr80Z5rNfC7mv7ThbZS3raYPDueONMbpLgdzOw+mX8nemyPNBkaAi
Y9QK7vLvQIQFqYDdo91CCZaHJuTzgPr8mdjHznhnQ04UlxGd7GcMm2u2xky9yTxlZb6y/F0JadRJ
oPFixosPEpQ47Jn0ffK8/dgiAHuwPvl6zIbg4WAjETrSOKFBP43Mox2uLlZr9DcyvS5L96Z5qyH2
J2yE2e5JonIlVRkhFQDW2XAdimqTOqiCqBJod3GVcNQPy7h3VaGuFeUbLGWTd4GosKD9kyRHHuO+
2zGvIHHMHY7jsEVrg2d2BWDXoEKp6t/ls1Wnunp0zQViJes/VXawuycFnaPHNpEyV1o1I0uJeuVX
56F4SsxxhfbJ/G0Zo4IcsOwr4RKi/xpntBYXpZ9z+z/SzmQ5biXN0q+SluuCNeBwh7u3ddWCjGBw
FklJ1LCBacQ8z3j6/nB7UWKQRpqq7yLN8ipTCAAOH/7/nO+cSXFQkUsy2IGt/Yn3U3N0DijFevq8
as9G9DPp1ltBGpzd6vIBf5kF5MdBMoa3WhI00fFXf8rQEfTJ5dYfxzSKbLVUj03/sDS/6gwTx/yr
Jm3AsJ23VFmI9Gp5hVl90ae3nIda7AChpeEPwh7kZFmeSKoenDKQexRX6TI9ePAPq8S5DNiK40xh
8cEUcGX4Rev7Jr8qLRJONupAexruAy6AxqcbfMLEvsqH1sAWeOywHzr72l44w0Xb/xjyd2v3sPpX
2C6QZfJVROyZHoAsEWNQUOlymp23cPINYX6usArzD4LgBxAbtO2o2WC40UAlvmEq6OJH9qFb9Xk9
n+Q+iXZzhdD6fO0Pc8RqMqKKPplq9wRzCGdDdOaHTRBFryEPevau7a5MqOYiGxQ70VFBf4C94EMN
H7+F6ftAXxWewCcoz8sNVSFL3CfD3tAv7G7H9IuT54d1g+F7wwkBGWhURPePnXSLw+XMWzg3Nfyl
xt602/CjihHsvOq3794n1YM7f8GbWOAURQEABO0AYYRwjSz+ljXnjf+RapxiIpklYwlrfnbHf9sF
Gt9JhcCQYxOWiuzGTSCzttdFSO75zqWZU3M+DUZzZjtUIHsPZafzjUz794U4DIq/AGvdIgFLs9bj
dqPdc5IstwutIA4/+y5GvDaCKa/f43PdNS7OB0nrJiHjSZOdeFDzFwggZxj1Tw2us0ixbQg4wd21
6r5K9pE9pMAPVnHvzxcjtYZ1S0jrPoaoU/u1PbPleeBsrYYvBZv27FtszpoZrl/92MnHCmGV86HI
NooD3oLTwtQnTRRw+PwOhSwZz1KAm0F/FbDGbCQx4lzRGfjnkDXIjRHOXsDlEsAZOLEtCXgTuPjm
vK9uE/Ep4RQvYLpk+S3NKJQdl84KQ9R9N6QUewcSpuRu7H+A6ZT91Rzf0DbOKtRB+2FCeJ7QEjnt
GaHFfYzemeVR2J/tfB0vPzv/G6hSlme2eCiP5uu8epgmgaL1PN0cqPNlswC5i2/nob2P6ut6Wk9J
UjtkKRB7GIjhTZ98iuKfFi/BnH6J+KyYtkYgD259PYgDJv8x/oiORr5L1R3pMpY7B75jqzMPX1/E
82n9T77324XEs+6s/5mDo4RWLa7c+R1ERzr9xXy25HhT7iaUeBPTEZ8YkZJL9klEFOlIXJvvdMlO
kieSXTQcZkjzyDvIMZ/abcGg3kpF8iRjfFfhGTurC0XET3xeI41Zbpvpo0cRXH13MEbFA3mh7yHP
n/jtBg3IASXUYEq6u3I5U+yTQ4BxcHv9zx2xSbSlW4HCEvG2usRdUrTXLco7B/AeENChP8+xBBer
ZVq/jL2rXv1ona/auRiJoUjJlVOSfsfe+9rhSHFRFXYXXvLTA98yFPdO97g6Pq4jgDGKxQOXCR3P
kq9CElgZ9xcduayOYz9lCyEXQCrT9VwH4JopjbJhjaOdJx/TCv//ZWu6/eQ/5o5A1HVRBp/77q4m
I8T9XCJtCTkUt4SeoQUbibBZNg7D9Yz4EJd6KUhOeVBJtvOhSgbhpcPHC6OH49HOZ4HJh9tQoEWi
xMTUUpwJ2x66EoA8Iy552AQNDE8R+RgCzjeG0wA/keIbtvB6QkqMxwDAcHHZcBIW8Rdizar8UgPC
TNOH1H6sPdRT7kcxboUiaqaxJerk3gWtQPM6bYjjnbZgyK/KzYFY+ajnb9rkw1x81vZxaGnGnPu0
wgwTmZpYd6evivp1AfIeSwVnjJpN5U2Q1wh/hh1hbGe9aU8RATIzQJNcrodlpAdSH/qMHuSZa6OL
zl/OFuqlnAU5YH+uGIftfA4q/bB2xWEqb6XEtOvfmlKddw7wbf+8lwhmgLyn51J/3jj3KdQ4dFut
/uxlyR7ZIFtx0v3s95UQQ1PRKRx+eOZWYT1BFk6ZB7U61lrWP5xJLbAB8GODee9E33qBUwoDpE0g
X8w4b1vAgDieNxFSMD1q+ElTrM9F1TxUXvw1JKnGNILBsxm80BTRvfeQahtD+BAd2LCq8KWLk26w
N/QWiZWYL53Ged+PlKctLop880kkQXIBb+IQk/jmJSh6gZNAwv2CUpYDVwGX0y3BylahYu5WO0VH
wSV+PWbpyad83wabGYzIqTlw65uqrQRUyBAVic0+oMoAgAuEqXDFaaLteb+Jeso4fo9WmG4lCgs/
wXlq9WGBj4Dfu7tyFTC4eeMNOLRpT5vQP6hQH3ITEiQWpr9iTdmtYgCZPo8uBtV8WBokZpZa7N2g
uvBCxPB4l8gSJF/Pxc5JhvpT2jcYpRao6IhKF/Zadki+z/afugPUj2ax15PVF7Nfb9zBFWOz4gvw
JV90TW5Dp9YYCvugLqLSudM6ys7DYmguB41YbOlKBJzKvama4JPxvBlUEENuKmoKW1HgMYvDDcfp
390afu5JNgWfiCimtacneRbMKnxEXEA53+9Bl850QiEPUjXRl2sBTR99Ivu5db61DkaZovb19jTv
pkoOV64TNadaEvukJ+zrgfBuKa1ynlpvcjwG1m/ZbUzLVcJGLy8EJhXzzreU72K2VqeixcdMO++8
xsLbp+4338e9OLB+0K4npa8+dVsR7IqG9khFz6GQfLIiGSbK51A9BmB7AaEl2PuzarksDXjMRf0w
DvpwIJUssz0e7a7xD7NQ/jlij/M52SKB0kulNAAgO2NpkNxPU4y3s599SihZ4LE1FyuHnQVh/OI1
dM5wZC0bbZCltqMvXRmAj+2wZQhktIZq6IhuEJAfQR4AxiSDWWQB1h7G6W9UsKTxkp46qAdBAqaT
QkBOetBhJelmC0JuNVCyqL4k0jyMaO5ipP+7bhwPfa1/lWv2I2roSvDb6KPMUEc659scY6uTlObL
3v3W95st2/kp0uhX7DsfKwWGxLK1952bnLytgQ59J1pAc9VNKpOLPuaNO8VtYeJdPcekQDLHrf5F
z8Y+l+YRyQySQ1ve0FUS9LVx0vTFBU6/s1H3FO6i8xQsb5LiYyYRTQYdZsru0tfdwXfdx2JCo4jo
BslXsktbgIo9xoU1wNMRlLccjiGxBel90ZIcnvUfko7zUmdhm0D6czoOMOJrHjo9SBIPF3gfap+k
Xk9DCRCH0SyT+wsWzIwxQnWlmr67fiKDb1GGHPSnNw7NQEcL5L7vkkiVuwQuThgJIGj6Tp7RACir
sWTTVQVVmYmzqJUVK0nvNCt4I5ZnGqKxX+e0lShkaFAHAwEn5BRqto947KK4dsS7uDIKGG9fhCAD
T/2ytJJcxw6iBeupbms0qOS8txSRWNKqnJLTWmzi51bw2k7M6rREDWNTbSWNxJWO8Pcl4aDz20Xx
SHiCXjtBcJN0xnD8HPL/3UoD1osG/dCMuoCRVaQ5nSI0t+HApsEpltp8icMA+QClJx037zjrjvA7
K9NlzA0a+NPWWhl4VXKXSafnwA/Uk0NDTyeg+UWv3xvQmPe5YF2pRtqCV1NWjGW+a3ShJrYeERv9
m84nchtEmh79+rQLItIhptjKS5VNacEqNNEZ2HXGL2DA4VyLyQpG1FpyJM0QEeZfO0thdzkt3bii
KJUhGgq/h4ouQLHHxCapoCdk/LIyFUOSD3oX5XPYEQKkQmSxQDYiIP1VHK6qQZ43Tv45uMeK84AO
a3ItTrWhF1cw8BBVwjLoLQDWepmr32sjPPG18qFroFJz0zhb0DC2I3Rsma9We9fIuubkiwHbRWSh
M1cxBrzSxlHkAA6OJI04N4zn/Fc7NAGs/M6lEnfjZmMG8WMZwu3QnTaGjWfO34RoOFvVFg4SzUFb
f81S5HNoQoIISXO5aKT01epMNJvdQFCnPJHCM4pO11Skm5Q80en7zMfBhmfBgGcY9vjK7MIpPlmK
BY6JZyTwvkg0KZBaNjnxrbZ1CKp5tG5G43Fm8qDmZpL29xykOfmjTlstQN3iyFuQhqp+8YmpMBmz
37SH9G6CD9oXuH+oyJtEEsjqL8b6p/3YF2wWSptLZ6W/X9TzO63ZX9Ls9zyFqR3VaZ6f5fGy8vbw
n+tw/iDLOt+qrWo24ed+TBOMbpDTluRnok2KBbRjZR1+BOgYMXgxd/QXy+gsm4e0s61HG6uL2Bvu
dYyNIp4ImaclqPEpQpYR45h1iCToUSbivC+xcU+XWjgV6VVLnGp6uIMTJIAPCygomYDa7lufPBa3
E55zNti6mh8VNgosrKlMswD1j19rzdZmRu/poLy2xJ+hwEmY5cXahnMcnTdlHo5gf6J+RLXc0RpB
FRjUXrznJ7bmXDRrQ5OjD5xNQVNg/oxGUCIbBj9C1gQQZyhbDqUYbiq2jX3fjhDtWjTwFHW1sMtj
Ybqoc67KbkjLed85U2S6G9dXeRHshjhqO2wyub/hOMMll/W30QzRmgBa6hr5RWRjh8DUc93CpS4L
2i+TO764iEIILf1+NHuRtIl434kwzId9E3aV69/nEL1RTjrI8offHjX1oXhfBvT5yl+ycyJUrikj
ZAVm7yYlNYU+Tkz+TYYy826iLJZNdwpppESVNTW4j2HPeJXEYr84urBbkm4XDI9hNmViOWTtJOyM
SKOJ0fyybRipmdWY7SQzs1MH70LbSnHpFk1JgqHgVX6YfUDoQOUny01rBK908KIuYjAUSRo1n9Hm
MNJOG2R5402I5gTVV5+dgVjRHyJXEU00S7qP97EbEyCxrLqEdj8K6MTMoeiF7GK3LWY8UP9Ds1Vc
lYNBbY64zYy/hMwVRWZNyuv8aenmmoRc2y+CQ9KwNq33myZ2tN5wbwyFdI2y5B66YiWvfeVtVQOo
HyzgqZuu2SHOE8+/VnPLst4wjePvSwPOQ03PGWtPfdGkN440WyWwba1zPdILXS9AC/dQBPk/L+/X
PskfeMVJepXYVo3ftSfm9cKtkhwyVuxhFIIwHoT3C4UFjQqh98pzfx0KC9CjL+1wkFHuQivLHQ64
ei0SSId1HwfUW+fUNA+YuBzogqYq3YRi2No24zlyRNvDhE0x7GBRL1OqEX3Z4ed0UBvaPQVTGe9k
367GZSGpl+CrXWuqpwxhnxqD8NFYU5FY1vS3VkUx4TxKoqR9jxq3oJK4hA6pTZHITPN56mTCbpp3
5FALaaN1wqeYhyHakaiMpoRuDeqA82ImVxzrdrUydqhjbqo23VdsaIhRU3nKFcK1ysfLDCpM6JGl
OlIhA6ocdSGd8dwN5httqWVf8lHUwX00jC3uWbbYqOnYXS1q+eE0I+nrkXUeW/RySOPSdFj1lSPL
TE7MmWWegiyyc4SSeJ4XAPOwEOCm7aMkbOhL1rB3GNLLXtI3gyIZgdYz+cqpsbJLncRoNUxkgXw0
xEFUs5ZhR6K5dIClFm0yJEgzqjEHA5QHcXaYPUPXuVBMZmc+CVj6YLBRON/nIYuowk00rA99STrf
tRNXWOD9YiHyg5UI3aQpawCSGnhEeO1YSbfadc0Q/7C4s4d3VFvG8NA4kViukEKN3UciPDJMVW1W
QrTDQjijTvJFyOThsDzfLVkhAzq9BHBSvKqyklmuFhkh03H/02dA34iuqbyfcdm17LRaJQqKN74a
3AFYkqmKs0a6mLCcFG0HzTCOYTerxe5/142d8a7qiabQY8iYbS5Kv2nkVROtYU2VI/L65VcYtjo/
T/x1oSRTsjjuhHH4otqw79D2Zb1siefo2cs6ci3Tj3FblP1HPtUqPZ06h6Q0k3jDdMuMvaSXyBdC
5upZzet13/ONe7Ouo13Xa+ymGq3Jh7KVEHUyk82CIBwDCGw2QULwHx0g8miHuGLsOUBVVX05zROh
qwU+gvialuTQY9SroIajFUQSE2QqmS59xU7xZFZSxzdu2dCmmShZjvt2pJd+JkPX/enJYN3WttHI
Oy8MMxTt9YiCBo5ZEHHYqz2CgaaSimbvFq3+tiYiw2tR6mm8pwib20MhtUY/qnXP3NRmBi1Z5dgp
v4CcNsi94mORp5mqmRan2a8Uw7ACWNiIVsCbXzJy69lxiB9x0I4/R1v1/JzYh8XvLaOFpVJO3i03
k76TQsYNMUxM8junn+ibLJByW6LPWidFFTFlFNMzmD/UC1eH8pzsYf8uyOWJ6YktqbkCrdSJnlas
qbmrkeChTo7QVwbwjS55JQ3WrqqezFYgDdJbqYtZndbAmInQ7IP+e9ZJmeG4t/ALhsQUOcUgL7UH
0wwowRw60t6DSMSMOiDIrHxYk5XepuchWHqXAT95J+ow/YJLA6iJ36cRRPimWNBRCOJbFIrtr03Q
Lvc6NJidvC6LLnWoqXZHTCgIxVDEU+f1m4o0o0iTdt5UYLBDPK3fq05k+eksqpL/XMblJ4J0Nhgd
gvfsLMUQ98UVofpmvRnDPO1ccm6zZkowdERMVOAAxPAdGJgBYFHEyDgXCkmfl2HoHqASNj+SvCbc
RtVljJetTSrEXWwtAdvLdIBng86SoFwZxCRcIlFNzn1PwsN0rBYwHiEYvG/dYCUyrsfNBo0I0tu2
Z2cUOMqXOdVJAwjRaSdn2S3MMvzF3VSAqPGzntZ8ZysKjczjy34ePGJBekzkJfYaTY5v1LqCBckx
OAe5eBntS8+DHwBuUgF4x8Lg7vFVwjZd4oS+TDelBMEHkBhwGGq3HKnjtf2H2UGotC8KDQ8ab41y
zpjNA3Odsr+dTlMVlfYijlT/E1D+WBK3jb0Lu9+iOBoxrhxWaokK1InRCgCIKi/rwmjgzEBt4bVN
WRA/sHmRMGTy0YfLWwmijiOpAKSgM9JERGYx/D8cgextlEuN9GwZc7f5CNeo7M96jmHZZwZk2b3D
2VMmOysdF81tPBftuXEmp/0WVBPZpWbppvhrOwwYVj0A3snPPKoHdVYNHmoZOGOLKMmpAJOV3VmA
ZYz5FbWsNGxXRvwjXhY05hzW6ZI/WqRPGetWHYzXPa2r6WIO3Sr9wfKZM0jWBTwMgrMxpmHKjsAJ
r8ckoH/PgUdXI9vCFmQZVR3UdiNVsg2J7S3r3SwJviUfcF1mELRdWp2NgRL1vWm19sH725mTEJws
nXEITvCXjY0Ofou1Tle22BqSM+M87s5DODnJz9rrSvYHTeLA7I9rQrasTBCtZ4VBb9+XK6fSdHTy
h2msHdRcS+WhFhMGdx/BDno+QB0rHrIxEPpB+j2yVFDT0Tf2g2u7H+lsyPN8lEH0MYLSSZ5M77o1
vZ24KZkWUB6kIUAvWU3JYUTSBpFxaANICTafblQ1Dsle1nFV3KInpTCaYE68aPPZq/nKNUVzNShY
tmNTZNlVM7W6PyRIQaZzdy6zGKltVGAGi7Z5ax2qEpTYqreQgnzOKnuat/4U7mvWuPiTRo1nMc/J
gv5s5th6+IgCpGPbHuGqoA0zt0uPjlNqgMNwXMDUSp8G53+ESSI4yDPn45naMYHS3f3R6Pey28iN
w+mIqySCfihrXFAZpqZ22+KrdYsDRKvQ91Tz20aftLTF3WqGxEzhZs0eGz7jAeVUHqNUQ/Fg5Xz6
73/9r//6Pz/m/x39qu6qfImq8l/lUNxhkOm7//y3/Pe/6v/3by9+/ue/A22UMEZoPxDSdz2ltz//
8e0hKSP+x95/QKAY8jrGj5yDo4SOorw42RVZ2Psnr1/Ic1+6ktRWb5fztLZPr8SB0wkWSfs4NZWF
qxdGE3F/MUoPbq3Emz660++YrYNHuTpLJeINSNIHqms8+dd/S/D6TzHbT/3jppWcEeyqmPwLDwUw
qWtB1p3mnvJ6Fkzp/SqLFuPk317TV66RQrvaBDaw5uk1xznSrsPmi3732P7iYA+soGNbWY6hS72y
iT68fj317B6fXu/ocVtK3pw+qf17DZAuEPkfnJlsgSnV6uz/50ra9Z7eWRnOc47zCPedO/nv+rXw
Pg0clU9iHcxv3NTzF+drTwVewFilrHZ8qbWfcr/SmHSnDGQElNqBjZeGmYqfKE+Yhk2tVrP76/vD
MMPUpZTx8WAdPclaIjSMa8RUgw7Iqp2aGHuehyE1RT8QBLd/fzUtfNcySvzAF0dPM2H9thBQCTfM
iuyqjHCHL3qsLyIKUG/c2AufpM9q4EtK3AxuKbYx9Md34AzCFH3PtTDTeL+MNhVSGialelTuXiE0
PnTRnO1m1K/bmVqUF9kq9P71G37pnf75I7Y//+NHEHMpPBZvDCso9WjyBNQCvWpeR9ikFWWGBA/I
61d84dMwrvGNVjR2JJDCp1ccUZih2+NTFAWl82pM6yuLJPyTy7/++vqlXnrERgAn5WP0+fKleHqt
DDZREnUb7wG2ySGnvnwvTAO0LMV6MOZdfdDJ6JzXfacIWhUlTGRW6Nd/hOYaT+f4be9hfeEaZYVv
jl5z6sVLhLaWmbfJKBP0Xk7aWefOdEGqrGoJrKYoJIhg7ar0+u8vrYQrpAwEGnx79O3IhpVYCkrq
lV+Ky9WfP4u2eiAvGYsfBVItvPDw+hW97QM5vlsF3zFw6dpp6x6Np5YtVpz7pOkpWPAnftj/rvwc
G0eND57dzo8Wn8vv0AWZW0aee552MLgqDrv/g4eupBQ2kHxfLHlPX3wgQXWXxQKtyAvlVzeLwvN2
HFCsCLN8Eeks7jOL5v/vVxnDoi6slTz1QBw973FpFAdk1jTpdOZL3s1YuHupfSosACNJQHF8G569
/sRfGl5oCIJAeR7P+58X8scHHGdlUKc+g6lrveFHOrXeBw56/gFOL2o1Wf20dDA+vX5N+fwlW16y
ZvOi/O1unz5dpyscBICkxk7FgHIvy+xQHWLtY4p+/ULbsvx0NKlAbouNkDggOIU/vVBreWcDOi06
hx0dDsob4W4pKGalsS6AjizDWcEy+64d1vSNkfx8mnp66aMRlDhJG5vG4dDViOQs52VihaBKlGqn
Pn/9Lr3n71Bp7QZaCPaDMjh+h6tqi6mMVnLr2yW6TIZmvZh1CS9mbqFyKmX3Ku+6A/lvLdgXCZ3I
DbMHT7kEgKw2IrMiwFcTKtpW61jjNV7w/wVwRt4Ya972vI/ex5MfevQ+/CoQ9MZdwALQXa0R9/HE
Icnrgiu9MQhnYhCz9fvaNOFeVWiIqY42dOJff1wvPi0ljWAnIjwdHP0IeDkBXxYy2pLdCC6TeXa/
THR3PrpmxmZAjRE+T9HGsXvy+oVfGBLbjObSzPBcTo5Hw17409By9N1KqTkS5LlP773QpOg8wvSN
J/38HgNPs2MNfO3TR1dH98hW1WJu2c5VnUccQb3Ku2KG+03iwHzV6M6j6Rwj63j9Bl+YvbfLMm0S
iWCE5x3dYTA5lRsPqBzroNZ4h1Br+SdOEbp3EqL+g2q9/ntVe2kKQQCLLVriMsMIj2kPvqRN7RsP
/KWnALYejYFhLIvj5btFzdwmjdtg88umnRs2+b5v3HnncNRjDv8QDUHzxuDapuinIzzw/rzk0WdP
vbpMe4UBqPM+oOtvrvgBmAH5BwJViSjdIHZcBlrNesIL9cbz3/72165+9PybehjWcHMDEXr9qJo5
ve5w5j20V0O9TGSM7Hy2gKc6E+2enrqHEoiVM4uXAj7Cm2eYF3ZPgXBdhTRI8xKs3l7PH0uLoG1Y
CvgJ1J0QV/kG6fUjnN4UVllvmtuotwvJLsKHnIdI+/VH8cKrF5yI2fpqj+XNHL2HAX1wwtGZ95D0
SDOb2WX6Q7C/RP3BxRTR7dK5p2f8+lWfrzfcsc8UahU7AWGPtv9msLGTbIDLfg3dK7NpvML21jhI
LgPPHd7NHRksha/zN17885nF+MK3UkomFrZdx09aL/SSypGSUjvCGRsyHGTpUCoUSnzmbwzx5zdp
lOHn2m1nzws+GmSOUtEiBAKfmFruCeUAyANLT7t5DafsvsBffzE0GY9+6mOlT//2CRteqGs86WLF
ksd3CllA1YRGN+AenXGihGs14IsYidDwo280/MCxDOPolGApWX/F64GR9fVf8OxZM4FLz/oeOxef
JVc8HdXDGKI6I8MBrWPjBVd2yWAop5GBSItpMQqu/geXMxgMBSunZJ1/erm8rp0GRxVlHZhPsMid
ECF+CAyI9tnfPlvujK+VOocyFHnU0fbTGSZNuhWxZxlqp3cCJQEPFgkTGDL3qhiF/Q0FKrp29JB+
f/0mt139k3nr6ZWDo5JOICsUJVj4d/Hckzk3e25sYF0pU506WyMec5qDme/1iz6bIraV2AjjIZCi
FB4c3W4cTKvTTIRfy2wSB/pX3fvBwDXRYU+KqKppdqlRT298PdvXcXSrnuf7LP9GUUc7Pr6W0Qye
q+8LQJwdWMxGFrdYk1DmvH5zL4xSsb1C1mFFwUVtT/yPuTfERg4dYwAbnhSEH3ptiCYwFtgCw/Xn
65d64Y4kCjtthbYWscn2539cqhZxC0maBlSU9u417SZ9Plrj7V6/ygs3xEbVN8Ya63E+2v78j6vY
uONThO5APoEuAHZuZiWV95e6KZe//+RUwJZBUTPyOP8fDYxB1n7ej9xQ222ZMXqZhsukyGtwY+h4
Xr+tF0Y+UymWZGspGLElfXpbg5t0bq9ty/HLX1ErS5f6WLoQPnOCgIn977zG8d8WqaiH/XlN8fSa
SANwJPsLPN5E+7eD48gd511S0qO5f2Mf+nwPgM2ccY46STIen702z/VEZ6jIshgEPvjG1YEjTA8N
i7i/r0akfHgmobMAuz5X7GUfi9nNDq8/4+cDlN8QbKOGKk5g5dHQ0UOEZqDF893SOIj2Qx4Qw52X
Y/7GdZ6/Sz/QaptOtqqBVEezWN0HI4wv5s8cjwVRyG5qAOFURbFhqVBIUCRyxgpP0Ou399JlGRd8
5BTDjHtcc5y8KMpo78XQV33R3Eg3reIvJAGt0W0+JEV6oKiixRtj6KVnaj2+eE96HDDk0TeyRgpB
JbCFXTEqHFX0JKcLD6te9sb34T3/7n3tYm11t+lsK0Y9HaxhYdYlqRBPT0XLzjELVH0D/Adfh8yq
60n5zrcAse9nlBjzTSRL90EuXf1uCPAzZSlCbMRxEllNYW/QfpQPrz/7l8b3dvJm30WFjOF1NLZS
yn+drgMcgpjDSLnyp4esHD/KdI1ptwXmLqqXiPwfpFr3hpSWlbooKpg3KgAvvA3NWrYVg9n0cgZ7
+pA4VmkgxGD05rYNvXv0VQ4AZywazc3r9/vC22AzrQ1bTSpGwT8H/D9mYZqRuR5oA9G77OL7oiJ2
GhlBcN7G0vn0+qVeuKcnl9r+/I9LOYXHJqwbk11DU+IRKf9wRrOy+tsS5/bJ/PcNiaOrVEs8VYgB
2V5NIxlvGwIgLlI0c+MS3Myx+iFWEmFev7OXxrThYO7ysVrlescTEoKceqLmhlKRsqoPXmu3zki1
65FcNZiE+EoQAl71wtF3lg/rWqLjQzmmkNw7BvRfVbf3w2b87k2t/342QbGr2d16nmc4Szx97ARI
AVVtExLT2haOt+/ny80CHeVaDD3REckIDfr1x7FNFX/siKgT+JQe/ynS8US846qnbbu0GwbsYMkQ
d1d+EZeHMo5qTOwV+KeB+Fcbg5cZoePew1IVd69f/mhI/3N52qeC+j5bMqOOvp2oIpYCURuBfWPd
nFU0+S/9zCZ7Yd4s5f9T/zi+VcGXI33Oa1KIbSr/Y0xPWNiFF8+Ii4jnC+KQzl4A0tZTM59Rd6Vn
nN2et4MsJ3BZ2B04R3i/ZiZmLx6vPNO9MX29eO/MX+x+pRU8/Ke/p43mOkUy7Z+G7pI4H5JZA8Jt
kavV3yeSzZdfrz/q7VEe3z61fc+XAftEdTy2pJ8rHYwYI8JBselY8K8yeXerAhZaW+qONtigvK4O
gzeONsFLdxooFhC6+5ZJ8ugtG1R2UWtRZnnB1OEhcZyz2gkB7ZdmRjQx4abwoEXLJts1Nb4RXF8U
SmbrX+RyzM5iXadnIfoCRPny0aC3uEOGgJxzAhRtPZVeDnBQorLS+wUtMqCmOd8FAylxjtbvkF5e
4fT72PTyvVMjTSamEJoQabuOjn4vZYNcVRc4hTKHulA2biFrj0USEE+NAtzLSg/RNVjSNYnGy3rr
wuPLQjAzZ9/ToX6fVtN3avvQ7zsJ+IwgaR/QbT77H8c5BpwRQBPu7xK/+NXl9iwrM1gCjTgVCg52
krr3Q9zeZZ36hMCFPa//1iB76a2zNFIQ8ZWAUXG0VShIfKkcTRdpbkydXrVuHhaHNiKC6JRct5Ks
vRny4lqSjf76cDvaGG1f9tbAod28lUKffW0FR0mkLwy32k3Cw9DH3k3ru+mhyXV5RWjcePH69Y5W
rO16/CO2YxC7wOf97clF8KpopbttN17IqhiwEgbp+9ev8vyupKuU3FQInFI8/2gkrwJzXol5lBzJ
djn4cha7JCRr0QmH4R1xFXb/+vWefzns3LcvxmPF377ep3PEQpktxJSBFCEsYc43c9LsiYSCCDJn
UfzGzXlHxSWeISJGeo0eRxRD2ePoaviDUPr4fKd43/qrOCU5xiek+CzfIgJtks0H2CqQ3Nbls47x
GNrW9gdKx8uJq3BWrvh7drNPIi+hTcHlJJffSRwR1WDr4I2dw0vPhYIbfQRkAkodv4dFrp7KRvA1
rreUe127iupihTQWJfbh71/Bn5faHtofy0btG1TQBrOUGHvCtpa630GWnu/jAaPs65d6YXRRuOQV
2MDQhD2eJ+3K6aFBeXjSBWY+ReYb7u06xEQjcsAYBxm/saF8/s3QQKa2RZ4HZ0HveEkYbJikAQI4
7LUWRvBYFklxKlFVD7vXb+y49/TPyDKKMgXFg+3jOfpu+ijooEfQR8ctthDLXjFn3FAOI/phHRAm
nrROU4+EYemuPWT1iiV8DDD1QDVJkgEOYAPMQ5L/8v31H/bSOPrzdx29XId1kv0YpGAUw+pzRFL7
ieO2w2lSTvEby/0LD1tzVNvKDNuZ6tlOa0iRq/ZIJ3gAS7eL8xQwiFj6ofvrmRCpGKaLAJUGNa7j
rziLxlAVFY4MXVog9YuypXNmVsmi+NcPj++Pcyhri/t/qTuz5LiVLE1vpSzfcRsOuGMwqyqzijmC
EZznFxhFUpjnGbvpBfQqamP1QXmzUqTUUt1+65ebpqREkBEIh/s5//k+m/Lop09GMzrOaIEUycfe
2wc95bBF4DA00dUK9tWvLyZ+3KnOn3Z2EGwXqZF+rkFFbsLcV6FztW4K4yURa/bqhV9DVppS5lBN
Iz0f+txe2UEU7OJ2KGZCfHk7dVmzLXKlLXSmSZjSn5jFjHwzuY7dtIW9QLRhociGX/qZYP7x1z/2
txfh47aLH5tbbD7puBQfPz2ABXcEyhRYV8HIfAHNsPGxbuRjPVBSLYzIXfo07h7qlFyfVqTX87IO
7m+gaxxCCyMHDoouDZDbmc5wqMKO+GTrdmv2cMO6dXJnkyvwfr5KyqXfes2mpCS3skv7mQlHBreY
W4FJbunMzfePogsDcLX+QQ5CzfFNizYsHO9ELxCMJWLPOiOWSg/OYq3FdmO+F66HA9k5tZX7tXRi
fdWSCT0rjNQ5w5T2yLF3poCUlIuBOvn6qJaDbqSnrGnAq8j44I7wqg298pf6pATwKpLav36B55vs
F6+v/FT3MRKIZVPZw7WJEC/RPchuImZ9VmVquBdMjDP1pOnGb2JQn3utrGdKpwkiXEKZxo83o1+z
R2gIL7BSByycDI0A0oQntpv3KHtIoeEONzIT0MJsiAIHvO6TYQTBsqUz/Jc/hvwsxlxKdyg/6Kb5
8WMI2hg30TzP15X4LJgyIasP12ET16hGf/1i/2Qdp5frkkbiWD5/GOdF7ruH4dzRrbWEKulQduO4
yOv2C7RNPGgVnfWUWkuuJJsjJm0WljcOtxDjieEiw1z6Yipvf/3T/PjWswtjPXDpJZAt1D+99dIa
nanzcQ9HxCejFTnidjUEXbD36NOZ55gNJnFf9q66+/V151/y4y3HdR3ijKbLFpf+xccXwRw7DHQh
zJy060G/ZGG/Em7n/KbI9+NmjAcli6vBq00ITnx6WxmuYDpWkGExfb/YV+4Q7exmgCmZZNULk95M
tVRRB2rexFTx139BSscEjRWdRqr+H39BnWMEsF8unTWg0wjYJjsGhLyLX1+F5PJPXkgiQnyYmPVj
Rf/0AMETyXhCxXVqBSsB7Pl21GowyEuqQfzZsanfPmTFY2oiOwQLCCp46IKV5iODt8E/4avkeT2N
zCBfEMxbaJUB8GXVOXCIeqZPQsbSbiu4SNPUICZalv4z8xqsFPqy9bE2JNftdOnk+qYaMEJk8ZrJ
Lw6RCbn4Ym/CogUghF0D5GxJfURsIJvo4Y7hsmVqnTdigCUXYhVSR6eeiUdHDZuBy6CqWmUBnTsL
SSckjNk4AwcTRKszTzeCRK7wxBQWaNwBZ4DnJMe+jcpDGgxPGptvX3tGI5CE1VJ4EWv8s08Yj6lc
TMzMn7XqAXNU32zsYMeGlz2ogKMiymPMTLG4cFrYXZ5cTXQvrMhY5uCOqH7K8dZz0K/cBRBEeEyP
6p7JMBBhd7ID34AYL2U86jbB5Uz/tjCu25YZIfvQY5bvS3NRThcoq5jtWtjiPMZylDN1PNyhimFw
HO4bYy/IBm3a3QHcCMd7nXCNm9ZXZJ2TeY68bsKJHbBGxCBveDZMxauiXB03L3FLpnHtomBIQb11
Cki0Xi7z7KFxy4N0YYfF8QVZyIUA5z7Fpw6LZptuMmb0GA6Q9pp0KDNmhxizt/tUK2fBWwuaDAIt
Am+thVll7AzTO7TaViabuBVLJzqW9tKCbuSdB159PiTbHvpLXJ1mL2vESs6ITu7fwWRGPicwjOo3
fXkGeEV3v+Q5U/Bb0K1wqNpDgBCm6c6YHvGRlUKhF/n1IMHtdZdet/XdZs1QMRqVS4kJIZ85nMys
T6iO7w1Yjnp8E/YvWNXQ7EDeEfDx+nd/usubo8EwBdkNDhzNwYqvMWCp5MqIN12GdZ19RA3eti6f
B54+VfSlIrNZNnh6wnCtGFYiBIT/jNGciUCZ7TJkPeE4mAdRzgu5t5N4GSjAx2zdssSC/wcCrHlW
7Tm2jxScU8jI9zA+Te573vE0vUmYyojjbE+WQ3gXTvKsYKoXGU5RYAxKaXdZloNeYwiDCX8VDwfo
trsCam9jLbwIS1UbbQrr0LlXAcgTRDSMLDN+PkpGmJChJu0OnjJAELWuWn2VkERsrMsY4WOXOieq
ZHyJLUYmN1HHu2StXe/CyFdMPekQoQzti+ENl2Aw1oJeteDzycMHrOOvV6ufLfrgKk1XmRzESZB9
XBO1yjOixCd1mhvhePS1GNw2TfPfdD+/reqfny2UKKHZktO3aCp8vMygIr+mjcCBf1BHGSTMLJlL
KetTLk2s0nYTry3G0d8cT/nHoK7xhGBTnhhpXXRx2f3mQPrj8YiHvW7Q3tLZXRDZ+fjT1IwJd3pO
lS30cGy3+Nt2Rcr0V+rVvztM/Hj2pUxFpl44gpEannwfL6UzWW17GEwXssWzErSyv5ki0wK+0oKm
glb/l99PxiHmniR5QN7Xz9dzQq9Gi9bAzKNtM+/OB/cIbtn9XfHzx2ccMR3p8E4Kqghsmj7+XvP0
kKom4qFVKo5TwIw9TIpiWg0hJC9kb9kxT3gK/NWblUDAXMkxTNJCvKIfL6qojfQdQ6+Ur4NsJ7yK
wd3K9/e/vsp8y3+8Vzln2hzHaJ5TitE/3avRVFjMefk06VV6B0rhhETooSVGvapAdivNfmJfbq8K
KX+zc/hxa2RTQ0BJ6bD/k9bnrAyj626LTb4kP5s0d0ESGKdOiZpuIzw8DN79BuaAv6lb5lN//Sv/
/MrMP8g5g6R/fjch3JuR5XNlUzGGXqWASEoPqRlD2+YuCpCIMuxq77zabX9z5Z98PjhssNHl0EFA
6HP5oDCm2LJC1G1z8fO5Mf12R6MIZ6GYzCgDpdWJ37Z/54/3xzeYqJdDQIJa7tw2+XTvAiHTotxu
iHDG9LDNELS0K8rgAD0c+xZzheteJeFzK5ivG9kwE/ySaOQHu17lfZOtf/3a//BJotbHRDUHLjyu
9C8+3dQdky0DTk1/1WBEI2vWD0AsVlM9md82QFkDoTWsydCTMe2YY/3NWvjDGzBfnjOc5IYnZqo+
3e2hqbeUivxg5ZC86/YmYxnDMzF7wwXRN2qmgXnHIOn661/6c4+bciCXtUg2EjJgJurzA8Fn+NKx
ejDgke7Vm3rMK3xoXfyaW2Z0FlvAD1sVgsgcR3R9FizYPgP495sfYl58P9wI334Iyvm6zjwM//m4
nrjRHIKThDhKUfcQosye4doMxOxEez/lLAgYtJNLrxY4CKZZ7mJ1FFx6Yq6/eRfmW+6fP4nDvT1n
8Vi4KYgblOI//SRM3+pebpro7h0nCr8wc9gW7wkJ8uTGCPBuvP/6N//4pn+7HCd2h2cEUVaD//n4
iyPRGQI+1TPUQ0Uvvhma7CszfWpXJaf5U+Qlff6b2/wnv+GHS366zXNJaDf3y3FRFuQttiORXf1g
GTheD4rwQrP79hv+rw9jrPW3sdbXvBirEA/Zpz/++yl8rfI6/9r86/zP/vuvffxH/35RvGc3TfX+
3pxeis9/88M/5Pv/ef3VS/Py4Q/rjOLHeNW+V+P1e90mzT8Gbue/+T/94r+8f/sut2Px/m9/e3lL
w2yFqKMKX5u//fmleUKXx59LSeC/R3rnK/z55fOXlH/5H+lL8Z//+yf/5P2lbv7tb5p0/5ibICQd
WHFMZqJ4APbv376k5B9UV9X8FOBDYc3PgYxxr4Ap4T8ks3GsUtY81zN/7W//gpdg/pIm/jDY2hBR
d0nvzIuI9bd//PqXf7/J//7O/Hz++OOziPyHO2d/KCpJ6orK/Zx+wVNTa7qFfMZnzjdcukFenFPP
rpciMPND1Fb5heKjetFzfL357nX680f5fvTZ/nR0/3Zxrk74xhG8OIy+fPxg9FVrl50uoFeEJn3k
tnae6fIWR1bQ9BC7NpoLzQO0sGBnmd8Lx5zOW+Z4H2UksgMewqRbhtKNnBULnKEh1jJrvCdyYh7G
GEcm5yEqcMy3pyHJHjVPac9N6RndleeOgTzJqBLsbnqTXRuppMk9+o5OtssXuTmto8Sj6gjMkwFQ
NhIBiAEa/P2NrKLJ2IjWyh9s285MTM2jf1N1RvmWdyliSkLlb5JUR7mURSxSZs6tBt2vE2lldgYP
IfQ2BHgFI2J1Ir2Nw0STtfFBGkl86Vad9hc5OxCOtSP9jrvUh6+1VLUWMv0EBsSi0FFGcd1d9WKI
t1pXp4Bw24Rcmt+cOwb8vU2WJQOgyZqy5jwS5GwyiyNuFEng99Io/cdK2dWxrT0XY20r2/YyHCvV
n6aS/ig291zUh04qKh9OmeYFz0MWNURRKscRjFI8W2EVGwwA6L6y8NZi7FuKOmpLHACDwYzIMMsI
iOS0HOhN57KvDO2Qxmb97toK2EKZe+Jx9BINZO/Ie7PQQpVo26LO432Ya8hFdWoyuM1qAYsoGOpD
XcTNGsUY8Q47EjwrHUsOW78U80xI3j5WeaQOo+c59kI0XnCPbCq49iKjPJ8HZ3ykzwWSvSKAK8qm
LBZrWDx1ifYv65qVABAD5t4WnBin+VsKuGFbUblxsxWgwZJjpgUxZEGpGeiiKgMmTkkbKlgLmabQ
XB03rDedCrtTnY/hS9eUQ7DhphrDZRgOrb5MiMdgxqwmzT9girBuW97vfqEbyBC2o/KN4akvnNRZ
9WMGiDHCLvCmh1V0NkAsXE/MLh68wAJoVHtjnzD9kYHfMJljfSvcJjnEE5WjiCr9dHKcLgHlN3Z5
e5RwhODLeByDqBvnQbQcJs4PW0UR+X1q4CFrla1j0nLG7RTqpzRV9hlAW+/U0hs5OL2R3oFjlOdT
Moo7jTzifWVUdAFE4hRge7itkdqlGqz5+dlZgpWo4V0cfSTPO1vBLtpg/KjWoDBAYFp1vPazInKA
FbbBF77uXdSWTmSlF7OZKpjB7bHDIl0M7qEe/eESH5TzJc0tN1j3np5sYMPxKkaIDpeVyuJNI1Pt
dpA9YjE2jy9OApk6dfPxHNIh5vPJ7POtXTf+ddB71U733ZKBB/rMWpv2SAMGs4DIr/D3pXnunzNp
mN+OSdoAdypNShz1dEbm174xA0DJqssizD0BLg5hjaupIEGyTPlsH7PeFCdDYmSd+lEcs0Br1wQb
q10huvxB2EVxVU25e+07oqJXx6jcoU1HBI2T68lXEZvA2mjm0BXRNViexJcO+MJzcKO5fXBAmBAZ
q0uMoHlzN/RGtLXc0HnTU0c/xJ0TSMIrbYOyeTLAKEZZdVE7qCvKSMsf4EjECVobwJE01yP5UIhR
P2g1sSVQFNPOLXXUI7GpL0VEETI2s+BML+JsO4EdPJ+myD7R7EnPg6LR2iVBZ8Naj41Qm8BxkkPU
tc0+Nif3LJkAjEQN7mdaif4SuiGir0H5V5juxmUDTXOftiBh+8D5khlwbRPRGSeXftApoeZ/oqxr
PEUE5b74phugzquHW0uvzH0auNoly0y/qkoRb0qifmeG3+LcGhIBbbHhbh4tc1NpGD873yHsZxXh
tma5XAV0jI4csMZDB1YPuJsxQeauuAjAl3BX5RYElNDkl5mkfgYeKwUehbSva+IcX5ZH8odlHM6j
oY3HIIaTxwIavELzCk9gDd25091vJ9+y91BJ2q+9O+FFYuaQc2PTrfrGzZZDHXq8m7VxZie4T6M+
NPZmpzcpdjevA4Hi++V7pkb9VOZ5fkjyIqP5gK8ZVn9W3zWi04+uXk1bzeBJ45VDdpH2cEXHVLIu
9DK8y/NEvPks0FTfUMMfoe0C6edMPe7RdOs7fsb0QlTwPWjxuHyykUPDYknhbWj4tEcbxFbFTflE
5SF58Y2iWrf1OFwQu4GXblXUh4SJM5c65XUc+8xTa8x/HiSMZqqFmoqPvWd6b1oOomWRlo22S31R
4vRqE7X0epAQhNEo+nF7PkC+08GSy3ItCqlOIWvtmTRwtOV9q+Estf27TMvlK8+46K7RG/eyJpP1
0EVBuM1h4l+hkokOQ5I0y7oezRVNWX+p5TgKQa/qK3MqjF1YyQpMqOh31RDhMrYYPgXSg4uADgRo
I3CbQkTjKe7MepFTt6JeY0fX0rS6+3zqXEHF19J0qrdYysO4EDZMlhBxJ082E8sQkQojtLozOaAV
DaQ57aopDlc+0K99jRVrWXFyXfOrlW9SG4a9HbrOloxmfddPIjm4+hQepsShn+c3sOHbNrQf0sin
JFnz4gDnKZeiSQaA4130tbIaLjIksPbIE3I+j2S+9SdDP7myZ3+c4qizesOnDF11OB8G75Y5cGfN
bWvtwQjaqBBScVP3tf816kI0bH7jXUZD5e1cX8s3sa76G4Ru9k0692xTG+yOxG7M2z1omyoeC8az
4NEgmhQ3wPF0jm5hvM2phz04hehfbLpy+9JCA+zpYb+xE3gncIBq6u1ZCjrdmF4ZljduROlNtwH4
8ztgqckJal//xNigtfB7yHa+UOJQ4pQ+wL2pLu3SNS+9KrGebJfx7rqL8OkRe9hBfwYrjU8VU0aJ
4XkozTOPDcZm1Knb1vh377wOaCcYJBJFWlCg7MzCi6HTu0PLSQ9Aap2doUaLLoPC8K6drk32OXqn
R8Ot3WsGvqM1pnl1MzCOvvZ9XrCZzEhJJqkOaeuWZ1CFyx14VMC7JKrWuifbfVdkIIf6XEd3k4Cb
rAUuI0rqiDKN4hAWdUcxujRBq0XGRSl9Y1faSNS7IVKU06OIRG7pXBR60G0LPj/r0GqMjQThSX9U
nyOVfftQQGXfwA+49wiYLqwKzVtFxJOPqv9e17VzE2iDOmuGsF0mTBEeiHiLU819+kIax167MT0X
Q+9OQZrwyLaj+1YznmUSD88MHBjbiW7TLoBdcEVyyFiauh8+JUIvrw3VjeyBDbXxHMS5bVtqlyAO
h50ehfj6xlg7bwsDWiy8PWxtoCysWBZvetOY90NJnpF9v7OP8kLbu9rIfs/PMoTbGVGH86zX3Kt5
pOY0VDZw4A7i5T2t2PTk1qM8G7WpxvuTjThsLCvd+iA+YNU7qn+qbDUcsRbgZsu5DS8KPNizYDO9
B2g7rScwUofJ8b6kRGkuGiivB+VPNXJtr6/AevN5pjScO0cTTzi59zE8JtZQPTAgFW/0vkqPzAZW
aw2Il6IwXhLyaHoXN7KCO7YiwEnWl4yxtoGlxqhbFRrGgRdr3PAooFbYiCFIEKdB4Im8SUdk5rIO
V0nbbzOnB7YYmP02QGa69zmS4b4K2vhMNL19BsJEXge1Pt6Wga5hH2MfubCTIuP3TAZnq6dYGVTl
qQNrarmcP4s8Z8yievVpWCeLNojaJfGp8FJHgHakIJTdTYi6JLY6N9mEvtlegmig+DKVHb03l6vQ
bgmtlP17BwJ52yAU2KWgtgrOPB50bADFcGNN6R4tM++ukPj1r95khvejZwXD0of73HJSURDHoNek
L1bhuxcETJyLyuUOWlR+adx1eqHeBIe9cFk4w/jWssu9pBUcvqcBtFe3SKjOq9LjWWfKqGYbSU98
EXcZq4Lm2edR0qsTL375OgVxvxHTkB8Zk25SjI42sE+Ce9pDnyUMA4eNWWxUGCLf4jGFsCsb4xUf
nAJ1aRMFW9a0+jXoh+ZKWIP/xC4c862cxhhXj9JvpzEpX0Jd1i+5yZTEorEyk8XMxXiwNEhsqn2q
9ziSsxB4NRBspx5/U5oSH4tF/zgTSybvyRfwx0+Vm3/WpkCUsSbDWm7pFJaQfelYsneAMC9aCKOB
pIFrhqEErTakF35Wtqi0gAldTGUB/zUGWitoVjZNiwPEHIhXKHikvykof2o1/f3HpYxK0HDOsEg5
d7y+y3L8s9Dko7dHIzP4nITy/tL0VP08km5BSzHpX1VcNC0yJolJTHc6OAZNVzWP0ucQu/RU/LvG
zE/KGorxZiIzMFgkiJKPP9ZPS25BkYzX0Nzao2sE4uV/XHv72OT79pIo0yT8SvaB/3wehaVWwPk6
KGmvCkLbcaOLWxdQ7P9Dye3/x2Iatdb/ezHtMnxp//P/fC6m8U/+UUzT/5jrRbyzjomE07D49PxZ
TJPWH0wkCGrlNFaI1phUWf+spmnGHzYFd+hH1GKpwdHv+a6cpv8xz00o/k+biAzNoL9STvv43jOC
wcQNYyFzQtUhbyPn+/K7j4Mp20hFgw5/MMAm24M0zr5894L8pGr2qV9G8tMgTEPTiOo16aFv8evv
rhDVplXCqowXcuvv2m2zM7faNjrUf7+9PhR0vy/OucYcfPpnkZzC+McLffv6dxeqi0pzrQzGYk2z
OtsXmZPeipB89NKFpX7woRHFyxgwL+mP2kGv1BsXnixmcIYsndvQJjap8Zi4o4sCer5hj7Vmc0AK
JsdB6i1QqupsBUIXOyzo5GbHXDPss7HtKcfZVtA9MbYxADVlP7xDphp+CTJRN2TAPIQRchi0oy9S
rI+xbL1pBQZ5+AJUFbqlBpmkXyL7RJ8cgnGAbTmGTkfO07ffKpAWF5UihEYeBS3AonVUcF0YwAEX
msNBbmFOCGx4VqeKA+IAthZqU4+lJmpnezZLILk0EJPmaRx9TNK2Sx6U+9F57LtIeyDnN1xC+U+P
qTsB4dEji96XO4XNS86u8DmCPHbAuJEScGfS+jYvg/QtMsLheRLkljTo5eXGSgeHJl3lhreNVxE9
HUE2n6h8aNQq8E+YGXbnZe7pcbXxcNsxak+9zWdEtSNU0SNR9vcqMXRyJb3MfUouqgcT0ooC1DBn
k5sumXjxJXiq9KolsX9IxkIjRm0nDEJSeXUOtnTGU9DFzaMjwpsWwiDqqNie5UNe3z/P6eHlZLbu
Ebdrcq2Rrb6uQrvfOvZobHt80JnmIUSoeodKrQfe1o75y/kk2bh7jXxoGppsq6y1ec8zsCc5ECmn
ejR721xWfiq37B9K2HusnAcL4MZOb1POxekoLHSrMHd6P+YQHmdMMWZanPjkuEw4q0bDbbPueNUO
MNEcUNlT9Zg0k8PcTtMdczlpZ/XYQyFt6XsdQqdKb60kM58oevH9/CkfbmGS0M1Hb2AeGX4ujEXV
p1q+HHFwPYMwQ5aXC0bAAgvtLczjskuWjZ2o69zK2OkNpf+Wx5Lv0KQhRq0w68gM0XutHqshRAoc
FZFxl9lVeZUljtjXqRNxjOgRIK1VUKphodets/U5Xa44UQ7RAh5tgR2GpC/04yDZQ+3srhVakfNq
NOud6MvkLqyn7FzzrWibmkI/k12IJ0PT3aOjVQWb2W6Qy6R17J3jOe3STi2nPkYFDGLivROKu6kq
iH9kdZI/VoAAyYeF/T6pam3HRkQ+q9k7mo60MhbmyElhqQkvvPEjT++ghhj2XQUy58EN0/ZJS12q
5ZqR83cdT/qXOtJRlBxW6ZC6C/VtwkjypocevLCjQp2KsC9Opdmmd0XcTedTqOItG6wQEG8cQVc3
rYMoQPbVOThlCybt19grp8sgm7pLnCTPrZSPLtvfQSKbj2b97bQXZXYVTTpc96bcxTZjagtq1sY1
A1eo4uM2eCohpgN5HEy5xxFkn2eprV+MjQtQi5ptCCM+QaLugmtzz2CVwrmu4ZMZO1ViS0FAXHFF
wR6xWwH25qBMHUpe8bM6IG1hIn3pgrRG6+ZhuA5rU68OXa2NFioGoV8HIXs4/HxxdZM5ZtmeslSN
Bm1xM4uXZRFRSuncERlA7XU60sBKxej/Gn08H5jlPu/rHN8brO0nxw66m7gO+aCHeTwMQIsT546w
qpIrK+79105D5eMVenKmirZ9osFhXqR6NgcKtVp71e2U79eZPbLdTAYmB23KR9dR7TGuzd7ePgpt
6sWCilZtLUtomFdg0x21byiCbkQ26ZL5u5BVbCIAdKUD+jtnAk6j3cFr8N6UhI23ZVpIltlUFRcy
7KsbjCRgy2PhR/YiSaV+HxtasxtcDU2VZTnUVRprYhXo2lGcYZ7qOOR0ASy7CJXHWzyaJO/MZGh4
XXPzlux5fy6Rra8DGOiPjTKiO95PZS5t9pYrGY4BuoC8WusCtOeyChSYeZ3pvVt9yv0zumzGzuZc
j6G0dMuHsR/HRwO/9F3Q+uHJKV39ti6NaR93kb+1spSRQYxIguWo9Td9WMTnGawACijd8G6PnHQW
gTE4b2TmyleQvsEm8yy1YW5G29tD5O95v1F8ep7Vnateqg0jjeqycLIOplKhEdksbR5NCvLcSQyF
eDBUr+6zwGVMiaJbWWIgJVZ+1WWOBh6OcdRtnJvGQ0er8MrGZnOG/7CkNGHXJUdh7GssA7OjfhgY
HVzXZT+Nu6JzkxOcoTRaZ9mU3iVjS/6VqUsmhIQWIjt1De0+K0fyDxqztVeMllXmehSaWsBkUhe1
dDxekdhZCREmSKWzonjysMW9BnEl+nWW6mA3RFpDGY9I+9MsiGi1lZ1lXusONwkipuC+JjPGIyDQ
Kzp1/TeSRFymXzJNBntdwu6WbmGunJbKb10IZMSFIy7jvrAxCeVGcuUxe3RpSi+7MOs6uoVM0Xzx
iklwDhoHRe0rrNfhZDSPJgXfo2jgyjd2P/siI61FaGG0xaOem+nJpnByxp0XYdA0aoXtnsIM3Xps
89gta+MJYUD36PSmRgo4qEzOsaM3G5RJJO/GosNtPCJBuSl0V4Pg7jiYZkeXAdJlG2SoxxB643rL
AJG+Gk3PM8N08sFdWqlnbtqBvHHojfW5QvXRbIamlckafibmAt8cjmVGgYJcZGHG59KFB7PUK2e8
MwB2hMjDEaOsGFAto4Vobfeykm38FfeKOgLgqc461dM9HfWovHDySaHbKooGt1CITWxGI5GsbIfk
wcYfEy6Cyi421JTTrZOO+CCzwbxr+6K4bJKaAiUTLxbrcmyf+bIoVqKtsJTaXdPc5qPd4hcuVPJF
pF2yHhML/UShT9FlOin3Ky96y5jfNJw6tFKrsSwB8bOXm+6s2umuozDoV2liya/UXwEYFpkZbhno
GnR20XyRfucoSYAZdXxlBc3grCO6rbMdtUVOyv1JpEQz8/ArE7jFTd8a5Zc6mtRNSCEjXje+HaWb
jleYEtMw1jsrEHKtGci8FpnbA/6mvTDFS2ni5FqU9WyWy4nwrbvREu8DhVFc10XtvtVgIvxlV/r+
PRsvnwlwFRYVs4OssAqV2BUkf14R9Oa4nkXidu+0d8cXXhFQT32lnWIXwdCicVTxHiY9Iql2gDW2
Mcy5VO6nY33wEuH4yzI14ytViPq1KabxDXZTeTmOAe6witBOAkm0kc0Ky8sUUAVs1UtalkWOnYcm
Ddi4wsr3SaSscKUy2dFPKIGJL6vRpmFVTsX0JJNR33nxkO4KF7XCcnJ760LP/eY4OJH/JcaORps0
dll7Khm9Ik9qHrokkt3SSJzqa1LH2m2OYQmtFMd/ot2a1WywFZYo3evxDHcPNSGbv0v3MOR+LQ2z
KPE/F+Gl27jpq0arARS7oU23LRsG9Fqpq0drsx/9q7GxoBOEPHRvRU+Zb0EfMDeJMLeIPzo8Y/de
G7EH1ZyOUrAI86uJrXGOAtQ2bnwZuFsvztmpBhEm7EVgNsMLIs3CWg1dr5983zfYRuhim8Tet8NH
Fz4klU9+WDYBNT9cR6pZTmAHUx6lpGMXLYTREz4PnZaNHlqUt/MBf0ZOu95fYinwkkXV6ZTCRoJ7
UEKCYjifAjt56KyouUlcu36BbFacQg/tlMRD8ZLoaXtbiszDmeGkz2xaYkwPtsKLERTVeE+mMzjX
R1/eDJYtt5kLfIZqcVkNm2LqjGAd5intjJYt90IfRcDEQot5iPC1Xt47fcs3N0V16GeACIcazLSe
wV9yqjjEAoyb/ipqa2dr2k3zEARa/dgFXn7p4IPaoE0on6KWZ3bDxvMyI6iFjsQOgytnShVTBoZb
njhVteeDkdAKGoOYrLbQYnVRJRK5rdHX+8LWtZ3mtM3VCEAWjfCQD08WneaIFcbq8a9aU7c2+mkg
yC+KkT0HjLs3gXKRY7PTi9MwxFbI+LAdzDePWzareQUo15re2CcTyhjt1ooEf+LNglSomCWNibRV
u8yJvRccaHLb071mJckR0CrNnNQycHjOLlQX6lg4zPacw5w1jxhrs8YqTTwgJX5LGb4kgLsr9eBr
aU/6lR1WhOZ0t+uuDOhO+yZOxZe+EMVbbHTF+9D2IWI3M7mjtdUh2RHxzi7DcjWQNz/4RVpfaNrE
3EVUNNvOK5Eoe7V9NLwm3bi5n2yDqIgvjLgdN6XPdETlFHI75ZW/pqNoLpGu9asw6sGpFQ3Pfxgi
3Zr4gNqioQ3OEEJ71IcD9nU0R60boiByR7N6YMZVtMw45PousP1iZ2J6qhZhx0xMJc30MiocrM9o
wIYbcofNw9SyvFm+V15R48Sp5Yruum5yp2LVACAyjT3oS8BxmKcrJfY+PXIm8idymku9xLADwC+/
UU5gbKmH9kcC7bNvtBMn17eNreLJvvbyqtqIJmWaRcpSXw+VpFpbqN7ajHFe4xWs/PDWHrNpgTol
30VTn58Y9hp2nLTkscZ98lL4fXroMrPYOlUnCUDUtlgrqZLdkLD4WJ5qHmBCobweZLZH+WixHHJ3
nOELaV8ruzEvqyIKl3mEeMulSvOs4cOjs5hgI5wmYxt5/0XdmWXJbSRdeiu9AdTBPLwCiCnnZA5k
8gWHpCTMQ2AGttNL6Y31h2SVFIHEHyhK/dJVD1U6kmhhDndzc7Nr9yrt94aVvpcaodWp4YtN71Qo
j+yhpKjR0qmL/RB6xbVqoFpmez36hC5pebnXtDJ/hZQ0dzIaIg86jyEgrH2AuHKf0beEy80W6XO4
3lEqIer1ZHXXkJpabtcBTnZz6u+kGl39THt3uCrYffEm61oT1bHGvFN7Q9zUReftI6/tNpFXVZ+B
6R0n0qKonfRV4hvP1PutP8LGq+tS/FtcVplbaYnxOYl9zkJvPRXDpxrAeuikuZV9l5t8yLZ6OCJ5
Be6c+SKOd3rTRlBogIlG2IK5xM7feoXR7lrkaFD1DD3pKkBO67Vi8zBZkeQdk1CwzIAdysNDXPYg
neR8IsPL4lK9KoQouO2AxpGpmtKNptNgcIWQ8pltotzFCBENVdk5qmHye18NJrX7VCLfB90w9tz+
yoSDGnnEVmpEBFarukiuyrw7Pily2X83BkiseL+q3kvNe8Owa7HM4JJUU7Cd2RHhxX0T1tK9oHr+
N1UeCpV7yfrN5y7iaycCus5JiRpsKQzBfcFzbJ8MOqS2hg+Qo8xM807UW+ueG1x4B9iEhiNNHQS0
dArluRji8o+uloPPmufD0p+atKpMYE17wGHDj7LP0WAuzcp7ov0LWUlCUYmR8Ef6Nsoao+eckAiC
cxgfdWqjE+869GUTIPSkWhfFHbKqfhDb/RdzVx7kTbHN7oNt6LSbCCi9HWwyJ1rrVUxV9LMS4czo
1Ms4MSqowxDqKrXIzund/pC4jNU5kAZfKZtip3+6XPhcdXHWGdFJzUozw0V28mFyUXGbWwRKfroY
2YWz7uI7y+IlF2cF3SqWxrA0cZFyzrgtD/51upH2lqK40WHcuvmdttUdBd7QxvEeqXftu1uJTn12
AOVzp+2R/nz//9pWcQu+B+NaW89LXVrTu9wtAJIIO7qkDu9hOI2/AoU4QOj98iIjiDduZJug4K4N
Aawu5FRiPvlsSFfLtVCykPFrtykPTINupeufewXUYun8V0Zn6O/5BjVmc7aUQckhFBYSSltnvElc
iGr2+U2wL3baw8pOoUHwcV9y7/IGkiGAnPPVMDMdM4g5OcjY2KviZm7xlO5ap3E5C9NGaVaq5e8k
Yx+2yV8W595JltfWUo53tdu6qoMVFH08F0zlvt57e1PubN1tN9O5oAlhg2vls4J/13bhk+GuuD9r
Qvxc6pMfM8ObD3rgSUmH+9FB3yUPEAZdMffJMRl1+787JvLKihuzfpsxlLnlI9pqBzfj1t9L+3aU
tuN1sT/e6Ftx728bBxmldBtuEeHb9l3llLvu2tvoP3Hv/waC/7s9MkOez/7y/zuIOf2ciTTlf+6K
Pf2f/53/r4dvTZKfdsb+/a/9pzOm/kuiL0a1Cq5selnTdMV/YObKv2iLgVQE5C2btMg47//pjEnW
vwDgQGYrMoOO4I1CCP8P0FzW/qVMTTF6F4yn8wcbv9IZO+9rw+GEBfpWgL0hc0IucBa9U4pBvtxY
osPIhxvnMrocJHLQT3vdj5PF+fcWOG1dzWDl/zEFnQgQWNFSjdldKAqoDiLEKzuEaGpB/u3oVk5m
2tZm2Mrb8lPa2n669Z3YRWnduWx8+rNPAsG/3fzL9szNkD5ID5s9s+EFCoTdJy34fDTWuu5La2mp
cB6CnGeURp8ZGbt+EsBjLVUxv+1S8Y5/7ovSdl/j8rhGUjFrA747dGprdgEGfpUdJ+oWZnXqRzlP
bqmgTUz4jA+XwZhTxAofo1JJnc5Lt4qfvV1ez0VXNZn/wEPDKOv090/uKo+6H3QRmE9g1atN5C2o
kIgVw6Ta2qrOwuZPTydmOVaUFut8TtWgRWaWTIM44dH/jBDpGwWgn+Hpf+yqLu0Oi3NAJRWVBSAC
596A2dB9VGdFp62/6On3rvkSxitjjQsLNqmy8MkYOcHS7HJXotjXCw8TZm2QCVNB6emERLuiVe3L
n2ZhvU4sfWDO0MOwVBJOO2UQ1ZWpi0MEuHKaZmiY96NMRm4xOcZ0Ckz1s3ul8VNJa/xEcsQdwwTP
1jZx+8/+yw+kXx76DQKg95ZrrdCCLa3gBBJg7ga4gDQXMKqEMZe6IpAn5gRqLgPNlkqr0cHt495t
jSZZsTcnJZo2HrOYCnGRlxCDkoTu0z0OCi1J2mlXUBy5o/jfu9CRVLvMzXcxOYt/pbvJqwjczLZ+
r1+UlWxpYU+eWZ8+88kJGyCzrI2eE3ZESkXqf7TSmxKsEeysGZn+/okRhONpv+S66PiUD10xUJ4q
5fgGqc5KIiYtbcrTtZzFi8ToBSEdUwiI7NbVE7vYtntQifeSE+xlG8nRg7eyR9cszoKxlOaxqNae
SOve20UppQyYNi6ftLXVm4WNMpAsv8y50KraehzFcYcyDjMwTba2E2dJ+s+dyDAVah9wEilzZYRe
K2MU2Hu0l5lIHJHkRax5kIHVwYSDoqFLEf/Wa0GQi/kuK4QVNyc3ZnenwSn40/rsHKTtMGG2OQca
Krlgz3c+xQgbBIbb5mLsgEl2gPE+X17bxdOO4A0zeJauwa51vjOTTmzJSNiZU0Nn8DOnozlhoVBG
b+GyJW22utO8scnomgItL/oXHxj9/+JqFSmM0SHvRsaVSkt8O2aGsKlQP/8k6FG8axqx/CJI8AkL
Azhsswf7HBXw21GPGRO4DTwa3LT/7qiKQminN/Q+aYw4dZQSKUa52IJ80PbQJhqfVFPxnzSDMp5V
iPKtGtRHbcM4k/oWRcXxug6gIQTXkQwANpmGvY8Yvz8YbnRzDbv6bU+RBlnc7Nheg9aNEMIVSh1o
iBpsRaUUKJv5ui1DQndTlfTdpbQDuyLG3oOsCrRIs5b6naIXVwwoSSsnfXbs3hcTJVPo/SceN12f
bZYoquIRXIHiVCaF/uK3o7ZiYAZtJGXic51amH7BScxSkUhpj1lC78T1br3HkFeN6bZIU9uKU/OA
WwskqwZnQVIBwax4DS5p99nBvEr3/iPqvAgt2VN5wF/NVdeWcBYryRQEhmCwl9a5owUditVrTCSz
I/1zDUlFkLCCF5rHx/kaylFdNgUQDqdzWre/KbbljWV3u35fbI43BOmd5ET70rHe1hZzFjI/GJ4l
DuC1CuTDJ8PFq+Q9Vyncbs3Kzbm4fifOzbYgXCo1HC/YqCHyaa0nq1vJ5eYMcR+8mG1BwZOrHuyR
4ohX4V77njqMg9zp29i1HlarBh+jE59oKh2K8O0iUznzxs/rphyAwjjJjbcrtlQMbqxdZDOf/8sV
KPw6tzXzK2oHOVYnW7XbbGSKNLvIFTaG022VK8WB82fT7YPd5fA7J6Z9N6oAIFFUKkNkk7O9OERI
fQsDDAPqo+iIG0VyKfXGnwDab6xPCJEycBEz0+kUnzjdh/zz3zEP54dGhscdN+feUJVjjTod5tsf
3UZy1SvFhe3jafqmug0NI2w9hBX9s+8qh8um3z07uVh/ev6XaWV6451EMmgdtaZvJtPbbtM4zca8
it6gbKJay4iq/SxsUBPjN9AayK6Gvelctv/xLCqw3Imw0YI74kTMMqR/wo+67Coz7TBeyAYPuVkM
hadUDxV9VJ3hKn3VqWZO6TSzlvv4FsDQgT6/Hd0Zo6Nu4QrbRpRX1yoAs4TifbE1iUtJgniPwDf7
BSpjNW1dNCrDEaC0zMoeiyf+MdtjCPOX15XpbRWeJ2BUIobPPyutmxKpFYkN7d0o8VfgD1DFrQ0k
LHy8MyOzS4J2uixCmas6qfpcHj9X1cGEJO+yI3NGyGnNzozMdkjvVWKZ1niCDskWnKIrfAIFRo28
3vnbfO1Smv602XE4szZdWifHwUhCgGvttG47o9lBqgcmwIECbS+8CN8YkZC3tSNyGH9XI0dzL7u6
sDvObM+e50yiQMEzYLuXXhEkuh6oDAd+61rHNXXpj7fTtKbUiDgHpLVzkpOe7tmgTSdBiW+sjCZX
/nLZlSUDUENNhT2IaT+IA+qyR2t6mI4auMYYFd9S/vLPLMw+VNwWaAAqWPDGBvTfTduuPHjeg+5s
KwACngQ8eOgD2Z99jpxZQytswTYCGdh4V8J9uM8/CdvscLxjXzwGbuxULirGDvyGh6MbP4+bnIh9
l28Lx3ILd+2WWDhtwO5RHkJ6nHfQ/KPVrV+BJ4KET+9T6CjoOVn1Jzl5vryuC1a4ALFgwcTDjTjz
WlCSIGug0nS6xLf9wtoB7oe+co1AbPpjZos7Uc4zSUBxGW9mZmSvopvqdRqLCwplF++UXbAvd2uj
Cove/GmGEvP5cdbQbCqOQa85bW59lY7N5yzImCmSV26xhfSctOHEzix/qJlaKr3Jjn5r3DeGWx4y
igvhDbpb1Y3olrs1AeKFWAFnChkZ3GgTV9Fs/cAbF2AfWw2uyaeggY0aXJlxLRExLm+HpUvz1NC8
ezUEJcCdmA/VQdzuVCEZQu/G++PO2jR0BxletLubaKPe/HyF+Hfi3txc/g0LwYRhKQW6G/hR2Pyz
a2bwE6VGJlBz0h7Uhqw4QvjHZQvzWuJ0yZyZmF0yna9BJI2EF9sx/ORX22EDTcJtAuPbbWjxEBGu
hifhAWjV6vW25BxzIaiXTepv+vvOOrlwcg9ykBBMtSPvqivrHljkPnEZDHDy0hV2mjN1xS47O2/I
vTt7anL6SScmVW2EbIEA4+iPx2/B87DpdtXL1LzOb6eOdbQVnB/dl+Quf+juA8PJNtHV39m+pz9h
OrcnP6GASMGn0j5xhFdu49efQOA8RtExdyoVYO1lh5eCADmXbpLcT3Ihs49bqpkRRpGmOUVzpfvD
LvbARf8ifefPRQXzMNWloW2avyCOo9IPY8Z3PIqF6+u08dPvl914r7DNYyYdqz9NyOeL1qg1Uyw9
Jurt4LTClbhJKAN7D94zFKijw/l4qp3P8gPDB451lW6FN/XT5Z+wtJKU29G1hLiZOdTZO3BsDbMI
WkFzFAiJyloHXljSEnn6dSt0HFXKbmDfyR7O/WQOpItlDz8zj/HWinZ49Ri2a0d+Cv3z1YTt7l04
EMZDdbaaRSymrVIGOq8B8Bi33uHH6MQPAP4Pl71ZitSndmZrFldBIwdJDBLEn4g1Rtdq0fEhiumh
9XrZ1ELySmuftGsiU0Q4YWYqOXrKWPtTdyJBiDF6zI7ApJv8XqUrF2sr2h5Le4F3jChzfzPTOn/L
DB56hZUAQksUrI2hAG04NpAx5SvRailRmJpuEJ5Ref44Mfv/WD9s6eu9d80pJ05qbrMljTR0QbpC
pkVQM1/uBAKozlaQh5tUotmTQov74/I3XLoPTg3OgzMYMq0fMdiL6b6XrX0t/KLgzBSqzOm2IccD
P4go8Pn5suo2GOFUgqc6f2LAqFavRO3rZS8WNgftdf5LtYj2rDnLzv1/ILu2sGBQxJlM8OrM/X7o
AudtNY5dJjAipdROAF+x0r39ujPEPOafptc07d/z9VIELQl8+PacuAM1IFBCP4a7YYhX2unTHzML
SMjRqszoUwUyafedm+n7LG2NEUc8s3MLPYHi8in5bgY0xoAq6GtQiKVPxHA+vBEWLQ4UTc/NBUEA
zpZpamdEMqYdRseLXyR4iS6v3dLXQXDIAkAiSszuzRLwVIOys49wqoGvvTNfEuPhsoE5ouN9Nyus
1kTpDO3hPBOG6xhUf0bQQ4W+2QRv3Wu6gSz/Nv8CpspJt+q2uvH537WnxVJhAi3FPw3PM+MjMTFS
UwzDUuJOMJKjY9xxiRR38n4tX5r3Lt+9hOqKYgpjheBkZndinnn+GAmFTILaOIPT3yguTr4wEulo
QCqFB+H58rou3CVIJoCQAZmDMq8xC3xCptZ6CCwdDrAahGPvPSmlB2dozlMw0ITGVSEIvmxyIdbS
V/kJUUWccl6zysSSEXoLk6nfOUOg75gtB6bXuQh32v/M1PRTTvLP+NjGYegzXdWp26B+lpge1sNv
ir+mfrl0yDQSXZQJUUuC+OHcjq/B5FXBYsdZ1nd6a07zSptpLuOyOwuXJNKWkwSyDDfoB51abaiT
sGtGKEF25tXP17S6LXdrH2ih5wBH84md2bIx4gjMGPgedqwvU6umtis3/A35UidYSS8Wz7XGzUFg
BRRGXDxfOhnhADQdK8nxbuM7ccOhvmr3ybW0Ox5yF0A6uFi4tdxmJWAtPQXx8S+7s41fWVls9hXi
c8NVvc1u5D8Y40FnaKM/jXfSjhyxsGm53a8CU5ciJQLTRElUb7QP+VTdM1kYMZ8NMk29ArnuGNdT
EZ4ZKre+Q7RglcZhMYDRylSpvHNvUr84X+GqzVON+Sdym0N4Z2ylvb/znkYH2tKN5f6NQv8ESfvT
2CyAqX6ZClVrIMSafE46hFPC27pbiVmLe4bkCcykRGLzQUPhGMopDzFPem8p1gfd8Tc0zx1Kdbua
F5JnN/fhfXK7VtZfurn/MivNq0zQAcZwW4HB8JNuizIhU0O3qXEDR9rGLBUnjFf8XIrNp/ZmUSXT
2pJyAm7GoQeTzEEQCjfTPOfIHFb1N/KEiQcYGhTqWwpz7Oe7JIcHqU9zWt1F+aVSoawKvE3UrzyS
lr4cXDy8wuhWcKfOi61BmY0QG9PNRLi+cOsb7tOd5Eb3umvcDtvmRroSXXXvu/qKCNKyYUTzJr0p
3jFzFBnzjlXfxbjXOaKDVZsw873YRlv1TX6uN6LLOLzkGAA214L2woEn86L1hXgDidFcetOESrS2
mkJh/ozhNg0Fl8+Xb4WF+xS0LykeFQNtShvOv5zsWYzQCnRSxzJ6tjwSsEEu744jUy3MWK9dde9P
ofP8lQYefXx4HqjrIrVxbk5rykJNeEE5xz/4w8XEDugi1vvhxzRMxzKuoyI+riAWcQ0goaKBmpxZ
LACWQIHNOH9rwobmD+mryiDr5UVcsAF1AxQ4VAgn0u3ZWasDT6gDsiEa+UzwJYVcusChRfeylYVb
B86iqaqiTKK2dEPPFw8uOBkqeMwo98Gu/jF1gCPX8u0ahhTbk2xtN80HKG/K82XD8sdNgmG6+mRe
sNPwlj83bGp+mxYUlpz4VfmRHeJPwaF1h2/xvnXJbPmCxGlgRTaVbLqibuEkDhXeL+JNsVqs/5jF
nP+U2Y3PJlazpOSnSIV5GH3xWZWDPVWSOz/2rlFYYjQOKdEaxtjLa7Bsd0LaEwXAws/sJpaYoy6A
0BUQ3F2iJz+qoxLaA8l2ajY7QDBPSWrpyEe1u8uGFyqxeEzKJEp04ySiwPniq12r502Ex+0W9SK3
2TMLj6Dma3+gvg7R69fGta6ib4N73G7kLWnHdr9WDV7a3ya/gIegiMbfPPB6ZeAdOyjPHYaiIWBt
eGiuhNiPOTDpL9rrDAoqHMb5KTWTCW+RqJwgWHUlBrAZcHYU4cfltVzwg3OjTvxXqDa8T02cZvQ1
nJAm49MUQRuoFaBVypIVC0sB7szEfJ+Ieu31jOo51QZ4vVM5+UsMBmvKK7KNcFiDZiys25m5WSKa
mX4kVUfMlfVVlEp2kFf08CP78rotW+HiRVtk4jibPdA7iZntWouB9xrM6WXQxCD5kjUr2fxCG4mP
ggrfBPSg/jSvFlpmOvYxLE6OkoZ/pBFqlcI3oIX0hyeli99q42snF+4R1pBOJZlBn2+IcicAdTLN
mevqfVSiWl9aVxJo2i7LbNhL3MsrsZAK8Bt1bboy2ET0ZM5PYwlxOKwRofmODzaegDA6wmf/KnbK
TXYX3HXuBBPOblftfgzBE55cgtmf7cvqzK6xoUTeydCpENcu+mMUZJ6t75HgSt/DXXqo7xLNll58
6b+w/PHMnBueFbbGJu7VMMIw1S87V+IvVN1XDs2ab7M1pZ2dlEhS4Vv8IuuNqxh85bbZ+cb4yxv5
zBl9tpF7q7OMAUUTpyyeeYbYeXavD6siwStLNk8HArlSFI6LTgzoqeTbx8fqJdjGTr0ZN1XtFF/X
50wXwGnnns3ijjAcIRlRsDnR+uVX7QNFGSfcmK6m2dUWjmTmMiFK/1TfrmXHa97OQlDbAi8PvIg1
Bd9LJnZoinClUrxkAv2hKUclbk+DZGeVmIrHXJkcO8MJhSc5+d6W6cq+WDAAWY0hkl3RmCMPPjcQ
97Duo5WAtr3fux5PskT443LgmH7ieeKrnVmYfsFJMUkqh7j2SyykkARVyd0AaZOiOVZWQ2KhrLiz
cAsx7ESIYp4bEM8Hf1pkktTWUEweLGhfUnZMf4c9xE6fs81wXW7Xmu8LB9hgYhAkGZcqsP/ZAe5L
X02sBsXJMRY2mvYSIyKJPEQCnfDlVVza5liiTAad7uTe7EPVhuaNJYmKU9LehI5k0236Q7gJ3Gwf
vZq2txceIQjaH6/XcuD5kM1k8Mzy7AM2WeYrXQpTIuxfDuIvj+qnjtFsdRPD8fTV2gBIJu9MbHgE
n0J3Lf4vbZ9Tv2epf+q1idJGWI/lt1Z81sQHeDOA29emtbJ3Pt71535O3/pkox49qS4haMdPLdoj
luOKsXAYg1/PpzEj0V6ijEU1d/6WMcRjDGXdgFrbIdwjYreHlxkMwdrOXPTmxMzcG9WAo0jCjJK0
iPT+LkaNqwWrz9rFAyDBCidOKtjQO54vWpXAUeTHfB7tadjkd8U2v00d+dl4nGbMgo1xcIXVuaE5
werPHQmMgDzW4k09Vz/SB0sEcI1v4i5P7FzYxJ8sG5Y959BeQ0z5XNxBmLTptvVrc5D3a3XeJZfp
2CBbSf+O0utsRypHqW+GVILRYrgLk50XIP5UfpPrldbNUlKI4uAEACP7YQB5dmWPKVz/CFwYDtyp
3UanDmnuCldz++3o8leSHW3DnbfPDFej8/AbUIMnaeU3LDRWNNjcqExSiOEBOJd6rJknysNCAV/u
QJ7yxsPvHd/O+IH3pZHt6RPH3y9HuoVnHwmmzDQ2Lz74FufzKUkI8XafkWhWNANA3FQvU523Pkh7
GCapeT03bnOj3XYuRIXfip1HQpq9DGud9Y8XI19YZYbR1Hj0ivO0s6XQLSoxZcM41T0nR+VoJ7WN
9MsxZ7LC04LLl7bV/PqV226EgA0DZv5Dyr40muBSId1cXtFFV/CDpSSj5Dl9fkYHuMJVRuuogFaF
247dk5yNK82pNRPyuYm8VSyUswyPGu+IVkg0MvNZBit34MeQxmKd+DGLNYYYaCnnwYMpKHqIe4Fd
X6oTaU8rrFhadAeZQ8iyAQN86CfKHVNmENF5TjJsE0N3IXd1/8Y3ObEwe1xouZdmisA36UfY56kM
volGvuLFx0DFetGrmbBCdJfnCnVZUslqC5Wek+U0shWIsWwKmxH3G7BEaRTWvs+avenvn1ygKQTA
1KAUz1Ea1BHMwErdeoCdswi9m2Q4rr02lrbDe5onA0CeWr/n5kop6sQMRRBH0b1Je+2b3pW2nv16
6QRI1wQso8o/gctm4T4VUlnu5UCAFjsHMBRHz8oQHX59NzCQR3cLzWC6TXMbfmmqkB8LDoRzt2pW
QfgBXfvf2HKnRmafB1SUqHWW4DkQyn0SGGzPG2Vlxy2dm1MTs+eK4NcKk/r4EQalZWep9Yj63krB
bGmXndqYnZzwCDQDFkkBCroSIEi0VQB8i+rr2D1e/igfM08+/MlHme2vVJg0A0fWqzFEe6hGZ8yh
vjZ3iZk6SuVtL1tbWbo5FMQQQ0nqPKz10GDV2XFr5sHbPzMxvwfIZsaqZ+UyTMRSt80K8dtlE4tn
koYpTwbApPL8qgkgDoOTOxIg3My/6JLvClXx7Yh+1D8zM7tumrJKRHR3MTMoX32t/lFn0XdEJVa8
Wd4Bf3mjnEcYraj90EPL3lGjSXO6z+8lJb8zBIlBXtRni7+zBcgGwHDTYv+AUzBgz1cFK2V4OfaS
Dc0vWgvt2KwM8Sx9InDiwCDBNvHyn8WabKzahFE/FJoMD/kAGQZYympq/Dc+0amZWbQJfAH5UQ0z
OHOdp5/DI7xOor5SOZ0O+3lxYdJh5VU8KVhQnp2dUQ1RULUosaJ6HlJ3caa+ouN4J0Ee5zSQkW6G
ZqgZgimCzeUduAAPmABVEyqdJ/nHl/+g0jNqysB34aK6O95VTn+tP//IQV8kX1fRHtN+/uDmX8bm
Y4h9cFTJiX3fNZ6K0PZ5NqY7/ab7Yl1B5LFdg1MthaIT1yY9kNN7PFbkAfEuXNPN7oGW0G00rFxF
C321s9Wbo/lAhxqUq3EofNV+TGp6lDQ6JzkgxqY6sKZv0FUCvCU51QN0keVmcMNdsek31h/rwyIL
NaPzHzM75rE56O044G9rHI5/NK/AgTc57HhK9alzkejarC3wwhUGI8v7/D00a/q8qkfDWUCvNPXd
ZFKRirwnsTMeILu1nDVcyULZSMcUHSbUVbjg59nLaBVj4R1DRmOz+8zYDxtGWe+1z+ZBvdctu7yz
boM7M7DTGzXY1Ks9y2VH/7I+CwKxkEURtOi+i4pqYrd6cONn2psaW1/HxFvJCxbey7gq0aQAt2t8
hDrGx4AyhewJ729VARpc13+sn4onfxM6Nzd5a09sAOj0eZtmP2Gk1qDsC4H11P4c8ajCC13TAxMc
alTS2DmK8qyu5vQLrfAzL+e8ADWTiVGTY6XdKtu8oACy0T6nTsyTvIN8Gnbaaw0p+tgNrtZKccub
6a8VnreCK56xelRiO4Yipnwe6Tm/plcBiiKQvd6W+2Erunqxj2sn6jfBZq2ktRCXWGAqPhSUycw+
QCjMJkIbzmSBc0jE5e5KidPVgtaiEYU11tD0hsl9lsLmrQUNiCgIjv9N/mP4VgGSgmT2hvqmceU7
6l5YxX7NWSUpZ2HuxOQsox3iziyNDJPdlfUUPaNhMWFDrI20i77VrwBm7WK3+i2n6tHsSjkzOrs5
LV6gqlBgVLwaNoETXqmHYQvj4PWvBztrWkhG1ChhMRo5W1DDGiFu74TATSWZCmRhi+IrKri21hQr
KceHdI3EiZcu1JUiT8IPtcgc5imKKX3g6vLEsA2xiXzQw5dAbbew624vJwAfTvtkjME0dZop4c02
uyQrM7T6XI8DlxfVIzLIt5bVO0fLW8nZl3yi78w7XgawhzLW+V3cK3VH/8TibjIr5Mn3CrLP8mdI
0pDJ7Vdu5Q9bH5dObc2yaqWMEQcusGWUUnwrGJKwE0Lpj19fN5BCU9bGbviQ5HqSrKMxPvpubjLV
F/yR699Hb+3aW/TkxMjs3ikpFxTox/huqYZQtauO3Ccr8wjvle2zAzSl6ZJhThVgKqPvWcVJtaOV
8r73Td135baUb3UI/D5ZrS6k6Kj7TbOTzEhDGdrUc1m6ggQtzT9TT0SjVowjfZOgt/lSV5r8LUty
8YfeicOwA40me07QKONvKug08q+iL6GUTUPvlcdO9CYwgbAVW2iKhCH1H9tI/hrGGtTllUeJWMzb
1J5o5X7TEKu4zsQoOBSK1SAVWgU/enjy10YHP0auaQ3Ar1CJV/mi87MdoRYtd4Dv3RJ1Z7d4RuEi
to1P+o1+jzi98k2006f1lq/8IeufzAKLMcihprmGWcIWKmIDXsMP3LHuoM0O8zz6IfZVe20Ycnyj
9ap4GJFPuqpQXN0JxWDcR6lqbJui0nJ7kGpvO/qGcVtpWvCMopSLCHfvFlbkOxIyNW9hmOixnQ3F
8RCOqGTZo5ilN3Jl+T+QpOl+D8XSu01yqJnceLC0l0bUj2tLO+3QD7sLWlGN5A3Qzryv0sF1Hh9V
HtA5uzdSjo6f9zvVi+10/H75QK5Zms7SyT7maeHXdKt8N0jE61gp9h4g00bwbFHZ/w1LcDhSSCNw
fqA9ULzc0EtB891jiWx9d3NMNghowYe/Ru+xdPwJzswVTuOY5AvnLsmmB95BGgPQMgjASrpd+yuu
vP8R8+/D8f/JzzTBds5NdJLvc22j+pOhA4zgUNjpo5MmqvmaQod2LQYJUxrIFvU7L/LFbyEq4GDm
B6+r7UwWOlcPuw7lMsOwNfmYOVo1NI7Sjl/j3ircopOlz1atDbtQ95tbhL/jQ4NS2xVy5f3vaedN
WiJhX644tXTXnPo0i5ptRzlZQOHTzXxx56lvmSbaWbTp9cEVksPlvbBoy+TrAIeFpHIu95iXcUGZ
qA5cWRFs078qU+SYk10j/Wam7W+XbS1d1bC7/2lrlupQgi7rsGoCFw2nbVFGTl9XtqrVKy6tmNFm
/TpNSjJJKNrADTiuTSKiUV/AUBJvLnuzdF5JBlBmtUSqxe/B8eS8EouzLDwiots0gCCRP3RaJC2Q
LHuBSOi4YmzpJJ0amy3diEoAkNMpeWu1CooZwegO0hD2a+FuKaKjPzoRHdP1+wjbiKC4pNSCMnBc
vKDkaB/hpUO+ZCAQ+1a8E9R693eW0WCyj8YYqOJZYhXLYqQ1sh+SWClXfqM8jVX6pNb1IdfM7WVT
0jsZ9IdwbjASDlRNm2a350dLBaDUhPgHCKbYWkpkjgh9aB36fLm168Sxu0bMT98mbYkgVd0yE1XB
+/6YpL34xs1UualvWLtA0uPr2grHvY5owx3FrXabNEWOwM+YbOV2ML+OgdzthGg0boujkn7Naafa
ql+hfjyI/bVfyxDa6EHoPUhhXb7FWt1kTP4zJmgXuofm0eChGiQifnxThqH0ZlYNxJzKsczcAWkv
iEFNRLA91P62naIVu0RJdYo3GRxNlZ3XnfRkiEP2UloF2jyoRDWvqieUzUvsxWIHllEuEQ3kTKQI
u1h2nx2j68YwO+u51Hqjdvn09PTrEuFtELeHzvKL75bmJYOdmkGxp7OovaZGqgo3Y9MU6YNkJGP4
PeyV0vyRC3nJYEKtx56tRlFz02uVcns0ka+aSNZvRbKs216EgDOoa/FL1UHLKddmfBNSptiIQRFc
yVmRv8mN6u3Dtmw3fqh5n/huHoIeXtLfBFae3sahcnQ7vxyR4OuqR4FvcvCFUbtWYPXZK2lUbRWU
pG4QyRsdOUrDzTFq1NAxlGO0TcYidZEa+tSInXgIfUggLYgSH6SSHAa5uZFhRUk+OqNeGM6QtALa
dQid+zCfWcfIKehwVblhOVGZede6VMk3Y6l2u8SLg22TIHc24Qm7bSqb9WGUk2xT1ml7nWhS6ESp
mTwbfSO6rdgNdtumObKUDaJGUi8aG4E0ZHRNow9uOtRDmOkw0fmCfarbDnmkF3bTZvFBsSBxHFpf
fES/qtqosXx8Erwuu2+sVHbFVkEE1tMSOBElWMIHtZnu37Tbdb1eO0aWtU6kG9U+9vRyk4+Wd2N5
uuGoemA5g+mlkTN4vvx5KMQKhp20xgC98UyKogcraVvH6wVEyWUNtjVFaK+KI5pBNtKJGegjaRiu
kf4K7tJ4bNBPD6xKt82wMB7Uo5QexMIKNmkRBDtPFr3vng5rii2WGtwe2VBfWWEguT4avBsyOsjt
xD5zs0GUt14nmvsxqNObssmQBW9bzTYHC9EJzaptP9Ctq0zQEePpmhxm2YqiulDmx+tcUJVbX9Zg
S/Etya7MDKa6KDQ2g9+kCGlKxoY5ywJlqizeKK0YoXYvG6+aln7V4g5BlqZsd4km06nJTelZY6rJ
kb0SzBfqga9y3dSlG2Ri3tghDDS7sczTjQDz6CdVy4M/QqPN4DmoUNpKinwrFh2oHOTQ7DpCynXI
m+Y6qn3pKTK7fm8ih5aZ9W2CYNoX/BNdH6mhR6nS5bucMuWT12jJtyyX+xdVPlavctqO2zTLw4dA
HYRDL5sZUvey1R/iOISeBeAKZOPoINlxmfiPPG6LN8vI8tteadNrOWnFo61rXf2tlwT1IakzhZeO
J7zUcdY7DRKSkA9X/5e0L2uSFMfS/Stt9U4PiwBxbbofcPA1PPYlI1+wzIhIAUIISYCAX38/ovpO
Z0WlVcyd6Ye2SvNwF4t0dHTOt3D1gviY5K0cncyHs90lgy/Xki1eOW2hGYGKE5zd4Rg6su3clfUB
/1dspen43kbJ+BrNYNOB8oVqkQOnOWzEgm7myKnvZuROr+NQCnBwHAqXqrE24z2cWId716uwrIg7
NVvTBdPrXMnlDna7zZCHI6kuq0LgTOdHPf9KBphqpdpzJpXWkZpmmN3DMw6uifwucEtzBmp12EgY
tB9G6LkAdIt8ehlCyM5a2x6qQTVH3hTiFlCXdlP1ZL5FBVdeEq8vd5J4y2PHCrmt4I52y+FLecN0
19xSZe32/b9QqAIrpWjtFhZA4Jwgmn+RwN/fQiK6OrmtwQfBUFxxF/9FY2Q+cPihO0fia4jTQca1
hVXuDFPH0o5yWyoK+744sfcmHMhDLHq7XeACh8hXtrD9xK/wpIthyqlmmyL+VY9IDSK2gTPqtA1g
45d7Sblset03Vw7Iwy81nJgOUznHW66q4UsDHu5XL/KdHV2K4jizqs57xLo96tMx3HccLa6XPlKX
YvHcOzQ8HA8OaiXUNKPA2cU82BPYhF0ifgSnBOr2C4zx9HJiMI1sN5G2Y7aQYLoCOmvOFSQjv7BG
8G9Is8vbPkYQhzceJDnSaHKGH53Te9fVEndpMiTQAEQxHlxq6tAnVqn5JmyWmF8sTSJyC3TJRpQD
uWjqgrcrO8M5MED4wCV0qNqISIKf5g9FkNdI2W716q49YtfdULO419QtnUf83AAnbBe+Iq0ql6yC
14FOYeAXlZu4W5JcVsxPDZsMzF4d2mDdqITsacIV+s6Mn5cmILBIZqTdUGeiN8o4QCK5VTNecBgz
XkZFZa+axJ/uZDGLFwPPsCtNjL8JYRAbpHBDqx+8pptuOtWPe0Q+F8GZLdOtBS3k3gnK4cc0kQ5E
DaaKOwe7Sb/Ro9/eGWjI5X3ckrvZhwmzO1SvGqjCvHAAugMGbtgbeA7/gHFp8lYqHcMAaoy6W7wT
ueVe03cpW8LgnsWyfgycmN8ZXnqwUq3Vpp/c3ksr9AMyt56ig+d18JwJW0+mZdOX1yLoxlMllL4f
R9nBFg0/B7pV1DdnI/ziJQzn8AdyZILMBpveBgKhqty004hNdiqL04Q3c2q8WuRB5Ttf5sCBAPgE
BZgUrZ45124Cu0RIPA/YkVwXtgw4TrEZRplzW5gMrev5ecSD203Wjku6LDAtrktDL+Fri7TeK6vy
AEIog85hPJZnJMfqunI6N5ONcS/CQTZlFg4tOeogOZtyvCgNufHLLRw24juvXspr1cv2HJQBzKFL
1ewXL9pUpDnQ1nMfFohg1gnblMFQXypUmbY+i1Rum3CEbx3rk20gtkAlMD1toIWNDlmHuKBh7ZUW
CepHqWoc+QTXZ5pDc7I/4F20mY2sAxu9qDpZOEw/k6By91LOxZWpuuSCmwJuaQD7HhleX24nfApb
TFBoA57Aq1uUi0ISFupdvzCu04mOwxn0aLA/S8R7NAbAIy7DZrugj3XjIkbl+DOaE79vj6ai5GFc
ytWJFz/eBr5zBbYQgXukQMoId5P2Zk4GgYBg9DOMui32Exm/BqIb8kL7waVAInqPhm54I7oGbkRR
Dfdu3rKjGwwj+ktFAqvHKm6u2rmqbiEpBOVSXrc5devkkvu2gfNktMxbHL4rvmEjQnRqprg6wayv
uWVjA+9yM7dHu7Q05/4cP5lA1hksctmVHQAFTN/vgQ54kGYWFYNYvWluDVxUHtCbZZejO+hr0HQl
SdXCxaGR0j/QoUuu3m8ZFtFBZozpcr2I17DT7Oz0BXyxaONkrsSv4gwyLzjswA6ecsRdWYfNDg4m
zY5BSGYt98KXvaQLsvO6QWRgHH9pucGN2EisF51Up983CX+Y8DFpdg4Nyhvh9v6B9/EMiS8rplyg
2b8nerZ7t9Dq3IshPiBfizLNJOqTY6lfGQMUOkWHpITjO4wR01kFbZVraF49MaVU3sBKNGfeyK95
XLtpr6EuoxynzqQzsdyanmSux4p9gWVjnVbnQe+1Z1KUSLcoc28Hx6OnarJ4CtiDt5U3YWqOIt7D
g757ll4f3PlzO2xYW5PvLS/AL+Jju8e+Gm9VaPpbEXvxxSD1tMcBh79BSELc+XXZ5aFtzQP243pH
y6k/cuuE0aaFefi+kQO/pYPGrjeIQuMJYWbaztCcDVgZvIGxxYaVchE5L5b6m4VFe5lK5TmnJXD7
xzBGfuqOiu6QG6g7qeB6+/5+Rh9E45TYZfoue4YaHeGmPcoQ04mEjr23KO9lclqCjECU8EsncMKC
ATMlawivXcSJicH2zFi963rR7WB7I7cKUSkTQ9uhPsaXtNB1tI2cNy1fMVsEUkmJcD0FAcNHFeTO
g6abcQAjsMge6YALn1jQXPdVOcL4FRNfGSEumyBMdpgd3RENGfYmdNcC2qt9+cJ0Qm9L7I0xAOPN
tNNTEt1EqvZOkze0KvNdDREcG5f8ZokmdSaKxQ+D0w5tWsceO7dJKV78Cj39TVD21U3kj92S+r7j
oIYkA3aA3G7sw6XcWe1Ha+Vmxu/8+6hykyORsFIPm2i5mlBx+wosHhTbIpuUMMKWDnIKbR36Peaa
barBA/uzciuaQZgFLVDjGrJ1koRfDL0kr7A7Z30eV12jclTRwlcIESVQJSqTnLvN9N2oOJE5nyr2
yhYLj0Ts0lBtZIYPCYyMC//ZpdJRe9foZEq92M4vQYsK6cGNxQwWPEQ57ykODJB7ZGY1tnPWrD9E
7/eqLRdkW3TEJJp5wy9r1ffPmGnTd5gLWMBR4nhkKSxsETDWM8BOOrNzkn2izcltGGRziZSq29C5
9UMAf2Rx5RKccjckHky0d2pfHjp4OcIgycDOFs8W6Xw4FaiemjgW7OAphTx3IAm3WYitTEOOJlji
Te/003PgW/1lJG7xKMUI38Vy6mCT6Rad2daTmmPQ7BUUl0lY4RKkmJAfhia5kAwxMjNWtuqKBV6H
yzO4ARq2eIBDYiVsr2dMftwLphxd+FztED0LsTGDmb1UIkULUm418iUbBvZeOm1zCxvYBDWLoEJ0
75JwhG4/KStoecwNnimNy/KGx3hfGXMI8tEOwX5LfL8zJ8PHCXwep7NvUSf0C7gBDEbncLLfFiSc
6dbUNJ4vgXowbbqshpwonLeB2ltla3pF567+Rqgqn+iiYOqLwDmLnNWUDxk2YersRwtTC2gYM5Mc
ow5C9Re+Cgps22VwNUKg+lCQklhYbxVulNVzARZTCQkIu+l7XazqWnMB0wjOkq12BWDQhOuyx4Sg
WmZF9+6Q4VK7/oCH04sS+KvctbAD2oYMEuu5YxZ7HUBMbQSnPKl+tJb5KjVomt0nEHKqMjlP8XVs
2QzD1KniwwY+i+MTTGKL4sB6juc3Q0ecofjoUrxmB7JsCKcxsmfc8Pe6Bstl15OB0r0tupmdLR/6
cmvhuf6dRRozGBVFdjQLDDP2MmmqZePiLA89pXm2di9E4CBV7Th7hbxZ0VwgicPL9lExSGHp6z/Y
Ei4WmMmh/2xrD3OHl3V/CPj7lUos7INs3KrPTediSjiTbG7DbhloWjXLchyxJQewcwzgMroMcEbO
FIEcWxbUo3dUOOc+rshsmi8ofyw7WRUheFA+x7Sv0KXDI7OEHEqUfU5zDCRqGruT2LZLaR/9Ohoi
HAJNeetMYXMBi9Io2DKnCZ7pNI06I4julx7RkTkUbQCenZFJXOftOl+hwlMkOSYZdgKR0MuxRYMU
iRfFzFj8CIo/8EdHMAEfGV6rdTdidxiIfQvhHzukcuLm5PiO/4yQs0YDFzOPwQF0SWOvWEQ6elNx
BaAMFmiJ+OIogjWjWzUt+6QAATUTCrpCaQ0x5gfGYFwGO93xZRlGnmSxdLFOAjbZN6miCFrcReFk
EFxBhrK0+IL0Avu2SngsOWd9eUNw6V+FHxe3STTMM9zAlDusVGJx0bgjBO6BTCzTuoLtZNoFkHFT
kSePYREkzzWS1bNHsTQ3i1j6+2h26nyOzPBlCIL2CScftutRa61XU/GFpKPRkC4NwMZL7VAkd9xf
UUAJbxxsWqiMnOLSNodxgCrFoPvpzpRxvY0GOiOFIokysG1mIdylp/GykmFw0xUzTgd0HroxbRau
jnFQsDdtAaRyq6A+9UscvY4kruD9HPfDrWqr8EYRMiMW2/IFoA77FvtaZRCF9/ZmQryrpWRlCkhm
+6Qotl7HKwKdVcJbLulgp0c8fnow8QiyNUgiqZ7jbuNhD7lALSXGJHLpWU5Bs3tPoRdwrjYoteE0
PgEYgPzOoqKAkzdaUM1ubN1oF9YsOXRzN9yUdaIuIxe1dZht906uikIeWG2jR5jE0BwYPKg3ccr2
FhyHCzE3yxdka1g48Ai+4rzRG9KEaM4EvQOL+HHEQnAH6BMoqg5AsykoMaFKL7Q2ad9Leoj9XpzG
YgpRhJjlrq9nWEwunpN3Wpc7+HS350kP8iIq6HBkcS8Pbc9QBrEKAt4rL8Wf/f6ipw0/RkS3u9AI
Zwtgi5+hcktf1tCNchd1j1wk/pGwhJ1MVCAq4Fk/jMxvjiVRxcG3YYTO4hBkU9kseYT5kjE7lTs1
wWUcRsLNpjdeeedBB3Rf1QmqLdodD/UCvceeND/Q1vvWJoE+dGOrsEgqzHjilnkp/DCjsoWB7Fyo
68k4sF6fRbRZnKWFbA6c4BktIlwOBW1MdewRXeJgawjn96K0xQluPsOJd8ALhJTD9A3rBsQCNJVB
LYBzjzviUkzg9XWO+nO1QZXN34yNtddd7zzIRLY7nfj9YUhqlYc+Tv31eubiYsC5DKnddkb1DFyq
Pq8NZknMRvNVQxsUaEeawCmkpM2uXks1qLzZtyWG/lrKE8ccTK+Ti6ad+udoZspNXT+IdzwIJGQc
4ngXl8YesK8EN24XLdksTHRI+uW1crzmOLsNyX0s7avI4AQTueg++q2k+ymSPV6F0+wa+G4hlyg8
Yzad7GjaVJF70Eq4b1Uia3gJdMZ+t67T5mpu6qveHdhGAvzwZXQcvrqbe+1l78HRaoiC7w3clDOP
NfTIq7K6MN4YPFqtxUknLSCcPTFPbPRF1tIpurVDWHyfHWfK61hAWqPxxbQP0YCHsPoEGmHJyovG
j4LTIG37OocrWhT1/7MThpAPD2BRMaFmcunXfntCRak4l1yZb5Oi0zmYouEKL4buQ2bqazguvQEh
ORzjsNc7nMfmfdvzBWoiRblpaIgLIu58ahIPDOWq1VdVs9ZtfVipp6PuHYgfjQjsEqYyT0aF0SNR
pZvHtsWRV8dQIBAqrMpNWST0WMHyeh8xWG/1nfuMUku4H8aAbKeFhLtZh9ENVf6cYgV7m6qem+2o
GIrfImiyvkSxm0CD/bzES3wCVL/bwKkeEFFsaymD3/fRG4JhA6YAyIfTUO5Fn4y7kdQ8p2zsL5AX
jUd38VCOrSYsd4QicIK1URl0paBZ4y/ziYhuzoFpnl+cwHNfdB/MP5xumrY4B6JnGXC/QxrTox6N
JJNdN4UOt0zW7IAZWn/taqc9QQtWb+pZNCot/abJ5pFWmXKdIAs9Xu0gdDG+VMQ8ewuK6EBnF5ux
F/IwL465BRC03Qs8aJkO7jAmmW4t+SKEj1Xa9DM7OkOptzVQQnlSaLIXaHTdyp5/SiHwftWuBb0L
2kUQs/CDj8qY6GD1yHhFmakcou0X5nJ+m056D0QhBZWZ7P3v1acGw78eM16tHwBWR/Pxj6gBNHlm
wHwVgAlddzMwAJ9Rfdwqjc3yk5bjr/rrKCkDBwvVT3C/1obrT13iGv7yo2swQZtDfT2hPK82FWTp
5z4LL6FSnwUwNp8Abp73DhwTP5N8+yVC5+fhP/SNe6tA1QskWu7gqQerGgyaSfpQAR11DyPKU3sF
rtNF/S0GgF3eTTsHAk4TzsPZtJse+N3w/TNXq181sn+6IO/Dk/fB503KGc9Dj+umiaIhv/3kkf+q
Mf/zEB86yrGrhxobzfrICYqFLerlmTnzHWwwXmjWA8Pe3xq1R8HzU7HV9XF+RKP8PPQH5N7YThFT
69uuST5dD3vUiI7FsbkDYRaANPbm3kUp+QITazinQzP/s9f92Z1/wGO1peto22N4ZGBZWHUpx3YY
xF/4Ij7p2v9yAf17Wn+UhOI+mYhf4RmvbTiXs4wlAhiVl79+lZ+Nsn7+0+KZfZ+DEbCOsgKu+Hde
feMQZfzfDfIBEuCihtjoCktkCtBUjoH00vqs28+UMz+7lzVQ/HQvsNc0DVkwzNK3Zytx9q62Tae3
f30zny2vD+EmaVhvhwSjROgvOw4sX+f/yTsBGw9G3fB88j8yfTpUwkaOKjT8cpFvBGk3HQbv21/f
xZ+lLgAspP8e5GOUYIMOJHzpyixIm4P/o9sGJ33F8iKbn1FKvIdgcjafljMqIt8/81b65RoC3RCQ
UkiNgWr6x/ckcEAs3AFDy0CmCQT7CFJPNqgsQkH6r2/zl0OtPnUeqO2roeUfh5I0qMOiRb0eTZ9c
jWKbUCSG/RQ8u0w8/vVYv3ykyapfgGPLSm39EBsGrwjrZcJgfQau2YCi1GndE/pDt0UJbNzT+w6R
Eaas9k62qf3UQu1XM/Pn8dfPf5r/MdLlekATNUuKh0a8dZ/J2/yZdoI58/MAH55mWCdd5PYYYNUf
arfFY7vFmSQ6Iv7vAL0hebTtdrbe1ID0H6Zdf6a3n8Gd/0xG+3AN6xv/6SbdcgDWfcA1NAfs9fF2
tT9WGSgv7L+lVvurCfTzLX+IKUR2MTpUGM6r+Yks/qXuXBRLxdFnzSdzdX16H3Y2UBRjyOvACBOG
Ux8Sia6Eu4+rgYVm/pLW07DVqkxxjN3/9TT9ZJjkQ3pA1AKTdh/DxF29KVvQasol9dhnoLPPhvmQ
IlSLMFUyYpiqcCEbuTpDtDg4se1f380v5vzPDy35kA5wIGJKX2AYv7yLNaQ78Nz+eoRf3kgE2XpI
C0AfM/wwAxLBwtCWimWm1qlTy8yJLmdTbv53o3yIiT5EJuu4wyg4aW5cCP6gHbkBw+T/fyeGjsC/
b+bDHAs67TZB3OFxqTfdtKioXs7S++RefvlO/j3InwTY/KaqQ5z1skZleniNAVH6nzysOIzgbwI2
wkdQfGGrYrFhw8D96lgalN5dJSFqO8XJJ+/+l3cSg/RKPDiOAMf9x2AzRM3ErULT1ScO+HTTDVPR
ZxvxL8cAFBSiM5D+/ZPuqjDDUIVhj8LesXxd5b7NQ3JpsvZbuTd3q4Gcd/jrp/dnpZsoiCFy818j
flgzSxd4o0cwYgWfaJF9jb4BZHmoDqPIyDY5gjn48Fna/subBKcngTDwL5jYDBC8EsBW1PlisRHt
xQAr1b++q1+NgKcHtWHQIv9MUhYo68++RSVR9RdMQIxzFL9P6/94mf4Pe5PXv4di88//xL9fZDej
lVj2H/75z3P1oqWRP/r/XL/2X3/2xy/986p7a+96/fbWn791H//yD1/E7/9r/Oxb/+0P/8jbvurn
m+FNz7dvZmj690Fwpetf/nc//Nvb+6/cz93bP3779ioqwLJQRqte+t/+9dHh9R+/gTyw6nD8x88j
/Ovjy28C37yXL9/wQ635xbfevpn+H785JPw7xOjA24J5Kk7hoEf+9jf79v5R6P4dC+jdgBRmYhTT
4Le/tVL3Jb4W/h18LyS6SJmIB/bsSo82En0YfOYFf0dT2V3/B/Q3dKvD3/7fFf7hbf377f2tHcS1
rNre/OM3IJA/hHJcE8X2GriQiIF9Cy7oj8uZ4fgRNx3jwKqhYS0DWKpkejaoxgKfAUCJGCl3IK3q
sIdVJ/nKH4x3DXnQYBuHjtppDzwcbSXdtUmlHogd5ksRg7GWRo6KTm4XQm12QRlu4yUL34P5LJ66
Ygoek7KNH6NyiX7MI4nuPdoG19BfkSfFvOTBJ9W4jZPCXkRRJynyqGjMuyIMHqEkPzyroWjv8FzJ
Uxyq8QbpF90CHMmeAQRAkcEky4guPSOX5TCr7zykBaCs0YguE5xJdcyg5qC5sw3qtXcg9IgqbOxe
wqKwPAD16N0WkvbwGGhjb6tw4NxoHGUvtGopTwMheIaWNrBjc0G3g2XsxpcyBse5DreNFcWuHyE6
gOxbb5cBvu5l5QeAco7TKVbQq3BH4t1CsFXlwozzbpoAFkP5sn4W41zMBxujWSB5DCM/VAbTKqhQ
bCsGmTeAOG3qEbC9bdQZf9i2PV6DC7AYBXaYua2L6mmgk4MPDZ4TdgK0iJwU0ATICQMmK0bTPYE5
3J1MycXVWKC42wLbs2de5WQi8kBmcWqARqhGIyR0yhgQDt7FSIXQ9UOfl5RPmKPNLVreNcEjNsE1
GyfvsvEW1PSLWOknRBCoCqHfHZMUns3dmyPDcedZYJDHkam8X8L2WkJUDKh+owhsghYsF8C/L96x
QrYCpIaYZTYouw5kTqH0QvYTMOr3nm2HbdK17Mx7l18rmWDzadqiPvo+0FMk4vPj0PgA0wnloZ41
t317cr0OvcchpJuxtWF1aJban3YL8dtdVQzeueipOQMJg4OJhQME6NNAe+XdUHUPBkafSG4m4C6X
oHzChELPHwJU6s5lPtpw69NGiwCwEfTNdy7EOnJay/IG/fnkwqIYcnQhXX1Ji2SZVvRMt2LmgDZC
pywzaz+AR6w+2V5xSLPHC0DhmPsPHD3ZjezcSW6LVYYhrxLSdRmddT2kEELsAXUA8GnoAwGScLcU
584LOOYHHWEGE9qlQEXer4H68kdAutA+f6hbjaaO9vTOGPBHC3TNdzKY6N4z43JVj5E6DHxuD4Ug
M/rjdsiJHRvU+IHjijJUlQGaAODjjroKOLJE4Wwf9Z435K7P3AlwAwYA7lRLvmsBdD5QI6XJoGuH
vjgsOE9xNPX7gIUumuqLccSONzKpf4decTuTB8+1Dl4M4HybviT6ubclDkux4QsQg2ggpIOcxJPp
DTAB04CHaaHH/UT69w4s7j6ToB/jGVru7kmPt8JnncyXRArgeMigxmTjBWh07duaiwdgdMLwmcON
0MOCUBPf0GEyT6PrF896ivyvcKpQ30zRV3pXOLH4AnhY/AaWuCfSBVphJI+Lkd0bU7lPrQixhsFp
m9h+qP3aXpTAvkOU3p2TIo190j2Bq28PBk3oMKdAtCZHLQH8XRGHDSAmQwdc+MLLG/Ct2PXY1XFO
jCmuyokudDubmXZb1S78bW4rOMnFTu1C6BNNZALSmA2qrOmpd8Gk4++UU5dnyTU5Rl44PjTEdjkP
SxSY0R6ccMYA3vEe09nN3QAqM8CUiPjr7zgy4gCWUTdhFAMst8BX83e0BrpUycXvWBQ0azD5QzSS
VBonuroxDqAhfGDoiVA5lzeyTvCijMQMgbAMvQQmDKC7FVAIfDHa3LaY6JkthJ494nhXZTdEe1n7
eG2cJ6+8bRG/ZDWiTw3+2Up3APaYMCCnjNsCh7VC8ogw7y13V8AevGIe0HsmwmdaYR2aBX01OBaW
QK3MaAynpsOitKOhZ9Qkmp3rrliU91VpRQJAHQAu93QRwxWWhPnK4wrNQtWuMyyA+xCPXfJgeVBc
wcEb+BAsSsDFAEKlZ0ttcWUXBMaNiQHKJkVs36hPgalscI9IW9krjdbRWCXcvS0HfGeFUnInQC9e
ARBpKWaqBT7/SCr0/bnq6E5GBi1/vHXgS7sWr64HfNIYAaga41iMbuW8uiwgWREDCgsfWKAvEHEg
SgiI4IqopBqwTtqsuERww5OLZUUUQrc/gdAzOou28vACfD4Bf4O/5gI4RBk50PQv8QumrhxA2YgH
xFEpwHtQwBvKGfHejafkAqsBF1PhB98xiMzCC8AICGGBRTB95w7ssjMyYiXyGBPAXQIAO9Bu1F8I
9seUj3ZKKcVNMonY9/5tG61QR4MFcSG9Oknhm0l3QJmWN+8N9neQ+3ublJDO3aOwbrfvOD3JMIWs
0IAoGRcXyiD4k8YGiAygxbFf1kDkmSbCbLIr1rRJqigdwxAGSaTp0c/GPMKqA34vUgjXPU8u1/35
Dol4e/z9pqN5/W1gHMx2jKo1DLZdBC07riN8IyTAQEvA29APRCRJSQmSEwsJwrX0gCD9PYMSgHWZ
0uBVvGMwGfpeJ1ub9Y6dBNOLwdIJmE2y4lhbNwRFZg4tAyfGIbuop/1tSwMAIdH8vZvs4NwBX4XO
pY2BoGpm75LjUHwPCHB04wgVXBkIGF6KAljLpmHES7taMVAYKMo/EpTTxLbhaSjbfj9wKw89r9U+
8jgBJqvTT21UNjcATrUZCY3elGM7C/DAuhaQkmL8pmv+yPwuOcDOUp6XBHjvBRDDHZayt48L6+dA
PLNN2LVwXJsEDCCBCToMto5OmgTJjVkIcFldW/0IHU4ygJ08aDcKoHJnYFsNTHryYOWFAMrWf3dg
MAKsGjhM3JflJvI6tZ29heYdmtoZsDYeND9MH2YE/LCt7g3PoBFCL4CYV1s1SrW1A/NfwfRvc+Rx
ScadgR0rYascbUmycYfGPjbY9M7JaJNbBxvhgF4+uJNKl9Nbl1TwEXEYfQjVIq4MMALf6aKXL7Ry
1IVHRAUROOGaUzNovY87TkVqSy++AQDH79K2bd0boMLBZCiAv7ofHNSTUo1w8UrdmSKyGf7Dw+97
eaixDXodpmVCIPaWjmU9jZknWh2ngJVEJQhicbiGCBbkJNRIAFjYla9i7v0r2lrxnWBioUhsYhSp
8MTVbQN4GmxrsEF8XYpqGA/hzOJvsgi7BpQDIh6S1mN6A15A8Rg1qtebeRjR6QRwbULf2fEGvSVA
uwKLH896b+oFvjs1AzIAPW33hCxFYlcahAu8pAxlFoJjjyk8xCtcbyLkwe0TIP8AWAMgDTmpv+Rs
mXCQYDBVgPz7aMSbU6r6EsFsAUKwCwO2tQD7O5fvEdxagrjedgnyVJg5RNdiWcwz0lrEJVcmLd0z
VYHaQt9xhE1Fg73rtsBkdW09tNnoeWMup5me6wEHprRsi37IJDf+JWcj8FGyiAFFo61Tw7prZcpA
DR+QOOahJZ67ejFAYIQAepGV6gPvviIoL4031N/4RLAjElniLjgYX0lugBzD3jatW5YDJCVAN4h0
yqzbgIID94yleesDxnf2BuB48zIKgOFdZpGcwVsrabrqCiM7Fqqpj1AQMfvSE8vWALGZOcviyM0c
s6naUqpqbAmRRcO/j1dwjLWCAhAnQrzqYHSdS8i4xurYGE5GPDurBLAMgXmuGk+8DQCR9ZsRJSGx
0xRknrSIQr6rkKs/AcnjJVkTu32bjhC4uCLSWfKWRfxtDIP+1UCz4tCQ3gJ5FsB4ZzfYDoj/RnvV
QfQokuxDSBUeOtWVUDnq3PoMXFb7JTAM1Di/8nUOTgR4cIL5AL/wGLCCqPYJOXe2VRrkHFpWOMs1
s5MhDoDqwFTQkA11NRp6pq21zWPmO989QDkAGe6SBbAI6OXxDQCrbpx2vSmWo2BTAgSEBUJygwwa
BVXp1qbZNCiQse+IntjoLXWb+XLxCJHPFKDjBpJmhpkbuGiDYkCKUQxnie3GyT018xOsOeIqBSCd
RDkBBuUlkdZ7tiSez8DVwE9gCnyJwyCgeuWO9na5w0nWjHkVD4M51I7GTeu5AZNjGrwayno2ZhCP
ZdphIIZygDEwBXRzUFKO9qYSQMXkzP+/7J1XkuRGtqa3MhsADXAoxyuAkCkjVVXlC6wktNbY013F
bGw+FNnTmVHVmcPup3ttjEYajcVMDyBcnf/8IirjvbpEU7mHVGTEeNUE1uQlKndgLwnbuN+McWZn
XtUtq0DXmVquYSg/Yq+rQ/US5lOUo8yoZjbtpEfTVCdRc7A0yWJSgkLZRW2zdH4Ku7+4nqdlaN1l
XFWxTRYZF0NtW89xiw2LLLsMVbIzZd9zO4qfMqrJ5wXHHYrQyRwu8rE3vg6Og3lsb9oLxG+0izq7
B6IHgojyaTogZmC4SI2h3eZj951QO9zwxyorLio2vMCXQ1p8GKbMRmGjq7HPzBouqWa1XVYYzaEW
WCgcxq5XN9UQlN/DaaksP2jQyW6rJM8+hHkiE4J4IHq6M9UbCo2oL6Srj123myhPP1n9MlwPnTkl
W7W1ofUa8fyUxD0b39LCTgqwwEkw9wiHyAsyOOFuORTLeBnK2uR6ytrxFkg3yS6vipXJWM0g3E5i
2jeinEUMx3Oabi1CW+8Q0ChfCOSsHpss0GJkhFp4arC2OSlone8A3ePvrADrS1JVju21UTZ5diMh
5BZSpI+zag0fIQT335eRu5UuHXE1tX2YIH3hFoKriVh6N5gH+4aK1bERTw/4+8PTvog1EV7jgAaN
2cnJvtFIL5xdqHnW87TE4z2ZvOqdPbfyU7sMbHO2ORwDMMhTynZCoq2p+3PYyH0Cue+xMQco7JU+
6YdOa5ybKR30zEvBZG6aVhk/1pUhNqOtGFg2aWXybNd1tktjY763YyX+1CST4VPSm8itkXOQVqmQ
Ay2g3Y5Dd6ydVvUdDdpnngTsOUmGiUAIJ8vlFqN7vbN8EtXYu1XDke1qcRMd0URMXqCZ5WVa5enG
kiiNgAO6cm8LOVxEopy+G6WxnII+rLeCbwLNcdOSEaVWcruk5XqU6dO+CYPuzqqqzs9ms9nA1ndO
WZfZn6Y8jD9oeVAdZW4mvhmMw42sYqokC28FN1vZzl0zXrFUkpNAMb2vJiiqEXTXG3vSoFU5uemb
vZnsMrVrPxP3Wh8DZ0oOBVk1lF0IPYoojS6LTIu8UeninRCdwx2w0I5cv9vLydERbjXVYl5iw2Ud
41km9yKCaz1MTYzsCl68UwaB69iKfadamXI/hihRS1lZBytnSbWaTiWtoQgWn5IOdLdsKDJGULPr
ahmXI8BZfwzInoYWXwdXKvXuDWY91m3ELv80rHUzp8a4ZcPkyp4jAgWGh4r8Uy1Kzhgc/WExPur2
3G3rqLUgs8L+Rx/oVCeWo4Mwm1mhKLbwYmvQfIHuDuJfknhanneHMaoM9JDOcqvBuD+2hMNdoRMg
GrEukyNcwHAfyri8CTQdF4DWjMh01vQoeZBlgK4znE1qOLXvPCsfoesWUbYtozDbT2Nnta5oYv1L
YJqIrAaq7mEMlgslVYwLPS7E1Tyq7V7IMt9zoxItGpu4uHeKEh19hurGLnbTiB4MiXKfVqPLqVNv
AwpUZEZxsSnSPL1E/Vc/6E2HFYNuLuODthqHBEsLPV4qVvjRqEJlE00o+9KiJYxpyRTzSi+SbF80
CyHEYThfldUYPLDnFr40S4oHFSHqSe0W59I28ZTG6dkoR3f1bUS7OBUmBoxT/FXasXNdrFKhorYy
fZunTYoBUTMblhtmhoVQOrbv7Igy02DfOlqBiK9ka0rlAgRorVTmQvvQy053jSYpVr2pwyVCiS/0
ao1wW8ukBK41RoFz8rkwBKzTYqGU0ZsRlEsHxjWE8rREDcCXTKm78axHigiaRPUTX/xEBTjEpy+S
Aw4KjoIapIHRdmrLil/TJC2fbBmol41SBadRcoinP3E9NUWiWCJZ36coryihVnysmCauUJw8ByTm
wR2eWeGdSZFymca99WyWRfwgwF2e5RzKTY3aDUNhQ3kgZgh0uAFvBVBLdsKMoI+mSO/saiq4g411
xElXNMdQtceryo4QTCoKYTBWVV9SELYPrS13+HRlXq6P5WU4VsbVnE3zl8bIkPZBp3ouoG36Js39
56lMlV1ayOV6mgQbrSF7x7eAEx7Cyly+WqPDFK/yiEpNTl9TSB5HaMWFqzvgty32RCTdsN19hp08
PaT5Ut+nEfOAiw43TgDDPWVsdxhEwltrUoEeSSaivm/JAr38U1igYKaOxJKSt6nBGgw5cl2O+9Le
Y2HfIIecIuMv57m/1dn579azEVj/0b/41z2b28/N5//9X19oR/7ZA1obPX/90F8tG934g8QLucYh
cSLSl6Mb/FfLRpd/2NzyMDvDWm5t59C+/0fLxvqD7xGfQ3p5FgaEr1o28g8YPQ7R0+S36sT8wpH5
Oy0bekYvKRGGIwzGJsvBpAXE71v//AXZY2qaTBUsCLfdVIfkW3gRMdmfaw/XdU/dSgEY4zravtm9
xxs6D7i2YF1ZJN3Sd+JRYQevraQXI7M+Zt4YI5s3zQF1PpHTBsHB5e3/Q6T7yrh4QfxYx1qJBYaF
6hKH3HN/niWpkrRa6tCdjyutZthrkEQT930z3rW7/2ogOsw6tC9HtXmXKFhfP5TgEAD/Nn8Yu+6Q
H7mtbgmy279nDgvM+ss49AEdpgaeZOba1349DpJSOy6yGqeSZrC/i67Tnganrm6MfoTi7aTI9A4a
6RZPRM2Zz1q5No5GrtM5HAhMTqqguwipSX7YNEGOS9VF7XYqo/i6x67io4L1h+ninoNzjjNLmmFB
AKnYCmOr4RAQ/aaJRm0/ZmNx3Wtzd4flz3SXZw7Enb4uwy3Cjnzf9J1z3cg+3NVUcN97QLRDNAT4
F05RJ12r1eMvSqUrV1FbNXszU7RVgt5nua8iuviUNlr/YMqxutCUoJ1wXYuMQ2i32t5kRuP8MeGx
YkZzfd9oS+JqqCQ3fUGQYaIr6g0SbHmlZgOxXX0FtmlNxTEFLPKHLqH6LuM6yXH4xjfDDfUemC5t
Bk5Uq6X9sjZdfmKVqs5/k2pJX0HP0tEd8sasaBEI9ZS2NYJSjMDmS5xhBroYibWruSx81ttI3YtG
JyfJ5okmLYiOFBc5liKxgL2cFe1OJgEQVaE6qadgmuPbUyyeYagPO9RnC6aMlpl4Tk52n9QzZddw
H9vHE2plO8WktzJL+0M+a33pO6NUCk9MWrOHhK/f0rJydkY6WE+j2gWfbJMMNpCpR70O2m1TYDpz
DTuvvl8qumRipDeM71DDhy776rFztPlAFjwBtAOqqQWUzF/yaX7oQz0+tlNdf4u4skUeCtzVJiIM
bsRiiwttmGmyhDWNJL+sc3l0xpAyumfuwtW2keG5keMklMhtKA7jkvYnp9PFhV1M8325ZOpnOzPK
p3ymCUDtpc+nNivrG8NuE5BvM9cndzFAgv0sl+Pg4X01bUisrC+sQhuOWadkW7yh45TuZG2PrtNh
1oALI6FbB2eph09cveKbWo9sFOB6wVkHyS6/jqJexXcY400/aOWKkOnKZzWNR4W+bt9etvPIFQCl
Wu64Y+qQRKMqRsnB2S8ZPWGlhA2HB5Fvcwm5gBg43OSQLJH1THZnus2g6MdeJFrvjiYCJ0m5HACG
hsNNHRkQF80SZZPHe+rlkymEdeqdbtjSHkw+gScoT31lVx/ULpxDrysKghzqytpPyoi1fkUx/Eyr
v+sP4Cn5p860qks7V7XTmCz5dtasrl/7O9NjGJfScWuh9Ti8Fh2NBFMbCq4vdMbRw7ZO8LwMSapu
gsKMDLeJg6b0sqlvP1R6mnzTJjNIXLqOwZdqLogGt2txyINSPJoTTXgaqh3JEkNZIvwpp20TZTHN
qyw0L6quWL60rJy9Nmm0V7IYdwV3pua6l/MyXWcARQ9jN4PHi3TB74lGchNFdrdLQl1XN2lhh+pG
6nH9QyvVyoA9h9vOBc0J1H6QjtmeOj2Jm0OkD7W5Mxs51X5W5MO+DkLrqjLGAphokPlzDHir70TP
ncdv86yPuFBn9eSpmYrRxNoQoVy1nflSo4Nwp0QZ8Ac6MlJPh7btrhIzDj7asph/VBgGmVx389xG
TBIQOhjkWXqiUV191wT4wop+jceiBF+fREbnGvQPk9S0nHriA6O8uVqWUv/YStntmiDpcaUY0/Ai
qaXzTclAeEHu2Y3B0mlHuMEinCe9GFosD3CquRsNEEEgYCe7FMag4PYI1xZHqqz0lKpU9jWYO8ZL
FgppTytjZ99octkvRTwcO0voF0Urgn1qzXJ2p1zU2z4Y1hLdrhEvmHX8pSJN5jYp2xTGpykaTDsd
tS9dozKUuygKFpo580rFd4oPUW3U21gG5VFF37QrSwPCb17aM+lpkR3uUgSjhssAwb5XcurQMerS
rVOq2rcGjJ2NMJTHXtfKy1E3wrspTuR9JiopXIOM8RtoFP0uXkLjmxg19YAtQXwsHAI/B2up72Kz
bb/2kUg+hnq3MSsqvBqqSOnGUa/s1GkZPwinvslKrdyPJaAgGuLgQq/r6p6LgeI2ZdVfhfG8nOoG
XzUu38IfhwS78dAQt3akdltAxyLwk2gZd4k9Ww/DHJtHM0qnb5ki6kO6DN29rjfKDv7FWIGKCec6
AiIkL4iZc4yr0TgEfMLSDWKp/IipOC9CzLQqBPGq8lhPWviAkrvaOIs2fyssjtIOjOYSCGcZvMEO
w2OAeB8Iki3qaC5hcYvhBvrewOy+477bIR5Wwy3xK/VNV1XaqZ2t8FZyx3GRx8GuMetxD94b4XGk
QiwpgtlCmYuGCFcwJ4l9YWf6LhY2ZjFLYk0bHfHZXdGHRUgsUU0cZN/GuFCH5g4yDzDTwhJ3aYFn
3zIxTo/YATqVZwFAbHSnEkfAdCzUJL0XArsq7Tv8H2TdZtjoeN2m3TYhlABGSaeRqYyR7ldQ0+yg
h5Z9qoxk2CnqBLbokM24NfHyKbetDUWoGGy+RbpE1yjiVV5lpauoFMNwulIjZ94IBVutBU+9h5RT
vHeVDqpMls4aOnNNfkZaNpRsvbSxXMDW8ACbY6XXKA2OVLL6kdf18ADHUe02mTZY1zAoa99sE0zn
rRDheTMQbtDXKDZiZeGOWmnZEnmdDODsLEtvXPfIW6EI5PGO/cW8tdRBuRDGnH4LaZJ9c4wsoMc7
OhdYxi1uOmkAzVVp1sdOk3R9BrP0kIWYcB3wbomsodrHeTY8ygiBnKrhwOCKfJb+7AywCoZYdw4E
7lpsEU6qfDDm1rkbAse4nnE6u1YcGsFMQg33LzP6oHMj2wFM9h+DLlHv52JIT4nQm20mhuxkGnUX
knKWmpqn2HVwEUHMAlyS5ge6Ct29ZBs5/azs23lFc5C5fqHUrDjSyo7aU9ciay/LNP2Ia1MPkBp2
gRsnZb4dQ0M5hoOT3xh5OD7mDWQ2t6giDcF2vViX/HS4DWVpzF4IY81vZV98VtRgfghJWT3Za5MJ
+lVxGuOwQ/Or9dczZthrq2CuvmaxLR5jIyKhLTfqfg8dtb+botzCu6OpMx+orv/WArim/qDbtRep
9cK2YccfRWfigBeIAke/toV+haFMHEMxasVFOiQkYONN+DBga5huObz7r7aa5kcjS5ZDprXkp/eK
gax7qid6n9CJatpWKC3HKZ/uE5qb+0LgWV2BM2MKVPWkCo61/KTpdvoYYvXj20EXBDeNYg/NQQZL
OLralGpbGBBOsRtoeKBUBjbhwKl04eVdBk6yNMo+08pNHObpcQzi/CJnVfyQQOtX8IuVbbIE4Y1T
SnEal666M6dpymlMGRomrlbUbpaYXUSnC8mpXDufokTrPokwWjiaSoO3QRuv33Sxavt4v7SHvNQw
uaKrcFEsenivCRukzmkA99NG1F9MuwyeNGsynsDR4s+NWeo7q43qW6VrnacGc8LLeVH1O8na4+Ka
RMb9HJN3mvc4aCdma1zVRRp9x/+8z1zuaBhn/6y7/xa88D+TOIqWUKW4+9cgxNXnrvxflABtW77C
If78ub9wCPihYOXmKi0ROg0qk7r0LxzC0v6wcDZDuyNQP0COBgH4Bw5h/6FzrZCOAwoBCGG+ZI7K
P+B+gF/Q3dMhBfNnfwOGMH4qd14UzgZsaQpacBC8vE3NWgmsL9GAXMKdQMAm8Zms2MnVfI5+dAWo
21U+5FZ/NUGM7WHeBT2cwrGu+oMSY8R3ihGTC248RS72jRIMxU0j+i6+SOcpMXa5HICETZPd+gHG
6tTDuHL0D7TAJk60aAGFjhxtah/mZpyVa6a58iPE1i6hQuz1DwIZyU3arPM11UJFvQ01rWnxobIp
DWQYFMUOx3zyg+WCgMXVe6vUKBAis0cPq8hi5/SFTYcrGRI87MaJg+NmCYaK7b3DQUWH76eP2caq
hfEdf8FEXGdTaCS3dBVNa2tUMEs87EATYi4iWanA6hV0PNAhiee5jsrkOjMwqvOnuOqNO8cpJrzA
1UDB46SxwtBTVAT5PgBGgfIwxM7Sj+vOWvYZBCLwy3pJMHdL1DDw6zrVa8zt8MD3wlCJIvzFud1Z
1xDsqhXephJIj3qc1r03OUFue5hGVPMOomdoPU1NEqY7tvF52RVT09nHOehn9MAmBrJP/Rw7d3ms
2MmhCYvWuIXwV1k3cG5gcOBtDn5dtiO0l9qx2o5dK8TgqFJH45sqIhFtTLZaTOkE0ZkzzAcLYgX2
fb6uExRT415lL07NrS2S3DqLJIhg9HNFYaMZ09G6GaUobiWMIt4GTaui0LWT5TTBckAo3bNngw3r
fpJXOqA4ftjaZ+wD1Omm4rIg/TGA2gDXxOCapKpDDJZjx9L0e3itjl/87OrBm0uzqzlIl+q7UTRW
zxaM958X2Wlb7csl1YZtKhZ6DVMurR9liAerO2ihbW/shkW5U362JLWkwhvFTmhhwXFW0iTdUnkZ
JkZ1aqtvuD042nclX2aDG5fs1H0vhxGPQNwmZVSUW2ZUumoxBwXLevb1hqwUr0j1SPVo/2j9sxZW
RGXBEOHXeqVd6/q2MZj3T52MMMUTAfrRXRyrZuF2abxYx3GYoEzkSZ2IO9w/+xBXYPLxfIllXLEv
7XhuNjKeAZwAmMb8rpuyDJEwgkscLp3OWumnWpc5V5Zh5dXkwp2fjNu2nrE+k22cZtgYV92gYAnS
Tfa+6jpZ0TNJsQ4WVr30DykQyqy7di6n+CgNLmFfIIqWyz6ixJhuHW6n+BTFZU6RnIZ64ylKD02j
QT22cNYmi7hhZrUrYyAMNMzy1NB4jFQVTGZ2W41SAPNYLS5Mw68whspvIgtfSZzpmql7HsYGRWEJ
+cPB33K10Upj9tENpV52J8jXXLYoV9rKww5A+ZJZc0N0dGw0pt+IwHjWadNis1PigLchqgOTZJoJ
qrKxYtNQtzXvE1vMEFsIr8ub4gMWONWys3vHRreLOzKe+VLpq71jYSG3TWAXJH7U6U79vagLqGRj
PwlJs0MrdOIpAphg9I5gnhhyJew2kOFaqyiLEzEbsCH0MV6y+OO8iLp2x8EyOvAGR3xc0jiGKmu0
ZebVUw11ROsKU7ql3qea35VOGmyGgaw4D3azXlzHoo7rY7zoTud3dg0djJKioOgxIA8ImBzmt9aQ
dFcrbaT3HtKPEidw7No8cM+0+41YJnsmGKPQzS/8j9Bmkkz0ClhEjS0uTMX2C8baHb4yU949kJQx
nmZNRquTzJxYh1zRlOJzjylx4zt9k+qwc/BHvbWLqo82GbtYuqVa0bV7ul6Dib+NNfVe3WtFlPua
htttkiTlRZOBiLBd64Pl0aPhBhZmxRJfDoOd/xgV27ybHBMJVwM9Ntw4Ig1/KM2S4SFkxcaVBayt
QeCNAs01Mpk9D/XSfKfhVn8SjN1urCiAG2upoul3qZWrj/Mg4uwiXoI021e0b2kOB3YY3C92UKiQ
NigEN2kzpXnmxeOSJyesfVHdeQp+bNlw1K3IDIJtmjcxhtmDMoiWHSTLQy3fjeVCYGFupYlGqsNK
E7P5QrDB64bKOoX90KgheLCWhNuc44CQyzpl3+aG0Ac7CE6wl3ILBqExiSLcKPUACSt0lKemmOCO
cjPtMQ9RirzPdy2tRscloYKekmKoLAuZFlny0BhQiVJ84BeOK0uNG/OjZkC/cqO8VvCI0aZQ7MUo
Jm8VGtyUeAsWuyrLmXOFjZOhZ3Djn6/bXjoVNLDRbi9w6JjVi5KErgS/+bBLjmZtVuIT6HL+WJpW
bW8iHf6mP6aJLQ9Y4Dc0nWk/Q9fClDi+wBkpDA9hpoyXU6fLfGMtKiwjBciGtmecWjCqxjxKsPqC
Ao5nxdLbOxPG2OgFqoR6HkBZWg5xVsl4S7u3oJiEufyDFmX/iAw6xvvXxtuGPaY85UWRY/mbh1KC
xqRG+Dh2AZGedZ2LTctMvCmK3qSZLNu0eQBAo0sLeyRqMUumFDzo6ursau9q1Yz7G6uFHrRCBfZw
yAIntX1dWMqwxV62aW+himkkpSVKqn2ltevMh6EebUxWsFHqj2arYCwolK4rtp0+ZN3jVJYdptG0
YigSVA1nSPQXy7WZJ6nYTezkBMHzOJ1f9rjU7+q4TFqfpo2zUM3otTXwBzkzyTCzSb2VU4aVHRQo
poBRcbxubC3O5BUgDUToBeN5jMVWOqwBJxi4ObgJcRnU8YcPoMytljHdaSxJhHRpuvJPe4KnzXpj
6rVgod86tbDmu/9fG3Tzn73GVZf5r0sD93MUnzUn1x/4R2+S272Jlp7+pElQhrUG8P1VExjWH+Rp
IRnT0fzYqq3yU/+oCeQfJhFlBJXSLxSq0Nawlf8rJ6M5aSBBpG9Heqq5/tzfKApWrdiLksCkNwgV
adW52SQ0UR+8LgkKRS9Yo87gLpB+r/ogtJ+cqYuurLSbbxtDgTGTcpuURuN4L17T7Z9jvBSynXXX
1pEt3gciLktdu0lnolRslSmdZQyjYnmegk+WNrkxdptvD3Lew/tllLPns0mu7GuLSwI5DOl1cLS3
mb8m9SHvqr36YG2bnePPu39jVNvAZFBy3XV+lnsvC60x4OYyVow6nzA598cdVyDcjt3an37ox2if
bea9+e3tQQVT6fyrRKX1z0HPXqjBrqSoCp6K8w7z+y0dWBV83Qt0N352vNbXPDo2m/5SOXYndZ9c
9blrxr7/9qc4a3X/fN8vPsRP74UXDee5l0oVWXyIEfKPHo0uZE0I/1/Q7Lwz0m+/WpgZNLhUdbUk
pLf/8iWrhiKHaqYHyHFykkdyFo7Dh27Pxniz5oY2VwlW+Pu3H+93k/blmKzZl2OGZmtCNwJegtm3
0E0M7EMCKu2rwVAe/p2hpKGb1OoE0ZzPXKtaVDVnDqXqs2LetNMHNBHvLY/ffl0Slw/btggrcM7e
oR4GmZX1fF0UHLuSE8Mj6OWx3aowSHHJ3dlHuSXo5mv+nruTtr6ps40HAGLdAHUqfOc8TkpL57JU
fi5Mb9ws/roqpW9vSFfZZZtwq1y+/TZ/86A2zCcWI5dxtPZniwP+qgXYzYM20OAXbMwjabuR+hBz
ZL490k9awNmTvRgKo7LXcyQfCTlNLaSrJiHJA7My3OUH4Ve76J1t5tzIxFRRiEMwsA3dIEaXZfd6
pJBuHkd/MbrJJTabylfxOd+AzV+lV9Y3+/mS5ujlfMnl5VF8gFnNknxn+pwdHhB+Dcx3cIzUIWEI
7ZzxUVdqIHRKe7dC+ou9K/VGYkCBnylrZUMv6Z0v8dya5q8BHQsyC+pejElfP3Brlw43MW5uoryv
ewN64IA7bUyhjdorpdWbSNpz2a6Qw3EZh53TOjTRENzqmRtXxiFvP9jTZ9i9uKsVN29/7z+/1xff
+/mHO4/8toLWIBiPD0eISObCMPDqY/v4pRvcfBNtsWy8GX7ATM6epg2R46eVgxNdzc07x+pvvxOg
RCaGbtjCOpvoDemHuO93lptgi6vJHcvbTfsZLIDgWFLUBByLtx/83Ijhzwd/MeTZNBQlTYaYJGXX
uAozUDQvv3a2ZGwYVBqav3gtsx83/3cJOq93kF+GPZsM4SJtGJrMviwAcIkJrIHWLL4QFPnOA57t
HetAcMskGySoCpeVMx6Q00pKLKe3gRhrVwm5tGvNZlxwn3x6+02u383ZDAIhJgRRM3FpMc5tnupk
aaeh5PMnlR7eDWqcezUmRKYW0jDOsuQ+max3MriN3wyJUBQE3EAjaf7cpl+c1zEO1mU8SgsVXnmK
k+tust55qF8n5Jruy+2SM5pqTT07YszACdmQcwuMK8TrNVndNYNPRDsc4fQ8xkLuhzTd/90XyZiM
BosewO4X2tuAvVIV0reCqCwek9o6oo64ShT1GMv6WpXpt7eH+/Ulvh5unUAvXiKqrsiYxoyVj6Ju
cfBSM/7eZYApaOoqLDTaqpbA3PhsrsN24T/WNV2sSl5ZdoLHLT4IRa9k75xev3kUXbW1tS6BUcn5
8vpRwsmURZjQiWwD8QgD+0AT/uJvv61XQ6wf4cXbwqivUbW6NF2mzOiCEmz7KPv69hi/Llk2QE3n
L6Y13Mqz90VKU5FVAp9XGYWqH+uBD85+adhcp5xF7f/uBsG1F2cPqKJ0HGElnr80DDvGPulRPtXj
dR+ghVTMcqdAH9nAwlfeGe2XrwjDOaHBJICfqrGizhZU72SRcABY3b5foCw95VJ/Z4TVreT1RnQ2
xPrnL76ieMStuKZxD5XT2lUHsM19DleVvzfFtrjFKO3kXJfHZS8v9RMKd7c5zVswEVdcFI/iGkse
MLDde7nkZ5dvpj+R5NLi7OfS+Gt2sV0NfT82GpyNhXZ/mt1p+TfA2c9vT51zazaGMfHDNSRbosHW
uDrAvHx44lMQEuaozYjN6i+lhbW2i8qh9Wmwm3ciwPSO4IFhQ5IFzKyp1Da0XIFti0p6CxqJd5b+
r8crnwekwDQ50LWVl/D68xRGmlMfUCib7uA7pWvhzYqWb4Mhr9jmfrx1Du+96XfHPDvSdZtQlXpk
TKgY09fJN7f9Ljzam2SmKAhvk310LP/unr0+5mppgz6NhE/jfMlqSEqTkIpRN2c3M78PAaYJw0dU
Oq7aNZu3v+T1l706aV8Pdn6kDx3e6nSxeD4hjwFirsBOH5QclW9i/5BKR6DYgN+5Xb+zsn5du68e
0jxbuw1c2IquDPWjk24nU/Xm6D1rwfce7WztGgScLHnNo9EFJD+hn44TBHnS2qpL/Cu4Bxvlxwbm
h0uD6Z2v8Lyo+7l0+AfJHgKwCz3b66na1giT8fWn1PhZ1OWbxFc84wATcFtulcN7l5dfN4T1bf5z
uLOVMWO+iacEb9OZUKgngQ+l11WL6J3J8u5jna+GeM5TveGxuu24mTfpZrqIr7D+cOsDqrnH92rV
30+Sfz7W2UqoYx55IHbWTZYPqX7Xal/envzv/H5xdp8t4F63ZDmPBA6lFwRlPguVDfXtMX6/g/zz
uzkHgqC+QOEzGWTYkp14Z2zCjRZ45gaaWeg1HmzGdq8f/sNBz+Z+7fS4NpAm4Ta+PM0bwqE23UV1
gbMCJQgS+r12+x+OeHb002Zgg8Izhs0ZmrvqaX58NGEeuJlLIPCDuFDe9Y7+/ayXAMoCWQd6s9eL
jFYcnGiyh11lTrZzfGqFtTGL+7cf7JdSZN0gwaXlenfnprF+iBc3ABWvgZggUeZgYIW+DLKN04w7
U68+6ZkN17hC/Pn2iL+dlS9GPNs7qsZKbadXBldTLO2Q9JO8dOLSfnh7lN++vBejnG0ZeV0u0mx4
Lr06QX92TWwZVO2d2+dvBzFBRMDvuaz8govUjZMaKzIZawcuUl44X/S0gP+NJ3kxyNnMC8cArksc
oLQN8xokJIfWigR4gwR/3PxnQ61f3YvJkBotvL2aoUqdPQ/NWwhYv8DXe3uY355cL57obM4FTU6A
dsswlQnCg5AoIvDXsr5KA/R8/FJW9wqpFW+P+ft9yoJaBctK0AY5m3a1GmYRXVHyaS6bbXi9ugBH
W0JpPIvdXb2EPO+/PeJv5/mLAc9mYGJWqVoDXbuzPm8RuF86ffX09hC/nX8vhjg7r6ylGap2YQio
ltdmQraHJKrSEu/MwHME/s/jHq0XzgQOZelPvtmLeTFoQ2U00L/c+oc4qpQGVAzOpt/au/agbwgU
9R2/fu+O8fv3989BzybjENcwrQD4ENM1B4I396UX78JLav1Dc1pHRODy9ut89znPJqYqxiEnkWed
I9pHwc6ee84Ws1F/OZJSu6BauRx21fvqvfce9Wxu9ktbTQ0BdTyqvtV9bb/CiDXBBMmdcCsPTPf0
9pP+ZuLQiKYXqBHDZuIf9Xqh60T/znqt4UzQRzuS//ZVZuxLI/zx9jC/W3TIEQ0AeVxABP/6ehwx
l41dr/2x4hLqSLhHreUXtmt7iweL3auRQe/eW3e/OdFejXk2b5IlXqYYzw03ccgDxHAsDvB1Uyez
OpDi6jwuCNcxi5lhMrw3f9b1dlZtrELT1f1TrmvlbP70E5ZrWsHjYgzja1uDYG/ChF2DFVPu5IGo
IRouO2ubbrOr8d1Oy/qlvTX62SxaciufUABBasFJLdtjaR1Nbu2Ys7YbaNaFHjgaqrkRjwPF+z+k
XdeO5Liy/CIBEuVf5cu2ty9Cm1l57/X1N9hzznYVW7d0dnaA2cVigc4mlUwmMyMjZlBN3bfN0Ja7
sYJuLZBbWaSsBI4FN0NVDlTU6IrLosqW8bmIkwclaCewQ6VmLXykfG2K8dojdtEKqmbougPHAWju
uZMBKuiTAtrXhtpNmompEtmWppKzMUw8O5cdesm3vliAQNOF8gSbktHxW0CNUpybKEwxsMHzz8Uc
YrJQhppqJPuNN5JecS8bXYgOKAfiqYVIrxGVMOsrJZ7TIOg3GcoYbxOA/bNRWPNcsuA7pzaYm0RG
twxKnTn2kAOFKgl/yV2y9Zv6AY+UbRR3B8x4PvVlNRq82tuJEOZgLKirlZVSD2U9+PS3YB5EETg8
hLzMJgOsGO5cieYYZJuAB8sL//wHe6oDlCARlSa/zEmF3FeXpDINEtOvHq0coW1XXGXxqwEIzqNt
pqK+xIbYKOCKcYQFoPlAOQjCHzyLLi9iyfFR0IckhYBeNUbfzx0/6XxOmzhsF50fxEQHxigNhX//
d0YYz4ggOYthM3hG5T/FxQH0T0aLEaHLRuhvyn54EYMQOsa9JUBkmM/BkwrYbhDdGOB2NQQQ16pQ
deY+VdDszCCOvWxsadtE4EIJqrngVmZfrGlXVsCv4Tz5eWhEmOkM689o+OuykaXPf2qEHriTlKlR
eEnUqJHZzwBwzqyh3F62sLgMBckY5TyAkzF71hWQz+BFWBiBfZOFGih4zLDiTXrZzOJCMByPCqmI
RFBknKwFj4Y4JAokdyN/K2itk4Or67KJpZWglARObRkk10C2nO8VVMvrmMfUKajxkytgoLeFH2C8
TQHL2T81hK4eKsoi4KIgX2QNpW3ShpCKxX00yFc53z3EWXNIa/HuD8yAG0GQwQwF/BazHm0O/MaH
KrHRhulWmEavgkw88KgrXfKf24bVnJhhXEyNgK+udJipq/oTQDK707obJVZX+t0/kxqYQT8PRXmA
cX+0WDD71YO/CWaaNnyO1PhREUMoDFeO/JtJBc8A6R+3jmDwxCYr+jEFYT+WLT5UWWHcUoIeJRg7
lZUD9PO2oUYUHa4gAAHKHiCMBzZTnCJv8Fuk9mpTbMcag/3CeAtZmfIfx2oYUzG6DhEhtHLYVChH
7QgwUYRRgPOMMZUtfw5tv1spU/08rLCCFBTTSeiJKWwqVEY8BvpnFO/BJdde6SWUBmdMTK9c0wt1
Uvg2OlMYcRLwIGR3Do9ZDBqM4oD3SjGbshNtdXM0lY9uL5qJxVlr18NXPfn8fqAGEYTwehcl/D2P
EBp4yfS8JKjmoDXS7gUMixgRxJ+gjWSPqYFE4VibgbP2Bl3YzjOz9P+fBHESzAGY3mGWYO4onzqH
ol0ux4oFJ6TtLgVlPnTnf5SQpnHodRAQDwY/vebar6jV3BI8zJG+UjJdXAohApFkYMxwZ5wvpSe5
DOQ3PpkfBfuux9jouNaQWFzKtwkWFyN30yxUuCyMpBlNWW8MGQS+pW/qeWBd3rSf6QLcQVLQFBVl
YL2+/PPku/BjpPNQHR0NsNO6ZJRvU9B4V1HtNEJlqXniXDYnLITAM3uMH5T1VGt1gNfUVOk5MLQd
WJuhu532oXaQMxlE1JzYdXseze6bftBzVKT7+UHrfBOcd++S0jyCRCbG6Fo4Jk+DJpaNVYBxBHSJ
wsC/QXU51/7kc5/sEJMc5FWQK5GIHZK0ArMZULuSD5c35esW+3EmT0xQdzj5CCSRQQ5OYGL84D64
yAAzxZgfMGE9yBbK8QZ4Jkx9G3v5CEJnj4BDsDL4XfXErcAMFooM597AZCipOql5Rdfa2Bi3t1Uv
uqH6XrMpmP6O7PTNWtt8ORxJOKxUqQ1PMiYcRejM8wJoerCzBgU1Nmb1UIxG7/VmtW/fYq9w6gOk
IrzLW75w4cMNv80yboj5ARWklzCLYTAD8zngrIRSbrkabZeP17cdxnnGkgvSmNqhG8oZpaNoNmjc
ClexOiCLp814ANYOc1PlavFmoSmPj4krUpHQHEYyyMSpJgK91jQB0TuYaMxuEnQWMzMxKbAyvelW
NpT+sB8uDLUkXuMlaEqziRrB0KbPizrtXbWbxk1ckNsDKL5WoFhe1IkdJlPL/XH0AfRHX9EabMkE
r/O7igsTXX2Hs4SXy16yfB5OrDHe2U9NVtbNf6zpz/FL/RLZnNk5vQ1Sj8b6A/oxgLOBWeI17CLm
zn/Ai3nJLzIthcl0IzvTAeLLJiXrym9yc03R9AfVGWuL2cxRCnBnFj7dTN4sP0WPoyD/2/omsP75
A/t8WcxONiMn+ySmO6l9gE6w7xJDUl5XPtfSqUZGiCwAYBfAiphT3Wo5r6L4+7uXLqOh+Zc0m7mF
5oSlXSn1jYyUKn5YPeT0x7K+f2qWOeR53oOhs4BZ7ZDeK8CxAtVkzh6I3u1E3wg2b6yr0S4GTrx8
oXiFSxtAYubbgdEE8FHKKyVeaa7ooDKCQUxkcfHjXBujDZCLFbv5wxqAevEAntplPiT0RFBXqmEX
SjEmMUMslMMVpbrEgjTPyt27ukrmi0LRIAV9Faz5B82NwYz3Aq4yr3D9e2U/OQKuQ7ylIPa75q6L
RwPQGiTIGoBE4AA4v5LlSZWGMeEGo9vOjupUrr8Pj74R29hW87LbLrrPiSkmTutaOc9xjFMYiIFd
doBmg9z/sonFtOt7OSimni9n5Ku07oavQGaNFlSYbCBjI0fMAOg3wL81mqDbwYQNFKxC/XF1N6lT
/Dghfy8R0z3n5ota6H0M2gxGuJFRvsYF4VvCkVyBIgva2PzuH86cINQogNb/9+uBiv/cnqglKgfe
fdgLfbMNMKsRQSRjSIzL27p0u5+aYc4C2IFLcM/CDDiAufEjlUKTB/dCoYH9rV+xteKRGMo4X5Oc
qRy4iOAmjWyUm8wuXOE2fOSd1kyctcYPO5DxYwOZkFaS//pLvMG0511mfshotpQPq4bol7jkGUzq
GwlFgsIEVjVJTgm53MCGksLkjWaBdihGXNea14tXxIlnMBmuNJcdVMdwEKSsvIfo2lvQzTc5OC/W
PteaISaASBw3SeCnBGKov1NcAgSUv8Fxm2+rDzAxqBh0sWiMXtvQy8EE9YtzL0lJm4iRALOlNhu9
/lQKa0NkS2/TE6dnKT5BIAI2rBQWah7gAhD4Qbik8zW7HYN/CrT/OsVoD1FdXMxlME5YQXKmSyO8
FYn8rIB7PpdWDCwvBcSoQJ2gaMA248E/BrG0GNk5xEoMSibWzGAwSDMzDP7oIgMW97+mmNOrgzKt
nAlChfYK7c3oCF03C43Me938qJ7Ry3RyO7lbuz6XneHbKLOBYpjxUhvSV87kO2XR2mrWW5dD4EKj
n4babxvMARbqifQC9XOMM7kJlMSFXe8FrujyDrGUHfGGJ32lWrucg5zYZA5xxEkYLlGxmeDZdwAf
s8HuwW96W3J4r3paEy3/Gqv9GaO+l8gc5SkhUNXRYU64QmUdM+HRkc7EBq/gywlbo3puCoxQGRJC
cbQeiundeMk6c6LLToWKwwzrNBTnzu9H3OQoTnG1dm0up1vfGysxaQJmduRiiuAwPUQdTVD1etFD
4HKJ0Vi9DcVMN3DkTX74w/zg7x1mQRS5Emd+SKtQFATLvxW9FTuaBUEkuxCBTjW41ffI2keV6MV0
UnMJmgEnkvpQKZrKtjEqkFWY3G3wS7pGaXl69g3eCLdiDMZWay2JXjyXBDU3CAwDQPUjHQIZXZKE
uISG4TaI3/V+rUS+ZoBZnF7oakj1BgxOR4dG4EAUU65ccNTtfrjlyRqY3Ac0UpwOHmN67mk+14NS
GozA6w/+xXv0xA5d6sl34kedK1X6pqNvVFofAqFueqVZkoEAYzxkIBddz0oWL4YTo0zgTKGFAe4Q
GB11o0aNPPyIMI+om6LbNDaN1dOueYdE5cpLYLHeAOXVvx2DCaYzpLOzHGzCAONCHghypnbmRmZn
DfvYi43aTM21x+tiCntikQmlPaZDIVQAVwQgARRJevBRQGcLcC3F5Zrek8vV4L3mm0w0bVUFCm70
g/JbYiqm4OlHJXfA823T5znYq0EVmj6v3FLU4S95KxNE81Lg9IyDUckdiQGFPrRZMkz7BuZ4+B9e
jyuHg82RMBWpA8iNXYW3mDp/zIkl7mcPHMk2H+/9ZD+6ELY0iTs8+q0RrD4pl/P378/69Zg4OTUB
EpkKqhj0wdWj7ojKzlF09W3mrE2ULjawTlz2664+sVRHoE5KY+ws12x9FwVODF/eKnuo7Qz79rUK
EbvXHszL19TJ6pjYoygZ6ISpC1V2uqmBsb1tTDDcmJBL+uA/wiOxEgcSWn/kQ19jixhdQ+PyPBK1
pBkKCKMhKDiiE5r5XWBnpnRHMKcBKq+1RP7/iQV/m1OZu3jkmpbnfge+wc5f1F2Ku19HMRBKv7xF
e4PQO7u8RLJ8Nr9tMu90AbStcRlhiY3tu83N6DWY3eAb+I//VYdsH8W/ZIwi6PimxO087arb1Idw
pR+y/NSlihWQdMdOUwaY05gPzvsRou74NdJN4NV3o4Ge6LbbQFRns5p6LEeGb1uMLyVzmg8FtTWY
01c9K3UgJueprmgnV2sX//Jl9m2MuczaKQMzMa0U+squUjUzal7i6PPyR1y+uzASBpoccOGITHwV
OEgog2Aa2SokS0GVH2QHQbXLZG1cZckOio+Qr8DAg4D65/lH4ioIZ4GuHah2sTEy6QZ9HAeywWB4
v728oCWnBNcNQVECvBeYsDg31Elxq5IIfYxchcDcbNXSWrt1MaCcmGBn2wLIe4FwLoGaA+5dwQJN
r2YQDuJJTroDbI56PBKdGEgD0JytHLqV5bHzbT6YtlplgO28KV1gl62w+5PaETRjMFyBDhvlOWD8
rtajWhoKnr4hIq9H4EJGuJEc/2m90L/0OIMtnFsM4/OQHGH8Qu5UETSoMz28UIegmbxi4YEEGS9j
4MzA0u8vu8dSbfPMIBMt5jwGZ6Q60XkiEPmhIi2F2+hGg/YGnmfvgis5BCoUYOK2EmJD9NS7bH/h
HBAB89KgnRV0WWY7X5EEsT7AyrDePviQofY6cbfgVv4s+mwtLi6b0imDGxAOAMien4QiBo9zLQJE
0feVVfPqrZ5jnJfvBYMXk01ORA88/C+1kL5okewpcXyfJulzk2CkEMjaTpOOg9T/urz8BffFZDUm
xwk2AAhKJlUOO1+oqw7LL6fRGQb/1S+rj8smlnIMwC3AmwK4CkCNLDpzDCvw20VwKXodCXsBHQeV
x22PvrRNdrxv/sFUHHIaKmgE5l+eIMad7/QMLnex15rfA8Tz3gfAHnh7+Sa6nx/JvnCgr7b2oFq6
8GETt52qUZYf9hEMSsMwgp4hvYnyTb1pryPkF9BJ2UA5wVa8P6oVnhlkDk4nh3NWzjBItX3V4YFg
TuPyl1u474gABS8Q7iB2A/Z4vo2CDnkTXa7x4fq3ZFCfoHJg1f64cgIXsm3KpANLIPNS8efcShUA
lSbolNMHEUfetV4CkjKyW+0909+WeUSc2WFuVogydgqkBXtDOcwOAW1Qj/GL2p5N0cyQjq2luYun
/WRZzL0H8sO0jJUeLSiZt/oBXfw8sWbyHK5dsD85ghCtTzZQY1JNsMrp2VzCErQ6bd7u0E8MwVuQ
uJRiSrkfHHE7WcRoiL3ehF50ke9VsteFniQQMgDdIh6gxVWvN5WhlJghhwxIZF52xsWb6XSZjL9r
TdWRCm0wPAKxQMEIHe2ztCcLj0AMl1hg+VwxuOIwGuP+/BxkUlBhbY0tYEcbF3fhtWJBugIvMQjb
rHnMYiw+2Uvmmo+F1G9DMJUCs3itVgQD7Gvzhmtfi4mLPJ+GqtphRXHZXEFY1mli8pnqxFnZuYWy
xJlH0rNx8qoEpyLguC3syIHVIehHHqQUPGQtZo8PBi3V1p7t2B7e/+TZdWaZCSYhJKky0GbQKEz7
242Z3mloq/OOoXjgI1u50pegX2fmmJgy9qUGXQx8ssGs99yegDqEUgCoxwQDqq0BZj5AMmsTM5Xb
who8YVOtYL6WfQY3nIBBHNCiM190hCyH2CC6QAwEHF9CodxWdX1/+XP+5Pn6CjBosmCsB7DJrxTu
5HNCycxPhh6bOl8hcppZAMhp73G8IexG4CTAE7Kn+WG87Xbir/ogm/z/UjZYdqrv34IJqPygzqWP
tX69brNtsBteO8kovcztwbaQvUz78bGwJm8K19x5ORD8bZmlD1AHn1diGgjCzezITuNm5iQjgaFN
g9r1wSq5suPL5/TbIJOEdxM/NzKNqjOfm0n7qUGfF+xElz/rcl4GVun/fNYves2Tzypp4GzPZlip
MehkdEfU8kxQ2rmziZB6/B/qajRC/7yBvw0yAbWRIIM2Qlb86wvm4A2AOjCtj4JD3VXbVbD0osNg
rBNpBYg5MINyHoW0AowP+SQCmVHwx7SsnKYgVx1EyawaksEJV7grG7pmkDmMfDeC656DQVICszdb
4XMZGt0NQOE20Lg34law2xsxQJtpTfZyMQxoYAgEPyGIsdhXTAc9rCKn+Owco0OBIhhFvjZ9Lyza
oNyuVCAUAqNMUC/nmCtAPfX7/s0rBPT2iX493hJ/gWKSTueu9e4W4yv4GDA3Cwy/BrGw80+YiLEY
+SKeDr0jfICLZMe7ZBt5FCsV7Oedb01XiWTVgPMBy5cZ8esq3QVNnlifPf0NmAgvjZo81jKep9DM
crJtgTtMdEMvu1rNT5f299QSE9+ErJHUIv56Jr3+JgjFIg352FiUIDT9tZZuLH7Qb4OERRVBTWKC
ZDGWRvObrDZzlM7oq6zB+PUGqDdrelq9n5dCKXpmGJ1HbQv/YpK4mBvinh++bI4WphcwDpzhaZYa
8rZ3o7u1C3oxaYQxBSRlYO4E8OHcgQa9QEeGo/djapT3tDYUvY4BAFOUlLgvzNWCOj0FP/wFaF2w
lNI5b/ZBHfccVCLo5HPtyHfajfosmahHOeB5pQry2F16ZQTW+HI59iw6z4lZ5nBKoST1c4p9rXLS
bJIMjPO9qHcrE1BLcAHU8EBriGKBpGtsCSNOlVn3A1CWtBYo3G9BelmYSmUENpIsZHaNgCKRFdp/
5DandplTCM2Kts5b2B1muXGIXk+gowwVN5QgWZfpIZj4+8C/roqxMWKtgxZ8F7WdkQ8d1AKLOjeh
AZOvpQVLt7SoIiyhTovSHBsQ8xDyfEIYDnhQVo+BNxw6xYzvRmBRMNUvm+Mv9df0rn5e/tBrRpmI
KOqFUusTjJLgnhMSqwBctY/ilbfPkjudLo3ZbznpOOjCw4rElQiyrdocoN0e3F5ey7IVCQUaMNuC
t5LJB0S/l7WiC5CAjPlOI2EIlluoAl02spjmiJqEuXvwoWIGn92xFhqTQZMhDXjjPoIAjM+BXe96
MzeKTdP/D6x9SyHg1CCzeYXWEknoYbCPUe/SX/vmsU0hIFeubN+iK4DJnhK5CKDNZrYv7eJEq8J4
MKCOqSozuBjvVUFe2b7FbwTSii8WBypBch5AhWYQ5ozSmidl6M4tBwGY4u7yF1pex7cJcm6ikcGA
o1Bn4yCNxA011F1Vzmg6kaysZfHDnKyF2TAI3EIFQ6eGSGCQdtxU4xby0qDT7VaeZctOd2KKbutJ
bo0sE8pPPUw1NqTB0bBWbzUwtkDtdhNu5Q2Eti7v4dLSJMitQ6WL/tHoHp/aqzMultQRL+5OtBKJ
t9LI36vde4U757Klpa8F2Do6EbjDMULHVJumrpd72UeaogwZ1CfBOJYUjl8pa9F1KZmG0yEtQV0e
bBaM40nQGQrqREZweM4eU5BkRUYDnM8N4GLW8FHVFiWiedQfEydw1vLOxbSBFtUw6E1V11k2VUUR
504YMYwYHKW/KPMN9B0dDvrKwDgElmxd3tLFHsiJOXbKdxa4hpJ/I9zeJKBgeFa2aPpbFeZwFKvd
cjfpbXKf3qZ27v5J/eDUMrPLvQRVzCLGQqUyMOY6MYp4JWdYCiCnFpjTXXagWtMqWMhItgFN8WHs
p5UyzJoJ5lxPYZ4KCYEJMa+Mqt/FwtpxptvAZnWni2COcxAoUNBMqAU0qSYbApZb6ZpiqqG54F52
hqXzdWqKOcnQO4/KWIcvBFPlKWPjRQCc9JL6b5dEI8pJxEj9uktGuqQaIwUS5mwobb/sak54s5q+
LZ7l7+PEXsE5+o3lWOFhTMtkkOeG1lDZmqnjWypwPPHbZMWe0rjtsT2sTbat+QZzGadq1eghHfcN
G8UUm0cBAr7/7oMx77YqispcyWABk+2GL4lmgQWtMVgueQXAABhoodwgP9r1eKXlU9ggviuNaOQc
MSHCbPrJGv3NohlQKYhIK8BIyzaxNDnhalHBc2kcqkMeV67IVc9FQOzLW7bUsccFQjA6z2Ns/gfD
b5FEYwMVZlpLqDe6Awlc6N9aJZoxOZD1ozvtEgobXXvyLi7vxCzjDAqUfXX0W3GMxWqTS6oFBSw7
SNZ6yotli9PlMS5RZ6WU8NzX8rKjiLHNzMjAHd17qk0bTvw+PwYoCg9eYnXXym59vmzJ6wEV0MEF
jpKMzJaFQ8xFzUWGXwASGg+KWN4RuVy5oJf3Uhc16IiJ0Fhlgm6bARzbZ4hTnJw6shwf+7bfBK2w
hhanP4cNvaB//9sOE3rzviNA3mMptHs8vELljrIddBZxtF2NYpfzZ07ybZAu/CQw8j4Aq+OIhcli
AMZx5BcKQOoIWStnYPkbfdthAvBU160YEbqBnn8TvpSYUguh0zS8oCBqzg3gy9nTZZNfxAOX9pLG
6ZOlSUJW9tIAk72T3kd3vllaSHC2437c0+JPaauxqWzABPnRWKMHdRqzgKvWZglKCXyBGA1E6fby
77SYKZ9+X+ZM9tCBEzK63ajQJG9Ilh1lE22gpDmiVCLtBi9bu/nWPIo5nUnXJhXqYghyzwTyWJVb
72YX/JsYeY5tlC9WLvTFZPJkhWz7AIrCMy9VsEfpzCkGWm4NSi7PO6CMzFdVQhbreqf2mJyOKCCq
EujJlK98N7vtblGAgmO1duYbok2VuNYu+JVYwHYSchmCsHwOi23wPhMkkZmGobrVhixNFS+471ef
6sR9Ky0DOoqa6cFK7W/lXegkaMMMVnu7Dl1fyllOd5GJOx3R/ZSjaB29rRJXznKoOhYpOCLTzsq+
Hlnkc+UorEQEtnY4+Xkz5NQxiesffLfddLeNG+C9M2/bt6w0/mxSEBfx30GIrWGpmt4OWQ+T/LaB
lhKYDfbFpr/hVifbFt84p5aY2NOPCORdCUucR5uIya6HtuVoxlCxRESPTN2VH/EGwTww7v2D1qyE
28W9VcEdjQYG2IdYoIIGCRYuDhHEgkA3ghhKSuvMuouB5cQG9d8T/5wlXiJ6ARvUP8trpNR2dkCD
cjNspPfc/RPwK/lay3/WxFzBQprpYkHtCVfiR73p3NDxHbCrgG/AXi/CLh7yk9UxB6LP+LHmB1iT
MNIzDtfAUluztJaB0nD/44yfWGFvX0VLKnlCl0mMeHfKrmuhNQpt08eBkeeQR830f+kYzDVc5nHX
5ZCENKA8bhDg+SXRu3yu6U+4tCTG86sgIHIbwMJIMBNCcgiCD5afhF4AEd1/Z4q5TKUGxdaM5n3z
8NSBblTQn2TOlUhlXraz2AiAgh4oc8E6BEFC5g4lPMQzeYJ+AwhD9i3UBwE7ErwRvC/alf5Xf6yu
ILi4cpEuO+DfNlmYry5LbVxLeAPlVSYZUjHW92WkakauiWvtlOU7+3t9LKw3L2Nu7ESsr3bovEBi
Y8S03nWO7hbO8P4Hk55AoKpgDAFiHi8i5sb247wDCLOENWBsla40ij9q9qNTAYgIyLWgQMh8sDnJ
tKSQa5xeNBcFK73iOUMIjOwZBUJoBDuDpw1rqftC1QRiMjzekr8lT5mzDKn7bNYk9MISkAMRUzCa
BwrNhzDBw1oDfOGDYftkqMVoyAEI/nEee7kwgXx1DUoqDLLeqM68gzTafgA4jI5arD0Rfl4mMAaJ
KjQtAFnU2VkSVauHJiMw1nLxIeCQZalrCls/nZ2awHUFAAPBM45Zj0LmWNJ7oBXBuOKXr3m5S6Vq
JVos2gBlJtXjVWhD9nzPirGUu7qh36dVj35d2WDYDUFQsCYQ+TOmYy0ndpibY9SHMpZm2MlnwYIs
tw2WWEebwZ94lQj7QdmsBCd6z54H3HN7zN5Fw9hNI10XxJy2peNvAkwXU4RSaAfWGlUAPTiXjDH3
R9UMVeDXMBZj2kX0KHUSeNlXJykXXY7SOvNwBuFHZabvoM0NRTTUwYPosRf4T84XHi7v27IJTaYy
UFBCY8kHxAGvd2VCO85vPkOtNIvk+V8ZYFsH4OYPlVmFgZzIFocsosw/LltY9GgN3KyQcgM9tcR8
DC4iJd/4sCC1kTn7Tl1DiTIurctWAD/5cacDyA6eXtA8/a7IMXe6Ovdj5pe5DmX5QpWelWHkcw3a
a2WrvueJ3Ao7zodqmTeNRGnfhlBt6sM856R74xN+DN4FeYQijTFpLTdft2Wfo7cQtLlvhSNkoUCn
oSaeP1VQFCBzJRsSibjeA+W1rBh1D2VEt9O7/q1u+Emw+l7LX/JhaPf82FbXNfp1BwAGx88mAgOf
0ZZc05kYFRWtmCQQ0YtBU64aHAgN6gMYpELulYidYIltLd2WRQYfI8PQhR4oUPmN0o5k3JV+0pQH
TYLQvS3zfDC/8NA2vFaCws9eynSQQncK4oHfoFcOUEUjtd6kR8mNItCPUcti17vJHI4o6qlZ3UZG
FEhRbOpqhFm4UZALy/f1eetzkDAdg7nCLZjFXXU3QjrKHsWmNCDxAHFnnXQ3WT90MKFzXiKK3E5q
+vAlK9QExDulclDlrjgqvZy/Yhinl822lCOjxgTEC3Ag2X4Gv7cbNG3/0hRjeqtziuiMAIhcS6EK
lbNRTjwpmLa17l8nAWlNYcoxx871gi0PnG7KcnY956VsDnmw4TLuI+syLygCYSvMomgGVRbblZ/e
C3V8XYXli9ZOujFzQX300+w48vIxbeqdkEm9GaVTYIAo8SZBbJd8gPflKtiMfbjnleS24vtmV4tl
ZJclSOp1fo7smjTCrusV3URKJuwUX+X3IFNUHDkTiSfrbWLgwiqcviRQphPTd7/vS2tMSmL2WoAX
Odq7B8XXgvuwUtEu5sfNJIeY4ZWDtznKb7U+6C1+4HE/d3ljSvkcm10yRUbapE4fzIqV8WrnzCGf
oYCKF1oqCbUp9WG0By+ubgb4O+vaq1RrpZMUpQv9YRR1Z+jFhWMJoYpJSK5BRG5HeaJegd78LQpi
XDpl6hvzOFyRdvqQhFC/T/puPOhqH10XkgRWjzz6JfBDaapi/0JScptr076YlcKset1MR/TF+hZ4
8Da0plLeVWmS2TI6l6Yq1b/Q0SZWq6dONMebbiK3QaG9dDm4XCpRlEHdS/RDE0ixlQqlYgQjdHO5
juzlYbDbGV9pku4CgRgq1Aua9tgETjiHT1B0xHhZP3h9zpmTuA+n6lYceIerRC+E8Gs8lM7YFi7f
Awbs4whqs1eCkROglCutmaxuukt5oK708liKkVXqkUVEVGmqDzBi2n5a2ZXqJNBuDkWQN8jZhx6O
z0ke7YNe/OSy1FGbYFfFw7XajLyJd5mXY6NKXu5tKKFgGT0QqmmVGO0QFQaYsJ6rSt+T0X8s8uQ4
i6lXkHAnB8q13kn3jR9th3m+Uub0MyaTw43lfRf5x0BR7zqw54YauqxVYo4KZw+BesX7iiWkjdVW
075Km13aZ7/4BLlkdUxaJyrNcfrV6Y99KhhEMlD+nnUje0+0mzk3IVVcp442GRlex+JzUDlx9KJl
4HDpzPm61K7Ju3A9giPeh5SAI34I4YMcWrP+Wr8LM8KilSnQHMyhJvcc3ku3oF5Ejp6/NcGjJMyI
+LciBN/40Bqm64BYembpohPAvTID4BxBPSQP/lUlUbm9py43IqQ7muZxyXYKrB5kVqjG3wmPiEJG
n6aQAHgUw03R3nfAioocdA4UPK2z2eAi4Ac4zhgmfCM9jR8ApD3kXP4GkQ8L8RoTxe0tGcsnkFiZ
XH/XtDE0GeyR928K8OurU24MjXrD9ZERVv1VDk5JSBvZQSiYvAQ2ydLi3sQcMDUJlNJuCrzAk4iS
WqPbUekMz3l/KxQ7dGjC2Ax2wDml3Faob9LgOIWAC+Nxfph1s4gyQ9fsDhh4Dhw80Bd6BEMZQmIT
Q6RGUC0RJpXq0KfgKfAHp9P7O6F+Dn00gsPwAI4LK4/fcrVxufBZIpjGk584NTEQBPCCbd5T9UDm
+1CuTJ6/IlHtciCQj40qs/3Iy3sPHbEJNFCq3cSmNHk54nAhVrYWjehKmENBzFr0DVUtIDvo9v6D
Un3Aw/nuMwleCp0zcO1FZQSRsadw1q3Jv+tkgKqE2YIesQpSxQGRCJB3/lastrOywQcVdlJr6qnV
dK4qO3n2NGO+VencVnZaUgCQ/yvrvVB2S4SPxBXbuwETyqjD8vfVvKnKY4jK92iFspfr90KP+JYc
osGTn8LckdPUqptoIyQIiXab55CWthJkztqvOjrwjRd0JrBmmKYHZtsVQPhaPneJVU2NOeJNR1Rb
GN/10NSzpwLNT/1Y9e4MKKB/hBumv+RkP8hGVtrY/Kg12/gaMy1KBFT/Lh32ubL1cyO+5QFyhUZ9
5uqqhWdbmW+GxK7x+J4wbia2hl6bnW5M/mvIW6G/A9UG13qZuC1Ua6hvSWiWd4Nqt7Wr96PhH5vB
Dbq7FKWqwpneQ86u9Ws/sCqMaYeurxrCsJ0TIz/UMSQ4eTMrreQlFLbxbQmGGdw/B01w49ShqDzi
BLsQXRJIc7aHHlee6qFeGnNm2Dtd4lbo+4amluwVMMQEZnvPt3s5cXS8pvVjHhwr3hYLA87bk6PP
2wI0hTtL6lrTx6EmnKl1d9MTpu6MLLPH4pCBgzo4ZvFBCjdcjThkRb5qNpLXcZY8XI1NYjX9tg2Q
Eih2gOdfBmgwytFl8ljJ3oSdL49Vu61ToLMRKlqzae8A0GqHm0G9n8gmbl2IpVWYCtM2RQHhodCt
ytCY9SsOGQG/K9JDkLmcduXrx2h80OtDJrq1vJHhFmH67AcPneDEIcKwRaA/zm/0uLNQLYM4WqwQ
NxeMvD9qVWYECI+HWHnuZQeb46ufTWjnMhjeLYKS83gtwttCb06fo4Y3O+4zQlIWf44osnA28Cmm
kL6SZBP9FdyR8S9dNILZhHColj521Q5iopNikthtOwdiWOV9GNp9M8FDnkDLxskmjvN8R7dd2zWR
VwCXrsO/Ak8Jr5NfTWFzYNQq7/LI6WO3flDwX3i5wT/jaCeCSFEDFnPvK69z4grRlgTH5B7yCw3I
HAJP65/KDg/+wVL/j6Mr2W4Vh4JfxDmAGMSWGc92HGfYcJK8hEkgBgESX9/lXvVbdBIbCeneqrpV
v6U4dzQyLL/VruP4parILQP8n10f2ssJsIrA5fOGwRUNphM5zQzHb1QJTVsql7sqSDh1WWm/uMON
bQlijJDP2lSB0X12al+Tw2j/4IuLNaNAjjsWekWeLvNNOW1o2ZGJQ3MK5qWGtiwjSwp63ndVMmDO
eNibSPQz50TjJxNvMsKsiYcNOmFu/CzLP4kaG/k58m1erXjZUhfDL0gVtRzTz0kZ2DkeQZKXJ9Ug
LRA+UlYRCsfvxAMSVb9vT+s0BMR9o+6tpzjhjggjQ1nmdlGBW4ngJtPoy1odaJ5BHeNXblp3oWnI
SI1JCxWrzboUBWjoFn+yemHay6hXERnwXFDO9ke9yeDXT782769sptD1usgZAS6yAMdmUVybliBw
6YZDJYfzTVlhPu8w1kkJbw331C0B/tHyHe321RwX4oeJn6FKljqrx72tRfp6IkaChdQJ+pgPZz6u
MEAB9Ur10O4vrfdFaMjluW5RN0npU3lWLkV5mLDZixjtgqpuLx6ZwgqDUNX00tEhpIqlU32vZ5ZQ
9ruSf3zAh9RZAZvA70G/1/xhrN9bX6XlpnDEYjE87aQb9kWsyDNf6hsURIHdDY4vCUgm0s/HXC+i
QTf2/damVm74RP6RGtfeZodw0IsGw/gURMaVItEy4CJkvd8xzB4b6D1W9WKT+6R2RqHHA//ucCs4
txUn+LiFvXY25cm242Z+KeCgZaKyYrt6jMrqvGyR11ywOcw58tSp5FjBk4LtjhS7zktFG41O5ujZ
6rWxEh/NFumQgmPdutpDEZnlMu7HiNt1aLklkiaJbzWvHmZGpnnX4m2y3q1aS0szUkuDMi5uiBlR
zYkqL27bsz0kSO+t8arb5ltNziXOAb2YQ0CjWN6dBlqF9MgggMq9aPMAzYiWR/N6pWjUii/L+jTy
e5Xb2ImGv4wvz/IDIm6FfB4dmpy2MYKWa/4Ie9YnITv9uvqAkGfUFSQe55iLg9RDOUIHhfaz3PCo
MTKAa7bbDp27b5ao387e8MLqEfLXdNThMyI/DSsQGw/q5m0ZI8+EmE5kDQnq7iqq+ygjjPw76Aas
gMp/XCbcCmYerc1DF0uiG4cBH4FtRcj7s1fvB5yUYi8QyliORw3UmPHoZMD4GHI8yhnjX50LpZH5
PETpQdIKe6iOR6rHjaApxv3x7g4YkDl4IlY9lBlqJ7ePyjrpUsfMZUC0kBUMHGaKb4k6OdSboNgO
ZnPfjJjoMcNtiNqwCp8dn9Qygx8LZ+cNYW/Ux5oXAXsWo/slvy3iU8cf0eo59bavCbdI+yOXzNlk
kG9jOPR4ltynaH86hHv0PL+XmkI+/Bpqw3KSLt95zhCYHL+r8DVYIkic3AvV0fq9wBDCH53+usGu
wd8gxQg9/awZXkCV+2IK7vMCZwGN2up32hLk76DQjiqwKDMsxb4K900Wh2W+uOpnmV4cOxyq98ax
o0U/cb53p53nndfuwvrPapBh7gWOdphp0NGUar2vLQmuXrzenfPbbgwDqxi3bKK2Pwxl4T+za/4m
7z5Wv5LflNgT811bj1Z3bOzDgOrN+nbwx7Kq88WjdMKiC1aEJNAXYB5G/cInBJaFs8B49qDtCjUl
c9VevUlLTNjnEw4e9ELmLwE4VOSVv0xrtJQ/K0OwUDS0716eamiT3StFQ587HXaJjRrivbaDAde1
F+g3I3/UMtIvOnykeNQ/5tK3u8PsYarRRskR4IdRWLB4k3ER2FvWzL6GzIKruTzGZe/OTy1q/9GW
8BZ+2lK8tE62faB6EWVqndpTgwq0QY2b4eafWtiMMfRXkLhxWEsfVnO3mqG0Y9feeyzBni/IKz4A
UyHKqtK5oIYa7F0L4GbS72YDI/YGV9L4bqxotHwLxv6/rAlc+e3C2Z/7w/ysMG7OzQEGIVLPCIs/
nYcNPBbaw/RtO8GwFwSXPfLpJfYrRXBqE+i/uOJZbH087Zec/YKh+PW81bF8UhwQRWCk0Y7yJtTN
nTNcvDdchzqau0f5AxWdwAHbB4CqPvhj1RMKAsGGlTP8x+yHh1cox2mCrG2/sSPyNuOikgFk9yxz
89j72apwxZWwZj2N9az62BIv9z0r08zU1f2Rzv6ICC94YKOX8Ut172Tap08LPHTpSYcduC95OspE
E0l/N1v4kKPOdH183xJNxcv6vWKeCD4v+c0cXxx1I+/1DBXv1LzXMCouA2YFYxXa+3bGZDIelPhV
bWytp6GK9VvlhtjkCh3K3EbuD/sHuhoplGeonYv8tKEgRxXnplDJ2EWCHtCJKEr2/KD2HMMmxp4Y
fmXuai1ueahVj9rcL30RulXgXuhrddZn32szoQeSpEPtFxfEh9E5aOdUz3Jxdr+rpJahi1fhfah8
89DzYK1jHMGvugzGN61KW37mH7btr/8aAbNp/LgZ4mxAgAYbfPlrXNtLjxD52Z+abARwww/WEX2X
ldjQm8Xb8nD5vqeBVey6kDN/PG80du5bG7bTtflpMZ8NzMBMNPn8w5tAODzmlzd4kB2Bp7pN2LsX
LvaNd3f19xImuDnQxXirf7kW1E4AXM7m6CneenkdsvlHnFrvOi/B+pbr6EujqrEiguId7Ht5XEig
HYTE8B6BwAg37pdqgpIHHYbrYKr21uNOW5ABQ/4mkAXjb3Pkh6X4X4T91NHbOJRpaDiRsacHezf/
q44lcK5tz4xIMxLXSuUU6OQ8vmN/Lr/cCNYV9mn6Lm+y3KuDNT+VZVJvp965VduZDHdFQ8++mXkd
DDsXPXAb4YakMplkCgMRw4ir6mP0EDdxX8GdWfMNTYzIkd65IXM+Kgh+CLfqnDCGyZJu54oX3Xlx
axnzCcbB3buC1pZqt94IrN4HG4NV+xk5rO1zERXVJbd+SvfeVL74mkVG9GxTKN1f7eIo4UltXMot
Mj2cvOEAAWiP8aciyIseI1d7VWRA5Wgg3Q8xwsgN6WFoENAjH0YcESpgaJ1CC6W9P+Oovuh/FoRf
XUChsrrQwTemYHlfDoBqzL8FJ+FNzcF6qdbrLAOAB0ImSMxcdx766BhdKVT/eRlitamB+OWUVegN
0xXCJmyBegjLF4IPoGL9UfTA585yD29AOEwd8IlQt5szAl9ijq4L9OO+u3fnXMs4zh+rO2y7ct83
0fqURC0smL7l0QB2hoVGlvoY0CVr34FpGG/5vTV9ZC72meYm471VuN98dz9of+VjdBCUlzi4o9XJ
usCTtE8bM9SMKxrEKd7Mh97u0Qmzywpfsle8XVvUnytsndzYj4eOvGzv6kibH7c4rDziywFgE6L4
TKR+VDdbBW11grXUUGMRhoTDME/iMI+GLlHGjjiH/Fi+Y61Hw0dL/yyqMJUvraxHV+ihpoA3DI4y
L2obpPNkU53YiA+5OJ81jVC3d2jl1wgVc+6k5Uu5wli9chL5Cexi64PxhMgx1afQuAN9tEUy9td1
/ivtsLvmps8o7OzMEC967t2tHBUc0IOE/2xlkONGRXePJLkfmf8DLsOmT8zEKWTy4SzGc/ooUmS5
My1Z3wTWej0JG4FFaYN7YNX2C2ouXHpjs3f0H13HrYNyOWzszR/vID0GcloAEiyXDVkXWySrsNRC
BXgCzs9GNP2TOBj6DM2iUaPQA8b+zzUB2zk7fYc2tvtZvyfcqF2yXDsJ0omkYyCYL35XZJX3/jw+
d+12bucLyGt6lfiWDjAaB9kvdgBrFcCFc+i2j/as/evw7D+aEsVIt++9o+7cXQa0oT+vSzYk3RgZ
3+QkkHqNyxFJNaYRg0wTxb4/OwcPhQs6/hvW24FkYsi2kNCkQwt69sJmSsBJTAYK5Z3IWB/mD6bB
i6oz0pzG+GBWnWpWhB7IoXhHI9uNlo9nSei9kgNut/ZrA2eg+/kW2hJgra9ueh612qXWjsABUMKR
KTa6vdtdqjZgu/JIhneXfuljbHEsU4HtNwEOC5oac7pvM/D9KXPO3UvOUvOV2UkB09vmJUfQ7jeM
QIHBmW3o4DIu2nRCldBrONRUjQcboK7ygN17uGaKygh4fsLB169A4Hyhu6EiH4rsWvtDR0cJ7nx7
EMV2bTmkavvUFUKmsFi6FsLeKrY3NOPdEIFpAZ4JlK+6aewXLjD+rPNkKwAMWVWQOyNcgxAwOs1A
YyNne4bGylgpM8o9FwucWtWuW740Sc/UqbMVKjDG6wvV1I4oLSQasosN2+eueaDDe7U9JODcHJiO
MLbXuf12LcDnFk+84uZUpe/hlse0gZ8rnix0uZr9u6jNQHnmHdQFEDt22+i3Qujx//lUGDiEAjwg
2xhI/dNYMnR1LUbDyCMnFy7fumpXDi9NlTDvPnP8p/jQ+ou+7Rr3gN4rNBY4o9XXoogLTQXdivvm
oHUcEVeWP6JGwMRLO17q/mg4GrDAFy//sOurmlI6nU12WoubUpE3nyiijCYGH8yhOE5aG1kQN/fd
B+leZv27w9w7QfRCvqP6W47Cdhwu9mT5ojUDvn72+XCU4k2igl2bLtS1LjDw4izNGhHt0xVnwTLp
pialb4texwM2ujF4fmMAmbsZGB00172n3jrPTt35RXjodMqwt7Pawnb9a7Amxpl1rx2MgklWLMuO
48wXLQvdHIUJblNLQtGn42bHg60+pPsz9MUbxUmTkw+PoefTuxRpPAEbYRDbyrTAbVBYSFRqu6hH
z7O5NLM8kZYN9XPUygLPd4JTZleCxDfvhefeGUqtgeSxxU7aeJ6tvRzf5+q+Khl1+inPbTjav3M4
SvBJvLqqjiQ4obpBc9TWgT4faw+6VHQ4CgMUlXplHPpYeRu7eHXMuJtZZi2IG18AjcCQrW+Xc43L
BfG7cYEju7JUXOUfns12toF2ZYJROnohuAzjxQVgsNQ48AvxMULdhYCjnbd2gGnQbDDS7nrAwQK2
8RauR12zApjD+V0F682Kn5rmVRn/bNXekPERNsO+5YeN/dFS4cVq/B6drGNrma1pscH6ZCyso9lP
2Cj4MuPDrI8zThmWG/Hk8pgR17cY323GeqDOtXTwyzE8JOr2SajEjloDMqfm2ocYlA1tB1G26ssi
eE3BeimAjV4DqzJgJ42+L2f0S632Mml/QEebZ7lcqNjS/0g7+bxpY5I3qTKqvVOrrJtx6CsgTsA1
phofhlepUc6BAY5XNd8tYwFz3UDA/WLB9J40D2wWdUDYGchOgYayGpZPkU/gQ2W21buqRzA6sKxq
XqrI9ooYAb9R6c6B3ICVO1gLrqETzDGMilG5vs84xWD9oI+42dpD9wRrOagPrSyxhe9qmdMV0ru1
gIbL9BKJps/METwJsV/vxf2Cq6/7rKq9apCq6BS+tSK3briZ9NENIH7Fwy7bZO6d1F1BaZH31ZlO
awPptvccwtZ4BBpL8SuZD4adttWNo9fB+g/W3iuOlUq14lx7Yzix6dChdTQmEWHxcmIHDDDk0pap
3jxERdLW5V98MnYOGg5ZY+sOzY+uqsMoRWS69Yc+z9E0GRc2k+tqTidH6C+z50aee6xqM6xqAl0r
8nWtBjCEuaHiaw12kJWzW2oe2kLMqZjFjyinPjA4+8Mq3GzB0Y/p1kM31sxsQUnZBfIdtSKehAYw
GCfTpN/MVr9NnjySHiEfvAbdgaEBtYaz+yfc/r40ZYAxiZMQOILqnvqte+jLbadXGOqeyRrMyg5t
EA8oTTmiCmtuJkVRo+QA19UZ//rOjNlQBxrAlQWqBwnSr7RhKN/aext3gDLel2k6Dc4EVIlFfSdC
UoAhQZwwVdJvFvRUFfiqAQzOhmt2ZlGz4jTOx5QWbO/hVaL9FIxuEZUdzNBIMsj7irLfBTe4WWdj
gcEOStle4Qftk9EduNkjF2ONagTFL90Q2NrmI//Zb9cPMV2BGkqrCXIAqyASQNYOZrw1b3pxLfOw
bcMFoRpVCu6uVHvmfQ4bgLXAAAgJgmphryaJvS6cx8CFJm5DnRYxAJJtQOykqo+mlrlDVk73rsBD
jAWujimr9XA1skIeN3jmFGg30GTQt4lctfba8Slo1jPqIQp3FBvkop72Zu032ydGaGF7+uU5PyV9
WM+e27oW49cqkwF1/1TbuMjRy8PLiJzccTeQD8eRQQWMt/8zJxGaxZWqxOlePRTx28Aw7RsCLSPo
9Lr7CqS4hO8T5Bm0CWmxc7TPhX4DIOzkwdzOK1BM9aZ1GQWzWEPuM0vfHvcCBtpiX2ItOXpUjZ0b
59ND5c4+be+4mok9R5Y3BQ4cs/R/uToY3t8EqsaC/LcxPjf3XHbvElAcQW/y2Ix/5vADPlD0IqI0
MJsiymGAU3QgLNHpl/ae63iT+BcZz6BA3epzFoeJ7PMuRpvS1/968GRu/nA8lhqAinqg8ZuF3hlI
H8PxeixJKoxvjspCTi9NHVALzcYYugiFQXts0msNLmR0HwUqo0o/Cqjbh9giHxoFlQesmWiRNMz9
WKGYhbF1iaTY64h2HZa+hD4W7HLeADSUd4uCMvE8iJYiTHBHit+wQyh4PbtDeMM4gx9EhU2B3Llx
DZFQMZZoGapAgKsr1RKB63/MVhtOLiB/2fiFi6lKFOWtTkINqywFiBI8dYXHQgd2bA0n7FC7CsfO
ergyDZV+KZd/C64tG0nwGmj4su8jI+d+W08+PCDIclHLHvIO32V/s/my0Wu1JcOwh1tIRN1D4WbU
u7T0OqqLAyHQVh8aDQwjUDTvWcS9evOuxXGbu33KOzcoHeskp+JsrHMRLCs91AzSeW35XIwhLnrt
7g4wj0OrWDXjp6ODzwTeYdHrxGGlb6kErhyHTreSHnCx6oyda1DQ2DyiQHeHEuFmkNTSVv2wsgxH
B/eJarPc9t4hEkvGqsnDrbzAWiTstMKnywwyYsrcBbUysUKCxX1+DA+qBa/TAwFWWZduRGyOcmAG
Vf69jlNYPzugCeukmfHo/FoAdSoTRgnV72qSm+ywf/IZgP6z6y/SwphfB0A/s0ayzmAnJu2jV5JE
boD3h/W0tid70OJSq3aLBrB2LEj6nPbsOswq9jLTwS1NthGMTgWID69KK7lvgxZBunOmBoS4Vf1B
Fx/PD1kuoKjmH8v74As/mjnwY4WK3u5UMqv6XGKPSx2mr+B7lhnnldOnknbxDIFFYeBKaGhIZ5yl
QMMGkAoQyac6mKWlHuNFd3x9Yb9jPiUGh90Jrd60lQWydUBMlwlzZkiaoE7y3MTj42XSvvn6q0+Q
NpRgxbTy6LIyaBdxMirQIutbyVlajAU85fin2CpUqYOvtaiXjJUnIxQOJgQNDNGpNfh4p/cLJMoq
76igYliMNps0ZIDM845Z/Oii/lggtrBWsssXeAd3c5hL+rpN1V3U3a4CL1Q3ZSSMJWq49uxB7gV9
U9OnUhRo6KQnKPFCWzWR2rTMqqcqNldAr9sASkUbsZHrctlbC0rY3uIZptt3iNN40+YPswIRK9qr
U9VvDnCLckZHUJkrRCYWrL+A7cgRwqPGedU362DX5ZErArgRe32jj2qUJ9d4qkNAb+oTDuUhzke5
Xwz6LLg+KuJeoSk82LQHetgnRjGGlm5+ir5602sjnLw8YAoLaXfhsLTgFQag9jxrGGz8h2UJC2Ed
2lE7rjModmK80qX/afPp6Cwo3nENhI6l7hKPS+r0gGyQfTl2l61s4rLjB4Wv287oV2YLkPiQ0fWz
rICE2GipOKuCCZAwmccfr612EieHBv6KSZp56z+mDZmw0VfT3vntu8mNCp1vvhgLUDjdh2yaeFpB
l486eyh0GfgeC/5iL+2ED31g4w5cWXtrpi1QMrNVGS7bS7+cLP7X57NfekuEReHLaVzuEs4e0H1y
lF8aOdnALQHAIBF+Gh4GYusIDXJZBwY4Ojh7+W7fQ4+wE/KlKZoIh8lWLRlHh7RQD5PWBYCspGkA
7bzAyz9YjRRGygGXuPzwOKVBg5LMp8mGRs0Sh2a4ad7HbI5pnie8PQ7jvjItyH8E1HJ62NcfA3Dy
fL0WzkuHWrZqv60Ngo49L2ILhA0atwViSU3BqhW6ywb38XJdgLdrfIZI8miW716BbeD0oMmCRYvN
8YdbH52dNiOOPd0M7OcU9fgqjdOyWVEuoSRDbYQe1K7duBRL7I2ZvYWN4IHHp7DtvyvgEB369wQM
jwAsKxEmuGLDO31GzS9TBcKLRkD5pPpX5Hs2v0vM+QJlmKZ9W4igzh3fA2QojzZgjhYmd7Cfm2dc
QfTm6ljVDa3FHff5thR7a72bhYOWDjnMBQlQHdP6MuoyHDoe6CiDPAAFjqNdDHrtwT0a6OzEU8XQ
2MmyIPeeQJwY1QRuhRbEhuBtBQw+IXeshlBorys/sgpH/JB46DqW9WpAWdMAlXJZhMGIcIFOUE03
lROA3EO86eDY1QH2TQleON8A/MzarPXqXWlD2ALJpWrQj11yiYxKbJWmO7SijDRFwnw9a9hEeoVA
B3mXc4ZWyFcSNR4UJ5vdnOuxyroGZrs1O0nO4Fd1BOLeC1jWKbFjRZNxaEmx5cBSAkfl15pWaG2A
nMw4bo/ohWv4U09oOtAHRvqAZSBJQ74WD1GPQJERtjfATFhvmqAr9GCZoTjqurCvINpc/uwN7xZr
UwjEj6Y1XU3QAcTATImDOxqx7UoqlAIQxPXdFV7zez5Nn9tGI+V5PvQ2vgAOr9lRXf8YQ+ZCdobk
laAHlbwQcZICCZ5wTbKnLR49+O035r7nBMJYDNBOCtyfiPG1s8GELnBFZIkHt+UJcigPGV8bFNLP
C1zp8CmETL7W3uxShNBcBDpDT4aHShuQAcAw+0Y+bKRpl3jyS5XOYHhFQaBvBSvofHm6TAQDbg0B
zWxaIX0KxGaonIC7CAdSvgHgfAF62w1zyAU8BZYVtzICjw6rRPfRfEmy7psVGHCuw3Zab9IBGsQc
2rvRIcHU2oiOgkmbWAJzdYHhAldj1xwDYtqyBc++cV5LtAZXuUE40kKO3B3ylgWu2xzI5Ia16+w7
9t13/zAoOowpNFbE+xs3KN/cPvFqO+Cadd604VhTJ64l8R08Vw+OsWO+PspFBRS/GPSj1tUQHroR
Bxqri/eRsJBs8OkEpaY28MunkmzBAAFUAWDYQFfEWJ663IYSrzSiWRq+4PYeZqIQe66pglYPzkQI
F5R7GxcGAeUyAqlqeIQbFKy3C2aB4m9DP4tIwOdZSuzfEdlhxRUjcjcpIOQU7nGEPNAth8jCakyD
SAG1ShLjCBlZH/Su+duydkgL1t28rdFjzykSowXSjNHWLw46WeMqZhr/52k1OiLsjl7AhanP7ffB
cw/jxB9w1HgtR1DcEIhna86vjlBngSJptWqUXf0Y5JX26gAh7HWU2by6L3WferORIBM5MEotGooV
hyZ5tQnQJ7rE2gRTWlUqlA1j2BgaZPCuQouABHO/rHD7TCMexdzaXsgmvKxk/qXd9Eq04mK3ecRR
dJg4q/JRu2ktFFIo+0xVh7oOTR2mWXQAVblTRnQw/zkQcTATkirlHjeryWQh7tZsfasZ1AaSbzLO
kE+CQ2rY1BU29ad2K4DXwDW+EK+Okij9WFJ7A45JdRvs6kim+jBa02Pb3J1XbBdZGmfqlqeG6+9i
9NJhQmMCDnDSIHlZgCMu1ogFM+Nah5Zg5TNEyksPAQ/GlyGMXBxQouu07OXU/TM48CtM7/xUfHvQ
cnnK/pYdjLbPGAx+XTYzqYmWFdg+6F/hS+B4OH4BQK7riIJAkcrXe9CLpgL40yUwTjjUptwJRtHE
F8vOFjWQ6cU+FlZ363vjMhEr0EvrnqMM8zz0RMXY7Q1Wv/Q2/6oldAml2DXbAlbbbqHTrfsroW7s
8O4szIqggppPWlUlBcVeRqtPObFxstj4S+bBGouXHvq+UnS3RrNQJq2n8lm3CjdtB5htoJUQTn0r
WvtLoEABgXZq2u2r98x3upVpDXhMOM/GVBpR7vKThgQ5Ip+oKK5WNjsHoBDgI4YT7Xja5et3J5q7
2yI2ZUDXMdkftuj3W1Pc2dDGztq92E53dIY1KQkE/nTdws0QN/jVJmOpznbd73owQJMyY3MZoqeP
IdJnwOmDG8VWXWrIG6CF6iFPxUQ/8IDxXjkgnXFzSEv7h7EEKGlgw2wZXwJqfo7hCogutyMn+bXt
MTGOKF0FvNE4sFU/IC4gsdaNRRqTNza5O1KVVxglHprOfhWs/Cy6Gjoc8I8ji+amxB5zQ4M2CWzJ
o7Ks0wr86DzAn6Vmf51gb0Yj0sKewtIwM8ArlT9X/eumgQhEf6y76Phtt7xaUxs10knNcTrB788v
zSlULUudYvistf7VHOjRpup7Ye4BMvUYqws1dPXW2MajKYvUlcavxYcqGmn+Dyj5Vao6pQ67GkZh
QCNC3kYy7Var2XFtivO6eXHm9mw5LiCDHH0TnJST1gBbM0KyOHqgOYvqCzMSeCkUelGqGSd71vCb
WquD1rK/wYKJQUCwYSTHgMNTb8b9ugD6pBEBOqYTIGlkSZa1fJ8RKEnH5Tw2LK0X53fZ7AhlOhip
+c2l3WsB9lVXPKDD+INPfLIwg4NpsRvvuouVwy9briHQwKxxaNKK9cQAMuVOlSgc+8Pghpajv64A
HsNtxHVW6UM2GuqDIxTWyxHbZ1VmWK8ldDAET0I3hu9yeUqYtAHt6HrohbWg5saiL0DiBwH7B2vS
AE3oH7kNDYdhhTXpdw4vTpTSyOnhI1iPRty03UVrrcTTBr828RX7wkCxNE8HNhpvXCdFLCCWczeW
6XZxnXXvMs+4WrCF/+ba2yE7FxQlWR9q9sxotIA9caOMi8K+1naFKfUe/JTYcnoe5FzHTVUPqcAb
29k0Q+rZZXQB6VXMBbQK+Twr61dt6ssXx9X4pdD1zoEwbsJn37TjVHV2ViB/9qAAkb+VrrA/PCcH
G2YSXRzLkg5HVUBTiI6gQKiLJZ0rXFDkvVpQdf/H3Jktx40ca/hVFHOPNrYCUCdsRZjsjaQoUdQy
km8QLZKDfd/xNo5zPXfnDfRi5wObktnUjCwbEzGtC0W0ulUAEllZmX9m/pmHIe6jbMZlWlkJ1VUS
whxB+ilxho9tXOpnAWp01QRSf6F0Bl0B0on8pWKn8n1eyrL/2Y7gl5ogISUvSPyFKkX/J0FbxOaW
88QOPumW1zCpLi2FnLYQUzkZmMt2wH1ItUF1t7GbqqR9c0JvyriM8FORBAkpqTHIL6o47s8gE5Jr
M+cU7l2Q+85IrVeddCm0S7rm58EnM1X6IWkyzfHXCqH+svLzcu0qhvpWVdrobedl+Rng+nja6Fp8
3g6DWOVhLzc+ZE9bR5QjnUyDzymeDadh4eCfUzY1XOSlaJd5U0GYZbeZu6WkNNpKgOFVXsZwhFsT
1Osk6lbKwsGZ0ovNYJj5Wh3V/hr9I99ky3abuyMIatj7K2H4zuuWlNWJ5pBTkWFsrvTBcinCrt+b
TYztHQJ/SdOTQY4cOJTOtbPCytxlbN0Iz1+LhFIP+opiDrEmNMF0TfPO7pKPRgazZ099uheBxlUv
CpfQYCzyS4tqkiaGUy82uhvPNa9qLXxtJuobxx2hIUuZr5mkERYYYEqBXoQoLbIgiyUVkTSEXXWR
EreYgupgbq+w0k+t5t1Jz/qYVv0vWiSb01C0UFjRIqWdWJFBHSr8s3b4oaczmhqLqhP5az8ITKij
7bpJz9ySHgFAQjW6g+lAtc4gjfBpLirLwZMrUWYdTKHVFNP0alSX5yRMiKKajhJDPU4i/6UyCje7
Cj3LBaRxK06pt0ZuAexwzHfmeRo5NqEU7QvlqVL7SYVL0pnOplTtUV/7FRMfXhZJKhuqbEypLkNH
AJY7nackDQCnn8tNxPjzgaU1umNcPadaRPotdVO6nVl3Y0dctomrwrG2Im+o1pe1rlRk79I2pugp
i9tlNwS0AfBrMp6uV2WcalnSt5vE9zr3LPKjrsABzizvQh+b5DKwnNS/lM4wam8Mz7R12rhcXPUM
nkvShIEZpRiaDM+4U3Nq8wKtHbtV0A6x+8LQMW5rv1XG7tqJTDDoUEzWuIhrI1sbVZSb+I9srw02
MhDXWAiN/F84aMMmaMrO/iXzCxDzkE5A+nvSWmvO8CgkxamGrFAiAc6/rrzcSl4MYVJC7B4ORrxi
YlQr122VakRmVmflK68GZyWgU4zyQyC6tLzQDTemfytSPN+loaCiGMVVm7hfp6rhFqcw7DYkLcEx
MRZGKauVaRYRp3KflslFlhj0O6a4QE2vVhn7S7bdC7PAdzutmKWjURnlcMyObmXCjJW0af5z7kUU
nowiMfNzKOEHdxkSglMF4KhRKLe51ZXjFTu2D4AdJqpYu7A40UYjsSZ3x6CzZYgqQbhtKJqz0XDl
1VMvi+RtQyIHcNonL3pSY4z6bQTMVFL/73uCjGIlo+VQhT2+QJSCFXddpH6iu+9dr3iJCuhhKwy1
cvJmkn2cZteqR1/mNaeFWr91K7jlX2ulAbjJcV4Ut05b98TxHK351q9ocjtrk4YSmGggeF7acZ4m
bN6sr5d+59M50Q7ZSE1MWtqc4642DNZZZ5d1R6Wvn0+17CkNrzBZVBAuQeujvtb7tKfTIdMrHlPX
AFnGpBhjSgjMzF7XCXjrRSliM1+aeov0uTURvStSJ3lbVZmfntn9oBfbTORhdVa3eei8CHB84Ooh
t56+SVtdIXGZmAO+p/R1ZeuloLMbJzWrcBU5MqNGo9PM5srNnNy+yHIToMuLEv7O8jJVr7OwLBmW
68K4e1q5cSXPI1RHrGrbI+9FRq+BtMGOzUQ5USvb0/6h2A35+GnCS7kRkVnshEkhcG1FWb0s+nyk
YgygWXx0a0fvyxO3EGPz1hwVWOl0k7T6WBsC/i8nU4uLbpxS1W6gZ9WHMG7M7pWWOe7LTjP6V2kn
1YEKOqf21l3l1cY7RZBtXHmpmpQvksRNAGq7rPtYdUlHl7cTWzb58YgCD0GbpkcU1luM/2oL3aPF
wK1La2OHmU8pk2a2YAojWWpHD3WSY0U3BhTzesb7SvWGV30j3PfRSHyx0bsyc7bqGAVvqiQM2pfa
MCVRBjprlZOscENIsRWs4mkz7S8GQFiWims9iPgdDcEjZahx3NDYw8Be58xlrMhahI2AmjJQszf0
XgvyQLbgUfSOoY/LQMTeJzerSu1UK1VVLAEQB+eSSQnZ+4CWUfEibwLN+2AqSW+tNbfpgAZpim5P
syzIizOsEeOp+9ykvFLKVIvemV2J419kIT2zapKV1Auh/9GqT1rprvrKzfULLwxEsRFZXZirtlWy
j7JNORr7sbDDS9kSoi71nPaT0y4gnd+3gng9rSIOE0fmEZl4Yi73PEs1k3IfzRhVYJ0+KFauKiPK
cQx3jLd9BgRALX9oUTqSm75z2hUmqGhS9RpgSNPH3Tp2NLdYmkEW9R/KPjbkieE69M5ENA2DlbkZ
fGauCL1w22hlDAlCCMXAtnbTi6JSuk0ept3Wozuj3nhRiAOqmGXGLAVXszwwTI90AABlFQXndEuG
/lb0YZZTUpKSm616s6pwd/C9NlKv1H6baBVwiZYaQXltBlwEE1CGoJRa1PnvcOsETY1ai+OzSt3R
hUrSNgDUm0qa4YXt97Sgc0Aq8bYcI4og/TZRmnXvDqVynqaG51A4k5hMBwn6IHjnhmVSLQUJvoqO
NLLqFCaltv7K8LX8H0PG0XaZyM67rdqKw5vm4eJyrP3sQ+Wr1KOEXu287TPHs1dDWMWSvlyHpm2q
fromxm8QYXJO0RPVoCqk2sElKYckq09VObUT1QU5gHejjMDj9SAREUltUZZsKFQfjiKHw1ltc+qI
rFE3aBHo8kF754XDUJ7hdOr20imJjc+k48bhyo/8ps9ektn3k/JEi7SxO6urwh82FIjY9Vk9QOm8
DEXfWWCtTmueS+RJgg0EwT+P4twrthLjAFdXmaXFO5Bsx3rRp2ajLofepRnes13i/koJ6LVI/Lb7
pTZNPMmCw5Iqu2xMKK2OdUqyYp2xC0OfqGuVlOvaiAJgQ7rjqew0e6MtGJBikNo1IF8rTmslUiPy
tIMAtO/VOlxDz+jdqvZg6heZHvQKaVKbdq7O7WXzpkqTGGwtMwJ7PXQi6yhRayr/Ku/R6ZVnGv0b
sm7GqkpG9QK243Rp+MTNUJNTHFDUOYV5lupp7027GIEaIMkI6KupKUBtr80wjuln7OVQTtds5LVi
6Wb9ISNyNpdDUWfB0uttRo7rEftlgyUyP0jkOjWGeKSSUyEUChJbW6NhN4q0XaUMnrtp0JKdMfa1
e+2KmrxPYmQpDTBBRC7UVNw0uzLigKQW2pmSXG4S349rHGRr/HfEiN8QgFgTqYWE10LgdX4z7693
FZmZTgCpBSMMyVVUp+Eyp2XnJH1vrnEpcJMulf1F/3LT/493l13tmVKq53/l802Wk1r2/PrJx+ev
8rv0TV3e3dWXu/yv03/9+tPnhx/5nw8rL3f17uDDKq2Denjd3JXD9V3VxPX3v93fA7c4LXSVBWn9
NvtmiR/60f2z/e5Cz+7u7+vtkN/97afdbRLQ117VZXBT//Tw1dnt337SIUuFy+Qv36x1/zzfWyPe
8djNLYsT0C3Uewp4R1VN5jYaUNVgj7wv3wttAQezNFToWu+p6CAt4YqPBPp7cvjmtn5DVt//zfce
YS+hezGoYuKGnicGXV0wo4zYheSnzgPDRnQgBXNhMUYQNXegdWGy2V7uRyQFOFK453lCkAvL0tEA
CGFs4ERVh9vpsRQMsbAN4Ct1GilsgACiK0emC8JyZuuCs2CW8TTzgwkZttDlUymYC1Auy+A3Unds
yKiPTwr6fGWwFwzDBVdiZpeOJsiJ5fNAGcyFg7VXpbCx/8e3IXTuHG65eTtCNxbCMOBqY+r5vXFk
xcdCMK2FRQE0lGsqg6lsONGOTxcm/Z0nBU1fSAgAVUzDftrzYxEYzkJAh4PVsC0sJDR6f5IIbrIm
radz3Auy9PE5aUD19iMCeLLAo0NSUxe4j/xRtYnf3pGY/8cyEMaCkSP8gfxRGtIUe5Ef0fGgww/5
g2J44m88EoNuL4SUUGYwN5TZQdMgr8dSMNEE/l1XmcuEQsA59ydpwpMn+JerYNiW3O/Qvaf51Y37
DzwmfeEwgQ7cByYzCKusp4ekpS4mgkcGpGs6PJbi+KSA3zgRLf/Ilngiyce6gE1QHZxGTL+m6+pT
XTAWGkPrIdTjb/soDSMvhzFE86SgCfxC5vZJHCfTBlp+ckgKa6HCm8r5yARMCknt4/MbzQcv7r/f
EQrvGqdZMuZTChgUGQ9xaBjYEioeE94Uk0Y1nKf9uXxE5pFSY3O+eeSUUNF2lfyBDeem8dRZuP9e
h2d2skMCpTg2+8hrnIaAzdwT+ERSZRCgEDhOOjM4DrXBlAtdOGBNDs6lpOXvz3IYnhi3w2NirmmY
wmpOyckpmIII3rh4ahu0Bf71/bhP3XLgFjy645KZQQZO7VyFMBY2JyVNCPiJ6AVjZA4VYvIg0QV8
K2b12oIz49j2xbRfZ5sHTRI3OqBl2hQ63x8FB96TsZCGsPiJYcCsrD44KkdkJKG2NOZbB3Whw1pO
uODgRan2U/cJJ5IJgQYKQXR5jAcmSNhE7D7TRqroAriVZBKsELY2Mas/VgbDXvAt9hHNMy2TkoRj
2xIT+DjXlVbEwuEx8Y3QBPa9mAR7IAYB+IgLrUIEjhCwHccmhskyzDaQYsFDajZbwrIALfRpcuRj
MZjEHAy0nIarMdKcCPvoDKQ0eIH23DNT0cWCQjLI8ZkTjSQs7WlUgetA3KkxPAI4FtU4PuhtP558
nnXQF0DRRJggsLYu9PsJ9gf6YGIj8TSB/w18agLRY9sW0jB0YOS5ZtJZMDDBQRCms4+gOIQfC8Li
zFT5hSMnG3mE5oEM+Xy/AdQdJHoKUegUwpXE7D4WgmkvnMlv4iRBaXSkcWzaAEIgZ9sGDdMwDbEk
P8NzOiQhnojBWZiS4Rd41AbQ1H30xTY8Iv/JmgbezLMMuJC2IxxMJIcBfsjTmMJCFzQ8SNAInap8
gJ4f14UfkNTX1OapH8S3qylJCRPgo/Tpv/3Bl4Tftws8SmyyZw5+N+VB9yvvY7Tp8/OD6O3+NT/6
8strv7/Mw39/eL5vr3xwrS8P9eUft8FduStvaJm6T8k+3OXLXULy9O835d1joPn+Bf/rLr5J3X59
999dNN552a56vO4+tzd7YfiCMljND1a+R3/mrnyy84Pd42V1ah2/fP7NJPYPSWJ9d4vs42e/lfve
G9a5N76q8s+/lkGdPXuzS+vsyy1PWeUHRGjuFTZZ8PmfhyLfYyxzF77clbvU//y/BzdNom6Cseav
jUQ2JT182bNbZNPEX9Z8lG//Ay9yuPo9LDt39atd+fmfB+vuz6A/YN3d518/PdH2+3Tr7KXvynSX
fGpuDl/pPqM9d/HrgFd59+x8l94F5eEF9tmAP+ICG1SSi6AyL7OyPjCND+HiH3uVp4q5r4eZe43J
FOyenVLhUwbp4YveJ9FmX4Bd++xq18SH72Gfr569+F3pBfmB7B8Qi7krv81ukEyQHlizB0xo7tp/
T3b54X6dAmt8xrkLX/IKq2cbzpHg8L73iN7c5a+CXfP51y+3OVnHB0Bg7sLXGXecHGjftDKu//yV
09vP/5ceHthf47W5q2N3d+nhm/yKDcxd+/TuqVH/ClB/f+nf8vy+Rgbf+oNPKgF/7wd4pNPCNzG3
9fz/AQAA//8=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colorful1">
  <dgm:title val=""/>
  <dgm:desc val=""/>
  <dgm:catLst>
    <dgm:cat type="colorful" pri="101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/>
    <dgm:txEffectClrLst/>
  </dgm:styleLbl>
  <dgm:styleLbl name="lnNode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2">
        <a:alpha val="50000"/>
      </a:schemeClr>
      <a:schemeClr val="accent3">
        <a:alpha val="50000"/>
      </a:schemeClr>
      <a:schemeClr val="accent4">
        <a:alpha val="50000"/>
      </a:schemeClr>
      <a:schemeClr val="accent5">
        <a:alpha val="50000"/>
      </a:schemeClr>
      <a:schemeClr val="accent6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2">
        <a:tint val="50000"/>
      </a:schemeClr>
      <a:schemeClr val="accent3">
        <a:tint val="50000"/>
      </a:schemeClr>
      <a:schemeClr val="accent4">
        <a:tint val="50000"/>
      </a:schemeClr>
      <a:schemeClr val="accent5">
        <a:tint val="50000"/>
      </a:schemeClr>
      <a:schemeClr val="accent6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/>
    <dgm:txEffectClrLst/>
  </dgm:styleLbl>
  <dgm:styleLbl name="f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 meth="repeat">
      <a:schemeClr val="accent2"/>
      <a:schemeClr val="accent3"/>
      <a:schemeClr val="accent4"/>
      <a:schemeClr val="accent5"/>
      <a:schemeClr val="accent6"/>
    </dgm:fillClrLst>
    <dgm:linClrLst meth="cycle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 meth="repeat">
      <a:schemeClr val="accent2"/>
      <a:schemeClr val="accent3"/>
      <a:schemeClr val="accent4"/>
      <a:schemeClr val="accent5"/>
      <a:schemeClr val="accent6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4">
        <a:tint val="70000"/>
      </a:schemeClr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5">
        <a:tint val="5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  <a:schemeClr val="accent3"/>
      <a:schemeClr val="accent4"/>
      <a:schemeClr val="accent5"/>
      <a:schemeClr val="accent6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fillClrLst>
    <dgm:linClrLst meth="repeat">
      <a:schemeClr val="accent2">
        <a:tint val="40000"/>
        <a:alpha val="90000"/>
      </a:schemeClr>
      <a:schemeClr val="accent3">
        <a:tint val="40000"/>
        <a:alpha val="90000"/>
      </a:schemeClr>
      <a:schemeClr val="accent4">
        <a:tint val="40000"/>
        <a:alpha val="90000"/>
      </a:schemeClr>
      <a:schemeClr val="accent5">
        <a:tint val="40000"/>
        <a:alpha val="90000"/>
      </a:schemeClr>
      <a:schemeClr val="accent6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3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860E0BDA-D95C-4107-BF47-1673549E4F51}" type="doc">
      <dgm:prSet loTypeId="urn:microsoft.com/office/officeart/2005/8/layout/hList1" loCatId="list" qsTypeId="urn:microsoft.com/office/officeart/2005/8/quickstyle/simple4" qsCatId="simple" csTypeId="urn:microsoft.com/office/officeart/2005/8/colors/colorful1" csCatId="colorful" phldr="1"/>
      <dgm:spPr/>
      <dgm:t>
        <a:bodyPr/>
        <a:lstStyle/>
        <a:p>
          <a:endParaRPr lang="pt-BR"/>
        </a:p>
      </dgm:t>
    </dgm:pt>
    <dgm:pt modelId="{434684A4-292D-4568-860A-CA76B956D15D}">
      <dgm:prSet phldrT="[Texto]" custT="1"/>
      <dgm:spPr/>
      <dgm:t>
        <a:bodyPr anchor="ctr"/>
        <a:lstStyle/>
        <a:p>
          <a:pPr algn="l"/>
          <a:r>
            <a:rPr lang="pt-BR" sz="4000" b="1"/>
            <a:t>CAU/UF</a:t>
          </a:r>
        </a:p>
      </dgm:t>
    </dgm:pt>
    <dgm:pt modelId="{D477A2D2-B0B2-43DA-A2F3-8BE2BA4CBE31}" type="parTrans" cxnId="{1ABDBF2E-FAE6-49C5-8ED4-5DBF263E2B3E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C033CE70-AFAE-4653-BD65-E5A04F312351}" type="sibTrans" cxnId="{1ABDBF2E-FAE6-49C5-8ED4-5DBF263E2B3E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6F65EA4A-2A44-45FA-8A2B-E812CDD44204}">
      <dgm:prSet phldrT="[Texto]" custT="1"/>
      <dgm:spPr/>
      <dgm:t>
        <a:bodyPr/>
        <a:lstStyle/>
        <a:p>
          <a:pPr marL="228600" lvl="1" indent="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</a:pPr>
          <a:r>
            <a:rPr lang="pt-BR" sz="2400" u="sng" kern="1200"/>
            <a:t>Pessoa Física</a:t>
          </a:r>
        </a:p>
      </dgm:t>
    </dgm:pt>
    <dgm:pt modelId="{1FF3658E-AF09-42F4-B995-B4BAAD35F2A6}" type="parTrans" cxnId="{B27C6F68-334A-4D31-9AB2-0E7917FEA520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2B4A009F-F611-48F6-93C1-20D4EB10FB8E}" type="sibTrans" cxnId="{B27C6F68-334A-4D31-9AB2-0E7917FEA520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0CDF811A-3610-4DB7-8BCF-D1BBBF9E7C76}">
      <dgm:prSet phldrT="[Texto]" custT="1"/>
      <dgm:spPr/>
      <dgm:t>
        <a:bodyPr/>
        <a:lstStyle/>
        <a:p>
          <a:pPr marL="228600" lvl="1" indent="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</a:pPr>
          <a:r>
            <a:rPr lang="pt-BR" sz="2400" u="sng" kern="1200"/>
            <a:t>Pessoa Jurídíca</a:t>
          </a:r>
        </a:p>
      </dgm:t>
    </dgm:pt>
    <dgm:pt modelId="{39E8AA85-BC0B-4D0E-A009-2AC51A3C2E3A}" type="parTrans" cxnId="{559ABDD6-543E-4E62-9F4B-733483A19A48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ABBAD1DA-0622-4566-B6D4-A7E768D30CC8}" type="sibTrans" cxnId="{559ABDD6-543E-4E62-9F4B-733483A19A48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AAAFDD08-DFF7-4714-813C-7C7E9A4BF1EE}">
      <dgm:prSet phldrT="[Texto]" custT="1"/>
      <dgm:spPr/>
      <dgm:t>
        <a:bodyPr/>
        <a:lstStyle/>
        <a:p>
          <a:pPr marL="228600" lvl="1" indent="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</a:pPr>
          <a:r>
            <a:rPr lang="pt-BR" sz="2400" u="sng" kern="1200"/>
            <a:t>RRT</a:t>
          </a:r>
        </a:p>
      </dgm:t>
    </dgm:pt>
    <dgm:pt modelId="{4A761D9D-1022-4689-9E97-9805E61D61B2}" type="parTrans" cxnId="{3F8F221F-2FF9-43C1-BEFA-3DE111386D0A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38E0F78C-0E7C-4C7A-887D-6E9BD5F90BEE}" type="sibTrans" cxnId="{3F8F221F-2FF9-43C1-BEFA-3DE111386D0A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4AF91D89-1D53-41A2-AFD8-1BBA5686D9F9}">
      <dgm:prSet phldrT="[Texto]" custT="1"/>
      <dgm:spPr/>
      <dgm:t>
        <a:bodyPr/>
        <a:lstStyle/>
        <a:p>
          <a:pPr marL="228600" lvl="1" indent="-22860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2400" u="sng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Taxas e Multas</a:t>
          </a:r>
        </a:p>
      </dgm:t>
    </dgm:pt>
    <dgm:pt modelId="{EC9A033E-62A7-43F6-94DE-B98B4A3D8183}" type="parTrans" cxnId="{E7D2B944-272A-4A56-AA6D-3B31C7387A79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5CC03990-FC45-4AB1-A4AD-5D350449EA53}" type="sibTrans" cxnId="{E7D2B944-272A-4A56-AA6D-3B31C7387A79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B5CF90F0-AE2A-40E9-BBE6-24748CF999B6}">
      <dgm:prSet phldrT="[Texto]" custT="1"/>
      <dgm:spPr/>
      <dgm:t>
        <a:bodyPr/>
        <a:lstStyle/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</a:pPr>
          <a:r>
            <a:rPr lang="pt-BR" sz="1800" kern="1200"/>
            <a:t>Quantidades</a:t>
          </a:r>
        </a:p>
      </dgm:t>
    </dgm:pt>
    <dgm:pt modelId="{E8C97779-3A6E-4B33-95FC-A28F209BABE5}" type="parTrans" cxnId="{D8AB6C61-C9FF-402E-8B5D-9D8486AA5699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D95C70BD-A3EB-48E6-B710-C2B69D529996}" type="sibTrans" cxnId="{D8AB6C61-C9FF-402E-8B5D-9D8486AA5699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AD4D02B4-0B05-4A30-B662-72F85DE8C433}">
      <dgm:prSet phldrT="[Texto]" custT="1"/>
      <dgm:spPr/>
      <dgm:t>
        <a:bodyPr/>
        <a:lstStyle/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</a:pPr>
          <a:r>
            <a:rPr lang="pt-BR" sz="1800" kern="1200"/>
            <a:t>Quantidades</a:t>
          </a:r>
        </a:p>
      </dgm:t>
    </dgm:pt>
    <dgm:pt modelId="{48A28F29-C3B9-455C-9B62-2665658BAAAE}" type="parTrans" cxnId="{FA3A028B-8E32-4889-B82F-FBE61F1D2F80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33F936C3-D98D-4697-A97D-6A2C326A9249}" type="sibTrans" cxnId="{FA3A028B-8E32-4889-B82F-FBE61F1D2F80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14BB9E64-51E0-49A0-8CCA-AF23B96FBCA1}">
      <dgm:prSet phldrT="[Texto]" custT="1"/>
      <dgm:spPr/>
      <dgm:t>
        <a:bodyPr/>
        <a:lstStyle/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</a:pPr>
          <a:r>
            <a:rPr lang="pt-BR" sz="1800" kern="1200"/>
            <a:t>Receitas</a:t>
          </a:r>
        </a:p>
      </dgm:t>
    </dgm:pt>
    <dgm:pt modelId="{F76C28A0-37B9-404A-AF54-B3BA5C838519}" type="parTrans" cxnId="{C14DA5BD-8CE3-43E0-B55F-7082759FA997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1479E9BA-DE4A-4829-A613-DC21A6792121}" type="sibTrans" cxnId="{C14DA5BD-8CE3-43E0-B55F-7082759FA997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9DC29F71-9C59-4DDA-B773-7E155A4DC066}">
      <dgm:prSet phldrT="[Texto]" custT="1"/>
      <dgm:spPr/>
      <dgm:t>
        <a:bodyPr/>
        <a:lstStyle/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</a:pPr>
          <a:r>
            <a:rPr lang="pt-BR" sz="1800" kern="1200"/>
            <a:t>Quantidades e Receitas</a:t>
          </a:r>
        </a:p>
      </dgm:t>
    </dgm:pt>
    <dgm:pt modelId="{A02F0E28-AD63-4F26-96C7-749E5BE9FB1B}" type="parTrans" cxnId="{262CAACA-92B0-40E1-A914-BF1182F2F0B0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FF9CF560-2A5A-4BFD-A978-BCAE93354726}" type="sibTrans" cxnId="{262CAACA-92B0-40E1-A914-BF1182F2F0B0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A54268D1-7BA1-4ED3-A399-CF085B825D83}">
      <dgm:prSet phldrT="[Texto]" custT="1"/>
      <dgm:spPr/>
      <dgm:t>
        <a:bodyPr/>
        <a:lstStyle/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</a:pPr>
          <a:r>
            <a:rPr lang="pt-BR" sz="1800" kern="1200"/>
            <a:t>Ativos x Receitas</a:t>
          </a:r>
        </a:p>
      </dgm:t>
    </dgm:pt>
    <dgm:pt modelId="{58A54115-8F86-4F57-BA5E-8DFFF350E015}" type="parTrans" cxnId="{69C99572-EC9B-492B-A990-4C1D50874CC4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F31AC619-3A6B-4D3D-8A1E-E48A42C770A1}" type="sibTrans" cxnId="{69C99572-EC9B-492B-A990-4C1D50874CC4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A4346E61-050D-4FFB-AD49-B3F656A670C3}">
      <dgm:prSet phldrT="[Texto]" custT="1"/>
      <dgm:spPr/>
      <dgm:t>
        <a:bodyPr/>
        <a:lstStyle/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Receitas</a:t>
          </a:r>
        </a:p>
      </dgm:t>
    </dgm:pt>
    <dgm:pt modelId="{EAC2394F-E1BF-4DAB-AC93-E065E2C80363}" type="parTrans" cxnId="{B93E9208-9762-47B4-92AA-002257B890C6}">
      <dgm:prSet/>
      <dgm:spPr/>
      <dgm:t>
        <a:bodyPr/>
        <a:lstStyle/>
        <a:p>
          <a:pPr algn="l"/>
          <a:endParaRPr lang="pt-BR"/>
        </a:p>
      </dgm:t>
    </dgm:pt>
    <dgm:pt modelId="{4C684C46-1947-4AD5-8D0B-29C64058B9F5}" type="sibTrans" cxnId="{B93E9208-9762-47B4-92AA-002257B890C6}">
      <dgm:prSet/>
      <dgm:spPr/>
      <dgm:t>
        <a:bodyPr/>
        <a:lstStyle/>
        <a:p>
          <a:pPr algn="l"/>
          <a:endParaRPr lang="pt-BR"/>
        </a:p>
      </dgm:t>
    </dgm:pt>
    <dgm:pt modelId="{62640837-FDC8-494C-BE27-0889E16E9965}">
      <dgm:prSet phldrT="[Texto]" custT="1"/>
      <dgm:spPr/>
      <dgm:t>
        <a:bodyPr/>
        <a:lstStyle/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</a:pPr>
          <a:r>
            <a:rPr lang="pt-BR" sz="1800" kern="1200"/>
            <a:t>Análise</a:t>
          </a:r>
        </a:p>
      </dgm:t>
    </dgm:pt>
    <dgm:pt modelId="{2465EFC4-63E5-41C8-8499-CD693827E17A}" type="parTrans" cxnId="{43F3395D-F86B-4A9C-8236-302C36859D01}">
      <dgm:prSet/>
      <dgm:spPr/>
      <dgm:t>
        <a:bodyPr/>
        <a:lstStyle/>
        <a:p>
          <a:pPr algn="l"/>
          <a:endParaRPr lang="pt-BR"/>
        </a:p>
      </dgm:t>
    </dgm:pt>
    <dgm:pt modelId="{7D5BF3C2-1678-43D4-96EB-E192E36F95FC}" type="sibTrans" cxnId="{43F3395D-F86B-4A9C-8236-302C36859D01}">
      <dgm:prSet/>
      <dgm:spPr/>
      <dgm:t>
        <a:bodyPr/>
        <a:lstStyle/>
        <a:p>
          <a:pPr algn="l"/>
          <a:endParaRPr lang="pt-BR"/>
        </a:p>
      </dgm:t>
    </dgm:pt>
    <dgm:pt modelId="{C3602010-96DD-487E-8B14-7107980F8B6B}">
      <dgm:prSet phldrT="[Texto]" custT="1"/>
      <dgm:spPr/>
      <dgm:t>
        <a:bodyPr/>
        <a:lstStyle/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</a:pPr>
          <a:r>
            <a:rPr lang="pt-BR" sz="1800" kern="1200"/>
            <a:t>Ativos x RRTs Pagos</a:t>
          </a:r>
        </a:p>
      </dgm:t>
    </dgm:pt>
    <dgm:pt modelId="{3DADDF7D-D9D7-4888-BC19-135EB2CF23C2}" type="parTrans" cxnId="{CBF209E8-D548-4600-A465-C6D53CC66EA7}">
      <dgm:prSet/>
      <dgm:spPr/>
      <dgm:t>
        <a:bodyPr/>
        <a:lstStyle/>
        <a:p>
          <a:pPr algn="l"/>
          <a:endParaRPr lang="pt-BR"/>
        </a:p>
      </dgm:t>
    </dgm:pt>
    <dgm:pt modelId="{96235B96-D92C-4100-B246-91D8D5E1B31B}" type="sibTrans" cxnId="{CBF209E8-D548-4600-A465-C6D53CC66EA7}">
      <dgm:prSet/>
      <dgm:spPr/>
      <dgm:t>
        <a:bodyPr/>
        <a:lstStyle/>
        <a:p>
          <a:pPr algn="l"/>
          <a:endParaRPr lang="pt-BR"/>
        </a:p>
      </dgm:t>
    </dgm:pt>
    <dgm:pt modelId="{B77D3068-A996-4C66-8BEE-887F9A3382B9}">
      <dgm:prSet phldrT="[Texto]" custT="1"/>
      <dgm:spPr/>
      <dgm:t>
        <a:bodyPr/>
        <a:lstStyle/>
        <a:p>
          <a:pPr marL="228600" lvl="1" indent="-22860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2400" u="sng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Receita Total - CAU/UF (80%)</a:t>
          </a:r>
        </a:p>
      </dgm:t>
    </dgm:pt>
    <dgm:pt modelId="{2A84E5B5-3FCE-42BA-952A-0F5DFB23579A}" type="parTrans" cxnId="{8BADDAA9-C772-41DB-867F-6FB30766497F}">
      <dgm:prSet/>
      <dgm:spPr/>
      <dgm:t>
        <a:bodyPr/>
        <a:lstStyle/>
        <a:p>
          <a:pPr algn="l"/>
          <a:endParaRPr lang="pt-BR"/>
        </a:p>
      </dgm:t>
    </dgm:pt>
    <dgm:pt modelId="{01AD8F78-B757-41F8-847F-7F8C47FD84F4}" type="sibTrans" cxnId="{8BADDAA9-C772-41DB-867F-6FB30766497F}">
      <dgm:prSet/>
      <dgm:spPr/>
      <dgm:t>
        <a:bodyPr/>
        <a:lstStyle/>
        <a:p>
          <a:pPr algn="l"/>
          <a:endParaRPr lang="pt-BR"/>
        </a:p>
      </dgm:t>
    </dgm:pt>
    <dgm:pt modelId="{BF8F57CB-6C6D-4AD8-B79A-9C35AD8A887A}">
      <dgm:prSet phldrT="[Texto]" custT="1"/>
      <dgm:spPr/>
      <dgm:t>
        <a:bodyPr/>
        <a:lstStyle/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</a:pPr>
          <a:r>
            <a:rPr lang="pt-BR" sz="1800" kern="1200"/>
            <a:t>Receitas</a:t>
          </a:r>
        </a:p>
      </dgm:t>
    </dgm:pt>
    <dgm:pt modelId="{52C2FAA5-93BB-456E-A055-E8D5A14D94A6}" type="sibTrans" cxnId="{A17706BD-6258-4F26-87CA-EF9096DFB48C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F155E184-4114-4C2B-89E5-3A1DF187EBB2}" type="parTrans" cxnId="{A17706BD-6258-4F26-87CA-EF9096DFB48C}">
      <dgm:prSet/>
      <dgm:spPr/>
      <dgm:t>
        <a:bodyPr/>
        <a:lstStyle/>
        <a:p>
          <a:pPr algn="l"/>
          <a:endParaRPr lang="pt-BR">
            <a:solidFill>
              <a:schemeClr val="bg1"/>
            </a:solidFill>
          </a:endParaRPr>
        </a:p>
      </dgm:t>
    </dgm:pt>
    <dgm:pt modelId="{236A5C23-9D47-423E-AB3F-01EF47D522F4}">
      <dgm:prSet phldrT="[Texto]" custT="1"/>
      <dgm:spPr/>
      <dgm:t>
        <a:bodyPr/>
        <a:lstStyle/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</a:pPr>
          <a:r>
            <a:rPr lang="pt-BR" sz="1800" kern="1200"/>
            <a:t>Análise</a:t>
          </a:r>
        </a:p>
      </dgm:t>
    </dgm:pt>
    <dgm:pt modelId="{0B7C9B04-F919-4B27-A582-413468BCBCAC}" type="sibTrans" cxnId="{F268429B-C5B7-403B-9650-AF9DDA28482A}">
      <dgm:prSet/>
      <dgm:spPr/>
      <dgm:t>
        <a:bodyPr/>
        <a:lstStyle/>
        <a:p>
          <a:pPr algn="l"/>
          <a:endParaRPr lang="pt-BR"/>
        </a:p>
      </dgm:t>
    </dgm:pt>
    <dgm:pt modelId="{F174D0AD-C301-4AEC-A836-01334B8144ED}" type="parTrans" cxnId="{F268429B-C5B7-403B-9650-AF9DDA28482A}">
      <dgm:prSet/>
      <dgm:spPr/>
      <dgm:t>
        <a:bodyPr/>
        <a:lstStyle/>
        <a:p>
          <a:pPr algn="l"/>
          <a:endParaRPr lang="pt-BR"/>
        </a:p>
      </dgm:t>
    </dgm:pt>
    <dgm:pt modelId="{00D1AC8F-4A96-4DE9-9057-5787EA50DFB1}">
      <dgm:prSet phldrT="[Texto]" custT="1"/>
      <dgm:spPr/>
      <dgm:t>
        <a:bodyPr/>
        <a:lstStyle/>
        <a:p>
          <a:pPr marL="228600" lvl="1" indent="-22860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4000" b="1" kern="1200">
              <a:solidFill>
                <a:sysClr val="window" lastClr="FFFFFF"/>
              </a:solidFill>
              <a:latin typeface="Calibri" panose="020F0502020204030204"/>
              <a:ea typeface="+mn-ea"/>
              <a:cs typeface="+mn-cs"/>
            </a:rPr>
            <a:t>CAU/BR</a:t>
          </a:r>
        </a:p>
      </dgm:t>
    </dgm:pt>
    <dgm:pt modelId="{C6E7BA26-31B7-41BB-B63F-77D395A8E768}" type="parTrans" cxnId="{2690BC6B-1362-4A1F-A779-1FF1DE065027}">
      <dgm:prSet/>
      <dgm:spPr/>
      <dgm:t>
        <a:bodyPr/>
        <a:lstStyle/>
        <a:p>
          <a:endParaRPr lang="pt-BR"/>
        </a:p>
      </dgm:t>
    </dgm:pt>
    <dgm:pt modelId="{397BA112-190E-4727-B5FC-75DEAAF03D23}" type="sibTrans" cxnId="{2690BC6B-1362-4A1F-A779-1FF1DE065027}">
      <dgm:prSet/>
      <dgm:spPr/>
      <dgm:t>
        <a:bodyPr/>
        <a:lstStyle/>
        <a:p>
          <a:endParaRPr lang="pt-BR"/>
        </a:p>
      </dgm:t>
    </dgm:pt>
    <dgm:pt modelId="{D48095D7-F925-47B7-96AD-A9D4F2A3DC47}">
      <dgm:prSet phldrT="[Texto]" custT="1"/>
      <dgm:spPr/>
      <dgm:t>
        <a:bodyPr anchor="t"/>
        <a:lstStyle/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PF e PJ - Receitas</a:t>
          </a:r>
        </a:p>
      </dgm:t>
    </dgm:pt>
    <dgm:pt modelId="{210BA139-F7BF-45A0-B65C-79DA3EB0D9AF}" type="parTrans" cxnId="{7853492B-B5DB-4661-93A1-F33CC425B744}">
      <dgm:prSet/>
      <dgm:spPr/>
      <dgm:t>
        <a:bodyPr/>
        <a:lstStyle/>
        <a:p>
          <a:endParaRPr lang="pt-BR"/>
        </a:p>
      </dgm:t>
    </dgm:pt>
    <dgm:pt modelId="{B22C95FF-02B0-47B9-B13A-66F687BAE3FB}" type="sibTrans" cxnId="{7853492B-B5DB-4661-93A1-F33CC425B744}">
      <dgm:prSet/>
      <dgm:spPr/>
      <dgm:t>
        <a:bodyPr/>
        <a:lstStyle/>
        <a:p>
          <a:endParaRPr lang="pt-BR"/>
        </a:p>
      </dgm:t>
    </dgm:pt>
    <dgm:pt modelId="{1AA91843-D84C-4D5D-A266-3172BD3739DF}">
      <dgm:prSet phldrT="[Texto]" custT="1"/>
      <dgm:spPr/>
      <dgm:t>
        <a:bodyPr anchor="t"/>
        <a:lstStyle/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RRT e Taxas - Receitas</a:t>
          </a:r>
        </a:p>
      </dgm:t>
    </dgm:pt>
    <dgm:pt modelId="{2ECDE100-8C2F-44B5-979E-C20FCD55C1C9}" type="parTrans" cxnId="{55F8ED6A-323F-4314-B31C-920D92DE2B39}">
      <dgm:prSet/>
      <dgm:spPr/>
      <dgm:t>
        <a:bodyPr/>
        <a:lstStyle/>
        <a:p>
          <a:endParaRPr lang="pt-BR"/>
        </a:p>
      </dgm:t>
    </dgm:pt>
    <dgm:pt modelId="{DFB96170-A70C-4B63-81AA-7FEE7C58FACD}" type="sibTrans" cxnId="{55F8ED6A-323F-4314-B31C-920D92DE2B39}">
      <dgm:prSet/>
      <dgm:spPr/>
      <dgm:t>
        <a:bodyPr/>
        <a:lstStyle/>
        <a:p>
          <a:endParaRPr lang="pt-BR"/>
        </a:p>
      </dgm:t>
    </dgm:pt>
    <dgm:pt modelId="{19A22BA5-E033-42BE-9538-86693844B8BE}">
      <dgm:prSet phldrT="[Texto]" custT="1"/>
      <dgm:spPr/>
      <dgm:t>
        <a:bodyPr anchor="t"/>
        <a:lstStyle/>
        <a:p>
          <a:pPr marL="228600" lvl="1" indent="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2400" u="sng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Total (20%)</a:t>
          </a:r>
        </a:p>
      </dgm:t>
    </dgm:pt>
    <dgm:pt modelId="{3A3707E0-209B-478D-AB3E-9556D124AB48}" type="parTrans" cxnId="{453C3C71-B5FF-49CF-B158-0E6B8A91E701}">
      <dgm:prSet/>
      <dgm:spPr/>
      <dgm:t>
        <a:bodyPr/>
        <a:lstStyle/>
        <a:p>
          <a:endParaRPr lang="pt-BR"/>
        </a:p>
      </dgm:t>
    </dgm:pt>
    <dgm:pt modelId="{CBD61179-8036-42D7-AEF7-0E6B03D5BC42}" type="sibTrans" cxnId="{453C3C71-B5FF-49CF-B158-0E6B8A91E701}">
      <dgm:prSet/>
      <dgm:spPr/>
      <dgm:t>
        <a:bodyPr/>
        <a:lstStyle/>
        <a:p>
          <a:endParaRPr lang="pt-BR"/>
        </a:p>
      </dgm:t>
    </dgm:pt>
    <dgm:pt modelId="{08A0C6BB-3315-4803-9402-12F50F71D9B8}">
      <dgm:prSet phldrT="[Texto]" custT="1"/>
      <dgm:spPr/>
      <dgm:t>
        <a:bodyPr anchor="ctr"/>
        <a:lstStyle/>
        <a:p>
          <a:pPr marL="228600" lvl="1" indent="-22860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None/>
          </a:pPr>
          <a:r>
            <a:rPr lang="pt-BR" sz="4000" b="1" kern="1200">
              <a:solidFill>
                <a:sysClr val="window" lastClr="FFFFFF"/>
              </a:solidFill>
              <a:latin typeface="Calibri" panose="020F0502020204030204"/>
              <a:ea typeface="+mn-ea"/>
              <a:cs typeface="+mn-cs"/>
            </a:rPr>
            <a:t>CAU</a:t>
          </a:r>
        </a:p>
      </dgm:t>
    </dgm:pt>
    <dgm:pt modelId="{D1C4287F-BC4E-4278-A7F8-CB89393402DB}" type="parTrans" cxnId="{FD1FDCF1-9F3B-4983-96EF-A061EF9968C7}">
      <dgm:prSet/>
      <dgm:spPr/>
      <dgm:t>
        <a:bodyPr/>
        <a:lstStyle/>
        <a:p>
          <a:endParaRPr lang="pt-BR"/>
        </a:p>
      </dgm:t>
    </dgm:pt>
    <dgm:pt modelId="{BBFA0316-4004-4DF3-AECA-B7243F8D0339}" type="sibTrans" cxnId="{FD1FDCF1-9F3B-4983-96EF-A061EF9968C7}">
      <dgm:prSet/>
      <dgm:spPr/>
      <dgm:t>
        <a:bodyPr/>
        <a:lstStyle/>
        <a:p>
          <a:endParaRPr lang="pt-BR"/>
        </a:p>
      </dgm:t>
    </dgm:pt>
    <dgm:pt modelId="{92712463-B0FC-42CB-B0D2-331DAE979A0B}">
      <dgm:prSet phldrT="[Texto]" custT="1"/>
      <dgm:spPr/>
      <dgm:t>
        <a:bodyPr anchor="t"/>
        <a:lstStyle/>
        <a:p>
          <a:pPr marL="228600" lvl="1" indent="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2400" u="sng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Gráficos de Receita YoY (100%)</a:t>
          </a:r>
        </a:p>
      </dgm:t>
    </dgm:pt>
    <dgm:pt modelId="{76E9A899-EC01-4211-99EC-A8E8FD469BA6}" type="parTrans" cxnId="{54673995-0555-4941-AA90-8237B04293F3}">
      <dgm:prSet/>
      <dgm:spPr/>
      <dgm:t>
        <a:bodyPr/>
        <a:lstStyle/>
        <a:p>
          <a:endParaRPr lang="pt-BR"/>
        </a:p>
      </dgm:t>
    </dgm:pt>
    <dgm:pt modelId="{3B248BAA-86F9-4777-B110-2E662B4153C0}" type="sibTrans" cxnId="{54673995-0555-4941-AA90-8237B04293F3}">
      <dgm:prSet/>
      <dgm:spPr/>
      <dgm:t>
        <a:bodyPr/>
        <a:lstStyle/>
        <a:p>
          <a:endParaRPr lang="pt-BR"/>
        </a:p>
      </dgm:t>
    </dgm:pt>
    <dgm:pt modelId="{B327AC86-0B11-4B4E-8BC2-DF2B0BF1DD7C}">
      <dgm:prSet phldrT="[Texto]" custT="1"/>
      <dgm:spPr/>
      <dgm:t>
        <a:bodyPr anchor="t"/>
        <a:lstStyle/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Receita PF - Exercício</a:t>
          </a:r>
        </a:p>
      </dgm:t>
    </dgm:pt>
    <dgm:pt modelId="{796BA971-0786-469A-BB11-EE324BBF4C6A}" type="parTrans" cxnId="{71E2C7D1-216A-465B-90BF-435A2B45FD4F}">
      <dgm:prSet/>
      <dgm:spPr/>
      <dgm:t>
        <a:bodyPr/>
        <a:lstStyle/>
        <a:p>
          <a:endParaRPr lang="pt-BR"/>
        </a:p>
      </dgm:t>
    </dgm:pt>
    <dgm:pt modelId="{F8307644-2A68-4431-9745-FCF8864026ED}" type="sibTrans" cxnId="{71E2C7D1-216A-465B-90BF-435A2B45FD4F}">
      <dgm:prSet/>
      <dgm:spPr/>
      <dgm:t>
        <a:bodyPr/>
        <a:lstStyle/>
        <a:p>
          <a:endParaRPr lang="pt-BR"/>
        </a:p>
      </dgm:t>
    </dgm:pt>
    <dgm:pt modelId="{CFC1E425-3244-45CB-A523-FBC041D44461}">
      <dgm:prSet phldrT="[Texto]" custT="1"/>
      <dgm:spPr/>
      <dgm:t>
        <a:bodyPr anchor="t"/>
        <a:lstStyle/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Receita PF - Exercícios Anteriores</a:t>
          </a:r>
        </a:p>
      </dgm:t>
    </dgm:pt>
    <dgm:pt modelId="{9A5E8C4C-7DE9-4D7E-AF1B-E238910D3671}" type="parTrans" cxnId="{B1C16AA3-5280-46BD-8821-3B8C53402FB4}">
      <dgm:prSet/>
      <dgm:spPr/>
      <dgm:t>
        <a:bodyPr/>
        <a:lstStyle/>
        <a:p>
          <a:endParaRPr lang="pt-BR"/>
        </a:p>
      </dgm:t>
    </dgm:pt>
    <dgm:pt modelId="{CBCD4DEC-EB7C-4AFA-8DCE-68B3208FB4F3}" type="sibTrans" cxnId="{B1C16AA3-5280-46BD-8821-3B8C53402FB4}">
      <dgm:prSet/>
      <dgm:spPr/>
      <dgm:t>
        <a:bodyPr/>
        <a:lstStyle/>
        <a:p>
          <a:endParaRPr lang="pt-BR"/>
        </a:p>
      </dgm:t>
    </dgm:pt>
    <dgm:pt modelId="{B3B136A0-ABD4-4D34-9BCC-CBAACEC8B6F3}">
      <dgm:prSet phldrT="[Texto]" custT="1"/>
      <dgm:spPr/>
      <dgm:t>
        <a:bodyPr anchor="t"/>
        <a:lstStyle/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Receita PJ - Exercício</a:t>
          </a:r>
        </a:p>
      </dgm:t>
    </dgm:pt>
    <dgm:pt modelId="{06B46C6E-F17B-4B1C-BD1E-2714FCDF6338}" type="parTrans" cxnId="{7E6CF528-6D59-4D2D-9C83-139849BDC3B3}">
      <dgm:prSet/>
      <dgm:spPr/>
      <dgm:t>
        <a:bodyPr/>
        <a:lstStyle/>
        <a:p>
          <a:endParaRPr lang="pt-BR"/>
        </a:p>
      </dgm:t>
    </dgm:pt>
    <dgm:pt modelId="{44DA8EFB-BD21-442E-B5F6-14269FC87BCB}" type="sibTrans" cxnId="{7E6CF528-6D59-4D2D-9C83-139849BDC3B3}">
      <dgm:prSet/>
      <dgm:spPr/>
      <dgm:t>
        <a:bodyPr/>
        <a:lstStyle/>
        <a:p>
          <a:endParaRPr lang="pt-BR"/>
        </a:p>
      </dgm:t>
    </dgm:pt>
    <dgm:pt modelId="{B4B5FA15-302E-4041-9024-BC73612B7E13}">
      <dgm:prSet phldrT="[Texto]" custT="1"/>
      <dgm:spPr/>
      <dgm:t>
        <a:bodyPr anchor="t"/>
        <a:lstStyle/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Receita PJ - Exercícios Anteriores</a:t>
          </a:r>
        </a:p>
      </dgm:t>
    </dgm:pt>
    <dgm:pt modelId="{25C21089-8F38-475A-8899-B2A9E2AB5672}" type="parTrans" cxnId="{1C04185F-A553-44C3-A125-A5895C4793AD}">
      <dgm:prSet/>
      <dgm:spPr/>
      <dgm:t>
        <a:bodyPr/>
        <a:lstStyle/>
        <a:p>
          <a:endParaRPr lang="pt-BR"/>
        </a:p>
      </dgm:t>
    </dgm:pt>
    <dgm:pt modelId="{7D32859E-E366-417B-8F52-327B3230E04D}" type="sibTrans" cxnId="{1C04185F-A553-44C3-A125-A5895C4793AD}">
      <dgm:prSet/>
      <dgm:spPr/>
      <dgm:t>
        <a:bodyPr/>
        <a:lstStyle/>
        <a:p>
          <a:endParaRPr lang="pt-BR"/>
        </a:p>
      </dgm:t>
    </dgm:pt>
    <dgm:pt modelId="{61F12C15-FC40-4826-9057-8FE2C3F3FFA8}">
      <dgm:prSet phldrT="[Texto]" custT="1"/>
      <dgm:spPr/>
      <dgm:t>
        <a:bodyPr anchor="t"/>
        <a:lstStyle/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RRT</a:t>
          </a:r>
        </a:p>
      </dgm:t>
    </dgm:pt>
    <dgm:pt modelId="{69AE56F8-D9C8-4DB6-B602-9ECE7617AC57}" type="parTrans" cxnId="{7152FC56-C566-4BCE-9C6F-1B89A206C933}">
      <dgm:prSet/>
      <dgm:spPr/>
      <dgm:t>
        <a:bodyPr/>
        <a:lstStyle/>
        <a:p>
          <a:endParaRPr lang="pt-BR"/>
        </a:p>
      </dgm:t>
    </dgm:pt>
    <dgm:pt modelId="{7CC2C5BB-57B7-43CB-BDEA-0073D764352F}" type="sibTrans" cxnId="{7152FC56-C566-4BCE-9C6F-1B89A206C933}">
      <dgm:prSet/>
      <dgm:spPr/>
      <dgm:t>
        <a:bodyPr/>
        <a:lstStyle/>
        <a:p>
          <a:endParaRPr lang="pt-BR"/>
        </a:p>
      </dgm:t>
    </dgm:pt>
    <dgm:pt modelId="{F7995DEC-9791-4F99-BF53-1112CE019FF5}">
      <dgm:prSet phldrT="[Texto]" custT="1"/>
      <dgm:spPr/>
      <dgm:t>
        <a:bodyPr anchor="t"/>
        <a:lstStyle/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Taxas e Multas</a:t>
          </a:r>
        </a:p>
      </dgm:t>
    </dgm:pt>
    <dgm:pt modelId="{8015EA76-F629-4627-9EA7-F26932676DEE}" type="parTrans" cxnId="{38D7CAB6-7191-46B7-AE8D-D620FBC2BD4D}">
      <dgm:prSet/>
      <dgm:spPr/>
      <dgm:t>
        <a:bodyPr/>
        <a:lstStyle/>
        <a:p>
          <a:endParaRPr lang="pt-BR"/>
        </a:p>
      </dgm:t>
    </dgm:pt>
    <dgm:pt modelId="{7A558E5A-D1BB-43A7-902C-0EC8C2AAFE1E}" type="sibTrans" cxnId="{38D7CAB6-7191-46B7-AE8D-D620FBC2BD4D}">
      <dgm:prSet/>
      <dgm:spPr/>
      <dgm:t>
        <a:bodyPr/>
        <a:lstStyle/>
        <a:p>
          <a:endParaRPr lang="pt-BR"/>
        </a:p>
      </dgm:t>
    </dgm:pt>
    <dgm:pt modelId="{3503D927-029D-4079-AAA9-670DDF108C22}">
      <dgm:prSet phldrT="[Texto]" custT="1"/>
      <dgm:spPr/>
      <dgm:t>
        <a:bodyPr anchor="t"/>
        <a:lstStyle/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Executado x Previsto x Potencial</a:t>
          </a:r>
        </a:p>
      </dgm:t>
    </dgm:pt>
    <dgm:pt modelId="{6973A1C2-5A17-45DA-A975-76AA2728FAEF}" type="parTrans" cxnId="{B03EC80E-DB30-42D4-AC60-99123DE76F83}">
      <dgm:prSet/>
      <dgm:spPr/>
      <dgm:t>
        <a:bodyPr/>
        <a:lstStyle/>
        <a:p>
          <a:endParaRPr lang="pt-BR"/>
        </a:p>
      </dgm:t>
    </dgm:pt>
    <dgm:pt modelId="{16AF55F3-4621-40C7-9760-0A47CA28191E}" type="sibTrans" cxnId="{B03EC80E-DB30-42D4-AC60-99123DE76F83}">
      <dgm:prSet/>
      <dgm:spPr/>
      <dgm:t>
        <a:bodyPr/>
        <a:lstStyle/>
        <a:p>
          <a:endParaRPr lang="pt-BR"/>
        </a:p>
      </dgm:t>
    </dgm:pt>
    <dgm:pt modelId="{4162631B-4DFE-4CE0-90A1-D507BD178F8C}">
      <dgm:prSet phldrT="[Texto]" custT="1"/>
      <dgm:spPr/>
      <dgm:t>
        <a:bodyPr anchor="t"/>
        <a:lstStyle/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Comparativo 2022 x 2021 x 2020</a:t>
          </a:r>
        </a:p>
      </dgm:t>
    </dgm:pt>
    <dgm:pt modelId="{3AEC039E-80E8-4B9C-86B0-A90D3791D869}" type="parTrans" cxnId="{1CB04A66-3249-4F1A-BAB0-FEAE0A3BB381}">
      <dgm:prSet/>
      <dgm:spPr/>
      <dgm:t>
        <a:bodyPr/>
        <a:lstStyle/>
        <a:p>
          <a:endParaRPr lang="pt-BR"/>
        </a:p>
      </dgm:t>
    </dgm:pt>
    <dgm:pt modelId="{4D923394-0D4D-49EA-A9A1-DBE203FF6CC1}" type="sibTrans" cxnId="{1CB04A66-3249-4F1A-BAB0-FEAE0A3BB381}">
      <dgm:prSet/>
      <dgm:spPr/>
      <dgm:t>
        <a:bodyPr/>
        <a:lstStyle/>
        <a:p>
          <a:endParaRPr lang="pt-BR"/>
        </a:p>
      </dgm:t>
    </dgm:pt>
    <dgm:pt modelId="{75CB3C07-AEB2-4604-872B-E145A1F4431F}">
      <dgm:prSet phldrT="[Texto]" custT="1"/>
      <dgm:spPr/>
      <dgm:t>
        <a:bodyPr/>
        <a:lstStyle/>
        <a:p>
          <a:pPr marL="228600" lvl="1" indent="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2400" u="sng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Receitas</a:t>
          </a:r>
        </a:p>
      </dgm:t>
    </dgm:pt>
    <dgm:pt modelId="{E93DEBD1-168A-472B-B455-A0F0A1A53017}" type="parTrans" cxnId="{E1EE8F08-32F1-463C-8689-BDF98BE7D425}">
      <dgm:prSet/>
      <dgm:spPr/>
      <dgm:t>
        <a:bodyPr/>
        <a:lstStyle/>
        <a:p>
          <a:endParaRPr lang="pt-BR"/>
        </a:p>
      </dgm:t>
    </dgm:pt>
    <dgm:pt modelId="{4D41DAD2-F110-44B1-9A60-ED054651FC1F}" type="sibTrans" cxnId="{E1EE8F08-32F1-463C-8689-BDF98BE7D425}">
      <dgm:prSet/>
      <dgm:spPr/>
      <dgm:t>
        <a:bodyPr/>
        <a:lstStyle/>
        <a:p>
          <a:endParaRPr lang="pt-BR"/>
        </a:p>
      </dgm:t>
    </dgm:pt>
    <dgm:pt modelId="{AFA30B7A-9B15-42B2-97D1-92A56D25F6BF}">
      <dgm:prSet phldrT="[Texto]" custT="1"/>
      <dgm:spPr/>
      <dgm:t>
        <a:bodyPr anchor="t"/>
        <a:lstStyle/>
        <a:p>
          <a:pPr marL="228600" lvl="1" indent="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2400" u="sng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Receitas PF, PJ, RRT e Taxas</a:t>
          </a:r>
        </a:p>
      </dgm:t>
    </dgm:pt>
    <dgm:pt modelId="{A8A774C9-E387-4F98-A403-1F417C4EA51D}" type="sibTrans" cxnId="{34B1A3B2-07B9-4D3A-B0EF-6E3110690ABE}">
      <dgm:prSet/>
      <dgm:spPr/>
      <dgm:t>
        <a:bodyPr/>
        <a:lstStyle/>
        <a:p>
          <a:endParaRPr lang="pt-BR"/>
        </a:p>
      </dgm:t>
    </dgm:pt>
    <dgm:pt modelId="{270376D8-8E0B-41A1-B64D-C14F68B794FA}" type="parTrans" cxnId="{34B1A3B2-07B9-4D3A-B0EF-6E3110690ABE}">
      <dgm:prSet/>
      <dgm:spPr/>
      <dgm:t>
        <a:bodyPr/>
        <a:lstStyle/>
        <a:p>
          <a:endParaRPr lang="pt-BR"/>
        </a:p>
      </dgm:t>
    </dgm:pt>
    <dgm:pt modelId="{66BACB82-0807-437C-B50D-1AC797F36B1D}">
      <dgm:prSet phldrT="[Texto]" custT="1"/>
      <dgm:spPr/>
      <dgm:t>
        <a:bodyPr/>
        <a:lstStyle/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</a:pPr>
          <a:r>
            <a:rPr lang="pt-BR" sz="1800" kern="1200"/>
            <a:t>RRTs por grupo</a:t>
          </a:r>
        </a:p>
      </dgm:t>
    </dgm:pt>
    <dgm:pt modelId="{C25E772D-4783-47A6-A975-9E9B30378C73}" type="parTrans" cxnId="{9691EFC0-F316-439F-A65A-210C809EC125}">
      <dgm:prSet/>
      <dgm:spPr/>
      <dgm:t>
        <a:bodyPr/>
        <a:lstStyle/>
        <a:p>
          <a:endParaRPr lang="pt-BR"/>
        </a:p>
      </dgm:t>
    </dgm:pt>
    <dgm:pt modelId="{1009BD41-1EE7-4189-8DBD-78B4AF6B6AB8}" type="sibTrans" cxnId="{9691EFC0-F316-439F-A65A-210C809EC125}">
      <dgm:prSet/>
      <dgm:spPr/>
      <dgm:t>
        <a:bodyPr/>
        <a:lstStyle/>
        <a:p>
          <a:endParaRPr lang="pt-BR"/>
        </a:p>
      </dgm:t>
    </dgm:pt>
    <dgm:pt modelId="{08DD05DE-7186-4377-8525-8E0AB3DB32E9}" type="pres">
      <dgm:prSet presAssocID="{860E0BDA-D95C-4107-BF47-1673549E4F51}" presName="Name0" presStyleCnt="0">
        <dgm:presLayoutVars>
          <dgm:dir/>
          <dgm:animLvl val="lvl"/>
          <dgm:resizeHandles val="exact"/>
        </dgm:presLayoutVars>
      </dgm:prSet>
      <dgm:spPr/>
      <dgm:t>
        <a:bodyPr/>
        <a:lstStyle/>
        <a:p>
          <a:endParaRPr lang="pt-BR"/>
        </a:p>
      </dgm:t>
    </dgm:pt>
    <dgm:pt modelId="{1FD39DA6-ACA7-4899-979A-733A29478141}" type="pres">
      <dgm:prSet presAssocID="{434684A4-292D-4568-860A-CA76B956D15D}" presName="composite" presStyleCnt="0"/>
      <dgm:spPr/>
    </dgm:pt>
    <dgm:pt modelId="{22413B69-B7C8-4D96-83FD-07AF926396ED}" type="pres">
      <dgm:prSet presAssocID="{434684A4-292D-4568-860A-CA76B956D15D}" presName="parTx" presStyleLbl="alignNode1" presStyleIdx="0" presStyleCnt="3" custScaleY="99822">
        <dgm:presLayoutVars>
          <dgm:chMax val="0"/>
          <dgm:chPref val="0"/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05EB5FE4-C573-4ADB-B3DC-261E163EA86B}" type="pres">
      <dgm:prSet presAssocID="{434684A4-292D-4568-860A-CA76B956D15D}" presName="desTx" presStyleLbl="alignAccFollowNode1" presStyleIdx="0" presStyleCnt="3" custScaleY="100000" custLinFactNeighborX="0" custLinFactNeighborY="-77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8CD9B071-4CEF-4C3A-A32E-D953A9B1F8D0}" type="pres">
      <dgm:prSet presAssocID="{C033CE70-AFAE-4653-BD65-E5A04F312351}" presName="space" presStyleCnt="0"/>
      <dgm:spPr/>
    </dgm:pt>
    <dgm:pt modelId="{9C5BFE9C-F871-4134-9382-789E4BD7A03F}" type="pres">
      <dgm:prSet presAssocID="{00D1AC8F-4A96-4DE9-9057-5787EA50DFB1}" presName="composite" presStyleCnt="0"/>
      <dgm:spPr/>
    </dgm:pt>
    <dgm:pt modelId="{E1EBA8D9-9764-4DA9-B7C6-8DE56BC66ED6}" type="pres">
      <dgm:prSet presAssocID="{00D1AC8F-4A96-4DE9-9057-5787EA50DFB1}" presName="parTx" presStyleLbl="alignNode1" presStyleIdx="1" presStyleCnt="3" custLinFactY="-9817" custLinFactNeighborY="-100000">
        <dgm:presLayoutVars>
          <dgm:chMax val="0"/>
          <dgm:chPref val="0"/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15BE1E6E-8B64-4A74-8B5F-85073B6D0391}" type="pres">
      <dgm:prSet presAssocID="{00D1AC8F-4A96-4DE9-9057-5787EA50DFB1}" presName="desTx" presStyleLbl="alignAccFollowNode1" presStyleIdx="1" presStyleCnt="3" custScaleY="100024" custLinFactNeighborY="194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423FFF43-E706-4CAF-A001-1F8517AAB80E}" type="pres">
      <dgm:prSet presAssocID="{397BA112-190E-4727-B5FC-75DEAAF03D23}" presName="space" presStyleCnt="0"/>
      <dgm:spPr/>
    </dgm:pt>
    <dgm:pt modelId="{B169D82D-1491-489B-9433-D1A49DA0C2A9}" type="pres">
      <dgm:prSet presAssocID="{08A0C6BB-3315-4803-9402-12F50F71D9B8}" presName="composite" presStyleCnt="0"/>
      <dgm:spPr/>
    </dgm:pt>
    <dgm:pt modelId="{F41E0931-505E-437D-A6CC-472FFC81FC54}" type="pres">
      <dgm:prSet presAssocID="{08A0C6BB-3315-4803-9402-12F50F71D9B8}" presName="parTx" presStyleLbl="alignNode1" presStyleIdx="2" presStyleCnt="3">
        <dgm:presLayoutVars>
          <dgm:chMax val="0"/>
          <dgm:chPref val="0"/>
          <dgm:bulletEnabled val="1"/>
        </dgm:presLayoutVars>
      </dgm:prSet>
      <dgm:spPr/>
      <dgm:t>
        <a:bodyPr/>
        <a:lstStyle/>
        <a:p>
          <a:endParaRPr lang="pt-BR"/>
        </a:p>
      </dgm:t>
    </dgm:pt>
    <dgm:pt modelId="{CFFCB772-3520-4AB5-9FF5-5D12EE158C16}" type="pres">
      <dgm:prSet presAssocID="{08A0C6BB-3315-4803-9402-12F50F71D9B8}" presName="desTx" presStyleLbl="alignAccFollowNode1" presStyleIdx="2" presStyleCnt="3" custScaleY="100024" custLinFactNeighborY="194">
        <dgm:presLayoutVars>
          <dgm:bulletEnabled val="1"/>
        </dgm:presLayoutVars>
      </dgm:prSet>
      <dgm:spPr/>
      <dgm:t>
        <a:bodyPr/>
        <a:lstStyle/>
        <a:p>
          <a:endParaRPr lang="pt-BR"/>
        </a:p>
      </dgm:t>
    </dgm:pt>
  </dgm:ptLst>
  <dgm:cxnLst>
    <dgm:cxn modelId="{B27C6F68-334A-4D31-9AB2-0E7917FEA520}" srcId="{434684A4-292D-4568-860A-CA76B956D15D}" destId="{6F65EA4A-2A44-45FA-8A2B-E812CDD44204}" srcOrd="0" destOrd="0" parTransId="{1FF3658E-AF09-42F4-B995-B4BAAD35F2A6}" sibTransId="{2B4A009F-F611-48F6-93C1-20D4EB10FB8E}"/>
    <dgm:cxn modelId="{3F8F221F-2FF9-43C1-BEFA-3DE111386D0A}" srcId="{434684A4-292D-4568-860A-CA76B956D15D}" destId="{AAAFDD08-DFF7-4714-813C-7C7E9A4BF1EE}" srcOrd="2" destOrd="0" parTransId="{4A761D9D-1022-4689-9E97-9805E61D61B2}" sibTransId="{38E0F78C-0E7C-4C7A-887D-6E9BD5F90BEE}"/>
    <dgm:cxn modelId="{7152FC56-C566-4BCE-9C6F-1B89A206C933}" srcId="{AFA30B7A-9B15-42B2-97D1-92A56D25F6BF}" destId="{61F12C15-FC40-4826-9057-8FE2C3F3FFA8}" srcOrd="4" destOrd="0" parTransId="{69AE56F8-D9C8-4DB6-B602-9ECE7617AC57}" sibTransId="{7CC2C5BB-57B7-43CB-BDEA-0073D764352F}"/>
    <dgm:cxn modelId="{34B1A3B2-07B9-4D3A-B0EF-6E3110690ABE}" srcId="{08A0C6BB-3315-4803-9402-12F50F71D9B8}" destId="{AFA30B7A-9B15-42B2-97D1-92A56D25F6BF}" srcOrd="1" destOrd="0" parTransId="{270376D8-8E0B-41A1-B64D-C14F68B794FA}" sibTransId="{A8A774C9-E387-4F98-A403-1F417C4EA51D}"/>
    <dgm:cxn modelId="{1CB04A66-3249-4F1A-BAB0-FEAE0A3BB381}" srcId="{92712463-B0FC-42CB-B0D2-331DAE979A0B}" destId="{4162631B-4DFE-4CE0-90A1-D507BD178F8C}" srcOrd="1" destOrd="0" parTransId="{3AEC039E-80E8-4B9C-86B0-A90D3791D869}" sibTransId="{4D923394-0D4D-49EA-A9A1-DBE203FF6CC1}"/>
    <dgm:cxn modelId="{CA5E7A2E-2863-496A-A4B6-3768A635E674}" type="presOf" srcId="{860E0BDA-D95C-4107-BF47-1673549E4F51}" destId="{08DD05DE-7186-4377-8525-8E0AB3DB32E9}" srcOrd="0" destOrd="0" presId="urn:microsoft.com/office/officeart/2005/8/layout/hList1"/>
    <dgm:cxn modelId="{FA3A028B-8E32-4889-B82F-FBE61F1D2F80}" srcId="{0CDF811A-3610-4DB7-8BCF-D1BBBF9E7C76}" destId="{AD4D02B4-0B05-4A30-B662-72F85DE8C433}" srcOrd="0" destOrd="0" parTransId="{48A28F29-C3B9-455C-9B62-2665658BAAAE}" sibTransId="{33F936C3-D98D-4697-A97D-6A2C326A9249}"/>
    <dgm:cxn modelId="{E459D8F6-7C1C-454F-A059-5AA0E6FAC6EE}" type="presOf" srcId="{14BB9E64-51E0-49A0-8CCA-AF23B96FBCA1}" destId="{05EB5FE4-C573-4ADB-B3DC-261E163EA86B}" srcOrd="0" destOrd="7" presId="urn:microsoft.com/office/officeart/2005/8/layout/hList1"/>
    <dgm:cxn modelId="{55A13147-390B-4714-85C6-03013C2BA8ED}" type="presOf" srcId="{AD4D02B4-0B05-4A30-B662-72F85DE8C433}" destId="{05EB5FE4-C573-4ADB-B3DC-261E163EA86B}" srcOrd="0" destOrd="6" presId="urn:microsoft.com/office/officeart/2005/8/layout/hList1"/>
    <dgm:cxn modelId="{88F531CA-42DC-4B3A-AA7F-19CC108E0770}" type="presOf" srcId="{D48095D7-F925-47B7-96AD-A9D4F2A3DC47}" destId="{15BE1E6E-8B64-4A74-8B5F-85073B6D0391}" srcOrd="0" destOrd="1" presId="urn:microsoft.com/office/officeart/2005/8/layout/hList1"/>
    <dgm:cxn modelId="{093CFDD2-043C-4805-B31F-462ACDB358EB}" type="presOf" srcId="{B3B136A0-ABD4-4D34-9BCC-CBAACEC8B6F3}" destId="{CFFCB772-3520-4AB5-9FF5-5D12EE158C16}" srcOrd="0" destOrd="6" presId="urn:microsoft.com/office/officeart/2005/8/layout/hList1"/>
    <dgm:cxn modelId="{B03EC80E-DB30-42D4-AC60-99123DE76F83}" srcId="{92712463-B0FC-42CB-B0D2-331DAE979A0B}" destId="{3503D927-029D-4079-AAA9-670DDF108C22}" srcOrd="0" destOrd="0" parTransId="{6973A1C2-5A17-45DA-A975-76AA2728FAEF}" sibTransId="{16AF55F3-4621-40C7-9760-0A47CA28191E}"/>
    <dgm:cxn modelId="{453C3C71-B5FF-49CF-B158-0E6B8A91E701}" srcId="{00D1AC8F-4A96-4DE9-9057-5787EA50DFB1}" destId="{19A22BA5-E033-42BE-9538-86693844B8BE}" srcOrd="1" destOrd="0" parTransId="{3A3707E0-209B-478D-AB3E-9556D124AB48}" sibTransId="{CBD61179-8036-42D7-AEF7-0E6B03D5BC42}"/>
    <dgm:cxn modelId="{167C5105-8F77-42B5-A492-6FB43223111A}" type="presOf" srcId="{B77D3068-A996-4C66-8BEE-887F9A3382B9}" destId="{05EB5FE4-C573-4ADB-B3DC-261E163EA86B}" srcOrd="0" destOrd="15" presId="urn:microsoft.com/office/officeart/2005/8/layout/hList1"/>
    <dgm:cxn modelId="{76920BFD-2EFD-4CF8-9DD6-28E061012CED}" type="presOf" srcId="{236A5C23-9D47-423E-AB3F-01EF47D522F4}" destId="{05EB5FE4-C573-4ADB-B3DC-261E163EA86B}" srcOrd="0" destOrd="3" presId="urn:microsoft.com/office/officeart/2005/8/layout/hList1"/>
    <dgm:cxn modelId="{A17706BD-6258-4F26-87CA-EF9096DFB48C}" srcId="{6F65EA4A-2A44-45FA-8A2B-E812CDD44204}" destId="{BF8F57CB-6C6D-4AD8-B79A-9C35AD8A887A}" srcOrd="1" destOrd="0" parTransId="{F155E184-4114-4C2B-89E5-3A1DF187EBB2}" sibTransId="{52C2FAA5-93BB-456E-A055-E8D5A14D94A6}"/>
    <dgm:cxn modelId="{25818573-94EF-4C73-B2BC-8BC44A3ADCC1}" type="presOf" srcId="{08A0C6BB-3315-4803-9402-12F50F71D9B8}" destId="{F41E0931-505E-437D-A6CC-472FFC81FC54}" srcOrd="0" destOrd="0" presId="urn:microsoft.com/office/officeart/2005/8/layout/hList1"/>
    <dgm:cxn modelId="{D8AB6C61-C9FF-402E-8B5D-9D8486AA5699}" srcId="{6F65EA4A-2A44-45FA-8A2B-E812CDD44204}" destId="{B5CF90F0-AE2A-40E9-BBE6-24748CF999B6}" srcOrd="0" destOrd="0" parTransId="{E8C97779-3A6E-4B33-95FC-A28F209BABE5}" sibTransId="{D95C70BD-A3EB-48E6-B710-C2B69D529996}"/>
    <dgm:cxn modelId="{FD1F3A28-9FDC-410F-B402-7426A0E66662}" type="presOf" srcId="{92712463-B0FC-42CB-B0D2-331DAE979A0B}" destId="{CFFCB772-3520-4AB5-9FF5-5D12EE158C16}" srcOrd="0" destOrd="0" presId="urn:microsoft.com/office/officeart/2005/8/layout/hList1"/>
    <dgm:cxn modelId="{7DB7E644-43FF-4467-A677-C19C37C935CE}" type="presOf" srcId="{3503D927-029D-4079-AAA9-670DDF108C22}" destId="{CFFCB772-3520-4AB5-9FF5-5D12EE158C16}" srcOrd="0" destOrd="1" presId="urn:microsoft.com/office/officeart/2005/8/layout/hList1"/>
    <dgm:cxn modelId="{23493E09-05E4-48B3-9B7E-313E50A1BA48}" type="presOf" srcId="{B327AC86-0B11-4B4E-8BC2-DF2B0BF1DD7C}" destId="{CFFCB772-3520-4AB5-9FF5-5D12EE158C16}" srcOrd="0" destOrd="4" presId="urn:microsoft.com/office/officeart/2005/8/layout/hList1"/>
    <dgm:cxn modelId="{4B0A3917-58DC-4348-8BBB-5D2F46B90280}" type="presOf" srcId="{434684A4-292D-4568-860A-CA76B956D15D}" destId="{22413B69-B7C8-4D96-83FD-07AF926396ED}" srcOrd="0" destOrd="0" presId="urn:microsoft.com/office/officeart/2005/8/layout/hList1"/>
    <dgm:cxn modelId="{E7D2B944-272A-4A56-AA6D-3B31C7387A79}" srcId="{434684A4-292D-4568-860A-CA76B956D15D}" destId="{4AF91D89-1D53-41A2-AFD8-1BBA5686D9F9}" srcOrd="3" destOrd="0" parTransId="{EC9A033E-62A7-43F6-94DE-B98B4A3D8183}" sibTransId="{5CC03990-FC45-4AB1-A4AD-5D350449EA53}"/>
    <dgm:cxn modelId="{C14DA5BD-8CE3-43E0-B55F-7082759FA997}" srcId="{0CDF811A-3610-4DB7-8BCF-D1BBBF9E7C76}" destId="{14BB9E64-51E0-49A0-8CCA-AF23B96FBCA1}" srcOrd="1" destOrd="0" parTransId="{F76C28A0-37B9-404A-AF54-B3BA5C838519}" sibTransId="{1479E9BA-DE4A-4829-A613-DC21A6792121}"/>
    <dgm:cxn modelId="{AD577CEF-A607-4F3E-9E10-BF256D67F89F}" type="presOf" srcId="{0CDF811A-3610-4DB7-8BCF-D1BBBF9E7C76}" destId="{05EB5FE4-C573-4ADB-B3DC-261E163EA86B}" srcOrd="0" destOrd="5" presId="urn:microsoft.com/office/officeart/2005/8/layout/hList1"/>
    <dgm:cxn modelId="{52DDE021-FAE5-4A4D-86BC-EF912DF4F70B}" type="presOf" srcId="{9DC29F71-9C59-4DDA-B773-7E155A4DC066}" destId="{05EB5FE4-C573-4ADB-B3DC-261E163EA86B}" srcOrd="0" destOrd="9" presId="urn:microsoft.com/office/officeart/2005/8/layout/hList1"/>
    <dgm:cxn modelId="{71E2C7D1-216A-465B-90BF-435A2B45FD4F}" srcId="{AFA30B7A-9B15-42B2-97D1-92A56D25F6BF}" destId="{B327AC86-0B11-4B4E-8BC2-DF2B0BF1DD7C}" srcOrd="0" destOrd="0" parTransId="{796BA971-0786-469A-BB11-EE324BBF4C6A}" sibTransId="{F8307644-2A68-4431-9745-FCF8864026ED}"/>
    <dgm:cxn modelId="{54673995-0555-4941-AA90-8237B04293F3}" srcId="{08A0C6BB-3315-4803-9402-12F50F71D9B8}" destId="{92712463-B0FC-42CB-B0D2-331DAE979A0B}" srcOrd="0" destOrd="0" parTransId="{76E9A899-EC01-4211-99EC-A8E8FD469BA6}" sibTransId="{3B248BAA-86F9-4777-B110-2E662B4153C0}"/>
    <dgm:cxn modelId="{8BADDAA9-C772-41DB-867F-6FB30766497F}" srcId="{434684A4-292D-4568-860A-CA76B956D15D}" destId="{B77D3068-A996-4C66-8BEE-887F9A3382B9}" srcOrd="4" destOrd="0" parTransId="{2A84E5B5-3FCE-42BA-952A-0F5DFB23579A}" sibTransId="{01AD8F78-B757-41F8-847F-7F8C47FD84F4}"/>
    <dgm:cxn modelId="{E1EE8F08-32F1-463C-8689-BDF98BE7D425}" srcId="{00D1AC8F-4A96-4DE9-9057-5787EA50DFB1}" destId="{75CB3C07-AEB2-4604-872B-E145A1F4431F}" srcOrd="0" destOrd="0" parTransId="{E93DEBD1-168A-472B-B455-A0F0A1A53017}" sibTransId="{4D41DAD2-F110-44B1-9A60-ED054651FC1F}"/>
    <dgm:cxn modelId="{2690BC6B-1362-4A1F-A779-1FF1DE065027}" srcId="{860E0BDA-D95C-4107-BF47-1673549E4F51}" destId="{00D1AC8F-4A96-4DE9-9057-5787EA50DFB1}" srcOrd="1" destOrd="0" parTransId="{C6E7BA26-31B7-41BB-B63F-77D395A8E768}" sibTransId="{397BA112-190E-4727-B5FC-75DEAAF03D23}"/>
    <dgm:cxn modelId="{69C99572-EC9B-492B-A990-4C1D50874CC4}" srcId="{236A5C23-9D47-423E-AB3F-01EF47D522F4}" destId="{A54268D1-7BA1-4ED3-A399-CF085B825D83}" srcOrd="0" destOrd="0" parTransId="{58A54115-8F86-4F57-BA5E-8DFFF350E015}" sibTransId="{F31AC619-3A6B-4D3D-8A1E-E48A42C770A1}"/>
    <dgm:cxn modelId="{F268429B-C5B7-403B-9650-AF9DDA28482A}" srcId="{6F65EA4A-2A44-45FA-8A2B-E812CDD44204}" destId="{236A5C23-9D47-423E-AB3F-01EF47D522F4}" srcOrd="2" destOrd="0" parTransId="{F174D0AD-C301-4AEC-A836-01334B8144ED}" sibTransId="{0B7C9B04-F919-4B27-A582-413468BCBCAC}"/>
    <dgm:cxn modelId="{5F73024B-FBDF-42AB-AEEC-5B961331AECC}" type="presOf" srcId="{4162631B-4DFE-4CE0-90A1-D507BD178F8C}" destId="{CFFCB772-3520-4AB5-9FF5-5D12EE158C16}" srcOrd="0" destOrd="2" presId="urn:microsoft.com/office/officeart/2005/8/layout/hList1"/>
    <dgm:cxn modelId="{C77302D5-6B02-4ECC-B1B3-26A205605726}" type="presOf" srcId="{4AF91D89-1D53-41A2-AFD8-1BBA5686D9F9}" destId="{05EB5FE4-C573-4ADB-B3DC-261E163EA86B}" srcOrd="0" destOrd="13" presId="urn:microsoft.com/office/officeart/2005/8/layout/hList1"/>
    <dgm:cxn modelId="{55F8ED6A-323F-4314-B31C-920D92DE2B39}" srcId="{75CB3C07-AEB2-4604-872B-E145A1F4431F}" destId="{1AA91843-D84C-4D5D-A266-3172BD3739DF}" srcOrd="1" destOrd="0" parTransId="{2ECDE100-8C2F-44B5-979E-C20FCD55C1C9}" sibTransId="{DFB96170-A70C-4B63-81AA-7FEE7C58FACD}"/>
    <dgm:cxn modelId="{38D7CAB6-7191-46B7-AE8D-D620FBC2BD4D}" srcId="{AFA30B7A-9B15-42B2-97D1-92A56D25F6BF}" destId="{F7995DEC-9791-4F99-BF53-1112CE019FF5}" srcOrd="5" destOrd="0" parTransId="{8015EA76-F629-4627-9EA7-F26932676DEE}" sibTransId="{7A558E5A-D1BB-43A7-902C-0EC8C2AAFE1E}"/>
    <dgm:cxn modelId="{3DE46A6D-CDE3-4254-9ECC-52BDD25111D0}" type="presOf" srcId="{B5CF90F0-AE2A-40E9-BBE6-24748CF999B6}" destId="{05EB5FE4-C573-4ADB-B3DC-261E163EA86B}" srcOrd="0" destOrd="1" presId="urn:microsoft.com/office/officeart/2005/8/layout/hList1"/>
    <dgm:cxn modelId="{FF1AE93E-3A05-4371-944E-C3E81A397CEF}" type="presOf" srcId="{AAAFDD08-DFF7-4714-813C-7C7E9A4BF1EE}" destId="{05EB5FE4-C573-4ADB-B3DC-261E163EA86B}" srcOrd="0" destOrd="8" presId="urn:microsoft.com/office/officeart/2005/8/layout/hList1"/>
    <dgm:cxn modelId="{DA1C74BD-8899-495D-8845-29D8B375E8B5}" type="presOf" srcId="{61F12C15-FC40-4826-9057-8FE2C3F3FFA8}" destId="{CFFCB772-3520-4AB5-9FF5-5D12EE158C16}" srcOrd="0" destOrd="8" presId="urn:microsoft.com/office/officeart/2005/8/layout/hList1"/>
    <dgm:cxn modelId="{800857CA-0C12-4731-91B9-ED1A91F7A91E}" type="presOf" srcId="{1AA91843-D84C-4D5D-A266-3172BD3739DF}" destId="{15BE1E6E-8B64-4A74-8B5F-85073B6D0391}" srcOrd="0" destOrd="2" presId="urn:microsoft.com/office/officeart/2005/8/layout/hList1"/>
    <dgm:cxn modelId="{26F76CA3-3BAF-4ED2-92E3-167C21497EF8}" type="presOf" srcId="{6F65EA4A-2A44-45FA-8A2B-E812CDD44204}" destId="{05EB5FE4-C573-4ADB-B3DC-261E163EA86B}" srcOrd="0" destOrd="0" presId="urn:microsoft.com/office/officeart/2005/8/layout/hList1"/>
    <dgm:cxn modelId="{1B0B5B2D-9E06-4C0E-879D-9F762B5BF314}" type="presOf" srcId="{19A22BA5-E033-42BE-9538-86693844B8BE}" destId="{15BE1E6E-8B64-4A74-8B5F-85073B6D0391}" srcOrd="0" destOrd="3" presId="urn:microsoft.com/office/officeart/2005/8/layout/hList1"/>
    <dgm:cxn modelId="{B93E9208-9762-47B4-92AA-002257B890C6}" srcId="{4AF91D89-1D53-41A2-AFD8-1BBA5686D9F9}" destId="{A4346E61-050D-4FFB-AD49-B3F656A670C3}" srcOrd="0" destOrd="0" parTransId="{EAC2394F-E1BF-4DAB-AC93-E065E2C80363}" sibTransId="{4C684C46-1947-4AD5-8D0B-29C64058B9F5}"/>
    <dgm:cxn modelId="{262CAACA-92B0-40E1-A914-BF1182F2F0B0}" srcId="{AAAFDD08-DFF7-4714-813C-7C7E9A4BF1EE}" destId="{9DC29F71-9C59-4DDA-B773-7E155A4DC066}" srcOrd="0" destOrd="0" parTransId="{A02F0E28-AD63-4F26-96C7-749E5BE9FB1B}" sibTransId="{FF9CF560-2A5A-4BFD-A978-BCAE93354726}"/>
    <dgm:cxn modelId="{B1C16AA3-5280-46BD-8821-3B8C53402FB4}" srcId="{AFA30B7A-9B15-42B2-97D1-92A56D25F6BF}" destId="{CFC1E425-3244-45CB-A523-FBC041D44461}" srcOrd="1" destOrd="0" parTransId="{9A5E8C4C-7DE9-4D7E-AF1B-E238910D3671}" sibTransId="{CBCD4DEC-EB7C-4AFA-8DCE-68B3208FB4F3}"/>
    <dgm:cxn modelId="{FD1FDCF1-9F3B-4983-96EF-A061EF9968C7}" srcId="{860E0BDA-D95C-4107-BF47-1673549E4F51}" destId="{08A0C6BB-3315-4803-9402-12F50F71D9B8}" srcOrd="2" destOrd="0" parTransId="{D1C4287F-BC4E-4278-A7F8-CB89393402DB}" sibTransId="{BBFA0316-4004-4DF3-AECA-B7243F8D0339}"/>
    <dgm:cxn modelId="{D7E96F37-E4BF-4849-B352-8B56B48FAD48}" type="presOf" srcId="{62640837-FDC8-494C-BE27-0889E16E9965}" destId="{05EB5FE4-C573-4ADB-B3DC-261E163EA86B}" srcOrd="0" destOrd="10" presId="urn:microsoft.com/office/officeart/2005/8/layout/hList1"/>
    <dgm:cxn modelId="{7853492B-B5DB-4661-93A1-F33CC425B744}" srcId="{75CB3C07-AEB2-4604-872B-E145A1F4431F}" destId="{D48095D7-F925-47B7-96AD-A9D4F2A3DC47}" srcOrd="0" destOrd="0" parTransId="{210BA139-F7BF-45A0-B65C-79DA3EB0D9AF}" sibTransId="{B22C95FF-02B0-47B9-B13A-66F687BAE3FB}"/>
    <dgm:cxn modelId="{92CCB462-98C0-430D-9672-C911787E770C}" type="presOf" srcId="{BF8F57CB-6C6D-4AD8-B79A-9C35AD8A887A}" destId="{05EB5FE4-C573-4ADB-B3DC-261E163EA86B}" srcOrd="0" destOrd="2" presId="urn:microsoft.com/office/officeart/2005/8/layout/hList1"/>
    <dgm:cxn modelId="{9691EFC0-F316-439F-A65A-210C809EC125}" srcId="{62640837-FDC8-494C-BE27-0889E16E9965}" destId="{66BACB82-0807-437C-B50D-1AC797F36B1D}" srcOrd="1" destOrd="0" parTransId="{C25E772D-4783-47A6-A975-9E9B30378C73}" sibTransId="{1009BD41-1EE7-4189-8DBD-78B4AF6B6AB8}"/>
    <dgm:cxn modelId="{2AA40CDF-0D2A-465A-B5CD-CFF10AD12517}" type="presOf" srcId="{00D1AC8F-4A96-4DE9-9057-5787EA50DFB1}" destId="{E1EBA8D9-9764-4DA9-B7C6-8DE56BC66ED6}" srcOrd="0" destOrd="0" presId="urn:microsoft.com/office/officeart/2005/8/layout/hList1"/>
    <dgm:cxn modelId="{1C04185F-A553-44C3-A125-A5895C4793AD}" srcId="{AFA30B7A-9B15-42B2-97D1-92A56D25F6BF}" destId="{B4B5FA15-302E-4041-9024-BC73612B7E13}" srcOrd="3" destOrd="0" parTransId="{25C21089-8F38-475A-8899-B2A9E2AB5672}" sibTransId="{7D32859E-E366-417B-8F52-327B3230E04D}"/>
    <dgm:cxn modelId="{CBF209E8-D548-4600-A465-C6D53CC66EA7}" srcId="{62640837-FDC8-494C-BE27-0889E16E9965}" destId="{C3602010-96DD-487E-8B14-7107980F8B6B}" srcOrd="0" destOrd="0" parTransId="{3DADDF7D-D9D7-4888-BC19-135EB2CF23C2}" sibTransId="{96235B96-D92C-4100-B246-91D8D5E1B31B}"/>
    <dgm:cxn modelId="{CBC54C50-4D10-449F-B7D0-2A1D7AD4BBB8}" type="presOf" srcId="{A4346E61-050D-4FFB-AD49-B3F656A670C3}" destId="{05EB5FE4-C573-4ADB-B3DC-261E163EA86B}" srcOrd="0" destOrd="14" presId="urn:microsoft.com/office/officeart/2005/8/layout/hList1"/>
    <dgm:cxn modelId="{2EBD2DFD-4851-4338-8538-A27087571C8D}" type="presOf" srcId="{F7995DEC-9791-4F99-BF53-1112CE019FF5}" destId="{CFFCB772-3520-4AB5-9FF5-5D12EE158C16}" srcOrd="0" destOrd="9" presId="urn:microsoft.com/office/officeart/2005/8/layout/hList1"/>
    <dgm:cxn modelId="{95ED5DC7-DAA0-4F21-A1AB-2D7430CED9EB}" type="presOf" srcId="{C3602010-96DD-487E-8B14-7107980F8B6B}" destId="{05EB5FE4-C573-4ADB-B3DC-261E163EA86B}" srcOrd="0" destOrd="11" presId="urn:microsoft.com/office/officeart/2005/8/layout/hList1"/>
    <dgm:cxn modelId="{72B94139-9F10-444A-8875-0A640ECFEAA3}" type="presOf" srcId="{75CB3C07-AEB2-4604-872B-E145A1F4431F}" destId="{15BE1E6E-8B64-4A74-8B5F-85073B6D0391}" srcOrd="0" destOrd="0" presId="urn:microsoft.com/office/officeart/2005/8/layout/hList1"/>
    <dgm:cxn modelId="{7E6CF528-6D59-4D2D-9C83-139849BDC3B3}" srcId="{AFA30B7A-9B15-42B2-97D1-92A56D25F6BF}" destId="{B3B136A0-ABD4-4D34-9BCC-CBAACEC8B6F3}" srcOrd="2" destOrd="0" parTransId="{06B46C6E-F17B-4B1C-BD1E-2714FCDF6338}" sibTransId="{44DA8EFB-BD21-442E-B5F6-14269FC87BCB}"/>
    <dgm:cxn modelId="{1968F486-4408-493C-8691-6DC38BD997E1}" type="presOf" srcId="{AFA30B7A-9B15-42B2-97D1-92A56D25F6BF}" destId="{CFFCB772-3520-4AB5-9FF5-5D12EE158C16}" srcOrd="0" destOrd="3" presId="urn:microsoft.com/office/officeart/2005/8/layout/hList1"/>
    <dgm:cxn modelId="{43F3395D-F86B-4A9C-8236-302C36859D01}" srcId="{AAAFDD08-DFF7-4714-813C-7C7E9A4BF1EE}" destId="{62640837-FDC8-494C-BE27-0889E16E9965}" srcOrd="1" destOrd="0" parTransId="{2465EFC4-63E5-41C8-8499-CD693827E17A}" sibTransId="{7D5BF3C2-1678-43D4-96EB-E192E36F95FC}"/>
    <dgm:cxn modelId="{60991C74-AC3C-4F1C-AE8D-AAFBF96BD0AB}" type="presOf" srcId="{66BACB82-0807-437C-B50D-1AC797F36B1D}" destId="{05EB5FE4-C573-4ADB-B3DC-261E163EA86B}" srcOrd="0" destOrd="12" presId="urn:microsoft.com/office/officeart/2005/8/layout/hList1"/>
    <dgm:cxn modelId="{4789CD4A-92ED-46B3-83BA-1768EC6F6801}" type="presOf" srcId="{CFC1E425-3244-45CB-A523-FBC041D44461}" destId="{CFFCB772-3520-4AB5-9FF5-5D12EE158C16}" srcOrd="0" destOrd="5" presId="urn:microsoft.com/office/officeart/2005/8/layout/hList1"/>
    <dgm:cxn modelId="{1ABDBF2E-FAE6-49C5-8ED4-5DBF263E2B3E}" srcId="{860E0BDA-D95C-4107-BF47-1673549E4F51}" destId="{434684A4-292D-4568-860A-CA76B956D15D}" srcOrd="0" destOrd="0" parTransId="{D477A2D2-B0B2-43DA-A2F3-8BE2BA4CBE31}" sibTransId="{C033CE70-AFAE-4653-BD65-E5A04F312351}"/>
    <dgm:cxn modelId="{A5660D2F-0F64-408E-88C2-96763ADB6321}" type="presOf" srcId="{B4B5FA15-302E-4041-9024-BC73612B7E13}" destId="{CFFCB772-3520-4AB5-9FF5-5D12EE158C16}" srcOrd="0" destOrd="7" presId="urn:microsoft.com/office/officeart/2005/8/layout/hList1"/>
    <dgm:cxn modelId="{9C31A871-A4E2-4416-BF92-92B028220AF6}" type="presOf" srcId="{A54268D1-7BA1-4ED3-A399-CF085B825D83}" destId="{05EB5FE4-C573-4ADB-B3DC-261E163EA86B}" srcOrd="0" destOrd="4" presId="urn:microsoft.com/office/officeart/2005/8/layout/hList1"/>
    <dgm:cxn modelId="{559ABDD6-543E-4E62-9F4B-733483A19A48}" srcId="{434684A4-292D-4568-860A-CA76B956D15D}" destId="{0CDF811A-3610-4DB7-8BCF-D1BBBF9E7C76}" srcOrd="1" destOrd="0" parTransId="{39E8AA85-BC0B-4D0E-A009-2AC51A3C2E3A}" sibTransId="{ABBAD1DA-0622-4566-B6D4-A7E768D30CC8}"/>
    <dgm:cxn modelId="{592C00AB-520B-4ED7-A9E6-223C3C7492D3}" type="presParOf" srcId="{08DD05DE-7186-4377-8525-8E0AB3DB32E9}" destId="{1FD39DA6-ACA7-4899-979A-733A29478141}" srcOrd="0" destOrd="0" presId="urn:microsoft.com/office/officeart/2005/8/layout/hList1"/>
    <dgm:cxn modelId="{C57C63B7-3F6C-47EB-A3E4-51C35EA39610}" type="presParOf" srcId="{1FD39DA6-ACA7-4899-979A-733A29478141}" destId="{22413B69-B7C8-4D96-83FD-07AF926396ED}" srcOrd="0" destOrd="0" presId="urn:microsoft.com/office/officeart/2005/8/layout/hList1"/>
    <dgm:cxn modelId="{C5C9DD74-47A8-4FE4-8CA3-5447ECE3D812}" type="presParOf" srcId="{1FD39DA6-ACA7-4899-979A-733A29478141}" destId="{05EB5FE4-C573-4ADB-B3DC-261E163EA86B}" srcOrd="1" destOrd="0" presId="urn:microsoft.com/office/officeart/2005/8/layout/hList1"/>
    <dgm:cxn modelId="{7DB0361D-D4CF-4907-B9C3-D5C6F5CAE899}" type="presParOf" srcId="{08DD05DE-7186-4377-8525-8E0AB3DB32E9}" destId="{8CD9B071-4CEF-4C3A-A32E-D953A9B1F8D0}" srcOrd="1" destOrd="0" presId="urn:microsoft.com/office/officeart/2005/8/layout/hList1"/>
    <dgm:cxn modelId="{5A74E3D6-B8A6-451F-A3DE-9718FC8E3668}" type="presParOf" srcId="{08DD05DE-7186-4377-8525-8E0AB3DB32E9}" destId="{9C5BFE9C-F871-4134-9382-789E4BD7A03F}" srcOrd="2" destOrd="0" presId="urn:microsoft.com/office/officeart/2005/8/layout/hList1"/>
    <dgm:cxn modelId="{590C306A-C352-4CCD-8A7F-B5D2611AC283}" type="presParOf" srcId="{9C5BFE9C-F871-4134-9382-789E4BD7A03F}" destId="{E1EBA8D9-9764-4DA9-B7C6-8DE56BC66ED6}" srcOrd="0" destOrd="0" presId="urn:microsoft.com/office/officeart/2005/8/layout/hList1"/>
    <dgm:cxn modelId="{D1330719-E4F7-404F-B7DF-E992C4F34139}" type="presParOf" srcId="{9C5BFE9C-F871-4134-9382-789E4BD7A03F}" destId="{15BE1E6E-8B64-4A74-8B5F-85073B6D0391}" srcOrd="1" destOrd="0" presId="urn:microsoft.com/office/officeart/2005/8/layout/hList1"/>
    <dgm:cxn modelId="{A9A74AF3-A277-4C68-A2BB-A007E5411ABB}" type="presParOf" srcId="{08DD05DE-7186-4377-8525-8E0AB3DB32E9}" destId="{423FFF43-E706-4CAF-A001-1F8517AAB80E}" srcOrd="3" destOrd="0" presId="urn:microsoft.com/office/officeart/2005/8/layout/hList1"/>
    <dgm:cxn modelId="{70033B47-D06D-416F-BB70-061CE75EBF03}" type="presParOf" srcId="{08DD05DE-7186-4377-8525-8E0AB3DB32E9}" destId="{B169D82D-1491-489B-9433-D1A49DA0C2A9}" srcOrd="4" destOrd="0" presId="urn:microsoft.com/office/officeart/2005/8/layout/hList1"/>
    <dgm:cxn modelId="{D65605BE-53D0-47ED-8195-089E1A692122}" type="presParOf" srcId="{B169D82D-1491-489B-9433-D1A49DA0C2A9}" destId="{F41E0931-505E-437D-A6CC-472FFC81FC54}" srcOrd="0" destOrd="0" presId="urn:microsoft.com/office/officeart/2005/8/layout/hList1"/>
    <dgm:cxn modelId="{4B542A7D-4D63-405D-840C-6ED78DD66CF0}" type="presParOf" srcId="{B169D82D-1491-489B-9433-D1A49DA0C2A9}" destId="{CFFCB772-3520-4AB5-9FF5-5D12EE158C16}" srcOrd="1" destOrd="0" presId="urn:microsoft.com/office/officeart/2005/8/layout/hList1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2413B69-B7C8-4D96-83FD-07AF926396ED}">
      <dsp:nvSpPr>
        <dsp:cNvPr id="0" name=""/>
        <dsp:cNvSpPr/>
      </dsp:nvSpPr>
      <dsp:spPr>
        <a:xfrm>
          <a:off x="5187" y="14715"/>
          <a:ext cx="5057771" cy="1466185"/>
        </a:xfrm>
        <a:prstGeom prst="rect">
          <a:avLst/>
        </a:prstGeom>
        <a:gradFill rotWithShape="0">
          <a:gsLst>
            <a:gs pos="0">
              <a:schemeClr val="accent2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2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2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 w="9525" cap="flat" cmpd="sng" algn="ctr">
          <a:solidFill>
            <a:schemeClr val="accent2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dsp:spPr>
      <dsp:style>
        <a:lnRef idx="1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84480" tIns="162560" rIns="284480" bIns="162560" numCol="1" spcCol="1270" anchor="ctr" anchorCtr="0">
          <a:noAutofit/>
        </a:bodyPr>
        <a:lstStyle/>
        <a:p>
          <a:pPr lvl="0" algn="l" defTabSz="17780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t-BR" sz="4000" b="1" kern="1200"/>
            <a:t>CAU/UF</a:t>
          </a:r>
        </a:p>
      </dsp:txBody>
      <dsp:txXfrm>
        <a:off x="5187" y="14715"/>
        <a:ext cx="5057771" cy="1466185"/>
      </dsp:txXfrm>
    </dsp:sp>
    <dsp:sp modelId="{05EB5FE4-C573-4ADB-B3DC-261E163EA86B}">
      <dsp:nvSpPr>
        <dsp:cNvPr id="0" name=""/>
        <dsp:cNvSpPr/>
      </dsp:nvSpPr>
      <dsp:spPr>
        <a:xfrm>
          <a:off x="5187" y="1475388"/>
          <a:ext cx="5057771" cy="5461586"/>
        </a:xfrm>
        <a:prstGeom prst="rect">
          <a:avLst/>
        </a:prstGeom>
        <a:solidFill>
          <a:schemeClr val="accent2">
            <a:tint val="40000"/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2">
              <a:tint val="40000"/>
              <a:alpha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8016" tIns="128016" rIns="170688" bIns="192024" numCol="1" spcCol="1270" anchor="t" anchorCtr="0">
          <a:noAutofit/>
        </a:bodyPr>
        <a:lstStyle/>
        <a:p>
          <a:pPr marL="228600" lvl="1" indent="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2400" u="sng" kern="1200"/>
            <a:t>Pessoa Física</a:t>
          </a:r>
        </a:p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/>
            <a:t>Quantidades</a:t>
          </a:r>
        </a:p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/>
            <a:t>Receitas</a:t>
          </a:r>
        </a:p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/>
            <a:t>Análise</a:t>
          </a:r>
        </a:p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/>
            <a:t>Ativos x Receitas</a:t>
          </a:r>
        </a:p>
        <a:p>
          <a:pPr marL="228600" lvl="1" indent="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2400" u="sng" kern="1200"/>
            <a:t>Pessoa Jurídíca</a:t>
          </a:r>
        </a:p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/>
            <a:t>Quantidades</a:t>
          </a:r>
        </a:p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/>
            <a:t>Receitas</a:t>
          </a:r>
        </a:p>
        <a:p>
          <a:pPr marL="228600" lvl="1" indent="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2400" u="sng" kern="1200"/>
            <a:t>RRT</a:t>
          </a:r>
        </a:p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/>
            <a:t>Quantidades e Receitas</a:t>
          </a:r>
        </a:p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/>
            <a:t>Análise</a:t>
          </a:r>
        </a:p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/>
            <a:t>Ativos x RRTs Pagos</a:t>
          </a:r>
        </a:p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/>
            <a:t>RRTs por grupo</a:t>
          </a:r>
        </a:p>
        <a:p>
          <a:pPr marL="228600" lvl="1" indent="-22860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2400" u="sng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Taxas e Multas</a:t>
          </a:r>
        </a:p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Receitas</a:t>
          </a:r>
        </a:p>
        <a:p>
          <a:pPr marL="228600" lvl="1" indent="-22860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2400" u="sng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Receita Total - CAU/UF (80%)</a:t>
          </a:r>
        </a:p>
      </dsp:txBody>
      <dsp:txXfrm>
        <a:off x="5187" y="1475388"/>
        <a:ext cx="5057771" cy="5461586"/>
      </dsp:txXfrm>
    </dsp:sp>
    <dsp:sp modelId="{E1EBA8D9-9764-4DA9-B7C6-8DE56BC66ED6}">
      <dsp:nvSpPr>
        <dsp:cNvPr id="0" name=""/>
        <dsp:cNvSpPr/>
      </dsp:nvSpPr>
      <dsp:spPr>
        <a:xfrm>
          <a:off x="5771046" y="0"/>
          <a:ext cx="5057771" cy="1468800"/>
        </a:xfrm>
        <a:prstGeom prst="rect">
          <a:avLst/>
        </a:prstGeom>
        <a:gradFill rotWithShape="0">
          <a:gsLst>
            <a:gs pos="0">
              <a:schemeClr val="accent3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3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3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 w="9525" cap="flat" cmpd="sng" algn="ctr">
          <a:solidFill>
            <a:schemeClr val="accent3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dsp:spPr>
      <dsp:style>
        <a:lnRef idx="1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84480" tIns="162560" rIns="284480" bIns="162560" numCol="1" spcCol="1270" anchor="ctr" anchorCtr="0">
          <a:noAutofit/>
        </a:bodyPr>
        <a:lstStyle/>
        <a:p>
          <a:pPr marL="228600" lvl="1" indent="-22860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pt-BR" sz="4000" b="1" kern="1200">
              <a:solidFill>
                <a:sysClr val="window" lastClr="FFFFFF"/>
              </a:solidFill>
              <a:latin typeface="Calibri" panose="020F0502020204030204"/>
              <a:ea typeface="+mn-ea"/>
              <a:cs typeface="+mn-cs"/>
            </a:rPr>
            <a:t>CAU/BR</a:t>
          </a:r>
        </a:p>
      </dsp:txBody>
      <dsp:txXfrm>
        <a:off x="5771046" y="0"/>
        <a:ext cx="5057771" cy="1468800"/>
      </dsp:txXfrm>
    </dsp:sp>
    <dsp:sp modelId="{15BE1E6E-8B64-4A74-8B5F-85073B6D0391}">
      <dsp:nvSpPr>
        <dsp:cNvPr id="0" name=""/>
        <dsp:cNvSpPr/>
      </dsp:nvSpPr>
      <dsp:spPr>
        <a:xfrm>
          <a:off x="5771046" y="1491167"/>
          <a:ext cx="5057771" cy="5462897"/>
        </a:xfrm>
        <a:prstGeom prst="rect">
          <a:avLst/>
        </a:prstGeom>
        <a:solidFill>
          <a:schemeClr val="accent3">
            <a:tint val="40000"/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3">
              <a:tint val="40000"/>
              <a:alpha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8016" tIns="128016" rIns="170688" bIns="192024" numCol="1" spcCol="1270" anchor="t" anchorCtr="0">
          <a:noAutofit/>
        </a:bodyPr>
        <a:lstStyle/>
        <a:p>
          <a:pPr marL="228600" lvl="1" indent="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2400" u="sng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Receitas</a:t>
          </a:r>
        </a:p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PF e PJ - Receitas</a:t>
          </a:r>
        </a:p>
        <a:p>
          <a:pPr marL="342900" lvl="2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RRT e Taxas - Receitas</a:t>
          </a:r>
        </a:p>
        <a:p>
          <a:pPr marL="228600" lvl="1" indent="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2400" u="sng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Total (20%)</a:t>
          </a:r>
        </a:p>
      </dsp:txBody>
      <dsp:txXfrm>
        <a:off x="5771046" y="1491167"/>
        <a:ext cx="5057771" cy="5462897"/>
      </dsp:txXfrm>
    </dsp:sp>
    <dsp:sp modelId="{F41E0931-505E-437D-A6CC-472FFC81FC54}">
      <dsp:nvSpPr>
        <dsp:cNvPr id="0" name=""/>
        <dsp:cNvSpPr/>
      </dsp:nvSpPr>
      <dsp:spPr>
        <a:xfrm>
          <a:off x="11536906" y="12427"/>
          <a:ext cx="5057771" cy="1468800"/>
        </a:xfrm>
        <a:prstGeom prst="rect">
          <a:avLst/>
        </a:prstGeom>
        <a:gradFill rotWithShape="0">
          <a:gsLst>
            <a:gs pos="0">
              <a:schemeClr val="accent4">
                <a:hueOff val="0"/>
                <a:satOff val="0"/>
                <a:lumOff val="0"/>
                <a:alphaOff val="0"/>
                <a:shade val="51000"/>
                <a:satMod val="130000"/>
              </a:schemeClr>
            </a:gs>
            <a:gs pos="80000">
              <a:schemeClr val="accent4">
                <a:hueOff val="0"/>
                <a:satOff val="0"/>
                <a:lumOff val="0"/>
                <a:alphaOff val="0"/>
                <a:shade val="93000"/>
                <a:satMod val="130000"/>
              </a:schemeClr>
            </a:gs>
            <a:gs pos="100000">
              <a:schemeClr val="accent4">
                <a:hueOff val="0"/>
                <a:satOff val="0"/>
                <a:lumOff val="0"/>
                <a:alphaOff val="0"/>
                <a:shade val="94000"/>
                <a:satMod val="135000"/>
              </a:schemeClr>
            </a:gs>
          </a:gsLst>
          <a:lin ang="16200000" scaled="0"/>
        </a:gradFill>
        <a:ln w="9525" cap="flat" cmpd="sng" algn="ctr">
          <a:solidFill>
            <a:schemeClr val="accent4">
              <a:hueOff val="0"/>
              <a:satOff val="0"/>
              <a:lumOff val="0"/>
              <a:alphaOff val="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dsp:spPr>
      <dsp:style>
        <a:lnRef idx="1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284480" tIns="162560" rIns="284480" bIns="162560" numCol="1" spcCol="1270" anchor="ctr" anchorCtr="0">
          <a:noAutofit/>
        </a:bodyPr>
        <a:lstStyle/>
        <a:p>
          <a:pPr marL="228600" lvl="1" indent="-22860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None/>
          </a:pPr>
          <a:r>
            <a:rPr lang="pt-BR" sz="4000" b="1" kern="1200">
              <a:solidFill>
                <a:sysClr val="window" lastClr="FFFFFF"/>
              </a:solidFill>
              <a:latin typeface="Calibri" panose="020F0502020204030204"/>
              <a:ea typeface="+mn-ea"/>
              <a:cs typeface="+mn-cs"/>
            </a:rPr>
            <a:t>CAU</a:t>
          </a:r>
        </a:p>
      </dsp:txBody>
      <dsp:txXfrm>
        <a:off x="11536906" y="12427"/>
        <a:ext cx="5057771" cy="1468800"/>
      </dsp:txXfrm>
    </dsp:sp>
    <dsp:sp modelId="{CFFCB772-3520-4AB5-9FF5-5D12EE158C16}">
      <dsp:nvSpPr>
        <dsp:cNvPr id="0" name=""/>
        <dsp:cNvSpPr/>
      </dsp:nvSpPr>
      <dsp:spPr>
        <a:xfrm>
          <a:off x="11536906" y="1491167"/>
          <a:ext cx="5057771" cy="5462897"/>
        </a:xfrm>
        <a:prstGeom prst="rect">
          <a:avLst/>
        </a:prstGeom>
        <a:solidFill>
          <a:schemeClr val="accent4">
            <a:tint val="40000"/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4">
              <a:tint val="40000"/>
              <a:alpha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8016" tIns="128016" rIns="170688" bIns="192024" numCol="1" spcCol="1270" anchor="t" anchorCtr="0">
          <a:noAutofit/>
        </a:bodyPr>
        <a:lstStyle/>
        <a:p>
          <a:pPr marL="228600" lvl="1" indent="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2400" u="sng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Gráficos de Receita YoY (100%)</a:t>
          </a:r>
        </a:p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Executado x Previsto x Potencial</a:t>
          </a:r>
        </a:p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Comparativo 2022 x 2021 x 2020</a:t>
          </a:r>
        </a:p>
        <a:p>
          <a:pPr marL="228600" lvl="1" indent="0" algn="l" defTabSz="10668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2400" u="sng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Receitas PF, PJ, RRT e Taxas</a:t>
          </a:r>
        </a:p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Receita PF - Exercício</a:t>
          </a:r>
        </a:p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Receita PF - Exercícios Anteriores</a:t>
          </a:r>
        </a:p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Receita PJ - Exercício</a:t>
          </a:r>
        </a:p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Receita PJ - Exercícios Anteriores</a:t>
          </a:r>
        </a:p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RRT</a:t>
          </a:r>
        </a:p>
        <a:p>
          <a:pPr marL="514350" lvl="3" indent="0" algn="l" defTabSz="8001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•"/>
          </a:pPr>
          <a:r>
            <a:rPr lang="pt-BR" sz="1800" kern="1200">
              <a:solidFill>
                <a:srgbClr val="1C3942">
                  <a:hueOff val="0"/>
                  <a:satOff val="0"/>
                  <a:lumOff val="0"/>
                  <a:alphaOff val="0"/>
                </a:srgbClr>
              </a:solidFill>
              <a:latin typeface="Calibri" panose="020F0502020204030204"/>
              <a:ea typeface="+mn-ea"/>
              <a:cs typeface="+mn-cs"/>
            </a:rPr>
            <a:t>Taxas e Multas</a:t>
          </a:r>
        </a:p>
      </dsp:txBody>
      <dsp:txXfrm>
        <a:off x="11536906" y="1491167"/>
        <a:ext cx="5057771" cy="5462897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List1">
  <dgm:title val=""/>
  <dgm:desc val=""/>
  <dgm:catLst>
    <dgm:cat type="list" pri="5000"/>
    <dgm:cat type="convert" pri="5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14" srcId="1" destId="12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34" srcId="3" destId="32" srcOrd="1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dir/>
      <dgm:animLvl val="lvl"/>
      <dgm:resizeHandles val="exact"/>
    </dgm:varLst>
    <dgm:choose name="Name1">
      <dgm:if name="Name2" func="var" arg="dir" op="equ" val="norm">
        <dgm:alg type="lin"/>
      </dgm:if>
      <dgm:else name="Name3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h" for="ch" forName="composite" refType="h"/>
      <dgm:constr type="w" for="ch" forName="composite" refType="w"/>
      <dgm:constr type="w" for="des" forName="parTx"/>
      <dgm:constr type="h" for="des" forName="parTx" op="equ"/>
      <dgm:constr type="w" for="des" forName="desTx"/>
      <dgm:constr type="h" for="des" forName="desTx" op="equ"/>
      <dgm:constr type="primFontSz" for="des" forName="parTx" val="65"/>
      <dgm:constr type="secFontSz" for="des" forName="desTx" refType="primFontSz" refFor="des" refForName="parTx" op="equ"/>
      <dgm:constr type="h" for="des" forName="parTx" refType="primFontSz" refFor="des" refForName="parTx" fact="0.8"/>
      <dgm:constr type="h" for="des" forName="desTx" refType="primFontSz" refFor="des" refForName="parTx" fact="1.22"/>
      <dgm:constr type="w" for="ch" forName="space" refType="w" refFor="ch" refForName="composite" op="equ" fact="0.14"/>
    </dgm:constrLst>
    <dgm:ruleLst>
      <dgm:rule type="w" for="ch" forName="composite" val="0" fact="NaN" max="NaN"/>
      <dgm:rule type="primFontSz" for="des" forName="parTx" val="5" fact="NaN" max="NaN"/>
    </dgm:ruleLst>
    <dgm:forEach name="Name4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onstrLst>
          <dgm:constr type="l" for="ch" forName="parTx"/>
          <dgm:constr type="w" for="ch" forName="parTx" refType="w"/>
          <dgm:constr type="t" for="ch" forName="parTx"/>
          <dgm:constr type="l" for="ch" forName="desTx"/>
          <dgm:constr type="w" for="ch" forName="desTx" refType="w" refFor="ch" refForName="parTx"/>
          <dgm:constr type="t" for="ch" forName="desTx" refType="h" refFor="ch" refForName="parTx"/>
        </dgm:constrLst>
        <dgm:ruleLst>
          <dgm:rule type="h" val="INF" fact="NaN" max="NaN"/>
        </dgm:ruleLst>
        <dgm:layoutNode name="parTx" styleLbl="alignNode1">
          <dgm:varLst>
            <dgm:chMax val="0"/>
            <dgm:chPref val="0"/>
            <dgm:bulletEnabled val="1"/>
          </dgm:varLst>
          <dgm:alg type="tx"/>
          <dgm:shape xmlns:r="http://schemas.openxmlformats.org/officeDocument/2006/relationships" type="rect" r:blip="">
            <dgm:adjLst/>
          </dgm:shape>
          <dgm:presOf axis="self" ptType="node"/>
          <dgm:constrLst>
            <dgm:constr type="h" refType="w" op="lte" fact="0.4"/>
            <dgm:constr type="h"/>
            <dgm:constr type="tMarg" refType="primFontSz" fact="0.32"/>
            <dgm:constr type="bMarg" refType="primFontSz" fact="0.32"/>
          </dgm:constrLst>
          <dgm:ruleLst>
            <dgm:rule type="h" val="INF" fact="NaN" max="NaN"/>
          </dgm:ruleLst>
        </dgm:layoutNode>
        <dgm:layoutNode name="desTx" styleLbl="alignAccFollowNode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ect" r:blip="">
            <dgm:adjLst/>
          </dgm:shape>
          <dgm:presOf axis="des" ptType="node"/>
          <dgm:constrLst>
            <dgm:constr type="secFontSz" val="65"/>
            <dgm:constr type="primFontSz" refType="secFontSz"/>
            <dgm:constr type="h"/>
            <dgm:constr type="lMarg" refType="primFontSz" fact="0.42"/>
            <dgm:constr type="tMarg" refType="primFontSz" fact="0.42"/>
            <dgm:constr type="bMarg" refType="primFontSz" fact="0.63"/>
          </dgm:constrLst>
          <dgm:ruleLst>
            <dgm:rule type="h" val="INF" fact="NaN" max="NaN"/>
          </dgm:ruleLst>
        </dgm:layoutNode>
      </dgm:layoutNode>
      <dgm:forEach name="Name5" axis="followSib" ptType="sibTrans" cnt="1">
        <dgm:layoutNode name="space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4">
  <dgm:title val=""/>
  <dgm:desc val=""/>
  <dgm:catLst>
    <dgm:cat type="simple" pri="104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6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3.jpg"/><Relationship Id="rId4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9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10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11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12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13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microsoft.com/office/2014/relationships/chartEx" Target="../charts/chartEx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14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1.png"/><Relationship Id="rId4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&#205;ndice!A1"/><Relationship Id="rId13" Type="http://schemas.openxmlformats.org/officeDocument/2006/relationships/hyperlink" Target="#'Gr&#225;ficos - PF'!A1"/><Relationship Id="rId3" Type="http://schemas.openxmlformats.org/officeDocument/2006/relationships/chart" Target="../charts/chart27.xml"/><Relationship Id="rId7" Type="http://schemas.openxmlformats.org/officeDocument/2006/relationships/image" Target="../media/image1.png"/><Relationship Id="rId12" Type="http://schemas.openxmlformats.org/officeDocument/2006/relationships/hyperlink" Target="#'Gr&#225;ficos - PF - Ex. Ant.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hyperlink" Target="#'Gr&#225;ficos - PJ'!A1"/><Relationship Id="rId5" Type="http://schemas.openxmlformats.org/officeDocument/2006/relationships/chart" Target="../charts/chart29.xml"/><Relationship Id="rId10" Type="http://schemas.openxmlformats.org/officeDocument/2006/relationships/hyperlink" Target="#'Gr&#225;ficos - RRT'!A1"/><Relationship Id="rId4" Type="http://schemas.openxmlformats.org/officeDocument/2006/relationships/chart" Target="../charts/chart28.xml"/><Relationship Id="rId9" Type="http://schemas.openxmlformats.org/officeDocument/2006/relationships/hyperlink" Target="#'Gr&#225;ficos - Taxas'!A1"/><Relationship Id="rId14" Type="http://schemas.openxmlformats.org/officeDocument/2006/relationships/hyperlink" Target="#'Gr&#225;ficos - PJ - Ex. Ant.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hyperlink" Target="#&#205;ndice!A1"/><Relationship Id="rId1" Type="http://schemas.openxmlformats.org/officeDocument/2006/relationships/image" Target="../media/image1.png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hyperlink" Target="#&#205;ndice!A1"/><Relationship Id="rId1" Type="http://schemas.openxmlformats.org/officeDocument/2006/relationships/image" Target="../media/image1.png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hyperlink" Target="#&#205;ndice!A1"/><Relationship Id="rId1" Type="http://schemas.openxmlformats.org/officeDocument/2006/relationships/image" Target="../media/image1.png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2" Type="http://schemas.openxmlformats.org/officeDocument/2006/relationships/hyperlink" Target="#&#205;ndice!A1"/><Relationship Id="rId1" Type="http://schemas.openxmlformats.org/officeDocument/2006/relationships/image" Target="../media/image1.png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hyperlink" Target="#&#205;ndice!A1"/><Relationship Id="rId7" Type="http://schemas.openxmlformats.org/officeDocument/2006/relationships/chart" Target="../charts/chart59.xml"/><Relationship Id="rId2" Type="http://schemas.openxmlformats.org/officeDocument/2006/relationships/image" Target="../media/image1.png"/><Relationship Id="rId1" Type="http://schemas.openxmlformats.org/officeDocument/2006/relationships/chart" Target="../charts/chart55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2" Type="http://schemas.openxmlformats.org/officeDocument/2006/relationships/hyperlink" Target="#&#205;ndice!A1"/><Relationship Id="rId1" Type="http://schemas.openxmlformats.org/officeDocument/2006/relationships/image" Target="../media/image1.png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image" Target="../media/image1.png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CAU BR - RRT e Taxas'!A1"/><Relationship Id="rId13" Type="http://schemas.openxmlformats.org/officeDocument/2006/relationships/hyperlink" Target="#'Gr&#225;ficos - PJ'!A1"/><Relationship Id="rId18" Type="http://schemas.openxmlformats.org/officeDocument/2006/relationships/hyperlink" Target="#'Taxas e Multas'!A1"/><Relationship Id="rId26" Type="http://schemas.openxmlformats.org/officeDocument/2006/relationships/hyperlink" Target="#'RRT - Grupos'!A1"/><Relationship Id="rId3" Type="http://schemas.openxmlformats.org/officeDocument/2006/relationships/diagramLayout" Target="../diagrams/layout1.xml"/><Relationship Id="rId21" Type="http://schemas.openxmlformats.org/officeDocument/2006/relationships/hyperlink" Target="#'PJ - Qntd'!A1"/><Relationship Id="rId7" Type="http://schemas.openxmlformats.org/officeDocument/2006/relationships/hyperlink" Target="#'CAU BR - PF e PJ'!A1"/><Relationship Id="rId12" Type="http://schemas.openxmlformats.org/officeDocument/2006/relationships/hyperlink" Target="#'Gr&#225;ficos - PF - Ex. Ant.'!A1"/><Relationship Id="rId17" Type="http://schemas.openxmlformats.org/officeDocument/2006/relationships/hyperlink" Target="#'PF - Qntd'!A1"/><Relationship Id="rId25" Type="http://schemas.openxmlformats.org/officeDocument/2006/relationships/hyperlink" Target="#'CAU UF - Receita Total 80%'!A1"/><Relationship Id="rId2" Type="http://schemas.openxmlformats.org/officeDocument/2006/relationships/diagramData" Target="../diagrams/data1.xml"/><Relationship Id="rId16" Type="http://schemas.openxmlformats.org/officeDocument/2006/relationships/hyperlink" Target="#'Gr&#225;ficos - Taxas'!A1"/><Relationship Id="rId20" Type="http://schemas.openxmlformats.org/officeDocument/2006/relationships/hyperlink" Target="#'PF - Ativos x Receita'!A1"/><Relationship Id="rId1" Type="http://schemas.openxmlformats.org/officeDocument/2006/relationships/image" Target="../media/image1.png"/><Relationship Id="rId6" Type="http://schemas.microsoft.com/office/2007/relationships/diagramDrawing" Target="../diagrams/drawing1.xml"/><Relationship Id="rId11" Type="http://schemas.openxmlformats.org/officeDocument/2006/relationships/hyperlink" Target="#'Gr&#225;ficos - PF'!A1"/><Relationship Id="rId24" Type="http://schemas.openxmlformats.org/officeDocument/2006/relationships/hyperlink" Target="#'RRT - Ativos x RRT'!A1"/><Relationship Id="rId5" Type="http://schemas.openxmlformats.org/officeDocument/2006/relationships/diagramColors" Target="../diagrams/colors1.xml"/><Relationship Id="rId15" Type="http://schemas.openxmlformats.org/officeDocument/2006/relationships/hyperlink" Target="#'Gr&#225;ficos - RRT'!A1"/><Relationship Id="rId23" Type="http://schemas.openxmlformats.org/officeDocument/2006/relationships/hyperlink" Target="#'RRT - Qntd e Receita'!A1"/><Relationship Id="rId10" Type="http://schemas.openxmlformats.org/officeDocument/2006/relationships/hyperlink" Target="#'Gr&#225;ficos - 100%'!A1"/><Relationship Id="rId19" Type="http://schemas.openxmlformats.org/officeDocument/2006/relationships/hyperlink" Target="#'PF - Receita'!A1"/><Relationship Id="rId4" Type="http://schemas.openxmlformats.org/officeDocument/2006/relationships/diagramQuickStyle" Target="../diagrams/quickStyle1.xml"/><Relationship Id="rId9" Type="http://schemas.openxmlformats.org/officeDocument/2006/relationships/hyperlink" Target="#'CAU BR - Receita Total 20%'!A1"/><Relationship Id="rId14" Type="http://schemas.openxmlformats.org/officeDocument/2006/relationships/hyperlink" Target="#'Gr&#225;ficos - PJ - Ex. Ant.'!A1"/><Relationship Id="rId22" Type="http://schemas.openxmlformats.org/officeDocument/2006/relationships/hyperlink" Target="#'PJ - Receita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1.png"/><Relationship Id="rId1" Type="http://schemas.openxmlformats.org/officeDocument/2006/relationships/image" Target="../media/image2.jpg"/><Relationship Id="rId4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3.jpg"/><Relationship Id="rId4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500060</xdr:colOff>
      <xdr:row>2</xdr:row>
      <xdr:rowOff>75009</xdr:rowOff>
    </xdr:from>
    <xdr:to>
      <xdr:col>57</xdr:col>
      <xdr:colOff>284428</xdr:colOff>
      <xdr:row>27</xdr:row>
      <xdr:rowOff>127397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470958</xdr:colOff>
      <xdr:row>28</xdr:row>
      <xdr:rowOff>189177</xdr:rowOff>
    </xdr:from>
    <xdr:to>
      <xdr:col>57</xdr:col>
      <xdr:colOff>255326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254000</xdr:colOff>
      <xdr:row>0</xdr:row>
      <xdr:rowOff>752476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/>
      </xdr:nvSpPr>
      <xdr:spPr>
        <a:xfrm>
          <a:off x="3599426" y="0"/>
          <a:ext cx="13831324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4</xdr:col>
      <xdr:colOff>412750</xdr:colOff>
      <xdr:row>2</xdr:row>
      <xdr:rowOff>5344</xdr:rowOff>
    </xdr:from>
    <xdr:to>
      <xdr:col>28</xdr:col>
      <xdr:colOff>1121833</xdr:colOff>
      <xdr:row>4</xdr:row>
      <xdr:rowOff>117832</xdr:rowOff>
    </xdr:to>
    <xdr:grpSp>
      <xdr:nvGrpSpPr>
        <xdr:cNvPr id="5" name="Grupo 3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pSpPr/>
      </xdr:nvGrpSpPr>
      <xdr:grpSpPr>
        <a:xfrm>
          <a:off x="2833688" y="957844"/>
          <a:ext cx="15224786" cy="489519"/>
          <a:chOff x="9123914" y="1068917"/>
          <a:chExt cx="4217784" cy="497416"/>
        </a:xfrm>
      </xdr:grpSpPr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00000000-0008-0000-2300-000006000000}"/>
              </a:ext>
            </a:extLst>
          </xdr:cNvPr>
          <xdr:cNvSpPr txBox="1"/>
        </xdr:nvSpPr>
        <xdr:spPr>
          <a:xfrm>
            <a:off x="9127309" y="1068917"/>
            <a:ext cx="4214389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8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Comparativo de Quantidade de PF Ativo x Receita de Anuidade de PF do Exercício</a:t>
            </a:r>
          </a:p>
        </xdr:txBody>
      </xdr:sp>
      <xdr:cxnSp macro="">
        <xdr:nvCxnSpPr>
          <xdr:cNvPr id="7" name="Conector reto 6">
            <a:extLst>
              <a:ext uri="{FF2B5EF4-FFF2-40B4-BE49-F238E27FC236}">
                <a16:creationId xmlns:a16="http://schemas.microsoft.com/office/drawing/2014/main" id="{00000000-0008-0000-2300-000007000000}"/>
              </a:ext>
            </a:extLst>
          </xdr:cNvPr>
          <xdr:cNvCxnSpPr/>
        </xdr:nvCxnSpPr>
        <xdr:spPr>
          <a:xfrm>
            <a:off x="9123914" y="1566333"/>
            <a:ext cx="4211086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213015</xdr:colOff>
      <xdr:row>1</xdr:row>
      <xdr:rowOff>144842</xdr:rowOff>
    </xdr:from>
    <xdr:to>
      <xdr:col>4</xdr:col>
      <xdr:colOff>201083</xdr:colOff>
      <xdr:row>4</xdr:row>
      <xdr:rowOff>115016</xdr:rowOff>
    </xdr:to>
    <xdr:grpSp>
      <xdr:nvGrpSpPr>
        <xdr:cNvPr id="8" name="Grupo 6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pSpPr/>
      </xdr:nvGrpSpPr>
      <xdr:grpSpPr>
        <a:xfrm>
          <a:off x="213015" y="908826"/>
          <a:ext cx="2409006" cy="535721"/>
          <a:chOff x="7926917" y="1026747"/>
          <a:chExt cx="3174401" cy="539586"/>
        </a:xfrm>
      </xdr:grpSpPr>
      <xdr:sp macro="" textlink="">
        <xdr:nvSpPr>
          <xdr:cNvPr id="9" name="CaixaDeTexto 8">
            <a:extLst>
              <a:ext uri="{FF2B5EF4-FFF2-40B4-BE49-F238E27FC236}">
                <a16:creationId xmlns:a16="http://schemas.microsoft.com/office/drawing/2014/main" id="{00000000-0008-0000-2300-000009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10" name="Conector reto 9">
            <a:extLst>
              <a:ext uri="{FF2B5EF4-FFF2-40B4-BE49-F238E27FC236}">
                <a16:creationId xmlns:a16="http://schemas.microsoft.com/office/drawing/2014/main" id="{00000000-0008-0000-2300-00000A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28</xdr:col>
      <xdr:colOff>150232</xdr:colOff>
      <xdr:row>1</xdr:row>
      <xdr:rowOff>78557</xdr:rowOff>
    </xdr:from>
    <xdr:to>
      <xdr:col>28</xdr:col>
      <xdr:colOff>1087348</xdr:colOff>
      <xdr:row>4</xdr:row>
      <xdr:rowOff>68737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17326982" y="840557"/>
          <a:ext cx="937116" cy="561680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80%</a:t>
          </a:r>
        </a:p>
      </xdr:txBody>
    </xdr:sp>
    <xdr:clientData/>
  </xdr:twoCellAnchor>
  <xdr:oneCellAnchor>
    <xdr:from>
      <xdr:col>28</xdr:col>
      <xdr:colOff>274948</xdr:colOff>
      <xdr:row>0</xdr:row>
      <xdr:rowOff>58918</xdr:rowOff>
    </xdr:from>
    <xdr:ext cx="1001595" cy="638510"/>
    <xdr:sp macro="" textlink="">
      <xdr:nvSpPr>
        <xdr:cNvPr id="13" name="CaixaDeTexto 12">
          <a:hlinkClick xmlns:r="http://schemas.openxmlformats.org/officeDocument/2006/relationships" r:id="rId2" tooltip="Voltar para a tela principal"/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17334223" y="58918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4</xdr:col>
      <xdr:colOff>412750</xdr:colOff>
      <xdr:row>4</xdr:row>
      <xdr:rowOff>177800</xdr:rowOff>
    </xdr:from>
    <xdr:to>
      <xdr:col>28</xdr:col>
      <xdr:colOff>1132417</xdr:colOff>
      <xdr:row>36</xdr:row>
      <xdr:rowOff>324379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00000000-0008-0000-2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231774</xdr:colOff>
      <xdr:row>6</xdr:row>
      <xdr:rowOff>23236</xdr:rowOff>
    </xdr:from>
    <xdr:to>
      <xdr:col>4</xdr:col>
      <xdr:colOff>190500</xdr:colOff>
      <xdr:row>17</xdr:row>
      <xdr:rowOff>65570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0" name="Região">
              <a:extLst>
                <a:ext uri="{FF2B5EF4-FFF2-40B4-BE49-F238E27FC236}">
                  <a16:creationId xmlns:a16="http://schemas.microsoft.com/office/drawing/2014/main" id="{00000000-0008-0000-2300-00003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ã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1774" y="1722795"/>
              <a:ext cx="2424020" cy="20967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0</xdr:colOff>
      <xdr:row>37</xdr:row>
      <xdr:rowOff>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520833" cy="813858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250031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/>
      </xdr:nvSpPr>
      <xdr:spPr>
        <a:xfrm>
          <a:off x="3566353" y="0"/>
          <a:ext cx="13673897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5</xdr:col>
      <xdr:colOff>254203</xdr:colOff>
      <xdr:row>2</xdr:row>
      <xdr:rowOff>15927</xdr:rowOff>
    </xdr:from>
    <xdr:to>
      <xdr:col>28</xdr:col>
      <xdr:colOff>707010</xdr:colOff>
      <xdr:row>4</xdr:row>
      <xdr:rowOff>128415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pSpPr/>
      </xdr:nvGrpSpPr>
      <xdr:grpSpPr>
        <a:xfrm>
          <a:off x="3280375" y="968427"/>
          <a:ext cx="14363276" cy="489519"/>
          <a:chOff x="8898475" y="1068917"/>
          <a:chExt cx="4255210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8901693" y="1068917"/>
            <a:ext cx="4251992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Quantitativo - Pessoa Jurídica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400-000006000000}"/>
              </a:ext>
            </a:extLst>
          </xdr:cNvPr>
          <xdr:cNvCxnSpPr/>
        </xdr:nvCxnSpPr>
        <xdr:spPr>
          <a:xfrm>
            <a:off x="8898475" y="1566333"/>
            <a:ext cx="424866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223599</xdr:colOff>
      <xdr:row>5</xdr:row>
      <xdr:rowOff>81342</xdr:rowOff>
    </xdr:from>
    <xdr:to>
      <xdr:col>4</xdr:col>
      <xdr:colOff>211667</xdr:colOff>
      <xdr:row>8</xdr:row>
      <xdr:rowOff>51516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GrpSpPr/>
      </xdr:nvGrpSpPr>
      <xdr:grpSpPr>
        <a:xfrm>
          <a:off x="223599" y="1599389"/>
          <a:ext cx="2409006" cy="535721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:a16="http://schemas.microsoft.com/office/drawing/2014/main" id="{00000000-0008-0000-2400-000009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265128</xdr:colOff>
      <xdr:row>0</xdr:row>
      <xdr:rowOff>68738</xdr:rowOff>
    </xdr:from>
    <xdr:ext cx="1001595" cy="638510"/>
    <xdr:sp macro="" textlink="">
      <xdr:nvSpPr>
        <xdr:cNvPr id="33" name="CaixaDeTexto 32">
          <a:hlinkClick xmlns:r="http://schemas.openxmlformats.org/officeDocument/2006/relationships" r:id="rId3" tooltip="Voltar para a tela principal"/>
          <a:extLst>
            <a:ext uri="{FF2B5EF4-FFF2-40B4-BE49-F238E27FC236}">
              <a16:creationId xmlns:a16="http://schemas.microsoft.com/office/drawing/2014/main" id="{00000000-0008-0000-2400-000021000000}"/>
            </a:ext>
          </a:extLst>
        </xdr:cNvPr>
        <xdr:cNvSpPr txBox="1"/>
      </xdr:nvSpPr>
      <xdr:spPr>
        <a:xfrm>
          <a:off x="17302113" y="68738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10</xdr:col>
      <xdr:colOff>466268</xdr:colOff>
      <xdr:row>5</xdr:row>
      <xdr:rowOff>63501</xdr:rowOff>
    </xdr:from>
    <xdr:to>
      <xdr:col>23</xdr:col>
      <xdr:colOff>269611</xdr:colOff>
      <xdr:row>36</xdr:row>
      <xdr:rowOff>401865</xdr:rowOff>
    </xdr:to>
    <xdr:grpSp>
      <xdr:nvGrpSpPr>
        <xdr:cNvPr id="12" name="Agrupar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6518612" y="1581548"/>
          <a:ext cx="7671390" cy="6192270"/>
          <a:chOff x="6536388" y="1587341"/>
          <a:chExt cx="7701119" cy="6256104"/>
        </a:xfrm>
      </xdr:grpSpPr>
      <xdr:grpSp>
        <xdr:nvGrpSpPr>
          <xdr:cNvPr id="24" name="Grupo 23">
            <a:extLst>
              <a:ext uri="{FF2B5EF4-FFF2-40B4-BE49-F238E27FC236}">
                <a16:creationId xmlns:a16="http://schemas.microsoft.com/office/drawing/2014/main" id="{00000000-0008-0000-2400-000018000000}"/>
              </a:ext>
            </a:extLst>
          </xdr:cNvPr>
          <xdr:cNvGrpSpPr/>
        </xdr:nvGrpSpPr>
        <xdr:grpSpPr>
          <a:xfrm>
            <a:off x="10543689" y="1597931"/>
            <a:ext cx="3693818" cy="6245190"/>
            <a:chOff x="11271184" y="4502489"/>
            <a:chExt cx="795248" cy="2742100"/>
          </a:xfrm>
        </xdr:grpSpPr>
        <xdr:sp macro="" textlink="'Dados - Receita e Qntd'!BT56">
          <xdr:nvSpPr>
            <xdr:cNvPr id="26" name="CaixaDeTexto 25">
              <a:extLst>
                <a:ext uri="{FF2B5EF4-FFF2-40B4-BE49-F238E27FC236}">
                  <a16:creationId xmlns:a16="http://schemas.microsoft.com/office/drawing/2014/main" id="{00000000-0008-0000-2400-00001A000000}"/>
                </a:ext>
              </a:extLst>
            </xdr:cNvPr>
            <xdr:cNvSpPr txBox="1"/>
          </xdr:nvSpPr>
          <xdr:spPr>
            <a:xfrm>
              <a:off x="11271947" y="4502489"/>
              <a:ext cx="794485" cy="84588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E1586E8C-312D-4969-A27A-482D94C209D4}" type="TxLink">
                <a:rPr lang="en-US" sz="6000" b="1" i="0" u="none" strike="noStrike">
                  <a:solidFill>
                    <a:schemeClr val="tx1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 30.981 </a:t>
              </a:fld>
              <a:endParaRPr lang="pt-BR" sz="6000" b="1" i="0" u="none" strike="noStrike"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BT58">
          <xdr:nvSpPr>
            <xdr:cNvPr id="28" name="CaixaDeTexto 27">
              <a:extLst>
                <a:ext uri="{FF2B5EF4-FFF2-40B4-BE49-F238E27FC236}">
                  <a16:creationId xmlns:a16="http://schemas.microsoft.com/office/drawing/2014/main" id="{00000000-0008-0000-2400-00001C000000}"/>
                </a:ext>
              </a:extLst>
            </xdr:cNvPr>
            <xdr:cNvSpPr txBox="1"/>
          </xdr:nvSpPr>
          <xdr:spPr>
            <a:xfrm>
              <a:off x="11271383" y="5451642"/>
              <a:ext cx="794485" cy="84588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83566491-FDEB-4B72-9211-F609CC55C5A3}" type="TxLink">
                <a:rPr lang="en-US" sz="6000" b="1" i="0" u="none" strike="noStrike">
                  <a:solidFill>
                    <a:schemeClr val="tx1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 31.610 </a:t>
              </a:fld>
              <a:endParaRPr lang="pt-BR" sz="6000" b="1" i="0" u="none" strike="noStrike"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CS32">
          <xdr:nvSpPr>
            <xdr:cNvPr id="29" name="CaixaDeTexto 28">
              <a:extLst>
                <a:ext uri="{FF2B5EF4-FFF2-40B4-BE49-F238E27FC236}">
                  <a16:creationId xmlns:a16="http://schemas.microsoft.com/office/drawing/2014/main" id="{00000000-0008-0000-2400-00001D000000}"/>
                </a:ext>
              </a:extLst>
            </xdr:cNvPr>
            <xdr:cNvSpPr txBox="1"/>
          </xdr:nvSpPr>
          <xdr:spPr>
            <a:xfrm>
              <a:off x="11271184" y="6398708"/>
              <a:ext cx="794485" cy="84588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0004666B-8EB3-4B10-9F73-C4488D255025}" type="TxLink">
                <a:rPr lang="en-US" sz="6000" b="1" i="0" u="none" strike="noStrike">
                  <a:solidFill>
                    <a:schemeClr val="tx1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 1.863 </a:t>
              </a:fld>
              <a:endParaRPr lang="pt-BR" sz="6000" b="1" i="0" u="none" strike="noStrike"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</xdr:grpSp>
      <xdr:sp macro="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SpPr txBox="1"/>
        </xdr:nvSpPr>
        <xdr:spPr>
          <a:xfrm>
            <a:off x="6538221" y="3761573"/>
            <a:ext cx="3690278" cy="19265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4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Ativos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4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Previstos</a:t>
            </a:r>
          </a:p>
        </xdr:txBody>
      </xdr:sp>
      <xdr:sp macro="" textlink="">
        <xdr:nvSpPr>
          <xdr:cNvPr id="23" name="CaixaDeTexto 22">
            <a:extLst>
              <a:ext uri="{FF2B5EF4-FFF2-40B4-BE49-F238E27FC236}">
                <a16:creationId xmlns:a16="http://schemas.microsoft.com/office/drawing/2014/main" id="{00000000-0008-0000-2400-000017000000}"/>
              </a:ext>
            </a:extLst>
          </xdr:cNvPr>
          <xdr:cNvSpPr txBox="1"/>
        </xdr:nvSpPr>
        <xdr:spPr>
          <a:xfrm>
            <a:off x="6558047" y="1587341"/>
            <a:ext cx="3653329" cy="19266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4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Ativos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4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Atuais</a:t>
            </a:r>
          </a:p>
        </xdr:txBody>
      </xdr:sp>
      <xdr:sp macro="" textlink="">
        <xdr:nvSpPr>
          <xdr:cNvPr id="31" name="CaixaDe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>
            <a:off x="6536388" y="5916934"/>
            <a:ext cx="3690278" cy="19265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4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Variação frente</a:t>
            </a:r>
            <a:r>
              <a:rPr lang="pt-BR" sz="4000" b="1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pt-BR" sz="4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a</a:t>
            </a:r>
            <a:r>
              <a:rPr lang="pt-BR" sz="4000" b="1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pt-BR" sz="4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2021</a:t>
            </a:r>
          </a:p>
        </xdr:txBody>
      </xdr:sp>
    </xdr:grpSp>
    <xdr:clientData/>
  </xdr:twoCellAnchor>
  <xdr:twoCellAnchor>
    <xdr:from>
      <xdr:col>0</xdr:col>
      <xdr:colOff>11906</xdr:colOff>
      <xdr:row>0</xdr:row>
      <xdr:rowOff>714374</xdr:rowOff>
    </xdr:from>
    <xdr:to>
      <xdr:col>29</xdr:col>
      <xdr:colOff>0</xdr:colOff>
      <xdr:row>37</xdr:row>
      <xdr:rowOff>0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SpPr txBox="1"/>
      </xdr:nvSpPr>
      <xdr:spPr>
        <a:xfrm>
          <a:off x="11906" y="714374"/>
          <a:ext cx="18323719" cy="741759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BR" sz="1100"/>
        </a:p>
      </xdr:txBody>
    </xdr:sp>
    <xdr:clientData/>
  </xdr:twoCellAnchor>
  <xdr:twoCellAnchor editAs="oneCell">
    <xdr:from>
      <xdr:col>0</xdr:col>
      <xdr:colOff>245489</xdr:colOff>
      <xdr:row>8</xdr:row>
      <xdr:rowOff>166930</xdr:rowOff>
    </xdr:from>
    <xdr:to>
      <xdr:col>4</xdr:col>
      <xdr:colOff>272143</xdr:colOff>
      <xdr:row>36</xdr:row>
      <xdr:rowOff>113392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UF 1">
              <a:extLst>
                <a:ext uri="{FF2B5EF4-FFF2-40B4-BE49-F238E27FC236}">
                  <a16:creationId xmlns:a16="http://schemas.microsoft.com/office/drawing/2014/main" id="{00000000-0008-0000-2400-00001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489" y="2262431"/>
              <a:ext cx="2383542" cy="4968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0</xdr:colOff>
      <xdr:row>37</xdr:row>
      <xdr:rowOff>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2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478500" cy="8137071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530258</xdr:colOff>
      <xdr:row>0</xdr:row>
      <xdr:rowOff>0</xdr:rowOff>
    </xdr:from>
    <xdr:to>
      <xdr:col>28</xdr:col>
      <xdr:colOff>275166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/>
      </xdr:nvSpPr>
      <xdr:spPr>
        <a:xfrm>
          <a:off x="3599425" y="0"/>
          <a:ext cx="13852491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5</xdr:col>
      <xdr:colOff>165897</xdr:colOff>
      <xdr:row>2</xdr:row>
      <xdr:rowOff>15927</xdr:rowOff>
    </xdr:from>
    <xdr:to>
      <xdr:col>28</xdr:col>
      <xdr:colOff>569537</xdr:colOff>
      <xdr:row>4</xdr:row>
      <xdr:rowOff>128415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pSpPr/>
      </xdr:nvGrpSpPr>
      <xdr:grpSpPr>
        <a:xfrm>
          <a:off x="3192069" y="968427"/>
          <a:ext cx="14314109" cy="489519"/>
          <a:chOff x="8872463" y="1068917"/>
          <a:chExt cx="4240727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500-000005000000}"/>
              </a:ext>
            </a:extLst>
          </xdr:cNvPr>
          <xdr:cNvSpPr txBox="1"/>
        </xdr:nvSpPr>
        <xdr:spPr>
          <a:xfrm>
            <a:off x="8875661" y="1068917"/>
            <a:ext cx="4237529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de Arrecadação - Pessoa Jurídica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500-000006000000}"/>
              </a:ext>
            </a:extLst>
          </xdr:cNvPr>
          <xdr:cNvCxnSpPr/>
        </xdr:nvCxnSpPr>
        <xdr:spPr>
          <a:xfrm>
            <a:off x="8872463" y="1566333"/>
            <a:ext cx="4234208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223599</xdr:colOff>
      <xdr:row>6</xdr:row>
      <xdr:rowOff>17838</xdr:rowOff>
    </xdr:from>
    <xdr:to>
      <xdr:col>4</xdr:col>
      <xdr:colOff>211667</xdr:colOff>
      <xdr:row>8</xdr:row>
      <xdr:rowOff>178512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GrpSpPr/>
      </xdr:nvGrpSpPr>
      <xdr:grpSpPr>
        <a:xfrm>
          <a:off x="223599" y="1724401"/>
          <a:ext cx="2409006" cy="537705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00000000-0008-0000-2500-000008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:a16="http://schemas.microsoft.com/office/drawing/2014/main" id="{00000000-0008-0000-2500-000009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97109</xdr:colOff>
      <xdr:row>5</xdr:row>
      <xdr:rowOff>165005</xdr:rowOff>
    </xdr:from>
    <xdr:to>
      <xdr:col>12</xdr:col>
      <xdr:colOff>126569</xdr:colOff>
      <xdr:row>9</xdr:row>
      <xdr:rowOff>798</xdr:rowOff>
    </xdr:to>
    <xdr:grpSp>
      <xdr:nvGrpSpPr>
        <xdr:cNvPr id="21" name="Grupo 20">
          <a:extLst>
            <a:ext uri="{FF2B5EF4-FFF2-40B4-BE49-F238E27FC236}">
              <a16:creationId xmlns:a16="http://schemas.microsoft.com/office/drawing/2014/main" id="{00000000-0008-0000-2500-000015000000}"/>
            </a:ext>
          </a:extLst>
        </xdr:cNvPr>
        <xdr:cNvGrpSpPr/>
      </xdr:nvGrpSpPr>
      <xdr:grpSpPr>
        <a:xfrm>
          <a:off x="3123281" y="1683052"/>
          <a:ext cx="4266101" cy="589855"/>
          <a:chOff x="7926917" y="1026747"/>
          <a:chExt cx="3174401" cy="539586"/>
        </a:xfrm>
      </xdr:grpSpPr>
      <xdr:sp macro="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2500-000016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Exercício 2022</a:t>
            </a:r>
          </a:p>
        </xdr:txBody>
      </xdr:sp>
      <xdr:cxnSp macro="">
        <xdr:nvCxnSpPr>
          <xdr:cNvPr id="23" name="Conector reto 22">
            <a:extLst>
              <a:ext uri="{FF2B5EF4-FFF2-40B4-BE49-F238E27FC236}">
                <a16:creationId xmlns:a16="http://schemas.microsoft.com/office/drawing/2014/main" id="{00000000-0008-0000-2500-000017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165661</xdr:colOff>
      <xdr:row>5</xdr:row>
      <xdr:rowOff>119595</xdr:rowOff>
    </xdr:from>
    <xdr:to>
      <xdr:col>21</xdr:col>
      <xdr:colOff>200140</xdr:colOff>
      <xdr:row>8</xdr:row>
      <xdr:rowOff>141554</xdr:rowOff>
    </xdr:to>
    <xdr:grpSp>
      <xdr:nvGrpSpPr>
        <xdr:cNvPr id="29" name="Grupo 28">
          <a:extLst>
            <a:ext uri="{FF2B5EF4-FFF2-40B4-BE49-F238E27FC236}">
              <a16:creationId xmlns:a16="http://schemas.microsoft.com/office/drawing/2014/main" id="{00000000-0008-0000-2500-00001D000000}"/>
            </a:ext>
          </a:extLst>
        </xdr:cNvPr>
        <xdr:cNvGrpSpPr/>
      </xdr:nvGrpSpPr>
      <xdr:grpSpPr>
        <a:xfrm>
          <a:off x="8638942" y="1637642"/>
          <a:ext cx="4271120" cy="587506"/>
          <a:chOff x="7926917" y="1026747"/>
          <a:chExt cx="3174401" cy="539586"/>
        </a:xfrm>
      </xdr:grpSpPr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2500-00001E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Exercícios Anteriores</a:t>
            </a:r>
          </a:p>
        </xdr:txBody>
      </xdr:sp>
      <xdr:cxnSp macro="">
        <xdr:nvCxnSpPr>
          <xdr:cNvPr id="31" name="Conector reto 30">
            <a:extLst>
              <a:ext uri="{FF2B5EF4-FFF2-40B4-BE49-F238E27FC236}">
                <a16:creationId xmlns:a16="http://schemas.microsoft.com/office/drawing/2014/main" id="{00000000-0008-0000-2500-00001F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</xdr:cxnSp>
    </xdr:grpSp>
    <xdr:clientData/>
  </xdr:twoCellAnchor>
  <xdr:twoCellAnchor>
    <xdr:from>
      <xdr:col>27</xdr:col>
      <xdr:colOff>196392</xdr:colOff>
      <xdr:row>1</xdr:row>
      <xdr:rowOff>68737</xdr:rowOff>
    </xdr:from>
    <xdr:to>
      <xdr:col>28</xdr:col>
      <xdr:colOff>530258</xdr:colOff>
      <xdr:row>4</xdr:row>
      <xdr:rowOff>58917</xdr:rowOff>
    </xdr:to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2500-000027000000}"/>
            </a:ext>
          </a:extLst>
        </xdr:cNvPr>
        <xdr:cNvSpPr txBox="1"/>
      </xdr:nvSpPr>
      <xdr:spPr>
        <a:xfrm>
          <a:off x="16634382" y="834665"/>
          <a:ext cx="932861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80%</a:t>
          </a:r>
        </a:p>
      </xdr:txBody>
    </xdr:sp>
    <xdr:clientData/>
  </xdr:twoCellAnchor>
  <xdr:oneCellAnchor>
    <xdr:from>
      <xdr:col>28</xdr:col>
      <xdr:colOff>274948</xdr:colOff>
      <xdr:row>0</xdr:row>
      <xdr:rowOff>78556</xdr:rowOff>
    </xdr:from>
    <xdr:ext cx="1001595" cy="638510"/>
    <xdr:sp macro="" textlink="">
      <xdr:nvSpPr>
        <xdr:cNvPr id="41" name="CaixaDeTexto 40">
          <a:hlinkClick xmlns:r="http://schemas.openxmlformats.org/officeDocument/2006/relationships" r:id="rId3" tooltip="Voltar para a tela principal"/>
          <a:extLst>
            <a:ext uri="{FF2B5EF4-FFF2-40B4-BE49-F238E27FC236}">
              <a16:creationId xmlns:a16="http://schemas.microsoft.com/office/drawing/2014/main" id="{00000000-0008-0000-2500-000029000000}"/>
            </a:ext>
          </a:extLst>
        </xdr:cNvPr>
        <xdr:cNvSpPr txBox="1"/>
      </xdr:nvSpPr>
      <xdr:spPr>
        <a:xfrm>
          <a:off x="17311933" y="78556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22</xdr:col>
      <xdr:colOff>520050</xdr:colOff>
      <xdr:row>6</xdr:row>
      <xdr:rowOff>21169</xdr:rowOff>
    </xdr:from>
    <xdr:to>
      <xdr:col>28</xdr:col>
      <xdr:colOff>459728</xdr:colOff>
      <xdr:row>8</xdr:row>
      <xdr:rowOff>186595</xdr:rowOff>
    </xdr:to>
    <xdr:grpSp>
      <xdr:nvGrpSpPr>
        <xdr:cNvPr id="32" name="Grupo 31">
          <a:extLst>
            <a:ext uri="{FF2B5EF4-FFF2-40B4-BE49-F238E27FC236}">
              <a16:creationId xmlns:a16="http://schemas.microsoft.com/office/drawing/2014/main" id="{00000000-0008-0000-2500-000020000000}"/>
            </a:ext>
          </a:extLst>
        </xdr:cNvPr>
        <xdr:cNvGrpSpPr/>
      </xdr:nvGrpSpPr>
      <xdr:grpSpPr>
        <a:xfrm>
          <a:off x="13835206" y="1727732"/>
          <a:ext cx="3561163" cy="542457"/>
          <a:chOff x="13479319" y="1693333"/>
          <a:chExt cx="4699965" cy="546426"/>
        </a:xfrm>
      </xdr:grpSpPr>
      <xdr:sp macro="" textlink="">
        <xdr:nvSpPr>
          <xdr:cNvPr id="33" name="CaixaDeTexto 32">
            <a:extLst>
              <a:ext uri="{FF2B5EF4-FFF2-40B4-BE49-F238E27FC236}">
                <a16:creationId xmlns:a16="http://schemas.microsoft.com/office/drawing/2014/main" id="{00000000-0008-0000-2500-000021000000}"/>
              </a:ext>
            </a:extLst>
          </xdr:cNvPr>
          <xdr:cNvSpPr txBox="1"/>
        </xdr:nvSpPr>
        <xdr:spPr>
          <a:xfrm>
            <a:off x="13661047" y="1693333"/>
            <a:ext cx="4345768" cy="4895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Adimplência</a:t>
            </a:r>
          </a:p>
        </xdr:txBody>
      </xdr:sp>
      <xdr:cxnSp macro="">
        <xdr:nvCxnSpPr>
          <xdr:cNvPr id="34" name="Conector reto 33">
            <a:extLst>
              <a:ext uri="{FF2B5EF4-FFF2-40B4-BE49-F238E27FC236}">
                <a16:creationId xmlns:a16="http://schemas.microsoft.com/office/drawing/2014/main" id="{00000000-0008-0000-2500-000022000000}"/>
              </a:ext>
            </a:extLst>
          </xdr:cNvPr>
          <xdr:cNvCxnSpPr/>
        </xdr:nvCxnSpPr>
        <xdr:spPr>
          <a:xfrm>
            <a:off x="13479319" y="2239759"/>
            <a:ext cx="4699965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28791</xdr:colOff>
      <xdr:row>9</xdr:row>
      <xdr:rowOff>3175</xdr:rowOff>
    </xdr:from>
    <xdr:to>
      <xdr:col>21</xdr:col>
      <xdr:colOff>58251</xdr:colOff>
      <xdr:row>9</xdr:row>
      <xdr:rowOff>3175</xdr:rowOff>
    </xdr:to>
    <xdr:cxnSp macro="">
      <xdr:nvCxnSpPr>
        <xdr:cNvPr id="38" name="Conector reto 37">
          <a:extLst>
            <a:ext uri="{FF2B5EF4-FFF2-40B4-BE49-F238E27FC236}">
              <a16:creationId xmlns:a16="http://schemas.microsoft.com/office/drawing/2014/main" id="{00000000-0008-0000-2500-000026000000}"/>
            </a:ext>
          </a:extLst>
        </xdr:cNvPr>
        <xdr:cNvCxnSpPr/>
      </xdr:nvCxnSpPr>
      <xdr:spPr>
        <a:xfrm>
          <a:off x="8622458" y="2289175"/>
          <a:ext cx="4326293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158750</xdr:colOff>
      <xdr:row>10</xdr:row>
      <xdr:rowOff>10582</xdr:rowOff>
    </xdr:from>
    <xdr:to>
      <xdr:col>22</xdr:col>
      <xdr:colOff>10428</xdr:colOff>
      <xdr:row>36</xdr:row>
      <xdr:rowOff>270177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GrpSpPr/>
      </xdr:nvGrpSpPr>
      <xdr:grpSpPr>
        <a:xfrm>
          <a:off x="3184922" y="2471207"/>
          <a:ext cx="10140662" cy="5170923"/>
          <a:chOff x="3227917" y="2487082"/>
          <a:chExt cx="10286844" cy="5223178"/>
        </a:xfrm>
      </xdr:grpSpPr>
      <xdr:grpSp>
        <xdr:nvGrpSpPr>
          <xdr:cNvPr id="13" name="Agrupar 12">
            <a:extLst>
              <a:ext uri="{FF2B5EF4-FFF2-40B4-BE49-F238E27FC236}">
                <a16:creationId xmlns:a16="http://schemas.microsoft.com/office/drawing/2014/main" id="{00000000-0008-0000-2500-00000D000000}"/>
              </a:ext>
            </a:extLst>
          </xdr:cNvPr>
          <xdr:cNvGrpSpPr/>
        </xdr:nvGrpSpPr>
        <xdr:grpSpPr>
          <a:xfrm>
            <a:off x="3227917" y="2487082"/>
            <a:ext cx="4058824" cy="5223178"/>
            <a:chOff x="3227917" y="2487082"/>
            <a:chExt cx="4058824" cy="5223178"/>
          </a:xfrm>
        </xdr:grpSpPr>
        <xdr:grpSp>
          <xdr:nvGrpSpPr>
            <xdr:cNvPr id="15" name="Grupo 14">
              <a:extLst>
                <a:ext uri="{FF2B5EF4-FFF2-40B4-BE49-F238E27FC236}">
                  <a16:creationId xmlns:a16="http://schemas.microsoft.com/office/drawing/2014/main" id="{00000000-0008-0000-2500-00000F000000}"/>
                </a:ext>
              </a:extLst>
            </xdr:cNvPr>
            <xdr:cNvGrpSpPr/>
          </xdr:nvGrpSpPr>
          <xdr:grpSpPr>
            <a:xfrm>
              <a:off x="5352759" y="2522133"/>
              <a:ext cx="1933982" cy="5165565"/>
              <a:chOff x="12800774" y="4780277"/>
              <a:chExt cx="1068599" cy="2697841"/>
            </a:xfrm>
          </xdr:grpSpPr>
          <xdr:sp macro="" textlink="'Dados - Receita e Qntd'!BT40">
            <xdr:nvSpPr>
              <xdr:cNvPr id="17" name="CaixaDeTexto 16">
                <a:extLst>
                  <a:ext uri="{FF2B5EF4-FFF2-40B4-BE49-F238E27FC236}">
                    <a16:creationId xmlns:a16="http://schemas.microsoft.com/office/drawing/2014/main" id="{00000000-0008-0000-2500-000011000000}"/>
                  </a:ext>
                </a:extLst>
              </xdr:cNvPr>
              <xdr:cNvSpPr txBox="1"/>
            </xdr:nvSpPr>
            <xdr:spPr>
              <a:xfrm>
                <a:off x="12812030" y="4780277"/>
                <a:ext cx="1053658" cy="58912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767BC2AF-6FBF-45D0-B540-A8839581F9DC}" type="TxLink">
                  <a:rPr lang="en-US" sz="2400" b="1">
                    <a:solidFill>
                      <a:sysClr val="windowText" lastClr="000000"/>
                    </a:solidFill>
                    <a:effectLst/>
                    <a:latin typeface="+mn-lt"/>
                    <a:ea typeface="+mn-ea"/>
                    <a:cs typeface="+mn-cs"/>
                  </a:rPr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R$ 2.742.087 </a:t>
                </a:fld>
                <a:endParaRPr lang="pt-BR" sz="2400" b="1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'Dados - Receita e Qntd'!BT41">
            <xdr:nvSpPr>
              <xdr:cNvPr id="18" name="CaixaDeTexto 17">
                <a:extLst>
                  <a:ext uri="{FF2B5EF4-FFF2-40B4-BE49-F238E27FC236}">
                    <a16:creationId xmlns:a16="http://schemas.microsoft.com/office/drawing/2014/main" id="{00000000-0008-0000-2500-000012000000}"/>
                  </a:ext>
                </a:extLst>
              </xdr:cNvPr>
              <xdr:cNvSpPr txBox="1"/>
            </xdr:nvSpPr>
            <xdr:spPr>
              <a:xfrm>
                <a:off x="12809545" y="5484886"/>
                <a:ext cx="1058630" cy="58912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4BBE9143-31D9-4986-B70D-E758A08A5FC1}" type="TxLink">
                  <a:rPr lang="en-US" sz="2400" b="1">
                    <a:solidFill>
                      <a:sysClr val="windowText" lastClr="000000"/>
                    </a:solidFill>
                    <a:effectLst/>
                    <a:latin typeface="+mn-lt"/>
                    <a:ea typeface="+mn-ea"/>
                    <a:cs typeface="+mn-cs"/>
                  </a:rPr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 R$ 4.402.308 </a:t>
                </a:fld>
                <a:endParaRPr lang="pt-BR" sz="2400" b="1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'Dados - Receita e Qntd'!BT42">
            <xdr:nvSpPr>
              <xdr:cNvPr id="19" name="CaixaDeTexto 18">
                <a:extLst>
                  <a:ext uri="{FF2B5EF4-FFF2-40B4-BE49-F238E27FC236}">
                    <a16:creationId xmlns:a16="http://schemas.microsoft.com/office/drawing/2014/main" id="{00000000-0008-0000-2500-000013000000}"/>
                  </a:ext>
                </a:extLst>
              </xdr:cNvPr>
              <xdr:cNvSpPr txBox="1"/>
            </xdr:nvSpPr>
            <xdr:spPr>
              <a:xfrm>
                <a:off x="12800774" y="6186936"/>
                <a:ext cx="1064478" cy="58912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590BED12-FDE7-4203-AD7D-7E3F0487FCFD}" type="TxLink">
                  <a:rPr lang="en-US" sz="2400" b="1">
                    <a:solidFill>
                      <a:sysClr val="windowText" lastClr="000000"/>
                    </a:solidFill>
                    <a:effectLst/>
                    <a:latin typeface="+mn-lt"/>
                    <a:ea typeface="+mn-ea"/>
                    <a:cs typeface="+mn-cs"/>
                  </a:rPr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62,3%</a:t>
                </a:fld>
                <a:endParaRPr lang="pt-BR" sz="2400" b="1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'Dados - Receita e Qntd'!BT84">
            <xdr:nvSpPr>
              <xdr:cNvPr id="40" name="CaixaDeTexto 39">
                <a:extLst>
                  <a:ext uri="{FF2B5EF4-FFF2-40B4-BE49-F238E27FC236}">
                    <a16:creationId xmlns:a16="http://schemas.microsoft.com/office/drawing/2014/main" id="{00000000-0008-0000-2500-000028000000}"/>
                  </a:ext>
                </a:extLst>
              </xdr:cNvPr>
              <xdr:cNvSpPr txBox="1"/>
            </xdr:nvSpPr>
            <xdr:spPr>
              <a:xfrm>
                <a:off x="12808349" y="6888990"/>
                <a:ext cx="1061024" cy="58912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fld id="{87151CE2-F87D-4F25-A9A9-5E64C0974201}" type="TxLink">
                  <a:rPr lang="en-US" sz="2400" b="1">
                    <a:solidFill>
                      <a:sysClr val="windowText" lastClr="000000"/>
                    </a:solidFill>
                    <a:effectLst/>
                    <a:latin typeface="+mn-lt"/>
                    <a:ea typeface="+mn-ea"/>
                    <a:cs typeface="+mn-cs"/>
                  </a:rPr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t>-28,0%</a:t>
                </a:fld>
                <a:endParaRPr lang="pt-BR" sz="2400" b="1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</xdr:grpSp>
        <xdr:sp macro="" textlink="">
          <xdr:nvSpPr>
            <xdr:cNvPr id="42" name="CaixaDeTexto 41">
              <a:extLst>
                <a:ext uri="{FF2B5EF4-FFF2-40B4-BE49-F238E27FC236}">
                  <a16:creationId xmlns:a16="http://schemas.microsoft.com/office/drawing/2014/main" id="{00000000-0008-0000-2500-00002A000000}"/>
                </a:ext>
              </a:extLst>
            </xdr:cNvPr>
            <xdr:cNvSpPr txBox="1"/>
          </xdr:nvSpPr>
          <xdr:spPr>
            <a:xfrm>
              <a:off x="3227917" y="5201200"/>
              <a:ext cx="1836000" cy="115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28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Execução</a:t>
              </a:r>
            </a:p>
          </xdr:txBody>
        </xdr:sp>
        <xdr:sp macro="" textlink="">
          <xdr:nvSpPr>
            <xdr:cNvPr id="43" name="CaixaDeTexto 42">
              <a:extLst>
                <a:ext uri="{FF2B5EF4-FFF2-40B4-BE49-F238E27FC236}">
                  <a16:creationId xmlns:a16="http://schemas.microsoft.com/office/drawing/2014/main" id="{00000000-0008-0000-2500-00002B000000}"/>
                </a:ext>
              </a:extLst>
            </xdr:cNvPr>
            <xdr:cNvSpPr txBox="1"/>
          </xdr:nvSpPr>
          <xdr:spPr>
            <a:xfrm>
              <a:off x="3227917" y="3844141"/>
              <a:ext cx="1836000" cy="115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28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Previsto</a:t>
              </a:r>
            </a:p>
          </xdr:txBody>
        </xdr:sp>
        <xdr:sp macro="" textlink="">
          <xdr:nvSpPr>
            <xdr:cNvPr id="45" name="CaixaDeTexto 44">
              <a:extLst>
                <a:ext uri="{FF2B5EF4-FFF2-40B4-BE49-F238E27FC236}">
                  <a16:creationId xmlns:a16="http://schemas.microsoft.com/office/drawing/2014/main" id="{00000000-0008-0000-2500-00002D000000}"/>
                </a:ext>
              </a:extLst>
            </xdr:cNvPr>
            <xdr:cNvSpPr txBox="1"/>
          </xdr:nvSpPr>
          <xdr:spPr>
            <a:xfrm>
              <a:off x="3227917" y="2487082"/>
              <a:ext cx="1836000" cy="115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28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Executado</a:t>
              </a:r>
            </a:p>
          </xdr:txBody>
        </xdr:sp>
        <xdr:sp macro="" textlink="">
          <xdr:nvSpPr>
            <xdr:cNvPr id="46" name="CaixaDeTexto 45">
              <a:extLst>
                <a:ext uri="{FF2B5EF4-FFF2-40B4-BE49-F238E27FC236}">
                  <a16:creationId xmlns:a16="http://schemas.microsoft.com/office/drawing/2014/main" id="{00000000-0008-0000-2500-00002E000000}"/>
                </a:ext>
              </a:extLst>
            </xdr:cNvPr>
            <xdr:cNvSpPr txBox="1"/>
          </xdr:nvSpPr>
          <xdr:spPr>
            <a:xfrm>
              <a:off x="3227917" y="6558260"/>
              <a:ext cx="1836000" cy="115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20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Variação</a:t>
              </a:r>
              <a:r>
                <a:rPr lang="pt-BR" sz="1600" b="1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20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frente</a:t>
              </a:r>
              <a:r>
                <a:rPr lang="pt-BR" sz="1600" b="1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20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a 2021</a:t>
              </a:r>
            </a:p>
          </xdr:txBody>
        </xdr:sp>
      </xdr:grpSp>
      <xdr:grpSp>
        <xdr:nvGrpSpPr>
          <xdr:cNvPr id="12" name="Agrupar 11">
            <a:extLst>
              <a:ext uri="{FF2B5EF4-FFF2-40B4-BE49-F238E27FC236}">
                <a16:creationId xmlns:a16="http://schemas.microsoft.com/office/drawing/2014/main" id="{00000000-0008-0000-2500-00000C000000}"/>
              </a:ext>
            </a:extLst>
          </xdr:cNvPr>
          <xdr:cNvGrpSpPr/>
        </xdr:nvGrpSpPr>
        <xdr:grpSpPr>
          <a:xfrm>
            <a:off x="7874000" y="2487082"/>
            <a:ext cx="5640761" cy="5201849"/>
            <a:chOff x="7874000" y="2487082"/>
            <a:chExt cx="5640761" cy="5201849"/>
          </a:xfrm>
        </xdr:grpSpPr>
        <xdr:sp macro="" textlink="'Dados - Receita e Qntd'!BT44">
          <xdr:nvSpPr>
            <xdr:cNvPr id="26" name="CaixaDeTexto 25">
              <a:extLst>
                <a:ext uri="{FF2B5EF4-FFF2-40B4-BE49-F238E27FC236}">
                  <a16:creationId xmlns:a16="http://schemas.microsoft.com/office/drawing/2014/main" id="{00000000-0008-0000-2500-00001A000000}"/>
                </a:ext>
              </a:extLst>
            </xdr:cNvPr>
            <xdr:cNvSpPr txBox="1"/>
          </xdr:nvSpPr>
          <xdr:spPr>
            <a:xfrm>
              <a:off x="10850761" y="4329648"/>
              <a:ext cx="2664000" cy="1548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6AE26C49-4471-4728-BC4D-DCDE74D869C0}" type="TxLink">
                <a:rPr lang="en-US" sz="3200" b="1" i="0" u="none" strike="noStrike">
                  <a:solidFill>
                    <a:srgbClr val="1C3942"/>
                  </a:solidFill>
                  <a:effectLst/>
                  <a:latin typeface="Calibri"/>
                  <a:ea typeface="+mn-ea"/>
                  <a:cs typeface="Calibri"/>
                </a:rPr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R$ 2.207.723 </a:t>
              </a:fld>
              <a:endParaRPr lang="pt-BR" sz="3200" b="1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'Dados - Receita e Qntd'!BT43">
          <xdr:nvSpPr>
            <xdr:cNvPr id="27" name="CaixaDeTexto 26">
              <a:extLst>
                <a:ext uri="{FF2B5EF4-FFF2-40B4-BE49-F238E27FC236}">
                  <a16:creationId xmlns:a16="http://schemas.microsoft.com/office/drawing/2014/main" id="{00000000-0008-0000-2500-00001B000000}"/>
                </a:ext>
              </a:extLst>
            </xdr:cNvPr>
            <xdr:cNvSpPr txBox="1"/>
          </xdr:nvSpPr>
          <xdr:spPr>
            <a:xfrm>
              <a:off x="10850761" y="2494203"/>
              <a:ext cx="2664000" cy="1548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1FFE1677-B9CD-407E-A7B0-AFF834749EBC}" type="TxLink">
                <a:rPr lang="en-US" sz="3200" b="1" i="0" u="none" strike="noStrike">
                  <a:solidFill>
                    <a:srgbClr val="1C3942"/>
                  </a:solidFill>
                  <a:effectLst/>
                  <a:latin typeface="Calibri"/>
                  <a:ea typeface="+mn-ea"/>
                  <a:cs typeface="Calibri"/>
                </a:rPr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R$ 2.259.814 </a:t>
              </a:fld>
              <a:endParaRPr lang="pt-BR" sz="3200" b="1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'Dados - Receita e Qntd'!BT45">
          <xdr:nvSpPr>
            <xdr:cNvPr id="28" name="CaixaDeTexto 27">
              <a:extLst>
                <a:ext uri="{FF2B5EF4-FFF2-40B4-BE49-F238E27FC236}">
                  <a16:creationId xmlns:a16="http://schemas.microsoft.com/office/drawing/2014/main" id="{00000000-0008-0000-2500-00001C000000}"/>
                </a:ext>
              </a:extLst>
            </xdr:cNvPr>
            <xdr:cNvSpPr txBox="1"/>
          </xdr:nvSpPr>
          <xdr:spPr>
            <a:xfrm>
              <a:off x="10845469" y="6140931"/>
              <a:ext cx="2664000" cy="1548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FBFB8557-0BE4-4C32-8286-4CB8B07D0A1B}" type="TxLink">
                <a:rPr lang="en-US" sz="3200" b="1" i="0" u="none" strike="noStrike">
                  <a:solidFill>
                    <a:srgbClr val="1C3942"/>
                  </a:solidFill>
                  <a:effectLst/>
                  <a:latin typeface="Calibri"/>
                  <a:ea typeface="+mn-ea"/>
                  <a:cs typeface="Calibri"/>
                </a:rPr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102,4%</a:t>
              </a:fld>
              <a:endParaRPr lang="pt-BR" sz="3200" b="1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" name="CaixaDeTexto 46">
              <a:extLst>
                <a:ext uri="{FF2B5EF4-FFF2-40B4-BE49-F238E27FC236}">
                  <a16:creationId xmlns:a16="http://schemas.microsoft.com/office/drawing/2014/main" id="{00000000-0008-0000-2500-00002F000000}"/>
                </a:ext>
              </a:extLst>
            </xdr:cNvPr>
            <xdr:cNvSpPr txBox="1"/>
          </xdr:nvSpPr>
          <xdr:spPr>
            <a:xfrm>
              <a:off x="7874000" y="6132531"/>
              <a:ext cx="2664000" cy="1548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32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Execução</a:t>
              </a:r>
            </a:p>
          </xdr:txBody>
        </xdr:sp>
        <xdr:sp macro="" textlink="">
          <xdr:nvSpPr>
            <xdr:cNvPr id="48" name="CaixaDeTexto 47">
              <a:extLst>
                <a:ext uri="{FF2B5EF4-FFF2-40B4-BE49-F238E27FC236}">
                  <a16:creationId xmlns:a16="http://schemas.microsoft.com/office/drawing/2014/main" id="{00000000-0008-0000-2500-000030000000}"/>
                </a:ext>
              </a:extLst>
            </xdr:cNvPr>
            <xdr:cNvSpPr txBox="1"/>
          </xdr:nvSpPr>
          <xdr:spPr>
            <a:xfrm>
              <a:off x="7874000" y="4309807"/>
              <a:ext cx="2664000" cy="1548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32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Previsto</a:t>
              </a:r>
            </a:p>
          </xdr:txBody>
        </xdr:sp>
        <xdr:sp macro="" textlink="">
          <xdr:nvSpPr>
            <xdr:cNvPr id="49" name="CaixaDeTexto 48">
              <a:extLst>
                <a:ext uri="{FF2B5EF4-FFF2-40B4-BE49-F238E27FC236}">
                  <a16:creationId xmlns:a16="http://schemas.microsoft.com/office/drawing/2014/main" id="{00000000-0008-0000-2500-000031000000}"/>
                </a:ext>
              </a:extLst>
            </xdr:cNvPr>
            <xdr:cNvSpPr txBox="1"/>
          </xdr:nvSpPr>
          <xdr:spPr>
            <a:xfrm>
              <a:off x="7874000" y="2487082"/>
              <a:ext cx="2664000" cy="1548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32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Executado</a:t>
              </a:r>
            </a:p>
          </xdr:txBody>
        </xdr:sp>
      </xdr:grpSp>
    </xdr:grpSp>
    <xdr:clientData/>
  </xdr:twoCellAnchor>
  <xdr:twoCellAnchor>
    <xdr:from>
      <xdr:col>4</xdr:col>
      <xdr:colOff>250032</xdr:colOff>
      <xdr:row>0</xdr:row>
      <xdr:rowOff>734786</xdr:rowOff>
    </xdr:from>
    <xdr:to>
      <xdr:col>28</xdr:col>
      <xdr:colOff>1333500</xdr:colOff>
      <xdr:row>37</xdr:row>
      <xdr:rowOff>0</xdr:rowOff>
    </xdr:to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2500-000032000000}"/>
            </a:ext>
          </a:extLst>
        </xdr:cNvPr>
        <xdr:cNvSpPr txBox="1"/>
      </xdr:nvSpPr>
      <xdr:spPr>
        <a:xfrm>
          <a:off x="2663032" y="734786"/>
          <a:ext cx="15561468" cy="74090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BR" sz="1100"/>
        </a:p>
      </xdr:txBody>
    </xdr:sp>
    <xdr:clientData/>
  </xdr:twoCellAnchor>
  <xdr:twoCellAnchor editAs="oneCell">
    <xdr:from>
      <xdr:col>0</xdr:col>
      <xdr:colOff>245489</xdr:colOff>
      <xdr:row>9</xdr:row>
      <xdr:rowOff>103427</xdr:rowOff>
    </xdr:from>
    <xdr:to>
      <xdr:col>4</xdr:col>
      <xdr:colOff>216031</xdr:colOff>
      <xdr:row>36</xdr:row>
      <xdr:rowOff>317500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0" name="UF 3">
              <a:extLst>
                <a:ext uri="{FF2B5EF4-FFF2-40B4-BE49-F238E27FC236}">
                  <a16:creationId xmlns:a16="http://schemas.microsoft.com/office/drawing/2014/main" id="{00000000-0008-0000-2500-00001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489" y="2306083"/>
              <a:ext cx="2351792" cy="50658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379333</xdr:colOff>
          <xdr:row>9</xdr:row>
          <xdr:rowOff>33665</xdr:rowOff>
        </xdr:from>
        <xdr:to>
          <xdr:col>28</xdr:col>
          <xdr:colOff>190501</xdr:colOff>
          <xdr:row>37</xdr:row>
          <xdr:rowOff>0</xdr:rowOff>
        </xdr:to>
        <xdr:pic>
          <xdr:nvPicPr>
            <xdr:cNvPr id="52" name="Imagem 51">
              <a:extLst>
                <a:ext uri="{FF2B5EF4-FFF2-40B4-BE49-F238E27FC236}">
                  <a16:creationId xmlns:a16="http://schemas.microsoft.com/office/drawing/2014/main" id="{00000000-0008-0000-2500-00003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ADIMPLÊNCIA PJ'!$N$3:$P$31" spid="_x0000_s524395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4345364" y="2319665"/>
              <a:ext cx="2835356" cy="581230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0</xdr:colOff>
      <xdr:row>37</xdr:row>
      <xdr:rowOff>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520833" cy="813858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254000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/>
      </xdr:nvSpPr>
      <xdr:spPr>
        <a:xfrm>
          <a:off x="3599426" y="0"/>
          <a:ext cx="13831324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5</xdr:col>
      <xdr:colOff>402603</xdr:colOff>
      <xdr:row>2</xdr:row>
      <xdr:rowOff>74084</xdr:rowOff>
    </xdr:from>
    <xdr:to>
      <xdr:col>28</xdr:col>
      <xdr:colOff>451701</xdr:colOff>
      <xdr:row>5</xdr:row>
      <xdr:rowOff>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pSpPr/>
      </xdr:nvGrpSpPr>
      <xdr:grpSpPr>
        <a:xfrm>
          <a:off x="3428775" y="1026584"/>
          <a:ext cx="13959567" cy="491463"/>
          <a:chOff x="8832273" y="1068917"/>
          <a:chExt cx="1605344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600-000005000000}"/>
              </a:ext>
            </a:extLst>
          </xdr:cNvPr>
          <xdr:cNvSpPr txBox="1"/>
        </xdr:nvSpPr>
        <xdr:spPr>
          <a:xfrm>
            <a:off x="8832273" y="1068917"/>
            <a:ext cx="1605344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RRT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600-000006000000}"/>
              </a:ext>
            </a:extLst>
          </xdr:cNvPr>
          <xdr:cNvCxnSpPr/>
        </xdr:nvCxnSpPr>
        <xdr:spPr>
          <a:xfrm>
            <a:off x="8939295" y="1566333"/>
            <a:ext cx="1391299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170020</xdr:colOff>
      <xdr:row>5</xdr:row>
      <xdr:rowOff>144840</xdr:rowOff>
    </xdr:from>
    <xdr:to>
      <xdr:col>4</xdr:col>
      <xdr:colOff>158088</xdr:colOff>
      <xdr:row>8</xdr:row>
      <xdr:rowOff>115014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GrpSpPr/>
      </xdr:nvGrpSpPr>
      <xdr:grpSpPr>
        <a:xfrm>
          <a:off x="170020" y="1662887"/>
          <a:ext cx="2409006" cy="535721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00000000-0008-0000-2600-000008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:a16="http://schemas.microsoft.com/office/drawing/2014/main" id="{00000000-0008-0000-2600-000009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25</xdr:col>
      <xdr:colOff>373144</xdr:colOff>
      <xdr:row>1</xdr:row>
      <xdr:rowOff>127654</xdr:rowOff>
    </xdr:from>
    <xdr:to>
      <xdr:col>27</xdr:col>
      <xdr:colOff>88376</xdr:colOff>
      <xdr:row>4</xdr:row>
      <xdr:rowOff>117834</xdr:rowOff>
    </xdr:to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2600-000032000000}"/>
            </a:ext>
          </a:extLst>
        </xdr:cNvPr>
        <xdr:cNvSpPr txBox="1"/>
      </xdr:nvSpPr>
      <xdr:spPr>
        <a:xfrm>
          <a:off x="15593505" y="893582"/>
          <a:ext cx="932861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80%</a:t>
          </a:r>
        </a:p>
      </xdr:txBody>
    </xdr:sp>
    <xdr:clientData/>
  </xdr:twoCellAnchor>
  <xdr:twoCellAnchor>
    <xdr:from>
      <xdr:col>8</xdr:col>
      <xdr:colOff>520719</xdr:colOff>
      <xdr:row>6</xdr:row>
      <xdr:rowOff>44979</xdr:rowOff>
    </xdr:from>
    <xdr:to>
      <xdr:col>15</xdr:col>
      <xdr:colOff>472719</xdr:colOff>
      <xdr:row>8</xdr:row>
      <xdr:rowOff>129760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GrpSpPr/>
      </xdr:nvGrpSpPr>
      <xdr:grpSpPr>
        <a:xfrm>
          <a:off x="5362594" y="1751542"/>
          <a:ext cx="4188641" cy="461812"/>
          <a:chOff x="5431386" y="1759479"/>
          <a:chExt cx="4248833" cy="465781"/>
        </a:xfrm>
      </xdr:grpSpPr>
      <xdr:sp macro="" textlink="">
        <xdr:nvSpPr>
          <xdr:cNvPr id="55" name="CaixaDeTexto 54">
            <a:extLst>
              <a:ext uri="{FF2B5EF4-FFF2-40B4-BE49-F238E27FC236}">
                <a16:creationId xmlns:a16="http://schemas.microsoft.com/office/drawing/2014/main" id="{00000000-0008-0000-2600-000037000000}"/>
              </a:ext>
            </a:extLst>
          </xdr:cNvPr>
          <xdr:cNvSpPr txBox="1"/>
        </xdr:nvSpPr>
        <xdr:spPr>
          <a:xfrm>
            <a:off x="5431386" y="1759479"/>
            <a:ext cx="4248833" cy="3995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6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Quantitativo</a:t>
            </a:r>
            <a:endParaRPr lang="pt-BR" sz="4400" cap="small" baseline="0">
              <a:solidFill>
                <a:schemeClr val="bg1"/>
              </a:solidFill>
              <a:latin typeface="+mn-lt"/>
              <a:ea typeface="+mn-ea"/>
              <a:cs typeface="+mn-cs"/>
            </a:endParaRPr>
          </a:p>
        </xdr:txBody>
      </xdr:sp>
      <xdr:cxnSp macro="">
        <xdr:nvCxnSpPr>
          <xdr:cNvPr id="56" name="Conector reto 55">
            <a:extLst>
              <a:ext uri="{FF2B5EF4-FFF2-40B4-BE49-F238E27FC236}">
                <a16:creationId xmlns:a16="http://schemas.microsoft.com/office/drawing/2014/main" id="{00000000-0008-0000-2600-000038000000}"/>
              </a:ext>
            </a:extLst>
          </xdr:cNvPr>
          <xdr:cNvCxnSpPr/>
        </xdr:nvCxnSpPr>
        <xdr:spPr>
          <a:xfrm>
            <a:off x="5434541" y="2225260"/>
            <a:ext cx="4242522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18</xdr:col>
      <xdr:colOff>285957</xdr:colOff>
      <xdr:row>5</xdr:row>
      <xdr:rowOff>179924</xdr:rowOff>
    </xdr:from>
    <xdr:to>
      <xdr:col>25</xdr:col>
      <xdr:colOff>428036</xdr:colOff>
      <xdr:row>8</xdr:row>
      <xdr:rowOff>126314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GrpSpPr/>
      </xdr:nvGrpSpPr>
      <xdr:grpSpPr>
        <a:xfrm>
          <a:off x="11180176" y="1697971"/>
          <a:ext cx="4378719" cy="511937"/>
          <a:chOff x="11334957" y="1703924"/>
          <a:chExt cx="4438912" cy="517890"/>
        </a:xfrm>
      </xdr:grpSpPr>
      <xdr:sp macro="" textlink="">
        <xdr:nvSpPr>
          <xdr:cNvPr id="58" name="CaixaDeTexto 57">
            <a:extLst>
              <a:ext uri="{FF2B5EF4-FFF2-40B4-BE49-F238E27FC236}">
                <a16:creationId xmlns:a16="http://schemas.microsoft.com/office/drawing/2014/main" id="{00000000-0008-0000-2600-00003A000000}"/>
              </a:ext>
            </a:extLst>
          </xdr:cNvPr>
          <xdr:cNvSpPr txBox="1"/>
        </xdr:nvSpPr>
        <xdr:spPr>
          <a:xfrm>
            <a:off x="11334957" y="1703924"/>
            <a:ext cx="4438912" cy="5135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</a:t>
            </a:r>
          </a:p>
        </xdr:txBody>
      </xdr:sp>
      <xdr:cxnSp macro="">
        <xdr:nvCxnSpPr>
          <xdr:cNvPr id="59" name="Conector reto 58">
            <a:extLst>
              <a:ext uri="{FF2B5EF4-FFF2-40B4-BE49-F238E27FC236}">
                <a16:creationId xmlns:a16="http://schemas.microsoft.com/office/drawing/2014/main" id="{00000000-0008-0000-2600-00003B000000}"/>
              </a:ext>
            </a:extLst>
          </xdr:cNvPr>
          <xdr:cNvCxnSpPr/>
        </xdr:nvCxnSpPr>
        <xdr:spPr>
          <a:xfrm>
            <a:off x="11338254" y="2221814"/>
            <a:ext cx="4432319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274948</xdr:colOff>
      <xdr:row>0</xdr:row>
      <xdr:rowOff>68737</xdr:rowOff>
    </xdr:from>
    <xdr:ext cx="1001595" cy="638510"/>
    <xdr:sp macro="" textlink="">
      <xdr:nvSpPr>
        <xdr:cNvPr id="49" name="CaixaDeTexto 48">
          <a:hlinkClick xmlns:r="http://schemas.openxmlformats.org/officeDocument/2006/relationships" r:id="rId3" tooltip="Voltar para a tela principal"/>
          <a:extLst>
            <a:ext uri="{FF2B5EF4-FFF2-40B4-BE49-F238E27FC236}">
              <a16:creationId xmlns:a16="http://schemas.microsoft.com/office/drawing/2014/main" id="{00000000-0008-0000-2600-000031000000}"/>
            </a:ext>
          </a:extLst>
        </xdr:cNvPr>
        <xdr:cNvSpPr txBox="1"/>
      </xdr:nvSpPr>
      <xdr:spPr>
        <a:xfrm>
          <a:off x="1731193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7</xdr:col>
      <xdr:colOff>319631</xdr:colOff>
      <xdr:row>9</xdr:row>
      <xdr:rowOff>116417</xdr:rowOff>
    </xdr:from>
    <xdr:to>
      <xdr:col>26</xdr:col>
      <xdr:colOff>479646</xdr:colOff>
      <xdr:row>36</xdr:row>
      <xdr:rowOff>497418</xdr:rowOff>
    </xdr:to>
    <xdr:grpSp>
      <xdr:nvGrpSpPr>
        <xdr:cNvPr id="10" name="Agrupar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GrpSpPr/>
      </xdr:nvGrpSpPr>
      <xdr:grpSpPr>
        <a:xfrm>
          <a:off x="4556272" y="2388526"/>
          <a:ext cx="11659468" cy="5480845"/>
          <a:chOff x="4570162" y="2402417"/>
          <a:chExt cx="11697172" cy="5536407"/>
        </a:xfrm>
      </xdr:grpSpPr>
      <xdr:grpSp>
        <xdr:nvGrpSpPr>
          <xdr:cNvPr id="17" name="Agrupar 16">
            <a:extLst>
              <a:ext uri="{FF2B5EF4-FFF2-40B4-BE49-F238E27FC236}">
                <a16:creationId xmlns:a16="http://schemas.microsoft.com/office/drawing/2014/main" id="{00000000-0008-0000-2600-000011000000}"/>
              </a:ext>
            </a:extLst>
          </xdr:cNvPr>
          <xdr:cNvGrpSpPr/>
        </xdr:nvGrpSpPr>
        <xdr:grpSpPr>
          <a:xfrm>
            <a:off x="7563903" y="2413000"/>
            <a:ext cx="8703431" cy="5512185"/>
            <a:chOff x="7643278" y="2413000"/>
            <a:chExt cx="8796162" cy="5510862"/>
          </a:xfrm>
        </xdr:grpSpPr>
        <xdr:sp macro="" textlink="'Dados - Receita e Qntd'!BT61">
          <xdr:nvSpPr>
            <xdr:cNvPr id="15" name="CaixaDeTexto 14">
              <a:extLst>
                <a:ext uri="{FF2B5EF4-FFF2-40B4-BE49-F238E27FC236}">
                  <a16:creationId xmlns:a16="http://schemas.microsoft.com/office/drawing/2014/main" id="{00000000-0008-0000-2600-00000F000000}"/>
                </a:ext>
              </a:extLst>
            </xdr:cNvPr>
            <xdr:cNvSpPr txBox="1"/>
          </xdr:nvSpPr>
          <xdr:spPr>
            <a:xfrm>
              <a:off x="7643278" y="3846754"/>
              <a:ext cx="2736000" cy="120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2E57F7A4-EC57-4BB7-982B-5C36220DB629}" type="TxLink">
                <a:rPr lang="en-US" sz="3200" b="1" i="0" u="none" strike="noStrike" cap="none" spc="0">
                  <a:ln w="0"/>
                  <a:solidFill>
                    <a:schemeClr val="tx1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 995.758 </a:t>
              </a:fld>
              <a:endParaRPr lang="pt-BR" sz="3200" b="1" i="0" u="none" strike="noStrike" cap="none" spc="0">
                <a:ln w="0"/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BT60">
          <xdr:nvSpPr>
            <xdr:cNvPr id="33" name="CaixaDeTexto 32">
              <a:extLst>
                <a:ext uri="{FF2B5EF4-FFF2-40B4-BE49-F238E27FC236}">
                  <a16:creationId xmlns:a16="http://schemas.microsoft.com/office/drawing/2014/main" id="{00000000-0008-0000-2600-000021000000}"/>
                </a:ext>
              </a:extLst>
            </xdr:cNvPr>
            <xdr:cNvSpPr txBox="1"/>
          </xdr:nvSpPr>
          <xdr:spPr>
            <a:xfrm>
              <a:off x="7643278" y="2413000"/>
              <a:ext cx="2736000" cy="120649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0F5FA1D2-0656-4AD3-9615-C76C9490532A}" type="TxLink">
                <a:rPr lang="en-US" sz="3200" b="1" i="0" u="none" strike="noStrike" cap="none" spc="0">
                  <a:ln w="0"/>
                  <a:solidFill>
                    <a:schemeClr val="tx1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 758.130 </a:t>
              </a:fld>
              <a:endParaRPr lang="pt-BR" sz="3200" b="1" i="0" u="none" strike="noStrike" cap="none" spc="0">
                <a:ln w="0"/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BT63">
          <xdr:nvSpPr>
            <xdr:cNvPr id="34" name="CaixaDeTexto 33">
              <a:extLst>
                <a:ext uri="{FF2B5EF4-FFF2-40B4-BE49-F238E27FC236}">
                  <a16:creationId xmlns:a16="http://schemas.microsoft.com/office/drawing/2014/main" id="{00000000-0008-0000-2600-000022000000}"/>
                </a:ext>
              </a:extLst>
            </xdr:cNvPr>
            <xdr:cNvSpPr txBox="1"/>
          </xdr:nvSpPr>
          <xdr:spPr>
            <a:xfrm>
              <a:off x="7643278" y="6713264"/>
              <a:ext cx="2736000" cy="120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A1C7EAFC-04E4-4AE1-A97A-0B37BB599231}" type="TxLink">
                <a:rPr lang="en-US" sz="3200" b="1" i="0" u="none" strike="noStrike" cap="none" spc="0">
                  <a:ln w="0"/>
                  <a:solidFill>
                    <a:schemeClr val="tx1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 4,6 </a:t>
              </a:fld>
              <a:endParaRPr lang="pt-BR" sz="3200" b="1" i="0" u="none" strike="noStrike" cap="none" spc="0">
                <a:ln w="0"/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BT62">
          <xdr:nvSpPr>
            <xdr:cNvPr id="35" name="CaixaDeTexto 34">
              <a:extLst>
                <a:ext uri="{FF2B5EF4-FFF2-40B4-BE49-F238E27FC236}">
                  <a16:creationId xmlns:a16="http://schemas.microsoft.com/office/drawing/2014/main" id="{00000000-0008-0000-2600-000023000000}"/>
                </a:ext>
              </a:extLst>
            </xdr:cNvPr>
            <xdr:cNvSpPr txBox="1"/>
          </xdr:nvSpPr>
          <xdr:spPr>
            <a:xfrm>
              <a:off x="7643278" y="5280009"/>
              <a:ext cx="2736000" cy="120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D14D8AF1-08DC-4B76-8FC5-704B7C387587}" type="TxLink">
                <a:rPr lang="en-US" sz="3200" b="1" i="0" u="none" strike="noStrike" cap="none" spc="0">
                  <a:ln w="0"/>
                  <a:solidFill>
                    <a:schemeClr val="tx1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 3,5 </a:t>
              </a:fld>
              <a:endParaRPr lang="pt-BR" sz="3200" b="1" i="0" u="none" strike="noStrike" cap="none" spc="0">
                <a:ln w="0"/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BT47">
          <xdr:nvSpPr>
            <xdr:cNvPr id="37" name="CaixaDeTexto 36">
              <a:extLst>
                <a:ext uri="{FF2B5EF4-FFF2-40B4-BE49-F238E27FC236}">
                  <a16:creationId xmlns:a16="http://schemas.microsoft.com/office/drawing/2014/main" id="{00000000-0008-0000-2600-000025000000}"/>
                </a:ext>
              </a:extLst>
            </xdr:cNvPr>
            <xdr:cNvSpPr txBox="1"/>
          </xdr:nvSpPr>
          <xdr:spPr>
            <a:xfrm>
              <a:off x="13691408" y="3847955"/>
              <a:ext cx="2736000" cy="120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05298786-D170-45B4-98A8-C2F5BABBE0FD}" type="TxLink">
                <a:rPr lang="en-US" sz="3200" b="1" i="0" u="none" strike="noStrike" cap="none" spc="0">
                  <a:ln w="0"/>
                  <a:solidFill>
                    <a:schemeClr val="tx1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 R$ 86.552.259 </a:t>
              </a:fld>
              <a:endParaRPr lang="pt-BR" sz="3200" b="1" i="0" u="none" strike="noStrike" cap="none" spc="0">
                <a:ln w="0"/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BT46">
          <xdr:nvSpPr>
            <xdr:cNvPr id="38" name="CaixaDeTexto 37">
              <a:extLst>
                <a:ext uri="{FF2B5EF4-FFF2-40B4-BE49-F238E27FC236}">
                  <a16:creationId xmlns:a16="http://schemas.microsoft.com/office/drawing/2014/main" id="{00000000-0008-0000-2600-000026000000}"/>
                </a:ext>
              </a:extLst>
            </xdr:cNvPr>
            <xdr:cNvSpPr txBox="1"/>
          </xdr:nvSpPr>
          <xdr:spPr>
            <a:xfrm>
              <a:off x="13691408" y="2413001"/>
              <a:ext cx="2736000" cy="120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E232BF54-F048-4723-84CF-DCFB839C16A5}" type="TxLink">
                <a:rPr lang="en-US" sz="3200" b="1" i="0" u="none" strike="noStrike" cap="none" spc="0">
                  <a:ln w="0"/>
                  <a:solidFill>
                    <a:schemeClr val="tx1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 R$ 66.531.140 </a:t>
              </a:fld>
              <a:endParaRPr lang="pt-BR" sz="3200" b="1" i="0" u="none" strike="noStrike" cap="none" spc="0">
                <a:ln w="0"/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BT48">
          <xdr:nvSpPr>
            <xdr:cNvPr id="40" name="CaixaDeTexto 39">
              <a:extLst>
                <a:ext uri="{FF2B5EF4-FFF2-40B4-BE49-F238E27FC236}">
                  <a16:creationId xmlns:a16="http://schemas.microsoft.com/office/drawing/2014/main" id="{00000000-0008-0000-2600-000028000000}"/>
                </a:ext>
              </a:extLst>
            </xdr:cNvPr>
            <xdr:cNvSpPr txBox="1"/>
          </xdr:nvSpPr>
          <xdr:spPr>
            <a:xfrm>
              <a:off x="13691408" y="5282909"/>
              <a:ext cx="2736000" cy="120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809539EC-4170-4A6D-AEC1-6D75CF55F735}" type="TxLink">
                <a:rPr lang="en-US" sz="3200" b="1" i="0" u="none" strike="noStrike" cap="none" spc="0">
                  <a:ln w="0"/>
                  <a:solidFill>
                    <a:schemeClr val="tx1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76,9%</a:t>
              </a:fld>
              <a:endParaRPr lang="pt-BR" sz="3200" b="1" i="0" u="none" strike="noStrike" cap="none" spc="0">
                <a:ln w="0"/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BT87">
          <xdr:nvSpPr>
            <xdr:cNvPr id="41" name="CaixaDeTexto 40">
              <a:extLst>
                <a:ext uri="{FF2B5EF4-FFF2-40B4-BE49-F238E27FC236}">
                  <a16:creationId xmlns:a16="http://schemas.microsoft.com/office/drawing/2014/main" id="{00000000-0008-0000-2600-000029000000}"/>
                </a:ext>
              </a:extLst>
            </xdr:cNvPr>
            <xdr:cNvSpPr txBox="1"/>
          </xdr:nvSpPr>
          <xdr:spPr>
            <a:xfrm>
              <a:off x="13703440" y="6717862"/>
              <a:ext cx="2736000" cy="120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7BDA86D3-F64D-42E5-84F1-0AAE6E02A9E8}" type="TxLink">
                <a:rPr lang="en-US" sz="3200" b="1" i="0" u="none" strike="noStrike" cap="none" spc="0">
                  <a:ln w="0"/>
                  <a:solidFill>
                    <a:schemeClr val="tx1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12,4%</a:t>
              </a:fld>
              <a:endParaRPr lang="pt-BR" sz="3200" b="1" i="0" u="none" strike="noStrike" cap="none" spc="0">
                <a:ln w="0"/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</xdr:grpSp>
      <xdr:sp macro="" textlink="">
        <xdr:nvSpPr>
          <xdr:cNvPr id="42" name="CaixaDeTexto 41">
            <a:extLst>
              <a:ext uri="{FF2B5EF4-FFF2-40B4-BE49-F238E27FC236}">
                <a16:creationId xmlns:a16="http://schemas.microsoft.com/office/drawing/2014/main" id="{00000000-0008-0000-2600-00002A000000}"/>
              </a:ext>
            </a:extLst>
          </xdr:cNvPr>
          <xdr:cNvSpPr txBox="1"/>
        </xdr:nvSpPr>
        <xdr:spPr>
          <a:xfrm>
            <a:off x="4602736" y="5290368"/>
            <a:ext cx="2670644" cy="121943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4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Média</a:t>
            </a:r>
            <a:r>
              <a:rPr lang="pt-BR" sz="2400" b="1" cap="none" spc="50" baseline="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 de RRT/PF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400" b="1" cap="none" spc="50" baseline="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Executado</a:t>
            </a:r>
            <a:endParaRPr lang="pt-BR" sz="2400" b="1" cap="none" spc="50">
              <a:ln w="9525" cmpd="sng">
                <a:noFill/>
                <a:prstDash val="solid"/>
              </a:ln>
              <a:solidFill>
                <a:srgbClr val="70AD47">
                  <a:tint val="1000"/>
                </a:srgbClr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" name="CaixaDeTexto 42">
            <a:extLst>
              <a:ext uri="{FF2B5EF4-FFF2-40B4-BE49-F238E27FC236}">
                <a16:creationId xmlns:a16="http://schemas.microsoft.com/office/drawing/2014/main" id="{00000000-0008-0000-2600-00002B000000}"/>
              </a:ext>
            </a:extLst>
          </xdr:cNvPr>
          <xdr:cNvSpPr txBox="1"/>
        </xdr:nvSpPr>
        <xdr:spPr>
          <a:xfrm>
            <a:off x="4583193" y="3850495"/>
            <a:ext cx="2709730" cy="12207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32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Previsto</a:t>
            </a:r>
          </a:p>
        </xdr:txBody>
      </xdr:sp>
      <xdr:sp macro="" textlink="">
        <xdr:nvSpPr>
          <xdr:cNvPr id="44" name="CaixaDeTexto 43">
            <a:extLst>
              <a:ext uri="{FF2B5EF4-FFF2-40B4-BE49-F238E27FC236}">
                <a16:creationId xmlns:a16="http://schemas.microsoft.com/office/drawing/2014/main" id="{00000000-0008-0000-2600-00002C000000}"/>
              </a:ext>
            </a:extLst>
          </xdr:cNvPr>
          <xdr:cNvSpPr txBox="1"/>
        </xdr:nvSpPr>
        <xdr:spPr>
          <a:xfrm>
            <a:off x="4570162" y="2402417"/>
            <a:ext cx="2729177" cy="12289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32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</a:rPr>
              <a:t>Executado</a:t>
            </a:r>
          </a:p>
        </xdr:txBody>
      </xdr:sp>
      <xdr:sp macro="" textlink="">
        <xdr:nvSpPr>
          <xdr:cNvPr id="45" name="CaixaDeTexto 44">
            <a:extLst>
              <a:ext uri="{FF2B5EF4-FFF2-40B4-BE49-F238E27FC236}">
                <a16:creationId xmlns:a16="http://schemas.microsoft.com/office/drawing/2014/main" id="{00000000-0008-0000-2600-00002D000000}"/>
              </a:ext>
            </a:extLst>
          </xdr:cNvPr>
          <xdr:cNvSpPr txBox="1"/>
        </xdr:nvSpPr>
        <xdr:spPr>
          <a:xfrm>
            <a:off x="4570163" y="6728918"/>
            <a:ext cx="2729176" cy="12099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4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Média de RRT/PF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4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Previsto</a:t>
            </a:r>
          </a:p>
        </xdr:txBody>
      </xdr:sp>
    </xdr:grpSp>
    <xdr:clientData/>
  </xdr:twoCellAnchor>
  <xdr:twoCellAnchor>
    <xdr:from>
      <xdr:col>17</xdr:col>
      <xdr:colOff>250603</xdr:colOff>
      <xdr:row>24</xdr:row>
      <xdr:rowOff>139196</xdr:rowOff>
    </xdr:from>
    <xdr:to>
      <xdr:col>21</xdr:col>
      <xdr:colOff>492373</xdr:colOff>
      <xdr:row>31</xdr:row>
      <xdr:rowOff>25128</xdr:rowOff>
    </xdr:to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2600-00002E000000}"/>
            </a:ext>
          </a:extLst>
        </xdr:cNvPr>
        <xdr:cNvSpPr txBox="1"/>
      </xdr:nvSpPr>
      <xdr:spPr>
        <a:xfrm>
          <a:off x="10685770" y="5293279"/>
          <a:ext cx="2697103" cy="12194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3200" b="1" cap="none" spc="50">
              <a:ln w="9525" cmpd="sng">
                <a:noFill/>
                <a:prstDash val="solid"/>
              </a:ln>
              <a:solidFill>
                <a:srgbClr val="70AD47">
                  <a:tint val="1000"/>
                </a:srgbClr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% de execução</a:t>
          </a:r>
        </a:p>
      </xdr:txBody>
    </xdr:sp>
    <xdr:clientData/>
  </xdr:twoCellAnchor>
  <xdr:twoCellAnchor>
    <xdr:from>
      <xdr:col>17</xdr:col>
      <xdr:colOff>231060</xdr:colOff>
      <xdr:row>17</xdr:row>
      <xdr:rowOff>44729</xdr:rowOff>
    </xdr:from>
    <xdr:to>
      <xdr:col>21</xdr:col>
      <xdr:colOff>511916</xdr:colOff>
      <xdr:row>23</xdr:row>
      <xdr:rowOff>110579</xdr:rowOff>
    </xdr:to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2600-00002F000000}"/>
            </a:ext>
          </a:extLst>
        </xdr:cNvPr>
        <xdr:cNvSpPr txBox="1"/>
      </xdr:nvSpPr>
      <xdr:spPr>
        <a:xfrm>
          <a:off x="10666227" y="3854729"/>
          <a:ext cx="2736189" cy="12194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3200" b="1" cap="none" spc="50">
              <a:ln w="9525" cmpd="sng">
                <a:noFill/>
                <a:prstDash val="solid"/>
              </a:ln>
              <a:solidFill>
                <a:srgbClr val="70AD47">
                  <a:tint val="1000"/>
                </a:srgbClr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Previsto</a:t>
          </a:r>
        </a:p>
      </xdr:txBody>
    </xdr:sp>
    <xdr:clientData/>
  </xdr:twoCellAnchor>
  <xdr:twoCellAnchor>
    <xdr:from>
      <xdr:col>17</xdr:col>
      <xdr:colOff>218029</xdr:colOff>
      <xdr:row>9</xdr:row>
      <xdr:rowOff>120651</xdr:rowOff>
    </xdr:from>
    <xdr:to>
      <xdr:col>21</xdr:col>
      <xdr:colOff>524946</xdr:colOff>
      <xdr:row>16</xdr:row>
      <xdr:rowOff>16111</xdr:rowOff>
    </xdr:to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2600-000030000000}"/>
            </a:ext>
          </a:extLst>
        </xdr:cNvPr>
        <xdr:cNvSpPr txBox="1"/>
      </xdr:nvSpPr>
      <xdr:spPr>
        <a:xfrm>
          <a:off x="10653196" y="2406651"/>
          <a:ext cx="2762250" cy="12289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3200" b="1" cap="none" spc="50">
              <a:ln w="9525" cmpd="sng">
                <a:noFill/>
                <a:prstDash val="solid"/>
              </a:ln>
              <a:solidFill>
                <a:srgbClr val="70AD47">
                  <a:tint val="1000"/>
                </a:srgbClr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a:rPr>
            <a:t>Executado</a:t>
          </a:r>
        </a:p>
      </xdr:txBody>
    </xdr:sp>
    <xdr:clientData/>
  </xdr:twoCellAnchor>
  <xdr:twoCellAnchor>
    <xdr:from>
      <xdr:col>17</xdr:col>
      <xdr:colOff>218030</xdr:colOff>
      <xdr:row>32</xdr:row>
      <xdr:rowOff>53746</xdr:rowOff>
    </xdr:from>
    <xdr:to>
      <xdr:col>21</xdr:col>
      <xdr:colOff>524946</xdr:colOff>
      <xdr:row>36</xdr:row>
      <xdr:rowOff>501652</xdr:rowOff>
    </xdr:to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2600-000033000000}"/>
            </a:ext>
          </a:extLst>
        </xdr:cNvPr>
        <xdr:cNvSpPr txBox="1"/>
      </xdr:nvSpPr>
      <xdr:spPr>
        <a:xfrm>
          <a:off x="10653197" y="6731829"/>
          <a:ext cx="2762249" cy="1209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3200" b="1" cap="none" spc="50">
              <a:ln w="9525" cmpd="sng">
                <a:noFill/>
                <a:prstDash val="solid"/>
              </a:ln>
              <a:solidFill>
                <a:srgbClr val="70AD47">
                  <a:tint val="1000"/>
                </a:srgbClr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Variação frente a 2021</a:t>
          </a:r>
        </a:p>
      </xdr:txBody>
    </xdr:sp>
    <xdr:clientData/>
  </xdr:twoCellAnchor>
  <xdr:twoCellAnchor>
    <xdr:from>
      <xdr:col>0</xdr:col>
      <xdr:colOff>11906</xdr:colOff>
      <xdr:row>0</xdr:row>
      <xdr:rowOff>750094</xdr:rowOff>
    </xdr:from>
    <xdr:to>
      <xdr:col>29</xdr:col>
      <xdr:colOff>0</xdr:colOff>
      <xdr:row>37</xdr:row>
      <xdr:rowOff>0</xdr:rowOff>
    </xdr:to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2600-000027000000}"/>
            </a:ext>
          </a:extLst>
        </xdr:cNvPr>
        <xdr:cNvSpPr txBox="1"/>
      </xdr:nvSpPr>
      <xdr:spPr>
        <a:xfrm>
          <a:off x="11906" y="750094"/>
          <a:ext cx="18390394" cy="7390606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BR" sz="1100"/>
        </a:p>
      </xdr:txBody>
    </xdr:sp>
    <xdr:clientData/>
  </xdr:twoCellAnchor>
  <xdr:twoCellAnchor editAs="oneCell">
    <xdr:from>
      <xdr:col>0</xdr:col>
      <xdr:colOff>191910</xdr:colOff>
      <xdr:row>9</xdr:row>
      <xdr:rowOff>39929</xdr:rowOff>
    </xdr:from>
    <xdr:to>
      <xdr:col>4</xdr:col>
      <xdr:colOff>162452</xdr:colOff>
      <xdr:row>36</xdr:row>
      <xdr:rowOff>518584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UF 4">
              <a:extLst>
                <a:ext uri="{FF2B5EF4-FFF2-40B4-BE49-F238E27FC236}">
                  <a16:creationId xmlns:a16="http://schemas.microsoft.com/office/drawing/2014/main" id="{00000000-0008-0000-2600-00001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1910" y="2356236"/>
              <a:ext cx="2395087" cy="573905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530258</xdr:colOff>
      <xdr:row>0</xdr:row>
      <xdr:rowOff>0</xdr:rowOff>
    </xdr:from>
    <xdr:to>
      <xdr:col>28</xdr:col>
      <xdr:colOff>275166</xdr:colOff>
      <xdr:row>0</xdr:row>
      <xdr:rowOff>752476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/>
      </xdr:nvSpPr>
      <xdr:spPr>
        <a:xfrm>
          <a:off x="3599425" y="0"/>
          <a:ext cx="13852491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5</xdr:col>
      <xdr:colOff>0</xdr:colOff>
      <xdr:row>2</xdr:row>
      <xdr:rowOff>74084</xdr:rowOff>
    </xdr:from>
    <xdr:to>
      <xdr:col>28</xdr:col>
      <xdr:colOff>635000</xdr:colOff>
      <xdr:row>5</xdr:row>
      <xdr:rowOff>0</xdr:rowOff>
    </xdr:to>
    <xdr:grpSp>
      <xdr:nvGrpSpPr>
        <xdr:cNvPr id="5" name="Grupo 3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GrpSpPr/>
      </xdr:nvGrpSpPr>
      <xdr:grpSpPr>
        <a:xfrm>
          <a:off x="3026172" y="1026584"/>
          <a:ext cx="14545469" cy="491463"/>
          <a:chOff x="8832273" y="1068917"/>
          <a:chExt cx="1605344" cy="497416"/>
        </a:xfrm>
      </xdr:grpSpPr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00000000-0008-0000-2700-000006000000}"/>
              </a:ext>
            </a:extLst>
          </xdr:cNvPr>
          <xdr:cNvSpPr txBox="1"/>
        </xdr:nvSpPr>
        <xdr:spPr>
          <a:xfrm>
            <a:off x="8832273" y="1068917"/>
            <a:ext cx="1605344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Comparativo de Ativos Total (PF + PJ) x RRTs pagos (QTD)</a:t>
            </a:r>
          </a:p>
        </xdr:txBody>
      </xdr:sp>
      <xdr:cxnSp macro="">
        <xdr:nvCxnSpPr>
          <xdr:cNvPr id="7" name="Conector reto 6">
            <a:extLst>
              <a:ext uri="{FF2B5EF4-FFF2-40B4-BE49-F238E27FC236}">
                <a16:creationId xmlns:a16="http://schemas.microsoft.com/office/drawing/2014/main" id="{00000000-0008-0000-2700-000007000000}"/>
              </a:ext>
            </a:extLst>
          </xdr:cNvPr>
          <xdr:cNvCxnSpPr/>
        </xdr:nvCxnSpPr>
        <xdr:spPr>
          <a:xfrm>
            <a:off x="8939295" y="1566333"/>
            <a:ext cx="1391299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159437</xdr:colOff>
      <xdr:row>2</xdr:row>
      <xdr:rowOff>28424</xdr:rowOff>
    </xdr:from>
    <xdr:to>
      <xdr:col>4</xdr:col>
      <xdr:colOff>147505</xdr:colOff>
      <xdr:row>4</xdr:row>
      <xdr:rowOff>189098</xdr:rowOff>
    </xdr:to>
    <xdr:grpSp>
      <xdr:nvGrpSpPr>
        <xdr:cNvPr id="8" name="Grupo 6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GrpSpPr/>
      </xdr:nvGrpSpPr>
      <xdr:grpSpPr>
        <a:xfrm>
          <a:off x="159437" y="980924"/>
          <a:ext cx="2409006" cy="537705"/>
          <a:chOff x="7926917" y="1026747"/>
          <a:chExt cx="3174401" cy="539586"/>
        </a:xfrm>
      </xdr:grpSpPr>
      <xdr:sp macro="" textlink="">
        <xdr:nvSpPr>
          <xdr:cNvPr id="9" name="CaixaDeTexto 8">
            <a:extLst>
              <a:ext uri="{FF2B5EF4-FFF2-40B4-BE49-F238E27FC236}">
                <a16:creationId xmlns:a16="http://schemas.microsoft.com/office/drawing/2014/main" id="{00000000-0008-0000-2700-000009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10" name="Conector reto 9">
            <a:extLst>
              <a:ext uri="{FF2B5EF4-FFF2-40B4-BE49-F238E27FC236}">
                <a16:creationId xmlns:a16="http://schemas.microsoft.com/office/drawing/2014/main" id="{00000000-0008-0000-2700-00000A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274948</xdr:colOff>
      <xdr:row>0</xdr:row>
      <xdr:rowOff>68737</xdr:rowOff>
    </xdr:from>
    <xdr:ext cx="1001595" cy="638510"/>
    <xdr:sp macro="" textlink="">
      <xdr:nvSpPr>
        <xdr:cNvPr id="28" name="CaixaDeTexto 27">
          <a:hlinkClick xmlns:r="http://schemas.openxmlformats.org/officeDocument/2006/relationships" r:id="rId2" tooltip="Voltar para a tela principal"/>
          <a:extLst>
            <a:ext uri="{FF2B5EF4-FFF2-40B4-BE49-F238E27FC236}">
              <a16:creationId xmlns:a16="http://schemas.microsoft.com/office/drawing/2014/main" id="{00000000-0008-0000-2700-00001C000000}"/>
            </a:ext>
          </a:extLst>
        </xdr:cNvPr>
        <xdr:cNvSpPr txBox="1"/>
      </xdr:nvSpPr>
      <xdr:spPr>
        <a:xfrm>
          <a:off x="1733422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6</xdr:col>
      <xdr:colOff>345280</xdr:colOff>
      <xdr:row>6</xdr:row>
      <xdr:rowOff>11905</xdr:rowOff>
    </xdr:from>
    <xdr:to>
      <xdr:col>28</xdr:col>
      <xdr:colOff>1085850</xdr:colOff>
      <xdr:row>36</xdr:row>
      <xdr:rowOff>511968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180975</xdr:colOff>
      <xdr:row>5</xdr:row>
      <xdr:rowOff>128587</xdr:rowOff>
    </xdr:from>
    <xdr:to>
      <xdr:col>3</xdr:col>
      <xdr:colOff>188119</xdr:colOff>
      <xdr:row>21</xdr:row>
      <xdr:rowOff>164306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egião 1">
              <a:extLst>
                <a:ext uri="{FF2B5EF4-FFF2-40B4-BE49-F238E27FC236}">
                  <a16:creationId xmlns:a16="http://schemas.microsoft.com/office/drawing/2014/main" id="{00000000-0008-0000-27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ã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975" y="1652587"/>
              <a:ext cx="1828800" cy="3095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285750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/>
      </xdr:nvSpPr>
      <xdr:spPr>
        <a:xfrm>
          <a:off x="3578259" y="0"/>
          <a:ext cx="13766766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5</xdr:col>
      <xdr:colOff>428629</xdr:colOff>
      <xdr:row>2</xdr:row>
      <xdr:rowOff>74084</xdr:rowOff>
    </xdr:from>
    <xdr:to>
      <xdr:col>28</xdr:col>
      <xdr:colOff>739886</xdr:colOff>
      <xdr:row>5</xdr:row>
      <xdr:rowOff>0</xdr:rowOff>
    </xdr:to>
    <xdr:grpSp>
      <xdr:nvGrpSpPr>
        <xdr:cNvPr id="4" name="Grupo 28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pSpPr/>
      </xdr:nvGrpSpPr>
      <xdr:grpSpPr>
        <a:xfrm>
          <a:off x="3454801" y="1026584"/>
          <a:ext cx="14221726" cy="491463"/>
          <a:chOff x="8939048" y="1068917"/>
          <a:chExt cx="1487572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800-000005000000}"/>
              </a:ext>
            </a:extLst>
          </xdr:cNvPr>
          <xdr:cNvSpPr txBox="1"/>
        </xdr:nvSpPr>
        <xdr:spPr>
          <a:xfrm>
            <a:off x="8939048" y="1068917"/>
            <a:ext cx="148615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RRTs por Grupo 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800-000006000000}"/>
              </a:ext>
            </a:extLst>
          </xdr:cNvPr>
          <xdr:cNvCxnSpPr/>
        </xdr:nvCxnSpPr>
        <xdr:spPr>
          <a:xfrm>
            <a:off x="8939295" y="1566333"/>
            <a:ext cx="1487325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284767</xdr:colOff>
      <xdr:row>0</xdr:row>
      <xdr:rowOff>68737</xdr:rowOff>
    </xdr:from>
    <xdr:ext cx="1001595" cy="638510"/>
    <xdr:sp macro="" textlink="">
      <xdr:nvSpPr>
        <xdr:cNvPr id="7" name="CaixaDeTexto 6">
          <a:hlinkClick xmlns:r="http://schemas.openxmlformats.org/officeDocument/2006/relationships" r:id="rId2" tooltip="Voltar para a tela principal"/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 txBox="1"/>
      </xdr:nvSpPr>
      <xdr:spPr>
        <a:xfrm>
          <a:off x="17344042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 editAs="oneCell">
    <xdr:from>
      <xdr:col>0</xdr:col>
      <xdr:colOff>392905</xdr:colOff>
      <xdr:row>8</xdr:row>
      <xdr:rowOff>172641</xdr:rowOff>
    </xdr:from>
    <xdr:to>
      <xdr:col>4</xdr:col>
      <xdr:colOff>404811</xdr:colOff>
      <xdr:row>36</xdr:row>
      <xdr:rowOff>250031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uf 10">
              <a:extLst>
                <a:ext uri="{FF2B5EF4-FFF2-40B4-BE49-F238E27FC236}">
                  <a16:creationId xmlns:a16="http://schemas.microsoft.com/office/drawing/2014/main" id="{00000000-0008-0000-28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2905" y="2268141"/>
              <a:ext cx="2440781" cy="54232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0</xdr:col>
      <xdr:colOff>381000</xdr:colOff>
      <xdr:row>5</xdr:row>
      <xdr:rowOff>47625</xdr:rowOff>
    </xdr:from>
    <xdr:to>
      <xdr:col>4</xdr:col>
      <xdr:colOff>369068</xdr:colOff>
      <xdr:row>8</xdr:row>
      <xdr:rowOff>17799</xdr:rowOff>
    </xdr:to>
    <xdr:grpSp>
      <xdr:nvGrpSpPr>
        <xdr:cNvPr id="16" name="Grupo 6">
          <a:extLst>
            <a:ext uri="{FF2B5EF4-FFF2-40B4-BE49-F238E27FC236}">
              <a16:creationId xmlns:a16="http://schemas.microsoft.com/office/drawing/2014/main" id="{00000000-0008-0000-2800-000010000000}"/>
            </a:ext>
          </a:extLst>
        </xdr:cNvPr>
        <xdr:cNvGrpSpPr/>
      </xdr:nvGrpSpPr>
      <xdr:grpSpPr>
        <a:xfrm>
          <a:off x="381000" y="1565672"/>
          <a:ext cx="2409006" cy="535721"/>
          <a:chOff x="7926917" y="1026747"/>
          <a:chExt cx="3174401" cy="539586"/>
        </a:xfrm>
      </xdr:grpSpPr>
      <xdr:sp macro="" textlink="">
        <xdr:nvSpPr>
          <xdr:cNvPr id="17" name="CaixaDeTexto 16">
            <a:extLst>
              <a:ext uri="{FF2B5EF4-FFF2-40B4-BE49-F238E27FC236}">
                <a16:creationId xmlns:a16="http://schemas.microsoft.com/office/drawing/2014/main" id="{00000000-0008-0000-2800-000011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18" name="Conector reto 17">
            <a:extLst>
              <a:ext uri="{FF2B5EF4-FFF2-40B4-BE49-F238E27FC236}">
                <a16:creationId xmlns:a16="http://schemas.microsoft.com/office/drawing/2014/main" id="{00000000-0008-0000-2800-000012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35718</xdr:colOff>
      <xdr:row>36</xdr:row>
      <xdr:rowOff>321469</xdr:rowOff>
    </xdr:from>
    <xdr:to>
      <xdr:col>28</xdr:col>
      <xdr:colOff>1297781</xdr:colOff>
      <xdr:row>36</xdr:row>
      <xdr:rowOff>631031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 txBox="1"/>
      </xdr:nvSpPr>
      <xdr:spPr>
        <a:xfrm>
          <a:off x="3679031" y="7762875"/>
          <a:ext cx="14608969" cy="3095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050" i="1">
              <a:solidFill>
                <a:schemeClr val="bg1"/>
              </a:solidFill>
            </a:rPr>
            <a:t>*Há ocasiões onde</a:t>
          </a:r>
          <a:r>
            <a:rPr lang="pt-BR" sz="1050" i="1" baseline="0">
              <a:solidFill>
                <a:schemeClr val="bg1"/>
              </a:solidFill>
            </a:rPr>
            <a:t> um RRT pode ser emitido com mais de um grupo, gerando um total maior de RRT por Grupo em relação a quantidade de RRT pagos.</a:t>
          </a:r>
          <a:endParaRPr lang="pt-BR" sz="1050" i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0</xdr:colOff>
      <xdr:row>6</xdr:row>
      <xdr:rowOff>100854</xdr:rowOff>
    </xdr:from>
    <xdr:to>
      <xdr:col>28</xdr:col>
      <xdr:colOff>750794</xdr:colOff>
      <xdr:row>36</xdr:row>
      <xdr:rowOff>246530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28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0</xdr:colOff>
      <xdr:row>37</xdr:row>
      <xdr:rowOff>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520833" cy="813858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27</xdr:col>
      <xdr:colOff>508000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/>
      </xdr:nvSpPr>
      <xdr:spPr>
        <a:xfrm>
          <a:off x="3546509" y="0"/>
          <a:ext cx="13249241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0</xdr:col>
      <xdr:colOff>8337</xdr:colOff>
      <xdr:row>2</xdr:row>
      <xdr:rowOff>15927</xdr:rowOff>
    </xdr:from>
    <xdr:to>
      <xdr:col>28</xdr:col>
      <xdr:colOff>1345282</xdr:colOff>
      <xdr:row>4</xdr:row>
      <xdr:rowOff>128415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pSpPr/>
      </xdr:nvGrpSpPr>
      <xdr:grpSpPr>
        <a:xfrm>
          <a:off x="8337" y="968427"/>
          <a:ext cx="18273586" cy="489519"/>
          <a:chOff x="7929373" y="1068917"/>
          <a:chExt cx="5412325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900-000005000000}"/>
              </a:ext>
            </a:extLst>
          </xdr:cNvPr>
          <xdr:cNvSpPr txBox="1"/>
        </xdr:nvSpPr>
        <xdr:spPr>
          <a:xfrm>
            <a:off x="7929373" y="1068917"/>
            <a:ext cx="5412325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de Arrecadação - Taxas e Multas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900-000006000000}"/>
              </a:ext>
            </a:extLst>
          </xdr:cNvPr>
          <xdr:cNvCxnSpPr/>
        </xdr:nvCxnSpPr>
        <xdr:spPr>
          <a:xfrm>
            <a:off x="9098384" y="1566333"/>
            <a:ext cx="3199118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605198</xdr:colOff>
      <xdr:row>5</xdr:row>
      <xdr:rowOff>81342</xdr:rowOff>
    </xdr:from>
    <xdr:to>
      <xdr:col>4</xdr:col>
      <xdr:colOff>593266</xdr:colOff>
      <xdr:row>35</xdr:row>
      <xdr:rowOff>4310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GrpSpPr/>
      </xdr:nvGrpSpPr>
      <xdr:grpSpPr>
        <a:xfrm>
          <a:off x="605198" y="1599389"/>
          <a:ext cx="2409006" cy="5588359"/>
          <a:chOff x="605198" y="1605342"/>
          <a:chExt cx="2443401" cy="5648551"/>
        </a:xfrm>
      </xdr:grpSpPr>
      <xdr:grpSp>
        <xdr:nvGrpSpPr>
          <xdr:cNvPr id="7" name="Grupo 6">
            <a:extLst>
              <a:ext uri="{FF2B5EF4-FFF2-40B4-BE49-F238E27FC236}">
                <a16:creationId xmlns:a16="http://schemas.microsoft.com/office/drawing/2014/main" id="{00000000-0008-0000-2900-000007000000}"/>
              </a:ext>
            </a:extLst>
          </xdr:cNvPr>
          <xdr:cNvGrpSpPr/>
        </xdr:nvGrpSpPr>
        <xdr:grpSpPr>
          <a:xfrm>
            <a:off x="605198" y="1605342"/>
            <a:ext cx="2443401" cy="541674"/>
            <a:chOff x="7926917" y="1026747"/>
            <a:chExt cx="3174401" cy="539586"/>
          </a:xfrm>
        </xdr:grpSpPr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00000000-0008-0000-2900-000008000000}"/>
                </a:ext>
              </a:extLst>
            </xdr:cNvPr>
            <xdr:cNvSpPr txBox="1"/>
          </xdr:nvSpPr>
          <xdr:spPr>
            <a:xfrm>
              <a:off x="8049658" y="1026747"/>
              <a:ext cx="2935173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40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Filtros</a:t>
              </a:r>
            </a:p>
          </xdr:txBody>
        </xdr:sp>
        <xdr:cxnSp macro="">
          <xdr:nvCxnSpPr>
            <xdr:cNvPr id="9" name="Conector reto 8">
              <a:extLst>
                <a:ext uri="{FF2B5EF4-FFF2-40B4-BE49-F238E27FC236}">
                  <a16:creationId xmlns:a16="http://schemas.microsoft.com/office/drawing/2014/main" id="{00000000-0008-0000-2900-000009000000}"/>
                </a:ext>
              </a:extLst>
            </xdr:cNvPr>
            <xdr:cNvCxnSpPr/>
          </xdr:nvCxnSpPr>
          <xdr:spPr>
            <a:xfrm>
              <a:off x="7926917" y="1566333"/>
              <a:ext cx="3174401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30" name="UF 5">
                <a:extLst>
                  <a:ext uri="{FF2B5EF4-FFF2-40B4-BE49-F238E27FC236}">
                    <a16:creationId xmlns:a16="http://schemas.microsoft.com/office/drawing/2014/main" id="{00000000-0008-0000-2900-00001E000000}"/>
                  </a:ext>
                </a:extLst>
              </xdr:cNvPr>
              <xdr:cNvGraphicFramePr/>
            </xdr:nvGraphicFramePr>
            <xdr:xfrm>
              <a:off x="613961" y="2290309"/>
              <a:ext cx="2425875" cy="4963584"/>
            </xdr:xfrm>
            <a:graphic>
              <a:graphicData uri="http://schemas.microsoft.com/office/drawing/2010/slicer">
                <sle:slicer xmlns:sle="http://schemas.microsoft.com/office/drawing/2010/slicer" name="UF 5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613900" y="2291336"/>
                <a:ext cx="2409063" cy="4971024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</xdr:grpSp>
    <xdr:clientData/>
  </xdr:twoCellAnchor>
  <xdr:twoCellAnchor>
    <xdr:from>
      <xdr:col>22</xdr:col>
      <xdr:colOff>500800</xdr:colOff>
      <xdr:row>1</xdr:row>
      <xdr:rowOff>98196</xdr:rowOff>
    </xdr:from>
    <xdr:to>
      <xdr:col>24</xdr:col>
      <xdr:colOff>216033</xdr:colOff>
      <xdr:row>4</xdr:row>
      <xdr:rowOff>88376</xdr:rowOff>
    </xdr:to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2900-000033000000}"/>
            </a:ext>
          </a:extLst>
        </xdr:cNvPr>
        <xdr:cNvSpPr txBox="1"/>
      </xdr:nvSpPr>
      <xdr:spPr>
        <a:xfrm>
          <a:off x="13894718" y="864124"/>
          <a:ext cx="932861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80%</a:t>
          </a:r>
        </a:p>
      </xdr:txBody>
    </xdr:sp>
    <xdr:clientData/>
  </xdr:twoCellAnchor>
  <xdr:oneCellAnchor>
    <xdr:from>
      <xdr:col>28</xdr:col>
      <xdr:colOff>284768</xdr:colOff>
      <xdr:row>0</xdr:row>
      <xdr:rowOff>58918</xdr:rowOff>
    </xdr:from>
    <xdr:ext cx="1001595" cy="638510"/>
    <xdr:sp macro="" textlink="">
      <xdr:nvSpPr>
        <xdr:cNvPr id="27" name="CaixaDeTexto 26">
          <a:hlinkClick xmlns:r="http://schemas.openxmlformats.org/officeDocument/2006/relationships" r:id="rId3" tooltip="Voltar para a tela principal"/>
          <a:extLst>
            <a:ext uri="{FF2B5EF4-FFF2-40B4-BE49-F238E27FC236}">
              <a16:creationId xmlns:a16="http://schemas.microsoft.com/office/drawing/2014/main" id="{00000000-0008-0000-2900-00001B000000}"/>
            </a:ext>
          </a:extLst>
        </xdr:cNvPr>
        <xdr:cNvSpPr txBox="1"/>
      </xdr:nvSpPr>
      <xdr:spPr>
        <a:xfrm>
          <a:off x="17321753" y="58918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9</xdr:col>
      <xdr:colOff>338666</xdr:colOff>
      <xdr:row>6</xdr:row>
      <xdr:rowOff>84665</xdr:rowOff>
    </xdr:from>
    <xdr:to>
      <xdr:col>22</xdr:col>
      <xdr:colOff>335893</xdr:colOff>
      <xdr:row>36</xdr:row>
      <xdr:rowOff>7129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GrpSpPr/>
      </xdr:nvGrpSpPr>
      <xdr:grpSpPr>
        <a:xfrm>
          <a:off x="5785775" y="1791228"/>
          <a:ext cx="7865274" cy="5587854"/>
          <a:chOff x="5863166" y="1799165"/>
          <a:chExt cx="7977060" cy="5648047"/>
        </a:xfrm>
      </xdr:grpSpPr>
      <xdr:grpSp>
        <xdr:nvGrpSpPr>
          <xdr:cNvPr id="12" name="Agrupar 11">
            <a:extLst>
              <a:ext uri="{FF2B5EF4-FFF2-40B4-BE49-F238E27FC236}">
                <a16:creationId xmlns:a16="http://schemas.microsoft.com/office/drawing/2014/main" id="{00000000-0008-0000-2900-00000C000000}"/>
              </a:ext>
            </a:extLst>
          </xdr:cNvPr>
          <xdr:cNvGrpSpPr/>
        </xdr:nvGrpSpPr>
        <xdr:grpSpPr>
          <a:xfrm>
            <a:off x="10024226" y="1806989"/>
            <a:ext cx="3816000" cy="5622178"/>
            <a:chOff x="10024226" y="1806989"/>
            <a:chExt cx="3816000" cy="5622178"/>
          </a:xfrm>
        </xdr:grpSpPr>
        <xdr:sp macro="" textlink="'Dados - Receita e Qntd'!BT50">
          <xdr:nvSpPr>
            <xdr:cNvPr id="26" name="CaixaDeTexto 25">
              <a:extLst>
                <a:ext uri="{FF2B5EF4-FFF2-40B4-BE49-F238E27FC236}">
                  <a16:creationId xmlns:a16="http://schemas.microsoft.com/office/drawing/2014/main" id="{00000000-0008-0000-2900-00001A000000}"/>
                </a:ext>
              </a:extLst>
            </xdr:cNvPr>
            <xdr:cNvSpPr txBox="1"/>
          </xdr:nvSpPr>
          <xdr:spPr>
            <a:xfrm>
              <a:off x="10024226" y="3772078"/>
              <a:ext cx="3816000" cy="169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22390437-4CD2-4BAB-8993-06EE719FF794}" type="TxLink">
                <a:rPr lang="en-US" sz="4000" b="1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R$ 6.357.108 </a:t>
              </a:fld>
              <a:endParaRPr lang="pt-BR" sz="4000" b="1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'Dados - Receita e Qntd'!BT49">
          <xdr:nvSpPr>
            <xdr:cNvPr id="42" name="CaixaDeTexto 41">
              <a:extLst>
                <a:ext uri="{FF2B5EF4-FFF2-40B4-BE49-F238E27FC236}">
                  <a16:creationId xmlns:a16="http://schemas.microsoft.com/office/drawing/2014/main" id="{00000000-0008-0000-2900-00002A000000}"/>
                </a:ext>
              </a:extLst>
            </xdr:cNvPr>
            <xdr:cNvSpPr txBox="1"/>
          </xdr:nvSpPr>
          <xdr:spPr>
            <a:xfrm>
              <a:off x="10024226" y="1806989"/>
              <a:ext cx="3816000" cy="169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0AE1E611-C091-4A46-A89F-4418515D66B8}" type="TxLink">
                <a:rPr lang="en-US" sz="4000" b="1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 R$ 6.488.024 </a:t>
              </a:fld>
              <a:endParaRPr lang="pt-BR" sz="4000" b="1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'Dados - Receita e Qntd'!BT51">
          <xdr:nvSpPr>
            <xdr:cNvPr id="43" name="CaixaDeTexto 42">
              <a:extLst>
                <a:ext uri="{FF2B5EF4-FFF2-40B4-BE49-F238E27FC236}">
                  <a16:creationId xmlns:a16="http://schemas.microsoft.com/office/drawing/2014/main" id="{00000000-0008-0000-2900-00002B000000}"/>
                </a:ext>
              </a:extLst>
            </xdr:cNvPr>
            <xdr:cNvSpPr txBox="1"/>
          </xdr:nvSpPr>
          <xdr:spPr>
            <a:xfrm>
              <a:off x="10024226" y="5737167"/>
              <a:ext cx="3816000" cy="169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fld id="{23BC34A6-C3EE-478C-96F1-DB5AC86BBFBD}" type="TxLink">
                <a:rPr lang="en-US" sz="4000" b="1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t>102,1%</a:t>
              </a:fld>
              <a:endParaRPr lang="pt-BR" sz="4000" b="1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xdr:grpSp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00000000-0008-0000-2900-000015000000}"/>
              </a:ext>
            </a:extLst>
          </xdr:cNvPr>
          <xdr:cNvSpPr txBox="1"/>
        </xdr:nvSpPr>
        <xdr:spPr>
          <a:xfrm>
            <a:off x="5863166" y="1799165"/>
            <a:ext cx="3816000" cy="169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4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Execução</a:t>
            </a:r>
          </a:p>
        </xdr:txBody>
      </xdr:sp>
      <xdr:sp macro="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2900-000016000000}"/>
              </a:ext>
            </a:extLst>
          </xdr:cNvPr>
          <xdr:cNvSpPr txBox="1"/>
        </xdr:nvSpPr>
        <xdr:spPr>
          <a:xfrm>
            <a:off x="5867400" y="3782480"/>
            <a:ext cx="3816000" cy="169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4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Previsto</a:t>
            </a:r>
          </a:p>
        </xdr:txBody>
      </xdr:sp>
      <xdr:sp macro="" textlink="">
        <xdr:nvSpPr>
          <xdr:cNvPr id="23" name="CaixaDeTexto 22">
            <a:extLst>
              <a:ext uri="{FF2B5EF4-FFF2-40B4-BE49-F238E27FC236}">
                <a16:creationId xmlns:a16="http://schemas.microsoft.com/office/drawing/2014/main" id="{00000000-0008-0000-2900-000017000000}"/>
              </a:ext>
            </a:extLst>
          </xdr:cNvPr>
          <xdr:cNvSpPr txBox="1"/>
        </xdr:nvSpPr>
        <xdr:spPr>
          <a:xfrm>
            <a:off x="5871634" y="5755212"/>
            <a:ext cx="3816000" cy="169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4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% de execução</a:t>
            </a:r>
          </a:p>
        </xdr:txBody>
      </xdr:sp>
    </xdr:grpSp>
    <xdr:clientData/>
  </xdr:twoCellAnchor>
  <xdr:twoCellAnchor>
    <xdr:from>
      <xdr:col>5</xdr:col>
      <xdr:colOff>438150</xdr:colOff>
      <xdr:row>1</xdr:row>
      <xdr:rowOff>19050</xdr:rowOff>
    </xdr:from>
    <xdr:to>
      <xdr:col>28</xdr:col>
      <xdr:colOff>1309686</xdr:colOff>
      <xdr:row>37</xdr:row>
      <xdr:rowOff>0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00000000-0008-0000-2900-000018000000}"/>
            </a:ext>
          </a:extLst>
        </xdr:cNvPr>
        <xdr:cNvSpPr txBox="1"/>
      </xdr:nvSpPr>
      <xdr:spPr>
        <a:xfrm>
          <a:off x="3533775" y="781050"/>
          <a:ext cx="15087599" cy="7339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0</xdr:colOff>
      <xdr:row>37</xdr:row>
      <xdr:rowOff>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2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520833" cy="813858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530258</xdr:colOff>
      <xdr:row>0</xdr:row>
      <xdr:rowOff>0</xdr:rowOff>
    </xdr:from>
    <xdr:to>
      <xdr:col>28</xdr:col>
      <xdr:colOff>275166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/>
      </xdr:nvSpPr>
      <xdr:spPr>
        <a:xfrm>
          <a:off x="3599425" y="0"/>
          <a:ext cx="13852491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4</xdr:col>
      <xdr:colOff>323770</xdr:colOff>
      <xdr:row>0</xdr:row>
      <xdr:rowOff>737518</xdr:rowOff>
    </xdr:from>
    <xdr:to>
      <xdr:col>28</xdr:col>
      <xdr:colOff>298258</xdr:colOff>
      <xdr:row>8</xdr:row>
      <xdr:rowOff>48107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pSpPr/>
      </xdr:nvGrpSpPr>
      <xdr:grpSpPr>
        <a:xfrm>
          <a:off x="2752645" y="737518"/>
          <a:ext cx="14535832" cy="1406089"/>
          <a:chOff x="3059537" y="292001"/>
          <a:chExt cx="14576414" cy="1384273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A00-000005000000}"/>
              </a:ext>
            </a:extLst>
          </xdr:cNvPr>
          <xdr:cNvSpPr txBox="1"/>
        </xdr:nvSpPr>
        <xdr:spPr>
          <a:xfrm>
            <a:off x="3059537" y="292001"/>
            <a:ext cx="14576414" cy="1384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6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de Arrecadação Total - CAU/UF</a:t>
            </a:r>
          </a:p>
          <a:p>
            <a:pPr marL="0" indent="0" algn="ctr"/>
            <a:r>
              <a:rPr lang="pt-BR" sz="28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Anuidades PF e PJ (Ex. e Ex. Anteriores), RRT e Taxas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A00-000006000000}"/>
              </a:ext>
            </a:extLst>
          </xdr:cNvPr>
          <xdr:cNvCxnSpPr/>
        </xdr:nvCxnSpPr>
        <xdr:spPr>
          <a:xfrm>
            <a:off x="5266255" y="1576192"/>
            <a:ext cx="10082265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27</xdr:col>
      <xdr:colOff>568884</xdr:colOff>
      <xdr:row>1</xdr:row>
      <xdr:rowOff>147066</xdr:rowOff>
    </xdr:from>
    <xdr:to>
      <xdr:col>28</xdr:col>
      <xdr:colOff>907569</xdr:colOff>
      <xdr:row>4</xdr:row>
      <xdr:rowOff>137246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 txBox="1"/>
      </xdr:nvSpPr>
      <xdr:spPr>
        <a:xfrm>
          <a:off x="17142384" y="909066"/>
          <a:ext cx="941935" cy="561680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80%</a:t>
          </a:r>
        </a:p>
      </xdr:txBody>
    </xdr:sp>
    <xdr:clientData/>
  </xdr:twoCellAnchor>
  <xdr:oneCellAnchor>
    <xdr:from>
      <xdr:col>28</xdr:col>
      <xdr:colOff>284767</xdr:colOff>
      <xdr:row>0</xdr:row>
      <xdr:rowOff>68737</xdr:rowOff>
    </xdr:from>
    <xdr:ext cx="1001595" cy="638510"/>
    <xdr:sp macro="" textlink="">
      <xdr:nvSpPr>
        <xdr:cNvPr id="46" name="CaixaDeTexto 45">
          <a:hlinkClick xmlns:r="http://schemas.openxmlformats.org/officeDocument/2006/relationships" r:id="rId3" tooltip="Voltar para a tela principal"/>
          <a:extLst>
            <a:ext uri="{FF2B5EF4-FFF2-40B4-BE49-F238E27FC236}">
              <a16:creationId xmlns:a16="http://schemas.microsoft.com/office/drawing/2014/main" id="{00000000-0008-0000-2A00-00002E000000}"/>
            </a:ext>
          </a:extLst>
        </xdr:cNvPr>
        <xdr:cNvSpPr txBox="1"/>
      </xdr:nvSpPr>
      <xdr:spPr>
        <a:xfrm>
          <a:off x="17344042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192424</xdr:colOff>
      <xdr:row>5</xdr:row>
      <xdr:rowOff>16360</xdr:rowOff>
    </xdr:from>
    <xdr:to>
      <xdr:col>4</xdr:col>
      <xdr:colOff>211280</xdr:colOff>
      <xdr:row>7</xdr:row>
      <xdr:rowOff>171262</xdr:rowOff>
    </xdr:to>
    <xdr:grpSp>
      <xdr:nvGrpSpPr>
        <xdr:cNvPr id="49" name="Grupo 48">
          <a:extLst>
            <a:ext uri="{FF2B5EF4-FFF2-40B4-BE49-F238E27FC236}">
              <a16:creationId xmlns:a16="http://schemas.microsoft.com/office/drawing/2014/main" id="{00000000-0008-0000-2A00-000031000000}"/>
            </a:ext>
          </a:extLst>
        </xdr:cNvPr>
        <xdr:cNvGrpSpPr/>
      </xdr:nvGrpSpPr>
      <xdr:grpSpPr>
        <a:xfrm>
          <a:off x="192424" y="1540360"/>
          <a:ext cx="2447731" cy="535902"/>
          <a:chOff x="7926917" y="1026747"/>
          <a:chExt cx="3174401" cy="539586"/>
        </a:xfrm>
      </xdr:grpSpPr>
      <xdr:sp macro="" textlink="">
        <xdr:nvSpPr>
          <xdr:cNvPr id="50" name="CaixaDeTexto 49">
            <a:extLst>
              <a:ext uri="{FF2B5EF4-FFF2-40B4-BE49-F238E27FC236}">
                <a16:creationId xmlns:a16="http://schemas.microsoft.com/office/drawing/2014/main" id="{00000000-0008-0000-2A00-000032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51" name="Conector reto 50">
            <a:extLst>
              <a:ext uri="{FF2B5EF4-FFF2-40B4-BE49-F238E27FC236}">
                <a16:creationId xmlns:a16="http://schemas.microsoft.com/office/drawing/2014/main" id="{00000000-0008-0000-2A00-000033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550329</xdr:colOff>
      <xdr:row>10</xdr:row>
      <xdr:rowOff>51629</xdr:rowOff>
    </xdr:from>
    <xdr:to>
      <xdr:col>28</xdr:col>
      <xdr:colOff>884375</xdr:colOff>
      <xdr:row>32</xdr:row>
      <xdr:rowOff>82397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GrpSpPr/>
      </xdr:nvGrpSpPr>
      <xdr:grpSpPr>
        <a:xfrm>
          <a:off x="2979204" y="2528129"/>
          <a:ext cx="14895390" cy="4233674"/>
          <a:chOff x="2979204" y="2528129"/>
          <a:chExt cx="14895390" cy="4233674"/>
        </a:xfrm>
      </xdr:grpSpPr>
      <xdr:sp macro="" textlink="'Dados - Receita e Qntd'!BT94">
        <xdr:nvSpPr>
          <xdr:cNvPr id="14" name="CaixaDeTexto 13">
            <a:extLst>
              <a:ext uri="{FF2B5EF4-FFF2-40B4-BE49-F238E27FC236}">
                <a16:creationId xmlns:a16="http://schemas.microsoft.com/office/drawing/2014/main" id="{00000000-0008-0000-2A00-00000E000000}"/>
              </a:ext>
            </a:extLst>
          </xdr:cNvPr>
          <xdr:cNvSpPr txBox="1"/>
        </xdr:nvSpPr>
        <xdr:spPr>
          <a:xfrm>
            <a:off x="6774653" y="2539998"/>
            <a:ext cx="3476928" cy="1963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AF020985-3825-4FA7-A638-DFD5E786ABC2}" type="TxLink">
              <a:rPr lang="en-US" sz="39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 R$ 139.580.658 </a:t>
            </a:fld>
            <a:endParaRPr lang="pt-BR" sz="39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sp macro="" textlink="'Dados - Receita e Qntd'!BT95">
        <xdr:nvSpPr>
          <xdr:cNvPr id="15" name="CaixaDeTexto 14">
            <a:extLst>
              <a:ext uri="{FF2B5EF4-FFF2-40B4-BE49-F238E27FC236}">
                <a16:creationId xmlns:a16="http://schemas.microsoft.com/office/drawing/2014/main" id="{00000000-0008-0000-2A00-00000F000000}"/>
              </a:ext>
            </a:extLst>
          </xdr:cNvPr>
          <xdr:cNvSpPr txBox="1"/>
        </xdr:nvSpPr>
        <xdr:spPr>
          <a:xfrm>
            <a:off x="14310594" y="2528129"/>
            <a:ext cx="3564000" cy="1963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796C3D0D-1F63-4106-BBA9-31DEEA8B2A22}" type="TxLink">
              <a:rPr lang="en-US" sz="40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 R$ 167.298.333 </a:t>
            </a:fld>
            <a:endParaRPr lang="pt-BR" sz="40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sp macro="" textlink="'Dados - Receita e Qntd'!BT92">
        <xdr:nvSpPr>
          <xdr:cNvPr id="16" name="CaixaDeTexto 15">
            <a:extLst>
              <a:ext uri="{FF2B5EF4-FFF2-40B4-BE49-F238E27FC236}">
                <a16:creationId xmlns:a16="http://schemas.microsoft.com/office/drawing/2014/main" id="{00000000-0008-0000-2A00-000010000000}"/>
              </a:ext>
            </a:extLst>
          </xdr:cNvPr>
          <xdr:cNvSpPr txBox="1"/>
        </xdr:nvSpPr>
        <xdr:spPr>
          <a:xfrm>
            <a:off x="14350609" y="4767426"/>
            <a:ext cx="3475605" cy="196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FE137677-BF52-432E-8F87-9BD30F0129D4}" type="TxLink">
              <a:rPr lang="en-US" sz="40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8,9%</a:t>
            </a:fld>
            <a:endParaRPr lang="pt-BR" sz="40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sp macro="" textlink="'Dados - Receita e Qntd'!BT96">
        <xdr:nvSpPr>
          <xdr:cNvPr id="17" name="CaixaDeTexto 16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SpPr txBox="1"/>
        </xdr:nvSpPr>
        <xdr:spPr>
          <a:xfrm>
            <a:off x="6777895" y="4776692"/>
            <a:ext cx="3476928" cy="196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1257376B-9104-416E-86CD-D0CE9DC90C73}" type="TxLink">
              <a:rPr lang="en-US" sz="40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83,4%</a:t>
            </a:fld>
            <a:endParaRPr lang="pt-BR" sz="40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sp macro="" textlink="">
        <xdr:nvSpPr>
          <xdr:cNvPr id="23" name="CaixaDeTexto 22">
            <a:extLst>
              <a:ext uri="{FF2B5EF4-FFF2-40B4-BE49-F238E27FC236}">
                <a16:creationId xmlns:a16="http://schemas.microsoft.com/office/drawing/2014/main" id="{00000000-0008-0000-2A00-000017000000}"/>
              </a:ext>
            </a:extLst>
          </xdr:cNvPr>
          <xdr:cNvSpPr txBox="1"/>
        </xdr:nvSpPr>
        <xdr:spPr>
          <a:xfrm>
            <a:off x="2979204" y="2550585"/>
            <a:ext cx="3470313" cy="1963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4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Execução</a:t>
            </a:r>
          </a:p>
        </xdr:txBody>
      </xdr:sp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2A00-000018000000}"/>
              </a:ext>
            </a:extLst>
          </xdr:cNvPr>
          <xdr:cNvSpPr txBox="1"/>
        </xdr:nvSpPr>
        <xdr:spPr>
          <a:xfrm>
            <a:off x="10570366" y="2533649"/>
            <a:ext cx="3470312" cy="1963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4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Previsto</a:t>
            </a:r>
          </a:p>
        </xdr:txBody>
      </xdr:sp>
      <xdr:sp macro="" textlink="">
        <xdr:nvSpPr>
          <xdr:cNvPr id="25" name="CaixaDeTexto 24">
            <a:extLst>
              <a:ext uri="{FF2B5EF4-FFF2-40B4-BE49-F238E27FC236}">
                <a16:creationId xmlns:a16="http://schemas.microsoft.com/office/drawing/2014/main" id="{00000000-0008-0000-2A00-000019000000}"/>
              </a:ext>
            </a:extLst>
          </xdr:cNvPr>
          <xdr:cNvSpPr txBox="1"/>
        </xdr:nvSpPr>
        <xdr:spPr>
          <a:xfrm>
            <a:off x="3004606" y="4799803"/>
            <a:ext cx="3470313" cy="196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4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% de execução</a:t>
            </a:r>
          </a:p>
        </xdr:txBody>
      </xdr:sp>
      <xdr:sp macro="" textlink="">
        <xdr:nvSpPr>
          <xdr:cNvPr id="26" name="CaixaDeTexto 25">
            <a:extLst>
              <a:ext uri="{FF2B5EF4-FFF2-40B4-BE49-F238E27FC236}">
                <a16:creationId xmlns:a16="http://schemas.microsoft.com/office/drawing/2014/main" id="{00000000-0008-0000-2A00-00001A000000}"/>
              </a:ext>
            </a:extLst>
          </xdr:cNvPr>
          <xdr:cNvSpPr txBox="1"/>
        </xdr:nvSpPr>
        <xdr:spPr>
          <a:xfrm>
            <a:off x="10595768" y="4782867"/>
            <a:ext cx="3470312" cy="196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4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Variação frente a 2021</a:t>
            </a:r>
            <a:endParaRPr lang="pt-BR" sz="4000" b="1" i="1" cap="none" spc="50">
              <a:ln w="9525" cmpd="sng">
                <a:noFill/>
                <a:prstDash val="solid"/>
              </a:ln>
              <a:solidFill>
                <a:srgbClr val="70AD47">
                  <a:tint val="1000"/>
                </a:srgbClr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4</xdr:col>
      <xdr:colOff>238126</xdr:colOff>
      <xdr:row>1</xdr:row>
      <xdr:rowOff>0</xdr:rowOff>
    </xdr:from>
    <xdr:to>
      <xdr:col>29</xdr:col>
      <xdr:colOff>0</xdr:colOff>
      <xdr:row>36</xdr:row>
      <xdr:rowOff>666750</xdr:rowOff>
    </xdr:to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2A00-00001B000000}"/>
            </a:ext>
          </a:extLst>
        </xdr:cNvPr>
        <xdr:cNvSpPr txBox="1"/>
      </xdr:nvSpPr>
      <xdr:spPr>
        <a:xfrm>
          <a:off x="2667001" y="762000"/>
          <a:ext cx="15668624" cy="73461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211667</xdr:colOff>
      <xdr:row>9</xdr:row>
      <xdr:rowOff>48106</xdr:rowOff>
    </xdr:from>
    <xdr:to>
      <xdr:col>4</xdr:col>
      <xdr:colOff>212997</xdr:colOff>
      <xdr:row>36</xdr:row>
      <xdr:rowOff>150395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5" name="UF 7">
              <a:extLst>
                <a:ext uri="{FF2B5EF4-FFF2-40B4-BE49-F238E27FC236}">
                  <a16:creationId xmlns:a16="http://schemas.microsoft.com/office/drawing/2014/main" id="{00000000-0008-0000-2A00-00003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667" y="2334106"/>
              <a:ext cx="2477830" cy="49058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23812</xdr:rowOff>
    </xdr:from>
    <xdr:to>
      <xdr:col>29</xdr:col>
      <xdr:colOff>0</xdr:colOff>
      <xdr:row>37</xdr:row>
      <xdr:rowOff>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"/>
          <a:ext cx="18224500" cy="8104188"/>
        </a:xfrm>
        <a:prstGeom prst="rect">
          <a:avLst/>
        </a:prstGeom>
      </xdr:spPr>
    </xdr:pic>
    <xdr:clientData/>
  </xdr:twoCellAnchor>
  <xdr:twoCellAnchor>
    <xdr:from>
      <xdr:col>1</xdr:col>
      <xdr:colOff>326704</xdr:colOff>
      <xdr:row>5</xdr:row>
      <xdr:rowOff>166933</xdr:rowOff>
    </xdr:from>
    <xdr:to>
      <xdr:col>6</xdr:col>
      <xdr:colOff>268567</xdr:colOff>
      <xdr:row>8</xdr:row>
      <xdr:rowOff>79915</xdr:rowOff>
    </xdr:to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2B00-000026000000}"/>
            </a:ext>
          </a:extLst>
        </xdr:cNvPr>
        <xdr:cNvSpPr txBox="1"/>
      </xdr:nvSpPr>
      <xdr:spPr>
        <a:xfrm>
          <a:off x="937892" y="1690933"/>
          <a:ext cx="2997800" cy="4844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BR" sz="2400" cap="small" baseline="0">
              <a:solidFill>
                <a:schemeClr val="bg1"/>
              </a:solidFill>
              <a:latin typeface="+mn-lt"/>
              <a:ea typeface="+mn-ea"/>
              <a:cs typeface="+mn-cs"/>
            </a:rPr>
            <a:t>Exercício - PF</a:t>
          </a:r>
        </a:p>
      </xdr:txBody>
    </xdr:sp>
    <xdr:clientData/>
  </xdr:twoCellAnchor>
  <xdr:twoCellAnchor>
    <xdr:from>
      <xdr:col>1</xdr:col>
      <xdr:colOff>201344</xdr:colOff>
      <xdr:row>8</xdr:row>
      <xdr:rowOff>136252</xdr:rowOff>
    </xdr:from>
    <xdr:to>
      <xdr:col>6</xdr:col>
      <xdr:colOff>387539</xdr:colOff>
      <xdr:row>8</xdr:row>
      <xdr:rowOff>136252</xdr:rowOff>
    </xdr:to>
    <xdr:cxnSp macro="">
      <xdr:nvCxnSpPr>
        <xdr:cNvPr id="39" name="Conector reto 38">
          <a:extLst>
            <a:ext uri="{FF2B5EF4-FFF2-40B4-BE49-F238E27FC236}">
              <a16:creationId xmlns:a16="http://schemas.microsoft.com/office/drawing/2014/main" id="{00000000-0008-0000-2B00-000027000000}"/>
            </a:ext>
          </a:extLst>
        </xdr:cNvPr>
        <xdr:cNvCxnSpPr/>
      </xdr:nvCxnSpPr>
      <xdr:spPr>
        <a:xfrm>
          <a:off x="812532" y="2231752"/>
          <a:ext cx="3242132" cy="0"/>
        </a:xfrm>
        <a:prstGeom prst="line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</xdr:cxnSp>
    <xdr:clientData/>
  </xdr:twoCellAnchor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530258</xdr:colOff>
      <xdr:row>0</xdr:row>
      <xdr:rowOff>0</xdr:rowOff>
    </xdr:from>
    <xdr:to>
      <xdr:col>28</xdr:col>
      <xdr:colOff>275166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599425" y="0"/>
          <a:ext cx="13852491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3</xdr:col>
      <xdr:colOff>114675</xdr:colOff>
      <xdr:row>2</xdr:row>
      <xdr:rowOff>15927</xdr:rowOff>
    </xdr:from>
    <xdr:to>
      <xdr:col>27</xdr:col>
      <xdr:colOff>79542</xdr:colOff>
      <xdr:row>4</xdr:row>
      <xdr:rowOff>128415</xdr:rowOff>
    </xdr:to>
    <xdr:grpSp>
      <xdr:nvGrpSpPr>
        <xdr:cNvPr id="49" name="Grupo 48">
          <a:extLst>
            <a:ext uri="{FF2B5EF4-FFF2-40B4-BE49-F238E27FC236}">
              <a16:creationId xmlns:a16="http://schemas.microsoft.com/office/drawing/2014/main" id="{00000000-0008-0000-2B00-000031000000}"/>
            </a:ext>
          </a:extLst>
        </xdr:cNvPr>
        <xdr:cNvGrpSpPr/>
      </xdr:nvGrpSpPr>
      <xdr:grpSpPr>
        <a:xfrm>
          <a:off x="1930378" y="968427"/>
          <a:ext cx="14490492" cy="489519"/>
          <a:chOff x="1941118" y="968427"/>
          <a:chExt cx="1457641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B00-000005000000}"/>
              </a:ext>
            </a:extLst>
          </xdr:cNvPr>
          <xdr:cNvSpPr txBox="1"/>
        </xdr:nvSpPr>
        <xdr:spPr>
          <a:xfrm>
            <a:off x="194111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de Arrecadação - Anuidades PF e PJ - CAU/BR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B00-000006000000}"/>
              </a:ext>
            </a:extLst>
          </xdr:cNvPr>
          <xdr:cNvCxnSpPr/>
        </xdr:nvCxnSpPr>
        <xdr:spPr>
          <a:xfrm>
            <a:off x="2443325" y="1454059"/>
            <a:ext cx="1357200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24</xdr:col>
      <xdr:colOff>441882</xdr:colOff>
      <xdr:row>1</xdr:row>
      <xdr:rowOff>88377</xdr:rowOff>
    </xdr:from>
    <xdr:to>
      <xdr:col>26</xdr:col>
      <xdr:colOff>157114</xdr:colOff>
      <xdr:row>4</xdr:row>
      <xdr:rowOff>78557</xdr:rowOff>
    </xdr:to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00000000-0008-0000-2B00-00001D000000}"/>
            </a:ext>
          </a:extLst>
        </xdr:cNvPr>
        <xdr:cNvSpPr txBox="1"/>
      </xdr:nvSpPr>
      <xdr:spPr>
        <a:xfrm>
          <a:off x="15053428" y="854305"/>
          <a:ext cx="932861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20%</a:t>
          </a:r>
        </a:p>
      </xdr:txBody>
    </xdr:sp>
    <xdr:clientData/>
  </xdr:twoCellAnchor>
  <xdr:oneCellAnchor>
    <xdr:from>
      <xdr:col>28</xdr:col>
      <xdr:colOff>284767</xdr:colOff>
      <xdr:row>0</xdr:row>
      <xdr:rowOff>68737</xdr:rowOff>
    </xdr:from>
    <xdr:ext cx="1001595" cy="638510"/>
    <xdr:sp macro="" textlink="">
      <xdr:nvSpPr>
        <xdr:cNvPr id="90" name="CaixaDeTexto 89">
          <a:hlinkClick xmlns:r="http://schemas.openxmlformats.org/officeDocument/2006/relationships" r:id="rId3" tooltip="Voltar para a tela principal"/>
          <a:extLst>
            <a:ext uri="{FF2B5EF4-FFF2-40B4-BE49-F238E27FC236}">
              <a16:creationId xmlns:a16="http://schemas.microsoft.com/office/drawing/2014/main" id="{00000000-0008-0000-2B00-00005A000000}"/>
            </a:ext>
          </a:extLst>
        </xdr:cNvPr>
        <xdr:cNvSpPr txBox="1"/>
      </xdr:nvSpPr>
      <xdr:spPr>
        <a:xfrm>
          <a:off x="17321752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1</xdr:col>
      <xdr:colOff>452195</xdr:colOff>
      <xdr:row>8</xdr:row>
      <xdr:rowOff>134696</xdr:rowOff>
    </xdr:from>
    <xdr:to>
      <xdr:col>6</xdr:col>
      <xdr:colOff>95886</xdr:colOff>
      <xdr:row>8</xdr:row>
      <xdr:rowOff>134696</xdr:rowOff>
    </xdr:to>
    <xdr:cxnSp macro="">
      <xdr:nvCxnSpPr>
        <xdr:cNvPr id="52" name="Conector reto 51">
          <a:extLst>
            <a:ext uri="{FF2B5EF4-FFF2-40B4-BE49-F238E27FC236}">
              <a16:creationId xmlns:a16="http://schemas.microsoft.com/office/drawing/2014/main" id="{00000000-0008-0000-2B00-000034000000}"/>
            </a:ext>
          </a:extLst>
        </xdr:cNvPr>
        <xdr:cNvCxnSpPr/>
      </xdr:nvCxnSpPr>
      <xdr:spPr>
        <a:xfrm>
          <a:off x="1058331" y="2241741"/>
          <a:ext cx="2674373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183591</xdr:colOff>
      <xdr:row>12</xdr:row>
      <xdr:rowOff>78948</xdr:rowOff>
    </xdr:from>
    <xdr:to>
      <xdr:col>14</xdr:col>
      <xdr:colOff>38773</xdr:colOff>
      <xdr:row>12</xdr:row>
      <xdr:rowOff>78948</xdr:rowOff>
    </xdr:to>
    <xdr:cxnSp macro="">
      <xdr:nvCxnSpPr>
        <xdr:cNvPr id="53" name="Conector reto 52">
          <a:extLst>
            <a:ext uri="{FF2B5EF4-FFF2-40B4-BE49-F238E27FC236}">
              <a16:creationId xmlns:a16="http://schemas.microsoft.com/office/drawing/2014/main" id="{00000000-0008-0000-2B00-000035000000}"/>
            </a:ext>
          </a:extLst>
        </xdr:cNvPr>
        <xdr:cNvCxnSpPr/>
      </xdr:nvCxnSpPr>
      <xdr:spPr>
        <a:xfrm>
          <a:off x="5032682" y="2955690"/>
          <a:ext cx="349200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81755</xdr:colOff>
      <xdr:row>10</xdr:row>
      <xdr:rowOff>53876</xdr:rowOff>
    </xdr:from>
    <xdr:to>
      <xdr:col>7</xdr:col>
      <xdr:colOff>142874</xdr:colOff>
      <xdr:row>36</xdr:row>
      <xdr:rowOff>48419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GrpSpPr/>
      </xdr:nvGrpSpPr>
      <xdr:grpSpPr>
        <a:xfrm>
          <a:off x="686989" y="2514501"/>
          <a:ext cx="3692526" cy="4905871"/>
          <a:chOff x="695588" y="2530376"/>
          <a:chExt cx="3551256" cy="4958126"/>
        </a:xfrm>
      </xdr:grpSpPr>
      <xdr:sp macro="" textlink="">
        <xdr:nvSpPr>
          <xdr:cNvPr id="13" name="CaixaDeTexto 12">
            <a:extLst>
              <a:ext uri="{FF2B5EF4-FFF2-40B4-BE49-F238E27FC236}">
                <a16:creationId xmlns:a16="http://schemas.microsoft.com/office/drawing/2014/main" id="{00000000-0008-0000-2B00-00000D000000}"/>
              </a:ext>
            </a:extLst>
          </xdr:cNvPr>
          <xdr:cNvSpPr txBox="1"/>
        </xdr:nvSpPr>
        <xdr:spPr>
          <a:xfrm>
            <a:off x="695589" y="3835133"/>
            <a:ext cx="1769456" cy="10483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4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Previsto</a:t>
            </a:r>
          </a:p>
        </xdr:txBody>
      </xdr:sp>
      <xdr:sp macro="" textlink="">
        <xdr:nvSpPr>
          <xdr:cNvPr id="116" name="CaixaDeTexto 115">
            <a:extLst>
              <a:ext uri="{FF2B5EF4-FFF2-40B4-BE49-F238E27FC236}">
                <a16:creationId xmlns:a16="http://schemas.microsoft.com/office/drawing/2014/main" id="{00000000-0008-0000-2B00-000074000000}"/>
              </a:ext>
            </a:extLst>
          </xdr:cNvPr>
          <xdr:cNvSpPr txBox="1"/>
        </xdr:nvSpPr>
        <xdr:spPr>
          <a:xfrm>
            <a:off x="695588" y="2530376"/>
            <a:ext cx="1769456" cy="10483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4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Executado</a:t>
            </a:r>
          </a:p>
        </xdr:txBody>
      </xdr:sp>
      <xdr:sp macro="" textlink="">
        <xdr:nvSpPr>
          <xdr:cNvPr id="117" name="CaixaDeTexto 116">
            <a:extLst>
              <a:ext uri="{FF2B5EF4-FFF2-40B4-BE49-F238E27FC236}">
                <a16:creationId xmlns:a16="http://schemas.microsoft.com/office/drawing/2014/main" id="{00000000-0008-0000-2B00-000075000000}"/>
              </a:ext>
            </a:extLst>
          </xdr:cNvPr>
          <xdr:cNvSpPr txBox="1"/>
        </xdr:nvSpPr>
        <xdr:spPr>
          <a:xfrm>
            <a:off x="695590" y="5141454"/>
            <a:ext cx="1769456" cy="10483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4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Execução</a:t>
            </a:r>
          </a:p>
        </xdr:txBody>
      </xdr:sp>
      <xdr:sp macro="" textlink="">
        <xdr:nvSpPr>
          <xdr:cNvPr id="118" name="CaixaDeTexto 117">
            <a:extLst>
              <a:ext uri="{FF2B5EF4-FFF2-40B4-BE49-F238E27FC236}">
                <a16:creationId xmlns:a16="http://schemas.microsoft.com/office/drawing/2014/main" id="{00000000-0008-0000-2B00-000076000000}"/>
              </a:ext>
            </a:extLst>
          </xdr:cNvPr>
          <xdr:cNvSpPr txBox="1"/>
        </xdr:nvSpPr>
        <xdr:spPr>
          <a:xfrm>
            <a:off x="695590" y="6440198"/>
            <a:ext cx="1769456" cy="10483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 eaLnBrk="1" fontAlgn="auto" latinLnBrk="0" hangingPunct="1"/>
            <a:r>
              <a:rPr lang="pt-BR" sz="2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Variação</a:t>
            </a:r>
            <a:r>
              <a:rPr lang="pt-BR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pt-BR" sz="2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frente</a:t>
            </a:r>
            <a:r>
              <a:rPr lang="pt-BR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pt-BR" sz="2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a</a:t>
            </a:r>
            <a:r>
              <a:rPr lang="pt-BR" sz="105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pt-BR" sz="2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2021</a:t>
            </a:r>
          </a:p>
        </xdr:txBody>
      </xdr:sp>
      <xdr:sp macro="" textlink="'Dados - Receita e Qntd'!E31">
        <xdr:nvSpPr>
          <xdr:cNvPr id="125" name="CaixaDeTexto 124">
            <a:extLst>
              <a:ext uri="{FF2B5EF4-FFF2-40B4-BE49-F238E27FC236}">
                <a16:creationId xmlns:a16="http://schemas.microsoft.com/office/drawing/2014/main" id="{00000000-0008-0000-2B00-00007D000000}"/>
              </a:ext>
            </a:extLst>
          </xdr:cNvPr>
          <xdr:cNvSpPr txBox="1"/>
        </xdr:nvSpPr>
        <xdr:spPr>
          <a:xfrm>
            <a:off x="2454565" y="3833650"/>
            <a:ext cx="1769456" cy="1048304"/>
          </a:xfrm>
          <a:prstGeom prst="rect">
            <a:avLst/>
          </a:prstGeom>
          <a:noFill/>
          <a:ln w="3810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1815A9D-B153-41C2-8B34-D95BA0FC7DDD}" type="TxLink">
              <a:rPr lang="en-US" sz="21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algn="ctr"/>
              <a:t>R$ 13.589.407</a:t>
            </a:fld>
            <a:endParaRPr lang="pt-BR" sz="2100" b="1">
              <a:ln>
                <a:noFill/>
              </a:ln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'Dados - Receita e Qntd'!D31">
        <xdr:nvSpPr>
          <xdr:cNvPr id="126" name="CaixaDeTexto 125">
            <a:extLst>
              <a:ext uri="{FF2B5EF4-FFF2-40B4-BE49-F238E27FC236}">
                <a16:creationId xmlns:a16="http://schemas.microsoft.com/office/drawing/2014/main" id="{00000000-0008-0000-2B00-00007E000000}"/>
              </a:ext>
            </a:extLst>
          </xdr:cNvPr>
          <xdr:cNvSpPr txBox="1"/>
        </xdr:nvSpPr>
        <xdr:spPr>
          <a:xfrm>
            <a:off x="2454566" y="2530376"/>
            <a:ext cx="1792278" cy="1048304"/>
          </a:xfrm>
          <a:prstGeom prst="rect">
            <a:avLst/>
          </a:prstGeom>
          <a:noFill/>
          <a:ln w="3810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8F35AA92-FD35-4436-A0FA-1069FFA8ADFC}" type="TxLink">
              <a:rPr lang="en-US" sz="21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R$ 12.651.721</a:t>
            </a:fld>
            <a:endParaRPr lang="pt-BR" sz="21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sp macro="" textlink="'Dados - Receita e Qntd'!F31">
        <xdr:nvSpPr>
          <xdr:cNvPr id="127" name="CaixaDeTexto 126">
            <a:extLst>
              <a:ext uri="{FF2B5EF4-FFF2-40B4-BE49-F238E27FC236}">
                <a16:creationId xmlns:a16="http://schemas.microsoft.com/office/drawing/2014/main" id="{00000000-0008-0000-2B00-00007F000000}"/>
              </a:ext>
            </a:extLst>
          </xdr:cNvPr>
          <xdr:cNvSpPr txBox="1"/>
        </xdr:nvSpPr>
        <xdr:spPr>
          <a:xfrm>
            <a:off x="2454565" y="5136924"/>
            <a:ext cx="1769456" cy="1048304"/>
          </a:xfrm>
          <a:prstGeom prst="rect">
            <a:avLst/>
          </a:prstGeom>
          <a:noFill/>
          <a:ln w="3810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587A1382-DE8D-4BDC-8F2E-AB4EB0B0C4FF}" type="TxLink">
              <a:rPr lang="en-US" sz="21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algn="ctr"/>
              <a:t>93,1%</a:t>
            </a:fld>
            <a:endParaRPr lang="pt-BR" sz="2100" b="1">
              <a:ln>
                <a:noFill/>
              </a:ln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'Dados - Receita e Qntd'!AY31">
        <xdr:nvSpPr>
          <xdr:cNvPr id="128" name="CaixaDeTexto 127">
            <a:extLst>
              <a:ext uri="{FF2B5EF4-FFF2-40B4-BE49-F238E27FC236}">
                <a16:creationId xmlns:a16="http://schemas.microsoft.com/office/drawing/2014/main" id="{00000000-0008-0000-2B00-000080000000}"/>
              </a:ext>
            </a:extLst>
          </xdr:cNvPr>
          <xdr:cNvSpPr txBox="1"/>
        </xdr:nvSpPr>
        <xdr:spPr>
          <a:xfrm>
            <a:off x="2454565" y="6440198"/>
            <a:ext cx="1769456" cy="1048304"/>
          </a:xfrm>
          <a:prstGeom prst="rect">
            <a:avLst/>
          </a:prstGeom>
          <a:noFill/>
          <a:ln w="3810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4F39AD0D-AF70-4E6A-8F5B-84D3F0CC4642}" type="TxLink">
              <a:rPr lang="en-US" sz="21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13,2%</a:t>
            </a:fld>
            <a:endParaRPr lang="pt-BR" sz="21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</xdr:grpSp>
    <xdr:clientData/>
  </xdr:twoCellAnchor>
  <xdr:twoCellAnchor>
    <xdr:from>
      <xdr:col>16</xdr:col>
      <xdr:colOff>465931</xdr:colOff>
      <xdr:row>6</xdr:row>
      <xdr:rowOff>14925</xdr:rowOff>
    </xdr:from>
    <xdr:to>
      <xdr:col>22</xdr:col>
      <xdr:colOff>539752</xdr:colOff>
      <xdr:row>36</xdr:row>
      <xdr:rowOff>48419</xdr:rowOff>
    </xdr:to>
    <xdr:grpSp>
      <xdr:nvGrpSpPr>
        <xdr:cNvPr id="10" name="Agrupar 9"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GrpSpPr/>
      </xdr:nvGrpSpPr>
      <xdr:grpSpPr>
        <a:xfrm>
          <a:off x="10149681" y="1721488"/>
          <a:ext cx="3705227" cy="5698884"/>
          <a:chOff x="10287264" y="1729425"/>
          <a:chExt cx="3756821" cy="5759077"/>
        </a:xfrm>
      </xdr:grpSpPr>
      <xdr:grpSp>
        <xdr:nvGrpSpPr>
          <xdr:cNvPr id="73" name="Grupo 72">
            <a:extLst>
              <a:ext uri="{FF2B5EF4-FFF2-40B4-BE49-F238E27FC236}">
                <a16:creationId xmlns:a16="http://schemas.microsoft.com/office/drawing/2014/main" id="{00000000-0008-0000-2B00-000049000000}"/>
              </a:ext>
            </a:extLst>
          </xdr:cNvPr>
          <xdr:cNvGrpSpPr/>
        </xdr:nvGrpSpPr>
        <xdr:grpSpPr>
          <a:xfrm>
            <a:off x="10658632" y="1729425"/>
            <a:ext cx="2705993" cy="540819"/>
            <a:chOff x="7926917" y="1026747"/>
            <a:chExt cx="3174401" cy="539586"/>
          </a:xfrm>
        </xdr:grpSpPr>
        <xdr:sp macro="" textlink="">
          <xdr:nvSpPr>
            <xdr:cNvPr id="74" name="CaixaDeTexto 73">
              <a:extLst>
                <a:ext uri="{FF2B5EF4-FFF2-40B4-BE49-F238E27FC236}">
                  <a16:creationId xmlns:a16="http://schemas.microsoft.com/office/drawing/2014/main" id="{00000000-0008-0000-2B00-00004A000000}"/>
                </a:ext>
              </a:extLst>
            </xdr:cNvPr>
            <xdr:cNvSpPr txBox="1"/>
          </xdr:nvSpPr>
          <xdr:spPr>
            <a:xfrm>
              <a:off x="8049658" y="1026747"/>
              <a:ext cx="2935173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4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Exercício - PJ</a:t>
              </a:r>
            </a:p>
          </xdr:txBody>
        </xdr:sp>
        <xdr:cxnSp macro="">
          <xdr:nvCxnSpPr>
            <xdr:cNvPr id="75" name="Conector reto 74">
              <a:extLst>
                <a:ext uri="{FF2B5EF4-FFF2-40B4-BE49-F238E27FC236}">
                  <a16:creationId xmlns:a16="http://schemas.microsoft.com/office/drawing/2014/main" id="{00000000-0008-0000-2B00-00004B000000}"/>
                </a:ext>
              </a:extLst>
            </xdr:cNvPr>
            <xdr:cNvCxnSpPr/>
          </xdr:nvCxnSpPr>
          <xdr:spPr>
            <a:xfrm>
              <a:off x="7926917" y="1566333"/>
              <a:ext cx="3174401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41" name="CaixaDeTexto 140">
            <a:extLst>
              <a:ext uri="{FF2B5EF4-FFF2-40B4-BE49-F238E27FC236}">
                <a16:creationId xmlns:a16="http://schemas.microsoft.com/office/drawing/2014/main" id="{00000000-0008-0000-2B00-00008D000000}"/>
              </a:ext>
            </a:extLst>
          </xdr:cNvPr>
          <xdr:cNvSpPr txBox="1"/>
        </xdr:nvSpPr>
        <xdr:spPr>
          <a:xfrm>
            <a:off x="10287264" y="3833650"/>
            <a:ext cx="1769456" cy="10483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4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Previsto</a:t>
            </a:r>
          </a:p>
        </xdr:txBody>
      </xdr:sp>
      <xdr:sp macro="" textlink="">
        <xdr:nvSpPr>
          <xdr:cNvPr id="142" name="CaixaDeTexto 141">
            <a:extLst>
              <a:ext uri="{FF2B5EF4-FFF2-40B4-BE49-F238E27FC236}">
                <a16:creationId xmlns:a16="http://schemas.microsoft.com/office/drawing/2014/main" id="{00000000-0008-0000-2B00-00008E000000}"/>
              </a:ext>
            </a:extLst>
          </xdr:cNvPr>
          <xdr:cNvSpPr txBox="1"/>
        </xdr:nvSpPr>
        <xdr:spPr>
          <a:xfrm>
            <a:off x="10287264" y="2530376"/>
            <a:ext cx="1769456" cy="10483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4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Executado</a:t>
            </a:r>
          </a:p>
        </xdr:txBody>
      </xdr:sp>
      <xdr:sp macro="" textlink="">
        <xdr:nvSpPr>
          <xdr:cNvPr id="143" name="CaixaDeTexto 142">
            <a:extLst>
              <a:ext uri="{FF2B5EF4-FFF2-40B4-BE49-F238E27FC236}">
                <a16:creationId xmlns:a16="http://schemas.microsoft.com/office/drawing/2014/main" id="{00000000-0008-0000-2B00-00008F000000}"/>
              </a:ext>
            </a:extLst>
          </xdr:cNvPr>
          <xdr:cNvSpPr txBox="1"/>
        </xdr:nvSpPr>
        <xdr:spPr>
          <a:xfrm>
            <a:off x="10287264" y="5136924"/>
            <a:ext cx="1769456" cy="10483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4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% de execução</a:t>
            </a:r>
          </a:p>
        </xdr:txBody>
      </xdr:sp>
      <xdr:sp macro="" textlink="">
        <xdr:nvSpPr>
          <xdr:cNvPr id="144" name="CaixaDeTexto 143">
            <a:extLst>
              <a:ext uri="{FF2B5EF4-FFF2-40B4-BE49-F238E27FC236}">
                <a16:creationId xmlns:a16="http://schemas.microsoft.com/office/drawing/2014/main" id="{00000000-0008-0000-2B00-000090000000}"/>
              </a:ext>
            </a:extLst>
          </xdr:cNvPr>
          <xdr:cNvSpPr txBox="1"/>
        </xdr:nvSpPr>
        <xdr:spPr>
          <a:xfrm>
            <a:off x="10287264" y="6440198"/>
            <a:ext cx="1769456" cy="10483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 eaLnBrk="1" fontAlgn="auto" latinLnBrk="0" hangingPunct="1"/>
            <a:r>
              <a:rPr lang="pt-BR" sz="20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Variação frente a 2021</a:t>
            </a:r>
          </a:p>
        </xdr:txBody>
      </xdr:sp>
      <xdr:sp macro="" textlink="'Dados - Receita e Qntd'!K31">
        <xdr:nvSpPr>
          <xdr:cNvPr id="137" name="CaixaDeTexto 136">
            <a:extLst>
              <a:ext uri="{FF2B5EF4-FFF2-40B4-BE49-F238E27FC236}">
                <a16:creationId xmlns:a16="http://schemas.microsoft.com/office/drawing/2014/main" id="{00000000-0008-0000-2B00-000089000000}"/>
              </a:ext>
            </a:extLst>
          </xdr:cNvPr>
          <xdr:cNvSpPr txBox="1"/>
        </xdr:nvSpPr>
        <xdr:spPr>
          <a:xfrm>
            <a:off x="12160065" y="3830123"/>
            <a:ext cx="1884020" cy="1048304"/>
          </a:xfrm>
          <a:prstGeom prst="rect">
            <a:avLst/>
          </a:prstGeom>
          <a:noFill/>
          <a:ln w="3810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8470D64F-1634-4C5F-B975-2BA0582D64F4}" type="TxLink">
              <a:rPr lang="en-US" sz="21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algn="ctr"/>
              <a:t>R$ 1.186.094</a:t>
            </a:fld>
            <a:endParaRPr lang="pt-BR" sz="2100" b="1">
              <a:ln>
                <a:noFill/>
              </a:ln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'Dados - Receita e Qntd'!J31">
        <xdr:nvSpPr>
          <xdr:cNvPr id="138" name="CaixaDeTexto 137">
            <a:extLst>
              <a:ext uri="{FF2B5EF4-FFF2-40B4-BE49-F238E27FC236}">
                <a16:creationId xmlns:a16="http://schemas.microsoft.com/office/drawing/2014/main" id="{00000000-0008-0000-2B00-00008A000000}"/>
              </a:ext>
            </a:extLst>
          </xdr:cNvPr>
          <xdr:cNvSpPr txBox="1"/>
        </xdr:nvSpPr>
        <xdr:spPr>
          <a:xfrm>
            <a:off x="12160065" y="2530377"/>
            <a:ext cx="1884020" cy="1048304"/>
          </a:xfrm>
          <a:prstGeom prst="rect">
            <a:avLst/>
          </a:prstGeom>
          <a:noFill/>
          <a:ln w="3810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1CD30FB6-03FA-4660-86DA-95C24619E24D}" type="TxLink">
              <a:rPr lang="en-US" sz="21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R$ 685.522</a:t>
            </a:fld>
            <a:endParaRPr lang="pt-BR" sz="21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sp macro="" textlink="'Dados - Receita e Qntd'!L31">
        <xdr:nvSpPr>
          <xdr:cNvPr id="139" name="CaixaDeTexto 138">
            <a:extLst>
              <a:ext uri="{FF2B5EF4-FFF2-40B4-BE49-F238E27FC236}">
                <a16:creationId xmlns:a16="http://schemas.microsoft.com/office/drawing/2014/main" id="{00000000-0008-0000-2B00-00008B000000}"/>
              </a:ext>
            </a:extLst>
          </xdr:cNvPr>
          <xdr:cNvSpPr txBox="1"/>
        </xdr:nvSpPr>
        <xdr:spPr>
          <a:xfrm>
            <a:off x="12160065" y="5129869"/>
            <a:ext cx="1884020" cy="1048304"/>
          </a:xfrm>
          <a:prstGeom prst="rect">
            <a:avLst/>
          </a:prstGeom>
          <a:noFill/>
          <a:ln w="3810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A827DA3-1712-4922-9701-6D74B77C9B5F}" type="TxLink">
              <a:rPr lang="en-US" sz="21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algn="ctr"/>
              <a:t>57,8%</a:t>
            </a:fld>
            <a:endParaRPr lang="pt-BR" sz="2100" b="1">
              <a:ln>
                <a:noFill/>
              </a:ln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'Dados - Receita e Qntd'!BE31">
        <xdr:nvSpPr>
          <xdr:cNvPr id="140" name="CaixaDeTexto 139">
            <a:extLst>
              <a:ext uri="{FF2B5EF4-FFF2-40B4-BE49-F238E27FC236}">
                <a16:creationId xmlns:a16="http://schemas.microsoft.com/office/drawing/2014/main" id="{00000000-0008-0000-2B00-00008C000000}"/>
              </a:ext>
            </a:extLst>
          </xdr:cNvPr>
          <xdr:cNvSpPr txBox="1"/>
        </xdr:nvSpPr>
        <xdr:spPr>
          <a:xfrm>
            <a:off x="12160065" y="6429615"/>
            <a:ext cx="1884020" cy="1048304"/>
          </a:xfrm>
          <a:prstGeom prst="rect">
            <a:avLst/>
          </a:prstGeom>
          <a:noFill/>
          <a:ln w="3810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E0793FF7-A19E-40A3-8745-9CC3E27D01F8}" type="TxLink">
              <a:rPr lang="en-US" sz="21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-28,0%</a:t>
            </a:fld>
            <a:endParaRPr lang="pt-BR" sz="21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</xdr:grpSp>
    <xdr:clientData/>
  </xdr:twoCellAnchor>
  <xdr:twoCellAnchor>
    <xdr:from>
      <xdr:col>7</xdr:col>
      <xdr:colOff>568443</xdr:colOff>
      <xdr:row>9</xdr:row>
      <xdr:rowOff>98192</xdr:rowOff>
    </xdr:from>
    <xdr:to>
      <xdr:col>14</xdr:col>
      <xdr:colOff>163559</xdr:colOff>
      <xdr:row>33</xdr:row>
      <xdr:rowOff>8312</xdr:rowOff>
    </xdr:to>
    <xdr:grpSp>
      <xdr:nvGrpSpPr>
        <xdr:cNvPr id="9" name="Agrupar 8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GrpSpPr/>
      </xdr:nvGrpSpPr>
      <xdr:grpSpPr>
        <a:xfrm>
          <a:off x="4805084" y="2370301"/>
          <a:ext cx="3831756" cy="4444417"/>
          <a:chOff x="4865276" y="2384192"/>
          <a:chExt cx="3891950" cy="4492703"/>
        </a:xfrm>
      </xdr:grpSpPr>
      <xdr:grpSp>
        <xdr:nvGrpSpPr>
          <xdr:cNvPr id="42" name="Grupo 41">
            <a:extLst>
              <a:ext uri="{FF2B5EF4-FFF2-40B4-BE49-F238E27FC236}">
                <a16:creationId xmlns:a16="http://schemas.microsoft.com/office/drawing/2014/main" id="{00000000-0008-0000-2B00-00002A000000}"/>
              </a:ext>
            </a:extLst>
          </xdr:cNvPr>
          <xdr:cNvGrpSpPr/>
        </xdr:nvGrpSpPr>
        <xdr:grpSpPr>
          <a:xfrm>
            <a:off x="4865276" y="2384192"/>
            <a:ext cx="3891950" cy="540939"/>
            <a:chOff x="7196124" y="1026747"/>
            <a:chExt cx="4617748" cy="539586"/>
          </a:xfrm>
        </xdr:grpSpPr>
        <xdr:sp macro="" textlink="">
          <xdr:nvSpPr>
            <xdr:cNvPr id="43" name="CaixaDeTexto 42">
              <a:extLst>
                <a:ext uri="{FF2B5EF4-FFF2-40B4-BE49-F238E27FC236}">
                  <a16:creationId xmlns:a16="http://schemas.microsoft.com/office/drawing/2014/main" id="{00000000-0008-0000-2B00-00002B000000}"/>
                </a:ext>
              </a:extLst>
            </xdr:cNvPr>
            <xdr:cNvSpPr txBox="1"/>
          </xdr:nvSpPr>
          <xdr:spPr>
            <a:xfrm>
              <a:off x="7196124" y="1026747"/>
              <a:ext cx="4617748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4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Exercícios Anteriores - PF</a:t>
              </a:r>
            </a:p>
          </xdr:txBody>
        </xdr:sp>
        <xdr:cxnSp macro="">
          <xdr:nvCxnSpPr>
            <xdr:cNvPr id="44" name="Conector reto 43">
              <a:extLst>
                <a:ext uri="{FF2B5EF4-FFF2-40B4-BE49-F238E27FC236}">
                  <a16:creationId xmlns:a16="http://schemas.microsoft.com/office/drawing/2014/main" id="{00000000-0008-0000-2B00-00002C000000}"/>
                </a:ext>
              </a:extLst>
            </xdr:cNvPr>
            <xdr:cNvCxnSpPr/>
          </xdr:nvCxnSpPr>
          <xdr:spPr>
            <a:xfrm>
              <a:off x="7572662" y="1566333"/>
              <a:ext cx="3896064" cy="0"/>
            </a:xfrm>
            <a:prstGeom prst="line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</xdr:cxnSp>
      </xdr:grpSp>
      <xdr:grpSp>
        <xdr:nvGrpSpPr>
          <xdr:cNvPr id="146" name="Agrupar 145">
            <a:extLst>
              <a:ext uri="{FF2B5EF4-FFF2-40B4-BE49-F238E27FC236}">
                <a16:creationId xmlns:a16="http://schemas.microsoft.com/office/drawing/2014/main" id="{00000000-0008-0000-2B00-000092000000}"/>
              </a:ext>
            </a:extLst>
          </xdr:cNvPr>
          <xdr:cNvGrpSpPr/>
        </xdr:nvGrpSpPr>
        <xdr:grpSpPr>
          <a:xfrm>
            <a:off x="4992417" y="3217338"/>
            <a:ext cx="1769459" cy="3648978"/>
            <a:chOff x="10108405" y="2521220"/>
            <a:chExt cx="1762129" cy="3646772"/>
          </a:xfrm>
          <a:noFill/>
        </xdr:grpSpPr>
        <xdr:sp macro="" textlink="">
          <xdr:nvSpPr>
            <xdr:cNvPr id="152" name="CaixaDeTexto 151">
              <a:extLst>
                <a:ext uri="{FF2B5EF4-FFF2-40B4-BE49-F238E27FC236}">
                  <a16:creationId xmlns:a16="http://schemas.microsoft.com/office/drawing/2014/main" id="{00000000-0008-0000-2B00-000098000000}"/>
                </a:ext>
              </a:extLst>
            </xdr:cNvPr>
            <xdr:cNvSpPr txBox="1"/>
          </xdr:nvSpPr>
          <xdr:spPr>
            <a:xfrm>
              <a:off x="10108405" y="3820732"/>
              <a:ext cx="1762125" cy="10477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24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Previsto</a:t>
              </a:r>
            </a:p>
          </xdr:txBody>
        </xdr:sp>
        <xdr:sp macro="" textlink="">
          <xdr:nvSpPr>
            <xdr:cNvPr id="153" name="CaixaDeTexto 152">
              <a:extLst>
                <a:ext uri="{FF2B5EF4-FFF2-40B4-BE49-F238E27FC236}">
                  <a16:creationId xmlns:a16="http://schemas.microsoft.com/office/drawing/2014/main" id="{00000000-0008-0000-2B00-000099000000}"/>
                </a:ext>
              </a:extLst>
            </xdr:cNvPr>
            <xdr:cNvSpPr txBox="1"/>
          </xdr:nvSpPr>
          <xdr:spPr>
            <a:xfrm>
              <a:off x="10108409" y="2521220"/>
              <a:ext cx="1762125" cy="10477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24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Executado</a:t>
              </a:r>
            </a:p>
          </xdr:txBody>
        </xdr:sp>
        <xdr:sp macro="" textlink="">
          <xdr:nvSpPr>
            <xdr:cNvPr id="154" name="CaixaDeTexto 153">
              <a:extLst>
                <a:ext uri="{FF2B5EF4-FFF2-40B4-BE49-F238E27FC236}">
                  <a16:creationId xmlns:a16="http://schemas.microsoft.com/office/drawing/2014/main" id="{00000000-0008-0000-2B00-00009A000000}"/>
                </a:ext>
              </a:extLst>
            </xdr:cNvPr>
            <xdr:cNvSpPr txBox="1"/>
          </xdr:nvSpPr>
          <xdr:spPr>
            <a:xfrm>
              <a:off x="10108405" y="5120242"/>
              <a:ext cx="1762125" cy="10477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24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% de execução</a:t>
              </a:r>
            </a:p>
          </xdr:txBody>
        </xdr:sp>
      </xdr:grpSp>
      <xdr:sp macro="" textlink="'Dados - Receita e Qntd'!H31">
        <xdr:nvSpPr>
          <xdr:cNvPr id="148" name="CaixaDeTexto 147">
            <a:extLst>
              <a:ext uri="{FF2B5EF4-FFF2-40B4-BE49-F238E27FC236}">
                <a16:creationId xmlns:a16="http://schemas.microsoft.com/office/drawing/2014/main" id="{00000000-0008-0000-2B00-000094000000}"/>
              </a:ext>
            </a:extLst>
          </xdr:cNvPr>
          <xdr:cNvSpPr txBox="1"/>
        </xdr:nvSpPr>
        <xdr:spPr>
          <a:xfrm>
            <a:off x="6865223" y="4512341"/>
            <a:ext cx="1876612" cy="1048383"/>
          </a:xfrm>
          <a:prstGeom prst="rect">
            <a:avLst/>
          </a:prstGeom>
          <a:noFill/>
          <a:ln w="3810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D6031DF3-8A14-46F5-B108-45CBFCE82843}" type="TxLink">
              <a:rPr lang="en-US" sz="21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algn="ctr"/>
              <a:t>R$ 3.338.414</a:t>
            </a:fld>
            <a:endParaRPr lang="pt-BR" sz="2100" b="1">
              <a:ln>
                <a:noFill/>
              </a:ln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'Dados - Receita e Qntd'!G31">
        <xdr:nvSpPr>
          <xdr:cNvPr id="149" name="CaixaDeTexto 148">
            <a:extLst>
              <a:ext uri="{FF2B5EF4-FFF2-40B4-BE49-F238E27FC236}">
                <a16:creationId xmlns:a16="http://schemas.microsoft.com/office/drawing/2014/main" id="{00000000-0008-0000-2B00-000095000000}"/>
              </a:ext>
            </a:extLst>
          </xdr:cNvPr>
          <xdr:cNvSpPr txBox="1"/>
        </xdr:nvSpPr>
        <xdr:spPr>
          <a:xfrm>
            <a:off x="6865223" y="3196169"/>
            <a:ext cx="1876612" cy="1048383"/>
          </a:xfrm>
          <a:prstGeom prst="rect">
            <a:avLst/>
          </a:prstGeom>
          <a:noFill/>
          <a:ln w="3810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2C524639-9B97-4B53-8B6E-395E6DEF3CEB}" type="TxLink">
              <a:rPr lang="en-US" sz="21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R$ 2.738.178</a:t>
            </a:fld>
            <a:endParaRPr lang="pt-BR" sz="21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sp macro="" textlink="'Dados - Receita e Qntd'!I31">
        <xdr:nvSpPr>
          <xdr:cNvPr id="150" name="CaixaDeTexto 149">
            <a:extLst>
              <a:ext uri="{FF2B5EF4-FFF2-40B4-BE49-F238E27FC236}">
                <a16:creationId xmlns:a16="http://schemas.microsoft.com/office/drawing/2014/main" id="{00000000-0008-0000-2B00-000096000000}"/>
              </a:ext>
            </a:extLst>
          </xdr:cNvPr>
          <xdr:cNvSpPr txBox="1"/>
        </xdr:nvSpPr>
        <xdr:spPr>
          <a:xfrm>
            <a:off x="6865223" y="5828512"/>
            <a:ext cx="1876612" cy="1048383"/>
          </a:xfrm>
          <a:prstGeom prst="rect">
            <a:avLst/>
          </a:prstGeom>
          <a:noFill/>
          <a:ln w="3810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427440B-C92A-46A7-A77B-72D1938BC8DA}" type="TxLink">
              <a:rPr lang="en-US" sz="21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algn="ctr"/>
              <a:t>82,0%</a:t>
            </a:fld>
            <a:endParaRPr lang="pt-BR" sz="2100" b="1">
              <a:ln>
                <a:noFill/>
              </a:ln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23</xdr:col>
      <xdr:colOff>176754</xdr:colOff>
      <xdr:row>9</xdr:row>
      <xdr:rowOff>132757</xdr:rowOff>
    </xdr:from>
    <xdr:to>
      <xdr:col>28</xdr:col>
      <xdr:colOff>1029461</xdr:colOff>
      <xdr:row>33</xdr:row>
      <xdr:rowOff>8312</xdr:rowOff>
    </xdr:to>
    <xdr:grpSp>
      <xdr:nvGrpSpPr>
        <xdr:cNvPr id="12" name="Agrupar 11">
          <a:extLst>
            <a:ext uri="{FF2B5EF4-FFF2-40B4-BE49-F238E27FC236}">
              <a16:creationId xmlns:a16="http://schemas.microsoft.com/office/drawing/2014/main" id="{00000000-0008-0000-2B00-00000C000000}"/>
            </a:ext>
          </a:extLst>
        </xdr:cNvPr>
        <xdr:cNvGrpSpPr/>
      </xdr:nvGrpSpPr>
      <xdr:grpSpPr>
        <a:xfrm>
          <a:off x="14097145" y="2404866"/>
          <a:ext cx="3868957" cy="4409852"/>
          <a:chOff x="14294921" y="2418757"/>
          <a:chExt cx="3911290" cy="4458138"/>
        </a:xfrm>
      </xdr:grpSpPr>
      <xdr:grpSp>
        <xdr:nvGrpSpPr>
          <xdr:cNvPr id="83" name="Grupo 82">
            <a:extLst>
              <a:ext uri="{FF2B5EF4-FFF2-40B4-BE49-F238E27FC236}">
                <a16:creationId xmlns:a16="http://schemas.microsoft.com/office/drawing/2014/main" id="{00000000-0008-0000-2B00-000053000000}"/>
              </a:ext>
            </a:extLst>
          </xdr:cNvPr>
          <xdr:cNvGrpSpPr/>
        </xdr:nvGrpSpPr>
        <xdr:grpSpPr>
          <a:xfrm>
            <a:off x="14294921" y="2418757"/>
            <a:ext cx="3911290" cy="540939"/>
            <a:chOff x="7189546" y="1026747"/>
            <a:chExt cx="4617745" cy="539586"/>
          </a:xfrm>
        </xdr:grpSpPr>
        <xdr:sp macro="" textlink="">
          <xdr:nvSpPr>
            <xdr:cNvPr id="84" name="CaixaDeTexto 83">
              <a:extLst>
                <a:ext uri="{FF2B5EF4-FFF2-40B4-BE49-F238E27FC236}">
                  <a16:creationId xmlns:a16="http://schemas.microsoft.com/office/drawing/2014/main" id="{00000000-0008-0000-2B00-000054000000}"/>
                </a:ext>
              </a:extLst>
            </xdr:cNvPr>
            <xdr:cNvSpPr txBox="1"/>
          </xdr:nvSpPr>
          <xdr:spPr>
            <a:xfrm>
              <a:off x="7189546" y="1026747"/>
              <a:ext cx="4617745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24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Exercícios Anteriores - PJ</a:t>
              </a:r>
            </a:p>
          </xdr:txBody>
        </xdr:sp>
        <xdr:cxnSp macro="">
          <xdr:nvCxnSpPr>
            <xdr:cNvPr id="85" name="Conector reto 84">
              <a:extLst>
                <a:ext uri="{FF2B5EF4-FFF2-40B4-BE49-F238E27FC236}">
                  <a16:creationId xmlns:a16="http://schemas.microsoft.com/office/drawing/2014/main" id="{00000000-0008-0000-2B00-000055000000}"/>
                </a:ext>
              </a:extLst>
            </xdr:cNvPr>
            <xdr:cNvCxnSpPr/>
          </xdr:nvCxnSpPr>
          <xdr:spPr>
            <a:xfrm>
              <a:off x="7572662" y="1566333"/>
              <a:ext cx="3896064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1" name="Agrupar 10">
            <a:extLst>
              <a:ext uri="{FF2B5EF4-FFF2-40B4-BE49-F238E27FC236}">
                <a16:creationId xmlns:a16="http://schemas.microsoft.com/office/drawing/2014/main" id="{00000000-0008-0000-2B00-00000B000000}"/>
              </a:ext>
            </a:extLst>
          </xdr:cNvPr>
          <xdr:cNvGrpSpPr/>
        </xdr:nvGrpSpPr>
        <xdr:grpSpPr>
          <a:xfrm>
            <a:off x="14408414" y="3227919"/>
            <a:ext cx="3673609" cy="3648976"/>
            <a:chOff x="14408414" y="3227919"/>
            <a:chExt cx="3673609" cy="3648976"/>
          </a:xfrm>
        </xdr:grpSpPr>
        <xdr:sp macro="" textlink="">
          <xdr:nvSpPr>
            <xdr:cNvPr id="163" name="CaixaDeTexto 162">
              <a:extLst>
                <a:ext uri="{FF2B5EF4-FFF2-40B4-BE49-F238E27FC236}">
                  <a16:creationId xmlns:a16="http://schemas.microsoft.com/office/drawing/2014/main" id="{00000000-0008-0000-2B00-0000A3000000}"/>
                </a:ext>
              </a:extLst>
            </xdr:cNvPr>
            <xdr:cNvSpPr txBox="1"/>
          </xdr:nvSpPr>
          <xdr:spPr>
            <a:xfrm>
              <a:off x="14408414" y="4528215"/>
              <a:ext cx="1766936" cy="104838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24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Previsto</a:t>
              </a:r>
            </a:p>
          </xdr:txBody>
        </xdr:sp>
        <xdr:sp macro="" textlink="">
          <xdr:nvSpPr>
            <xdr:cNvPr id="164" name="CaixaDeTexto 163">
              <a:extLst>
                <a:ext uri="{FF2B5EF4-FFF2-40B4-BE49-F238E27FC236}">
                  <a16:creationId xmlns:a16="http://schemas.microsoft.com/office/drawing/2014/main" id="{00000000-0008-0000-2B00-0000A4000000}"/>
                </a:ext>
              </a:extLst>
            </xdr:cNvPr>
            <xdr:cNvSpPr txBox="1"/>
          </xdr:nvSpPr>
          <xdr:spPr>
            <a:xfrm>
              <a:off x="14408414" y="3227919"/>
              <a:ext cx="1766936" cy="104838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24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Executado</a:t>
              </a:r>
            </a:p>
          </xdr:txBody>
        </xdr:sp>
        <xdr:sp macro="" textlink="">
          <xdr:nvSpPr>
            <xdr:cNvPr id="165" name="CaixaDeTexto 164">
              <a:extLst>
                <a:ext uri="{FF2B5EF4-FFF2-40B4-BE49-F238E27FC236}">
                  <a16:creationId xmlns:a16="http://schemas.microsoft.com/office/drawing/2014/main" id="{00000000-0008-0000-2B00-0000A5000000}"/>
                </a:ext>
              </a:extLst>
            </xdr:cNvPr>
            <xdr:cNvSpPr txBox="1"/>
          </xdr:nvSpPr>
          <xdr:spPr>
            <a:xfrm>
              <a:off x="14408414" y="5828512"/>
              <a:ext cx="1766936" cy="104838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24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% de execução</a:t>
              </a:r>
            </a:p>
          </xdr:txBody>
        </xdr:sp>
        <xdr:sp macro="" textlink="'Dados - Receita e Qntd'!N31">
          <xdr:nvSpPr>
            <xdr:cNvPr id="160" name="CaixaDeTexto 159">
              <a:extLst>
                <a:ext uri="{FF2B5EF4-FFF2-40B4-BE49-F238E27FC236}">
                  <a16:creationId xmlns:a16="http://schemas.microsoft.com/office/drawing/2014/main" id="{00000000-0008-0000-2B00-0000A0000000}"/>
                </a:ext>
              </a:extLst>
            </xdr:cNvPr>
            <xdr:cNvSpPr txBox="1"/>
          </xdr:nvSpPr>
          <xdr:spPr>
            <a:xfrm>
              <a:off x="16315087" y="4528216"/>
              <a:ext cx="1766936" cy="1048383"/>
            </a:xfrm>
            <a:prstGeom prst="rect">
              <a:avLst/>
            </a:prstGeom>
            <a:noFill/>
            <a:ln w="38100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00E226DC-C49C-45A9-B96E-F56B3CCE8F1F}" type="TxLink">
                <a:rPr lang="en-US" sz="2100" b="1" i="0" u="none" strike="noStrike">
                  <a:ln>
                    <a:noFill/>
                  </a:ln>
                  <a:solidFill>
                    <a:sysClr val="windowText" lastClr="000000"/>
                  </a:solidFill>
                  <a:effectLst/>
                  <a:latin typeface="Calibri"/>
                  <a:ea typeface="+mn-ea"/>
                  <a:cs typeface="Calibri"/>
                </a:rPr>
                <a:pPr algn="ctr"/>
                <a:t>R$ 592.290</a:t>
              </a:fld>
              <a:endParaRPr lang="pt-BR" sz="2100" b="1">
                <a:ln>
                  <a:noFill/>
                </a:ln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'Dados - Receita e Qntd'!M31">
          <xdr:nvSpPr>
            <xdr:cNvPr id="161" name="CaixaDeTexto 160">
              <a:extLst>
                <a:ext uri="{FF2B5EF4-FFF2-40B4-BE49-F238E27FC236}">
                  <a16:creationId xmlns:a16="http://schemas.microsoft.com/office/drawing/2014/main" id="{00000000-0008-0000-2B00-0000A1000000}"/>
                </a:ext>
              </a:extLst>
            </xdr:cNvPr>
            <xdr:cNvSpPr txBox="1"/>
          </xdr:nvSpPr>
          <xdr:spPr>
            <a:xfrm>
              <a:off x="16315087" y="3227919"/>
              <a:ext cx="1766936" cy="1048383"/>
            </a:xfrm>
            <a:prstGeom prst="rect">
              <a:avLst/>
            </a:prstGeom>
            <a:noFill/>
            <a:ln w="38100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E063E536-534A-49F8-AFC3-EB1B16CF9B51}" type="TxLink">
                <a:rPr lang="en-US" sz="2100" b="1" i="0" u="none" strike="noStrike">
                  <a:ln>
                    <a:noFill/>
                  </a:ln>
                  <a:solidFill>
                    <a:sysClr val="windowText" lastClr="000000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R$ 564.953</a:t>
              </a:fld>
              <a:endParaRPr lang="pt-BR" sz="21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O31">
          <xdr:nvSpPr>
            <xdr:cNvPr id="162" name="CaixaDeTexto 161">
              <a:extLst>
                <a:ext uri="{FF2B5EF4-FFF2-40B4-BE49-F238E27FC236}">
                  <a16:creationId xmlns:a16="http://schemas.microsoft.com/office/drawing/2014/main" id="{00000000-0008-0000-2B00-0000A2000000}"/>
                </a:ext>
              </a:extLst>
            </xdr:cNvPr>
            <xdr:cNvSpPr txBox="1"/>
          </xdr:nvSpPr>
          <xdr:spPr>
            <a:xfrm>
              <a:off x="16315087" y="5828512"/>
              <a:ext cx="1766936" cy="1048383"/>
            </a:xfrm>
            <a:prstGeom prst="rect">
              <a:avLst/>
            </a:prstGeom>
            <a:noFill/>
            <a:ln w="38100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fld id="{E8473493-C77D-43B1-87A6-C09BBB4DFD91}" type="TxLink">
                <a:rPr lang="en-US" sz="2100" b="1" i="0" u="none" strike="noStrike">
                  <a:ln>
                    <a:noFill/>
                  </a:ln>
                  <a:solidFill>
                    <a:sysClr val="windowText" lastClr="000000"/>
                  </a:solidFill>
                  <a:effectLst/>
                  <a:latin typeface="Calibri"/>
                  <a:ea typeface="+mn-ea"/>
                  <a:cs typeface="Calibri"/>
                </a:rPr>
                <a:pPr algn="ctr"/>
                <a:t>95,4%</a:t>
              </a:fld>
              <a:endParaRPr lang="pt-BR" sz="2100" b="1">
                <a:ln>
                  <a:noFill/>
                </a:ln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  <xdr:twoCellAnchor>
    <xdr:from>
      <xdr:col>0</xdr:col>
      <xdr:colOff>13608</xdr:colOff>
      <xdr:row>1</xdr:row>
      <xdr:rowOff>13607</xdr:rowOff>
    </xdr:from>
    <xdr:to>
      <xdr:col>0</xdr:col>
      <xdr:colOff>523875</xdr:colOff>
      <xdr:row>37</xdr:row>
      <xdr:rowOff>0</xdr:rowOff>
    </xdr:to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2B00-000039000000}"/>
            </a:ext>
          </a:extLst>
        </xdr:cNvPr>
        <xdr:cNvSpPr txBox="1"/>
      </xdr:nvSpPr>
      <xdr:spPr>
        <a:xfrm>
          <a:off x="13608" y="775607"/>
          <a:ext cx="510267" cy="73563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0</xdr:colOff>
      <xdr:row>37</xdr:row>
      <xdr:rowOff>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520833" cy="813858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21</xdr:col>
      <xdr:colOff>589176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/>
      </xdr:nvSpPr>
      <xdr:spPr>
        <a:xfrm>
          <a:off x="3578259" y="0"/>
          <a:ext cx="9812517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3</xdr:col>
      <xdr:colOff>114675</xdr:colOff>
      <xdr:row>2</xdr:row>
      <xdr:rowOff>15927</xdr:rowOff>
    </xdr:from>
    <xdr:to>
      <xdr:col>27</xdr:col>
      <xdr:colOff>79542</xdr:colOff>
      <xdr:row>4</xdr:row>
      <xdr:rowOff>128415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pSpPr/>
      </xdr:nvGrpSpPr>
      <xdr:grpSpPr>
        <a:xfrm>
          <a:off x="1930378" y="968427"/>
          <a:ext cx="14490492" cy="489519"/>
          <a:chOff x="1941118" y="968427"/>
          <a:chExt cx="1457641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C00-000005000000}"/>
              </a:ext>
            </a:extLst>
          </xdr:cNvPr>
          <xdr:cNvSpPr txBox="1"/>
        </xdr:nvSpPr>
        <xdr:spPr>
          <a:xfrm>
            <a:off x="194111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de Arrecadação - RRT e Taxas e Multas - CAU/BR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C00-000006000000}"/>
              </a:ext>
            </a:extLst>
          </xdr:cNvPr>
          <xdr:cNvCxnSpPr/>
        </xdr:nvCxnSpPr>
        <xdr:spPr>
          <a:xfrm>
            <a:off x="2443325" y="1454059"/>
            <a:ext cx="1357200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24</xdr:col>
      <xdr:colOff>441882</xdr:colOff>
      <xdr:row>1</xdr:row>
      <xdr:rowOff>88377</xdr:rowOff>
    </xdr:from>
    <xdr:to>
      <xdr:col>26</xdr:col>
      <xdr:colOff>157114</xdr:colOff>
      <xdr:row>4</xdr:row>
      <xdr:rowOff>78557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2C00-00000E000000}"/>
            </a:ext>
          </a:extLst>
        </xdr:cNvPr>
        <xdr:cNvSpPr txBox="1"/>
      </xdr:nvSpPr>
      <xdr:spPr>
        <a:xfrm>
          <a:off x="15072282" y="850377"/>
          <a:ext cx="934432" cy="561680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20%</a:t>
          </a:r>
        </a:p>
      </xdr:txBody>
    </xdr: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64" name="CaixaDeTexto 63">
          <a:hlinkClick xmlns:r="http://schemas.openxmlformats.org/officeDocument/2006/relationships" r:id="rId3" tooltip="Voltar para a tela principal"/>
          <a:extLst>
            <a:ext uri="{FF2B5EF4-FFF2-40B4-BE49-F238E27FC236}">
              <a16:creationId xmlns:a16="http://schemas.microsoft.com/office/drawing/2014/main" id="{00000000-0008-0000-2C00-000040000000}"/>
            </a:ext>
          </a:extLst>
        </xdr:cNvPr>
        <xdr:cNvSpPr txBox="1"/>
      </xdr:nvSpPr>
      <xdr:spPr>
        <a:xfrm>
          <a:off x="1732175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5</xdr:col>
      <xdr:colOff>195793</xdr:colOff>
      <xdr:row>5</xdr:row>
      <xdr:rowOff>162220</xdr:rowOff>
    </xdr:from>
    <xdr:to>
      <xdr:col>25</xdr:col>
      <xdr:colOff>85299</xdr:colOff>
      <xdr:row>36</xdr:row>
      <xdr:rowOff>510994</xdr:rowOff>
    </xdr:to>
    <xdr:grpSp>
      <xdr:nvGrpSpPr>
        <xdr:cNvPr id="9" name="Agrupar 8"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GrpSpPr/>
      </xdr:nvGrpSpPr>
      <xdr:grpSpPr>
        <a:xfrm>
          <a:off x="3221965" y="1680267"/>
          <a:ext cx="11994193" cy="6202680"/>
          <a:chOff x="3264960" y="1686220"/>
          <a:chExt cx="12166172" cy="6264857"/>
        </a:xfrm>
      </xdr:grpSpPr>
      <xdr:sp macro="" textlink="'Dados - Receita e Qntd'!P31">
        <xdr:nvSpPr>
          <xdr:cNvPr id="21" name="CaixaDeTexto 20">
            <a:extLst>
              <a:ext uri="{FF2B5EF4-FFF2-40B4-BE49-F238E27FC236}">
                <a16:creationId xmlns:a16="http://schemas.microsoft.com/office/drawing/2014/main" id="{00000000-0008-0000-2C00-000015000000}"/>
              </a:ext>
            </a:extLst>
          </xdr:cNvPr>
          <xdr:cNvSpPr txBox="1"/>
        </xdr:nvSpPr>
        <xdr:spPr>
          <a:xfrm>
            <a:off x="6094097" y="2409011"/>
            <a:ext cx="2668905" cy="115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8EEDFE0A-5E5F-4295-BFDF-E7AA1A9A1EE0}" type="TxLink">
              <a:rPr lang="en-US" sz="28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R$ 16.632.785</a:t>
            </a:fld>
            <a:endParaRPr lang="pt-BR" sz="28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sp macro="" textlink="'Dados - Receita e Qntd'!Q31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2C00-000016000000}"/>
              </a:ext>
            </a:extLst>
          </xdr:cNvPr>
          <xdr:cNvSpPr txBox="1"/>
        </xdr:nvSpPr>
        <xdr:spPr>
          <a:xfrm>
            <a:off x="6094096" y="3865508"/>
            <a:ext cx="2668905" cy="115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BD694BF6-F7C9-44AD-9B27-591F515E8388}" type="TxLink">
              <a:rPr lang="en-US" sz="28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R$ 21.638.045</a:t>
            </a:fld>
            <a:endParaRPr lang="pt-BR" sz="28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sp macro="" textlink="'Dados - Receita e Qntd'!R31">
        <xdr:nvSpPr>
          <xdr:cNvPr id="23" name="CaixaDeTexto 22">
            <a:extLst>
              <a:ext uri="{FF2B5EF4-FFF2-40B4-BE49-F238E27FC236}">
                <a16:creationId xmlns:a16="http://schemas.microsoft.com/office/drawing/2014/main" id="{00000000-0008-0000-2C00-000017000000}"/>
              </a:ext>
            </a:extLst>
          </xdr:cNvPr>
          <xdr:cNvSpPr txBox="1"/>
        </xdr:nvSpPr>
        <xdr:spPr>
          <a:xfrm>
            <a:off x="6094097" y="5334008"/>
            <a:ext cx="2668905" cy="115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92545DA0-77DE-4A1E-AF04-BBF8FBA2C345}" type="TxLink">
              <a:rPr lang="en-US" sz="28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76,9%</a:t>
            </a:fld>
            <a:endParaRPr lang="pt-BR" sz="28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sp macro="" textlink="'Dados - Receita e Qntd'!BK31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2C00-000018000000}"/>
              </a:ext>
            </a:extLst>
          </xdr:cNvPr>
          <xdr:cNvSpPr txBox="1"/>
        </xdr:nvSpPr>
        <xdr:spPr>
          <a:xfrm>
            <a:off x="6094097" y="6798508"/>
            <a:ext cx="2668905" cy="115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6DF47174-2729-4572-8EE0-7B224816CD58}" type="TxLink">
              <a:rPr lang="en-US" sz="28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12,4%</a:t>
            </a:fld>
            <a:endParaRPr lang="pt-BR" sz="28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grpSp>
        <xdr:nvGrpSpPr>
          <xdr:cNvPr id="17" name="Grupo 16">
            <a:extLst>
              <a:ext uri="{FF2B5EF4-FFF2-40B4-BE49-F238E27FC236}">
                <a16:creationId xmlns:a16="http://schemas.microsoft.com/office/drawing/2014/main" id="{00000000-0008-0000-2C00-000011000000}"/>
              </a:ext>
            </a:extLst>
          </xdr:cNvPr>
          <xdr:cNvGrpSpPr/>
        </xdr:nvGrpSpPr>
        <xdr:grpSpPr>
          <a:xfrm>
            <a:off x="4652758" y="1686220"/>
            <a:ext cx="2708390" cy="541077"/>
            <a:chOff x="8427551" y="1026747"/>
            <a:chExt cx="3174401" cy="539586"/>
          </a:xfrm>
        </xdr:grpSpPr>
        <xdr:sp macro="" textlink="">
          <xdr:nvSpPr>
            <xdr:cNvPr id="18" name="CaixaDeTexto 17">
              <a:extLst>
                <a:ext uri="{FF2B5EF4-FFF2-40B4-BE49-F238E27FC236}">
                  <a16:creationId xmlns:a16="http://schemas.microsoft.com/office/drawing/2014/main" id="{00000000-0008-0000-2C00-000012000000}"/>
                </a:ext>
              </a:extLst>
            </xdr:cNvPr>
            <xdr:cNvSpPr txBox="1"/>
          </xdr:nvSpPr>
          <xdr:spPr>
            <a:xfrm>
              <a:off x="8547165" y="1026747"/>
              <a:ext cx="2935173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32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RRT</a:t>
              </a:r>
            </a:p>
          </xdr:txBody>
        </xdr:sp>
        <xdr:cxnSp macro="">
          <xdr:nvCxnSpPr>
            <xdr:cNvPr id="19" name="Conector reto 18">
              <a:extLst>
                <a:ext uri="{FF2B5EF4-FFF2-40B4-BE49-F238E27FC236}">
                  <a16:creationId xmlns:a16="http://schemas.microsoft.com/office/drawing/2014/main" id="{00000000-0008-0000-2C00-000013000000}"/>
                </a:ext>
              </a:extLst>
            </xdr:cNvPr>
            <xdr:cNvCxnSpPr/>
          </xdr:nvCxnSpPr>
          <xdr:spPr>
            <a:xfrm>
              <a:off x="8427551" y="1566333"/>
              <a:ext cx="3174401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'Dados - Receita e Qntd'!S31">
        <xdr:nvSpPr>
          <xdr:cNvPr id="60" name="CaixaDeTexto 59">
            <a:extLst>
              <a:ext uri="{FF2B5EF4-FFF2-40B4-BE49-F238E27FC236}">
                <a16:creationId xmlns:a16="http://schemas.microsoft.com/office/drawing/2014/main" id="{00000000-0008-0000-2C00-00003C000000}"/>
              </a:ext>
            </a:extLst>
          </xdr:cNvPr>
          <xdr:cNvSpPr txBox="1"/>
        </xdr:nvSpPr>
        <xdr:spPr>
          <a:xfrm>
            <a:off x="12762226" y="2409012"/>
            <a:ext cx="2668905" cy="115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11D42E40-27BD-4EAC-A00A-007D42FE7959}" type="TxLink">
              <a:rPr lang="en-US" sz="28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R$ 1.599.089</a:t>
            </a:fld>
            <a:endParaRPr lang="pt-BR" sz="28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sp macro="" textlink="'Dados - Receita e Qntd'!T31">
        <xdr:nvSpPr>
          <xdr:cNvPr id="61" name="CaixaDeTexto 60">
            <a:extLst>
              <a:ext uri="{FF2B5EF4-FFF2-40B4-BE49-F238E27FC236}">
                <a16:creationId xmlns:a16="http://schemas.microsoft.com/office/drawing/2014/main" id="{00000000-0008-0000-2C00-00003D000000}"/>
              </a:ext>
            </a:extLst>
          </xdr:cNvPr>
          <xdr:cNvSpPr txBox="1"/>
        </xdr:nvSpPr>
        <xdr:spPr>
          <a:xfrm>
            <a:off x="12762227" y="3865507"/>
            <a:ext cx="2668905" cy="115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ECA42288-544B-48B5-880F-596634B43A64}" type="TxLink">
              <a:rPr lang="en-US" sz="28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R$ 1.608.350</a:t>
            </a:fld>
            <a:endParaRPr lang="pt-BR" sz="28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sp macro="" textlink="'Dados - Receita e Qntd'!U31">
        <xdr:nvSpPr>
          <xdr:cNvPr id="62" name="CaixaDeTexto 61">
            <a:extLst>
              <a:ext uri="{FF2B5EF4-FFF2-40B4-BE49-F238E27FC236}">
                <a16:creationId xmlns:a16="http://schemas.microsoft.com/office/drawing/2014/main" id="{00000000-0008-0000-2C00-00003E000000}"/>
              </a:ext>
            </a:extLst>
          </xdr:cNvPr>
          <xdr:cNvSpPr txBox="1"/>
        </xdr:nvSpPr>
        <xdr:spPr>
          <a:xfrm>
            <a:off x="12762227" y="5344592"/>
            <a:ext cx="2668905" cy="115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6E315234-E96C-4B6D-BF37-269198BEFBDA}" type="TxLink">
              <a:rPr lang="en-US" sz="28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99,4%</a:t>
            </a:fld>
            <a:endParaRPr lang="pt-BR" sz="28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sp macro="" textlink="'Dados - Receita e Qntd'!BN31">
        <xdr:nvSpPr>
          <xdr:cNvPr id="63" name="CaixaDeTexto 62">
            <a:extLst>
              <a:ext uri="{FF2B5EF4-FFF2-40B4-BE49-F238E27FC236}">
                <a16:creationId xmlns:a16="http://schemas.microsoft.com/office/drawing/2014/main" id="{00000000-0008-0000-2C00-00003F000000}"/>
              </a:ext>
            </a:extLst>
          </xdr:cNvPr>
          <xdr:cNvSpPr txBox="1"/>
        </xdr:nvSpPr>
        <xdr:spPr>
          <a:xfrm>
            <a:off x="12762227" y="6798505"/>
            <a:ext cx="2668905" cy="115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D658F9A1-158A-4216-B0D6-0F9B56D96B74}" type="TxLink">
              <a:rPr lang="en-US" sz="28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0,9%</a:t>
            </a:fld>
            <a:endParaRPr lang="pt-BR" sz="28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grpSp>
        <xdr:nvGrpSpPr>
          <xdr:cNvPr id="56" name="Grupo 55">
            <a:extLst>
              <a:ext uri="{FF2B5EF4-FFF2-40B4-BE49-F238E27FC236}">
                <a16:creationId xmlns:a16="http://schemas.microsoft.com/office/drawing/2014/main" id="{00000000-0008-0000-2C00-000038000000}"/>
              </a:ext>
            </a:extLst>
          </xdr:cNvPr>
          <xdr:cNvGrpSpPr/>
        </xdr:nvGrpSpPr>
        <xdr:grpSpPr>
          <a:xfrm>
            <a:off x="11285366" y="1686220"/>
            <a:ext cx="2758723" cy="541077"/>
            <a:chOff x="8373509" y="1026747"/>
            <a:chExt cx="3233391" cy="539586"/>
          </a:xfrm>
        </xdr:grpSpPr>
        <xdr:sp macro="" textlink="">
          <xdr:nvSpPr>
            <xdr:cNvPr id="57" name="CaixaDeTexto 56">
              <a:extLst>
                <a:ext uri="{FF2B5EF4-FFF2-40B4-BE49-F238E27FC236}">
                  <a16:creationId xmlns:a16="http://schemas.microsoft.com/office/drawing/2014/main" id="{00000000-0008-0000-2C00-000039000000}"/>
                </a:ext>
              </a:extLst>
            </xdr:cNvPr>
            <xdr:cNvSpPr txBox="1"/>
          </xdr:nvSpPr>
          <xdr:spPr>
            <a:xfrm>
              <a:off x="8373509" y="1026747"/>
              <a:ext cx="3233391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32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Taxas e Multas</a:t>
              </a:r>
            </a:p>
          </xdr:txBody>
        </xdr:sp>
        <xdr:cxnSp macro="">
          <xdr:nvCxnSpPr>
            <xdr:cNvPr id="58" name="Conector reto 57">
              <a:extLst>
                <a:ext uri="{FF2B5EF4-FFF2-40B4-BE49-F238E27FC236}">
                  <a16:creationId xmlns:a16="http://schemas.microsoft.com/office/drawing/2014/main" id="{00000000-0008-0000-2C00-00003A000000}"/>
                </a:ext>
              </a:extLst>
            </xdr:cNvPr>
            <xdr:cNvCxnSpPr/>
          </xdr:nvCxnSpPr>
          <xdr:spPr>
            <a:xfrm>
              <a:off x="8390340" y="1566333"/>
              <a:ext cx="3174401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31" name="CaixaDeTexto 30">
            <a:extLst>
              <a:ext uri="{FF2B5EF4-FFF2-40B4-BE49-F238E27FC236}">
                <a16:creationId xmlns:a16="http://schemas.microsoft.com/office/drawing/2014/main" id="{00000000-0008-0000-2C00-00001F000000}"/>
              </a:ext>
            </a:extLst>
          </xdr:cNvPr>
          <xdr:cNvSpPr txBox="1"/>
        </xdr:nvSpPr>
        <xdr:spPr>
          <a:xfrm>
            <a:off x="3275542" y="3860914"/>
            <a:ext cx="2556000" cy="115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32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Previsto</a:t>
            </a:r>
          </a:p>
        </xdr:txBody>
      </xdr:sp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2C00-000020000000}"/>
              </a:ext>
            </a:extLst>
          </xdr:cNvPr>
          <xdr:cNvSpPr txBox="1"/>
        </xdr:nvSpPr>
        <xdr:spPr>
          <a:xfrm>
            <a:off x="3264960" y="2412999"/>
            <a:ext cx="2556000" cy="115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32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Executado</a:t>
            </a:r>
          </a:p>
        </xdr:txBody>
      </xdr:sp>
      <xdr:sp macro="" textlink="">
        <xdr:nvSpPr>
          <xdr:cNvPr id="33" name="CaixaDeTexto 32">
            <a:extLst>
              <a:ext uri="{FF2B5EF4-FFF2-40B4-BE49-F238E27FC236}">
                <a16:creationId xmlns:a16="http://schemas.microsoft.com/office/drawing/2014/main" id="{00000000-0008-0000-2C00-000021000000}"/>
              </a:ext>
            </a:extLst>
          </xdr:cNvPr>
          <xdr:cNvSpPr txBox="1"/>
        </xdr:nvSpPr>
        <xdr:spPr>
          <a:xfrm>
            <a:off x="3275539" y="5340576"/>
            <a:ext cx="2556000" cy="115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32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Execução</a:t>
            </a:r>
          </a:p>
        </xdr:txBody>
      </xdr:sp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2C00-000022000000}"/>
              </a:ext>
            </a:extLst>
          </xdr:cNvPr>
          <xdr:cNvSpPr txBox="1"/>
        </xdr:nvSpPr>
        <xdr:spPr>
          <a:xfrm>
            <a:off x="3275540" y="6799077"/>
            <a:ext cx="2556000" cy="115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 eaLnBrk="1" fontAlgn="auto" latinLnBrk="0" hangingPunct="1"/>
            <a:r>
              <a:rPr lang="pt-BR" sz="32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Variação</a:t>
            </a:r>
            <a:r>
              <a:rPr lang="pt-BR" sz="32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pt-BR" sz="32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frente</a:t>
            </a:r>
            <a:r>
              <a:rPr lang="pt-BR" sz="32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pt-BR" sz="32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a</a:t>
            </a:r>
            <a:r>
              <a:rPr lang="pt-BR" sz="32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pt-BR" sz="32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2021</a:t>
            </a:r>
          </a:p>
        </xdr:txBody>
      </xdr:sp>
      <xdr:sp macro="" textlink="">
        <xdr:nvSpPr>
          <xdr:cNvPr id="35" name="CaixaDeTexto 34">
            <a:extLst>
              <a:ext uri="{FF2B5EF4-FFF2-40B4-BE49-F238E27FC236}">
                <a16:creationId xmlns:a16="http://schemas.microsoft.com/office/drawing/2014/main" id="{00000000-0008-0000-2C00-000023000000}"/>
              </a:ext>
            </a:extLst>
          </xdr:cNvPr>
          <xdr:cNvSpPr txBox="1"/>
        </xdr:nvSpPr>
        <xdr:spPr>
          <a:xfrm>
            <a:off x="9927166" y="3876508"/>
            <a:ext cx="2556000" cy="115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32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Previsto</a:t>
            </a:r>
          </a:p>
        </xdr:txBody>
      </xdr:sp>
      <xdr:sp macro="" textlink="">
        <xdr:nvSpPr>
          <xdr:cNvPr id="36" name="CaixaDeTexto 35">
            <a:extLst>
              <a:ext uri="{FF2B5EF4-FFF2-40B4-BE49-F238E27FC236}">
                <a16:creationId xmlns:a16="http://schemas.microsoft.com/office/drawing/2014/main" id="{00000000-0008-0000-2C00-000024000000}"/>
              </a:ext>
            </a:extLst>
          </xdr:cNvPr>
          <xdr:cNvSpPr txBox="1"/>
        </xdr:nvSpPr>
        <xdr:spPr>
          <a:xfrm>
            <a:off x="9948333" y="2413000"/>
            <a:ext cx="2556000" cy="115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32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Executado</a:t>
            </a:r>
          </a:p>
        </xdr:txBody>
      </xdr:sp>
      <xdr:sp macro="" textlink="">
        <xdr:nvSpPr>
          <xdr:cNvPr id="37" name="CaixaDeTexto 36">
            <a:extLst>
              <a:ext uri="{FF2B5EF4-FFF2-40B4-BE49-F238E27FC236}">
                <a16:creationId xmlns:a16="http://schemas.microsoft.com/office/drawing/2014/main" id="{00000000-0008-0000-2C00-000025000000}"/>
              </a:ext>
            </a:extLst>
          </xdr:cNvPr>
          <xdr:cNvSpPr txBox="1"/>
        </xdr:nvSpPr>
        <xdr:spPr>
          <a:xfrm>
            <a:off x="9927166" y="5330994"/>
            <a:ext cx="2556000" cy="115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32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Execução</a:t>
            </a:r>
          </a:p>
        </xdr:txBody>
      </xdr:sp>
      <xdr:sp macro="" textlink="">
        <xdr:nvSpPr>
          <xdr:cNvPr id="38" name="CaixaDeTexto 37">
            <a:extLst>
              <a:ext uri="{FF2B5EF4-FFF2-40B4-BE49-F238E27FC236}">
                <a16:creationId xmlns:a16="http://schemas.microsoft.com/office/drawing/2014/main" id="{00000000-0008-0000-2C00-000026000000}"/>
              </a:ext>
            </a:extLst>
          </xdr:cNvPr>
          <xdr:cNvSpPr txBox="1"/>
        </xdr:nvSpPr>
        <xdr:spPr>
          <a:xfrm>
            <a:off x="9969502" y="6799073"/>
            <a:ext cx="2556000" cy="115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 eaLnBrk="1" fontAlgn="auto" latinLnBrk="0" hangingPunct="1"/>
            <a:r>
              <a:rPr lang="pt-BR" sz="32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Variação</a:t>
            </a:r>
            <a:r>
              <a:rPr lang="pt-BR" sz="32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pt-BR" sz="32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frente</a:t>
            </a:r>
            <a:r>
              <a:rPr lang="pt-BR" sz="32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pt-BR" sz="32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a</a:t>
            </a:r>
            <a:r>
              <a:rPr lang="pt-BR" sz="32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pt-BR" sz="3200" b="1" cap="none" spc="50">
                <a:ln w="9525" cmpd="sng">
                  <a:noFill/>
                  <a:prstDash val="solid"/>
                </a:ln>
                <a:solidFill>
                  <a:srgbClr val="70AD47">
                    <a:tint val="1000"/>
                  </a:srgbClr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2021</a:t>
            </a:r>
          </a:p>
        </xdr:txBody>
      </xdr:sp>
    </xdr:grpSp>
    <xdr:clientData/>
  </xdr:twoCellAnchor>
  <xdr:twoCellAnchor>
    <xdr:from>
      <xdr:col>0</xdr:col>
      <xdr:colOff>11906</xdr:colOff>
      <xdr:row>1</xdr:row>
      <xdr:rowOff>39686</xdr:rowOff>
    </xdr:from>
    <xdr:to>
      <xdr:col>29</xdr:col>
      <xdr:colOff>0</xdr:colOff>
      <xdr:row>37</xdr:row>
      <xdr:rowOff>0</xdr:rowOff>
    </xdr:to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2C00-000027000000}"/>
            </a:ext>
          </a:extLst>
        </xdr:cNvPr>
        <xdr:cNvSpPr txBox="1"/>
      </xdr:nvSpPr>
      <xdr:spPr>
        <a:xfrm>
          <a:off x="11906" y="801686"/>
          <a:ext cx="18323719" cy="73302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523874</xdr:colOff>
      <xdr:row>2</xdr:row>
      <xdr:rowOff>300183</xdr:rowOff>
    </xdr:from>
    <xdr:to>
      <xdr:col>38</xdr:col>
      <xdr:colOff>225136</xdr:colOff>
      <xdr:row>30</xdr:row>
      <xdr:rowOff>5773</xdr:rowOff>
    </xdr:to>
    <mc:AlternateContent xmlns:mc="http://schemas.openxmlformats.org/markup-compatibility/2006">
      <mc:Choice xmlns:cx4="http://schemas.microsoft.com/office/drawing/2016/5/10/chartex" xmlns="" Requires="cx4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00000000-0008-0000-1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2" name="Retângulo 1"/>
            <xdr:cNvSpPr>
              <a:spLocks noTextEdit="1"/>
            </xdr:cNvSpPr>
          </xdr:nvSpPr>
          <xdr:spPr>
            <a:xfrm>
              <a:off x="24145875" y="719283"/>
              <a:ext cx="0" cy="6039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23</xdr:col>
      <xdr:colOff>480218</xdr:colOff>
      <xdr:row>31</xdr:row>
      <xdr:rowOff>71437</xdr:rowOff>
    </xdr:from>
    <xdr:to>
      <xdr:col>38</xdr:col>
      <xdr:colOff>152797</xdr:colOff>
      <xdr:row>53</xdr:row>
      <xdr:rowOff>144859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0</xdr:colOff>
      <xdr:row>37</xdr:row>
      <xdr:rowOff>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2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520833" cy="813858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21</xdr:col>
      <xdr:colOff>589176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/>
      </xdr:nvSpPr>
      <xdr:spPr>
        <a:xfrm>
          <a:off x="3578259" y="0"/>
          <a:ext cx="9812517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26</xdr:col>
      <xdr:colOff>441883</xdr:colOff>
      <xdr:row>1</xdr:row>
      <xdr:rowOff>136483</xdr:rowOff>
    </xdr:from>
    <xdr:to>
      <xdr:col>28</xdr:col>
      <xdr:colOff>166735</xdr:colOff>
      <xdr:row>4</xdr:row>
      <xdr:rowOff>126663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 txBox="1"/>
      </xdr:nvSpPr>
      <xdr:spPr>
        <a:xfrm>
          <a:off x="16291483" y="898483"/>
          <a:ext cx="934527" cy="561680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20%</a:t>
          </a:r>
        </a:p>
      </xdr:txBody>
    </xdr:sp>
    <xdr:clientData/>
  </xdr:twoCellAnchor>
  <xdr:twoCellAnchor>
    <xdr:from>
      <xdr:col>14</xdr:col>
      <xdr:colOff>211925</xdr:colOff>
      <xdr:row>6</xdr:row>
      <xdr:rowOff>133735</xdr:rowOff>
    </xdr:from>
    <xdr:to>
      <xdr:col>28</xdr:col>
      <xdr:colOff>324360</xdr:colOff>
      <xdr:row>6</xdr:row>
      <xdr:rowOff>133735</xdr:rowOff>
    </xdr:to>
    <xdr:cxnSp macro="">
      <xdr:nvCxnSpPr>
        <xdr:cNvPr id="10" name="Conector reto 9"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CxnSpPr/>
      </xdr:nvCxnSpPr>
      <xdr:spPr>
        <a:xfrm>
          <a:off x="8805592" y="1848235"/>
          <a:ext cx="8695518" cy="0"/>
        </a:xfrm>
        <a:prstGeom prst="line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</xdr:cxnSp>
    <xdr:clientData/>
  </xdr:twoCellAnchor>
  <xdr:oneCellAnchor>
    <xdr:from>
      <xdr:col>28</xdr:col>
      <xdr:colOff>284767</xdr:colOff>
      <xdr:row>0</xdr:row>
      <xdr:rowOff>68737</xdr:rowOff>
    </xdr:from>
    <xdr:ext cx="1001595" cy="638510"/>
    <xdr:sp macro="" textlink="">
      <xdr:nvSpPr>
        <xdr:cNvPr id="16" name="CaixaDeTexto 15">
          <a:hlinkClick xmlns:r="http://schemas.openxmlformats.org/officeDocument/2006/relationships" r:id="rId3" tooltip="Voltar para a tela principal"/>
          <a:extLst>
            <a:ext uri="{FF2B5EF4-FFF2-40B4-BE49-F238E27FC236}">
              <a16:creationId xmlns:a16="http://schemas.microsoft.com/office/drawing/2014/main" id="{00000000-0008-0000-2D00-000010000000}"/>
            </a:ext>
          </a:extLst>
        </xdr:cNvPr>
        <xdr:cNvSpPr txBox="1"/>
      </xdr:nvSpPr>
      <xdr:spPr>
        <a:xfrm>
          <a:off x="17344042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603245</xdr:colOff>
      <xdr:row>1</xdr:row>
      <xdr:rowOff>11237</xdr:rowOff>
    </xdr:from>
    <xdr:to>
      <xdr:col>28</xdr:col>
      <xdr:colOff>731553</xdr:colOff>
      <xdr:row>35</xdr:row>
      <xdr:rowOff>179917</xdr:rowOff>
    </xdr:to>
    <xdr:grpSp>
      <xdr:nvGrpSpPr>
        <xdr:cNvPr id="24" name="Agrupar 23">
          <a:extLst>
            <a:ext uri="{FF2B5EF4-FFF2-40B4-BE49-F238E27FC236}">
              <a16:creationId xmlns:a16="http://schemas.microsoft.com/office/drawing/2014/main" id="{00000000-0008-0000-2D00-000018000000}"/>
            </a:ext>
          </a:extLst>
        </xdr:cNvPr>
        <xdr:cNvGrpSpPr/>
      </xdr:nvGrpSpPr>
      <xdr:grpSpPr>
        <a:xfrm>
          <a:off x="603245" y="768018"/>
          <a:ext cx="17286356" cy="6823132"/>
          <a:chOff x="603245" y="773237"/>
          <a:chExt cx="17305058" cy="6656263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00000000-0008-0000-2D00-000004000000}"/>
              </a:ext>
            </a:extLst>
          </xdr:cNvPr>
          <xdr:cNvGrpSpPr/>
        </xdr:nvGrpSpPr>
        <xdr:grpSpPr>
          <a:xfrm>
            <a:off x="1998587" y="773237"/>
            <a:ext cx="14694582" cy="1406089"/>
            <a:chOff x="3059537" y="292001"/>
            <a:chExt cx="14576414" cy="1384273"/>
          </a:xfrm>
        </xdr:grpSpPr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SpPr txBox="1"/>
          </xdr:nvSpPr>
          <xdr:spPr>
            <a:xfrm>
              <a:off x="3059537" y="292001"/>
              <a:ext cx="14576414" cy="138427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36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Receita de Arrecadação - CAU/BR</a:t>
              </a:r>
            </a:p>
            <a:p>
              <a:pPr marL="0" indent="0" algn="ctr"/>
              <a:r>
                <a:rPr lang="pt-BR" sz="28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Anuidades PF e PJ (Ex. e Ex. Anteriores), RRT e Taxas</a:t>
              </a:r>
            </a:p>
          </xdr:txBody>
        </xdr:sp>
        <xdr:cxnSp macro="">
          <xdr:nvCxnSpPr>
            <xdr:cNvPr id="6" name="Conector reto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CxnSpPr/>
          </xdr:nvCxnSpPr>
          <xdr:spPr>
            <a:xfrm>
              <a:off x="5266255" y="1576192"/>
              <a:ext cx="10082265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3" name="Agrupar 22">
            <a:extLst>
              <a:ext uri="{FF2B5EF4-FFF2-40B4-BE49-F238E27FC236}">
                <a16:creationId xmlns:a16="http://schemas.microsoft.com/office/drawing/2014/main" id="{00000000-0008-0000-2D00-000017000000}"/>
              </a:ext>
            </a:extLst>
          </xdr:cNvPr>
          <xdr:cNvGrpSpPr/>
        </xdr:nvGrpSpPr>
        <xdr:grpSpPr>
          <a:xfrm>
            <a:off x="603245" y="2538000"/>
            <a:ext cx="17305058" cy="4891500"/>
            <a:chOff x="603245" y="2538000"/>
            <a:chExt cx="17305058" cy="4891500"/>
          </a:xfrm>
        </xdr:grpSpPr>
        <xdr:sp macro="" textlink="'Dados - Receita e Qntd'!BT97">
          <xdr:nvSpPr>
            <xdr:cNvPr id="12" name="CaixaDeTexto 11">
              <a:extLst>
                <a:ext uri="{FF2B5EF4-FFF2-40B4-BE49-F238E27FC236}">
                  <a16:creationId xmlns:a16="http://schemas.microsoft.com/office/drawing/2014/main" id="{00000000-0008-0000-2D00-00000C000000}"/>
                </a:ext>
              </a:extLst>
            </xdr:cNvPr>
            <xdr:cNvSpPr txBox="1"/>
          </xdr:nvSpPr>
          <xdr:spPr>
            <a:xfrm>
              <a:off x="5011849" y="2544245"/>
              <a:ext cx="4068000" cy="21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CD95F502-2CFF-4FF2-A84A-BDBFDAB0AB3A}" type="TxLink">
                <a:rPr lang="en-US" sz="4800" b="1" i="0" u="none" strike="noStrike">
                  <a:ln>
                    <a:noFill/>
                  </a:ln>
                  <a:solidFill>
                    <a:sysClr val="windowText" lastClr="000000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 R$ 34.872.247 </a:t>
              </a:fld>
              <a:endParaRPr lang="pt-BR" sz="48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BT98">
          <xdr:nvSpPr>
            <xdr:cNvPr id="13" name="CaixaDeTexto 12">
              <a:extLst>
                <a:ext uri="{FF2B5EF4-FFF2-40B4-BE49-F238E27FC236}">
                  <a16:creationId xmlns:a16="http://schemas.microsoft.com/office/drawing/2014/main" id="{00000000-0008-0000-2D00-00000D000000}"/>
                </a:ext>
              </a:extLst>
            </xdr:cNvPr>
            <xdr:cNvSpPr txBox="1"/>
          </xdr:nvSpPr>
          <xdr:spPr>
            <a:xfrm>
              <a:off x="13839291" y="2540523"/>
              <a:ext cx="4068000" cy="21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6B5A8B6A-2D71-4D80-991D-E753F4C62554}" type="TxLink">
                <a:rPr lang="en-US" sz="4800" b="1" i="0" u="none" strike="noStrike">
                  <a:ln>
                    <a:noFill/>
                  </a:ln>
                  <a:solidFill>
                    <a:sysClr val="windowText" lastClr="000000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 R$ 41.952.601 </a:t>
              </a:fld>
              <a:endParaRPr lang="pt-BR" sz="48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BP31">
          <xdr:nvSpPr>
            <xdr:cNvPr id="14" name="CaixaDeTexto 13">
              <a:extLst>
                <a:ext uri="{FF2B5EF4-FFF2-40B4-BE49-F238E27FC236}">
                  <a16:creationId xmlns:a16="http://schemas.microsoft.com/office/drawing/2014/main" id="{00000000-0008-0000-2D00-00000E000000}"/>
                </a:ext>
              </a:extLst>
            </xdr:cNvPr>
            <xdr:cNvSpPr txBox="1"/>
          </xdr:nvSpPr>
          <xdr:spPr>
            <a:xfrm>
              <a:off x="13840303" y="5233500"/>
              <a:ext cx="4068000" cy="21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06ACF88F-A12E-448B-A978-CEFE3C93C085}" type="TxLink">
                <a:rPr lang="en-US" sz="4800" b="1" i="0" u="none" strike="noStrike">
                  <a:ln>
                    <a:noFill/>
                  </a:ln>
                  <a:solidFill>
                    <a:sysClr val="windowText" lastClr="000000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9,0%</a:t>
              </a:fld>
              <a:endParaRPr lang="pt-BR" sz="48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BT99">
          <xdr:nvSpPr>
            <xdr:cNvPr id="15" name="CaixaDeTexto 14">
              <a:extLst>
                <a:ext uri="{FF2B5EF4-FFF2-40B4-BE49-F238E27FC236}">
                  <a16:creationId xmlns:a16="http://schemas.microsoft.com/office/drawing/2014/main" id="{00000000-0008-0000-2D00-00000F000000}"/>
                </a:ext>
              </a:extLst>
            </xdr:cNvPr>
            <xdr:cNvSpPr txBox="1"/>
          </xdr:nvSpPr>
          <xdr:spPr>
            <a:xfrm>
              <a:off x="5001513" y="5212334"/>
              <a:ext cx="4068000" cy="21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11826600-C853-4AA7-9743-72E1E8FB655B}" type="TxLink">
                <a:rPr lang="en-US" sz="4800" b="1" i="0" u="none" strike="noStrike">
                  <a:ln>
                    <a:noFill/>
                  </a:ln>
                  <a:solidFill>
                    <a:sysClr val="windowText" lastClr="000000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83,1%</a:t>
              </a:fld>
              <a:endParaRPr lang="pt-BR" sz="4800" b="1" i="0" u="none" strike="noStrike">
                <a:ln>
                  <a:noFill/>
                </a:ln>
                <a:solidFill>
                  <a:sysClr val="windowText" lastClr="000000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  <xdr:sp macro="" textlink="">
          <xdr:nvSpPr>
            <xdr:cNvPr id="19" name="CaixaDeTexto 18">
              <a:extLst>
                <a:ext uri="{FF2B5EF4-FFF2-40B4-BE49-F238E27FC236}">
                  <a16:creationId xmlns:a16="http://schemas.microsoft.com/office/drawing/2014/main" id="{00000000-0008-0000-2D00-000013000000}"/>
                </a:ext>
              </a:extLst>
            </xdr:cNvPr>
            <xdr:cNvSpPr txBox="1"/>
          </xdr:nvSpPr>
          <xdr:spPr>
            <a:xfrm>
              <a:off x="9429747" y="2538000"/>
              <a:ext cx="4068000" cy="21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48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Previsto</a:t>
              </a:r>
            </a:p>
          </xdr:txBody>
        </xdr:sp>
        <xdr:sp macro="" textlink="">
          <xdr:nvSpPr>
            <xdr:cNvPr id="20" name="CaixaDeTexto 19">
              <a:extLst>
                <a:ext uri="{FF2B5EF4-FFF2-40B4-BE49-F238E27FC236}">
                  <a16:creationId xmlns:a16="http://schemas.microsoft.com/office/drawing/2014/main" id="{00000000-0008-0000-2D00-000014000000}"/>
                </a:ext>
              </a:extLst>
            </xdr:cNvPr>
            <xdr:cNvSpPr txBox="1"/>
          </xdr:nvSpPr>
          <xdr:spPr>
            <a:xfrm>
              <a:off x="603249" y="2539999"/>
              <a:ext cx="4068000" cy="21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48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Executado</a:t>
              </a:r>
            </a:p>
          </xdr:txBody>
        </xdr:sp>
        <xdr:sp macro="" textlink="">
          <xdr:nvSpPr>
            <xdr:cNvPr id="21" name="CaixaDeTexto 20">
              <a:extLst>
                <a:ext uri="{FF2B5EF4-FFF2-40B4-BE49-F238E27FC236}">
                  <a16:creationId xmlns:a16="http://schemas.microsoft.com/office/drawing/2014/main" id="{00000000-0008-0000-2D00-000015000000}"/>
                </a:ext>
              </a:extLst>
            </xdr:cNvPr>
            <xdr:cNvSpPr txBox="1"/>
          </xdr:nvSpPr>
          <xdr:spPr>
            <a:xfrm>
              <a:off x="603245" y="5224162"/>
              <a:ext cx="4068000" cy="21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48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Execução</a:t>
              </a:r>
            </a:p>
          </xdr:txBody>
        </xdr:sp>
        <xdr:sp macro="" textlink="">
          <xdr:nvSpPr>
            <xdr:cNvPr id="22" name="CaixaDeTexto 21">
              <a:extLst>
                <a:ext uri="{FF2B5EF4-FFF2-40B4-BE49-F238E27FC236}">
                  <a16:creationId xmlns:a16="http://schemas.microsoft.com/office/drawing/2014/main" id="{00000000-0008-0000-2D00-000016000000}"/>
                </a:ext>
              </a:extLst>
            </xdr:cNvPr>
            <xdr:cNvSpPr txBox="1"/>
          </xdr:nvSpPr>
          <xdr:spPr>
            <a:xfrm>
              <a:off x="9440333" y="5232748"/>
              <a:ext cx="4068000" cy="2196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 eaLnBrk="1" fontAlgn="auto" latinLnBrk="0" hangingPunct="1"/>
              <a:r>
                <a:rPr lang="pt-BR" sz="48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Variação</a:t>
              </a:r>
            </a:p>
            <a:p>
              <a:pPr algn="ctr" eaLnBrk="1" fontAlgn="auto" latinLnBrk="0" hangingPunct="1"/>
              <a:r>
                <a:rPr lang="pt-BR" sz="48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frente</a:t>
              </a:r>
              <a:r>
                <a:rPr lang="pt-BR" sz="48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48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a</a:t>
              </a:r>
              <a:r>
                <a:rPr lang="pt-BR" sz="4800" b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48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2021</a:t>
              </a:r>
            </a:p>
          </xdr:txBody>
        </xdr:sp>
      </xdr:grpSp>
    </xdr:grpSp>
    <xdr:clientData/>
  </xdr:twoCellAnchor>
  <xdr:twoCellAnchor>
    <xdr:from>
      <xdr:col>0</xdr:col>
      <xdr:colOff>0</xdr:colOff>
      <xdr:row>0</xdr:row>
      <xdr:rowOff>714375</xdr:rowOff>
    </xdr:from>
    <xdr:to>
      <xdr:col>25</xdr:col>
      <xdr:colOff>0</xdr:colOff>
      <xdr:row>29</xdr:row>
      <xdr:rowOff>95250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2D00-000019000000}"/>
            </a:ext>
          </a:extLst>
        </xdr:cNvPr>
        <xdr:cNvSpPr txBox="1"/>
      </xdr:nvSpPr>
      <xdr:spPr>
        <a:xfrm>
          <a:off x="0" y="714375"/>
          <a:ext cx="15478125" cy="5476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15" name="Logo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27</xdr:col>
      <xdr:colOff>214313</xdr:colOff>
      <xdr:row>0</xdr:row>
      <xdr:rowOff>752476</xdr:rowOff>
    </xdr:to>
    <xdr:sp macro="" textlink="">
      <xdr:nvSpPr>
        <xdr:cNvPr id="16" name="Título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SpPr txBox="1"/>
      </xdr:nvSpPr>
      <xdr:spPr>
        <a:xfrm>
          <a:off x="3566353" y="0"/>
          <a:ext cx="13042866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1</xdr:col>
      <xdr:colOff>225037</xdr:colOff>
      <xdr:row>1</xdr:row>
      <xdr:rowOff>107940</xdr:rowOff>
    </xdr:from>
    <xdr:to>
      <xdr:col>27</xdr:col>
      <xdr:colOff>575437</xdr:colOff>
      <xdr:row>4</xdr:row>
      <xdr:rowOff>89540</xdr:rowOff>
    </xdr:to>
    <xdr:grpSp>
      <xdr:nvGrpSpPr>
        <xdr:cNvPr id="17" name="Subtítulo">
          <a:extLst>
            <a:ext uri="{FF2B5EF4-FFF2-40B4-BE49-F238E27FC236}">
              <a16:creationId xmlns:a16="http://schemas.microsoft.com/office/drawing/2014/main" id="{00000000-0008-0000-2E00-000011000000}"/>
            </a:ext>
          </a:extLst>
        </xdr:cNvPr>
        <xdr:cNvGrpSpPr/>
      </xdr:nvGrpSpPr>
      <xdr:grpSpPr>
        <a:xfrm>
          <a:off x="832256" y="869940"/>
          <a:ext cx="16138087" cy="553100"/>
          <a:chOff x="833715" y="905442"/>
          <a:chExt cx="16179074" cy="548617"/>
        </a:xfrm>
      </xdr:grpSpPr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00000000-0008-0000-2E00-000012000000}"/>
              </a:ext>
            </a:extLst>
          </xdr:cNvPr>
          <xdr:cNvSpPr txBox="1"/>
        </xdr:nvSpPr>
        <xdr:spPr>
          <a:xfrm>
            <a:off x="1554969" y="905442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Total (com Exercícios Anteriores) - CAU</a:t>
            </a:r>
          </a:p>
        </xdr:txBody>
      </xdr:sp>
      <xdr:cxnSp macro="">
        <xdr:nvCxnSpPr>
          <xdr:cNvPr id="19" name="Conector reto 18">
            <a:extLst>
              <a:ext uri="{FF2B5EF4-FFF2-40B4-BE49-F238E27FC236}">
                <a16:creationId xmlns:a16="http://schemas.microsoft.com/office/drawing/2014/main" id="{00000000-0008-0000-2E00-000013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205837</xdr:colOff>
      <xdr:row>9</xdr:row>
      <xdr:rowOff>26189</xdr:rowOff>
    </xdr:from>
    <xdr:to>
      <xdr:col>14</xdr:col>
      <xdr:colOff>443961</xdr:colOff>
      <xdr:row>36</xdr:row>
      <xdr:rowOff>460106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00000000-0008-0000-2E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6</xdr:row>
      <xdr:rowOff>38089</xdr:rowOff>
    </xdr:from>
    <xdr:to>
      <xdr:col>14</xdr:col>
      <xdr:colOff>465666</xdr:colOff>
      <xdr:row>8</xdr:row>
      <xdr:rowOff>146689</xdr:rowOff>
    </xdr:to>
    <xdr:grpSp>
      <xdr:nvGrpSpPr>
        <xdr:cNvPr id="11" name="Subtítulo"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GrpSpPr/>
      </xdr:nvGrpSpPr>
      <xdr:grpSpPr>
        <a:xfrm>
          <a:off x="254000" y="1752589"/>
          <a:ext cx="8712729" cy="489600"/>
          <a:chOff x="833715" y="968427"/>
          <a:chExt cx="16179074" cy="485632"/>
        </a:xfrm>
      </xdr:grpSpPr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00000000-0008-0000-2E00-00000C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Potencial x Previsto x Executado 2022</a:t>
            </a:r>
          </a:p>
        </xdr:txBody>
      </xdr:sp>
      <xdr:cxnSp macro="">
        <xdr:nvCxnSpPr>
          <xdr:cNvPr id="13" name="Conector reto 12">
            <a:extLst>
              <a:ext uri="{FF2B5EF4-FFF2-40B4-BE49-F238E27FC236}">
                <a16:creationId xmlns:a16="http://schemas.microsoft.com/office/drawing/2014/main" id="{00000000-0008-0000-2E00-00000D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1</xdr:colOff>
      <xdr:row>9</xdr:row>
      <xdr:rowOff>31749</xdr:rowOff>
    </xdr:from>
    <xdr:to>
      <xdr:col>28</xdr:col>
      <xdr:colOff>1168806</xdr:colOff>
      <xdr:row>36</xdr:row>
      <xdr:rowOff>476250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613832</xdr:colOff>
      <xdr:row>6</xdr:row>
      <xdr:rowOff>42322</xdr:rowOff>
    </xdr:from>
    <xdr:to>
      <xdr:col>28</xdr:col>
      <xdr:colOff>1153582</xdr:colOff>
      <xdr:row>8</xdr:row>
      <xdr:rowOff>150922</xdr:rowOff>
    </xdr:to>
    <xdr:grpSp>
      <xdr:nvGrpSpPr>
        <xdr:cNvPr id="24" name="Subtítulo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GrpSpPr/>
      </xdr:nvGrpSpPr>
      <xdr:grpSpPr>
        <a:xfrm>
          <a:off x="9114895" y="1756822"/>
          <a:ext cx="9028906" cy="489600"/>
          <a:chOff x="833715" y="968427"/>
          <a:chExt cx="16179074" cy="485632"/>
        </a:xfrm>
      </xdr:grpSpPr>
      <xdr:sp macro="" textlink="">
        <xdr:nvSpPr>
          <xdr:cNvPr id="25" name="CaixaDeTexto 24">
            <a:extLst>
              <a:ext uri="{FF2B5EF4-FFF2-40B4-BE49-F238E27FC236}">
                <a16:creationId xmlns:a16="http://schemas.microsoft.com/office/drawing/2014/main" id="{00000000-0008-0000-2E00-000019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Comparativo - Jan. a Dez. - 2022 x 2021 x 2020</a:t>
            </a:r>
          </a:p>
        </xdr:txBody>
      </xdr:sp>
      <xdr:cxnSp macro="">
        <xdr:nvCxnSpPr>
          <xdr:cNvPr id="26" name="Conector reto 25">
            <a:extLst>
              <a:ext uri="{FF2B5EF4-FFF2-40B4-BE49-F238E27FC236}">
                <a16:creationId xmlns:a16="http://schemas.microsoft.com/office/drawing/2014/main" id="{00000000-0008-0000-2E00-00001A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20" name="VOLTAR">
          <a:hlinkClick xmlns:r="http://schemas.openxmlformats.org/officeDocument/2006/relationships" r:id="rId4" tooltip="Voltar para a tela principal"/>
          <a:extLst>
            <a:ext uri="{FF2B5EF4-FFF2-40B4-BE49-F238E27FC236}">
              <a16:creationId xmlns:a16="http://schemas.microsoft.com/office/drawing/2014/main" id="{00000000-0008-0000-2E00-000014000000}"/>
            </a:ext>
          </a:extLst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200025</xdr:colOff>
      <xdr:row>36</xdr:row>
      <xdr:rowOff>466725</xdr:rowOff>
    </xdr:from>
    <xdr:to>
      <xdr:col>2</xdr:col>
      <xdr:colOff>561975</xdr:colOff>
      <xdr:row>36</xdr:row>
      <xdr:rowOff>685800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200025" y="7905750"/>
          <a:ext cx="158115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 b="1">
              <a:solidFill>
                <a:schemeClr val="bg1"/>
              </a:solidFill>
            </a:rPr>
            <a:t>*Valores em R$ milhões</a:t>
          </a:r>
        </a:p>
      </xdr:txBody>
    </xdr:sp>
    <xdr:clientData/>
  </xdr:twoCellAnchor>
  <xdr:twoCellAnchor>
    <xdr:from>
      <xdr:col>14</xdr:col>
      <xdr:colOff>600074</xdr:colOff>
      <xdr:row>36</xdr:row>
      <xdr:rowOff>500062</xdr:rowOff>
    </xdr:from>
    <xdr:to>
      <xdr:col>17</xdr:col>
      <xdr:colOff>595311</xdr:colOff>
      <xdr:row>36</xdr:row>
      <xdr:rowOff>654843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00000000-0008-0000-2E00-000015000000}"/>
            </a:ext>
          </a:extLst>
        </xdr:cNvPr>
        <xdr:cNvSpPr txBox="1"/>
      </xdr:nvSpPr>
      <xdr:spPr>
        <a:xfrm>
          <a:off x="9101137" y="7941468"/>
          <a:ext cx="1816893" cy="1547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 b="1">
              <a:solidFill>
                <a:schemeClr val="bg1"/>
              </a:solidFill>
            </a:rPr>
            <a:t>*Valores em R$ milhões</a:t>
          </a:r>
        </a:p>
      </xdr:txBody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0.0685</cdr:x>
      <cdr:y>0.08117</cdr:y>
    </cdr:from>
    <cdr:to>
      <cdr:x>0.20695</cdr:x>
      <cdr:y>0.14733</cdr:y>
    </cdr:to>
    <cdr:sp macro="" textlink="Lançamentos!$W$8">
      <cdr:nvSpPr>
        <cdr:cNvPr id="3" name="CaixaDeTexto 38"/>
        <cdr:cNvSpPr txBox="1"/>
      </cdr:nvSpPr>
      <cdr:spPr>
        <a:xfrm xmlns:a="http://schemas.openxmlformats.org/drawingml/2006/main">
          <a:off x="600888" y="453489"/>
          <a:ext cx="1214614" cy="369637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35273D9-B007-4561-B533-ED1C864B61B1}" type="TxLink">
            <a:rPr lang="en-US" sz="2000" b="1" i="0" u="none" strike="noStrike">
              <a:ln>
                <a:noFill/>
              </a:ln>
              <a:solidFill>
                <a:srgbClr val="006666"/>
              </a:solidFill>
              <a:latin typeface="Calibri"/>
              <a:ea typeface="+mn-ea"/>
              <a:cs typeface="Calibri"/>
            </a:rPr>
            <a:pPr marL="0" indent="0" algn="ctr"/>
            <a:t>4,3%</a:t>
          </a:fld>
          <a:endParaRPr lang="pt-BR" sz="2000" b="1" i="0" u="none" strike="noStrike">
            <a:ln>
              <a:noFill/>
            </a:ln>
            <a:solidFill>
              <a:srgbClr val="006666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0.02047</cdr:x>
      <cdr:y>0.02434</cdr:y>
    </cdr:from>
    <cdr:to>
      <cdr:x>0.25498</cdr:x>
      <cdr:y>0.08568</cdr:y>
    </cdr:to>
    <cdr:sp macro="" textlink="">
      <cdr:nvSpPr>
        <cdr:cNvPr id="4" name="CaixaDeTexto 39"/>
        <cdr:cNvSpPr txBox="1"/>
      </cdr:nvSpPr>
      <cdr:spPr>
        <a:xfrm xmlns:a="http://schemas.openxmlformats.org/drawingml/2006/main">
          <a:off x="179559" y="135963"/>
          <a:ext cx="2057272" cy="34273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Executado x Previsto</a:t>
          </a:r>
        </a:p>
      </cdr:txBody>
    </cdr:sp>
  </cdr:relSizeAnchor>
  <cdr:relSizeAnchor xmlns:cdr="http://schemas.openxmlformats.org/drawingml/2006/chartDrawing">
    <cdr:from>
      <cdr:x>0.06941</cdr:x>
      <cdr:y>0.22703</cdr:y>
    </cdr:from>
    <cdr:to>
      <cdr:x>0.20604</cdr:x>
      <cdr:y>0.2882</cdr:y>
    </cdr:to>
    <cdr:sp macro="" textlink="Lançamentos!$Y$8">
      <cdr:nvSpPr>
        <cdr:cNvPr id="5" name="CaixaDeTexto 40"/>
        <cdr:cNvSpPr txBox="1"/>
      </cdr:nvSpPr>
      <cdr:spPr>
        <a:xfrm xmlns:a="http://schemas.openxmlformats.org/drawingml/2006/main">
          <a:off x="608911" y="1268390"/>
          <a:ext cx="1198568" cy="341744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B545F7B-CD61-4F1E-8BDD-8A72AA72448E}" type="TxLink">
            <a:rPr lang="en-US" sz="2000" b="1" i="0" u="none" strike="noStrike">
              <a:solidFill>
                <a:srgbClr val="FF0000"/>
              </a:solidFill>
              <a:latin typeface="Calibri"/>
              <a:ea typeface="+mn-ea"/>
              <a:cs typeface="Calibri"/>
            </a:rPr>
            <a:pPr marL="0" indent="0" algn="ctr"/>
            <a:t>-12,0%</a:t>
          </a:fld>
          <a:endParaRPr lang="pt-BR" sz="2000" b="1" i="0" u="none" strike="noStrike">
            <a:solidFill>
              <a:srgbClr val="FF0000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0.01461</cdr:x>
      <cdr:y>0.17191</cdr:y>
    </cdr:from>
    <cdr:to>
      <cdr:x>0.26083</cdr:x>
      <cdr:y>0.23325</cdr:y>
    </cdr:to>
    <cdr:sp macro="" textlink="">
      <cdr:nvSpPr>
        <cdr:cNvPr id="6" name="CaixaDeTexto 41"/>
        <cdr:cNvSpPr txBox="1"/>
      </cdr:nvSpPr>
      <cdr:spPr>
        <a:xfrm xmlns:a="http://schemas.openxmlformats.org/drawingml/2006/main">
          <a:off x="128210" y="960426"/>
          <a:ext cx="2159971" cy="34273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Executado x Potencial</a:t>
          </a:r>
        </a:p>
      </cdr:txBody>
    </cdr:sp>
  </cdr:relSizeAnchor>
  <cdr:relSizeAnchor xmlns:cdr="http://schemas.openxmlformats.org/drawingml/2006/chartDrawing">
    <cdr:from>
      <cdr:x>0.53341</cdr:x>
      <cdr:y>0.56784</cdr:y>
    </cdr:from>
    <cdr:to>
      <cdr:x>0.64574</cdr:x>
      <cdr:y>0.69682</cdr:y>
    </cdr:to>
    <cdr:sp macro="" textlink="">
      <cdr:nvSpPr>
        <cdr:cNvPr id="18" name="CaixaDeTexto 17"/>
        <cdr:cNvSpPr txBox="1"/>
      </cdr:nvSpPr>
      <cdr:spPr>
        <a:xfrm xmlns:a="http://schemas.openxmlformats.org/drawingml/2006/main">
          <a:off x="9587120" y="3509756"/>
          <a:ext cx="2018885" cy="7972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0.62652</cdr:x>
      <cdr:y>0.03252</cdr:y>
    </cdr:from>
    <cdr:to>
      <cdr:x>0.98062</cdr:x>
      <cdr:y>0.2595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C32DE3-8461-47AA-9607-E6091F27B944}"/>
            </a:ext>
          </a:extLst>
        </cdr:cNvPr>
        <cdr:cNvGrpSpPr/>
      </cdr:nvGrpSpPr>
      <cdr:grpSpPr>
        <a:xfrm xmlns:a="http://schemas.openxmlformats.org/drawingml/2006/main">
          <a:off x="5670472" y="182109"/>
          <a:ext cx="3204868" cy="1271067"/>
          <a:chOff x="115796" y="-149150"/>
          <a:chExt cx="2730248" cy="1041911"/>
        </a:xfrm>
      </cdr:grpSpPr>
      <cdr:sp macro="" textlink="Lançamentos!$T$10">
        <cdr:nvSpPr>
          <cdr:cNvPr id="4" name="CaixaDeTexto 38"/>
          <cdr:cNvSpPr txBox="1"/>
        </cdr:nvSpPr>
        <cdr:spPr>
          <a:xfrm xmlns:a="http://schemas.openxmlformats.org/drawingml/2006/main">
            <a:off x="985148" y="551332"/>
            <a:ext cx="1011829" cy="341429"/>
          </a:xfrm>
          <a:prstGeom xmlns:a="http://schemas.openxmlformats.org/drawingml/2006/main" prst="rect">
            <a:avLst/>
          </a:prstGeom>
          <a:ln xmlns:a="http://schemas.openxmlformats.org/drawingml/2006/main"/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1">
            <a:schemeClr val="l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ctr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4BC862B7-9A7F-402B-96EE-F9B93ED8BE57}" type="TxLink">
              <a:rPr lang="en-US" sz="20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cs typeface="Calibri"/>
              </a:rPr>
              <a:pPr algn="ctr"/>
              <a:t>8,9%</a:t>
            </a:fld>
            <a:endParaRPr lang="pt-BR" sz="9600" b="1">
              <a:solidFill>
                <a:schemeClr val="accent3">
                  <a:lumMod val="50000"/>
                </a:schemeClr>
              </a:solidFill>
            </a:endParaRPr>
          </a:p>
        </cdr:txBody>
      </cdr:sp>
      <cdr:sp macro="" textlink="">
        <cdr:nvSpPr>
          <cdr:cNvPr id="5" name="CaixaDeTexto 39"/>
          <cdr:cNvSpPr txBox="1"/>
        </cdr:nvSpPr>
        <cdr:spPr>
          <a:xfrm xmlns:a="http://schemas.openxmlformats.org/drawingml/2006/main">
            <a:off x="115796" y="-149150"/>
            <a:ext cx="2730248" cy="691597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 rtlCol="0" anchor="ctr">
            <a:spAutoFit/>
          </a:bodyPr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pt-BR" sz="1600" b="1"/>
              <a:t>Execução Orçamentária Total </a:t>
            </a:r>
            <a:endParaRPr lang="pt-BR" sz="1600" b="1" baseline="0"/>
          </a:p>
          <a:p xmlns:a="http://schemas.openxmlformats.org/drawingml/2006/main">
            <a:pPr marL="0" indent="0" algn="ctr"/>
            <a:r>
              <a:rPr lang="pt-BR" sz="16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Variação  Acumulada</a:t>
            </a:r>
            <a:br>
              <a:rPr lang="pt-BR" sz="1600" b="1">
                <a:solidFill>
                  <a:schemeClr val="tx1"/>
                </a:solidFill>
                <a:latin typeface="+mn-lt"/>
                <a:ea typeface="+mn-ea"/>
                <a:cs typeface="+mn-cs"/>
              </a:rPr>
            </a:br>
            <a:r>
              <a:rPr lang="pt-BR" sz="16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jan - set - 2022 x 2021 </a:t>
            </a:r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504825</xdr:colOff>
      <xdr:row>6</xdr:row>
      <xdr:rowOff>133351</xdr:rowOff>
    </xdr:from>
    <xdr:to>
      <xdr:col>28</xdr:col>
      <xdr:colOff>1085849</xdr:colOff>
      <xdr:row>21</xdr:row>
      <xdr:rowOff>95250</xdr:rowOff>
    </xdr:to>
    <xdr:graphicFrame macro="">
      <xdr:nvGraphicFramePr>
        <xdr:cNvPr id="78" name="Gráfico RRT">
          <a:extLst>
            <a:ext uri="{FF2B5EF4-FFF2-40B4-BE49-F238E27FC236}">
              <a16:creationId xmlns:a16="http://schemas.microsoft.com/office/drawing/2014/main" id="{00000000-0008-0000-2F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466613</xdr:colOff>
      <xdr:row>23</xdr:row>
      <xdr:rowOff>160757</xdr:rowOff>
    </xdr:from>
    <xdr:to>
      <xdr:col>28</xdr:col>
      <xdr:colOff>1091013</xdr:colOff>
      <xdr:row>36</xdr:row>
      <xdr:rowOff>503057</xdr:rowOff>
    </xdr:to>
    <xdr:graphicFrame macro="">
      <xdr:nvGraphicFramePr>
        <xdr:cNvPr id="94" name="Gráfico taxas">
          <a:extLst>
            <a:ext uri="{FF2B5EF4-FFF2-40B4-BE49-F238E27FC236}">
              <a16:creationId xmlns:a16="http://schemas.microsoft.com/office/drawing/2014/main" id="{00000000-0008-0000-2F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365988</xdr:colOff>
      <xdr:row>23</xdr:row>
      <xdr:rowOff>162939</xdr:rowOff>
    </xdr:from>
    <xdr:to>
      <xdr:col>19</xdr:col>
      <xdr:colOff>387138</xdr:colOff>
      <xdr:row>36</xdr:row>
      <xdr:rowOff>501639</xdr:rowOff>
    </xdr:to>
    <xdr:graphicFrame macro="">
      <xdr:nvGraphicFramePr>
        <xdr:cNvPr id="87" name="Gráfico PJ ex ant">
          <a:extLst>
            <a:ext uri="{FF2B5EF4-FFF2-40B4-BE49-F238E27FC236}">
              <a16:creationId xmlns:a16="http://schemas.microsoft.com/office/drawing/2014/main" id="{00000000-0008-0000-2F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392978</xdr:colOff>
      <xdr:row>23</xdr:row>
      <xdr:rowOff>182203</xdr:rowOff>
    </xdr:from>
    <xdr:to>
      <xdr:col>9</xdr:col>
      <xdr:colOff>414128</xdr:colOff>
      <xdr:row>36</xdr:row>
      <xdr:rowOff>524503</xdr:rowOff>
    </xdr:to>
    <xdr:graphicFrame macro="">
      <xdr:nvGraphicFramePr>
        <xdr:cNvPr id="86" name="Gráfico PF ex ant">
          <a:extLst>
            <a:ext uri="{FF2B5EF4-FFF2-40B4-BE49-F238E27FC236}">
              <a16:creationId xmlns:a16="http://schemas.microsoft.com/office/drawing/2014/main" id="{00000000-0008-0000-2F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402165</xdr:colOff>
      <xdr:row>6</xdr:row>
      <xdr:rowOff>127001</xdr:rowOff>
    </xdr:from>
    <xdr:to>
      <xdr:col>19</xdr:col>
      <xdr:colOff>366165</xdr:colOff>
      <xdr:row>21</xdr:row>
      <xdr:rowOff>79300</xdr:rowOff>
    </xdr:to>
    <xdr:graphicFrame macro="">
      <xdr:nvGraphicFramePr>
        <xdr:cNvPr id="83" name="Gráfico PJ">
          <a:extLst>
            <a:ext uri="{FF2B5EF4-FFF2-40B4-BE49-F238E27FC236}">
              <a16:creationId xmlns:a16="http://schemas.microsoft.com/office/drawing/2014/main" id="{00000000-0008-0000-2F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413110</xdr:colOff>
      <xdr:row>6</xdr:row>
      <xdr:rowOff>146537</xdr:rowOff>
    </xdr:from>
    <xdr:to>
      <xdr:col>9</xdr:col>
      <xdr:colOff>377110</xdr:colOff>
      <xdr:row>21</xdr:row>
      <xdr:rowOff>98312</xdr:rowOff>
    </xdr:to>
    <xdr:graphicFrame macro="">
      <xdr:nvGraphicFramePr>
        <xdr:cNvPr id="81" name="Gráfico PF">
          <a:extLst>
            <a:ext uri="{FF2B5EF4-FFF2-40B4-BE49-F238E27FC236}">
              <a16:creationId xmlns:a16="http://schemas.microsoft.com/office/drawing/2014/main" id="{00000000-0008-0000-2F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Log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Títul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/>
      </xdr:nvSpPr>
      <xdr:spPr>
        <a:xfrm>
          <a:off x="3560941" y="0"/>
          <a:ext cx="13664641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Subtítulo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GrpSpPr/>
      </xdr:nvGrpSpPr>
      <xdr:grpSpPr>
        <a:xfrm>
          <a:off x="830271" y="935423"/>
          <a:ext cx="16086494" cy="483647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F00-000005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F00-000006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28" name="VOLTAR">
          <a:hlinkClick xmlns:r="http://schemas.openxmlformats.org/officeDocument/2006/relationships" r:id="rId8" tooltip="Voltar para a tela principal"/>
          <a:extLst>
            <a:ext uri="{FF2B5EF4-FFF2-40B4-BE49-F238E27FC236}">
              <a16:creationId xmlns:a16="http://schemas.microsoft.com/office/drawing/2014/main" id="{00000000-0008-0000-2F00-00001C000000}"/>
            </a:ext>
          </a:extLst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36" name="100%">
          <a:extLst>
            <a:ext uri="{FF2B5EF4-FFF2-40B4-BE49-F238E27FC236}">
              <a16:creationId xmlns:a16="http://schemas.microsoft.com/office/drawing/2014/main" id="{00000000-0008-0000-2F00-000024000000}"/>
            </a:ext>
          </a:extLst>
        </xdr:cNvPr>
        <xdr:cNvSpPr txBox="1"/>
      </xdr:nvSpPr>
      <xdr:spPr>
        <a:xfrm>
          <a:off x="15987033" y="801838"/>
          <a:ext cx="1122520" cy="561560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20</xdr:col>
      <xdr:colOff>441541</xdr:colOff>
      <xdr:row>22</xdr:row>
      <xdr:rowOff>65505</xdr:rowOff>
    </xdr:from>
    <xdr:to>
      <xdr:col>28</xdr:col>
      <xdr:colOff>995742</xdr:colOff>
      <xdr:row>29</xdr:row>
      <xdr:rowOff>170394</xdr:rowOff>
    </xdr:to>
    <xdr:grpSp>
      <xdr:nvGrpSpPr>
        <xdr:cNvPr id="31" name="Taxas e Multas">
          <a:extLst>
            <a:ext uri="{FF2B5EF4-FFF2-40B4-BE49-F238E27FC236}">
              <a16:creationId xmlns:a16="http://schemas.microsoft.com/office/drawing/2014/main" id="{00000000-0008-0000-2F00-00001F000000}"/>
            </a:ext>
          </a:extLst>
        </xdr:cNvPr>
        <xdr:cNvGrpSpPr/>
      </xdr:nvGrpSpPr>
      <xdr:grpSpPr>
        <a:xfrm>
          <a:off x="12546229" y="4798239"/>
          <a:ext cx="5386154" cy="1424499"/>
          <a:chOff x="12586450" y="4833110"/>
          <a:chExt cx="5404911" cy="1459090"/>
        </a:xfrm>
      </xdr:grpSpPr>
      <xdr:grpSp>
        <xdr:nvGrpSpPr>
          <xdr:cNvPr id="17" name="Grupo 16">
            <a:extLst>
              <a:ext uri="{FF2B5EF4-FFF2-40B4-BE49-F238E27FC236}">
                <a16:creationId xmlns:a16="http://schemas.microsoft.com/office/drawing/2014/main" id="{00000000-0008-0000-2F00-000011000000}"/>
              </a:ext>
            </a:extLst>
          </xdr:cNvPr>
          <xdr:cNvGrpSpPr/>
        </xdr:nvGrpSpPr>
        <xdr:grpSpPr>
          <a:xfrm>
            <a:off x="12586450" y="4833110"/>
            <a:ext cx="5404911" cy="298893"/>
            <a:chOff x="12586450" y="4833109"/>
            <a:chExt cx="5404911" cy="298893"/>
          </a:xfrm>
        </xdr:grpSpPr>
        <xdr:sp macro="" textlink="">
          <xdr:nvSpPr>
            <xdr:cNvPr id="51" name="CaixaDeTexto 50">
              <a:extLst>
                <a:ext uri="{FF2B5EF4-FFF2-40B4-BE49-F238E27FC236}">
                  <a16:creationId xmlns:a16="http://schemas.microsoft.com/office/drawing/2014/main" id="{00000000-0008-0000-2F00-000033000000}"/>
                </a:ext>
              </a:extLst>
            </xdr:cNvPr>
            <xdr:cNvSpPr txBox="1"/>
          </xdr:nvSpPr>
          <xdr:spPr>
            <a:xfrm>
              <a:off x="12854153" y="4833109"/>
              <a:ext cx="4869514" cy="29032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14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Taxas e Multas</a:t>
              </a:r>
            </a:p>
          </xdr:txBody>
        </xdr:sp>
        <xdr:cxnSp macro="">
          <xdr:nvCxnSpPr>
            <xdr:cNvPr id="52" name="Conector reto 51">
              <a:extLst>
                <a:ext uri="{FF2B5EF4-FFF2-40B4-BE49-F238E27FC236}">
                  <a16:creationId xmlns:a16="http://schemas.microsoft.com/office/drawing/2014/main" id="{00000000-0008-0000-2F00-000034000000}"/>
                </a:ext>
              </a:extLst>
            </xdr:cNvPr>
            <xdr:cNvCxnSpPr/>
          </xdr:nvCxnSpPr>
          <xdr:spPr>
            <a:xfrm>
              <a:off x="12586450" y="5132002"/>
              <a:ext cx="5404911" cy="0"/>
            </a:xfrm>
            <a:prstGeom prst="line">
              <a:avLst/>
            </a:prstGeom>
            <a:noFill/>
            <a:ln>
              <a:noFill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10" name="Grupo 109">
            <a:extLst>
              <a:ext uri="{FF2B5EF4-FFF2-40B4-BE49-F238E27FC236}">
                <a16:creationId xmlns:a16="http://schemas.microsoft.com/office/drawing/2014/main" id="{00000000-0008-0000-2F00-00006E000000}"/>
              </a:ext>
            </a:extLst>
          </xdr:cNvPr>
          <xdr:cNvGrpSpPr/>
        </xdr:nvGrpSpPr>
        <xdr:grpSpPr>
          <a:xfrm>
            <a:off x="13339063" y="5225605"/>
            <a:ext cx="1340755" cy="1066595"/>
            <a:chOff x="1369948" y="1810484"/>
            <a:chExt cx="1484763" cy="1239656"/>
          </a:xfrm>
          <a:noFill/>
        </xdr:grpSpPr>
        <xdr:sp macro="" textlink="Lançamentos!W7">
          <xdr:nvSpPr>
            <xdr:cNvPr id="111" name="CaixaDeTexto 110">
              <a:extLst>
                <a:ext uri="{FF2B5EF4-FFF2-40B4-BE49-F238E27FC236}">
                  <a16:creationId xmlns:a16="http://schemas.microsoft.com/office/drawing/2014/main" id="{00000000-0008-0000-2F00-00006F000000}"/>
                </a:ext>
              </a:extLst>
            </xdr:cNvPr>
            <xdr:cNvSpPr txBox="1"/>
          </xdr:nvSpPr>
          <xdr:spPr>
            <a:xfrm>
              <a:off x="1664623" y="2099440"/>
              <a:ext cx="966765" cy="367248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ctr"/>
              <a:fld id="{60DC1E22-3233-4B5C-A893-BA4B581F7860}" type="TxLink">
                <a:rPr lang="en-US" sz="1400" b="1" i="0" u="none" strike="noStrike">
                  <a:solidFill>
                    <a:srgbClr val="2A5664"/>
                  </a:solidFill>
                  <a:latin typeface="Calibri"/>
                  <a:cs typeface="Calibri"/>
                </a:rPr>
                <a:pPr algn="ctr"/>
                <a:t>44,6%</a:t>
              </a:fld>
              <a:endParaRPr lang="pt-BR" sz="1800" b="1">
                <a:solidFill>
                  <a:srgbClr val="2A5664"/>
                </a:solidFill>
              </a:endParaRPr>
            </a:p>
          </xdr:txBody>
        </xdr:sp>
        <xdr:sp macro="" textlink="">
          <xdr:nvSpPr>
            <xdr:cNvPr id="112" name="CaixaDeTexto 111">
              <a:extLst>
                <a:ext uri="{FF2B5EF4-FFF2-40B4-BE49-F238E27FC236}">
                  <a16:creationId xmlns:a16="http://schemas.microsoft.com/office/drawing/2014/main" id="{00000000-0008-0000-2F00-000070000000}"/>
                </a:ext>
              </a:extLst>
            </xdr:cNvPr>
            <xdr:cNvSpPr txBox="1"/>
          </xdr:nvSpPr>
          <xdr:spPr>
            <a:xfrm>
              <a:off x="1369948" y="1810484"/>
              <a:ext cx="1484101" cy="288314"/>
            </a:xfrm>
            <a:prstGeom prst="rect">
              <a:avLst/>
            </a:prstGeom>
            <a:grp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pt-BR" sz="1000" b="1"/>
                <a:t>Executado x Previsto</a:t>
              </a:r>
            </a:p>
          </xdr:txBody>
        </xdr:sp>
        <xdr:sp macro="" textlink="Lançamentos!Y7">
          <xdr:nvSpPr>
            <xdr:cNvPr id="113" name="%">
              <a:extLst>
                <a:ext uri="{FF2B5EF4-FFF2-40B4-BE49-F238E27FC236}">
                  <a16:creationId xmlns:a16="http://schemas.microsoft.com/office/drawing/2014/main" id="{00000000-0008-0000-2F00-000071000000}"/>
                </a:ext>
              </a:extLst>
            </xdr:cNvPr>
            <xdr:cNvSpPr txBox="1"/>
          </xdr:nvSpPr>
          <xdr:spPr>
            <a:xfrm>
              <a:off x="1660039" y="2682892"/>
              <a:ext cx="958167" cy="367248"/>
            </a:xfrm>
            <a:prstGeom prst="rect">
              <a:avLst/>
            </a:prstGeom>
            <a:ln>
              <a:solidFill>
                <a:srgbClr val="2A5664"/>
              </a:solidFill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marL="0" indent="0" algn="ctr"/>
              <a:fld id="{4179722B-7BB6-4467-92B0-980E0458994C}" type="TxLink">
                <a:rPr lang="en-US" sz="1400" b="1" i="0" u="none" strike="noStrike">
                  <a:solidFill>
                    <a:srgbClr val="006666"/>
                  </a:solidFill>
                  <a:latin typeface="Calibri"/>
                  <a:ea typeface="+mn-ea"/>
                  <a:cs typeface="Calibri"/>
                </a:rPr>
                <a:pPr marL="0" indent="0" algn="ctr"/>
                <a:t>24,9%</a:t>
              </a:fld>
              <a:endParaRPr lang="pt-BR" sz="1800" b="1" i="0" u="none" strike="noStrike">
                <a:solidFill>
                  <a:srgbClr val="006666"/>
                </a:solidFill>
                <a:latin typeface="Calibri"/>
                <a:ea typeface="+mn-ea"/>
                <a:cs typeface="Calibri"/>
              </a:endParaRPr>
            </a:p>
          </xdr:txBody>
        </xdr:sp>
        <xdr:sp macro="" textlink="">
          <xdr:nvSpPr>
            <xdr:cNvPr id="114" name="CaixaDeTexto 113">
              <a:extLst>
                <a:ext uri="{FF2B5EF4-FFF2-40B4-BE49-F238E27FC236}">
                  <a16:creationId xmlns:a16="http://schemas.microsoft.com/office/drawing/2014/main" id="{00000000-0008-0000-2F00-000072000000}"/>
                </a:ext>
              </a:extLst>
            </xdr:cNvPr>
            <xdr:cNvSpPr txBox="1"/>
          </xdr:nvSpPr>
          <xdr:spPr>
            <a:xfrm>
              <a:off x="1369948" y="2428419"/>
              <a:ext cx="1484763" cy="288314"/>
            </a:xfrm>
            <a:prstGeom prst="rect">
              <a:avLst/>
            </a:prstGeom>
            <a:grp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pt-BR" sz="1000" b="1"/>
                <a:t>Executado x Potencial</a:t>
              </a:r>
            </a:p>
          </xdr:txBody>
        </xdr:sp>
      </xdr:grpSp>
    </xdr:grpSp>
    <xdr:clientData/>
  </xdr:twoCellAnchor>
  <xdr:twoCellAnchor>
    <xdr:from>
      <xdr:col>20</xdr:col>
      <xdr:colOff>451964</xdr:colOff>
      <xdr:row>23</xdr:row>
      <xdr:rowOff>148858</xdr:rowOff>
    </xdr:from>
    <xdr:to>
      <xdr:col>28</xdr:col>
      <xdr:colOff>1090083</xdr:colOff>
      <xdr:row>36</xdr:row>
      <xdr:rowOff>656166</xdr:rowOff>
    </xdr:to>
    <xdr:sp macro="" textlink="">
      <xdr:nvSpPr>
        <xdr:cNvPr id="93" name="Retângulo 92">
          <a:hlinkClick xmlns:r="http://schemas.openxmlformats.org/officeDocument/2006/relationships" r:id="rId9" tooltip="Gráfico Taxas e Multas"/>
          <a:extLst>
            <a:ext uri="{FF2B5EF4-FFF2-40B4-BE49-F238E27FC236}">
              <a16:creationId xmlns:a16="http://schemas.microsoft.com/office/drawing/2014/main" id="{00000000-0008-0000-2F00-00005D000000}"/>
            </a:ext>
          </a:extLst>
        </xdr:cNvPr>
        <xdr:cNvSpPr/>
      </xdr:nvSpPr>
      <xdr:spPr>
        <a:xfrm>
          <a:off x="12728631" y="5112441"/>
          <a:ext cx="5538202" cy="298380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20</xdr:col>
      <xdr:colOff>314516</xdr:colOff>
      <xdr:row>5</xdr:row>
      <xdr:rowOff>13217</xdr:rowOff>
    </xdr:from>
    <xdr:to>
      <xdr:col>28</xdr:col>
      <xdr:colOff>1246309</xdr:colOff>
      <xdr:row>21</xdr:row>
      <xdr:rowOff>98568</xdr:rowOff>
    </xdr:to>
    <xdr:grpSp>
      <xdr:nvGrpSpPr>
        <xdr:cNvPr id="16" name="RRT">
          <a:extLst>
            <a:ext uri="{FF2B5EF4-FFF2-40B4-BE49-F238E27FC236}">
              <a16:creationId xmlns:a16="http://schemas.microsoft.com/office/drawing/2014/main" id="{00000000-0008-0000-2F00-000010000000}"/>
            </a:ext>
          </a:extLst>
        </xdr:cNvPr>
        <xdr:cNvGrpSpPr/>
      </xdr:nvGrpSpPr>
      <xdr:grpSpPr>
        <a:xfrm>
          <a:off x="12419204" y="1531264"/>
          <a:ext cx="5763746" cy="3111523"/>
          <a:chOff x="12458632" y="1537217"/>
          <a:chExt cx="5777637" cy="3145245"/>
        </a:xfrm>
      </xdr:grpSpPr>
      <xdr:grpSp>
        <xdr:nvGrpSpPr>
          <xdr:cNvPr id="128" name="Grupo 127">
            <a:extLst>
              <a:ext uri="{FF2B5EF4-FFF2-40B4-BE49-F238E27FC236}">
                <a16:creationId xmlns:a16="http://schemas.microsoft.com/office/drawing/2014/main" id="{00000000-0008-0000-2F00-000080000000}"/>
              </a:ext>
            </a:extLst>
          </xdr:cNvPr>
          <xdr:cNvGrpSpPr/>
        </xdr:nvGrpSpPr>
        <xdr:grpSpPr>
          <a:xfrm>
            <a:off x="12650586" y="1537217"/>
            <a:ext cx="5403146" cy="908433"/>
            <a:chOff x="12724134" y="1524792"/>
            <a:chExt cx="5432011" cy="888945"/>
          </a:xfrm>
        </xdr:grpSpPr>
        <xdr:grpSp>
          <xdr:nvGrpSpPr>
            <xdr:cNvPr id="47" name="Grupo 46">
              <a:extLst>
                <a:ext uri="{FF2B5EF4-FFF2-40B4-BE49-F238E27FC236}">
                  <a16:creationId xmlns:a16="http://schemas.microsoft.com/office/drawing/2014/main" id="{00000000-0008-0000-2F00-00002F000000}"/>
                </a:ext>
              </a:extLst>
            </xdr:cNvPr>
            <xdr:cNvGrpSpPr/>
          </xdr:nvGrpSpPr>
          <xdr:grpSpPr>
            <a:xfrm>
              <a:off x="12724134" y="1524792"/>
              <a:ext cx="5432011" cy="293273"/>
              <a:chOff x="833715" y="968427"/>
              <a:chExt cx="16179074" cy="485632"/>
            </a:xfrm>
          </xdr:grpSpPr>
          <xdr:sp macro="" textlink="">
            <xdr:nvSpPr>
              <xdr:cNvPr id="48" name="CaixaDeTexto 47">
                <a:extLst>
                  <a:ext uri="{FF2B5EF4-FFF2-40B4-BE49-F238E27FC236}">
                    <a16:creationId xmlns:a16="http://schemas.microsoft.com/office/drawing/2014/main" id="{00000000-0008-0000-2F00-000030000000}"/>
                  </a:ext>
                </a:extLst>
              </xdr:cNvPr>
              <xdr:cNvSpPr txBox="1"/>
            </xdr:nvSpPr>
            <xdr:spPr>
              <a:xfrm>
                <a:off x="1635058" y="968427"/>
                <a:ext cx="14576414" cy="471704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1400" cap="sm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RRT</a:t>
                </a:r>
              </a:p>
            </xdr:txBody>
          </xdr:sp>
          <xdr:cxnSp macro="">
            <xdr:nvCxnSpPr>
              <xdr:cNvPr id="49" name="Conector reto 48">
                <a:extLst>
                  <a:ext uri="{FF2B5EF4-FFF2-40B4-BE49-F238E27FC236}">
                    <a16:creationId xmlns:a16="http://schemas.microsoft.com/office/drawing/2014/main" id="{00000000-0008-0000-2F00-000031000000}"/>
                  </a:ext>
                </a:extLst>
              </xdr:cNvPr>
              <xdr:cNvCxnSpPr/>
            </xdr:nvCxnSpPr>
            <xdr:spPr>
              <a:xfrm>
                <a:off x="833715" y="1454059"/>
                <a:ext cx="16179074" cy="0"/>
              </a:xfrm>
              <a:prstGeom prst="line">
                <a:avLst/>
              </a:prstGeom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75" name="Grupo 74">
              <a:extLst>
                <a:ext uri="{FF2B5EF4-FFF2-40B4-BE49-F238E27FC236}">
                  <a16:creationId xmlns:a16="http://schemas.microsoft.com/office/drawing/2014/main" id="{00000000-0008-0000-2F00-00004B000000}"/>
                </a:ext>
              </a:extLst>
            </xdr:cNvPr>
            <xdr:cNvGrpSpPr/>
          </xdr:nvGrpSpPr>
          <xdr:grpSpPr>
            <a:xfrm>
              <a:off x="13388606" y="1884295"/>
              <a:ext cx="1343888" cy="529442"/>
              <a:chOff x="1369948" y="1838598"/>
              <a:chExt cx="1484101" cy="626875"/>
            </a:xfrm>
          </xdr:grpSpPr>
          <xdr:sp macro="" textlink="Lançamentos!W6">
            <xdr:nvSpPr>
              <xdr:cNvPr id="76" name="%">
                <a:extLst>
                  <a:ext uri="{FF2B5EF4-FFF2-40B4-BE49-F238E27FC236}">
                    <a16:creationId xmlns:a16="http://schemas.microsoft.com/office/drawing/2014/main" id="{00000000-0008-0000-2F00-00004C000000}"/>
                  </a:ext>
                </a:extLst>
              </xdr:cNvPr>
              <xdr:cNvSpPr txBox="1"/>
            </xdr:nvSpPr>
            <xdr:spPr>
              <a:xfrm>
                <a:off x="1809396" y="2100653"/>
                <a:ext cx="605202" cy="364820"/>
              </a:xfrm>
              <a:prstGeom prst="rect">
                <a:avLst/>
              </a:prstGeom>
              <a:ln/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fld id="{185E8A8A-341B-4CED-915A-E0B1382F04A2}" type="TxLink">
                  <a:rPr lang="en-US" sz="1400" b="1" i="0" u="none" strike="noStrike">
                    <a:solidFill>
                      <a:srgbClr val="2A5664"/>
                    </a:solidFill>
                    <a:latin typeface="Calibri"/>
                    <a:cs typeface="Calibri"/>
                  </a:rPr>
                  <a:pPr algn="ctr"/>
                  <a:t>4,7%</a:t>
                </a:fld>
                <a:endParaRPr lang="pt-BR" sz="1600" b="1">
                  <a:solidFill>
                    <a:srgbClr val="2A5664"/>
                  </a:solidFill>
                </a:endParaRPr>
              </a:p>
            </xdr:txBody>
          </xdr:sp>
          <xdr:sp macro="" textlink="">
            <xdr:nvSpPr>
              <xdr:cNvPr id="77" name="ExecutadoxPrevisto">
                <a:extLst>
                  <a:ext uri="{FF2B5EF4-FFF2-40B4-BE49-F238E27FC236}">
                    <a16:creationId xmlns:a16="http://schemas.microsoft.com/office/drawing/2014/main" id="{00000000-0008-0000-2F00-00004D000000}"/>
                  </a:ext>
                </a:extLst>
              </xdr:cNvPr>
              <xdr:cNvSpPr txBox="1"/>
            </xdr:nvSpPr>
            <xdr:spPr>
              <a:xfrm>
                <a:off x="1369948" y="1838598"/>
                <a:ext cx="1484101" cy="28831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lang="pt-BR" sz="1000" b="1"/>
                  <a:t>Executado x Previsto</a:t>
                </a:r>
              </a:p>
            </xdr:txBody>
          </xdr:sp>
        </xdr:grpSp>
      </xdr:grpSp>
      <xdr:sp macro="" textlink="">
        <xdr:nvSpPr>
          <xdr:cNvPr id="89" name="Retângulo 88">
            <a:hlinkClick xmlns:r="http://schemas.openxmlformats.org/officeDocument/2006/relationships" r:id="rId10" tooltip="Gráfico RRT"/>
            <a:extLst>
              <a:ext uri="{FF2B5EF4-FFF2-40B4-BE49-F238E27FC236}">
                <a16:creationId xmlns:a16="http://schemas.microsoft.com/office/drawing/2014/main" id="{00000000-0008-0000-2F00-000059000000}"/>
              </a:ext>
            </a:extLst>
          </xdr:cNvPr>
          <xdr:cNvSpPr/>
        </xdr:nvSpPr>
        <xdr:spPr>
          <a:xfrm>
            <a:off x="12458632" y="1802702"/>
            <a:ext cx="5777637" cy="287976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11</xdr:col>
      <xdr:colOff>12686</xdr:colOff>
      <xdr:row>22</xdr:row>
      <xdr:rowOff>35941</xdr:rowOff>
    </xdr:from>
    <xdr:to>
      <xdr:col>19</xdr:col>
      <xdr:colOff>21995</xdr:colOff>
      <xdr:row>23</xdr:row>
      <xdr:rowOff>159472</xdr:rowOff>
    </xdr:to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2F00-00002D000000}"/>
            </a:ext>
          </a:extLst>
        </xdr:cNvPr>
        <xdr:cNvSpPr txBox="1"/>
      </xdr:nvSpPr>
      <xdr:spPr>
        <a:xfrm>
          <a:off x="6648436" y="4814316"/>
          <a:ext cx="4835309" cy="314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BR" sz="1400" cap="small" baseline="0">
              <a:solidFill>
                <a:schemeClr val="bg1"/>
              </a:solidFill>
              <a:latin typeface="+mn-lt"/>
              <a:ea typeface="+mn-ea"/>
              <a:cs typeface="+mn-cs"/>
            </a:rPr>
            <a:t>Anuidade PJ - Exercícios Anteriores</a:t>
          </a:r>
        </a:p>
      </xdr:txBody>
    </xdr:sp>
    <xdr:clientData/>
  </xdr:twoCellAnchor>
  <xdr:twoCellAnchor>
    <xdr:from>
      <xdr:col>10</xdr:col>
      <xdr:colOff>350113</xdr:colOff>
      <xdr:row>23</xdr:row>
      <xdr:rowOff>178116</xdr:rowOff>
    </xdr:from>
    <xdr:to>
      <xdr:col>19</xdr:col>
      <xdr:colOff>287808</xdr:colOff>
      <xdr:row>23</xdr:row>
      <xdr:rowOff>178116</xdr:rowOff>
    </xdr:to>
    <xdr:cxnSp macro="">
      <xdr:nvCxnSpPr>
        <xdr:cNvPr id="46" name="Conector reto 45">
          <a:extLst>
            <a:ext uri="{FF2B5EF4-FFF2-40B4-BE49-F238E27FC236}">
              <a16:creationId xmlns:a16="http://schemas.microsoft.com/office/drawing/2014/main" id="{00000000-0008-0000-2F00-00002E000000}"/>
            </a:ext>
          </a:extLst>
        </xdr:cNvPr>
        <xdr:cNvCxnSpPr/>
      </xdr:nvCxnSpPr>
      <xdr:spPr>
        <a:xfrm>
          <a:off x="6382613" y="5146991"/>
          <a:ext cx="5366945" cy="0"/>
        </a:xfrm>
        <a:prstGeom prst="line">
          <a:avLst/>
        </a:prstGeom>
        <a:noFill/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117432</xdr:colOff>
      <xdr:row>25</xdr:row>
      <xdr:rowOff>91525</xdr:rowOff>
    </xdr:from>
    <xdr:to>
      <xdr:col>13</xdr:col>
      <xdr:colOff>148971</xdr:colOff>
      <xdr:row>27</xdr:row>
      <xdr:rowOff>47625</xdr:rowOff>
    </xdr:to>
    <xdr:sp macro="" textlink="Lançamentos!W5">
      <xdr:nvSpPr>
        <xdr:cNvPr id="101" name="% Pj Ant">
          <a:extLst>
            <a:ext uri="{FF2B5EF4-FFF2-40B4-BE49-F238E27FC236}">
              <a16:creationId xmlns:a16="http://schemas.microsoft.com/office/drawing/2014/main" id="{00000000-0008-0000-2F00-000065000000}"/>
            </a:ext>
          </a:extLst>
        </xdr:cNvPr>
        <xdr:cNvSpPr txBox="1"/>
      </xdr:nvSpPr>
      <xdr:spPr>
        <a:xfrm>
          <a:off x="7483432" y="5436108"/>
          <a:ext cx="645372" cy="337100"/>
        </a:xfrm>
        <a:prstGeom prst="rect">
          <a:avLst/>
        </a:prstGeom>
        <a:ln>
          <a:solidFill>
            <a:srgbClr val="2A5664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fld id="{4CB01299-3D2B-492B-855C-E0854AE8CE1F}" type="TxLink">
            <a:rPr lang="en-US" sz="1400" b="1" i="0" u="none" strike="noStrike">
              <a:solidFill>
                <a:srgbClr val="006666"/>
              </a:solidFill>
              <a:latin typeface="Calibri"/>
              <a:cs typeface="Calibri"/>
            </a:rPr>
            <a:pPr algn="ctr"/>
            <a:t>32,5%</a:t>
          </a:fld>
          <a:endParaRPr lang="pt-BR" sz="1400" b="1">
            <a:solidFill>
              <a:srgbClr val="006666"/>
            </a:solidFill>
          </a:endParaRPr>
        </a:p>
      </xdr:txBody>
    </xdr:sp>
    <xdr:clientData/>
  </xdr:twoCellAnchor>
  <xdr:twoCellAnchor>
    <xdr:from>
      <xdr:col>11</xdr:col>
      <xdr:colOff>373661</xdr:colOff>
      <xdr:row>23</xdr:row>
      <xdr:rowOff>184550</xdr:rowOff>
    </xdr:from>
    <xdr:to>
      <xdr:col>13</xdr:col>
      <xdr:colOff>498113</xdr:colOff>
      <xdr:row>25</xdr:row>
      <xdr:rowOff>71903</xdr:rowOff>
    </xdr:to>
    <xdr:sp macro="" textlink="">
      <xdr:nvSpPr>
        <xdr:cNvPr id="102" name="CaixaDeTexto 101">
          <a:extLst>
            <a:ext uri="{FF2B5EF4-FFF2-40B4-BE49-F238E27FC236}">
              <a16:creationId xmlns:a16="http://schemas.microsoft.com/office/drawing/2014/main" id="{00000000-0008-0000-2F00-000066000000}"/>
            </a:ext>
          </a:extLst>
        </xdr:cNvPr>
        <xdr:cNvSpPr txBox="1"/>
      </xdr:nvSpPr>
      <xdr:spPr>
        <a:xfrm>
          <a:off x="7009411" y="5153425"/>
          <a:ext cx="1330952" cy="26835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1000" b="1"/>
            <a:t>Executado x Previsto</a:t>
          </a:r>
        </a:p>
      </xdr:txBody>
    </xdr:sp>
    <xdr:clientData/>
  </xdr:twoCellAnchor>
  <xdr:twoCellAnchor>
    <xdr:from>
      <xdr:col>10</xdr:col>
      <xdr:colOff>227286</xdr:colOff>
      <xdr:row>5</xdr:row>
      <xdr:rowOff>16326</xdr:rowOff>
    </xdr:from>
    <xdr:to>
      <xdr:col>19</xdr:col>
      <xdr:colOff>537884</xdr:colOff>
      <xdr:row>21</xdr:row>
      <xdr:rowOff>92440</xdr:rowOff>
    </xdr:to>
    <xdr:grpSp>
      <xdr:nvGrpSpPr>
        <xdr:cNvPr id="13" name="PJ">
          <a:extLst>
            <a:ext uri="{FF2B5EF4-FFF2-40B4-BE49-F238E27FC236}">
              <a16:creationId xmlns:a16="http://schemas.microsoft.com/office/drawing/2014/main" id="{00000000-0008-0000-2F00-00000D000000}"/>
            </a:ext>
          </a:extLst>
        </xdr:cNvPr>
        <xdr:cNvGrpSpPr/>
      </xdr:nvGrpSpPr>
      <xdr:grpSpPr>
        <a:xfrm>
          <a:off x="6279630" y="1534373"/>
          <a:ext cx="5757707" cy="3102286"/>
          <a:chOff x="6334394" y="1540326"/>
          <a:chExt cx="5807083" cy="3135314"/>
        </a:xfrm>
      </xdr:grpSpPr>
      <xdr:grpSp>
        <xdr:nvGrpSpPr>
          <xdr:cNvPr id="12" name="Grupo 11">
            <a:extLst>
              <a:ext uri="{FF2B5EF4-FFF2-40B4-BE49-F238E27FC236}">
                <a16:creationId xmlns:a16="http://schemas.microsoft.com/office/drawing/2014/main" id="{00000000-0008-0000-2F00-00000C000000}"/>
              </a:ext>
            </a:extLst>
          </xdr:cNvPr>
          <xdr:cNvGrpSpPr/>
        </xdr:nvGrpSpPr>
        <xdr:grpSpPr>
          <a:xfrm>
            <a:off x="6500939" y="1540326"/>
            <a:ext cx="5430129" cy="299642"/>
            <a:chOff x="6500939" y="1540326"/>
            <a:chExt cx="5430129" cy="299642"/>
          </a:xfrm>
        </xdr:grpSpPr>
        <xdr:sp macro="" textlink="">
          <xdr:nvSpPr>
            <xdr:cNvPr id="29" name="CaixaDeTexto 28">
              <a:extLst>
                <a:ext uri="{FF2B5EF4-FFF2-40B4-BE49-F238E27FC236}">
                  <a16:creationId xmlns:a16="http://schemas.microsoft.com/office/drawing/2014/main" id="{00000000-0008-0000-2F00-00001D000000}"/>
                </a:ext>
              </a:extLst>
            </xdr:cNvPr>
            <xdr:cNvSpPr txBox="1"/>
          </xdr:nvSpPr>
          <xdr:spPr>
            <a:xfrm>
              <a:off x="6769891" y="1540326"/>
              <a:ext cx="4892234" cy="29104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14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Anuidade PJ - Exercício </a:t>
              </a:r>
            </a:p>
          </xdr:txBody>
        </xdr:sp>
        <xdr:cxnSp macro="">
          <xdr:nvCxnSpPr>
            <xdr:cNvPr id="30" name="Conector reto 29">
              <a:extLst>
                <a:ext uri="{FF2B5EF4-FFF2-40B4-BE49-F238E27FC236}">
                  <a16:creationId xmlns:a16="http://schemas.microsoft.com/office/drawing/2014/main" id="{00000000-0008-0000-2F00-00001E000000}"/>
                </a:ext>
              </a:extLst>
            </xdr:cNvPr>
            <xdr:cNvCxnSpPr/>
          </xdr:nvCxnSpPr>
          <xdr:spPr>
            <a:xfrm>
              <a:off x="6500939" y="1839968"/>
              <a:ext cx="5430129" cy="0"/>
            </a:xfrm>
            <a:prstGeom prst="line">
              <a:avLst/>
            </a:prstGeom>
            <a:noFill/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70" name="Grupo 69">
            <a:extLst>
              <a:ext uri="{FF2B5EF4-FFF2-40B4-BE49-F238E27FC236}">
                <a16:creationId xmlns:a16="http://schemas.microsoft.com/office/drawing/2014/main" id="{00000000-0008-0000-2F00-000046000000}"/>
              </a:ext>
            </a:extLst>
          </xdr:cNvPr>
          <xdr:cNvGrpSpPr/>
        </xdr:nvGrpSpPr>
        <xdr:grpSpPr>
          <a:xfrm>
            <a:off x="7140408" y="1846309"/>
            <a:ext cx="1347220" cy="1070961"/>
            <a:chOff x="1369948" y="1810484"/>
            <a:chExt cx="1484763" cy="1241619"/>
          </a:xfrm>
          <a:noFill/>
        </xdr:grpSpPr>
        <xdr:sp macro="" textlink="Lançamentos!W4">
          <xdr:nvSpPr>
            <xdr:cNvPr id="71" name="CaixaDeTexto 70">
              <a:extLst>
                <a:ext uri="{FF2B5EF4-FFF2-40B4-BE49-F238E27FC236}">
                  <a16:creationId xmlns:a16="http://schemas.microsoft.com/office/drawing/2014/main" id="{00000000-0008-0000-2F00-000047000000}"/>
                </a:ext>
              </a:extLst>
            </xdr:cNvPr>
            <xdr:cNvSpPr txBox="1"/>
          </xdr:nvSpPr>
          <xdr:spPr>
            <a:xfrm>
              <a:off x="1756900" y="2093210"/>
              <a:ext cx="776759" cy="369032"/>
            </a:xfrm>
            <a:prstGeom prst="rect">
              <a:avLst/>
            </a:prstGeom>
            <a:ln>
              <a:solidFill>
                <a:srgbClr val="FF0000"/>
              </a:solidFill>
            </a:ln>
          </xdr:spPr>
          <xdr:style>
            <a:lnRef idx="2">
              <a:schemeClr val="accent3"/>
            </a:lnRef>
            <a:fillRef idx="1">
              <a:schemeClr val="lt1"/>
            </a:fillRef>
            <a:effectRef idx="0">
              <a:schemeClr val="accent3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ctr"/>
              <a:fld id="{18EC968D-D0EF-41D1-9CF4-FE734BFADCB7}" type="TxLink">
                <a:rPr lang="en-US" sz="14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 algn="ctr"/>
                <a:t>-33,1%</a:t>
              </a:fld>
              <a:endParaRPr lang="pt-BR" sz="16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72" name="CaixaDeTexto 71">
              <a:extLst>
                <a:ext uri="{FF2B5EF4-FFF2-40B4-BE49-F238E27FC236}">
                  <a16:creationId xmlns:a16="http://schemas.microsoft.com/office/drawing/2014/main" id="{00000000-0008-0000-2F00-000048000000}"/>
                </a:ext>
              </a:extLst>
            </xdr:cNvPr>
            <xdr:cNvSpPr txBox="1"/>
          </xdr:nvSpPr>
          <xdr:spPr>
            <a:xfrm>
              <a:off x="1369948" y="1810484"/>
              <a:ext cx="1484101" cy="288315"/>
            </a:xfrm>
            <a:prstGeom prst="rect">
              <a:avLst/>
            </a:prstGeom>
            <a:grp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pt-BR" sz="1000" b="1"/>
                <a:t>Executado x Previsto</a:t>
              </a:r>
            </a:p>
          </xdr:txBody>
        </xdr:sp>
        <xdr:sp macro="" textlink="Lançamentos!Y4">
          <xdr:nvSpPr>
            <xdr:cNvPr id="73" name="CaixaDeTexto 72">
              <a:extLst>
                <a:ext uri="{FF2B5EF4-FFF2-40B4-BE49-F238E27FC236}">
                  <a16:creationId xmlns:a16="http://schemas.microsoft.com/office/drawing/2014/main" id="{00000000-0008-0000-2F00-000049000000}"/>
                </a:ext>
              </a:extLst>
            </xdr:cNvPr>
            <xdr:cNvSpPr txBox="1"/>
          </xdr:nvSpPr>
          <xdr:spPr>
            <a:xfrm>
              <a:off x="1756900" y="2683071"/>
              <a:ext cx="760016" cy="369032"/>
            </a:xfrm>
            <a:prstGeom prst="rect">
              <a:avLst/>
            </a:prstGeom>
            <a:ln>
              <a:solidFill>
                <a:srgbClr val="FF0000"/>
              </a:solidFill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fld id="{85EFA7BE-E2AE-4832-A0F2-4A16C25DE2F5}" type="TxLink">
                <a:rPr lang="en-US" sz="1400" b="1" i="0" u="none" strike="noStrike">
                  <a:solidFill>
                    <a:srgbClr val="FF0000"/>
                  </a:solidFill>
                  <a:latin typeface="Calibri"/>
                  <a:cs typeface="Calibri"/>
                </a:rPr>
                <a:pPr/>
                <a:t>-64,6%</a:t>
              </a:fld>
              <a:endParaRPr lang="pt-BR" sz="16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74" name="CaixaDeTexto 73">
              <a:extLst>
                <a:ext uri="{FF2B5EF4-FFF2-40B4-BE49-F238E27FC236}">
                  <a16:creationId xmlns:a16="http://schemas.microsoft.com/office/drawing/2014/main" id="{00000000-0008-0000-2F00-00004A000000}"/>
                </a:ext>
              </a:extLst>
            </xdr:cNvPr>
            <xdr:cNvSpPr txBox="1"/>
          </xdr:nvSpPr>
          <xdr:spPr>
            <a:xfrm>
              <a:off x="1369948" y="2428419"/>
              <a:ext cx="1484763" cy="288315"/>
            </a:xfrm>
            <a:prstGeom prst="rect">
              <a:avLst/>
            </a:prstGeom>
            <a:grp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pt-BR" sz="1000" b="1"/>
                <a:t>Executado x Potencial</a:t>
              </a:r>
            </a:p>
          </xdr:txBody>
        </xdr:sp>
      </xdr:grpSp>
      <xdr:sp macro="" textlink="">
        <xdr:nvSpPr>
          <xdr:cNvPr id="88" name="Retângulo 87">
            <a:hlinkClick xmlns:r="http://schemas.openxmlformats.org/officeDocument/2006/relationships" r:id="rId11" tooltip="Gráfico Anuidade PJ - Exercício 2020"/>
            <a:extLst>
              <a:ext uri="{FF2B5EF4-FFF2-40B4-BE49-F238E27FC236}">
                <a16:creationId xmlns:a16="http://schemas.microsoft.com/office/drawing/2014/main" id="{00000000-0008-0000-2F00-000058000000}"/>
              </a:ext>
            </a:extLst>
          </xdr:cNvPr>
          <xdr:cNvSpPr/>
        </xdr:nvSpPr>
        <xdr:spPr>
          <a:xfrm>
            <a:off x="6334394" y="1796581"/>
            <a:ext cx="5807083" cy="287905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0</xdr:col>
      <xdr:colOff>201147</xdr:colOff>
      <xdr:row>22</xdr:row>
      <xdr:rowOff>55200</xdr:rowOff>
    </xdr:from>
    <xdr:to>
      <xdr:col>9</xdr:col>
      <xdr:colOff>511744</xdr:colOff>
      <xdr:row>36</xdr:row>
      <xdr:rowOff>543718</xdr:rowOff>
    </xdr:to>
    <xdr:grpSp>
      <xdr:nvGrpSpPr>
        <xdr:cNvPr id="54" name="PF Ant">
          <a:extLst>
            <a:ext uri="{FF2B5EF4-FFF2-40B4-BE49-F238E27FC236}">
              <a16:creationId xmlns:a16="http://schemas.microsoft.com/office/drawing/2014/main" id="{00000000-0008-0000-2F00-000036000000}"/>
            </a:ext>
          </a:extLst>
        </xdr:cNvPr>
        <xdr:cNvGrpSpPr/>
      </xdr:nvGrpSpPr>
      <xdr:grpSpPr>
        <a:xfrm>
          <a:off x="201147" y="4787934"/>
          <a:ext cx="5757706" cy="3127737"/>
          <a:chOff x="201543" y="4829606"/>
          <a:chExt cx="5775566" cy="3155518"/>
        </a:xfrm>
        <a:noFill/>
      </xdr:grpSpPr>
      <xdr:grpSp>
        <xdr:nvGrpSpPr>
          <xdr:cNvPr id="129" name="Grupo 128">
            <a:extLst>
              <a:ext uri="{FF2B5EF4-FFF2-40B4-BE49-F238E27FC236}">
                <a16:creationId xmlns:a16="http://schemas.microsoft.com/office/drawing/2014/main" id="{00000000-0008-0000-2F00-000081000000}"/>
              </a:ext>
            </a:extLst>
          </xdr:cNvPr>
          <xdr:cNvGrpSpPr/>
        </xdr:nvGrpSpPr>
        <xdr:grpSpPr>
          <a:xfrm>
            <a:off x="266777" y="4829606"/>
            <a:ext cx="5400344" cy="911637"/>
            <a:chOff x="267411" y="4745230"/>
            <a:chExt cx="5431166" cy="894936"/>
          </a:xfrm>
          <a:grpFill/>
        </xdr:grpSpPr>
        <xdr:grpSp>
          <xdr:nvGrpSpPr>
            <xdr:cNvPr id="24" name="Grupo 23">
              <a:extLst>
                <a:ext uri="{FF2B5EF4-FFF2-40B4-BE49-F238E27FC236}">
                  <a16:creationId xmlns:a16="http://schemas.microsoft.com/office/drawing/2014/main" id="{00000000-0008-0000-2F00-000018000000}"/>
                </a:ext>
              </a:extLst>
            </xdr:cNvPr>
            <xdr:cNvGrpSpPr/>
          </xdr:nvGrpSpPr>
          <xdr:grpSpPr>
            <a:xfrm>
              <a:off x="267411" y="4745230"/>
              <a:ext cx="5431166" cy="293273"/>
              <a:chOff x="833715" y="968427"/>
              <a:chExt cx="16179074" cy="485632"/>
            </a:xfrm>
            <a:grpFill/>
          </xdr:grpSpPr>
          <xdr:sp macro="" textlink="">
            <xdr:nvSpPr>
              <xdr:cNvPr id="25" name="CaixaDeTexto 24">
                <a:extLst>
                  <a:ext uri="{FF2B5EF4-FFF2-40B4-BE49-F238E27FC236}">
                    <a16:creationId xmlns:a16="http://schemas.microsoft.com/office/drawing/2014/main" id="{00000000-0008-0000-2F00-000019000000}"/>
                  </a:ext>
                </a:extLst>
              </xdr:cNvPr>
              <xdr:cNvSpPr txBox="1"/>
            </xdr:nvSpPr>
            <xdr:spPr>
              <a:xfrm>
                <a:off x="1635058" y="968427"/>
                <a:ext cx="14576414" cy="471704"/>
              </a:xfrm>
              <a:prstGeom prst="rect">
                <a:avLst/>
              </a:prstGeom>
              <a:grp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1400" cap="sm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Anuidade PF - Exercícios Anteriores</a:t>
                </a:r>
              </a:p>
            </xdr:txBody>
          </xdr:sp>
          <xdr:cxnSp macro="">
            <xdr:nvCxnSpPr>
              <xdr:cNvPr id="26" name="Conector reto 25">
                <a:extLst>
                  <a:ext uri="{FF2B5EF4-FFF2-40B4-BE49-F238E27FC236}">
                    <a16:creationId xmlns:a16="http://schemas.microsoft.com/office/drawing/2014/main" id="{00000000-0008-0000-2F00-00001A000000}"/>
                  </a:ext>
                </a:extLst>
              </xdr:cNvPr>
              <xdr:cNvCxnSpPr/>
            </xdr:nvCxnSpPr>
            <xdr:spPr>
              <a:xfrm>
                <a:off x="833715" y="1454059"/>
                <a:ext cx="16179074" cy="0"/>
              </a:xfrm>
              <a:prstGeom prst="line">
                <a:avLst/>
              </a:prstGeom>
              <a:grpFill/>
              <a:ln>
                <a:noFill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95" name="Grupo 94">
              <a:extLst>
                <a:ext uri="{FF2B5EF4-FFF2-40B4-BE49-F238E27FC236}">
                  <a16:creationId xmlns:a16="http://schemas.microsoft.com/office/drawing/2014/main" id="{00000000-0008-0000-2F00-00005F000000}"/>
                </a:ext>
              </a:extLst>
            </xdr:cNvPr>
            <xdr:cNvGrpSpPr/>
          </xdr:nvGrpSpPr>
          <xdr:grpSpPr>
            <a:xfrm>
              <a:off x="1038834" y="5133401"/>
              <a:ext cx="1293177" cy="506765"/>
              <a:chOff x="1653180" y="1789123"/>
              <a:chExt cx="1424930" cy="600263"/>
            </a:xfrm>
            <a:grpFill/>
          </xdr:grpSpPr>
          <xdr:sp macro="" textlink="Lançamentos!W3">
            <xdr:nvSpPr>
              <xdr:cNvPr id="96" name="%">
                <a:extLst>
                  <a:ext uri="{FF2B5EF4-FFF2-40B4-BE49-F238E27FC236}">
                    <a16:creationId xmlns:a16="http://schemas.microsoft.com/office/drawing/2014/main" id="{00000000-0008-0000-2F00-000060000000}"/>
                  </a:ext>
                </a:extLst>
              </xdr:cNvPr>
              <xdr:cNvSpPr txBox="1"/>
            </xdr:nvSpPr>
            <xdr:spPr>
              <a:xfrm>
                <a:off x="2045926" y="2023961"/>
                <a:ext cx="604497" cy="365425"/>
              </a:xfrm>
              <a:prstGeom prst="rect">
                <a:avLst/>
              </a:prstGeom>
              <a:ln>
                <a:solidFill>
                  <a:srgbClr val="2A5664"/>
                </a:solidFill>
              </a:ln>
            </xdr:spPr>
            <xdr:style>
              <a:lnRef idx="2">
                <a:schemeClr val="accent3"/>
              </a:lnRef>
              <a:fillRef idx="1">
                <a:schemeClr val="lt1"/>
              </a:fillRef>
              <a:effectRef idx="0">
                <a:schemeClr val="accent3"/>
              </a:effectRef>
              <a:fontRef idx="minor">
                <a:schemeClr val="dk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fld id="{B91523D5-361C-4A22-8099-F65CA2E73E09}" type="TxLink">
                  <a:rPr lang="en-US" sz="1400" b="1" i="0" u="none" strike="noStrike">
                    <a:solidFill>
                      <a:srgbClr val="006666"/>
                    </a:solidFill>
                    <a:latin typeface="Calibri"/>
                    <a:cs typeface="Calibri"/>
                  </a:rPr>
                  <a:pPr algn="ctr"/>
                  <a:t>7,8%</a:t>
                </a:fld>
                <a:endParaRPr lang="pt-BR" sz="1400" b="1">
                  <a:solidFill>
                    <a:srgbClr val="006666"/>
                  </a:solidFill>
                </a:endParaRPr>
              </a:p>
            </xdr:txBody>
          </xdr:sp>
          <xdr:sp macro="" textlink="">
            <xdr:nvSpPr>
              <xdr:cNvPr id="97" name="ExecxPrev">
                <a:extLst>
                  <a:ext uri="{FF2B5EF4-FFF2-40B4-BE49-F238E27FC236}">
                    <a16:creationId xmlns:a16="http://schemas.microsoft.com/office/drawing/2014/main" id="{00000000-0008-0000-2F00-000061000000}"/>
                  </a:ext>
                </a:extLst>
              </xdr:cNvPr>
              <xdr:cNvSpPr txBox="1"/>
            </xdr:nvSpPr>
            <xdr:spPr>
              <a:xfrm>
                <a:off x="1653180" y="1789123"/>
                <a:ext cx="1424930" cy="289364"/>
              </a:xfrm>
              <a:prstGeom prst="rect">
                <a:avLst/>
              </a:prstGeom>
              <a:grp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algn="ctr"/>
                <a:r>
                  <a:rPr lang="pt-BR" sz="1000" b="1"/>
                  <a:t>Executado x Previsto</a:t>
                </a:r>
              </a:p>
            </xdr:txBody>
          </xdr:sp>
        </xdr:grpSp>
      </xdr:grpSp>
      <xdr:sp macro="" textlink="">
        <xdr:nvSpPr>
          <xdr:cNvPr id="90" name="Retângulo 89">
            <a:hlinkClick xmlns:r="http://schemas.openxmlformats.org/officeDocument/2006/relationships" r:id="rId12" tooltip="Gráfico Anuidade PF - Exercícios Anteriores"/>
            <a:extLst>
              <a:ext uri="{FF2B5EF4-FFF2-40B4-BE49-F238E27FC236}">
                <a16:creationId xmlns:a16="http://schemas.microsoft.com/office/drawing/2014/main" id="{00000000-0008-0000-2F00-00005A000000}"/>
              </a:ext>
            </a:extLst>
          </xdr:cNvPr>
          <xdr:cNvSpPr/>
        </xdr:nvSpPr>
        <xdr:spPr>
          <a:xfrm>
            <a:off x="201543" y="5115200"/>
            <a:ext cx="5775566" cy="286992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0</xdr:col>
      <xdr:colOff>195791</xdr:colOff>
      <xdr:row>5</xdr:row>
      <xdr:rowOff>41466</xdr:rowOff>
    </xdr:from>
    <xdr:to>
      <xdr:col>9</xdr:col>
      <xdr:colOff>505047</xdr:colOff>
      <xdr:row>21</xdr:row>
      <xdr:rowOff>104461</xdr:rowOff>
    </xdr:to>
    <xdr:grpSp>
      <xdr:nvGrpSpPr>
        <xdr:cNvPr id="11" name="PF">
          <a:extLst>
            <a:ext uri="{FF2B5EF4-FFF2-40B4-BE49-F238E27FC236}">
              <a16:creationId xmlns:a16="http://schemas.microsoft.com/office/drawing/2014/main" id="{00000000-0008-0000-2F00-00000B000000}"/>
            </a:ext>
          </a:extLst>
        </xdr:cNvPr>
        <xdr:cNvGrpSpPr/>
      </xdr:nvGrpSpPr>
      <xdr:grpSpPr>
        <a:xfrm>
          <a:off x="195791" y="1559513"/>
          <a:ext cx="5756365" cy="3089167"/>
          <a:chOff x="195791" y="1565466"/>
          <a:chExt cx="5738506" cy="3126870"/>
        </a:xfrm>
      </xdr:grpSpPr>
      <xdr:grpSp>
        <xdr:nvGrpSpPr>
          <xdr:cNvPr id="126" name="Grupo 125">
            <a:extLst>
              <a:ext uri="{FF2B5EF4-FFF2-40B4-BE49-F238E27FC236}">
                <a16:creationId xmlns:a16="http://schemas.microsoft.com/office/drawing/2014/main" id="{00000000-0008-0000-2F00-00007E000000}"/>
              </a:ext>
            </a:extLst>
          </xdr:cNvPr>
          <xdr:cNvGrpSpPr/>
        </xdr:nvGrpSpPr>
        <xdr:grpSpPr>
          <a:xfrm>
            <a:off x="401650" y="1565466"/>
            <a:ext cx="5366016" cy="1319790"/>
            <a:chOff x="309399" y="1521292"/>
            <a:chExt cx="5431166" cy="1288205"/>
          </a:xfrm>
        </xdr:grpSpPr>
        <xdr:grpSp>
          <xdr:nvGrpSpPr>
            <xdr:cNvPr id="21" name="Grupo 20">
              <a:extLst>
                <a:ext uri="{FF2B5EF4-FFF2-40B4-BE49-F238E27FC236}">
                  <a16:creationId xmlns:a16="http://schemas.microsoft.com/office/drawing/2014/main" id="{00000000-0008-0000-2F00-000015000000}"/>
                </a:ext>
              </a:extLst>
            </xdr:cNvPr>
            <xdr:cNvGrpSpPr/>
          </xdr:nvGrpSpPr>
          <xdr:grpSpPr>
            <a:xfrm>
              <a:off x="309399" y="1521292"/>
              <a:ext cx="5431166" cy="293273"/>
              <a:chOff x="833715" y="968427"/>
              <a:chExt cx="16179074" cy="485632"/>
            </a:xfrm>
          </xdr:grpSpPr>
          <xdr:sp macro="" textlink="">
            <xdr:nvSpPr>
              <xdr:cNvPr id="22" name="CaixaDeTexto 21">
                <a:extLst>
                  <a:ext uri="{FF2B5EF4-FFF2-40B4-BE49-F238E27FC236}">
                    <a16:creationId xmlns:a16="http://schemas.microsoft.com/office/drawing/2014/main" id="{00000000-0008-0000-2F00-000016000000}"/>
                  </a:ext>
                </a:extLst>
              </xdr:cNvPr>
              <xdr:cNvSpPr txBox="1"/>
            </xdr:nvSpPr>
            <xdr:spPr>
              <a:xfrm>
                <a:off x="1635058" y="968427"/>
                <a:ext cx="14576414" cy="471704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1400" cap="sm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Anuidade PF - Exercício </a:t>
                </a:r>
              </a:p>
            </xdr:txBody>
          </xdr:sp>
          <xdr:cxnSp macro="">
            <xdr:nvCxnSpPr>
              <xdr:cNvPr id="23" name="Conector reto 22">
                <a:extLst>
                  <a:ext uri="{FF2B5EF4-FFF2-40B4-BE49-F238E27FC236}">
                    <a16:creationId xmlns:a16="http://schemas.microsoft.com/office/drawing/2014/main" id="{00000000-0008-0000-2F00-000017000000}"/>
                  </a:ext>
                </a:extLst>
              </xdr:cNvPr>
              <xdr:cNvCxnSpPr/>
            </xdr:nvCxnSpPr>
            <xdr:spPr>
              <a:xfrm>
                <a:off x="833715" y="1454059"/>
                <a:ext cx="16179074" cy="0"/>
              </a:xfrm>
              <a:prstGeom prst="line">
                <a:avLst/>
              </a:prstGeom>
              <a:ln>
                <a:solidFill>
                  <a:schemeClr val="bg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14" name="Grupo 13">
              <a:extLst>
                <a:ext uri="{FF2B5EF4-FFF2-40B4-BE49-F238E27FC236}">
                  <a16:creationId xmlns:a16="http://schemas.microsoft.com/office/drawing/2014/main" id="{00000000-0008-0000-2F00-00000E000000}"/>
                </a:ext>
              </a:extLst>
            </xdr:cNvPr>
            <xdr:cNvGrpSpPr/>
          </xdr:nvGrpSpPr>
          <xdr:grpSpPr>
            <a:xfrm>
              <a:off x="1015806" y="1820209"/>
              <a:ext cx="1376313" cy="989288"/>
              <a:chOff x="1575705" y="1801987"/>
              <a:chExt cx="1516539" cy="1171884"/>
            </a:xfrm>
          </xdr:grpSpPr>
          <xdr:sp macro="" textlink="Lançamentos!W2">
            <xdr:nvSpPr>
              <xdr:cNvPr id="7" name="% PF - Exec. x Prev.">
                <a:extLst>
                  <a:ext uri="{FF2B5EF4-FFF2-40B4-BE49-F238E27FC236}">
                    <a16:creationId xmlns:a16="http://schemas.microsoft.com/office/drawing/2014/main" id="{00000000-0008-0000-2F00-000007000000}"/>
                  </a:ext>
                </a:extLst>
              </xdr:cNvPr>
              <xdr:cNvSpPr txBox="1"/>
            </xdr:nvSpPr>
            <xdr:spPr>
              <a:xfrm>
                <a:off x="1917032" y="2035413"/>
                <a:ext cx="762448" cy="368622"/>
              </a:xfrm>
              <a:prstGeom prst="rect">
                <a:avLst/>
              </a:prstGeom>
              <a:ln/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>
                <a:spAutoFit/>
              </a:bodyPr>
              <a:lstStyle/>
              <a:p>
                <a:pPr algn="ctr"/>
                <a:fld id="{6FDB252B-0068-4757-A38D-7FA0BC581F9D}" type="TxLink">
                  <a:rPr lang="en-US" sz="1400" b="1" i="0" u="none" strike="noStrike">
                    <a:solidFill>
                      <a:schemeClr val="accent4">
                        <a:lumMod val="50000"/>
                      </a:schemeClr>
                    </a:solidFill>
                    <a:latin typeface="Calibri"/>
                  </a:rPr>
                  <a:pPr algn="ctr"/>
                  <a:t>0,6%</a:t>
                </a:fld>
                <a:endParaRPr lang="pt-BR" sz="1400" b="1">
                  <a:solidFill>
                    <a:schemeClr val="accent4">
                      <a:lumMod val="50000"/>
                    </a:schemeClr>
                  </a:solidFill>
                </a:endParaRPr>
              </a:p>
            </xdr:txBody>
          </xdr:sp>
          <xdr:sp macro="" textlink="">
            <xdr:nvSpPr>
              <xdr:cNvPr id="8" name="CaixaDeTexto 7">
                <a:extLst>
                  <a:ext uri="{FF2B5EF4-FFF2-40B4-BE49-F238E27FC236}">
                    <a16:creationId xmlns:a16="http://schemas.microsoft.com/office/drawing/2014/main" id="{00000000-0008-0000-2F00-000008000000}"/>
                  </a:ext>
                </a:extLst>
              </xdr:cNvPr>
              <xdr:cNvSpPr txBox="1"/>
            </xdr:nvSpPr>
            <xdr:spPr>
              <a:xfrm>
                <a:off x="1608143" y="1801987"/>
                <a:ext cx="1484101" cy="28831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lang="pt-BR" sz="1000" b="1"/>
                  <a:t>Executado x Previsto</a:t>
                </a:r>
              </a:p>
            </xdr:txBody>
          </xdr:sp>
          <xdr:sp macro="" textlink="Lançamentos!Y2">
            <xdr:nvSpPr>
              <xdr:cNvPr id="68" name="% PF - Exec. x Potenc">
                <a:extLst>
                  <a:ext uri="{FF2B5EF4-FFF2-40B4-BE49-F238E27FC236}">
                    <a16:creationId xmlns:a16="http://schemas.microsoft.com/office/drawing/2014/main" id="{00000000-0008-0000-2F00-000044000000}"/>
                  </a:ext>
                </a:extLst>
              </xdr:cNvPr>
              <xdr:cNvSpPr txBox="1"/>
            </xdr:nvSpPr>
            <xdr:spPr>
              <a:xfrm>
                <a:off x="1918214" y="2609316"/>
                <a:ext cx="766855" cy="364555"/>
              </a:xfrm>
              <a:prstGeom prst="rect">
                <a:avLst/>
              </a:prstGeom>
              <a:ln>
                <a:solidFill>
                  <a:srgbClr val="FF0000"/>
                </a:solidFill>
              </a:ln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horzOverflow="clip" wrap="none" rtlCol="0" anchor="ctr">
                <a:spAutoFit/>
              </a:bodyPr>
              <a:lstStyle/>
              <a:p>
                <a:pPr marL="0" indent="0" algn="ctr"/>
                <a:fld id="{A39B4195-56DF-4D49-9649-ADC17647EDBF}" type="TxLink">
                  <a:rPr lang="en-US" sz="1400" b="1" i="0" u="none" strike="noStrike">
                    <a:solidFill>
                      <a:srgbClr val="FF0000"/>
                    </a:solidFill>
                    <a:latin typeface="Calibri"/>
                    <a:ea typeface="+mn-ea"/>
                    <a:cs typeface="+mn-cs"/>
                  </a:rPr>
                  <a:pPr marL="0" indent="0" algn="ctr"/>
                  <a:t>-28,0%</a:t>
                </a:fld>
                <a:endParaRPr lang="pt-BR" sz="1400" b="1" i="0" u="none" strike="noStrike">
                  <a:solidFill>
                    <a:srgbClr val="FF0000"/>
                  </a:solidFill>
                  <a:latin typeface="Calibri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69" name="CaixaDeTexto 68">
                <a:extLst>
                  <a:ext uri="{FF2B5EF4-FFF2-40B4-BE49-F238E27FC236}">
                    <a16:creationId xmlns:a16="http://schemas.microsoft.com/office/drawing/2014/main" id="{00000000-0008-0000-2F00-000045000000}"/>
                  </a:ext>
                </a:extLst>
              </xdr:cNvPr>
              <xdr:cNvSpPr txBox="1"/>
            </xdr:nvSpPr>
            <xdr:spPr>
              <a:xfrm>
                <a:off x="1575705" y="2368955"/>
                <a:ext cx="1484763" cy="28831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lang="pt-BR" sz="1000" b="1"/>
                  <a:t>Executado x Potencial</a:t>
                </a:r>
              </a:p>
            </xdr:txBody>
          </xdr:sp>
        </xdr:grpSp>
      </xdr:grpSp>
      <xdr:sp macro="" textlink="">
        <xdr:nvSpPr>
          <xdr:cNvPr id="9" name="Retângulo 8">
            <a:hlinkClick xmlns:r="http://schemas.openxmlformats.org/officeDocument/2006/relationships" r:id="rId13" tooltip="Gráfico Anuidade PF - Exercício 2020"/>
            <a:extLst>
              <a:ext uri="{FF2B5EF4-FFF2-40B4-BE49-F238E27FC236}">
                <a16:creationId xmlns:a16="http://schemas.microsoft.com/office/drawing/2014/main" id="{00000000-0008-0000-2F00-000009000000}"/>
              </a:ext>
            </a:extLst>
          </xdr:cNvPr>
          <xdr:cNvSpPr/>
        </xdr:nvSpPr>
        <xdr:spPr>
          <a:xfrm>
            <a:off x="195791" y="1807203"/>
            <a:ext cx="5738506" cy="288513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10</xdr:col>
      <xdr:colOff>325099</xdr:colOff>
      <xdr:row>23</xdr:row>
      <xdr:rowOff>124340</xdr:rowOff>
    </xdr:from>
    <xdr:to>
      <xdr:col>19</xdr:col>
      <xdr:colOff>433917</xdr:colOff>
      <xdr:row>36</xdr:row>
      <xdr:rowOff>531245</xdr:rowOff>
    </xdr:to>
    <xdr:sp macro="" textlink="">
      <xdr:nvSpPr>
        <xdr:cNvPr id="91" name="Retângulo 90">
          <a:hlinkClick xmlns:r="http://schemas.openxmlformats.org/officeDocument/2006/relationships" r:id="rId14" tooltip="Gráfico Anuidade PJ - Exercícios Anteriores"/>
          <a:extLst>
            <a:ext uri="{FF2B5EF4-FFF2-40B4-BE49-F238E27FC236}">
              <a16:creationId xmlns:a16="http://schemas.microsoft.com/office/drawing/2014/main" id="{00000000-0008-0000-2F00-00005B000000}"/>
            </a:ext>
          </a:extLst>
        </xdr:cNvPr>
        <xdr:cNvSpPr/>
      </xdr:nvSpPr>
      <xdr:spPr>
        <a:xfrm>
          <a:off x="6463432" y="5087923"/>
          <a:ext cx="5633318" cy="28834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GrpSpPr/>
      </xdr:nvGrpSpPr>
      <xdr:grpSpPr>
        <a:xfrm>
          <a:off x="832256" y="933439"/>
          <a:ext cx="16138087" cy="489600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3000-000005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3000-000006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schemas.openxmlformats.org/officeDocument/2006/relationships" r:id="rId2" tooltip="Voltar para a tela principal"/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3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243987</xdr:colOff>
      <xdr:row>7</xdr:row>
      <xdr:rowOff>110973</xdr:rowOff>
    </xdr:from>
    <xdr:to>
      <xdr:col>27</xdr:col>
      <xdr:colOff>579782</xdr:colOff>
      <xdr:row>36</xdr:row>
      <xdr:rowOff>548723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3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221023</xdr:colOff>
      <xdr:row>5</xdr:row>
      <xdr:rowOff>9716</xdr:rowOff>
    </xdr:from>
    <xdr:to>
      <xdr:col>27</xdr:col>
      <xdr:colOff>579355</xdr:colOff>
      <xdr:row>6</xdr:row>
      <xdr:rowOff>116630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0000000-0008-0000-3000-000014000000}"/>
            </a:ext>
          </a:extLst>
        </xdr:cNvPr>
        <xdr:cNvGrpSpPr/>
      </xdr:nvGrpSpPr>
      <xdr:grpSpPr>
        <a:xfrm>
          <a:off x="828242" y="1533716"/>
          <a:ext cx="16146019" cy="297414"/>
          <a:chOff x="833715" y="968427"/>
          <a:chExt cx="16179074" cy="485632"/>
        </a:xfrm>
      </xdr:grpSpPr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00000000-0008-0000-3000-000015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Anuidade PF - Exercício</a:t>
            </a:r>
          </a:p>
        </xdr:txBody>
      </xdr:sp>
      <xdr:cxnSp macro="">
        <xdr:nvCxnSpPr>
          <xdr:cNvPr id="22" name="Conector reto 21">
            <a:extLst>
              <a:ext uri="{FF2B5EF4-FFF2-40B4-BE49-F238E27FC236}">
                <a16:creationId xmlns:a16="http://schemas.microsoft.com/office/drawing/2014/main" id="{00000000-0008-0000-3000-000016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423073</xdr:colOff>
      <xdr:row>10</xdr:row>
      <xdr:rowOff>2253</xdr:rowOff>
    </xdr:from>
    <xdr:to>
      <xdr:col>5</xdr:col>
      <xdr:colOff>290457</xdr:colOff>
      <xdr:row>12</xdr:row>
      <xdr:rowOff>26684</xdr:rowOff>
    </xdr:to>
    <xdr:sp macro="" textlink="Lançamentos!W2">
      <xdr:nvSpPr>
        <xdr:cNvPr id="39" name="CaixaDeTexto 38">
          <a:extLst>
            <a:ext uri="{FF2B5EF4-FFF2-40B4-BE49-F238E27FC236}">
              <a16:creationId xmlns:a16="http://schemas.microsoft.com/office/drawing/2014/main" id="{00000000-0008-0000-3000-000027000000}"/>
            </a:ext>
          </a:extLst>
        </xdr:cNvPr>
        <xdr:cNvSpPr txBox="1"/>
      </xdr:nvSpPr>
      <xdr:spPr>
        <a:xfrm>
          <a:off x="2264573" y="2478753"/>
          <a:ext cx="1095051" cy="405431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marL="0" indent="0" algn="ctr"/>
          <a:fld id="{6FDB252B-0068-4757-A38D-7FA0BC581F9D}" type="TxLink">
            <a:rPr lang="en-US" sz="2000" b="1" i="0" u="none" strike="noStrike">
              <a:solidFill>
                <a:schemeClr val="accent4">
                  <a:lumMod val="50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0,6%</a:t>
          </a:fld>
          <a:endParaRPr lang="pt-BR" sz="2000" b="1" i="0" u="none" strike="noStrike">
            <a:solidFill>
              <a:schemeClr val="accent4">
                <a:lumMod val="50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124432</xdr:colOff>
      <xdr:row>8</xdr:row>
      <xdr:rowOff>62344</xdr:rowOff>
    </xdr:from>
    <xdr:to>
      <xdr:col>6</xdr:col>
      <xdr:colOff>24445</xdr:colOff>
      <xdr:row>9</xdr:row>
      <xdr:rowOff>189321</xdr:rowOff>
    </xdr:to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3000-000028000000}"/>
            </a:ext>
          </a:extLst>
        </xdr:cNvPr>
        <xdr:cNvSpPr txBox="1"/>
      </xdr:nvSpPr>
      <xdr:spPr>
        <a:xfrm>
          <a:off x="1965932" y="2157844"/>
          <a:ext cx="1741513" cy="3174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1400" b="1"/>
            <a:t>Executado x Previsto</a:t>
          </a:r>
        </a:p>
      </xdr:txBody>
    </xdr:sp>
    <xdr:clientData/>
  </xdr:twoCellAnchor>
  <xdr:twoCellAnchor>
    <xdr:from>
      <xdr:col>6</xdr:col>
      <xdr:colOff>528195</xdr:colOff>
      <xdr:row>10</xdr:row>
      <xdr:rowOff>11515</xdr:rowOff>
    </xdr:from>
    <xdr:to>
      <xdr:col>8</xdr:col>
      <xdr:colOff>359385</xdr:colOff>
      <xdr:row>12</xdr:row>
      <xdr:rowOff>35946</xdr:rowOff>
    </xdr:to>
    <xdr:sp macro="" textlink="Lançamentos!Y2">
      <xdr:nvSpPr>
        <xdr:cNvPr id="41" name="CaixaDeTexto 40">
          <a:extLst>
            <a:ext uri="{FF2B5EF4-FFF2-40B4-BE49-F238E27FC236}">
              <a16:creationId xmlns:a16="http://schemas.microsoft.com/office/drawing/2014/main" id="{00000000-0008-0000-3000-000029000000}"/>
            </a:ext>
          </a:extLst>
        </xdr:cNvPr>
        <xdr:cNvSpPr txBox="1"/>
      </xdr:nvSpPr>
      <xdr:spPr>
        <a:xfrm>
          <a:off x="4211195" y="2488015"/>
          <a:ext cx="1058857" cy="405431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marL="0" indent="0" algn="ctr"/>
          <a:fld id="{A39B4195-56DF-4D49-9649-ADC17647EDBF}" type="TxLink">
            <a:rPr lang="en-US" sz="2000" b="1" i="0" u="none" strike="noStrike">
              <a:solidFill>
                <a:srgbClr val="FF0000"/>
              </a:solidFill>
              <a:latin typeface="Calibri"/>
              <a:ea typeface="+mn-ea"/>
              <a:cs typeface="+mn-cs"/>
            </a:rPr>
            <a:pPr marL="0" indent="0" algn="ctr"/>
            <a:t>-28,0%</a:t>
          </a:fld>
          <a:endParaRPr lang="pt-BR" sz="2000" b="1" i="0" u="none" strike="noStrike">
            <a:solidFill>
              <a:srgbClr val="FF0000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175878</xdr:colOff>
      <xdr:row>8</xdr:row>
      <xdr:rowOff>73306</xdr:rowOff>
    </xdr:from>
    <xdr:to>
      <xdr:col>9</xdr:col>
      <xdr:colOff>160154</xdr:colOff>
      <xdr:row>10</xdr:row>
      <xdr:rowOff>9782</xdr:rowOff>
    </xdr:to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3000-00002A000000}"/>
            </a:ext>
          </a:extLst>
        </xdr:cNvPr>
        <xdr:cNvSpPr txBox="1"/>
      </xdr:nvSpPr>
      <xdr:spPr>
        <a:xfrm>
          <a:off x="3858878" y="2168806"/>
          <a:ext cx="1825776" cy="3174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1400" b="1"/>
            <a:t>Executado x Potencial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GrpSpPr/>
      </xdr:nvGrpSpPr>
      <xdr:grpSpPr>
        <a:xfrm>
          <a:off x="830271" y="935423"/>
          <a:ext cx="16086494" cy="483647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3100-000005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 -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3100-000006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schemas.openxmlformats.org/officeDocument/2006/relationships" r:id="rId2" tooltip="Voltar para a tela principal"/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3100-00000D000000}"/>
            </a:ext>
          </a:extLst>
        </xdr:cNvPr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238437</xdr:colOff>
      <xdr:row>7</xdr:row>
      <xdr:rowOff>57305</xdr:rowOff>
    </xdr:from>
    <xdr:to>
      <xdr:col>27</xdr:col>
      <xdr:colOff>590135</xdr:colOff>
      <xdr:row>36</xdr:row>
      <xdr:rowOff>548723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3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228133</xdr:colOff>
      <xdr:row>4</xdr:row>
      <xdr:rowOff>173039</xdr:rowOff>
    </xdr:from>
    <xdr:to>
      <xdr:col>27</xdr:col>
      <xdr:colOff>589175</xdr:colOff>
      <xdr:row>6</xdr:row>
      <xdr:rowOff>93380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00000000-0008-0000-3100-000017000000}"/>
            </a:ext>
          </a:extLst>
        </xdr:cNvPr>
        <xdr:cNvGrpSpPr/>
      </xdr:nvGrpSpPr>
      <xdr:grpSpPr>
        <a:xfrm>
          <a:off x="833367" y="1502570"/>
          <a:ext cx="16097136" cy="297373"/>
          <a:chOff x="833715" y="968427"/>
          <a:chExt cx="16179074" cy="485632"/>
        </a:xfrm>
      </xdr:grpSpPr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3100-000018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Anuidade PF - Exercícios Anteriores</a:t>
            </a:r>
          </a:p>
        </xdr:txBody>
      </xdr:sp>
      <xdr:cxnSp macro="">
        <xdr:nvCxnSpPr>
          <xdr:cNvPr id="25" name="Conector reto 24">
            <a:extLst>
              <a:ext uri="{FF2B5EF4-FFF2-40B4-BE49-F238E27FC236}">
                <a16:creationId xmlns:a16="http://schemas.microsoft.com/office/drawing/2014/main" id="{00000000-0008-0000-3100-000019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502256</xdr:colOff>
      <xdr:row>8</xdr:row>
      <xdr:rowOff>8981</xdr:rowOff>
    </xdr:from>
    <xdr:to>
      <xdr:col>5</xdr:col>
      <xdr:colOff>403089</xdr:colOff>
      <xdr:row>12</xdr:row>
      <xdr:rowOff>18727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3100-000033000000}"/>
            </a:ext>
          </a:extLst>
        </xdr:cNvPr>
        <xdr:cNvGrpSpPr/>
      </xdr:nvGrpSpPr>
      <xdr:grpSpPr>
        <a:xfrm>
          <a:off x="1712725" y="2092575"/>
          <a:ext cx="1716536" cy="763808"/>
          <a:chOff x="1369948" y="1789647"/>
          <a:chExt cx="1909960" cy="895480"/>
        </a:xfrm>
      </xdr:grpSpPr>
      <xdr:sp macro="" textlink="Lançamentos!W3">
        <xdr:nvSpPr>
          <xdr:cNvPr id="52" name="CaixaDeTexto 51">
            <a:extLst>
              <a:ext uri="{FF2B5EF4-FFF2-40B4-BE49-F238E27FC236}">
                <a16:creationId xmlns:a16="http://schemas.microsoft.com/office/drawing/2014/main" id="{00000000-0008-0000-3100-000034000000}"/>
              </a:ext>
            </a:extLst>
          </xdr:cNvPr>
          <xdr:cNvSpPr txBox="1"/>
        </xdr:nvSpPr>
        <xdr:spPr>
          <a:xfrm>
            <a:off x="1936773" y="2209803"/>
            <a:ext cx="776310" cy="475324"/>
          </a:xfrm>
          <a:prstGeom prst="rect">
            <a:avLst/>
          </a:prstGeom>
          <a:ln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fld id="{B91523D5-361C-4A22-8099-F65CA2E73E09}" type="TxLink">
              <a:rPr lang="en-US" sz="2000" b="1" i="0" u="none" strike="noStrike">
                <a:solidFill>
                  <a:srgbClr val="006666"/>
                </a:solidFill>
                <a:latin typeface="Calibri"/>
                <a:cs typeface="Calibri"/>
              </a:rPr>
              <a:pPr algn="ctr"/>
              <a:t>7,8%</a:t>
            </a:fld>
            <a:endParaRPr lang="pt-BR" sz="2000" b="1">
              <a:solidFill>
                <a:srgbClr val="006666"/>
              </a:solidFill>
            </a:endParaRPr>
          </a:p>
        </xdr:txBody>
      </xdr:sp>
      <xdr:sp macro="" textlink="">
        <xdr:nvSpPr>
          <xdr:cNvPr id="53" name="CaixaDeTexto 52">
            <a:extLst>
              <a:ext uri="{FF2B5EF4-FFF2-40B4-BE49-F238E27FC236}">
                <a16:creationId xmlns:a16="http://schemas.microsoft.com/office/drawing/2014/main" id="{00000000-0008-0000-3100-000035000000}"/>
              </a:ext>
            </a:extLst>
          </xdr:cNvPr>
          <xdr:cNvSpPr txBox="1"/>
        </xdr:nvSpPr>
        <xdr:spPr>
          <a:xfrm>
            <a:off x="1369948" y="1789647"/>
            <a:ext cx="1909960" cy="3689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1400" b="1"/>
              <a:t>Executado x Previsto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GrpSpPr/>
      </xdr:nvGrpSpPr>
      <xdr:grpSpPr>
        <a:xfrm>
          <a:off x="832256" y="933439"/>
          <a:ext cx="16138087" cy="489600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3200-000005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3200-000006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schemas.openxmlformats.org/officeDocument/2006/relationships" r:id="rId2" tooltip="Voltar para a tela principal"/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3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3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3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3200-00000D000000}"/>
            </a:ext>
          </a:extLst>
        </xdr:cNvPr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240074</xdr:colOff>
      <xdr:row>7</xdr:row>
      <xdr:rowOff>103533</xdr:rowOff>
    </xdr:from>
    <xdr:to>
      <xdr:col>28</xdr:col>
      <xdr:colOff>0</xdr:colOff>
      <xdr:row>36</xdr:row>
      <xdr:rowOff>548723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3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248480</xdr:colOff>
      <xdr:row>5</xdr:row>
      <xdr:rowOff>47385</xdr:rowOff>
    </xdr:from>
    <xdr:to>
      <xdr:col>27</xdr:col>
      <xdr:colOff>579783</xdr:colOff>
      <xdr:row>6</xdr:row>
      <xdr:rowOff>154299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00000000-0008-0000-3200-00001A000000}"/>
            </a:ext>
          </a:extLst>
        </xdr:cNvPr>
        <xdr:cNvGrpSpPr/>
      </xdr:nvGrpSpPr>
      <xdr:grpSpPr>
        <a:xfrm>
          <a:off x="855699" y="1571385"/>
          <a:ext cx="16118990" cy="297414"/>
          <a:chOff x="833715" y="968427"/>
          <a:chExt cx="16179074" cy="485632"/>
        </a:xfrm>
      </xdr:grpSpPr>
      <xdr:sp macro="" textlink="">
        <xdr:nvSpPr>
          <xdr:cNvPr id="27" name="CaixaDeTexto 26">
            <a:extLst>
              <a:ext uri="{FF2B5EF4-FFF2-40B4-BE49-F238E27FC236}">
                <a16:creationId xmlns:a16="http://schemas.microsoft.com/office/drawing/2014/main" id="{00000000-0008-0000-3200-00001B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Anuidade PJ - Exercício</a:t>
            </a:r>
          </a:p>
        </xdr:txBody>
      </xdr:sp>
      <xdr:cxnSp macro="">
        <xdr:nvCxnSpPr>
          <xdr:cNvPr id="28" name="Conector reto 27">
            <a:extLst>
              <a:ext uri="{FF2B5EF4-FFF2-40B4-BE49-F238E27FC236}">
                <a16:creationId xmlns:a16="http://schemas.microsoft.com/office/drawing/2014/main" id="{00000000-0008-0000-3200-00001C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112166</xdr:colOff>
      <xdr:row>9</xdr:row>
      <xdr:rowOff>72153</xdr:rowOff>
    </xdr:from>
    <xdr:to>
      <xdr:col>4</xdr:col>
      <xdr:colOff>326332</xdr:colOff>
      <xdr:row>11</xdr:row>
      <xdr:rowOff>96585</xdr:rowOff>
    </xdr:to>
    <xdr:sp macro="" textlink="Lançamentos!W4">
      <xdr:nvSpPr>
        <xdr:cNvPr id="44" name="CaixaDeTexto 43">
          <a:extLst>
            <a:ext uri="{FF2B5EF4-FFF2-40B4-BE49-F238E27FC236}">
              <a16:creationId xmlns:a16="http://schemas.microsoft.com/office/drawing/2014/main" id="{00000000-0008-0000-3200-00002C000000}"/>
            </a:ext>
          </a:extLst>
        </xdr:cNvPr>
        <xdr:cNvSpPr txBox="1"/>
      </xdr:nvSpPr>
      <xdr:spPr>
        <a:xfrm>
          <a:off x="1933822" y="2358153"/>
          <a:ext cx="821385" cy="405432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fld id="{18EC968D-D0EF-41D1-9CF4-FE734BFADCB7}" type="TxLink">
            <a:rPr lang="en-US" sz="2000" b="1" i="0" u="none" strike="noStrike">
              <a:solidFill>
                <a:srgbClr val="FF0000"/>
              </a:solidFill>
              <a:latin typeface="Calibri"/>
              <a:cs typeface="Calibri"/>
            </a:rPr>
            <a:pPr algn="ctr"/>
            <a:t>-33,1%</a:t>
          </a:fld>
          <a:endParaRPr lang="pt-BR" sz="20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486122</xdr:colOff>
      <xdr:row>8</xdr:row>
      <xdr:rowOff>11616</xdr:rowOff>
    </xdr:from>
    <xdr:to>
      <xdr:col>5</xdr:col>
      <xdr:colOff>381000</xdr:colOff>
      <xdr:row>9</xdr:row>
      <xdr:rowOff>142894</xdr:rowOff>
    </xdr:to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3200-00002D000000}"/>
            </a:ext>
          </a:extLst>
        </xdr:cNvPr>
        <xdr:cNvSpPr txBox="1"/>
      </xdr:nvSpPr>
      <xdr:spPr>
        <a:xfrm>
          <a:off x="1713789" y="2107116"/>
          <a:ext cx="1736378" cy="3217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1400" b="1"/>
            <a:t>Executado x Previsto</a:t>
          </a:r>
        </a:p>
      </xdr:txBody>
    </xdr:sp>
    <xdr:clientData/>
  </xdr:twoCellAnchor>
  <xdr:twoCellAnchor>
    <xdr:from>
      <xdr:col>6</xdr:col>
      <xdr:colOff>78522</xdr:colOff>
      <xdr:row>9</xdr:row>
      <xdr:rowOff>84059</xdr:rowOff>
    </xdr:from>
    <xdr:to>
      <xdr:col>7</xdr:col>
      <xdr:colOff>526405</xdr:colOff>
      <xdr:row>11</xdr:row>
      <xdr:rowOff>108491</xdr:rowOff>
    </xdr:to>
    <xdr:sp macro="" textlink="Lançamentos!Y4">
      <xdr:nvSpPr>
        <xdr:cNvPr id="46" name="CaixaDeTexto 45">
          <a:extLst>
            <a:ext uri="{FF2B5EF4-FFF2-40B4-BE49-F238E27FC236}">
              <a16:creationId xmlns:a16="http://schemas.microsoft.com/office/drawing/2014/main" id="{00000000-0008-0000-3200-00002E000000}"/>
            </a:ext>
          </a:extLst>
        </xdr:cNvPr>
        <xdr:cNvSpPr txBox="1"/>
      </xdr:nvSpPr>
      <xdr:spPr>
        <a:xfrm>
          <a:off x="3721835" y="2370059"/>
          <a:ext cx="1055101" cy="405432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fld id="{85EFA7BE-E2AE-4832-A0F2-4A16C25DE2F5}" type="TxLink">
            <a:rPr lang="en-US" sz="2000" b="1" i="0" u="none" strike="noStrike">
              <a:solidFill>
                <a:srgbClr val="FF0000"/>
              </a:solidFill>
              <a:latin typeface="Calibri"/>
              <a:cs typeface="Calibri"/>
            </a:rPr>
            <a:pPr algn="ctr"/>
            <a:t>-64,6%</a:t>
          </a:fld>
          <a:endParaRPr lang="pt-BR" sz="2000" b="1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507028</xdr:colOff>
      <xdr:row>8</xdr:row>
      <xdr:rowOff>11617</xdr:rowOff>
    </xdr:from>
    <xdr:to>
      <xdr:col>9</xdr:col>
      <xdr:colOff>181243</xdr:colOff>
      <xdr:row>9</xdr:row>
      <xdr:rowOff>142895</xdr:rowOff>
    </xdr:to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3200-00002F000000}"/>
            </a:ext>
          </a:extLst>
        </xdr:cNvPr>
        <xdr:cNvSpPr txBox="1"/>
      </xdr:nvSpPr>
      <xdr:spPr>
        <a:xfrm>
          <a:off x="3576195" y="2107117"/>
          <a:ext cx="2129548" cy="3217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1400" b="1"/>
            <a:t>Executado x Potencial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GrpSpPr/>
      </xdr:nvGrpSpPr>
      <xdr:grpSpPr>
        <a:xfrm>
          <a:off x="830271" y="935423"/>
          <a:ext cx="16086494" cy="483647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3300-000005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 -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3300-000006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schemas.openxmlformats.org/officeDocument/2006/relationships" r:id="rId2" tooltip="Voltar para a tela principal"/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3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3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3300-00000D000000}"/>
            </a:ext>
          </a:extLst>
        </xdr:cNvPr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248479</xdr:colOff>
      <xdr:row>7</xdr:row>
      <xdr:rowOff>93180</xdr:rowOff>
    </xdr:from>
    <xdr:to>
      <xdr:col>27</xdr:col>
      <xdr:colOff>590135</xdr:colOff>
      <xdr:row>36</xdr:row>
      <xdr:rowOff>552885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3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238125</xdr:colOff>
      <xdr:row>5</xdr:row>
      <xdr:rowOff>41107</xdr:rowOff>
    </xdr:from>
    <xdr:to>
      <xdr:col>27</xdr:col>
      <xdr:colOff>590135</xdr:colOff>
      <xdr:row>6</xdr:row>
      <xdr:rowOff>148021</xdr:rowOff>
    </xdr:to>
    <xdr:grpSp>
      <xdr:nvGrpSpPr>
        <xdr:cNvPr id="29" name="Grupo 28">
          <a:extLst>
            <a:ext uri="{FF2B5EF4-FFF2-40B4-BE49-F238E27FC236}">
              <a16:creationId xmlns:a16="http://schemas.microsoft.com/office/drawing/2014/main" id="{00000000-0008-0000-3300-00001D000000}"/>
            </a:ext>
          </a:extLst>
        </xdr:cNvPr>
        <xdr:cNvGrpSpPr/>
      </xdr:nvGrpSpPr>
      <xdr:grpSpPr>
        <a:xfrm>
          <a:off x="843359" y="1559154"/>
          <a:ext cx="16088104" cy="295430"/>
          <a:chOff x="833715" y="968427"/>
          <a:chExt cx="16179074" cy="485632"/>
        </a:xfrm>
      </xdr:grpSpPr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3300-00001E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Anuidade PJ - Exercícios Anteriores</a:t>
            </a:r>
          </a:p>
        </xdr:txBody>
      </xdr:sp>
      <xdr:cxnSp macro="">
        <xdr:nvCxnSpPr>
          <xdr:cNvPr id="31" name="Conector reto 30">
            <a:extLst>
              <a:ext uri="{FF2B5EF4-FFF2-40B4-BE49-F238E27FC236}">
                <a16:creationId xmlns:a16="http://schemas.microsoft.com/office/drawing/2014/main" id="{00000000-0008-0000-3300-00001F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501522</xdr:colOff>
      <xdr:row>10</xdr:row>
      <xdr:rowOff>51150</xdr:rowOff>
    </xdr:from>
    <xdr:to>
      <xdr:col>5</xdr:col>
      <xdr:colOff>118716</xdr:colOff>
      <xdr:row>12</xdr:row>
      <xdr:rowOff>79551</xdr:rowOff>
    </xdr:to>
    <xdr:sp macro="" textlink="Lançamentos!W5">
      <xdr:nvSpPr>
        <xdr:cNvPr id="55" name="CaixaDeTexto 54">
          <a:extLst>
            <a:ext uri="{FF2B5EF4-FFF2-40B4-BE49-F238E27FC236}">
              <a16:creationId xmlns:a16="http://schemas.microsoft.com/office/drawing/2014/main" id="{00000000-0008-0000-3300-000037000000}"/>
            </a:ext>
          </a:extLst>
        </xdr:cNvPr>
        <xdr:cNvSpPr txBox="1"/>
      </xdr:nvSpPr>
      <xdr:spPr>
        <a:xfrm>
          <a:off x="2317225" y="2511775"/>
          <a:ext cx="827663" cy="405432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none" rtlCol="0" anchor="ctr">
          <a:spAutoFit/>
        </a:bodyPr>
        <a:lstStyle/>
        <a:p>
          <a:pPr marL="0" indent="0" algn="ctr"/>
          <a:fld id="{4CB01299-3D2B-492B-855C-E0854AE8CE1F}" type="TxLink">
            <a:rPr lang="en-US" sz="2000" b="1" i="0" u="none" strike="noStrike">
              <a:solidFill>
                <a:srgbClr val="006666"/>
              </a:solidFill>
              <a:latin typeface="Calibri"/>
              <a:ea typeface="+mn-ea"/>
              <a:cs typeface="Calibri"/>
            </a:rPr>
            <a:pPr marL="0" indent="0" algn="ctr"/>
            <a:t>32,5%</a:t>
          </a:fld>
          <a:endParaRPr lang="pt-BR" sz="2000" b="1" i="0" u="none" strike="noStrike">
            <a:solidFill>
              <a:srgbClr val="006666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3</xdr:col>
      <xdr:colOff>54280</xdr:colOff>
      <xdr:row>8</xdr:row>
      <xdr:rowOff>72481</xdr:rowOff>
    </xdr:from>
    <xdr:to>
      <xdr:col>5</xdr:col>
      <xdr:colOff>565955</xdr:colOff>
      <xdr:row>10</xdr:row>
      <xdr:rowOff>9334</xdr:rowOff>
    </xdr:to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3300-000038000000}"/>
            </a:ext>
          </a:extLst>
        </xdr:cNvPr>
        <xdr:cNvSpPr txBox="1"/>
      </xdr:nvSpPr>
      <xdr:spPr>
        <a:xfrm>
          <a:off x="1891244" y="2167981"/>
          <a:ext cx="1736318" cy="3178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1400" b="1"/>
            <a:t>Executado x Previsto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211667</xdr:colOff>
      <xdr:row>7</xdr:row>
      <xdr:rowOff>31749</xdr:rowOff>
    </xdr:from>
    <xdr:to>
      <xdr:col>28</xdr:col>
      <xdr:colOff>21167</xdr:colOff>
      <xdr:row>36</xdr:row>
      <xdr:rowOff>507999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3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GrpSpPr/>
      </xdr:nvGrpSpPr>
      <xdr:grpSpPr>
        <a:xfrm>
          <a:off x="830271" y="935423"/>
          <a:ext cx="16086494" cy="483647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3400-000005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 -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3400-000006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schemas.openxmlformats.org/officeDocument/2006/relationships" r:id="rId3" tooltip="Voltar para a tela principal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3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3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3400-00000D000000}"/>
            </a:ext>
          </a:extLst>
        </xdr:cNvPr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225038</xdr:colOff>
      <xdr:row>5</xdr:row>
      <xdr:rowOff>13216</xdr:rowOff>
    </xdr:from>
    <xdr:to>
      <xdr:col>28</xdr:col>
      <xdr:colOff>1</xdr:colOff>
      <xdr:row>6</xdr:row>
      <xdr:rowOff>120130</xdr:rowOff>
    </xdr:to>
    <xdr:grpSp>
      <xdr:nvGrpSpPr>
        <xdr:cNvPr id="32" name="Grupo 31">
          <a:extLst>
            <a:ext uri="{FF2B5EF4-FFF2-40B4-BE49-F238E27FC236}">
              <a16:creationId xmlns:a16="http://schemas.microsoft.com/office/drawing/2014/main" id="{00000000-0008-0000-3400-000020000000}"/>
            </a:ext>
          </a:extLst>
        </xdr:cNvPr>
        <xdr:cNvGrpSpPr/>
      </xdr:nvGrpSpPr>
      <xdr:grpSpPr>
        <a:xfrm>
          <a:off x="830272" y="1531263"/>
          <a:ext cx="16106370" cy="295430"/>
          <a:chOff x="833715" y="968427"/>
          <a:chExt cx="16179074" cy="485632"/>
        </a:xfrm>
      </xdr:grpSpPr>
      <xdr:sp macro="" textlink="">
        <xdr:nvSpPr>
          <xdr:cNvPr id="33" name="CaixaDeTexto 32">
            <a:extLst>
              <a:ext uri="{FF2B5EF4-FFF2-40B4-BE49-F238E27FC236}">
                <a16:creationId xmlns:a16="http://schemas.microsoft.com/office/drawing/2014/main" id="{00000000-0008-0000-3400-000021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RRT</a:t>
            </a:r>
          </a:p>
        </xdr:txBody>
      </xdr:sp>
      <xdr:cxnSp macro="">
        <xdr:nvCxnSpPr>
          <xdr:cNvPr id="34" name="Conector reto 33">
            <a:extLst>
              <a:ext uri="{FF2B5EF4-FFF2-40B4-BE49-F238E27FC236}">
                <a16:creationId xmlns:a16="http://schemas.microsoft.com/office/drawing/2014/main" id="{00000000-0008-0000-3400-000022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271025</xdr:colOff>
      <xdr:row>8</xdr:row>
      <xdr:rowOff>5</xdr:rowOff>
    </xdr:from>
    <xdr:to>
      <xdr:col>6</xdr:col>
      <xdr:colOff>171858</xdr:colOff>
      <xdr:row>12</xdr:row>
      <xdr:rowOff>25335</xdr:rowOff>
    </xdr:to>
    <xdr:grpSp>
      <xdr:nvGrpSpPr>
        <xdr:cNvPr id="48" name="Grupo 47">
          <a:extLst>
            <a:ext uri="{FF2B5EF4-FFF2-40B4-BE49-F238E27FC236}">
              <a16:creationId xmlns:a16="http://schemas.microsoft.com/office/drawing/2014/main" id="{00000000-0008-0000-3400-000030000000}"/>
            </a:ext>
          </a:extLst>
        </xdr:cNvPr>
        <xdr:cNvGrpSpPr/>
      </xdr:nvGrpSpPr>
      <xdr:grpSpPr>
        <a:xfrm>
          <a:off x="2086728" y="2083599"/>
          <a:ext cx="1716536" cy="779392"/>
          <a:chOff x="1369948" y="1838598"/>
          <a:chExt cx="1914208" cy="600704"/>
        </a:xfrm>
      </xdr:grpSpPr>
      <xdr:sp macro="" textlink="Lançamentos!W6">
        <xdr:nvSpPr>
          <xdr:cNvPr id="49" name="CaixaDeTexto 48">
            <a:extLst>
              <a:ext uri="{FF2B5EF4-FFF2-40B4-BE49-F238E27FC236}">
                <a16:creationId xmlns:a16="http://schemas.microsoft.com/office/drawing/2014/main" id="{00000000-0008-0000-3400-000031000000}"/>
              </a:ext>
            </a:extLst>
          </xdr:cNvPr>
          <xdr:cNvSpPr txBox="1"/>
        </xdr:nvSpPr>
        <xdr:spPr>
          <a:xfrm>
            <a:off x="1938034" y="2126822"/>
            <a:ext cx="778036" cy="312480"/>
          </a:xfrm>
          <a:prstGeom prst="rect">
            <a:avLst/>
          </a:prstGeom>
          <a:ln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fld id="{185E8A8A-341B-4CED-915A-E0B1382F04A2}" type="TxLink">
              <a:rPr lang="en-US" sz="2000" b="1" i="0" u="none" strike="noStrike">
                <a:solidFill>
                  <a:srgbClr val="2A5664"/>
                </a:solidFill>
                <a:latin typeface="Calibri"/>
                <a:cs typeface="Calibri"/>
              </a:rPr>
              <a:pPr algn="ctr"/>
              <a:t>4,7%</a:t>
            </a:fld>
            <a:endParaRPr lang="pt-BR" sz="2000" b="1">
              <a:solidFill>
                <a:srgbClr val="2A5664"/>
              </a:solidFill>
            </a:endParaRPr>
          </a:p>
        </xdr:txBody>
      </xdr:sp>
      <xdr:sp macro="" textlink="">
        <xdr:nvSpPr>
          <xdr:cNvPr id="50" name="CaixaDeTexto 49">
            <a:extLst>
              <a:ext uri="{FF2B5EF4-FFF2-40B4-BE49-F238E27FC236}">
                <a16:creationId xmlns:a16="http://schemas.microsoft.com/office/drawing/2014/main" id="{00000000-0008-0000-3400-000032000000}"/>
              </a:ext>
            </a:extLst>
          </xdr:cNvPr>
          <xdr:cNvSpPr txBox="1"/>
        </xdr:nvSpPr>
        <xdr:spPr>
          <a:xfrm>
            <a:off x="1369948" y="1838598"/>
            <a:ext cx="1914208" cy="3688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BR" sz="1400" b="1"/>
              <a:t>Executado x Previsto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95250</xdr:colOff>
      <xdr:row>15</xdr:row>
      <xdr:rowOff>138392</xdr:rowOff>
    </xdr:from>
    <xdr:to>
      <xdr:col>41</xdr:col>
      <xdr:colOff>433917</xdr:colOff>
      <xdr:row>28</xdr:row>
      <xdr:rowOff>132535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105833</xdr:colOff>
      <xdr:row>1</xdr:row>
      <xdr:rowOff>73024</xdr:rowOff>
    </xdr:from>
    <xdr:to>
      <xdr:col>37</xdr:col>
      <xdr:colOff>587241</xdr:colOff>
      <xdr:row>14</xdr:row>
      <xdr:rowOff>1057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309561</xdr:colOff>
      <xdr:row>3</xdr:row>
      <xdr:rowOff>26193</xdr:rowOff>
    </xdr:from>
    <xdr:to>
      <xdr:col>25</xdr:col>
      <xdr:colOff>345280</xdr:colOff>
      <xdr:row>16</xdr:row>
      <xdr:rowOff>152058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129493</xdr:colOff>
      <xdr:row>18</xdr:row>
      <xdr:rowOff>243795</xdr:rowOff>
    </xdr:from>
    <xdr:to>
      <xdr:col>25</xdr:col>
      <xdr:colOff>471183</xdr:colOff>
      <xdr:row>32</xdr:row>
      <xdr:rowOff>77937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79263</xdr:colOff>
      <xdr:row>34</xdr:row>
      <xdr:rowOff>184944</xdr:rowOff>
    </xdr:from>
    <xdr:to>
      <xdr:col>25</xdr:col>
      <xdr:colOff>559594</xdr:colOff>
      <xdr:row>48</xdr:row>
      <xdr:rowOff>58396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92757</xdr:colOff>
      <xdr:row>50</xdr:row>
      <xdr:rowOff>234949</xdr:rowOff>
    </xdr:from>
    <xdr:to>
      <xdr:col>25</xdr:col>
      <xdr:colOff>423863</xdr:colOff>
      <xdr:row>64</xdr:row>
      <xdr:rowOff>106814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75294</xdr:colOff>
      <xdr:row>66</xdr:row>
      <xdr:rowOff>109537</xdr:rowOff>
    </xdr:from>
    <xdr:to>
      <xdr:col>25</xdr:col>
      <xdr:colOff>440531</xdr:colOff>
      <xdr:row>79</xdr:row>
      <xdr:rowOff>233020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1299029</xdr:colOff>
      <xdr:row>82</xdr:row>
      <xdr:rowOff>182222</xdr:rowOff>
    </xdr:from>
    <xdr:to>
      <xdr:col>25</xdr:col>
      <xdr:colOff>476250</xdr:colOff>
      <xdr:row>96</xdr:row>
      <xdr:rowOff>57260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30845</xdr:colOff>
      <xdr:row>98</xdr:row>
      <xdr:rowOff>231773</xdr:rowOff>
    </xdr:from>
    <xdr:to>
      <xdr:col>25</xdr:col>
      <xdr:colOff>535782</xdr:colOff>
      <xdr:row>112</xdr:row>
      <xdr:rowOff>97288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30843</xdr:colOff>
      <xdr:row>114</xdr:row>
      <xdr:rowOff>90487</xdr:rowOff>
    </xdr:from>
    <xdr:to>
      <xdr:col>27</xdr:col>
      <xdr:colOff>403224</xdr:colOff>
      <xdr:row>131</xdr:row>
      <xdr:rowOff>11564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28</xdr:col>
      <xdr:colOff>262423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/>
      </xdr:nvSpPr>
      <xdr:spPr>
        <a:xfrm>
          <a:off x="3578259" y="0"/>
          <a:ext cx="13743439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1</xdr:col>
      <xdr:colOff>225037</xdr:colOff>
      <xdr:row>1</xdr:row>
      <xdr:rowOff>171439</xdr:rowOff>
    </xdr:from>
    <xdr:to>
      <xdr:col>27</xdr:col>
      <xdr:colOff>575437</xdr:colOff>
      <xdr:row>4</xdr:row>
      <xdr:rowOff>89539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GrpSpPr/>
      </xdr:nvGrpSpPr>
      <xdr:grpSpPr>
        <a:xfrm>
          <a:off x="830271" y="935423"/>
          <a:ext cx="16086494" cy="483647"/>
          <a:chOff x="833715" y="968427"/>
          <a:chExt cx="16179074" cy="485632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3500-000005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Arrecadação - CAU - Potencial x Previsto x Executado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3500-000006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28</xdr:col>
      <xdr:colOff>284768</xdr:colOff>
      <xdr:row>0</xdr:row>
      <xdr:rowOff>68737</xdr:rowOff>
    </xdr:from>
    <xdr:ext cx="1001595" cy="638510"/>
    <xdr:sp macro="" textlink="">
      <xdr:nvSpPr>
        <xdr:cNvPr id="7" name="CaixaDeTexto 6">
          <a:hlinkClick xmlns:r="http://schemas.openxmlformats.org/officeDocument/2006/relationships" r:id="rId2" tooltip="Voltar para a tela principal"/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SpPr txBox="1"/>
      </xdr:nvSpPr>
      <xdr:spPr>
        <a:xfrm>
          <a:off x="17344043" y="68737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0</xdr:col>
      <xdr:colOff>95250</xdr:colOff>
      <xdr:row>1048576</xdr:row>
      <xdr:rowOff>1174660</xdr:rowOff>
    </xdr:from>
    <xdr:to>
      <xdr:col>10</xdr:col>
      <xdr:colOff>407225</xdr:colOff>
      <xdr:row>1048576</xdr:row>
      <xdr:rowOff>4515212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117459</xdr:colOff>
      <xdr:row>1048576</xdr:row>
      <xdr:rowOff>5089434</xdr:rowOff>
    </xdr:from>
    <xdr:to>
      <xdr:col>12</xdr:col>
      <xdr:colOff>418321</xdr:colOff>
      <xdr:row>1048576</xdr:row>
      <xdr:rowOff>8428399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1048576</xdr:row>
      <xdr:rowOff>8959760</xdr:rowOff>
    </xdr:from>
    <xdr:to>
      <xdr:col>11</xdr:col>
      <xdr:colOff>203222</xdr:colOff>
      <xdr:row>1048576</xdr:row>
      <xdr:rowOff>12300312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266700</xdr:colOff>
      <xdr:row>1048576</xdr:row>
      <xdr:rowOff>12826910</xdr:rowOff>
    </xdr:from>
    <xdr:to>
      <xdr:col>11</xdr:col>
      <xdr:colOff>469922</xdr:colOff>
      <xdr:row>1048576</xdr:row>
      <xdr:rowOff>16167462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3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60308</xdr:colOff>
      <xdr:row>1048576</xdr:row>
      <xdr:rowOff>16813122</xdr:rowOff>
    </xdr:from>
    <xdr:to>
      <xdr:col>13</xdr:col>
      <xdr:colOff>269880</xdr:colOff>
      <xdr:row>1048576</xdr:row>
      <xdr:rowOff>20153674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3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66676</xdr:colOff>
      <xdr:row>1</xdr:row>
      <xdr:rowOff>43726</xdr:rowOff>
    </xdr:from>
    <xdr:to>
      <xdr:col>27</xdr:col>
      <xdr:colOff>576874</xdr:colOff>
      <xdr:row>4</xdr:row>
      <xdr:rowOff>22122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3500-00000D000000}"/>
            </a:ext>
          </a:extLst>
        </xdr:cNvPr>
        <xdr:cNvSpPr txBox="1"/>
      </xdr:nvSpPr>
      <xdr:spPr>
        <a:xfrm>
          <a:off x="15916276" y="805726"/>
          <a:ext cx="1119798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100%</a:t>
          </a:r>
        </a:p>
      </xdr:txBody>
    </xdr:sp>
    <xdr:clientData/>
  </xdr:twoCellAnchor>
  <xdr:twoCellAnchor>
    <xdr:from>
      <xdr:col>1</xdr:col>
      <xdr:colOff>225037</xdr:colOff>
      <xdr:row>5</xdr:row>
      <xdr:rowOff>29459</xdr:rowOff>
    </xdr:from>
    <xdr:to>
      <xdr:col>27</xdr:col>
      <xdr:colOff>575437</xdr:colOff>
      <xdr:row>6</xdr:row>
      <xdr:rowOff>136372</xdr:rowOff>
    </xdr:to>
    <xdr:grpSp>
      <xdr:nvGrpSpPr>
        <xdr:cNvPr id="35" name="Grupo 34">
          <a:extLst>
            <a:ext uri="{FF2B5EF4-FFF2-40B4-BE49-F238E27FC236}">
              <a16:creationId xmlns:a16="http://schemas.microsoft.com/office/drawing/2014/main" id="{00000000-0008-0000-3500-000023000000}"/>
            </a:ext>
          </a:extLst>
        </xdr:cNvPr>
        <xdr:cNvGrpSpPr/>
      </xdr:nvGrpSpPr>
      <xdr:grpSpPr>
        <a:xfrm>
          <a:off x="830271" y="1547506"/>
          <a:ext cx="16086494" cy="295429"/>
          <a:chOff x="833715" y="968427"/>
          <a:chExt cx="16179074" cy="485632"/>
        </a:xfrm>
      </xdr:grpSpPr>
      <xdr:sp macro="" textlink="">
        <xdr:nvSpPr>
          <xdr:cNvPr id="36" name="CaixaDeTexto 35">
            <a:extLst>
              <a:ext uri="{FF2B5EF4-FFF2-40B4-BE49-F238E27FC236}">
                <a16:creationId xmlns:a16="http://schemas.microsoft.com/office/drawing/2014/main" id="{00000000-0008-0000-3500-000024000000}"/>
              </a:ext>
            </a:extLst>
          </xdr:cNvPr>
          <xdr:cNvSpPr txBox="1"/>
        </xdr:nvSpPr>
        <xdr:spPr>
          <a:xfrm>
            <a:off x="1635058" y="968427"/>
            <a:ext cx="14576414" cy="4717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24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Taxas e Multas</a:t>
            </a:r>
          </a:p>
        </xdr:txBody>
      </xdr:sp>
      <xdr:cxnSp macro="">
        <xdr:nvCxnSpPr>
          <xdr:cNvPr id="37" name="Conector reto 36">
            <a:extLst>
              <a:ext uri="{FF2B5EF4-FFF2-40B4-BE49-F238E27FC236}">
                <a16:creationId xmlns:a16="http://schemas.microsoft.com/office/drawing/2014/main" id="{00000000-0008-0000-3500-000025000000}"/>
              </a:ext>
            </a:extLst>
          </xdr:cNvPr>
          <xdr:cNvCxnSpPr/>
        </xdr:nvCxnSpPr>
        <xdr:spPr>
          <a:xfrm>
            <a:off x="833715" y="1454059"/>
            <a:ext cx="16179074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225038</xdr:colOff>
      <xdr:row>8</xdr:row>
      <xdr:rowOff>0</xdr:rowOff>
    </xdr:from>
    <xdr:to>
      <xdr:col>28</xdr:col>
      <xdr:colOff>1</xdr:colOff>
      <xdr:row>36</xdr:row>
      <xdr:rowOff>392595</xdr:rowOff>
    </xdr:to>
    <xdr:grpSp>
      <xdr:nvGrpSpPr>
        <xdr:cNvPr id="62" name="Grupo 61">
          <a:extLst>
            <a:ext uri="{FF2B5EF4-FFF2-40B4-BE49-F238E27FC236}">
              <a16:creationId xmlns:a16="http://schemas.microsoft.com/office/drawing/2014/main" id="{00000000-0008-0000-3500-00003E000000}"/>
            </a:ext>
          </a:extLst>
        </xdr:cNvPr>
        <xdr:cNvGrpSpPr/>
      </xdr:nvGrpSpPr>
      <xdr:grpSpPr>
        <a:xfrm>
          <a:off x="830272" y="2083594"/>
          <a:ext cx="16106370" cy="5680954"/>
          <a:chOff x="833852" y="2071933"/>
          <a:chExt cx="16203134" cy="5626435"/>
        </a:xfrm>
      </xdr:grpSpPr>
      <xdr:graphicFrame macro="">
        <xdr:nvGraphicFramePr>
          <xdr:cNvPr id="19" name="Gráfico 18">
            <a:extLst>
              <a:ext uri="{FF2B5EF4-FFF2-40B4-BE49-F238E27FC236}">
                <a16:creationId xmlns:a16="http://schemas.microsoft.com/office/drawing/2014/main" id="{00000000-0008-0000-3500-000013000000}"/>
              </a:ext>
            </a:extLst>
          </xdr:cNvPr>
          <xdr:cNvGraphicFramePr>
            <a:graphicFrameLocks/>
          </xdr:cNvGraphicFramePr>
        </xdr:nvGraphicFramePr>
        <xdr:xfrm>
          <a:off x="833852" y="2071933"/>
          <a:ext cx="16203134" cy="56264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grpSp>
        <xdr:nvGrpSpPr>
          <xdr:cNvPr id="57" name="Grupo 56">
            <a:extLst>
              <a:ext uri="{FF2B5EF4-FFF2-40B4-BE49-F238E27FC236}">
                <a16:creationId xmlns:a16="http://schemas.microsoft.com/office/drawing/2014/main" id="{00000000-0008-0000-3500-000039000000}"/>
              </a:ext>
            </a:extLst>
          </xdr:cNvPr>
          <xdr:cNvGrpSpPr/>
        </xdr:nvGrpSpPr>
        <xdr:grpSpPr>
          <a:xfrm>
            <a:off x="1826597" y="2213174"/>
            <a:ext cx="3985662" cy="823264"/>
            <a:chOff x="1443096" y="1319041"/>
            <a:chExt cx="1513400" cy="973990"/>
          </a:xfrm>
        </xdr:grpSpPr>
        <xdr:sp macro="" textlink="Lançamentos!W7">
          <xdr:nvSpPr>
            <xdr:cNvPr id="58" name="CaixaDeTexto 57">
              <a:extLst>
                <a:ext uri="{FF2B5EF4-FFF2-40B4-BE49-F238E27FC236}">
                  <a16:creationId xmlns:a16="http://schemas.microsoft.com/office/drawing/2014/main" id="{00000000-0008-0000-3500-00003A000000}"/>
                </a:ext>
              </a:extLst>
            </xdr:cNvPr>
            <xdr:cNvSpPr txBox="1"/>
          </xdr:nvSpPr>
          <xdr:spPr>
            <a:xfrm>
              <a:off x="1637747" y="1799094"/>
              <a:ext cx="382156" cy="480124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ctr"/>
              <a:fld id="{BE117BAA-472D-46AD-8F07-C0F95580CFD6}" type="TxLink">
                <a:rPr lang="en-US" sz="2000" b="1" i="0" u="none" strike="noStrike">
                  <a:solidFill>
                    <a:srgbClr val="2A5664"/>
                  </a:solidFill>
                  <a:latin typeface="Calibri"/>
                  <a:cs typeface="Calibri"/>
                </a:rPr>
                <a:pPr algn="ctr"/>
                <a:t>44,6%</a:t>
              </a:fld>
              <a:endParaRPr lang="pt-BR" sz="2000" b="1">
                <a:solidFill>
                  <a:srgbClr val="2A5664"/>
                </a:solidFill>
              </a:endParaRPr>
            </a:p>
          </xdr:txBody>
        </xdr:sp>
        <xdr:sp macro="" textlink="">
          <xdr:nvSpPr>
            <xdr:cNvPr id="59" name="CaixaDeTexto 58">
              <a:extLst>
                <a:ext uri="{FF2B5EF4-FFF2-40B4-BE49-F238E27FC236}">
                  <a16:creationId xmlns:a16="http://schemas.microsoft.com/office/drawing/2014/main" id="{00000000-0008-0000-3500-00003B000000}"/>
                </a:ext>
              </a:extLst>
            </xdr:cNvPr>
            <xdr:cNvSpPr txBox="1"/>
          </xdr:nvSpPr>
          <xdr:spPr>
            <a:xfrm>
              <a:off x="1443096" y="1319041"/>
              <a:ext cx="787887" cy="624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pt-BR" sz="1400" b="1"/>
                <a:t>Executado x Previsto</a:t>
              </a:r>
            </a:p>
          </xdr:txBody>
        </xdr:sp>
        <xdr:sp macro="" textlink="Lançamentos!Y7">
          <xdr:nvSpPr>
            <xdr:cNvPr id="60" name="CaixaDeTexto 59">
              <a:extLst>
                <a:ext uri="{FF2B5EF4-FFF2-40B4-BE49-F238E27FC236}">
                  <a16:creationId xmlns:a16="http://schemas.microsoft.com/office/drawing/2014/main" id="{00000000-0008-0000-3500-00003C000000}"/>
                </a:ext>
              </a:extLst>
            </xdr:cNvPr>
            <xdr:cNvSpPr txBox="1"/>
          </xdr:nvSpPr>
          <xdr:spPr>
            <a:xfrm>
              <a:off x="2351751" y="1812908"/>
              <a:ext cx="479665" cy="480123"/>
            </a:xfrm>
            <a:prstGeom prst="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marL="0" indent="0" algn="ctr"/>
              <a:fld id="{2C32D37B-0196-4F75-AA5E-540073AFBB37}" type="TxLink">
                <a:rPr lang="en-US" sz="2000" b="1" i="0" u="none" strike="noStrike">
                  <a:solidFill>
                    <a:srgbClr val="2A5664"/>
                  </a:solidFill>
                  <a:latin typeface="Calibri"/>
                  <a:ea typeface="+mn-ea"/>
                  <a:cs typeface="Calibri"/>
                </a:rPr>
                <a:pPr marL="0" indent="0" algn="ctr"/>
                <a:t>24,9%</a:t>
              </a:fld>
              <a:endParaRPr lang="pt-BR" sz="2000" b="1" i="0" u="none" strike="noStrike">
                <a:solidFill>
                  <a:srgbClr val="2A5664"/>
                </a:solidFill>
                <a:latin typeface="Calibri"/>
                <a:ea typeface="+mn-ea"/>
                <a:cs typeface="Calibri"/>
              </a:endParaRPr>
            </a:p>
          </xdr:txBody>
        </xdr:sp>
        <xdr:sp macro="" textlink="">
          <xdr:nvSpPr>
            <xdr:cNvPr id="61" name="CaixaDeTexto 60">
              <a:extLst>
                <a:ext uri="{FF2B5EF4-FFF2-40B4-BE49-F238E27FC236}">
                  <a16:creationId xmlns:a16="http://schemas.microsoft.com/office/drawing/2014/main" id="{00000000-0008-0000-3500-00003D000000}"/>
                </a:ext>
              </a:extLst>
            </xdr:cNvPr>
            <xdr:cNvSpPr txBox="1"/>
          </xdr:nvSpPr>
          <xdr:spPr>
            <a:xfrm>
              <a:off x="2258554" y="1442695"/>
              <a:ext cx="697942" cy="36888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pPr algn="ctr"/>
              <a:r>
                <a:rPr lang="pt-BR" sz="1400" b="1"/>
                <a:t>Executado x Potencial</a:t>
              </a:r>
            </a:p>
          </xdr:txBody>
        </xdr:sp>
      </xdr:grp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92461BA8-E05E-4E90-8F06-99EFD5C9B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0</xdr:col>
      <xdr:colOff>78580</xdr:colOff>
      <xdr:row>1</xdr:row>
      <xdr:rowOff>66675</xdr:rowOff>
    </xdr:from>
    <xdr:to>
      <xdr:col>23</xdr:col>
      <xdr:colOff>333375</xdr:colOff>
      <xdr:row>42</xdr:row>
      <xdr:rowOff>85725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EC2392E-DFBB-4E13-A9A8-63F5FE67B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495300</xdr:colOff>
      <xdr:row>0</xdr:row>
      <xdr:rowOff>0</xdr:rowOff>
    </xdr:from>
    <xdr:to>
      <xdr:col>23</xdr:col>
      <xdr:colOff>323850</xdr:colOff>
      <xdr:row>0</xdr:row>
      <xdr:rowOff>752476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82460539-F38D-18BF-F17A-F320BCC7BC20}"/>
            </a:ext>
          </a:extLst>
        </xdr:cNvPr>
        <xdr:cNvSpPr txBox="1"/>
      </xdr:nvSpPr>
      <xdr:spPr>
        <a:xfrm>
          <a:off x="9603581" y="0"/>
          <a:ext cx="4686300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pt-BR" sz="4800" cap="small" baseline="0">
              <a:solidFill>
                <a:srgbClr val="2A5664"/>
              </a:solidFill>
              <a:latin typeface="+mn-lt"/>
            </a:rPr>
            <a:t>Receita Executada</a:t>
          </a:r>
        </a:p>
      </xdr:txBody>
    </xdr:sp>
    <xdr:clientData/>
  </xdr:twoCellAnchor>
  <xdr:twoCellAnchor>
    <xdr:from>
      <xdr:col>47</xdr:col>
      <xdr:colOff>438149</xdr:colOff>
      <xdr:row>1</xdr:row>
      <xdr:rowOff>76200</xdr:rowOff>
    </xdr:from>
    <xdr:to>
      <xdr:col>70</xdr:col>
      <xdr:colOff>50005</xdr:colOff>
      <xdr:row>42</xdr:row>
      <xdr:rowOff>76200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B4626FA-C052-4E1D-9A7A-5C700E608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228600</xdr:colOff>
      <xdr:row>0</xdr:row>
      <xdr:rowOff>0</xdr:rowOff>
    </xdr:from>
    <xdr:to>
      <xdr:col>70</xdr:col>
      <xdr:colOff>59531</xdr:colOff>
      <xdr:row>0</xdr:row>
      <xdr:rowOff>752476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E5359907-46B4-2B98-AF15-51B479355259}"/>
            </a:ext>
          </a:extLst>
        </xdr:cNvPr>
        <xdr:cNvSpPr txBox="1"/>
      </xdr:nvSpPr>
      <xdr:spPr>
        <a:xfrm>
          <a:off x="37876163" y="0"/>
          <a:ext cx="4688681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pt-BR" sz="4800" cap="small" baseline="0">
              <a:solidFill>
                <a:srgbClr val="2A5664"/>
              </a:solidFill>
              <a:latin typeface="+mn-lt"/>
            </a:rPr>
            <a:t>Inadimplência</a:t>
          </a:r>
        </a:p>
      </xdr:txBody>
    </xdr:sp>
    <xdr:clientData/>
  </xdr:twoCellAnchor>
  <xdr:twoCellAnchor>
    <xdr:from>
      <xdr:col>70</xdr:col>
      <xdr:colOff>152400</xdr:colOff>
      <xdr:row>1</xdr:row>
      <xdr:rowOff>76200</xdr:rowOff>
    </xdr:from>
    <xdr:to>
      <xdr:col>89</xdr:col>
      <xdr:colOff>533400</xdr:colOff>
      <xdr:row>42</xdr:row>
      <xdr:rowOff>95250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3B183AC-B0E5-441B-9445-57F2F9078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82</xdr:col>
      <xdr:colOff>107156</xdr:colOff>
      <xdr:row>0</xdr:row>
      <xdr:rowOff>0</xdr:rowOff>
    </xdr:from>
    <xdr:to>
      <xdr:col>89</xdr:col>
      <xdr:colOff>542925</xdr:colOff>
      <xdr:row>0</xdr:row>
      <xdr:rowOff>752476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E3FB715D-E487-4572-9C30-C98CCAF2AB95}"/>
            </a:ext>
          </a:extLst>
        </xdr:cNvPr>
        <xdr:cNvSpPr txBox="1"/>
      </xdr:nvSpPr>
      <xdr:spPr>
        <a:xfrm>
          <a:off x="49899094" y="0"/>
          <a:ext cx="4686300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pt-BR" sz="4800" cap="small" baseline="0">
              <a:solidFill>
                <a:srgbClr val="2A5664"/>
              </a:solidFill>
              <a:latin typeface="+mn-lt"/>
            </a:rPr>
            <a:t>RRT Pagos</a:t>
          </a:r>
        </a:p>
      </xdr:txBody>
    </xdr:sp>
    <xdr:clientData/>
  </xdr:twoCellAnchor>
  <xdr:twoCellAnchor>
    <xdr:from>
      <xdr:col>39</xdr:col>
      <xdr:colOff>571500</xdr:colOff>
      <xdr:row>0</xdr:row>
      <xdr:rowOff>0</xdr:rowOff>
    </xdr:from>
    <xdr:to>
      <xdr:col>47</xdr:col>
      <xdr:colOff>400050</xdr:colOff>
      <xdr:row>0</xdr:row>
      <xdr:rowOff>752476</xdr:rowOff>
    </xdr:to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8A608904-0069-4B1E-82D9-5D128E12D6CF}"/>
            </a:ext>
          </a:extLst>
        </xdr:cNvPr>
        <xdr:cNvSpPr txBox="1"/>
      </xdr:nvSpPr>
      <xdr:spPr>
        <a:xfrm>
          <a:off x="24253031" y="0"/>
          <a:ext cx="4686300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pt-BR" sz="4800" cap="small" baseline="0">
              <a:solidFill>
                <a:srgbClr val="2A5664"/>
              </a:solidFill>
              <a:latin typeface="+mn-lt"/>
            </a:rPr>
            <a:t>Receita 2022</a:t>
          </a:r>
        </a:p>
      </xdr:txBody>
    </xdr:sp>
    <xdr:clientData/>
  </xdr:twoCellAnchor>
  <xdr:twoCellAnchor>
    <xdr:from>
      <xdr:col>23</xdr:col>
      <xdr:colOff>400050</xdr:colOff>
      <xdr:row>1</xdr:row>
      <xdr:rowOff>66675</xdr:rowOff>
    </xdr:from>
    <xdr:to>
      <xdr:col>47</xdr:col>
      <xdr:colOff>371475</xdr:colOff>
      <xdr:row>42</xdr:row>
      <xdr:rowOff>85725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969A159-575E-4160-B49F-06E8C818D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0.62652</cdr:x>
      <cdr:y>0.04197</cdr:y>
    </cdr:from>
    <cdr:to>
      <cdr:x>0.98062</cdr:x>
      <cdr:y>0.2595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C32DE3-8461-47AA-9607-E6091F27B944}"/>
            </a:ext>
          </a:extLst>
        </cdr:cNvPr>
        <cdr:cNvGrpSpPr/>
      </cdr:nvGrpSpPr>
      <cdr:grpSpPr>
        <a:xfrm xmlns:a="http://schemas.openxmlformats.org/drawingml/2006/main">
          <a:off x="8909632" y="328606"/>
          <a:ext cx="5035594" cy="1703162"/>
          <a:chOff x="115796" y="-105763"/>
          <a:chExt cx="2730248" cy="998524"/>
        </a:xfrm>
        <a:solidFill xmlns:a="http://schemas.openxmlformats.org/drawingml/2006/main">
          <a:schemeClr val="accent4">
            <a:lumMod val="20000"/>
            <a:lumOff val="80000"/>
          </a:schemeClr>
        </a:solidFill>
      </cdr:grpSpPr>
      <cdr:sp macro="" textlink="Lançamentos!$T$10">
        <cdr:nvSpPr>
          <cdr:cNvPr id="4" name="CaixaDeTexto 38"/>
          <cdr:cNvSpPr txBox="1"/>
        </cdr:nvSpPr>
        <cdr:spPr>
          <a:xfrm xmlns:a="http://schemas.openxmlformats.org/drawingml/2006/main">
            <a:off x="985148" y="551332"/>
            <a:ext cx="1011829" cy="341429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/>
        </cdr:spPr>
        <cdr:style>
          <a:lnRef xmlns:a="http://schemas.openxmlformats.org/drawingml/2006/main" idx="2">
            <a:schemeClr val="accent1"/>
          </a:lnRef>
          <a:fillRef xmlns:a="http://schemas.openxmlformats.org/drawingml/2006/main" idx="1">
            <a:schemeClr val="l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ctr"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4BC862B7-9A7F-402B-96EE-F9B93ED8BE57}" type="TxLink">
              <a:rPr lang="en-US" sz="20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cs typeface="Calibri"/>
              </a:rPr>
              <a:pPr algn="ctr"/>
              <a:t>8,9%</a:t>
            </a:fld>
            <a:endParaRPr lang="pt-BR" sz="9600" b="1">
              <a:solidFill>
                <a:schemeClr val="accent3">
                  <a:lumMod val="50000"/>
                </a:schemeClr>
              </a:solidFill>
            </a:endParaRPr>
          </a:p>
        </cdr:txBody>
      </cdr:sp>
      <cdr:sp macro="" textlink="">
        <cdr:nvSpPr>
          <cdr:cNvPr id="5" name="CaixaDeTexto 39"/>
          <cdr:cNvSpPr txBox="1"/>
        </cdr:nvSpPr>
        <cdr:spPr>
          <a:xfrm xmlns:a="http://schemas.openxmlformats.org/drawingml/2006/main">
            <a:off x="115796" y="-105763"/>
            <a:ext cx="2730248" cy="604825"/>
          </a:xfrm>
          <a:prstGeom xmlns:a="http://schemas.openxmlformats.org/drawingml/2006/main" prst="rect">
            <a:avLst/>
          </a:prstGeom>
          <a:grpFill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 rtlCol="0" anchor="ctr">
            <a:spAutoFit/>
          </a:bodyPr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pt-BR" sz="2000" b="1"/>
              <a:t>Execução Orça</a:t>
            </a:r>
            <a:r>
              <a:rPr lang="pt-BR" sz="2000" b="1">
                <a:solidFill>
                  <a:schemeClr val="tx1"/>
                </a:solidFill>
              </a:rPr>
              <a:t>me</a:t>
            </a:r>
            <a:r>
              <a:rPr lang="pt-BR" sz="2000" b="1"/>
              <a:t>ntária Total </a:t>
            </a:r>
            <a:endParaRPr lang="pt-BR" sz="2000" b="1" baseline="0"/>
          </a:p>
          <a:p xmlns:a="http://schemas.openxmlformats.org/drawingml/2006/main">
            <a:pPr marL="0" indent="0" algn="ctr"/>
            <a:r>
              <a:rPr lang="pt-BR" sz="20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Variação  Acumulada</a:t>
            </a:r>
            <a:br>
              <a:rPr lang="pt-BR" sz="2000" b="1">
                <a:solidFill>
                  <a:schemeClr val="tx1"/>
                </a:solidFill>
                <a:latin typeface="+mn-lt"/>
                <a:ea typeface="+mn-ea"/>
                <a:cs typeface="+mn-cs"/>
              </a:rPr>
            </a:br>
            <a:r>
              <a:rPr lang="pt-BR" sz="20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jan - set - 2022 x 2021 </a:t>
            </a:r>
          </a:p>
        </cdr:txBody>
      </cdr:sp>
    </cdr:grp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0.0685</cdr:x>
      <cdr:y>0.08117</cdr:y>
    </cdr:from>
    <cdr:to>
      <cdr:x>0.20695</cdr:x>
      <cdr:y>0.14733</cdr:y>
    </cdr:to>
    <cdr:sp macro="" textlink="Lançamentos!$W$8">
      <cdr:nvSpPr>
        <cdr:cNvPr id="3" name="CaixaDeTexto 38"/>
        <cdr:cNvSpPr txBox="1"/>
      </cdr:nvSpPr>
      <cdr:spPr>
        <a:xfrm xmlns:a="http://schemas.openxmlformats.org/drawingml/2006/main">
          <a:off x="600888" y="453489"/>
          <a:ext cx="1214614" cy="369637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35273D9-B007-4561-B533-ED1C864B61B1}" type="TxLink">
            <a:rPr lang="en-US" sz="2000" b="1" i="0" u="none" strike="noStrike">
              <a:ln>
                <a:noFill/>
              </a:ln>
              <a:solidFill>
                <a:srgbClr val="006666"/>
              </a:solidFill>
              <a:latin typeface="Calibri"/>
              <a:ea typeface="+mn-ea"/>
              <a:cs typeface="Calibri"/>
            </a:rPr>
            <a:pPr marL="0" indent="0" algn="ctr"/>
            <a:t>4,3%</a:t>
          </a:fld>
          <a:endParaRPr lang="pt-BR" sz="2000" b="1" i="0" u="none" strike="noStrike">
            <a:ln>
              <a:noFill/>
            </a:ln>
            <a:solidFill>
              <a:srgbClr val="006666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0.02047</cdr:x>
      <cdr:y>0.02434</cdr:y>
    </cdr:from>
    <cdr:to>
      <cdr:x>0.25498</cdr:x>
      <cdr:y>0.08568</cdr:y>
    </cdr:to>
    <cdr:sp macro="" textlink="">
      <cdr:nvSpPr>
        <cdr:cNvPr id="4" name="CaixaDeTexto 39"/>
        <cdr:cNvSpPr txBox="1"/>
      </cdr:nvSpPr>
      <cdr:spPr>
        <a:xfrm xmlns:a="http://schemas.openxmlformats.org/drawingml/2006/main">
          <a:off x="179559" y="135963"/>
          <a:ext cx="2057272" cy="34273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Executado x Previsto</a:t>
          </a:r>
        </a:p>
      </cdr:txBody>
    </cdr:sp>
  </cdr:relSizeAnchor>
  <cdr:relSizeAnchor xmlns:cdr="http://schemas.openxmlformats.org/drawingml/2006/chartDrawing">
    <cdr:from>
      <cdr:x>0.06941</cdr:x>
      <cdr:y>0.22703</cdr:y>
    </cdr:from>
    <cdr:to>
      <cdr:x>0.20604</cdr:x>
      <cdr:y>0.2882</cdr:y>
    </cdr:to>
    <cdr:sp macro="" textlink="Lançamentos!$Y$8">
      <cdr:nvSpPr>
        <cdr:cNvPr id="5" name="CaixaDeTexto 40"/>
        <cdr:cNvSpPr txBox="1"/>
      </cdr:nvSpPr>
      <cdr:spPr>
        <a:xfrm xmlns:a="http://schemas.openxmlformats.org/drawingml/2006/main">
          <a:off x="608911" y="1268390"/>
          <a:ext cx="1198568" cy="341744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B545F7B-CD61-4F1E-8BDD-8A72AA72448E}" type="TxLink">
            <a:rPr lang="en-US" sz="2000" b="1" i="0" u="none" strike="noStrike">
              <a:solidFill>
                <a:srgbClr val="FF0000"/>
              </a:solidFill>
              <a:latin typeface="Calibri"/>
              <a:ea typeface="+mn-ea"/>
              <a:cs typeface="Calibri"/>
            </a:rPr>
            <a:pPr marL="0" indent="0" algn="ctr"/>
            <a:t>-12,0%</a:t>
          </a:fld>
          <a:endParaRPr lang="pt-BR" sz="2000" b="1" i="0" u="none" strike="noStrike">
            <a:solidFill>
              <a:srgbClr val="FF0000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0.01461</cdr:x>
      <cdr:y>0.17191</cdr:y>
    </cdr:from>
    <cdr:to>
      <cdr:x>0.26083</cdr:x>
      <cdr:y>0.23325</cdr:y>
    </cdr:to>
    <cdr:sp macro="" textlink="">
      <cdr:nvSpPr>
        <cdr:cNvPr id="6" name="CaixaDeTexto 41"/>
        <cdr:cNvSpPr txBox="1"/>
      </cdr:nvSpPr>
      <cdr:spPr>
        <a:xfrm xmlns:a="http://schemas.openxmlformats.org/drawingml/2006/main">
          <a:off x="128210" y="960426"/>
          <a:ext cx="2159971" cy="34273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Executado x Potencial</a:t>
          </a:r>
        </a:p>
      </cdr:txBody>
    </cdr:sp>
  </cdr:relSizeAnchor>
  <cdr:relSizeAnchor xmlns:cdr="http://schemas.openxmlformats.org/drawingml/2006/chartDrawing">
    <cdr:from>
      <cdr:x>0.53341</cdr:x>
      <cdr:y>0.56784</cdr:y>
    </cdr:from>
    <cdr:to>
      <cdr:x>0.64574</cdr:x>
      <cdr:y>0.69682</cdr:y>
    </cdr:to>
    <cdr:sp macro="" textlink="">
      <cdr:nvSpPr>
        <cdr:cNvPr id="18" name="CaixaDeTexto 17"/>
        <cdr:cNvSpPr txBox="1"/>
      </cdr:nvSpPr>
      <cdr:spPr>
        <a:xfrm xmlns:a="http://schemas.openxmlformats.org/drawingml/2006/main">
          <a:off x="9587120" y="3509756"/>
          <a:ext cx="2018885" cy="7972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10</xdr:row>
      <xdr:rowOff>0</xdr:rowOff>
    </xdr:from>
    <xdr:to>
      <xdr:col>4</xdr:col>
      <xdr:colOff>304800</xdr:colOff>
      <xdr:row>11</xdr:row>
      <xdr:rowOff>114300</xdr:rowOff>
    </xdr:to>
    <xdr:sp macro="" textlink="">
      <xdr:nvSpPr>
        <xdr:cNvPr id="2" name="AutoShape 1" descr="https://upload.wikimedia.org/wikipedia/commons/thumb/4/45/Bandeira_do_Maranh%C3%A3o.svg/120px-Bandeira_do_Maranh%C3%A3o.svg.png">
          <a:extLst>
            <a:ext uri="{FF2B5EF4-FFF2-40B4-BE49-F238E27FC236}">
              <a16:creationId xmlns:a16="http://schemas.microsoft.com/office/drawing/2014/main" id="{CED5CC45-6727-4C52-9048-587D00739671}"/>
            </a:ext>
          </a:extLst>
        </xdr:cNvPr>
        <xdr:cNvSpPr>
          <a:spLocks noChangeAspect="1" noChangeArrowheads="1"/>
        </xdr:cNvSpPr>
      </xdr:nvSpPr>
      <xdr:spPr bwMode="auto">
        <a:xfrm>
          <a:off x="4924425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10</xdr:row>
      <xdr:rowOff>0</xdr:rowOff>
    </xdr:from>
    <xdr:to>
      <xdr:col>9</xdr:col>
      <xdr:colOff>304800</xdr:colOff>
      <xdr:row>11</xdr:row>
      <xdr:rowOff>114300</xdr:rowOff>
    </xdr:to>
    <xdr:sp macro="" textlink="">
      <xdr:nvSpPr>
        <xdr:cNvPr id="3" name="AutoShape 1" descr="https://upload.wikimedia.org/wikipedia/commons/thumb/4/45/Bandeira_do_Maranh%C3%A3o.svg/120px-Bandeira_do_Maranh%C3%A3o.svg.png">
          <a:extLst>
            <a:ext uri="{FF2B5EF4-FFF2-40B4-BE49-F238E27FC236}">
              <a16:creationId xmlns:a16="http://schemas.microsoft.com/office/drawing/2014/main" id="{4C9B36BF-1A18-4F02-91EF-0E291008B30E}"/>
            </a:ext>
          </a:extLst>
        </xdr:cNvPr>
        <xdr:cNvSpPr>
          <a:spLocks noChangeAspect="1" noChangeArrowheads="1"/>
        </xdr:cNvSpPr>
      </xdr:nvSpPr>
      <xdr:spPr bwMode="auto">
        <a:xfrm>
          <a:off x="20507325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0.06863</cdr:x>
      <cdr:y>0.28009</cdr:y>
    </cdr:from>
    <cdr:to>
      <cdr:x>0.15198</cdr:x>
      <cdr:y>0.54051</cdr:y>
    </cdr:to>
    <cdr:sp macro="" textlink="">
      <cdr:nvSpPr>
        <cdr:cNvPr id="2" name="CaixaDeTexto 1"/>
        <cdr:cNvSpPr txBox="1"/>
      </cdr:nvSpPr>
      <cdr:spPr>
        <a:xfrm xmlns:a="http://schemas.openxmlformats.org/drawingml/2006/main" rot="16200000">
          <a:off x="147078" y="935039"/>
          <a:ext cx="714375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900" b="1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Milhões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428625</xdr:colOff>
      <xdr:row>10</xdr:row>
      <xdr:rowOff>15477</xdr:rowOff>
    </xdr:from>
    <xdr:to>
      <xdr:col>13</xdr:col>
      <xdr:colOff>333376</xdr:colOff>
      <xdr:row>26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962025</xdr:colOff>
      <xdr:row>10</xdr:row>
      <xdr:rowOff>33337</xdr:rowOff>
    </xdr:from>
    <xdr:to>
      <xdr:col>15</xdr:col>
      <xdr:colOff>528638</xdr:colOff>
      <xdr:row>26</xdr:row>
      <xdr:rowOff>80962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uf 6">
              <a:extLst>
                <a:ext uri="{FF2B5EF4-FFF2-40B4-BE49-F238E27FC236}">
                  <a16:creationId xmlns:a16="http://schemas.microsoft.com/office/drawing/2014/main" id="{00000000-0008-0000-1E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37931" y="2128837"/>
              <a:ext cx="1828800" cy="3095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>
    <xdr:from>
      <xdr:col>15</xdr:col>
      <xdr:colOff>636985</xdr:colOff>
      <xdr:row>20</xdr:row>
      <xdr:rowOff>116681</xdr:rowOff>
    </xdr:from>
    <xdr:to>
      <xdr:col>20</xdr:col>
      <xdr:colOff>97631</xdr:colOff>
      <xdr:row>44</xdr:row>
      <xdr:rowOff>178593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45CF446-5814-877D-333C-3C7A1A2309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190499</xdr:colOff>
      <xdr:row>35</xdr:row>
      <xdr:rowOff>21431</xdr:rowOff>
    </xdr:from>
    <xdr:to>
      <xdr:col>11</xdr:col>
      <xdr:colOff>809624</xdr:colOff>
      <xdr:row>65</xdr:row>
      <xdr:rowOff>23812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166688</xdr:colOff>
      <xdr:row>65</xdr:row>
      <xdr:rowOff>164307</xdr:rowOff>
    </xdr:from>
    <xdr:to>
      <xdr:col>11</xdr:col>
      <xdr:colOff>785812</xdr:colOff>
      <xdr:row>96</xdr:row>
      <xdr:rowOff>11906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751423</xdr:colOff>
      <xdr:row>147</xdr:row>
      <xdr:rowOff>9524</xdr:rowOff>
    </xdr:from>
    <xdr:to>
      <xdr:col>8</xdr:col>
      <xdr:colOff>698506</xdr:colOff>
      <xdr:row>161</xdr:row>
      <xdr:rowOff>85724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74083</xdr:colOff>
      <xdr:row>146</xdr:row>
      <xdr:rowOff>171450</xdr:rowOff>
    </xdr:from>
    <xdr:to>
      <xdr:col>10</xdr:col>
      <xdr:colOff>908050</xdr:colOff>
      <xdr:row>163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Região 2">
              <a:extLst>
                <a:ext uri="{FF2B5EF4-FFF2-40B4-BE49-F238E27FC236}">
                  <a16:creationId xmlns:a16="http://schemas.microsoft.com/office/drawing/2014/main" id="{00000000-0008-0000-1F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ã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89583" y="29159200"/>
              <a:ext cx="1828800" cy="3095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955401" cy="747575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17" b="20588"/>
        <a:stretch/>
      </xdr:blipFill>
      <xdr:spPr>
        <a:xfrm>
          <a:off x="0" y="0"/>
          <a:ext cx="5955401" cy="747575"/>
        </a:xfrm>
        <a:prstGeom prst="rect">
          <a:avLst/>
        </a:prstGeom>
      </xdr:spPr>
    </xdr:pic>
    <xdr:clientData/>
  </xdr:oneCellAnchor>
  <xdr:twoCellAnchor>
    <xdr:from>
      <xdr:col>7</xdr:col>
      <xdr:colOff>558426</xdr:colOff>
      <xdr:row>0</xdr:row>
      <xdr:rowOff>37353</xdr:rowOff>
    </xdr:from>
    <xdr:to>
      <xdr:col>27</xdr:col>
      <xdr:colOff>429559</xdr:colOff>
      <xdr:row>1</xdr:row>
      <xdr:rowOff>24094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/>
      </xdr:nvSpPr>
      <xdr:spPr>
        <a:xfrm>
          <a:off x="4872691" y="37353"/>
          <a:ext cx="12197603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oneCellAnchor>
    <xdr:from>
      <xdr:col>0</xdr:col>
      <xdr:colOff>0</xdr:colOff>
      <xdr:row>17</xdr:row>
      <xdr:rowOff>94269</xdr:rowOff>
    </xdr:from>
    <xdr:ext cx="0" cy="648092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/>
      </xdr:nvSpPr>
      <xdr:spPr>
        <a:xfrm>
          <a:off x="0" y="3904269"/>
          <a:ext cx="0" cy="648092"/>
        </a:xfrm>
        <a:prstGeom prst="rect">
          <a:avLst/>
        </a:prstGeom>
        <a:solidFill>
          <a:srgbClr val="006871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800" b="1"/>
            <a:t>Receita</a:t>
          </a:r>
        </a:p>
      </xdr:txBody>
    </xdr:sp>
    <xdr:clientData/>
  </xdr:oneCellAnchor>
  <xdr:twoCellAnchor>
    <xdr:from>
      <xdr:col>28</xdr:col>
      <xdr:colOff>937850</xdr:colOff>
      <xdr:row>19</xdr:row>
      <xdr:rowOff>178594</xdr:rowOff>
    </xdr:from>
    <xdr:to>
      <xdr:col>29</xdr:col>
      <xdr:colOff>0</xdr:colOff>
      <xdr:row>37</xdr:row>
      <xdr:rowOff>0</xdr:rowOff>
    </xdr:to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00000000-0008-0000-2000-00001D000000}"/>
            </a:ext>
          </a:extLst>
        </xdr:cNvPr>
        <xdr:cNvSpPr txBox="1"/>
      </xdr:nvSpPr>
      <xdr:spPr>
        <a:xfrm rot="16200000">
          <a:off x="16256612" y="6052957"/>
          <a:ext cx="3750469" cy="4075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>
              <a:solidFill>
                <a:schemeClr val="bg1"/>
              </a:solidFill>
            </a:rPr>
            <a:t>Fontes: IGEO e GERFIN-CAU/BR - 09/2022</a:t>
          </a:r>
        </a:p>
        <a:p>
          <a:r>
            <a:rPr lang="pt-BR" sz="1000">
              <a:solidFill>
                <a:schemeClr val="bg1"/>
              </a:solidFill>
            </a:rPr>
            <a:t>Responsável técnico:</a:t>
          </a:r>
          <a:r>
            <a:rPr lang="pt-BR" sz="1000" baseline="0">
              <a:solidFill>
                <a:schemeClr val="bg1"/>
              </a:solidFill>
            </a:rPr>
            <a:t> Marcos Cristino - GERPLAN - CAU/BR</a:t>
          </a:r>
          <a:endParaRPr lang="pt-BR" sz="1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598714</xdr:colOff>
      <xdr:row>1</xdr:row>
      <xdr:rowOff>175947</xdr:rowOff>
    </xdr:from>
    <xdr:to>
      <xdr:col>28</xdr:col>
      <xdr:colOff>261938</xdr:colOff>
      <xdr:row>36</xdr:row>
      <xdr:rowOff>523874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pSpPr/>
      </xdr:nvGrpSpPr>
      <xdr:grpSpPr>
        <a:xfrm>
          <a:off x="598714" y="939931"/>
          <a:ext cx="16599865" cy="6955896"/>
          <a:chOff x="598714" y="937947"/>
          <a:chExt cx="16653443" cy="7027333"/>
        </a:xfrm>
      </xdr:grpSpPr>
      <xdr:graphicFrame macro="">
        <xdr:nvGraphicFramePr>
          <xdr:cNvPr id="42" name="Diagrama 41">
            <a:extLst>
              <a:ext uri="{FF2B5EF4-FFF2-40B4-BE49-F238E27FC236}">
                <a16:creationId xmlns:a16="http://schemas.microsoft.com/office/drawing/2014/main" id="{00000000-0008-0000-2000-00002A000000}"/>
              </a:ext>
            </a:extLst>
          </xdr:cNvPr>
          <xdr:cNvGraphicFramePr/>
        </xdr:nvGraphicFramePr>
        <xdr:xfrm>
          <a:off x="598714" y="937947"/>
          <a:ext cx="16653443" cy="7027333"/>
        </xdr:xfrm>
        <a:graphic>
          <a:graphicData uri="http://schemas.openxmlformats.org/drawingml/2006/diagram">
            <dgm:relIds xmlns:dgm="http://schemas.openxmlformats.org/drawingml/2006/diagram" xmlns:r="http://schemas.openxmlformats.org/officeDocument/2006/relationships" r:dm="rId2" r:lo="rId3" r:qs="rId4" r:cs="rId5"/>
          </a:graphicData>
        </a:graphic>
      </xdr:graphicFrame>
      <xdr:grpSp>
        <xdr:nvGrpSpPr>
          <xdr:cNvPr id="5" name="Agrupar 4">
            <a:extLst>
              <a:ext uri="{FF2B5EF4-FFF2-40B4-BE49-F238E27FC236}">
                <a16:creationId xmlns:a16="http://schemas.microsoft.com/office/drawing/2014/main" id="{00000000-0008-0000-2000-000005000000}"/>
              </a:ext>
            </a:extLst>
          </xdr:cNvPr>
          <xdr:cNvGrpSpPr/>
        </xdr:nvGrpSpPr>
        <xdr:grpSpPr>
          <a:xfrm>
            <a:off x="916781" y="2986251"/>
            <a:ext cx="15177621" cy="4756211"/>
            <a:chOff x="916781" y="2986251"/>
            <a:chExt cx="15177621" cy="4756211"/>
          </a:xfrm>
        </xdr:grpSpPr>
        <xdr:sp macro="" textlink="">
          <xdr:nvSpPr>
            <xdr:cNvPr id="69" name="Retângulo 68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2000-000045000000}"/>
                </a:ext>
              </a:extLst>
            </xdr:cNvPr>
            <xdr:cNvSpPr/>
          </xdr:nvSpPr>
          <xdr:spPr>
            <a:xfrm>
              <a:off x="6894600" y="3005914"/>
              <a:ext cx="2330669" cy="303414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>
              <a:headEnd type="none" w="med" len="med"/>
              <a:tailEnd type="none" w="med" len="med"/>
            </a:ln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71" name="Retângulo 70">
              <a:hlinkClick xmlns:r="http://schemas.openxmlformats.org/officeDocument/2006/relationships" r:id="rId8"/>
              <a:extLst>
                <a:ext uri="{FF2B5EF4-FFF2-40B4-BE49-F238E27FC236}">
                  <a16:creationId xmlns:a16="http://schemas.microsoft.com/office/drawing/2014/main" id="{00000000-0008-0000-2000-000047000000}"/>
                </a:ext>
              </a:extLst>
            </xdr:cNvPr>
            <xdr:cNvSpPr/>
          </xdr:nvSpPr>
          <xdr:spPr>
            <a:xfrm>
              <a:off x="6894600" y="3302733"/>
              <a:ext cx="2330669" cy="297223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>
              <a:headEnd type="none" w="med" len="med"/>
              <a:tailEnd type="none" w="med" len="med"/>
            </a:ln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72" name="Retângulo 71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2000-000048000000}"/>
                </a:ext>
              </a:extLst>
            </xdr:cNvPr>
            <xdr:cNvSpPr/>
          </xdr:nvSpPr>
          <xdr:spPr>
            <a:xfrm>
              <a:off x="6831843" y="3615464"/>
              <a:ext cx="2393379" cy="362966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>
              <a:headEnd type="none" w="med" len="med"/>
              <a:tailEnd type="none" w="med" len="med"/>
            </a:ln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73" name="Retângulo 72">
              <a:hlinkClick xmlns:r="http://schemas.openxmlformats.org/officeDocument/2006/relationships" r:id="rId10"/>
              <a:extLst>
                <a:ext uri="{FF2B5EF4-FFF2-40B4-BE49-F238E27FC236}">
                  <a16:creationId xmlns:a16="http://schemas.microsoft.com/office/drawing/2014/main" id="{00000000-0008-0000-2000-000049000000}"/>
                </a:ext>
              </a:extLst>
            </xdr:cNvPr>
            <xdr:cNvSpPr/>
          </xdr:nvSpPr>
          <xdr:spPr>
            <a:xfrm>
              <a:off x="12762938" y="3008004"/>
              <a:ext cx="3320288" cy="625779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>
              <a:headEnd type="none" w="med" len="med"/>
              <a:tailEnd type="none" w="med" len="med"/>
            </a:ln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74" name="Retângulo 73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2000-00004A000000}"/>
                </a:ext>
              </a:extLst>
            </xdr:cNvPr>
            <xdr:cNvSpPr/>
          </xdr:nvSpPr>
          <xdr:spPr>
            <a:xfrm>
              <a:off x="12769633" y="3964891"/>
              <a:ext cx="3324769" cy="293695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>
              <a:headEnd type="none" w="med" len="med"/>
              <a:tailEnd type="none" w="med" len="med"/>
            </a:ln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75" name="Retângulo 74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00000000-0008-0000-2000-00004B000000}"/>
                </a:ext>
              </a:extLst>
            </xdr:cNvPr>
            <xdr:cNvSpPr/>
          </xdr:nvSpPr>
          <xdr:spPr>
            <a:xfrm>
              <a:off x="12769633" y="4269903"/>
              <a:ext cx="3324769" cy="287504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>
              <a:headEnd type="none" w="med" len="med"/>
              <a:tailEnd type="none" w="med" len="med"/>
            </a:ln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76" name="Retângulo 75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2000-00004C000000}"/>
                </a:ext>
              </a:extLst>
            </xdr:cNvPr>
            <xdr:cNvSpPr/>
          </xdr:nvSpPr>
          <xdr:spPr>
            <a:xfrm>
              <a:off x="12769633" y="4568714"/>
              <a:ext cx="3324769" cy="294200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>
              <a:headEnd type="none" w="med" len="med"/>
              <a:tailEnd type="none" w="med" len="med"/>
            </a:ln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77" name="Retângulo 76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00000000-0008-0000-2000-00004D000000}"/>
                </a:ext>
              </a:extLst>
            </xdr:cNvPr>
            <xdr:cNvSpPr/>
          </xdr:nvSpPr>
          <xdr:spPr>
            <a:xfrm>
              <a:off x="12769633" y="4874240"/>
              <a:ext cx="3324769" cy="289469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>
              <a:headEnd type="none" w="med" len="med"/>
              <a:tailEnd type="none" w="med" len="med"/>
            </a:ln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78" name="Retângulo 77">
              <a:hlinkClick xmlns:r="http://schemas.openxmlformats.org/officeDocument/2006/relationships" r:id="rId15"/>
              <a:extLst>
                <a:ext uri="{FF2B5EF4-FFF2-40B4-BE49-F238E27FC236}">
                  <a16:creationId xmlns:a16="http://schemas.microsoft.com/office/drawing/2014/main" id="{00000000-0008-0000-2000-00004E000000}"/>
                </a:ext>
              </a:extLst>
            </xdr:cNvPr>
            <xdr:cNvSpPr/>
          </xdr:nvSpPr>
          <xdr:spPr>
            <a:xfrm>
              <a:off x="12769633" y="5175014"/>
              <a:ext cx="3324769" cy="291730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>
              <a:headEnd type="none" w="med" len="med"/>
              <a:tailEnd type="none" w="med" len="med"/>
            </a:ln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79" name="Retângulo 78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2000-00004F000000}"/>
                </a:ext>
              </a:extLst>
            </xdr:cNvPr>
            <xdr:cNvSpPr/>
          </xdr:nvSpPr>
          <xdr:spPr>
            <a:xfrm>
              <a:off x="12769633" y="5478062"/>
              <a:ext cx="3324769" cy="289470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>
              <a:headEnd type="none" w="med" len="med"/>
              <a:tailEnd type="none" w="med" len="med"/>
            </a:ln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48" name="Retângulo 47">
              <a:hlinkClick xmlns:r="http://schemas.openxmlformats.org/officeDocument/2006/relationships" r:id="rId17"/>
              <a:extLst>
                <a:ext uri="{FF2B5EF4-FFF2-40B4-BE49-F238E27FC236}">
                  <a16:creationId xmlns:a16="http://schemas.microsoft.com/office/drawing/2014/main" id="{00000000-0008-0000-2000-000030000000}"/>
                </a:ext>
              </a:extLst>
            </xdr:cNvPr>
            <xdr:cNvSpPr/>
          </xdr:nvSpPr>
          <xdr:spPr>
            <a:xfrm>
              <a:off x="1208066" y="2986251"/>
              <a:ext cx="1521999" cy="293582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58" name="Retângulo 57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2000-00003A000000}"/>
                </a:ext>
              </a:extLst>
            </xdr:cNvPr>
            <xdr:cNvSpPr/>
          </xdr:nvSpPr>
          <xdr:spPr>
            <a:xfrm>
              <a:off x="1196160" y="7080806"/>
              <a:ext cx="1087410" cy="289357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59" name="Retângulo 58">
              <a:hlinkClick xmlns:r="http://schemas.openxmlformats.org/officeDocument/2006/relationships" r:id="rId19"/>
              <a:extLst>
                <a:ext uri="{FF2B5EF4-FFF2-40B4-BE49-F238E27FC236}">
                  <a16:creationId xmlns:a16="http://schemas.microsoft.com/office/drawing/2014/main" id="{00000000-0008-0000-2000-00003B000000}"/>
                </a:ext>
              </a:extLst>
            </xdr:cNvPr>
            <xdr:cNvSpPr/>
          </xdr:nvSpPr>
          <xdr:spPr>
            <a:xfrm>
              <a:off x="1208066" y="3286181"/>
              <a:ext cx="1521999" cy="287391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60" name="Retângulo 59">
              <a:hlinkClick xmlns:r="http://schemas.openxmlformats.org/officeDocument/2006/relationships" r:id="rId20"/>
              <a:extLst>
                <a:ext uri="{FF2B5EF4-FFF2-40B4-BE49-F238E27FC236}">
                  <a16:creationId xmlns:a16="http://schemas.microsoft.com/office/drawing/2014/main" id="{00000000-0008-0000-2000-00003C000000}"/>
                </a:ext>
              </a:extLst>
            </xdr:cNvPr>
            <xdr:cNvSpPr/>
          </xdr:nvSpPr>
          <xdr:spPr>
            <a:xfrm>
              <a:off x="1208065" y="3582345"/>
              <a:ext cx="2029980" cy="544239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61" name="Retângulo 60">
              <a:hlinkClick xmlns:r="http://schemas.openxmlformats.org/officeDocument/2006/relationships" r:id="rId21"/>
              <a:extLst>
                <a:ext uri="{FF2B5EF4-FFF2-40B4-BE49-F238E27FC236}">
                  <a16:creationId xmlns:a16="http://schemas.microsoft.com/office/drawing/2014/main" id="{00000000-0008-0000-2000-00003D000000}"/>
                </a:ext>
              </a:extLst>
            </xdr:cNvPr>
            <xdr:cNvSpPr/>
          </xdr:nvSpPr>
          <xdr:spPr>
            <a:xfrm>
              <a:off x="1208066" y="4544861"/>
              <a:ext cx="1521999" cy="290770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62" name="Retângulo 61">
              <a:hlinkClick xmlns:r="http://schemas.openxmlformats.org/officeDocument/2006/relationships" r:id="rId22"/>
              <a:extLst>
                <a:ext uri="{FF2B5EF4-FFF2-40B4-BE49-F238E27FC236}">
                  <a16:creationId xmlns:a16="http://schemas.microsoft.com/office/drawing/2014/main" id="{00000000-0008-0000-2000-00003E000000}"/>
                </a:ext>
              </a:extLst>
            </xdr:cNvPr>
            <xdr:cNvSpPr/>
          </xdr:nvSpPr>
          <xdr:spPr>
            <a:xfrm>
              <a:off x="1208066" y="4845770"/>
              <a:ext cx="1521999" cy="289356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63" name="Retângulo 62">
              <a:hlinkClick xmlns:r="http://schemas.openxmlformats.org/officeDocument/2006/relationships" r:id="rId23"/>
              <a:extLst>
                <a:ext uri="{FF2B5EF4-FFF2-40B4-BE49-F238E27FC236}">
                  <a16:creationId xmlns:a16="http://schemas.microsoft.com/office/drawing/2014/main" id="{00000000-0008-0000-2000-00003F000000}"/>
                </a:ext>
              </a:extLst>
            </xdr:cNvPr>
            <xdr:cNvSpPr/>
          </xdr:nvSpPr>
          <xdr:spPr>
            <a:xfrm>
              <a:off x="1208066" y="5545255"/>
              <a:ext cx="2429524" cy="291617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64" name="Retângulo 63">
              <a:hlinkClick xmlns:r="http://schemas.openxmlformats.org/officeDocument/2006/relationships" r:id="rId24"/>
              <a:extLst>
                <a:ext uri="{FF2B5EF4-FFF2-40B4-BE49-F238E27FC236}">
                  <a16:creationId xmlns:a16="http://schemas.microsoft.com/office/drawing/2014/main" id="{00000000-0008-0000-2000-000040000000}"/>
                </a:ext>
              </a:extLst>
            </xdr:cNvPr>
            <xdr:cNvSpPr/>
          </xdr:nvSpPr>
          <xdr:spPr>
            <a:xfrm>
              <a:off x="1344297" y="6130071"/>
              <a:ext cx="2372352" cy="291617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68" name="Retângulo 67">
              <a:hlinkClick xmlns:r="http://schemas.openxmlformats.org/officeDocument/2006/relationships" r:id="rId25"/>
              <a:extLst>
                <a:ext uri="{FF2B5EF4-FFF2-40B4-BE49-F238E27FC236}">
                  <a16:creationId xmlns:a16="http://schemas.microsoft.com/office/drawing/2014/main" id="{00000000-0008-0000-2000-000044000000}"/>
                </a:ext>
              </a:extLst>
            </xdr:cNvPr>
            <xdr:cNvSpPr/>
          </xdr:nvSpPr>
          <xdr:spPr>
            <a:xfrm>
              <a:off x="916781" y="7377376"/>
              <a:ext cx="3886826" cy="365086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28" name="Retângulo 27">
              <a:hlinkClick xmlns:r="http://schemas.openxmlformats.org/officeDocument/2006/relationships" r:id="rId26"/>
              <a:extLst>
                <a:ext uri="{FF2B5EF4-FFF2-40B4-BE49-F238E27FC236}">
                  <a16:creationId xmlns:a16="http://schemas.microsoft.com/office/drawing/2014/main" id="{00000000-0008-0000-2000-00001C000000}"/>
                </a:ext>
              </a:extLst>
            </xdr:cNvPr>
            <xdr:cNvSpPr/>
          </xdr:nvSpPr>
          <xdr:spPr>
            <a:xfrm>
              <a:off x="1341915" y="6437253"/>
              <a:ext cx="2372352" cy="291617"/>
            </a:xfrm>
            <a:prstGeom prst="rect">
              <a:avLst/>
            </a:prstGeom>
            <a:solidFill>
              <a:schemeClr val="accent2">
                <a:alpha val="30980"/>
              </a:schemeClr>
            </a:solidFill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0</xdr:colOff>
      <xdr:row>37</xdr:row>
      <xdr:rowOff>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520833" cy="8138583"/>
        </a:xfrm>
        <a:prstGeom prst="rect">
          <a:avLst/>
        </a:prstGeom>
        <a:effectLst/>
      </xdr:spPr>
    </xdr:pic>
    <xdr:clientData/>
  </xdr:twoCellAnchor>
  <xdr:oneCellAnchor>
    <xdr:from>
      <xdr:col>0</xdr:col>
      <xdr:colOff>11075</xdr:colOff>
      <xdr:row>0</xdr:row>
      <xdr:rowOff>0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5" y="0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530258</xdr:colOff>
      <xdr:row>0</xdr:row>
      <xdr:rowOff>0</xdr:rowOff>
    </xdr:from>
    <xdr:to>
      <xdr:col>28</xdr:col>
      <xdr:colOff>264583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/>
      </xdr:nvSpPr>
      <xdr:spPr>
        <a:xfrm>
          <a:off x="3599425" y="0"/>
          <a:ext cx="13841908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																																												</a:t>
          </a:r>
        </a:p>
      </xdr:txBody>
    </xdr:sp>
    <xdr:clientData/>
  </xdr:twoCellAnchor>
  <xdr:twoCellAnchor>
    <xdr:from>
      <xdr:col>6</xdr:col>
      <xdr:colOff>137472</xdr:colOff>
      <xdr:row>2</xdr:row>
      <xdr:rowOff>108370</xdr:rowOff>
    </xdr:from>
    <xdr:to>
      <xdr:col>23</xdr:col>
      <xdr:colOff>317501</xdr:colOff>
      <xdr:row>5</xdr:row>
      <xdr:rowOff>76870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pSpPr/>
      </xdr:nvGrpSpPr>
      <xdr:grpSpPr>
        <a:xfrm>
          <a:off x="3768878" y="1060870"/>
          <a:ext cx="10469014" cy="534047"/>
          <a:chOff x="9043426" y="1068917"/>
          <a:chExt cx="3101150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100-000005000000}"/>
              </a:ext>
            </a:extLst>
          </xdr:cNvPr>
          <xdr:cNvSpPr txBox="1"/>
        </xdr:nvSpPr>
        <xdr:spPr>
          <a:xfrm>
            <a:off x="9043426" y="1068917"/>
            <a:ext cx="3101150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Quantitativo - Pessoa Física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100-000006000000}"/>
              </a:ext>
            </a:extLst>
          </xdr:cNvPr>
          <xdr:cNvCxnSpPr/>
        </xdr:nvCxnSpPr>
        <xdr:spPr>
          <a:xfrm>
            <a:off x="9046319" y="1566333"/>
            <a:ext cx="3094422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225781</xdr:colOff>
      <xdr:row>2</xdr:row>
      <xdr:rowOff>108370</xdr:rowOff>
    </xdr:from>
    <xdr:to>
      <xdr:col>4</xdr:col>
      <xdr:colOff>213849</xdr:colOff>
      <xdr:row>5</xdr:row>
      <xdr:rowOff>76870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GrpSpPr/>
      </xdr:nvGrpSpPr>
      <xdr:grpSpPr>
        <a:xfrm>
          <a:off x="225781" y="1060870"/>
          <a:ext cx="2409006" cy="534047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00000000-0008-0000-2100-000008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:a16="http://schemas.microsoft.com/office/drawing/2014/main" id="{00000000-0008-0000-2100-000009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24</xdr:col>
      <xdr:colOff>158750</xdr:colOff>
      <xdr:row>8</xdr:row>
      <xdr:rowOff>68738</xdr:rowOff>
    </xdr:from>
    <xdr:to>
      <xdr:col>28</xdr:col>
      <xdr:colOff>1280583</xdr:colOff>
      <xdr:row>33</xdr:row>
      <xdr:rowOff>15363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100-000032000000}"/>
            </a:ext>
          </a:extLst>
        </xdr:cNvPr>
        <xdr:cNvGrpSpPr/>
      </xdr:nvGrpSpPr>
      <xdr:grpSpPr>
        <a:xfrm>
          <a:off x="14684375" y="2152332"/>
          <a:ext cx="3532849" cy="4669437"/>
          <a:chOff x="14483890" y="3223651"/>
          <a:chExt cx="3049142" cy="2754416"/>
        </a:xfrm>
      </xdr:grpSpPr>
      <xdr:graphicFrame macro="">
        <xdr:nvGraphicFramePr>
          <xdr:cNvPr id="51" name="Gráfico 50">
            <a:extLst>
              <a:ext uri="{FF2B5EF4-FFF2-40B4-BE49-F238E27FC236}">
                <a16:creationId xmlns:a16="http://schemas.microsoft.com/office/drawing/2014/main" id="{00000000-0008-0000-2100-000033000000}"/>
              </a:ext>
            </a:extLst>
          </xdr:cNvPr>
          <xdr:cNvGraphicFramePr>
            <a:graphicFrameLocks/>
          </xdr:cNvGraphicFramePr>
        </xdr:nvGraphicFramePr>
        <xdr:xfrm>
          <a:off x="14483890" y="3223651"/>
          <a:ext cx="3049142" cy="275441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pSp>
        <xdr:nvGrpSpPr>
          <xdr:cNvPr id="52" name="Grupo 51">
            <a:extLst>
              <a:ext uri="{FF2B5EF4-FFF2-40B4-BE49-F238E27FC236}">
                <a16:creationId xmlns:a16="http://schemas.microsoft.com/office/drawing/2014/main" id="{00000000-0008-0000-2100-000034000000}"/>
              </a:ext>
            </a:extLst>
          </xdr:cNvPr>
          <xdr:cNvGrpSpPr/>
        </xdr:nvGrpSpPr>
        <xdr:grpSpPr>
          <a:xfrm>
            <a:off x="15046543" y="4199218"/>
            <a:ext cx="2012977" cy="797715"/>
            <a:chOff x="6406969" y="5729274"/>
            <a:chExt cx="1517009" cy="623283"/>
          </a:xfrm>
        </xdr:grpSpPr>
        <xdr:grpSp>
          <xdr:nvGrpSpPr>
            <xdr:cNvPr id="53" name="Grupo 52">
              <a:extLst>
                <a:ext uri="{FF2B5EF4-FFF2-40B4-BE49-F238E27FC236}">
                  <a16:creationId xmlns:a16="http://schemas.microsoft.com/office/drawing/2014/main" id="{00000000-0008-0000-2100-000035000000}"/>
                </a:ext>
              </a:extLst>
            </xdr:cNvPr>
            <xdr:cNvGrpSpPr/>
          </xdr:nvGrpSpPr>
          <xdr:grpSpPr>
            <a:xfrm>
              <a:off x="6406969" y="5729274"/>
              <a:ext cx="699233" cy="623283"/>
              <a:chOff x="9883594" y="6051083"/>
              <a:chExt cx="699233" cy="623283"/>
            </a:xfrm>
          </xdr:grpSpPr>
          <xdr:sp macro="" textlink="'Dados - Receita e Qntd'!BT75">
            <xdr:nvSpPr>
              <xdr:cNvPr id="57" name="CaixaDeTexto 56">
                <a:extLst>
                  <a:ext uri="{FF2B5EF4-FFF2-40B4-BE49-F238E27FC236}">
                    <a16:creationId xmlns:a16="http://schemas.microsoft.com/office/drawing/2014/main" id="{00000000-0008-0000-2100-000039000000}"/>
                  </a:ext>
                </a:extLst>
              </xdr:cNvPr>
              <xdr:cNvSpPr txBox="1"/>
            </xdr:nvSpPr>
            <xdr:spPr>
              <a:xfrm>
                <a:off x="9883594" y="6387937"/>
                <a:ext cx="699233" cy="286429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marL="0" indent="0" algn="ctr"/>
                <a:fld id="{D706F3BA-22F2-49EE-BC90-3869404D2AF5}" type="TxLink">
                  <a:rPr lang="en-US" sz="2000" b="1" i="0" u="none" strike="noStrike">
                    <a:solidFill>
                      <a:schemeClr val="bg1"/>
                    </a:solidFill>
                    <a:latin typeface="Calibri"/>
                    <a:ea typeface="+mn-ea"/>
                    <a:cs typeface="Calibri"/>
                  </a:rPr>
                  <a:pPr marL="0" indent="0" algn="ctr"/>
                  <a:t> 139.724 </a:t>
                </a:fld>
                <a:endParaRPr lang="pt-BR" sz="5400" b="1" i="0" u="none" strike="noStrike">
                  <a:solidFill>
                    <a:schemeClr val="bg1"/>
                  </a:solidFill>
                  <a:latin typeface="Calibri"/>
                  <a:ea typeface="+mn-ea"/>
                  <a:cs typeface="Calibri"/>
                </a:endParaRPr>
              </a:p>
            </xdr:txBody>
          </xdr:sp>
          <xdr:sp macro="" textlink="">
            <xdr:nvSpPr>
              <xdr:cNvPr id="58" name="CaixaDeTexto 57">
                <a:extLst>
                  <a:ext uri="{FF2B5EF4-FFF2-40B4-BE49-F238E27FC236}">
                    <a16:creationId xmlns:a16="http://schemas.microsoft.com/office/drawing/2014/main" id="{00000000-0008-0000-2100-00003A000000}"/>
                  </a:ext>
                </a:extLst>
              </xdr:cNvPr>
              <xdr:cNvSpPr txBox="1"/>
            </xdr:nvSpPr>
            <xdr:spPr>
              <a:xfrm>
                <a:off x="10086726" y="6051083"/>
                <a:ext cx="315607" cy="427285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noAutofit/>
              </a:bodyPr>
              <a:lstStyle/>
              <a:p>
                <a:pPr algn="ctr"/>
                <a:r>
                  <a:rPr lang="pt-BR" sz="5400">
                    <a:solidFill>
                      <a:schemeClr val="bg1"/>
                    </a:solidFill>
                    <a:sym typeface="Webdings" panose="05030102010509060703" pitchFamily="18" charset="2"/>
                  </a:rPr>
                  <a:t></a:t>
                </a:r>
                <a:endParaRPr lang="pt-BR" sz="5400">
                  <a:solidFill>
                    <a:schemeClr val="bg1"/>
                  </a:solidFill>
                </a:endParaRPr>
              </a:p>
            </xdr:txBody>
          </xdr:sp>
        </xdr:grpSp>
        <xdr:grpSp>
          <xdr:nvGrpSpPr>
            <xdr:cNvPr id="54" name="Grupo 53">
              <a:extLst>
                <a:ext uri="{FF2B5EF4-FFF2-40B4-BE49-F238E27FC236}">
                  <a16:creationId xmlns:a16="http://schemas.microsoft.com/office/drawing/2014/main" id="{00000000-0008-0000-2100-000036000000}"/>
                </a:ext>
              </a:extLst>
            </xdr:cNvPr>
            <xdr:cNvGrpSpPr/>
          </xdr:nvGrpSpPr>
          <xdr:grpSpPr>
            <a:xfrm>
              <a:off x="7224745" y="5729274"/>
              <a:ext cx="699233" cy="623283"/>
              <a:chOff x="9170567" y="6052443"/>
              <a:chExt cx="699233" cy="623283"/>
            </a:xfrm>
          </xdr:grpSpPr>
          <xdr:sp macro="" textlink="'Dados - Receita e Qntd'!BT74">
            <xdr:nvSpPr>
              <xdr:cNvPr id="55" name="CaixaDeTexto 54">
                <a:extLst>
                  <a:ext uri="{FF2B5EF4-FFF2-40B4-BE49-F238E27FC236}">
                    <a16:creationId xmlns:a16="http://schemas.microsoft.com/office/drawing/2014/main" id="{00000000-0008-0000-2100-000037000000}"/>
                  </a:ext>
                </a:extLst>
              </xdr:cNvPr>
              <xdr:cNvSpPr txBox="1"/>
            </xdr:nvSpPr>
            <xdr:spPr>
              <a:xfrm>
                <a:off x="9170567" y="6389297"/>
                <a:ext cx="699233" cy="286429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marL="0" indent="0" algn="ctr"/>
                <a:fld id="{B280859B-7A32-49BB-A912-8022428212A2}" type="TxLink">
                  <a:rPr lang="en-US" sz="2000" b="1" i="0" u="none" strike="noStrike">
                    <a:solidFill>
                      <a:schemeClr val="bg1"/>
                    </a:solidFill>
                    <a:latin typeface="Calibri"/>
                    <a:ea typeface="+mn-ea"/>
                    <a:cs typeface="Calibri"/>
                  </a:rPr>
                  <a:pPr marL="0" indent="0" algn="ctr"/>
                  <a:t> 75.981 </a:t>
                </a:fld>
                <a:endParaRPr lang="pt-BR" sz="5400" b="1" i="0" u="none" strike="noStrike">
                  <a:solidFill>
                    <a:schemeClr val="bg1"/>
                  </a:solidFill>
                  <a:latin typeface="Calibri"/>
                  <a:ea typeface="+mn-ea"/>
                  <a:cs typeface="Calibri"/>
                </a:endParaRPr>
              </a:p>
            </xdr:txBody>
          </xdr:sp>
          <xdr:sp macro="" textlink="">
            <xdr:nvSpPr>
              <xdr:cNvPr id="56" name="CaixaDeTexto 55">
                <a:extLst>
                  <a:ext uri="{FF2B5EF4-FFF2-40B4-BE49-F238E27FC236}">
                    <a16:creationId xmlns:a16="http://schemas.microsoft.com/office/drawing/2014/main" id="{00000000-0008-0000-2100-000038000000}"/>
                  </a:ext>
                </a:extLst>
              </xdr:cNvPr>
              <xdr:cNvSpPr txBox="1"/>
            </xdr:nvSpPr>
            <xdr:spPr>
              <a:xfrm>
                <a:off x="9362515" y="6052443"/>
                <a:ext cx="315607" cy="427285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ctr">
                <a:noAutofit/>
              </a:bodyPr>
              <a:lstStyle/>
              <a:p>
                <a:pPr algn="ctr"/>
                <a:r>
                  <a:rPr lang="pt-BR" sz="5400">
                    <a:solidFill>
                      <a:schemeClr val="bg1"/>
                    </a:solidFill>
                    <a:sym typeface="Webdings" panose="05030102010509060703" pitchFamily="18" charset="2"/>
                  </a:rPr>
                  <a:t></a:t>
                </a:r>
                <a:endParaRPr lang="pt-BR" sz="5400">
                  <a:solidFill>
                    <a:schemeClr val="bg1"/>
                  </a:solidFill>
                </a:endParaRPr>
              </a:p>
            </xdr:txBody>
          </xdr:sp>
        </xdr:grpSp>
      </xdr:grpSp>
    </xdr:grpSp>
    <xdr:clientData/>
  </xdr:twoCellAnchor>
  <xdr:oneCellAnchor>
    <xdr:from>
      <xdr:col>28</xdr:col>
      <xdr:colOff>284768</xdr:colOff>
      <xdr:row>0</xdr:row>
      <xdr:rowOff>73452</xdr:rowOff>
    </xdr:from>
    <xdr:ext cx="1001595" cy="638510"/>
    <xdr:sp macro="" textlink="">
      <xdr:nvSpPr>
        <xdr:cNvPr id="86" name="CaixaDeTexto 85">
          <a:hlinkClick xmlns:r="http://schemas.openxmlformats.org/officeDocument/2006/relationships" r:id="rId4" tooltip="Voltar para a tela principal"/>
          <a:extLst>
            <a:ext uri="{FF2B5EF4-FFF2-40B4-BE49-F238E27FC236}">
              <a16:creationId xmlns:a16="http://schemas.microsoft.com/office/drawing/2014/main" id="{00000000-0008-0000-2100-000056000000}"/>
            </a:ext>
          </a:extLst>
        </xdr:cNvPr>
        <xdr:cNvSpPr txBox="1"/>
      </xdr:nvSpPr>
      <xdr:spPr>
        <a:xfrm>
          <a:off x="17321753" y="73452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  <a:effectLst/>
            </a:rPr>
            <a:t>Voltar</a:t>
          </a:r>
        </a:p>
      </xdr:txBody>
    </xdr:sp>
    <xdr:clientData/>
  </xdr:oneCellAnchor>
  <xdr:twoCellAnchor>
    <xdr:from>
      <xdr:col>5</xdr:col>
      <xdr:colOff>31748</xdr:colOff>
      <xdr:row>6</xdr:row>
      <xdr:rowOff>74083</xdr:rowOff>
    </xdr:from>
    <xdr:to>
      <xdr:col>23</xdr:col>
      <xdr:colOff>603828</xdr:colOff>
      <xdr:row>35</xdr:row>
      <xdr:rowOff>58863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GrpSpPr/>
      </xdr:nvGrpSpPr>
      <xdr:grpSpPr>
        <a:xfrm>
          <a:off x="3057920" y="1780646"/>
          <a:ext cx="11466299" cy="5461655"/>
          <a:chOff x="3100915" y="1788583"/>
          <a:chExt cx="11621080" cy="5519863"/>
        </a:xfrm>
      </xdr:grpSpPr>
      <xdr:grpSp>
        <xdr:nvGrpSpPr>
          <xdr:cNvPr id="21" name="Agrupar 20">
            <a:extLst>
              <a:ext uri="{FF2B5EF4-FFF2-40B4-BE49-F238E27FC236}">
                <a16:creationId xmlns:a16="http://schemas.microsoft.com/office/drawing/2014/main" id="{00000000-0008-0000-2100-000015000000}"/>
              </a:ext>
            </a:extLst>
          </xdr:cNvPr>
          <xdr:cNvGrpSpPr/>
        </xdr:nvGrpSpPr>
        <xdr:grpSpPr>
          <a:xfrm>
            <a:off x="6101222" y="1798893"/>
            <a:ext cx="2664000" cy="5503337"/>
            <a:chOff x="6039590" y="1783325"/>
            <a:chExt cx="2627648" cy="5394562"/>
          </a:xfrm>
        </xdr:grpSpPr>
        <xdr:sp macro="" textlink="'Dados - Receita e Qntd'!BT54">
          <xdr:nvSpPr>
            <xdr:cNvPr id="69" name="CaixaDeTexto 68">
              <a:extLst>
                <a:ext uri="{FF2B5EF4-FFF2-40B4-BE49-F238E27FC236}">
                  <a16:creationId xmlns:a16="http://schemas.microsoft.com/office/drawing/2014/main" id="{00000000-0008-0000-2100-000045000000}"/>
                </a:ext>
              </a:extLst>
            </xdr:cNvPr>
            <xdr:cNvSpPr txBox="1"/>
          </xdr:nvSpPr>
          <xdr:spPr>
            <a:xfrm>
              <a:off x="6039590" y="3690542"/>
              <a:ext cx="2627648" cy="162326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3A353535-2226-4669-BAEF-1D0D91F5A7C0}" type="TxLink">
                <a:rPr lang="en-US" sz="3600" b="1" i="0" u="none" strike="noStrike">
                  <a:solidFill>
                    <a:schemeClr val="tx1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 217.281 </a:t>
              </a:fld>
              <a:endParaRPr lang="pt-BR" sz="8800" b="1" i="0" u="none" strike="noStrike"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BT53">
          <xdr:nvSpPr>
            <xdr:cNvPr id="70" name="CaixaDeTexto 69">
              <a:extLst>
                <a:ext uri="{FF2B5EF4-FFF2-40B4-BE49-F238E27FC236}">
                  <a16:creationId xmlns:a16="http://schemas.microsoft.com/office/drawing/2014/main" id="{00000000-0008-0000-2100-000046000000}"/>
                </a:ext>
              </a:extLst>
            </xdr:cNvPr>
            <xdr:cNvSpPr txBox="1"/>
          </xdr:nvSpPr>
          <xdr:spPr>
            <a:xfrm>
              <a:off x="6039590" y="5554619"/>
              <a:ext cx="2627648" cy="162326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B71B1CAC-FAE1-40D3-826D-961FDD43D4C8}" type="TxLink">
                <a:rPr lang="en-US" sz="4000" b="1" i="0" u="none" strike="noStrike">
                  <a:solidFill>
                    <a:schemeClr val="tx1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 8.236 </a:t>
              </a:fld>
              <a:endParaRPr lang="pt-BR" sz="4000" b="1" i="0" u="none" strike="noStrike"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  <xdr:sp macro="" textlink="'Dados - Receita e Qntd'!BT52">
          <xdr:nvSpPr>
            <xdr:cNvPr id="71" name="CaixaDeTexto 70">
              <a:extLst>
                <a:ext uri="{FF2B5EF4-FFF2-40B4-BE49-F238E27FC236}">
                  <a16:creationId xmlns:a16="http://schemas.microsoft.com/office/drawing/2014/main" id="{00000000-0008-0000-2100-000047000000}"/>
                </a:ext>
              </a:extLst>
            </xdr:cNvPr>
            <xdr:cNvSpPr txBox="1"/>
          </xdr:nvSpPr>
          <xdr:spPr>
            <a:xfrm>
              <a:off x="6039590" y="1783325"/>
              <a:ext cx="2627648" cy="162326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fld id="{9CE98378-347E-4206-8915-BF3EF9DED2A4}" type="TxLink">
                <a:rPr lang="en-US" sz="3600" b="1" i="0" u="none" strike="noStrike">
                  <a:solidFill>
                    <a:schemeClr val="tx1"/>
                  </a:solidFill>
                  <a:effectLst/>
                  <a:latin typeface="Calibri"/>
                  <a:ea typeface="+mn-ea"/>
                  <a:cs typeface="Calibri"/>
                </a:rPr>
                <a:pPr marL="0" indent="0" algn="ctr"/>
                <a:t> 215.705 </a:t>
              </a:fld>
              <a:endParaRPr lang="pt-BR" sz="3600" b="1" i="0" u="none" strike="noStrike"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endParaRPr>
            </a:p>
          </xdr:txBody>
        </xdr:sp>
      </xdr:grpSp>
      <xdr:sp macro="" textlink="'Dados - Receita e Qntd'!BT78">
        <xdr:nvSpPr>
          <xdr:cNvPr id="80" name="CaixaDeTexto 79">
            <a:extLst>
              <a:ext uri="{FF2B5EF4-FFF2-40B4-BE49-F238E27FC236}">
                <a16:creationId xmlns:a16="http://schemas.microsoft.com/office/drawing/2014/main" id="{00000000-0008-0000-2100-000050000000}"/>
              </a:ext>
            </a:extLst>
          </xdr:cNvPr>
          <xdr:cNvSpPr txBox="1"/>
        </xdr:nvSpPr>
        <xdr:spPr>
          <a:xfrm>
            <a:off x="12057995" y="5644486"/>
            <a:ext cx="2664000" cy="165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59660B68-81DF-4FBF-A97F-88CC7385CEB6}" type="TxLink">
              <a:rPr lang="en-US" sz="3600" b="1" i="0" u="none" strike="noStrike"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64,2%</a:t>
            </a:fld>
            <a:endParaRPr lang="pt-BR" sz="3600" b="1" i="0" u="none" strike="noStrike">
              <a:solidFill>
                <a:schemeClr val="tx1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sp macro="" textlink="'Dados - Receita e Qntd'!BT77">
        <xdr:nvSpPr>
          <xdr:cNvPr id="77" name="CaixaDeTexto 76">
            <a:extLst>
              <a:ext uri="{FF2B5EF4-FFF2-40B4-BE49-F238E27FC236}">
                <a16:creationId xmlns:a16="http://schemas.microsoft.com/office/drawing/2014/main" id="{00000000-0008-0000-2100-00004D000000}"/>
              </a:ext>
            </a:extLst>
          </xdr:cNvPr>
          <xdr:cNvSpPr txBox="1"/>
        </xdr:nvSpPr>
        <xdr:spPr>
          <a:xfrm>
            <a:off x="12057990" y="3727117"/>
            <a:ext cx="2664000" cy="165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95D7F42E-36DB-46F4-999F-9688435BD55F}" type="TxLink">
              <a:rPr lang="en-US" sz="3600" b="1" i="0" u="none" strike="noStrike"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 10.272 </a:t>
            </a:fld>
            <a:endParaRPr lang="pt-BR" sz="3600" b="1" i="0" u="none" strike="noStrike">
              <a:solidFill>
                <a:schemeClr val="tx1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sp macro="" textlink="'Dados - Receita e Qntd'!BT76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2100-000020000000}"/>
              </a:ext>
            </a:extLst>
          </xdr:cNvPr>
          <xdr:cNvSpPr txBox="1"/>
        </xdr:nvSpPr>
        <xdr:spPr>
          <a:xfrm>
            <a:off x="12057990" y="1788583"/>
            <a:ext cx="2664000" cy="165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fld id="{512696A8-1BCF-451C-8690-D850EF5E95DC}" type="TxLink">
              <a:rPr lang="en-US" sz="3600" b="1" i="0" u="none" strike="noStrike">
                <a:solidFill>
                  <a:schemeClr val="tx1"/>
                </a:solidFill>
                <a:effectLst/>
                <a:latin typeface="Calibri"/>
                <a:ea typeface="+mn-ea"/>
                <a:cs typeface="Calibri"/>
              </a:rPr>
              <a:pPr marL="0" indent="0" algn="ctr"/>
              <a:t> 6.593 </a:t>
            </a:fld>
            <a:endParaRPr lang="pt-BR" sz="3600" b="1" i="0" u="none" strike="noStrike">
              <a:solidFill>
                <a:schemeClr val="tx1"/>
              </a:solidFill>
              <a:effectLst/>
              <a:latin typeface="Calibri"/>
              <a:ea typeface="+mn-ea"/>
              <a:cs typeface="Calibri"/>
            </a:endParaRPr>
          </a:p>
        </xdr:txBody>
      </xdr:sp>
      <xdr:grpSp>
        <xdr:nvGrpSpPr>
          <xdr:cNvPr id="20" name="Agrupar 19">
            <a:extLst>
              <a:ext uri="{FF2B5EF4-FFF2-40B4-BE49-F238E27FC236}">
                <a16:creationId xmlns:a16="http://schemas.microsoft.com/office/drawing/2014/main" id="{00000000-0008-0000-2100-000014000000}"/>
              </a:ext>
            </a:extLst>
          </xdr:cNvPr>
          <xdr:cNvGrpSpPr/>
        </xdr:nvGrpSpPr>
        <xdr:grpSpPr>
          <a:xfrm>
            <a:off x="3100915" y="1803521"/>
            <a:ext cx="2677030" cy="5504925"/>
            <a:chOff x="3815832" y="1777371"/>
            <a:chExt cx="1918629" cy="5395956"/>
          </a:xfrm>
        </xdr:grpSpPr>
        <xdr:sp macro="" textlink="">
          <xdr:nvSpPr>
            <xdr:cNvPr id="14" name="CaixaDeTexto 13">
              <a:extLst>
                <a:ext uri="{FF2B5EF4-FFF2-40B4-BE49-F238E27FC236}">
                  <a16:creationId xmlns:a16="http://schemas.microsoft.com/office/drawing/2014/main" id="{00000000-0008-0000-2100-00000E000000}"/>
                </a:ext>
              </a:extLst>
            </xdr:cNvPr>
            <xdr:cNvSpPr txBox="1"/>
          </xdr:nvSpPr>
          <xdr:spPr>
            <a:xfrm>
              <a:off x="3825171" y="3684348"/>
              <a:ext cx="1909290" cy="16232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32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Ativos Previstos</a:t>
              </a:r>
            </a:p>
          </xdr:txBody>
        </xdr:sp>
        <xdr:sp macro="" textlink="">
          <xdr:nvSpPr>
            <xdr:cNvPr id="15" name="CaixaDeTexto 14">
              <a:extLst>
                <a:ext uri="{FF2B5EF4-FFF2-40B4-BE49-F238E27FC236}">
                  <a16:creationId xmlns:a16="http://schemas.microsoft.com/office/drawing/2014/main" id="{00000000-0008-0000-2100-00000F000000}"/>
                </a:ext>
              </a:extLst>
            </xdr:cNvPr>
            <xdr:cNvSpPr txBox="1"/>
          </xdr:nvSpPr>
          <xdr:spPr>
            <a:xfrm>
              <a:off x="3815832" y="1777371"/>
              <a:ext cx="1909290" cy="16232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32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</a:rPr>
                <a:t>Ativos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32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</a:rPr>
                <a:t>Atuais</a:t>
              </a:r>
            </a:p>
          </xdr:txBody>
        </xdr:sp>
        <xdr:sp macro="" textlink="">
          <xdr:nvSpPr>
            <xdr:cNvPr id="16" name="CaixaDeTexto 15">
              <a:extLst>
                <a:ext uri="{FF2B5EF4-FFF2-40B4-BE49-F238E27FC236}">
                  <a16:creationId xmlns:a16="http://schemas.microsoft.com/office/drawing/2014/main" id="{00000000-0008-0000-2100-000010000000}"/>
                </a:ext>
              </a:extLst>
            </xdr:cNvPr>
            <xdr:cNvSpPr txBox="1"/>
          </xdr:nvSpPr>
          <xdr:spPr>
            <a:xfrm>
              <a:off x="3823418" y="5550108"/>
              <a:ext cx="1909290" cy="16232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28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Variação frente a Dez/2021</a:t>
              </a:r>
            </a:p>
          </xdr:txBody>
        </xdr:sp>
      </xdr:grpSp>
      <xdr:grpSp>
        <xdr:nvGrpSpPr>
          <xdr:cNvPr id="22" name="Agrupar 21">
            <a:extLst>
              <a:ext uri="{FF2B5EF4-FFF2-40B4-BE49-F238E27FC236}">
                <a16:creationId xmlns:a16="http://schemas.microsoft.com/office/drawing/2014/main" id="{00000000-0008-0000-2100-000016000000}"/>
              </a:ext>
            </a:extLst>
          </xdr:cNvPr>
          <xdr:cNvGrpSpPr/>
        </xdr:nvGrpSpPr>
        <xdr:grpSpPr>
          <a:xfrm>
            <a:off x="9066651" y="1790451"/>
            <a:ext cx="2674741" cy="5504060"/>
            <a:chOff x="8966967" y="1775300"/>
            <a:chExt cx="2647296" cy="5394712"/>
          </a:xfrm>
        </xdr:grpSpPr>
        <xdr:sp macro="" textlink="">
          <xdr:nvSpPr>
            <xdr:cNvPr id="17" name="CaixaDeTexto 16">
              <a:extLst>
                <a:ext uri="{FF2B5EF4-FFF2-40B4-BE49-F238E27FC236}">
                  <a16:creationId xmlns:a16="http://schemas.microsoft.com/office/drawing/2014/main" id="{00000000-0008-0000-2100-000011000000}"/>
                </a:ext>
              </a:extLst>
            </xdr:cNvPr>
            <xdr:cNvSpPr txBox="1"/>
          </xdr:nvSpPr>
          <xdr:spPr>
            <a:xfrm>
              <a:off x="8977602" y="3666918"/>
              <a:ext cx="2636661" cy="16231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32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Egressos</a:t>
              </a: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32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Previstos</a:t>
              </a:r>
            </a:p>
          </xdr:txBody>
        </xdr:sp>
        <xdr:sp macro="" textlink="">
          <xdr:nvSpPr>
            <xdr:cNvPr id="18" name="CaixaDeTexto 17">
              <a:extLst>
                <a:ext uri="{FF2B5EF4-FFF2-40B4-BE49-F238E27FC236}">
                  <a16:creationId xmlns:a16="http://schemas.microsoft.com/office/drawing/2014/main" id="{00000000-0008-0000-2100-000012000000}"/>
                </a:ext>
              </a:extLst>
            </xdr:cNvPr>
            <xdr:cNvSpPr txBox="1"/>
          </xdr:nvSpPr>
          <xdr:spPr>
            <a:xfrm>
              <a:off x="8966967" y="1775300"/>
              <a:ext cx="2642721" cy="162485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3200" b="1" cap="none" spc="50">
                  <a:ln w="9525" cmpd="sng">
                    <a:noFill/>
                    <a:prstDash val="solid"/>
                  </a:ln>
                  <a:solidFill>
                    <a:schemeClr val="bg1"/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Egressos</a:t>
              </a:r>
            </a:p>
          </xdr:txBody>
        </xdr:sp>
        <xdr:sp macro="" textlink="">
          <xdr:nvSpPr>
            <xdr:cNvPr id="19" name="CaixaDeTexto 18">
              <a:extLst>
                <a:ext uri="{FF2B5EF4-FFF2-40B4-BE49-F238E27FC236}">
                  <a16:creationId xmlns:a16="http://schemas.microsoft.com/office/drawing/2014/main" id="{00000000-0008-0000-2100-000013000000}"/>
                </a:ext>
              </a:extLst>
            </xdr:cNvPr>
            <xdr:cNvSpPr txBox="1"/>
          </xdr:nvSpPr>
          <xdr:spPr>
            <a:xfrm>
              <a:off x="8967127" y="5546911"/>
              <a:ext cx="2636661" cy="16231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32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Execução</a:t>
              </a:r>
            </a:p>
          </xdr:txBody>
        </xdr:sp>
      </xdr:grpSp>
    </xdr:grpSp>
    <xdr:clientData/>
  </xdr:twoCellAnchor>
  <xdr:twoCellAnchor>
    <xdr:from>
      <xdr:col>0</xdr:col>
      <xdr:colOff>23813</xdr:colOff>
      <xdr:row>1</xdr:row>
      <xdr:rowOff>9158</xdr:rowOff>
    </xdr:from>
    <xdr:to>
      <xdr:col>28</xdr:col>
      <xdr:colOff>1297781</xdr:colOff>
      <xdr:row>37</xdr:row>
      <xdr:rowOff>0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 txBox="1"/>
      </xdr:nvSpPr>
      <xdr:spPr>
        <a:xfrm>
          <a:off x="23813" y="771158"/>
          <a:ext cx="18264187" cy="7360811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																																							</a:t>
          </a:r>
        </a:p>
      </xdr:txBody>
    </xdr:sp>
    <xdr:clientData/>
  </xdr:twoCellAnchor>
  <xdr:twoCellAnchor editAs="oneCell">
    <xdr:from>
      <xdr:col>0</xdr:col>
      <xdr:colOff>234544</xdr:colOff>
      <xdr:row>6</xdr:row>
      <xdr:rowOff>10583</xdr:rowOff>
    </xdr:from>
    <xdr:to>
      <xdr:col>4</xdr:col>
      <xdr:colOff>205086</xdr:colOff>
      <xdr:row>35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7" name="UF">
              <a:extLst>
                <a:ext uri="{FF2B5EF4-FFF2-40B4-BE49-F238E27FC236}">
                  <a16:creationId xmlns:a16="http://schemas.microsoft.com/office/drawing/2014/main" id="{00000000-0008-0000-2100-00004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4544" y="1725083"/>
              <a:ext cx="2408942" cy="56282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0</xdr:colOff>
      <xdr:row>37</xdr:row>
      <xdr:rowOff>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23718" cy="813196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3653797" cy="765928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653797" cy="765928"/>
        </a:xfrm>
        <a:prstGeom prst="rect">
          <a:avLst/>
        </a:prstGeom>
      </xdr:spPr>
    </xdr:pic>
    <xdr:clientData/>
  </xdr:oneCellAnchor>
  <xdr:twoCellAnchor>
    <xdr:from>
      <xdr:col>5</xdr:col>
      <xdr:colOff>530259</xdr:colOff>
      <xdr:row>0</xdr:row>
      <xdr:rowOff>0</xdr:rowOff>
    </xdr:from>
    <xdr:to>
      <xdr:col>27</xdr:col>
      <xdr:colOff>428625</xdr:colOff>
      <xdr:row>0</xdr:row>
      <xdr:rowOff>752476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/>
      </xdr:nvSpPr>
      <xdr:spPr>
        <a:xfrm>
          <a:off x="3625884" y="0"/>
          <a:ext cx="13519116" cy="752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4800" cap="small" baseline="0">
              <a:solidFill>
                <a:srgbClr val="2A5664"/>
              </a:solidFill>
              <a:latin typeface="+mn-lt"/>
            </a:rPr>
            <a:t>Cenário de Arrecadação - 2022</a:t>
          </a:r>
        </a:p>
      </xdr:txBody>
    </xdr:sp>
    <xdr:clientData/>
  </xdr:twoCellAnchor>
  <xdr:twoCellAnchor>
    <xdr:from>
      <xdr:col>5</xdr:col>
      <xdr:colOff>292880</xdr:colOff>
      <xdr:row>2</xdr:row>
      <xdr:rowOff>15927</xdr:rowOff>
    </xdr:from>
    <xdr:to>
      <xdr:col>28</xdr:col>
      <xdr:colOff>618632</xdr:colOff>
      <xdr:row>4</xdr:row>
      <xdr:rowOff>128415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pSpPr/>
      </xdr:nvGrpSpPr>
      <xdr:grpSpPr>
        <a:xfrm>
          <a:off x="3319052" y="968427"/>
          <a:ext cx="14236221" cy="489519"/>
          <a:chOff x="9123914" y="1068917"/>
          <a:chExt cx="4217784" cy="497416"/>
        </a:xfrm>
      </xdr:grpSpPr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2200-000005000000}"/>
              </a:ext>
            </a:extLst>
          </xdr:cNvPr>
          <xdr:cNvSpPr txBox="1"/>
        </xdr:nvSpPr>
        <xdr:spPr>
          <a:xfrm>
            <a:off x="9127309" y="1068917"/>
            <a:ext cx="4214389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Receita de Arrecadação - Pessoa Física</a:t>
            </a:r>
          </a:p>
        </xdr:txBody>
      </xdr: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00000000-0008-0000-2200-000006000000}"/>
              </a:ext>
            </a:extLst>
          </xdr:cNvPr>
          <xdr:cNvCxnSpPr/>
        </xdr:nvCxnSpPr>
        <xdr:spPr>
          <a:xfrm>
            <a:off x="9123914" y="1566333"/>
            <a:ext cx="4211086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223599</xdr:colOff>
      <xdr:row>5</xdr:row>
      <xdr:rowOff>81342</xdr:rowOff>
    </xdr:from>
    <xdr:to>
      <xdr:col>4</xdr:col>
      <xdr:colOff>211667</xdr:colOff>
      <xdr:row>8</xdr:row>
      <xdr:rowOff>51516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GrpSpPr/>
      </xdr:nvGrpSpPr>
      <xdr:grpSpPr>
        <a:xfrm>
          <a:off x="223599" y="1599389"/>
          <a:ext cx="2409006" cy="535721"/>
          <a:chOff x="7926917" y="1026747"/>
          <a:chExt cx="3174401" cy="539586"/>
        </a:xfrm>
      </xdr:grpSpPr>
      <xdr:sp macro="" textlink="">
        <xdr:nvSpPr>
          <xdr:cNvPr id="8" name="CaixaDeTexto 7">
            <a:extLst>
              <a:ext uri="{FF2B5EF4-FFF2-40B4-BE49-F238E27FC236}">
                <a16:creationId xmlns:a16="http://schemas.microsoft.com/office/drawing/2014/main" id="{00000000-0008-0000-2200-000008000000}"/>
              </a:ext>
            </a:extLst>
          </xdr:cNvPr>
          <xdr:cNvSpPr txBox="1"/>
        </xdr:nvSpPr>
        <xdr:spPr>
          <a:xfrm>
            <a:off x="8049658" y="1026747"/>
            <a:ext cx="2935173" cy="4833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40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Filtros</a:t>
            </a:r>
          </a:p>
        </xdr:txBody>
      </xdr:sp>
      <xdr:cxnSp macro="">
        <xdr:nvCxnSpPr>
          <xdr:cNvPr id="9" name="Conector reto 8">
            <a:extLst>
              <a:ext uri="{FF2B5EF4-FFF2-40B4-BE49-F238E27FC236}">
                <a16:creationId xmlns:a16="http://schemas.microsoft.com/office/drawing/2014/main" id="{00000000-0008-0000-2200-000009000000}"/>
              </a:ext>
            </a:extLst>
          </xdr:cNvPr>
          <xdr:cNvCxnSpPr/>
        </xdr:nvCxnSpPr>
        <xdr:spPr>
          <a:xfrm>
            <a:off x="7926917" y="1566333"/>
            <a:ext cx="3174401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27</xdr:col>
      <xdr:colOff>245490</xdr:colOff>
      <xdr:row>1</xdr:row>
      <xdr:rowOff>78557</xdr:rowOff>
    </xdr:from>
    <xdr:to>
      <xdr:col>28</xdr:col>
      <xdr:colOff>579356</xdr:colOff>
      <xdr:row>4</xdr:row>
      <xdr:rowOff>68737</xdr:rowOff>
    </xdr:to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2200-00003D000000}"/>
            </a:ext>
          </a:extLst>
        </xdr:cNvPr>
        <xdr:cNvSpPr txBox="1"/>
      </xdr:nvSpPr>
      <xdr:spPr>
        <a:xfrm>
          <a:off x="16683480" y="844485"/>
          <a:ext cx="932861" cy="549896"/>
        </a:xfrm>
        <a:prstGeom prst="rect">
          <a:avLst/>
        </a:prstGeom>
        <a:solidFill>
          <a:srgbClr val="008F9A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200" b="1">
              <a:solidFill>
                <a:schemeClr val="bg1"/>
              </a:solidFill>
            </a:rPr>
            <a:t>80%</a:t>
          </a:r>
        </a:p>
      </xdr:txBody>
    </xdr:sp>
    <xdr:clientData/>
  </xdr:twoCellAnchor>
  <xdr:oneCellAnchor>
    <xdr:from>
      <xdr:col>28</xdr:col>
      <xdr:colOff>274948</xdr:colOff>
      <xdr:row>0</xdr:row>
      <xdr:rowOff>58918</xdr:rowOff>
    </xdr:from>
    <xdr:ext cx="1001595" cy="638510"/>
    <xdr:sp macro="" textlink="">
      <xdr:nvSpPr>
        <xdr:cNvPr id="40" name="CaixaDeTexto 39">
          <a:hlinkClick xmlns:r="http://schemas.openxmlformats.org/officeDocument/2006/relationships" r:id="rId3" tooltip="Voltar para a tela principal"/>
          <a:extLst>
            <a:ext uri="{FF2B5EF4-FFF2-40B4-BE49-F238E27FC236}">
              <a16:creationId xmlns:a16="http://schemas.microsoft.com/office/drawing/2014/main" id="{00000000-0008-0000-2200-000028000000}"/>
            </a:ext>
          </a:extLst>
        </xdr:cNvPr>
        <xdr:cNvSpPr txBox="1"/>
      </xdr:nvSpPr>
      <xdr:spPr>
        <a:xfrm>
          <a:off x="17311933" y="58918"/>
          <a:ext cx="1001595" cy="638510"/>
        </a:xfrm>
        <a:prstGeom prst="rect">
          <a:avLst/>
        </a:prstGeom>
        <a:solidFill>
          <a:srgbClr val="2A5664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400" b="1">
              <a:solidFill>
                <a:schemeClr val="bg1"/>
              </a:solidFill>
            </a:rPr>
            <a:t>Voltar</a:t>
          </a:r>
        </a:p>
      </xdr:txBody>
    </xdr:sp>
    <xdr:clientData/>
  </xdr:oneCellAnchor>
  <xdr:twoCellAnchor>
    <xdr:from>
      <xdr:col>22</xdr:col>
      <xdr:colOff>302494</xdr:colOff>
      <xdr:row>6</xdr:row>
      <xdr:rowOff>19017</xdr:rowOff>
    </xdr:from>
    <xdr:to>
      <xdr:col>28</xdr:col>
      <xdr:colOff>975845</xdr:colOff>
      <xdr:row>8</xdr:row>
      <xdr:rowOff>184443</xdr:rowOff>
    </xdr:to>
    <xdr:grpSp>
      <xdr:nvGrpSpPr>
        <xdr:cNvPr id="32" name="Grupo 31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GrpSpPr/>
      </xdr:nvGrpSpPr>
      <xdr:grpSpPr>
        <a:xfrm>
          <a:off x="13617650" y="1725580"/>
          <a:ext cx="4294836" cy="542457"/>
          <a:chOff x="13570183" y="1693333"/>
          <a:chExt cx="4345768" cy="546426"/>
        </a:xfrm>
      </xdr:grpSpPr>
      <xdr:sp macro="" textlink="">
        <xdr:nvSpPr>
          <xdr:cNvPr id="33" name="CaixaDeTexto 32">
            <a:extLst>
              <a:ext uri="{FF2B5EF4-FFF2-40B4-BE49-F238E27FC236}">
                <a16:creationId xmlns:a16="http://schemas.microsoft.com/office/drawing/2014/main" id="{00000000-0008-0000-2200-000021000000}"/>
              </a:ext>
            </a:extLst>
          </xdr:cNvPr>
          <xdr:cNvSpPr txBox="1"/>
        </xdr:nvSpPr>
        <xdr:spPr>
          <a:xfrm>
            <a:off x="13570183" y="1693333"/>
            <a:ext cx="4345768" cy="4895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ctr"/>
            <a:r>
              <a:rPr lang="pt-BR" sz="3200" cap="small" baseline="0">
                <a:solidFill>
                  <a:schemeClr val="bg1"/>
                </a:solidFill>
                <a:latin typeface="+mn-lt"/>
                <a:ea typeface="+mn-ea"/>
                <a:cs typeface="+mn-cs"/>
              </a:rPr>
              <a:t>Adimplência</a:t>
            </a:r>
          </a:p>
        </xdr:txBody>
      </xdr:sp>
      <xdr:cxnSp macro="">
        <xdr:nvCxnSpPr>
          <xdr:cNvPr id="34" name="Conector reto 33">
            <a:extLst>
              <a:ext uri="{FF2B5EF4-FFF2-40B4-BE49-F238E27FC236}">
                <a16:creationId xmlns:a16="http://schemas.microsoft.com/office/drawing/2014/main" id="{00000000-0008-0000-2200-000022000000}"/>
              </a:ext>
            </a:extLst>
          </xdr:cNvPr>
          <xdr:cNvCxnSpPr/>
        </xdr:nvCxnSpPr>
        <xdr:spPr>
          <a:xfrm>
            <a:off x="13907067" y="2239759"/>
            <a:ext cx="3672000" cy="0"/>
          </a:xfrm>
          <a:prstGeom prst="line">
            <a:avLst/>
          </a:prstGeom>
          <a:ln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153868</xdr:colOff>
      <xdr:row>5</xdr:row>
      <xdr:rowOff>148476</xdr:rowOff>
    </xdr:from>
    <xdr:to>
      <xdr:col>11</xdr:col>
      <xdr:colOff>564744</xdr:colOff>
      <xdr:row>36</xdr:row>
      <xdr:rowOff>255762</xdr:rowOff>
    </xdr:to>
    <xdr:grpSp>
      <xdr:nvGrpSpPr>
        <xdr:cNvPr id="22" name="Agrupar 21"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GrpSpPr/>
      </xdr:nvGrpSpPr>
      <xdr:grpSpPr>
        <a:xfrm>
          <a:off x="3180040" y="1666523"/>
          <a:ext cx="4042282" cy="5961192"/>
          <a:chOff x="3223035" y="1688351"/>
          <a:chExt cx="4093876" cy="6023369"/>
        </a:xfrm>
      </xdr:grpSpPr>
      <xdr:grpSp>
        <xdr:nvGrpSpPr>
          <xdr:cNvPr id="42" name="Grupo 41">
            <a:extLst>
              <a:ext uri="{FF2B5EF4-FFF2-40B4-BE49-F238E27FC236}">
                <a16:creationId xmlns:a16="http://schemas.microsoft.com/office/drawing/2014/main" id="{00000000-0008-0000-2200-00002A000000}"/>
              </a:ext>
            </a:extLst>
          </xdr:cNvPr>
          <xdr:cNvGrpSpPr/>
        </xdr:nvGrpSpPr>
        <xdr:grpSpPr>
          <a:xfrm>
            <a:off x="3326925" y="1688351"/>
            <a:ext cx="3842180" cy="591592"/>
            <a:chOff x="7926917" y="1026747"/>
            <a:chExt cx="3174401" cy="539586"/>
          </a:xfrm>
        </xdr:grpSpPr>
        <xdr:sp macro="" textlink="">
          <xdr:nvSpPr>
            <xdr:cNvPr id="43" name="CaixaDeTexto 42">
              <a:extLst>
                <a:ext uri="{FF2B5EF4-FFF2-40B4-BE49-F238E27FC236}">
                  <a16:creationId xmlns:a16="http://schemas.microsoft.com/office/drawing/2014/main" id="{00000000-0008-0000-2200-00002B000000}"/>
                </a:ext>
              </a:extLst>
            </xdr:cNvPr>
            <xdr:cNvSpPr txBox="1"/>
          </xdr:nvSpPr>
          <xdr:spPr>
            <a:xfrm>
              <a:off x="8049658" y="1026747"/>
              <a:ext cx="2935173" cy="48337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indent="0" algn="ctr"/>
              <a:r>
                <a:rPr lang="pt-BR" sz="3200" cap="small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rPr>
                <a:t>Exercício 2022</a:t>
              </a:r>
            </a:p>
          </xdr:txBody>
        </xdr:sp>
        <xdr:cxnSp macro="">
          <xdr:nvCxnSpPr>
            <xdr:cNvPr id="44" name="Conector reto 43">
              <a:extLst>
                <a:ext uri="{FF2B5EF4-FFF2-40B4-BE49-F238E27FC236}">
                  <a16:creationId xmlns:a16="http://schemas.microsoft.com/office/drawing/2014/main" id="{00000000-0008-0000-2200-00002C000000}"/>
                </a:ext>
              </a:extLst>
            </xdr:cNvPr>
            <xdr:cNvCxnSpPr/>
          </xdr:nvCxnSpPr>
          <xdr:spPr>
            <a:xfrm>
              <a:off x="7926917" y="1566333"/>
              <a:ext cx="3174401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16" name="Agrupar 15">
            <a:extLst>
              <a:ext uri="{FF2B5EF4-FFF2-40B4-BE49-F238E27FC236}">
                <a16:creationId xmlns:a16="http://schemas.microsoft.com/office/drawing/2014/main" id="{00000000-0008-0000-2200-000010000000}"/>
              </a:ext>
            </a:extLst>
          </xdr:cNvPr>
          <xdr:cNvGrpSpPr/>
        </xdr:nvGrpSpPr>
        <xdr:grpSpPr>
          <a:xfrm>
            <a:off x="3223035" y="2487084"/>
            <a:ext cx="4093876" cy="5224636"/>
            <a:chOff x="3223035" y="2487084"/>
            <a:chExt cx="4093876" cy="5224636"/>
          </a:xfrm>
        </xdr:grpSpPr>
        <xdr:grpSp>
          <xdr:nvGrpSpPr>
            <xdr:cNvPr id="15" name="Agrupar 14">
              <a:extLst>
                <a:ext uri="{FF2B5EF4-FFF2-40B4-BE49-F238E27FC236}">
                  <a16:creationId xmlns:a16="http://schemas.microsoft.com/office/drawing/2014/main" id="{00000000-0008-0000-2200-00000F000000}"/>
                </a:ext>
              </a:extLst>
            </xdr:cNvPr>
            <xdr:cNvGrpSpPr/>
          </xdr:nvGrpSpPr>
          <xdr:grpSpPr>
            <a:xfrm>
              <a:off x="5336911" y="2498273"/>
              <a:ext cx="1980000" cy="5213447"/>
              <a:chOff x="5336911" y="2498273"/>
              <a:chExt cx="1980000" cy="5213447"/>
            </a:xfrm>
          </xdr:grpSpPr>
          <xdr:sp macro="" textlink="'Dados - Receita e Qntd'!BT34">
            <xdr:nvSpPr>
              <xdr:cNvPr id="26" name="CaixaDeTexto 25">
                <a:extLst>
                  <a:ext uri="{FF2B5EF4-FFF2-40B4-BE49-F238E27FC236}">
                    <a16:creationId xmlns:a16="http://schemas.microsoft.com/office/drawing/2014/main" id="{00000000-0008-0000-2200-00001A000000}"/>
                  </a:ext>
                </a:extLst>
              </xdr:cNvPr>
              <xdr:cNvSpPr txBox="1"/>
            </xdr:nvSpPr>
            <xdr:spPr>
              <a:xfrm>
                <a:off x="5336911" y="2498273"/>
                <a:ext cx="1980000" cy="1152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8DEFB839-C594-4A8E-BF28-0B6409D979C2}" type="TxLink">
                  <a:rPr lang="en-US" sz="2200" b="1" i="0" u="none" strike="noStrike">
                    <a:solidFill>
                      <a:sysClr val="windowText" lastClr="000000"/>
                    </a:solidFill>
                    <a:effectLst/>
                    <a:latin typeface="Calibri"/>
                    <a:ea typeface="+mn-ea"/>
                    <a:cs typeface="Calibri"/>
                  </a:rPr>
                  <a:pPr marL="0" indent="0" algn="ctr"/>
                  <a:t> R$ 50.606.882 </a:t>
                </a:fld>
                <a:endParaRPr lang="pt-BR" sz="2200" b="1" i="0" u="none" strike="noStrike">
                  <a:solidFill>
                    <a:sysClr val="windowText" lastClr="000000"/>
                  </a:solidFill>
                  <a:effectLst/>
                  <a:latin typeface="Calibri"/>
                  <a:ea typeface="+mn-ea"/>
                  <a:cs typeface="Calibri"/>
                </a:endParaRPr>
              </a:p>
            </xdr:txBody>
          </xdr:sp>
          <xdr:sp macro="" textlink="'Dados - Receita e Qntd'!BT35">
            <xdr:nvSpPr>
              <xdr:cNvPr id="27" name="CaixaDeTexto 26">
                <a:extLst>
                  <a:ext uri="{FF2B5EF4-FFF2-40B4-BE49-F238E27FC236}">
                    <a16:creationId xmlns:a16="http://schemas.microsoft.com/office/drawing/2014/main" id="{00000000-0008-0000-2200-00001B000000}"/>
                  </a:ext>
                </a:extLst>
              </xdr:cNvPr>
              <xdr:cNvSpPr txBox="1"/>
            </xdr:nvSpPr>
            <xdr:spPr>
              <a:xfrm>
                <a:off x="5336911" y="3860025"/>
                <a:ext cx="1980000" cy="1152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D109AC68-D666-4754-AC3C-B619E90B928D}" type="TxLink">
                  <a:rPr lang="en-US" sz="2200" b="1" i="0" u="none" strike="noStrike">
                    <a:solidFill>
                      <a:sysClr val="windowText" lastClr="000000"/>
                    </a:solidFill>
                    <a:effectLst/>
                    <a:latin typeface="Calibri"/>
                    <a:ea typeface="+mn-ea"/>
                    <a:cs typeface="Calibri"/>
                  </a:rPr>
                  <a:pPr marL="0" indent="0" algn="ctr"/>
                  <a:t> R$ 54.356.182 </a:t>
                </a:fld>
                <a:endParaRPr lang="pt-BR" sz="2200" b="1" i="0" u="none" strike="noStrike">
                  <a:solidFill>
                    <a:sysClr val="windowText" lastClr="000000"/>
                  </a:solidFill>
                  <a:effectLst/>
                  <a:latin typeface="Calibri"/>
                  <a:ea typeface="+mn-ea"/>
                  <a:cs typeface="Calibri"/>
                </a:endParaRPr>
              </a:p>
            </xdr:txBody>
          </xdr:sp>
          <xdr:sp macro="" textlink="'Dados - Receita e Qntd'!BT36">
            <xdr:nvSpPr>
              <xdr:cNvPr id="29" name="CaixaDeTexto 28">
                <a:extLst>
                  <a:ext uri="{FF2B5EF4-FFF2-40B4-BE49-F238E27FC236}">
                    <a16:creationId xmlns:a16="http://schemas.microsoft.com/office/drawing/2014/main" id="{00000000-0008-0000-2200-00001D000000}"/>
                  </a:ext>
                </a:extLst>
              </xdr:cNvPr>
              <xdr:cNvSpPr txBox="1"/>
            </xdr:nvSpPr>
            <xdr:spPr>
              <a:xfrm>
                <a:off x="5336911" y="5209872"/>
                <a:ext cx="1980000" cy="1152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93F66289-ACC3-4C28-B7ED-F2222141B8B4}" type="TxLink">
                  <a:rPr lang="en-US" sz="2200" b="1" i="0" u="none" strike="noStrike">
                    <a:solidFill>
                      <a:sysClr val="windowText" lastClr="000000"/>
                    </a:solidFill>
                    <a:effectLst/>
                    <a:latin typeface="Calibri"/>
                    <a:ea typeface="+mn-ea"/>
                    <a:cs typeface="Calibri"/>
                  </a:rPr>
                  <a:pPr marL="0" indent="0" algn="ctr"/>
                  <a:t>93,1%</a:t>
                </a:fld>
                <a:endParaRPr lang="pt-BR" sz="2200" b="1" i="0" u="none" strike="noStrike">
                  <a:solidFill>
                    <a:sysClr val="windowText" lastClr="000000"/>
                  </a:solidFill>
                  <a:effectLst/>
                  <a:latin typeface="Calibri"/>
                  <a:ea typeface="+mn-ea"/>
                  <a:cs typeface="Calibri"/>
                </a:endParaRPr>
              </a:p>
            </xdr:txBody>
          </xdr:sp>
          <xdr:sp macro="" textlink="'Dados - Receita e Qntd'!BT81">
            <xdr:nvSpPr>
              <xdr:cNvPr id="37" name="CaixaDeTexto 36">
                <a:extLst>
                  <a:ext uri="{FF2B5EF4-FFF2-40B4-BE49-F238E27FC236}">
                    <a16:creationId xmlns:a16="http://schemas.microsoft.com/office/drawing/2014/main" id="{00000000-0008-0000-2200-000025000000}"/>
                  </a:ext>
                </a:extLst>
              </xdr:cNvPr>
              <xdr:cNvSpPr txBox="1"/>
            </xdr:nvSpPr>
            <xdr:spPr>
              <a:xfrm>
                <a:off x="5336911" y="6559720"/>
                <a:ext cx="1980000" cy="1152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539EB6A1-8964-4D5B-B0CC-82D41EE3240F}" type="TxLink">
                  <a:rPr lang="en-US" sz="2200" b="1" i="0" u="none" strike="noStrike">
                    <a:solidFill>
                      <a:sysClr val="windowText" lastClr="000000"/>
                    </a:solidFill>
                    <a:effectLst/>
                    <a:latin typeface="Calibri"/>
                    <a:ea typeface="+mn-ea"/>
                    <a:cs typeface="Calibri"/>
                  </a:rPr>
                  <a:pPr marL="0" indent="0" algn="ctr"/>
                  <a:t>13,2%</a:t>
                </a:fld>
                <a:endParaRPr lang="pt-BR" sz="2200" b="1" i="0" u="none" strike="noStrike">
                  <a:solidFill>
                    <a:sysClr val="windowText" lastClr="000000"/>
                  </a:solidFill>
                  <a:effectLst/>
                  <a:latin typeface="Calibri"/>
                  <a:ea typeface="+mn-ea"/>
                  <a:cs typeface="Calibri"/>
                </a:endParaRPr>
              </a:p>
            </xdr:txBody>
          </xdr:sp>
        </xdr:grpSp>
        <xdr:sp macro="" textlink="">
          <xdr:nvSpPr>
            <xdr:cNvPr id="54" name="CaixaDeTexto 53">
              <a:extLst>
                <a:ext uri="{FF2B5EF4-FFF2-40B4-BE49-F238E27FC236}">
                  <a16:creationId xmlns:a16="http://schemas.microsoft.com/office/drawing/2014/main" id="{00000000-0008-0000-2200-000036000000}"/>
                </a:ext>
              </a:extLst>
            </xdr:cNvPr>
            <xdr:cNvSpPr txBox="1"/>
          </xdr:nvSpPr>
          <xdr:spPr>
            <a:xfrm>
              <a:off x="3223035" y="5201202"/>
              <a:ext cx="1836000" cy="115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24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Execução</a:t>
              </a:r>
            </a:p>
          </xdr:txBody>
        </xdr:sp>
        <xdr:sp macro="" textlink="">
          <xdr:nvSpPr>
            <xdr:cNvPr id="56" name="CaixaDeTexto 55">
              <a:extLst>
                <a:ext uri="{FF2B5EF4-FFF2-40B4-BE49-F238E27FC236}">
                  <a16:creationId xmlns:a16="http://schemas.microsoft.com/office/drawing/2014/main" id="{00000000-0008-0000-2200-000038000000}"/>
                </a:ext>
              </a:extLst>
            </xdr:cNvPr>
            <xdr:cNvSpPr txBox="1"/>
          </xdr:nvSpPr>
          <xdr:spPr>
            <a:xfrm>
              <a:off x="3223035" y="3844143"/>
              <a:ext cx="1836000" cy="115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24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Previsto</a:t>
              </a:r>
            </a:p>
          </xdr:txBody>
        </xdr:sp>
        <xdr:sp macro="" textlink="">
          <xdr:nvSpPr>
            <xdr:cNvPr id="57" name="CaixaDeTexto 56">
              <a:extLst>
                <a:ext uri="{FF2B5EF4-FFF2-40B4-BE49-F238E27FC236}">
                  <a16:creationId xmlns:a16="http://schemas.microsoft.com/office/drawing/2014/main" id="{00000000-0008-0000-2200-000039000000}"/>
                </a:ext>
              </a:extLst>
            </xdr:cNvPr>
            <xdr:cNvSpPr txBox="1"/>
          </xdr:nvSpPr>
          <xdr:spPr>
            <a:xfrm>
              <a:off x="3223035" y="2487084"/>
              <a:ext cx="1836000" cy="115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24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Executado</a:t>
              </a:r>
            </a:p>
          </xdr:txBody>
        </xdr:sp>
        <xdr:sp macro="" textlink="">
          <xdr:nvSpPr>
            <xdr:cNvPr id="58" name="CaixaDeTexto 57">
              <a:extLst>
                <a:ext uri="{FF2B5EF4-FFF2-40B4-BE49-F238E27FC236}">
                  <a16:creationId xmlns:a16="http://schemas.microsoft.com/office/drawing/2014/main" id="{00000000-0008-0000-2200-00003A000000}"/>
                </a:ext>
              </a:extLst>
            </xdr:cNvPr>
            <xdr:cNvSpPr txBox="1"/>
          </xdr:nvSpPr>
          <xdr:spPr>
            <a:xfrm>
              <a:off x="3223035" y="6558262"/>
              <a:ext cx="1836000" cy="1152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22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Variação</a:t>
              </a:r>
              <a:r>
                <a:rPr lang="pt-BR" sz="2200" b="1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22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frente</a:t>
              </a:r>
              <a:r>
                <a:rPr lang="pt-BR" sz="2200" b="1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22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a</a:t>
              </a:r>
              <a:r>
                <a:rPr lang="pt-BR" sz="2200" b="1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2200" b="1" cap="none" spc="50">
                  <a:ln w="9525" cmpd="sng">
                    <a:noFill/>
                    <a:prstDash val="solid"/>
                  </a:ln>
                  <a:solidFill>
                    <a:srgbClr val="70AD47">
                      <a:tint val="1000"/>
                    </a:srgbClr>
                  </a:solidFill>
                  <a:effectLst>
                    <a:outerShdw blurRad="63500" sx="102000" sy="102000" algn="ctr" rotWithShape="0">
                      <a:prstClr val="black">
                        <a:alpha val="40000"/>
                      </a:prstClr>
                    </a:outerShdw>
                  </a:effectLst>
                  <a:latin typeface="+mn-lt"/>
                  <a:ea typeface="+mn-ea"/>
                  <a:cs typeface="+mn-cs"/>
                </a:rPr>
                <a:t>2021</a:t>
              </a:r>
            </a:p>
          </xdr:txBody>
        </xdr:sp>
      </xdr:grpSp>
    </xdr:grpSp>
    <xdr:clientData/>
  </xdr:twoCellAnchor>
  <xdr:twoCellAnchor>
    <xdr:from>
      <xdr:col>12</xdr:col>
      <xdr:colOff>503118</xdr:colOff>
      <xdr:row>5</xdr:row>
      <xdr:rowOff>165004</xdr:rowOff>
    </xdr:from>
    <xdr:to>
      <xdr:col>22</xdr:col>
      <xdr:colOff>34141</xdr:colOff>
      <xdr:row>36</xdr:row>
      <xdr:rowOff>250267</xdr:rowOff>
    </xdr:to>
    <xdr:grpSp>
      <xdr:nvGrpSpPr>
        <xdr:cNvPr id="21" name="Agrupar 20"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GrpSpPr/>
      </xdr:nvGrpSpPr>
      <xdr:grpSpPr>
        <a:xfrm>
          <a:off x="7765931" y="1683051"/>
          <a:ext cx="5583366" cy="5939169"/>
          <a:chOff x="7869118" y="1689004"/>
          <a:chExt cx="5669356" cy="6001346"/>
        </a:xfrm>
      </xdr:grpSpPr>
      <xdr:grpSp>
        <xdr:nvGrpSpPr>
          <xdr:cNvPr id="18" name="Agrupar 17">
            <a:extLst>
              <a:ext uri="{FF2B5EF4-FFF2-40B4-BE49-F238E27FC236}">
                <a16:creationId xmlns:a16="http://schemas.microsoft.com/office/drawing/2014/main" id="{00000000-0008-0000-2200-000012000000}"/>
              </a:ext>
            </a:extLst>
          </xdr:cNvPr>
          <xdr:cNvGrpSpPr/>
        </xdr:nvGrpSpPr>
        <xdr:grpSpPr>
          <a:xfrm>
            <a:off x="8202193" y="1689004"/>
            <a:ext cx="4758066" cy="590939"/>
            <a:chOff x="8202193" y="1689004"/>
            <a:chExt cx="4758066" cy="590939"/>
          </a:xfrm>
        </xdr:grpSpPr>
        <xdr:grpSp>
          <xdr:nvGrpSpPr>
            <xdr:cNvPr id="50" name="Grupo 49">
              <a:extLst>
                <a:ext uri="{FF2B5EF4-FFF2-40B4-BE49-F238E27FC236}">
                  <a16:creationId xmlns:a16="http://schemas.microsoft.com/office/drawing/2014/main" id="{00000000-0008-0000-2200-000032000000}"/>
                </a:ext>
              </a:extLst>
            </xdr:cNvPr>
            <xdr:cNvGrpSpPr/>
          </xdr:nvGrpSpPr>
          <xdr:grpSpPr>
            <a:xfrm>
              <a:off x="8202193" y="1689004"/>
              <a:ext cx="4758066" cy="590939"/>
              <a:chOff x="7926917" y="1026747"/>
              <a:chExt cx="3174401" cy="539586"/>
            </a:xfrm>
          </xdr:grpSpPr>
          <xdr:sp macro="" textlink="">
            <xdr:nvSpPr>
              <xdr:cNvPr id="51" name="CaixaDeTexto 50">
                <a:extLst>
                  <a:ext uri="{FF2B5EF4-FFF2-40B4-BE49-F238E27FC236}">
                    <a16:creationId xmlns:a16="http://schemas.microsoft.com/office/drawing/2014/main" id="{00000000-0008-0000-2200-000033000000}"/>
                  </a:ext>
                </a:extLst>
              </xdr:cNvPr>
              <xdr:cNvSpPr txBox="1"/>
            </xdr:nvSpPr>
            <xdr:spPr>
              <a:xfrm>
                <a:off x="8049658" y="1026747"/>
                <a:ext cx="2935173" cy="483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r>
                  <a:rPr lang="pt-BR" sz="3200" cap="small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rPr>
                  <a:t>Exercícios Anteriores</a:t>
                </a:r>
              </a:p>
            </xdr:txBody>
          </xdr:sp>
          <xdr:cxnSp macro="">
            <xdr:nvCxnSpPr>
              <xdr:cNvPr id="52" name="Conector reto 51">
                <a:extLst>
                  <a:ext uri="{FF2B5EF4-FFF2-40B4-BE49-F238E27FC236}">
                    <a16:creationId xmlns:a16="http://schemas.microsoft.com/office/drawing/2014/main" id="{00000000-0008-0000-2200-000034000000}"/>
                  </a:ext>
                </a:extLst>
              </xdr:cNvPr>
              <xdr:cNvCxnSpPr/>
            </xdr:nvCxnSpPr>
            <xdr:spPr>
              <a:xfrm>
                <a:off x="7926917" y="1566333"/>
                <a:ext cx="3174401" cy="0"/>
              </a:xfrm>
              <a:prstGeom prst="line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</xdr:cxnSp>
        </xdr:grpSp>
        <xdr:cxnSp macro="">
          <xdr:nvCxnSpPr>
            <xdr:cNvPr id="53" name="Conector reto 52">
              <a:extLst>
                <a:ext uri="{FF2B5EF4-FFF2-40B4-BE49-F238E27FC236}">
                  <a16:creationId xmlns:a16="http://schemas.microsoft.com/office/drawing/2014/main" id="{00000000-0008-0000-2200-000035000000}"/>
                </a:ext>
              </a:extLst>
            </xdr:cNvPr>
            <xdr:cNvCxnSpPr/>
          </xdr:nvCxnSpPr>
          <xdr:spPr>
            <a:xfrm>
              <a:off x="8650207" y="2271088"/>
              <a:ext cx="3842180" cy="0"/>
            </a:xfrm>
            <a:prstGeom prst="line">
              <a:avLst/>
            </a:prstGeom>
            <a:ln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20" name="Agrupar 19">
            <a:extLst>
              <a:ext uri="{FF2B5EF4-FFF2-40B4-BE49-F238E27FC236}">
                <a16:creationId xmlns:a16="http://schemas.microsoft.com/office/drawing/2014/main" id="{00000000-0008-0000-2200-000014000000}"/>
              </a:ext>
            </a:extLst>
          </xdr:cNvPr>
          <xdr:cNvGrpSpPr/>
        </xdr:nvGrpSpPr>
        <xdr:grpSpPr>
          <a:xfrm>
            <a:off x="7869118" y="2495634"/>
            <a:ext cx="5669356" cy="5194716"/>
            <a:chOff x="7869118" y="2495634"/>
            <a:chExt cx="5669356" cy="5194716"/>
          </a:xfrm>
        </xdr:grpSpPr>
        <xdr:grpSp>
          <xdr:nvGrpSpPr>
            <xdr:cNvPr id="17" name="Agrupar 16">
              <a:extLst>
                <a:ext uri="{FF2B5EF4-FFF2-40B4-BE49-F238E27FC236}">
                  <a16:creationId xmlns:a16="http://schemas.microsoft.com/office/drawing/2014/main" id="{00000000-0008-0000-2200-000011000000}"/>
                </a:ext>
              </a:extLst>
            </xdr:cNvPr>
            <xdr:cNvGrpSpPr/>
          </xdr:nvGrpSpPr>
          <xdr:grpSpPr>
            <a:xfrm>
              <a:off x="10838474" y="2497667"/>
              <a:ext cx="2700000" cy="5192683"/>
              <a:chOff x="10838474" y="2497667"/>
              <a:chExt cx="2700000" cy="5192683"/>
            </a:xfrm>
          </xdr:grpSpPr>
          <xdr:sp macro="" textlink="'Dados - Receita e Qntd'!BT38">
            <xdr:nvSpPr>
              <xdr:cNvPr id="47" name="CaixaDeTexto 46">
                <a:extLst>
                  <a:ext uri="{FF2B5EF4-FFF2-40B4-BE49-F238E27FC236}">
                    <a16:creationId xmlns:a16="http://schemas.microsoft.com/office/drawing/2014/main" id="{00000000-0008-0000-2200-00002F000000}"/>
                  </a:ext>
                </a:extLst>
              </xdr:cNvPr>
              <xdr:cNvSpPr txBox="1"/>
            </xdr:nvSpPr>
            <xdr:spPr>
              <a:xfrm>
                <a:off x="10838474" y="4320008"/>
                <a:ext cx="2700000" cy="1548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0F67332A-CB7C-4E40-8341-CC2633649B1A}" type="TxLink">
                  <a:rPr lang="en-US" sz="3200" b="1" i="0" u="none" strike="noStrike">
                    <a:solidFill>
                      <a:sysClr val="windowText" lastClr="000000"/>
                    </a:solidFill>
                    <a:effectLst/>
                    <a:latin typeface="Calibri"/>
                    <a:ea typeface="+mn-ea"/>
                    <a:cs typeface="Calibri"/>
                  </a:rPr>
                  <a:pPr marL="0" indent="0" algn="ctr"/>
                  <a:t> R$ 13.422.754 </a:t>
                </a:fld>
                <a:endParaRPr lang="pt-BR" sz="3200" b="1" i="0" u="none" strike="noStrike">
                  <a:solidFill>
                    <a:sysClr val="windowText" lastClr="000000"/>
                  </a:solidFill>
                  <a:effectLst/>
                  <a:latin typeface="Calibri"/>
                  <a:ea typeface="+mn-ea"/>
                  <a:cs typeface="Calibri"/>
                </a:endParaRPr>
              </a:p>
            </xdr:txBody>
          </xdr:sp>
          <xdr:sp macro="" textlink="'Dados - Receita e Qntd'!BT37">
            <xdr:nvSpPr>
              <xdr:cNvPr id="48" name="CaixaDeTexto 47">
                <a:extLst>
                  <a:ext uri="{FF2B5EF4-FFF2-40B4-BE49-F238E27FC236}">
                    <a16:creationId xmlns:a16="http://schemas.microsoft.com/office/drawing/2014/main" id="{00000000-0008-0000-2200-000030000000}"/>
                  </a:ext>
                </a:extLst>
              </xdr:cNvPr>
              <xdr:cNvSpPr txBox="1"/>
            </xdr:nvSpPr>
            <xdr:spPr>
              <a:xfrm>
                <a:off x="10838474" y="2497667"/>
                <a:ext cx="2700000" cy="1548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B295AA25-095E-49A7-8A08-081792BF6835}" type="TxLink">
                  <a:rPr lang="en-US" sz="3200" b="1" i="0" u="none" strike="noStrike">
                    <a:solidFill>
                      <a:sysClr val="windowText" lastClr="000000"/>
                    </a:solidFill>
                    <a:effectLst/>
                    <a:latin typeface="Calibri"/>
                    <a:ea typeface="+mn-ea"/>
                    <a:cs typeface="Calibri"/>
                  </a:rPr>
                  <a:pPr marL="0" indent="0" algn="ctr"/>
                  <a:t> R$ 10.952.711 </a:t>
                </a:fld>
                <a:endParaRPr lang="pt-BR" sz="3200" b="1" i="0" u="none" strike="noStrike">
                  <a:solidFill>
                    <a:sysClr val="windowText" lastClr="000000"/>
                  </a:solidFill>
                  <a:effectLst/>
                  <a:latin typeface="Calibri"/>
                  <a:ea typeface="+mn-ea"/>
                  <a:cs typeface="Calibri"/>
                </a:endParaRPr>
              </a:p>
            </xdr:txBody>
          </xdr:sp>
          <xdr:sp macro="" textlink="'Dados - Receita e Qntd'!BT39">
            <xdr:nvSpPr>
              <xdr:cNvPr id="49" name="CaixaDeTexto 48">
                <a:extLst>
                  <a:ext uri="{FF2B5EF4-FFF2-40B4-BE49-F238E27FC236}">
                    <a16:creationId xmlns:a16="http://schemas.microsoft.com/office/drawing/2014/main" id="{00000000-0008-0000-2200-000031000000}"/>
                  </a:ext>
                </a:extLst>
              </xdr:cNvPr>
              <xdr:cNvSpPr txBox="1"/>
            </xdr:nvSpPr>
            <xdr:spPr>
              <a:xfrm>
                <a:off x="10838474" y="6142350"/>
                <a:ext cx="2700000" cy="1548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indent="0" algn="ctr"/>
                <a:fld id="{F5846D21-B4B5-4776-B2AE-E363F4C9701A}" type="TxLink">
                  <a:rPr lang="en-US" sz="3200" b="1" i="0" u="none" strike="noStrike">
                    <a:solidFill>
                      <a:sysClr val="windowText" lastClr="000000"/>
                    </a:solidFill>
                    <a:effectLst/>
                    <a:latin typeface="Calibri"/>
                    <a:ea typeface="+mn-ea"/>
                    <a:cs typeface="Calibri"/>
                  </a:rPr>
                  <a:pPr marL="0" indent="0" algn="ctr"/>
                  <a:t>81,6%</a:t>
                </a:fld>
                <a:endParaRPr lang="pt-BR" sz="3200" b="1" i="0" u="none" strike="noStrike">
                  <a:solidFill>
                    <a:sysClr val="windowText" lastClr="000000"/>
                  </a:solidFill>
                  <a:effectLst/>
                  <a:latin typeface="Calibri"/>
                  <a:ea typeface="+mn-ea"/>
                  <a:cs typeface="Calibri"/>
                </a:endParaRPr>
              </a:p>
            </xdr:txBody>
          </xdr:sp>
        </xdr:grpSp>
        <xdr:grpSp>
          <xdr:nvGrpSpPr>
            <xdr:cNvPr id="19" name="Agrupar 18">
              <a:extLst>
                <a:ext uri="{FF2B5EF4-FFF2-40B4-BE49-F238E27FC236}">
                  <a16:creationId xmlns:a16="http://schemas.microsoft.com/office/drawing/2014/main" id="{00000000-0008-0000-2200-000013000000}"/>
                </a:ext>
              </a:extLst>
            </xdr:cNvPr>
            <xdr:cNvGrpSpPr/>
          </xdr:nvGrpSpPr>
          <xdr:grpSpPr>
            <a:xfrm>
              <a:off x="7869118" y="2495634"/>
              <a:ext cx="2664000" cy="5193449"/>
              <a:chOff x="7869118" y="2495634"/>
              <a:chExt cx="2664000" cy="5193449"/>
            </a:xfrm>
          </xdr:grpSpPr>
          <xdr:sp macro="" textlink="">
            <xdr:nvSpPr>
              <xdr:cNvPr id="59" name="CaixaDeTexto 58">
                <a:extLst>
                  <a:ext uri="{FF2B5EF4-FFF2-40B4-BE49-F238E27FC236}">
                    <a16:creationId xmlns:a16="http://schemas.microsoft.com/office/drawing/2014/main" id="{00000000-0008-0000-2200-00003B000000}"/>
                  </a:ext>
                </a:extLst>
              </xdr:cNvPr>
              <xdr:cNvSpPr txBox="1"/>
            </xdr:nvSpPr>
            <xdr:spPr>
              <a:xfrm>
                <a:off x="7869118" y="6141083"/>
                <a:ext cx="2664000" cy="1548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pt-BR" sz="3200" b="1" cap="none" spc="50">
                    <a:ln w="9525" cmpd="sng">
                      <a:noFill/>
                      <a:prstDash val="solid"/>
                    </a:ln>
                    <a:solidFill>
                      <a:srgbClr val="70AD47">
                        <a:tint val="1000"/>
                      </a:srgbClr>
                    </a:solidFill>
                    <a:effectLst>
                      <a:outerShdw blurRad="63500" sx="102000" sy="102000" algn="ctr" rotWithShape="0">
                        <a:prstClr val="black">
                          <a:alpha val="40000"/>
                        </a:prstClr>
                      </a:outerShdw>
                    </a:effectLst>
                    <a:latin typeface="+mn-lt"/>
                    <a:ea typeface="+mn-ea"/>
                    <a:cs typeface="+mn-cs"/>
                  </a:rPr>
                  <a:t>Execução</a:t>
                </a:r>
              </a:p>
            </xdr:txBody>
          </xdr:sp>
          <xdr:sp macro="" textlink="">
            <xdr:nvSpPr>
              <xdr:cNvPr id="60" name="CaixaDeTexto 59">
                <a:extLst>
                  <a:ext uri="{FF2B5EF4-FFF2-40B4-BE49-F238E27FC236}">
                    <a16:creationId xmlns:a16="http://schemas.microsoft.com/office/drawing/2014/main" id="{00000000-0008-0000-2200-00003C000000}"/>
                  </a:ext>
                </a:extLst>
              </xdr:cNvPr>
              <xdr:cNvSpPr txBox="1"/>
            </xdr:nvSpPr>
            <xdr:spPr>
              <a:xfrm>
                <a:off x="7869118" y="4318359"/>
                <a:ext cx="2664000" cy="1548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pt-BR" sz="3200" b="1" cap="none" spc="50">
                    <a:ln w="9525" cmpd="sng">
                      <a:noFill/>
                      <a:prstDash val="solid"/>
                    </a:ln>
                    <a:solidFill>
                      <a:srgbClr val="70AD47">
                        <a:tint val="1000"/>
                      </a:srgbClr>
                    </a:solidFill>
                    <a:effectLst>
                      <a:outerShdw blurRad="63500" sx="102000" sy="102000" algn="ctr" rotWithShape="0">
                        <a:prstClr val="black">
                          <a:alpha val="40000"/>
                        </a:prstClr>
                      </a:outerShdw>
                    </a:effectLst>
                    <a:latin typeface="+mn-lt"/>
                    <a:ea typeface="+mn-ea"/>
                    <a:cs typeface="+mn-cs"/>
                  </a:rPr>
                  <a:t>Previsto</a:t>
                </a:r>
              </a:p>
            </xdr:txBody>
          </xdr:sp>
          <xdr:sp macro="" textlink="">
            <xdr:nvSpPr>
              <xdr:cNvPr id="62" name="CaixaDeTexto 61">
                <a:extLst>
                  <a:ext uri="{FF2B5EF4-FFF2-40B4-BE49-F238E27FC236}">
                    <a16:creationId xmlns:a16="http://schemas.microsoft.com/office/drawing/2014/main" id="{00000000-0008-0000-2200-00003E000000}"/>
                  </a:ext>
                </a:extLst>
              </xdr:cNvPr>
              <xdr:cNvSpPr txBox="1"/>
            </xdr:nvSpPr>
            <xdr:spPr>
              <a:xfrm>
                <a:off x="7869118" y="2495634"/>
                <a:ext cx="2664000" cy="15480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pt-BR" sz="3200" b="1" cap="none" spc="50">
                    <a:ln w="9525" cmpd="sng">
                      <a:noFill/>
                      <a:prstDash val="solid"/>
                    </a:ln>
                    <a:solidFill>
                      <a:srgbClr val="70AD47">
                        <a:tint val="1000"/>
                      </a:srgbClr>
                    </a:solidFill>
                    <a:effectLst>
                      <a:outerShdw blurRad="63500" sx="102000" sy="102000" algn="ctr" rotWithShape="0">
                        <a:prstClr val="black">
                          <a:alpha val="40000"/>
                        </a:prstClr>
                      </a:outerShdw>
                    </a:effectLst>
                    <a:latin typeface="+mn-lt"/>
                    <a:ea typeface="+mn-ea"/>
                    <a:cs typeface="+mn-cs"/>
                  </a:rPr>
                  <a:t>Executado</a:t>
                </a:r>
              </a:p>
            </xdr:txBody>
          </xdr:sp>
        </xdr:grpSp>
      </xdr:grpSp>
    </xdr:grpSp>
    <xdr:clientData/>
  </xdr:twoCellAnchor>
  <xdr:twoCellAnchor>
    <xdr:from>
      <xdr:col>0</xdr:col>
      <xdr:colOff>11906</xdr:colOff>
      <xdr:row>0</xdr:row>
      <xdr:rowOff>744140</xdr:rowOff>
    </xdr:from>
    <xdr:to>
      <xdr:col>29</xdr:col>
      <xdr:colOff>0</xdr:colOff>
      <xdr:row>36</xdr:row>
      <xdr:rowOff>690561</xdr:rowOff>
    </xdr:to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2200-00003F000000}"/>
            </a:ext>
          </a:extLst>
        </xdr:cNvPr>
        <xdr:cNvSpPr txBox="1"/>
      </xdr:nvSpPr>
      <xdr:spPr>
        <a:xfrm>
          <a:off x="11906" y="744140"/>
          <a:ext cx="18633282" cy="73759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BR" sz="1100"/>
        </a:p>
      </xdr:txBody>
    </xdr:sp>
    <xdr:clientData/>
  </xdr:twoCellAnchor>
  <xdr:twoCellAnchor editAs="oneCell">
    <xdr:from>
      <xdr:col>0</xdr:col>
      <xdr:colOff>245489</xdr:colOff>
      <xdr:row>9</xdr:row>
      <xdr:rowOff>95493</xdr:rowOff>
    </xdr:from>
    <xdr:to>
      <xdr:col>4</xdr:col>
      <xdr:colOff>216031</xdr:colOff>
      <xdr:row>35</xdr:row>
      <xdr:rowOff>95493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UF 2">
              <a:extLst>
                <a:ext uri="{FF2B5EF4-FFF2-40B4-BE49-F238E27FC236}">
                  <a16:creationId xmlns:a16="http://schemas.microsoft.com/office/drawing/2014/main" id="{00000000-0008-0000-2200-00001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489" y="2415685"/>
              <a:ext cx="2412850" cy="5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472933</xdr:colOff>
          <xdr:row>9</xdr:row>
          <xdr:rowOff>79375</xdr:rowOff>
        </xdr:from>
        <xdr:to>
          <xdr:col>28</xdr:col>
          <xdr:colOff>199084</xdr:colOff>
          <xdr:row>37</xdr:row>
          <xdr:rowOff>0</xdr:rowOff>
        </xdr:to>
        <xdr:pic>
          <xdr:nvPicPr>
            <xdr:cNvPr id="71" name="Imagem 70">
              <a:extLst>
                <a:ext uri="{FF2B5EF4-FFF2-40B4-BE49-F238E27FC236}">
                  <a16:creationId xmlns:a16="http://schemas.microsoft.com/office/drawing/2014/main" id="{00000000-0008-0000-2200-00004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ADIMPLÊNCIA PF'!$Q$3:$S$31" spid="_x0000_s478500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4483543" y="2349869"/>
              <a:ext cx="2760861" cy="571315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arcos Cristino" id="{C04F7575-3164-44C0-8C8C-4BA338781F34}" userId="458e55cc1ad1eb92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cos Cristino de Oliveira" refreshedDate="44813.657375462964" createdVersion="6" refreshedVersion="6" minRefreshableVersion="3" recordCount="864">
  <cacheSource type="worksheet">
    <worksheetSource ref="A1:C865" sheet="BD_RRT"/>
  </cacheSource>
  <cacheFields count="5">
    <cacheField name="UF" numFmtId="0">
      <sharedItems count="27">
        <s v="AC"/>
        <s v="AL"/>
        <s v="AM"/>
        <s v="AP"/>
        <s v="BA"/>
        <s v="CE"/>
        <s v="DF"/>
        <s v="ES"/>
        <s v="GO"/>
        <s v="MA"/>
        <s v="MG"/>
        <s v="MS"/>
        <s v="MT"/>
        <s v="PA"/>
        <s v="PB"/>
        <s v="PE"/>
        <s v="PI"/>
        <s v="PR"/>
        <s v="RJ"/>
        <s v="RN"/>
        <s v="RO"/>
        <s v="RR"/>
        <s v="RS"/>
        <s v="SC"/>
        <s v="SE"/>
        <s v="SP"/>
        <s v="TO"/>
      </sharedItems>
    </cacheField>
    <cacheField name="Data" numFmtId="176">
      <sharedItems containsSemiMixedTypes="0" containsNonDate="0" containsDate="1" containsString="0" minDate="2020-01-01T00:00:00" maxDate="2022-08-28T00:00:00" count="786">
        <d v="2020-01-0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7T00:00:00"/>
        <d v="2020-11-01T00:00:00"/>
        <d v="2020-11-02T00:00:00"/>
        <d v="2020-11-03T00:00:00"/>
        <d v="2020-11-04T00:00:00"/>
        <d v="2020-11-05T00:00:00"/>
        <d v="2020-11-06T00:00:00"/>
        <d v="2020-11-07T00:00:00"/>
        <d v="2020-11-08T00:00:00"/>
        <d v="2020-11-09T00:00:00"/>
        <d v="2020-11-10T00:00:00"/>
        <d v="2020-11-11T00:00:00"/>
        <d v="2020-11-12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5T00:00:00"/>
        <d v="2020-12-26T00:00:00"/>
        <d v="2020-12-27T00:00:00"/>
        <d v="2021-01-01T00:00:00"/>
        <d v="2021-02-01T00:00:00"/>
        <d v="2021-02-02T00:00:00"/>
        <d v="2021-02-03T00:00:00"/>
        <d v="2021-02-04T00:00:00"/>
        <d v="2021-02-05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5T00:00:00"/>
        <d v="2021-02-16T00:00:00"/>
        <d v="2021-02-17T00:00:00"/>
        <d v="2021-02-18T00:00:00"/>
        <d v="2021-02-19T00:00:00"/>
        <d v="2021-02-20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6T00:00:00"/>
        <d v="2021-03-27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2-01-0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2T00:00:00"/>
        <d v="2022-02-13T00:00:00"/>
        <d v="2022-02-14T00:00:00"/>
        <d v="2022-02-15T00:00:00"/>
        <d v="2022-02-16T00:00:00"/>
        <d v="2022-02-17T00:00:00"/>
        <d v="2022-02-18T00:00:00"/>
        <d v="2022-02-19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3-01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5T00:00:00"/>
        <d v="2022-03-16T00:00:00"/>
        <d v="2022-03-17T00:00:00"/>
        <d v="2022-03-18T00:00:00"/>
        <d v="2022-03-19T00:00:00"/>
        <d v="2022-03-20T00:00:00"/>
        <d v="2022-03-21T00:00:00"/>
        <d v="2022-03-22T00:00:00"/>
        <d v="2022-03-23T00:00:00"/>
        <d v="2022-03-24T00:00:00"/>
        <d v="2022-03-25T00:00:00"/>
        <d v="2022-03-26T00:00:00"/>
        <d v="2022-03-27T00:00:00"/>
        <d v="2022-04-01T00:00:00"/>
        <d v="2022-04-02T00:00:00"/>
        <d v="2022-04-03T00:00:00"/>
        <d v="2022-04-04T00:00:00"/>
        <d v="2022-04-05T00:00:00"/>
        <d v="2022-04-06T00:00:00"/>
        <d v="2022-04-07T00:00:00"/>
        <d v="2022-04-08T00:00:00"/>
        <d v="2022-04-09T00:00:00"/>
        <d v="2022-04-10T00:00:00"/>
        <d v="2022-04-11T00:00:00"/>
        <d v="2022-04-12T00:00:00"/>
        <d v="2022-04-13T00:00:00"/>
        <d v="2022-04-14T00:00:00"/>
        <d v="2022-04-15T00:00:00"/>
        <d v="2022-04-16T00:00:00"/>
        <d v="2022-04-17T00:00:00"/>
        <d v="2022-04-18T00:00:00"/>
        <d v="2022-04-19T00:00:00"/>
        <d v="2022-04-20T00:00:00"/>
        <d v="2022-04-21T00:00:00"/>
        <d v="2022-04-22T00:00:00"/>
        <d v="2022-04-23T00:00:00"/>
        <d v="2022-04-24T00:00:00"/>
        <d v="2022-04-25T00:00:00"/>
        <d v="2022-04-26T00:00:00"/>
        <d v="2022-04-27T00:00:00"/>
        <d v="2022-05-01T00:00:00"/>
        <d v="2022-05-02T00:00:00"/>
        <d v="2022-05-03T00:00:00"/>
        <d v="2022-05-04T00:00:00"/>
        <d v="2022-05-05T00:00:00"/>
        <d v="2022-05-06T00:00:00"/>
        <d v="2022-05-07T00:00:00"/>
        <d v="2022-05-08T00:00:00"/>
        <d v="2022-05-09T00:00:00"/>
        <d v="2022-05-10T00:00:00"/>
        <d v="2022-05-11T00:00:00"/>
        <d v="2022-05-12T00:00:00"/>
        <d v="2022-05-13T00:00:00"/>
        <d v="2022-05-14T00:00:00"/>
        <d v="2022-05-15T00:00:00"/>
        <d v="2022-05-16T00:00:00"/>
        <d v="2022-05-17T00:00:00"/>
        <d v="2022-05-18T00:00:00"/>
        <d v="2022-05-19T00:00:00"/>
        <d v="2022-05-20T00:00:00"/>
        <d v="2022-05-21T00:00:00"/>
        <d v="2022-05-22T00:00:00"/>
        <d v="2022-05-23T00:00:00"/>
        <d v="2022-05-24T00:00:00"/>
        <d v="2022-05-25T00:00:00"/>
        <d v="2022-05-26T00:00:00"/>
        <d v="2022-05-27T00:00:00"/>
        <d v="2022-06-01T00:00:00"/>
        <d v="2022-06-02T00:00:00"/>
        <d v="2022-06-03T00:00:00"/>
        <d v="2022-06-04T00:00:00"/>
        <d v="2022-06-05T00:00:00"/>
        <d v="2022-06-06T00:00:00"/>
        <d v="2022-06-07T00:00:00"/>
        <d v="2022-06-08T00:00:00"/>
        <d v="2022-06-09T00:00:00"/>
        <d v="2022-06-10T00:00:00"/>
        <d v="2022-06-11T00:00:00"/>
        <d v="2022-06-12T00:00:00"/>
        <d v="2022-06-13T00:00:00"/>
        <d v="2022-06-14T00:00:00"/>
        <d v="2022-06-15T00:00:00"/>
        <d v="2022-06-16T00:00:00"/>
        <d v="2022-06-17T00:00:00"/>
        <d v="2022-06-18T00:00:00"/>
        <d v="2022-06-19T00:00:00"/>
        <d v="2022-06-20T00:00:00"/>
        <d v="2022-06-21T00:00:00"/>
        <d v="2022-06-22T00:00:00"/>
        <d v="2022-06-23T00:00:00"/>
        <d v="2022-06-24T00:00:00"/>
        <d v="2022-06-25T00:00:00"/>
        <d v="2022-06-26T00:00:00"/>
        <d v="2022-06-27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09T00:00:00"/>
        <d v="2022-07-10T00:00:00"/>
        <d v="2022-07-11T00:00:00"/>
        <d v="2022-07-12T00:00:00"/>
        <d v="2022-07-13T00:00:00"/>
        <d v="2022-07-14T00:00:00"/>
        <d v="2022-07-15T00:00:00"/>
        <d v="2022-07-16T00:00:00"/>
        <d v="2022-07-17T00:00:00"/>
        <d v="2022-07-18T00:00:00"/>
        <d v="2022-07-19T00:00:00"/>
        <d v="2022-07-20T00:00:00"/>
        <d v="2022-07-21T00:00:00"/>
        <d v="2022-07-22T00:00:00"/>
        <d v="2022-07-23T00:00:00"/>
        <d v="2022-07-24T00:00:00"/>
        <d v="2022-07-25T00:00:00"/>
        <d v="2022-07-26T00:00:00"/>
        <d v="2022-07-27T00:00:00"/>
        <d v="2022-08-01T00:00:00"/>
        <d v="2022-08-02T00:00:00"/>
        <d v="2022-08-03T00:00:00"/>
        <d v="2022-08-04T00:00:00"/>
        <d v="2022-08-05T00:00:00"/>
        <d v="2022-08-06T00:00:00"/>
        <d v="2022-08-07T00:00:00"/>
        <d v="2022-08-08T00:00:00"/>
        <d v="2022-08-09T00:00:00"/>
        <d v="2022-08-10T00:00:00"/>
        <d v="2022-08-11T00:00:00"/>
        <d v="2022-08-12T00:00:00"/>
        <d v="2022-08-13T00:00:00"/>
        <d v="2022-08-14T00:00:00"/>
        <d v="2022-08-15T00:00:00"/>
        <d v="2022-08-16T00:00:00"/>
        <d v="2022-08-17T00:00:00"/>
        <d v="2022-08-18T00:00:00"/>
        <d v="2022-08-19T00:00:00"/>
        <d v="2022-08-20T00:00:00"/>
        <d v="2022-08-21T00:00:00"/>
        <d v="2022-08-22T00:00:00"/>
        <d v="2022-08-23T00:00:00"/>
        <d v="2022-08-24T00:00:00"/>
        <d v="2022-08-25T00:00:00"/>
        <d v="2022-08-26T00:00:00"/>
        <d v="2022-08-27T00:00:00"/>
      </sharedItems>
      <fieldGroup par="4" base="1">
        <rangePr groupBy="months" startDate="2020-01-01T00:00:00" endDate="2022-08-28T00:00:00"/>
        <groupItems count="14">
          <s v="&lt;01/01/2020"/>
          <s v="jan"/>
          <s v="fev"/>
          <s v="mar"/>
          <s v="abr"/>
          <s v="mai"/>
          <s v="jun"/>
          <s v="jul"/>
          <s v="ago"/>
          <s v="set"/>
          <s v="out"/>
          <s v="nov"/>
          <s v="dez"/>
          <s v="&gt;28/08/2022"/>
        </groupItems>
      </fieldGroup>
    </cacheField>
    <cacheField name="RRT Pagos" numFmtId="0">
      <sharedItems containsSemiMixedTypes="0" containsString="0" containsNumber="1" containsInteger="1" minValue="53" maxValue="33978"/>
    </cacheField>
    <cacheField name="Trimestres" numFmtId="0" databaseField="0">
      <fieldGroup base="1">
        <rangePr groupBy="quarters" startDate="2020-01-01T00:00:00" endDate="2022-08-28T00:00:00"/>
        <groupItems count="6">
          <s v="&lt;01/01/2020"/>
          <s v="Trim1"/>
          <s v="Trim2"/>
          <s v="Trim3"/>
          <s v="Trim4"/>
          <s v="&gt;28/08/2022"/>
        </groupItems>
      </fieldGroup>
    </cacheField>
    <cacheField name="Anos" numFmtId="0" databaseField="0">
      <fieldGroup base="1">
        <rangePr groupBy="years" startDate="2020-01-01T00:00:00" endDate="2022-08-28T00:00:00"/>
        <groupItems count="5">
          <s v="&lt;01/01/2020"/>
          <s v="2020"/>
          <s v="2021"/>
          <s v="2022"/>
          <s v="&gt;28/08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cos Cristino de Oliveira" refreshedDate="44839.539839699071" createdVersion="6" refreshedVersion="6" minRefreshableVersion="3" recordCount="27">
  <cacheSource type="worksheet">
    <worksheetSource ref="A3:BQ30" sheet="Dados - Receita e Qntd"/>
  </cacheSource>
  <cacheFields count="69">
    <cacheField name="UF" numFmtId="0">
      <sharedItems count="27">
        <s v="AC"/>
        <s v="AL"/>
        <s v="AM"/>
        <s v="AP"/>
        <s v="BA"/>
        <s v="CE"/>
        <s v="DF"/>
        <s v="ES"/>
        <s v="GO"/>
        <s v="MA"/>
        <s v="MG"/>
        <s v="MS"/>
        <s v="MT"/>
        <s v="PA"/>
        <s v="PB"/>
        <s v="PE"/>
        <s v="PI"/>
        <s v="PR"/>
        <s v="RJ"/>
        <s v="RN"/>
        <s v="RO"/>
        <s v="RR"/>
        <s v="RS"/>
        <s v="SC"/>
        <s v="SE"/>
        <s v="SP"/>
        <s v="TO"/>
      </sharedItems>
    </cacheField>
    <cacheField name="Estado" numFmtId="0">
      <sharedItems/>
    </cacheField>
    <cacheField name="Região" numFmtId="0">
      <sharedItems count="6">
        <s v="Norte"/>
        <s v="Nordeste"/>
        <s v="Centro-oeste"/>
        <s v="Sudeste"/>
        <s v="Sul"/>
        <s v="Brasil" u="1"/>
      </sharedItems>
    </cacheField>
    <cacheField name="Anuidade PF - Exerc._x000a_Exec." numFmtId="0">
      <sharedItems containsSemiMixedTypes="0" containsString="0" containsNumber="1" minValue="52341.72" maxValue="15713904.039999999"/>
    </cacheField>
    <cacheField name="Anuidade PF - Exerc._x000a_Previsto" numFmtId="0">
      <sharedItems containsSemiMixedTypes="0" containsString="0" containsNumber="1" minValue="60890.82" maxValue="16795375.52"/>
    </cacheField>
    <cacheField name="Anuidade PF - Exerc._x000a_Exec. %" numFmtId="168">
      <sharedItems containsSemiMixedTypes="0" containsString="0" containsNumber="1" minValue="0.74829828074586446" maxValue="0.97655475821410476"/>
    </cacheField>
    <cacheField name="Anuidade PF - Ex. Ant._x000a_Exec." numFmtId="0">
      <sharedItems containsSemiMixedTypes="0" containsString="0" containsNumber="1" minValue="10485.544" maxValue="3383206.9999999995"/>
    </cacheField>
    <cacheField name="Anuidade PF - Ex. Ant._x000a_Previsto" numFmtId="0">
      <sharedItems containsSemiMixedTypes="0" containsString="0" containsNumber="1" minValue="16201.14" maxValue="4054515.912"/>
    </cacheField>
    <cacheField name="Anuidade PF - Ex. Ant._x000a_Exec. %" numFmtId="168">
      <sharedItems containsSemiMixedTypes="0" containsString="0" containsNumber="1" minValue="0.25315431999999999" maxValue="1.4325539321493332"/>
    </cacheField>
    <cacheField name="Anuidade PJ - Exerc._x000a_Exec." numFmtId="0">
      <sharedItems containsSemiMixedTypes="0" containsString="0" containsNumber="1" minValue="2350.1760000000004" maxValue="844056.89599999995"/>
    </cacheField>
    <cacheField name="Anuidade PJ - Exerc._x000a_Previsto" numFmtId="0">
      <sharedItems containsSemiMixedTypes="0" containsString="0" containsNumber="1" minValue="6861.2" maxValue="1218522.2080000001"/>
    </cacheField>
    <cacheField name="Anuidade PJ - Exerc._x000a_Exec. %" numFmtId="168">
      <sharedItems containsSemiMixedTypes="0" containsString="0" containsNumber="1" minValue="0.18707688503732045" maxValue="5.3836422047806538"/>
    </cacheField>
    <cacheField name="Anuidade PJ - Ex. Ant._x000a_Exec." numFmtId="0">
      <sharedItems containsSemiMixedTypes="0" containsString="0" containsNumber="1" minValue="1966.424" maxValue="847348"/>
    </cacheField>
    <cacheField name="Anuidade PJ - Ex. Ant._x000a_Previsto" numFmtId="0">
      <sharedItems containsSemiMixedTypes="0" containsString="0" containsNumber="1" minValue="5896.87" maxValue="507349.61600000004"/>
    </cacheField>
    <cacheField name="Anuidade PJ - Ex. Ant._x000a_Exec. %" numFmtId="168">
      <sharedItems containsSemiMixedTypes="0" containsString="0" containsNumber="1" minValue="0.26316226069873122" maxValue="3.8814197333333333"/>
    </cacheField>
    <cacheField name="RRT_x000a_Exec." numFmtId="0">
      <sharedItems containsSemiMixedTypes="0" containsString="0" containsNumber="1" minValue="114038.064" maxValue="23228301.120000005"/>
    </cacheField>
    <cacheField name="RRT_x000a_Previsto" numFmtId="0">
      <sharedItems containsSemiMixedTypes="0" containsString="0" containsNumber="1" minValue="119732.91" maxValue="31198029.792000003"/>
    </cacheField>
    <cacheField name="RRT_x000a_Exec. %" numFmtId="168">
      <sharedItems containsSemiMixedTypes="0" containsString="0" containsNumber="1" minValue="0.65995280955771407" maxValue="1.0906561005239206"/>
    </cacheField>
    <cacheField name="Taxas_x000a_Exec." numFmtId="0">
      <sharedItems containsSemiMixedTypes="0" containsString="0" containsNumber="1" minValue="5227.6720000000005" maxValue="2248403.6339999996"/>
    </cacheField>
    <cacheField name="Taxas_x000a_Previsto" numFmtId="0">
      <sharedItems containsSemiMixedTypes="0" containsString="0" containsNumber="1" minValue="7156.77" maxValue="2200201.1920000003"/>
    </cacheField>
    <cacheField name="Taxas_x000a_Exec. %" numFmtId="168">
      <sharedItems containsSemiMixedTypes="0" containsString="0" containsNumber="1" minValue="0.68990775287117379" maxValue="1.6032987386989574"/>
    </cacheField>
    <cacheField name="PF Ativos_x000a_Exec." numFmtId="167">
      <sharedItems containsSemiMixedTypes="0" containsString="0" containsNumber="1" containsInteger="1" minValue="253" maxValue="66788"/>
    </cacheField>
    <cacheField name="Var_x000a_PF - Ativos_x000a_2022 x 2021" numFmtId="167">
      <sharedItems containsSemiMixedTypes="0" containsString="0" containsNumber="1" containsInteger="1" minValue="7" maxValue="1776"/>
    </cacheField>
    <cacheField name="Previsto PF" numFmtId="167">
      <sharedItems containsSemiMixedTypes="0" containsString="0" containsNumber="1" minValue="255" maxValue="67463"/>
    </cacheField>
    <cacheField name="% de exerc. - PF" numFmtId="168">
      <sharedItems containsSemiMixedTypes="0" containsString="0" containsNumber="1" minValue="0.96169777825595781" maxValue="1.0283477892955364"/>
    </cacheField>
    <cacheField name="PJ Ativos" numFmtId="167">
      <sharedItems containsSemiMixedTypes="0" containsString="0" containsNumber="1" containsInteger="1" minValue="67" maxValue="8410"/>
    </cacheField>
    <cacheField name="Var_x000a_PJ - Ativos_x000a_2022 x 2021" numFmtId="167">
      <sharedItems containsSemiMixedTypes="0" containsString="0" containsNumber="1" containsInteger="1" minValue="4" maxValue="365"/>
    </cacheField>
    <cacheField name="Previsto PJ" numFmtId="167">
      <sharedItems containsSemiMixedTypes="0" containsString="0" containsNumber="1" containsInteger="1" minValue="64" maxValue="8228"/>
    </cacheField>
    <cacheField name="% de exerc. - PJ" numFmtId="168">
      <sharedItems containsSemiMixedTypes="0" containsString="0" containsNumber="1" minValue="0.90151515151515149" maxValue="1.1381818181818182"/>
    </cacheField>
    <cacheField name="RRT_x000a_Executado" numFmtId="167">
      <sharedItems containsSemiMixedTypes="0" containsString="0" containsNumber="1" containsInteger="1" minValue="1296" maxValue="265567"/>
    </cacheField>
    <cacheField name="Previsto - RRT" numFmtId="167">
      <sharedItems containsSemiMixedTypes="0" containsString="0" containsNumber="1" containsInteger="1" minValue="1377" maxValue="358796"/>
    </cacheField>
    <cacheField name="Méd/Prof_x000a_Executado" numFmtId="169">
      <sharedItems containsSemiMixedTypes="0" containsString="0" containsNumber="1" minValue="2.0081216774955699" maxValue="7.0129156361637817"/>
    </cacheField>
    <cacheField name="Méd/Prof_x000a_Previsto" numFmtId="169">
      <sharedItems containsSemiMixedTypes="0" containsString="0" containsNumber="1" minValue="2.5190962883270576" maxValue="9.5774496644295297"/>
    </cacheField>
    <cacheField name="PF_x000a_Qnt Pot Pag._x000a_Exec." numFmtId="167">
      <sharedItems containsSemiMixedTypes="0" containsString="0" containsNumber="1" containsInteger="1" minValue="245" maxValue="62629"/>
    </cacheField>
    <cacheField name="PF Qnt Pag._x000a_Exec." numFmtId="167">
      <sharedItems containsSemiMixedTypes="0" containsString="0" containsNumber="1" containsInteger="1" minValue="134" maxValue="40448"/>
    </cacheField>
    <cacheField name="Adimp. PF_x000a_Exec." numFmtId="168">
      <sharedItems containsSemiMixedTypes="0" containsString="0" containsNumber="1" minValue="0.47005988023952094" maxValue="0.84350393700787396"/>
    </cacheField>
    <cacheField name="PF_x000a_Qnt Pot Pag._x000a_Previsto" numFmtId="177">
      <sharedItems containsSemiMixedTypes="0" containsString="0" containsNumber="1" minValue="246" maxValue="63084"/>
    </cacheField>
    <cacheField name="PF Qnt Pag._x000a_Previsto" numFmtId="177">
      <sharedItems containsSemiMixedTypes="0" containsString="0" containsNumber="1" containsInteger="1" minValue="166" maxValue="46118"/>
    </cacheField>
    <cacheField name="Adimp. PF_x000a_Previsto" numFmtId="168">
      <sharedItems containsSemiMixedTypes="0" containsString="0" containsNumber="1" minValue="0.59064994298745721" maxValue="0.97163814180929098"/>
    </cacheField>
    <cacheField name="PJ Pagantes_x000a_Exec." numFmtId="177">
      <sharedItems containsSemiMixedTypes="0" containsString="0" containsNumber="1" containsInteger="1" minValue="15" maxValue="4432"/>
    </cacheField>
    <cacheField name="Adimp. PJ_x000a_Exec." numFmtId="168">
      <sharedItems containsSemiMixedTypes="0" containsString="0" containsNumber="1" minValue="0.22388059701492538" maxValue="0.63488843813387419"/>
    </cacheField>
    <cacheField name="PJ Pagante_x000a_Previsto" numFmtId="177">
      <sharedItems containsSemiMixedTypes="0" containsString="0" containsNumber="1" containsInteger="1" minValue="25" maxValue="4832"/>
    </cacheField>
    <cacheField name="Adimp. PJ_x000a_Previsto PJ" numFmtId="168">
      <sharedItems containsSemiMixedTypes="0" containsString="0" containsNumber="1" minValue="0.31428571428571428" maxValue="0.76239669421487599"/>
    </cacheField>
    <cacheField name="Masculino" numFmtId="167">
      <sharedItems containsSemiMixedTypes="0" containsString="0" containsNumber="1" containsInteger="1" minValue="97" maxValue="24494"/>
    </cacheField>
    <cacheField name="Feminino" numFmtId="167">
      <sharedItems containsSemiMixedTypes="0" containsString="0" containsNumber="1" containsInteger="1" minValue="156" maxValue="42294"/>
    </cacheField>
    <cacheField name="Egressos" numFmtId="167">
      <sharedItems containsSemiMixedTypes="0" containsString="0" containsNumber="1" containsInteger="1" minValue="6" maxValue="1375"/>
    </cacheField>
    <cacheField name="Previsto - Egressos" numFmtId="167">
      <sharedItems containsSemiMixedTypes="0" containsString="0" containsNumber="1" containsInteger="1" minValue="9" maxValue="2709"/>
    </cacheField>
    <cacheField name="% de exec. - Egressos" numFmtId="168">
      <sharedItems containsSemiMixedTypes="0" containsString="0" containsNumber="1" minValue="0.46339285714285716" maxValue="1.1728395061728396"/>
    </cacheField>
    <cacheField name="Receita_x000a_PF_x000a_2022" numFmtId="44">
      <sharedItems containsSemiMixedTypes="0" containsString="0" containsNumber="1" minValue="145826.93599999999" maxValue="9343527.1360000018"/>
    </cacheField>
    <cacheField name="Receita_x000a_PF_x000a_2021" numFmtId="44">
      <sharedItems containsSemiMixedTypes="0" containsString="0" containsNumber="1" minValue="46641.024000000005" maxValue="14365482.448000001"/>
    </cacheField>
    <cacheField name="Var_x000a_PF_x000a_YOY" numFmtId="168">
      <sharedItems containsSemiMixedTypes="0" containsString="0" containsNumber="1" minValue="-0.34958486985580972" maxValue="18.849339390080086"/>
    </cacheField>
    <cacheField name="Receita_x000a_PF - Ex Ant_x000a_2022" numFmtId="44">
      <sharedItems containsSemiMixedTypes="0" containsString="0" containsNumber="1" minValue="38199.704000000012" maxValue="1983188.5999999996"/>
    </cacheField>
    <cacheField name="Receita_x000a_PF - Ex Ant_x000a_2021" numFmtId="44">
      <sharedItems containsSemiMixedTypes="0" containsString="0" containsNumber="1" minValue="12742.648000000001" maxValue="4118164.5599999996"/>
    </cacheField>
    <cacheField name="Var_x000a_PF Ex Ant_x000a_YOY" numFmtId="168">
      <sharedItems containsSemiMixedTypes="0" containsString="0" containsNumber="1" minValue="-0.63464235921645629" maxValue="12.96978052554064"/>
    </cacheField>
    <cacheField name="Receita_x000a_PJ_x000a_2022" numFmtId="44">
      <sharedItems containsSemiMixedTypes="0" containsString="0" containsNumber="1" minValue="10895.152000000002" maxValue="582202.19200000004"/>
    </cacheField>
    <cacheField name="Receita_x000a_PJ_x000a_2021" numFmtId="44">
      <sharedItems containsSemiMixedTypes="0" containsString="0" containsNumber="1" minValue="5423.1440000000002" maxValue="1193124.4480000001"/>
    </cacheField>
    <cacheField name="Var_x000a_PJ_x000a_YOY" numFmtId="168">
      <sharedItems containsSemiMixedTypes="0" containsString="0" containsNumber="1" minValue="-0.76884628216083628" maxValue="26.778624567242915"/>
    </cacheField>
    <cacheField name="Receita_x000a_PJ - Ex Ant_x000a_2022" numFmtId="44">
      <sharedItems containsSemiMixedTypes="0" containsString="0" containsNumber="1" minValue="6046.6240000000007" maxValue="611816.19999999995"/>
    </cacheField>
    <cacheField name="Receita_x000a_PJ - Ex Ant_x000a_2021" numFmtId="44">
      <sharedItems containsSemiMixedTypes="0" containsString="0" containsNumber="1" minValue="390.8" maxValue="589577.81600000011"/>
    </cacheField>
    <cacheField name="Var_x000a_PJ Ex Ant_x000a_YOY" numFmtId="168">
      <sharedItems containsSemiMixedTypes="0" containsString="0" containsNumber="1" minValue="-0.57845956617572392" maxValue="59.898369503764087"/>
    </cacheField>
    <cacheField name="Receita_x000a_RRT_x000a_2022" numFmtId="44">
      <sharedItems containsSemiMixedTypes="0" containsString="0" containsNumber="1" minValue="199212.12000000002" maxValue="16396714.608000001"/>
    </cacheField>
    <cacheField name="Receita_x000a_RRT_x000a_2021" numFmtId="44">
      <sharedItems containsSemiMixedTypes="0" containsString="0" containsNumber="1" minValue="90506.040000000008" maxValue="20298903.335999999"/>
    </cacheField>
    <cacheField name="Var_x000a_RRT_x000a_YOY" numFmtId="168">
      <sharedItems containsSemiMixedTypes="0" containsString="0" containsNumber="1" minValue="-0.63446765151884654" maxValue="29.514234616203336"/>
    </cacheField>
    <cacheField name="Receita_x000a_Taxas_x000a_2022" numFmtId="44">
      <sharedItems containsSemiMixedTypes="0" containsString="0" containsNumber="1" minValue="26745.144" maxValue="1557509.4659999998"/>
    </cacheField>
    <cacheField name="Receita_x000a_Taxas_x000a_2021" numFmtId="44">
      <sharedItems containsSemiMixedTypes="0" containsString="0" containsNumber="1" minValue="5743.9920000000002" maxValue="2356331.8820000021"/>
    </cacheField>
    <cacheField name="Var_x000a_Taxas_x000a_YOY" numFmtId="168">
      <sharedItems containsSemiMixedTypes="0" containsString="0" containsNumber="1" minValue="-0.68511359979977571" maxValue="26.473900147523803"/>
    </cacheField>
    <cacheField name="Ano anterior_x000a_TOTAL acumulado" numFmtId="44">
      <sharedItems containsSemiMixedTypes="0" containsString="0" containsNumber="1" minValue="161447.64800000002" maxValue="42921584.489999995"/>
    </cacheField>
    <cacheField name="YOY_x000a_% de exec." numFmtId="168">
      <sharedItems containsSemiMixedTypes="0" containsString="0" containsNumber="1" minValue="-0.11845553150238997" maxValue="0.30280797269706583"/>
    </cacheField>
    <cacheField name="% de exec._x000a_x Previsto" numFmtId="168">
      <sharedItems containsSemiMixedTypes="0" containsString="0" containsNumber="1" minValue="0.6617188510847668" maxValue="1.0355503292441026"/>
    </cacheField>
  </cacheFields>
  <extLst>
    <ext xmlns:x14="http://schemas.microsoft.com/office/spreadsheetml/2009/9/main" uri="{725AE2AE-9491-48be-B2B4-4EB974FC3084}">
      <x14:pivotCacheDefinition pivotCacheId="1007040290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rcos Cristino de Oliveira" refreshedDate="44839.539908796294" createdVersion="7" refreshedVersion="6" minRefreshableVersion="3" recordCount="28">
  <cacheSource type="worksheet">
    <worksheetSource name="Tabela3"/>
  </cacheSource>
  <cacheFields count="70">
    <cacheField name="UF" numFmtId="0">
      <sharedItems count="28">
        <s v="AC"/>
        <s v="AL"/>
        <s v="AM"/>
        <s v="AP"/>
        <s v="BA"/>
        <s v="CE"/>
        <s v="DF"/>
        <s v="ES"/>
        <s v="GO"/>
        <s v="MA"/>
        <s v="MG"/>
        <s v="MS"/>
        <s v="MT"/>
        <s v="PA"/>
        <s v="PB"/>
        <s v="PE"/>
        <s v="PI"/>
        <s v="PR"/>
        <s v="RJ"/>
        <s v="RN"/>
        <s v="RO"/>
        <s v="RR"/>
        <s v="RS"/>
        <s v="SC"/>
        <s v="SE"/>
        <s v="SP"/>
        <s v="TO"/>
        <s v="BR"/>
      </sharedItems>
    </cacheField>
    <cacheField name="Estado" numFmtId="0">
      <sharedItems/>
    </cacheField>
    <cacheField name="Região" numFmtId="0">
      <sharedItems count="6">
        <s v="Norte"/>
        <s v="Nordeste"/>
        <s v="Centro-oeste"/>
        <s v="Sudeste"/>
        <s v="Sul"/>
        <s v="Brasil"/>
      </sharedItems>
    </cacheField>
    <cacheField name="Anuidade PF - Exerc._x000a_Exec." numFmtId="0">
      <sharedItems containsSemiMixedTypes="0" containsString="0" containsNumber="1" minValue="52341.72" maxValue="15713904.039999999"/>
    </cacheField>
    <cacheField name="Anuidade PF - Exerc._x000a_Previsto" numFmtId="0">
      <sharedItems containsSemiMixedTypes="0" containsString="0" containsNumber="1" minValue="60890.82" maxValue="16795375.52"/>
    </cacheField>
    <cacheField name="Anuidade PF - Exerc._x000a_Exec. %" numFmtId="168">
      <sharedItems containsSemiMixedTypes="0" containsString="0" containsNumber="1" minValue="0.74829828074586446" maxValue="0.97655475821410476"/>
    </cacheField>
    <cacheField name="Anuidade PF - Ex. Ant._x000a_Exec." numFmtId="0">
      <sharedItems containsSemiMixedTypes="0" containsString="0" containsNumber="1" minValue="10485.544" maxValue="3383206.9999999995"/>
    </cacheField>
    <cacheField name="Anuidade PF - Ex. Ant._x000a_Previsto" numFmtId="0">
      <sharedItems containsSemiMixedTypes="0" containsString="0" containsNumber="1" minValue="16201.14" maxValue="4054515.912"/>
    </cacheField>
    <cacheField name="Anuidade PF - Ex. Ant._x000a_Exec. %" numFmtId="168">
      <sharedItems containsSemiMixedTypes="0" containsString="0" containsNumber="1" minValue="0.25315431999999999" maxValue="1.4325539321493332"/>
    </cacheField>
    <cacheField name="Anuidade PJ - Exerc._x000a_Exec." numFmtId="0">
      <sharedItems containsSemiMixedTypes="0" containsString="0" containsNumber="1" minValue="2350.1760000000004" maxValue="844056.89599999995"/>
    </cacheField>
    <cacheField name="Anuidade PJ - Exerc._x000a_Previsto" numFmtId="0">
      <sharedItems containsSemiMixedTypes="0" containsString="0" containsNumber="1" minValue="6861.2" maxValue="1218522.2080000001"/>
    </cacheField>
    <cacheField name="Anuidade PJ - Exerc._x000a_Exec. %" numFmtId="168">
      <sharedItems containsSemiMixedTypes="0" containsString="0" containsNumber="1" minValue="0.18707688503732045" maxValue="5.3836422047806538"/>
    </cacheField>
    <cacheField name="Anuidade PJ - Ex. Ant._x000a_Exec." numFmtId="0">
      <sharedItems containsSemiMixedTypes="0" containsString="0" containsNumber="1" minValue="1966.424" maxValue="847348"/>
    </cacheField>
    <cacheField name="Anuidade PJ - Ex. Ant._x000a_Previsto" numFmtId="0">
      <sharedItems containsSemiMixedTypes="0" containsString="0" containsNumber="1" minValue="5896.87" maxValue="592289.79"/>
    </cacheField>
    <cacheField name="Anuidade PJ - Ex. Ant._x000a_Exec. %" numFmtId="168">
      <sharedItems containsSemiMixedTypes="0" containsString="0" containsNumber="1" minValue="0.26316226069873122" maxValue="3.8814197333333333"/>
    </cacheField>
    <cacheField name="RRT_x000a_Exec." numFmtId="0">
      <sharedItems containsSemiMixedTypes="0" containsString="0" containsNumber="1" minValue="114038.064" maxValue="23228301.120000005"/>
    </cacheField>
    <cacheField name="RRT_x000a_Previsto" numFmtId="0">
      <sharedItems containsSemiMixedTypes="0" containsString="0" containsNumber="1" minValue="119732.91" maxValue="31198029.792000003"/>
    </cacheField>
    <cacheField name="RRT_x000a_Exec. %" numFmtId="168">
      <sharedItems containsSemiMixedTypes="0" containsString="0" containsNumber="1" minValue="0.65995280955771407" maxValue="1.0906561005239206"/>
    </cacheField>
    <cacheField name="Taxas_x000a_Exec." numFmtId="0">
      <sharedItems containsSemiMixedTypes="0" containsString="0" containsNumber="1" minValue="5227.6720000000005" maxValue="2248403.6339999996"/>
    </cacheField>
    <cacheField name="Taxas_x000a_Previsto" numFmtId="0">
      <sharedItems containsSemiMixedTypes="0" containsString="0" containsNumber="1" minValue="7156.77" maxValue="2200201.1920000003"/>
    </cacheField>
    <cacheField name="Taxas_x000a_Exec. %" numFmtId="168">
      <sharedItems containsSemiMixedTypes="0" containsString="0" containsNumber="1" minValue="0.68990775287117379" maxValue="1.6032987386989574"/>
    </cacheField>
    <cacheField name="PF Ativos_x000a_Exec." numFmtId="0">
      <sharedItems containsSemiMixedTypes="0" containsString="0" containsNumber="1" containsInteger="1" minValue="253" maxValue="215705"/>
    </cacheField>
    <cacheField name="Var_x000a_PF - Ativos_x000a_2022 x 2021" numFmtId="0">
      <sharedItems containsSemiMixedTypes="0" containsString="0" containsNumber="1" containsInteger="1" minValue="7" maxValue="8236"/>
    </cacheField>
    <cacheField name="Previsto PF" numFmtId="0">
      <sharedItems containsSemiMixedTypes="0" containsString="0" containsNumber="1" minValue="255" maxValue="217280.8"/>
    </cacheField>
    <cacheField name="% de exerc. - PF" numFmtId="168">
      <sharedItems containsSemiMixedTypes="0" containsString="0" containsNumber="1" minValue="0.96169777825595781" maxValue="1.0283477892955364"/>
    </cacheField>
    <cacheField name="PJ Ativos" numFmtId="0">
      <sharedItems containsSemiMixedTypes="0" containsString="0" containsNumber="1" containsInteger="1" minValue="67" maxValue="30981"/>
    </cacheField>
    <cacheField name="Var_x000a_PJ - Ativos_x000a_2022 x 2021" numFmtId="0">
      <sharedItems containsSemiMixedTypes="0" containsString="0" containsNumber="1" containsInteger="1" minValue="4" maxValue="1863"/>
    </cacheField>
    <cacheField name="Previsto PJ" numFmtId="0">
      <sharedItems containsSemiMixedTypes="0" containsString="0" containsNumber="1" containsInteger="1" minValue="64" maxValue="31610"/>
    </cacheField>
    <cacheField name="% de exerc. - PJ" numFmtId="168">
      <sharedItems containsSemiMixedTypes="0" containsString="0" containsNumber="1" minValue="0.90151515151515149" maxValue="1.1381818181818182"/>
    </cacheField>
    <cacheField name="RRT_x000a_Executado" numFmtId="0">
      <sharedItems containsSemiMixedTypes="0" containsString="0" containsNumber="1" containsInteger="1" minValue="1296" maxValue="758130"/>
    </cacheField>
    <cacheField name="Previsto - RRT" numFmtId="0">
      <sharedItems containsSemiMixedTypes="0" containsString="0" containsNumber="1" containsInteger="1" minValue="1377" maxValue="995758"/>
    </cacheField>
    <cacheField name="Méd/Prof_x000a_Executado" numFmtId="169">
      <sharedItems containsSemiMixedTypes="0" containsString="0" containsNumber="1" minValue="2.0081216774955699" maxValue="7.0129156361637817"/>
    </cacheField>
    <cacheField name="Méd/Prof_x000a_Previsto" numFmtId="169">
      <sharedItems containsSemiMixedTypes="0" containsString="0" containsNumber="1" minValue="2.5190962883270576" maxValue="9.5774496644295297"/>
    </cacheField>
    <cacheField name="PF_x000a_Qnt Pot Pag._x000a_Exec." numFmtId="167">
      <sharedItems containsSemiMixedTypes="0" containsString="0" containsNumber="1" containsInteger="1" minValue="245" maxValue="203634"/>
    </cacheField>
    <cacheField name="PF Qnt Pag._x000a_Exec." numFmtId="167">
      <sharedItems containsSemiMixedTypes="0" containsString="0" containsNumber="1" containsInteger="1" minValue="134" maxValue="132630"/>
    </cacheField>
    <cacheField name="Adimp. PF_x000a_Exec." numFmtId="168">
      <sharedItems containsSemiMixedTypes="0" containsString="0" containsNumber="1" minValue="0.47005988023952094" maxValue="0.84350393700787396"/>
    </cacheField>
    <cacheField name="PF_x000a_Qnt Pot Pag._x000a_Previsto" numFmtId="177">
      <sharedItems containsSemiMixedTypes="0" containsString="0" containsNumber="1" minValue="246" maxValue="203796.8"/>
    </cacheField>
    <cacheField name="PF Qnt Pag._x000a_Previsto" numFmtId="177">
      <sharedItems containsSemiMixedTypes="0" containsString="0" containsNumber="1" containsInteger="1" minValue="166" maxValue="150195"/>
    </cacheField>
    <cacheField name="Adimp. PF_x000a_Previsto" numFmtId="168">
      <sharedItems containsSemiMixedTypes="0" containsString="0" containsNumber="1" minValue="0.59064994298745721" maxValue="0.97163814180929098"/>
    </cacheField>
    <cacheField name="PJ Pagantes_x000a_Exec." numFmtId="177">
      <sharedItems containsSemiMixedTypes="0" containsString="0" containsNumber="1" containsInteger="1" minValue="15" maxValue="14640"/>
    </cacheField>
    <cacheField name="Adimp. PJ_x000a_Exec." numFmtId="168">
      <sharedItems containsSemiMixedTypes="0" containsString="0" containsNumber="1" minValue="0.22388059701492538" maxValue="0.63488843813387419"/>
    </cacheField>
    <cacheField name="PJ Pagante_x000a_Previsto" numFmtId="177">
      <sharedItems containsSemiMixedTypes="0" containsString="0" containsNumber="1" containsInteger="1" minValue="25" maxValue="17427"/>
    </cacheField>
    <cacheField name="Adimp. PJ_x000a_Previsto PJ" numFmtId="168">
      <sharedItems containsSemiMixedTypes="0" containsString="0" containsNumber="1" minValue="0.31428571428571428" maxValue="0.76239669421487599"/>
    </cacheField>
    <cacheField name="Masculino" numFmtId="0">
      <sharedItems containsSemiMixedTypes="0" containsString="0" containsNumber="1" containsInteger="1" minValue="97" maxValue="75981"/>
    </cacheField>
    <cacheField name="Feminino" numFmtId="0">
      <sharedItems containsSemiMixedTypes="0" containsString="0" containsNumber="1" containsInteger="1" minValue="156" maxValue="139724"/>
    </cacheField>
    <cacheField name="Egressos" numFmtId="0">
      <sharedItems containsSemiMixedTypes="0" containsString="0" containsNumber="1" containsInteger="1" minValue="6" maxValue="6593"/>
    </cacheField>
    <cacheField name="Previsto - Egressos" numFmtId="0">
      <sharedItems containsSemiMixedTypes="0" containsString="0" containsNumber="1" containsInteger="1" minValue="9" maxValue="10272"/>
    </cacheField>
    <cacheField name="% de exec. - Egressos" numFmtId="168">
      <sharedItems containsSemiMixedTypes="0" containsString="0" containsNumber="1" minValue="0.46339285714285716" maxValue="1.1728395061728396"/>
    </cacheField>
    <cacheField name="Receita_x000a_PF_x000a_2022" numFmtId="44">
      <sharedItems containsSemiMixedTypes="0" containsString="0" containsNumber="1" minValue="145826.93599999999" maxValue="12651720.518000001"/>
    </cacheField>
    <cacheField name="Receita_x000a_PF_x000a_2021" numFmtId="44">
      <sharedItems containsSemiMixedTypes="0" containsString="0" containsNumber="1" minValue="46641.024000000005" maxValue="14365482.448000001"/>
    </cacheField>
    <cacheField name="Var_x000a_PF_x000a_YOY" numFmtId="168">
      <sharedItems containsSemiMixedTypes="0" containsString="0" containsNumber="1" minValue="-0.34958486985580972" maxValue="18.849339390080086"/>
    </cacheField>
    <cacheField name="Receita_x000a_PF - Ex Ant_x000a_2022" numFmtId="44">
      <sharedItems containsSemiMixedTypes="0" containsString="0" containsNumber="1" minValue="38199.704000000012" maxValue="2738177.6740000001"/>
    </cacheField>
    <cacheField name="Receita_x000a_PF - Ex Ant_x000a_2021" numFmtId="44">
      <sharedItems containsSemiMixedTypes="0" containsString="0" containsNumber="1" minValue="12742.648000000001" maxValue="4118164.5599999996"/>
    </cacheField>
    <cacheField name="Var_x000a_PF Ex Ant_x000a_YOY" numFmtId="168">
      <sharedItems containsSemiMixedTypes="0" containsString="0" containsNumber="1" minValue="-0.63464235921645629" maxValue="12.96978052554064"/>
    </cacheField>
    <cacheField name="Receita_x000a_PJ_x000a_2022" numFmtId="44">
      <sharedItems containsSemiMixedTypes="0" containsString="0" containsNumber="1" minValue="10895.152000000002" maxValue="685521.85000000009"/>
    </cacheField>
    <cacheField name="Receita_x000a_PJ_x000a_2021" numFmtId="44">
      <sharedItems containsSemiMixedTypes="0" containsString="0" containsNumber="1" minValue="5423.1440000000002" maxValue="1193124.4480000001"/>
    </cacheField>
    <cacheField name="Var_x000a_PJ_x000a_YOY" numFmtId="168">
      <sharedItems containsSemiMixedTypes="0" containsString="0" containsNumber="1" minValue="-0.76884628216083628" maxValue="26.778624567242915"/>
    </cacheField>
    <cacheField name="Receita_x000a_PJ - Ex Ant_x000a_2022" numFmtId="44">
      <sharedItems containsSemiMixedTypes="0" containsString="0" containsNumber="1" minValue="6046.6240000000007" maxValue="611816.19999999995"/>
    </cacheField>
    <cacheField name="Receita_x000a_PJ - Ex Ant_x000a_2021" numFmtId="44">
      <sharedItems containsSemiMixedTypes="0" containsString="0" containsNumber="1" minValue="390.8" maxValue="589577.81600000011"/>
    </cacheField>
    <cacheField name="Var_x000a_PJ Ex Ant_x000a_YOY" numFmtId="168">
      <sharedItems containsSemiMixedTypes="0" containsString="0" containsNumber="1" minValue="-0.57845956617572392" maxValue="59.898369503764087"/>
    </cacheField>
    <cacheField name="Receita_x000a_RRT_x000a_2022" numFmtId="44">
      <sharedItems containsSemiMixedTypes="0" containsString="0" containsNumber="1" minValue="199212.12000000002" maxValue="16632785.092000002"/>
    </cacheField>
    <cacheField name="Receita_x000a_RRT_x000a_2021" numFmtId="44">
      <sharedItems containsSemiMixedTypes="0" containsString="0" containsNumber="1" minValue="90506.040000000008" maxValue="20298903.335999999"/>
    </cacheField>
    <cacheField name="Var_x000a_RRT_x000a_YOY" numFmtId="168">
      <sharedItems containsSemiMixedTypes="0" containsString="0" containsNumber="1" minValue="-0.63446765151884654" maxValue="29.514234616203336"/>
    </cacheField>
    <cacheField name="Receita_x000a_Taxas_x000a_2022" numFmtId="44">
      <sharedItems containsSemiMixedTypes="0" containsString="0" containsNumber="1" minValue="26745.144" maxValue="1599088.9460000002"/>
    </cacheField>
    <cacheField name="Receita_x000a_Taxas_x000a_2021" numFmtId="44">
      <sharedItems containsSemiMixedTypes="0" containsString="0" containsNumber="1" minValue="5743.9920000000002" maxValue="2356331.8820000021"/>
    </cacheField>
    <cacheField name="Var_x000a_Taxas_x000a_YOY" numFmtId="168">
      <sharedItems containsSemiMixedTypes="0" containsString="0" containsNumber="1" minValue="-0.68511359979977571" maxValue="26.473900147523803"/>
    </cacheField>
    <cacheField name="Ano anterior_x000a_TOTAL acumulado" numFmtId="44">
      <sharedItems containsSemiMixedTypes="0" containsString="0" containsNumber="1" minValue="161447.64800000002" maxValue="42921584.489999995"/>
    </cacheField>
    <cacheField name="YOY_x000a_% de exec." numFmtId="168">
      <sharedItems containsSemiMixedTypes="0" containsString="0" containsNumber="1" minValue="-0.11845553150238997" maxValue="0.30280797269706583"/>
    </cacheField>
    <cacheField name="% de exec._x000a_x Previsto" numFmtId="168">
      <sharedItems containsSemiMixedTypes="0" containsString="0" containsNumber="1" minValue="0.6617188510847668" maxValue="1.0355503292441026"/>
    </cacheField>
    <cacheField name="PF + PJ" numFmtId="167">
      <sharedItems containsSemiMixedTypes="0" containsString="0" containsNumber="1" containsInteger="1" minValue="320" maxValue="246686"/>
    </cacheField>
  </cacheFields>
  <extLst>
    <ext xmlns:x14="http://schemas.microsoft.com/office/spreadsheetml/2009/9/main" uri="{725AE2AE-9491-48be-B2B4-4EB974FC3084}">
      <x14:pivotCacheDefinition pivotCacheId="296801093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rcos Cristino de Oliveira" refreshedDate="44839.54000335648" createdVersion="6" refreshedVersion="6" minRefreshableVersion="3" recordCount="27">
  <cacheSource type="worksheet">
    <worksheetSource ref="A3:BR30" sheet="Dados - Receita e Qntd"/>
  </cacheSource>
  <cacheFields count="73">
    <cacheField name="UF" numFmtId="0">
      <sharedItems count="27">
        <s v="AC"/>
        <s v="AL"/>
        <s v="AM"/>
        <s v="AP"/>
        <s v="BA"/>
        <s v="CE"/>
        <s v="DF"/>
        <s v="ES"/>
        <s v="GO"/>
        <s v="MA"/>
        <s v="MG"/>
        <s v="MS"/>
        <s v="MT"/>
        <s v="PA"/>
        <s v="PB"/>
        <s v="PE"/>
        <s v="PI"/>
        <s v="PR"/>
        <s v="RJ"/>
        <s v="RN"/>
        <s v="RO"/>
        <s v="RR"/>
        <s v="RS"/>
        <s v="SC"/>
        <s v="SE"/>
        <s v="SP"/>
        <s v="TO"/>
      </sharedItems>
    </cacheField>
    <cacheField name="Estado" numFmtId="0">
      <sharedItems count="27">
        <s v="ACRE"/>
        <s v="ALAGOAS"/>
        <s v="AMAZONAS"/>
        <s v="AMAPÁ"/>
        <s v="BAHIA"/>
        <s v="CEARÁ"/>
        <s v="DISTRITO FEDERAL"/>
        <s v="ESPÍRITO SANTO"/>
        <s v="GOIÁS"/>
        <s v="MARANHÃO"/>
        <s v="MINAS GERAIS"/>
        <s v="MATO GROSSO DO SUL"/>
        <s v="MATO GROSSO"/>
        <s v="PARÁ"/>
        <s v="PARAÍBA"/>
        <s v="PERNAMBUCO"/>
        <s v="PIAUÍ"/>
        <s v="PARANÁ"/>
        <s v="RIO DE JANEIRO"/>
        <s v="RIO GRANDE DO NORTE"/>
        <s v="RONDÔNIA"/>
        <s v="RORAIMA"/>
        <s v="RIO GRANDE DO SUL"/>
        <s v="SANTA CATARINA"/>
        <s v="SERGIPE"/>
        <s v="SÃO PAULO"/>
        <s v="TOCANTINS"/>
      </sharedItems>
    </cacheField>
    <cacheField name="Região" numFmtId="0">
      <sharedItems count="5">
        <s v="Norte"/>
        <s v="Nordeste"/>
        <s v="Centro-oeste"/>
        <s v="Sudeste"/>
        <s v="Sul"/>
      </sharedItems>
    </cacheField>
    <cacheField name="Anuidade PF - Exerc._x000a_Exec." numFmtId="0">
      <sharedItems containsSemiMixedTypes="0" containsString="0" containsNumber="1" minValue="52341.72" maxValue="15713904.039999999"/>
    </cacheField>
    <cacheField name="Anuidade PF - Exerc._x000a_Previsto" numFmtId="0">
      <sharedItems containsSemiMixedTypes="0" containsString="0" containsNumber="1" minValue="60890.82" maxValue="16795375.52"/>
    </cacheField>
    <cacheField name="Anuidade PF - Exerc._x000a_Exec. %" numFmtId="168">
      <sharedItems containsSemiMixedTypes="0" containsString="0" containsNumber="1" minValue="0.74829828074586446" maxValue="0.97655475821410476"/>
    </cacheField>
    <cacheField name="Anuidade PF - Ex. Ant._x000a_Exec." numFmtId="0">
      <sharedItems containsSemiMixedTypes="0" containsString="0" containsNumber="1" minValue="10485.544" maxValue="3383206.9999999995"/>
    </cacheField>
    <cacheField name="Anuidade PF - Ex. Ant._x000a_Previsto" numFmtId="0">
      <sharedItems containsSemiMixedTypes="0" containsString="0" containsNumber="1" minValue="16201.14" maxValue="4054515.912"/>
    </cacheField>
    <cacheField name="Anuidade PF - Ex. Ant._x000a_Exec. %" numFmtId="168">
      <sharedItems containsSemiMixedTypes="0" containsString="0" containsNumber="1" minValue="0.25315431999999999" maxValue="1.4325539321493332"/>
    </cacheField>
    <cacheField name="Anuidade PJ - Exerc._x000a_Exec." numFmtId="0">
      <sharedItems containsSemiMixedTypes="0" containsString="0" containsNumber="1" minValue="2350.1760000000004" maxValue="844056.89599999995"/>
    </cacheField>
    <cacheField name="Anuidade PJ - Exerc._x000a_Previsto" numFmtId="0">
      <sharedItems containsSemiMixedTypes="0" containsString="0" containsNumber="1" minValue="6861.2" maxValue="1218522.2080000001"/>
    </cacheField>
    <cacheField name="Anuidade PJ - Exerc._x000a_Exec. %" numFmtId="168">
      <sharedItems containsSemiMixedTypes="0" containsString="0" containsNumber="1" minValue="0.18707688503732045" maxValue="5.3836422047806538"/>
    </cacheField>
    <cacheField name="Anuidade PJ - Ex. Ant._x000a_Exec." numFmtId="0">
      <sharedItems containsSemiMixedTypes="0" containsString="0" containsNumber="1" minValue="1966.424" maxValue="847348"/>
    </cacheField>
    <cacheField name="Anuidade PJ - Ex. Ant._x000a_Previsto" numFmtId="0">
      <sharedItems containsSemiMixedTypes="0" containsString="0" containsNumber="1" minValue="5896.87" maxValue="507349.61600000004"/>
    </cacheField>
    <cacheField name="Anuidade PJ - Ex. Ant._x000a_Exec. %" numFmtId="168">
      <sharedItems containsSemiMixedTypes="0" containsString="0" containsNumber="1" minValue="0.26316226069873122" maxValue="3.8814197333333333"/>
    </cacheField>
    <cacheField name="RRT_x000a_Exec." numFmtId="0">
      <sharedItems containsSemiMixedTypes="0" containsString="0" containsNumber="1" minValue="114038.064" maxValue="23228301.120000005"/>
    </cacheField>
    <cacheField name="RRT_x000a_Previsto" numFmtId="0">
      <sharedItems containsSemiMixedTypes="0" containsString="0" containsNumber="1" minValue="119732.91" maxValue="31198029.792000003"/>
    </cacheField>
    <cacheField name="RRT_x000a_Exec. %" numFmtId="168">
      <sharedItems containsSemiMixedTypes="0" containsString="0" containsNumber="1" minValue="0.65995280955771407" maxValue="1.0906561005239206"/>
    </cacheField>
    <cacheField name="Taxas_x000a_Exec." numFmtId="0">
      <sharedItems containsSemiMixedTypes="0" containsString="0" containsNumber="1" minValue="5227.6720000000005" maxValue="2248403.6339999996"/>
    </cacheField>
    <cacheField name="Taxas_x000a_Previsto" numFmtId="0">
      <sharedItems containsSemiMixedTypes="0" containsString="0" containsNumber="1" minValue="7156.77" maxValue="2200201.1920000003"/>
    </cacheField>
    <cacheField name="Taxas_x000a_Exec. %" numFmtId="168">
      <sharedItems containsSemiMixedTypes="0" containsString="0" containsNumber="1" minValue="0.68990775287117379" maxValue="1.6032987386989574"/>
    </cacheField>
    <cacheField name="PF Ativos_x000a_Exec." numFmtId="167">
      <sharedItems containsSemiMixedTypes="0" containsString="0" containsNumber="1" containsInteger="1" minValue="253" maxValue="66788"/>
    </cacheField>
    <cacheField name="Var_x000a_PF - Ativos_x000a_2022 x 2021" numFmtId="167">
      <sharedItems containsSemiMixedTypes="0" containsString="0" containsNumber="1" containsInteger="1" minValue="7" maxValue="1776"/>
    </cacheField>
    <cacheField name="Previsto PF" numFmtId="167">
      <sharedItems containsSemiMixedTypes="0" containsString="0" containsNumber="1" minValue="255" maxValue="67463"/>
    </cacheField>
    <cacheField name="% de exerc. - PF" numFmtId="168">
      <sharedItems containsSemiMixedTypes="0" containsString="0" containsNumber="1" minValue="0.96169777825595781" maxValue="1.0283477892955364"/>
    </cacheField>
    <cacheField name="PJ Ativos" numFmtId="167">
      <sharedItems containsSemiMixedTypes="0" containsString="0" containsNumber="1" containsInteger="1" minValue="67" maxValue="8410"/>
    </cacheField>
    <cacheField name="Var_x000a_PJ - Ativos_x000a_2022 x 2021" numFmtId="167">
      <sharedItems containsSemiMixedTypes="0" containsString="0" containsNumber="1" containsInteger="1" minValue="4" maxValue="365"/>
    </cacheField>
    <cacheField name="Previsto PJ" numFmtId="167">
      <sharedItems containsSemiMixedTypes="0" containsString="0" containsNumber="1" containsInteger="1" minValue="64" maxValue="8228"/>
    </cacheField>
    <cacheField name="% de exerc. - PJ" numFmtId="168">
      <sharedItems containsSemiMixedTypes="0" containsString="0" containsNumber="1" minValue="0.90151515151515149" maxValue="1.1381818181818182"/>
    </cacheField>
    <cacheField name="RRT_x000a_Executado" numFmtId="167">
      <sharedItems containsSemiMixedTypes="0" containsString="0" containsNumber="1" containsInteger="1" minValue="1296" maxValue="265567"/>
    </cacheField>
    <cacheField name="Previsto - RRT" numFmtId="167">
      <sharedItems containsSemiMixedTypes="0" containsString="0" containsNumber="1" containsInteger="1" minValue="1377" maxValue="358796"/>
    </cacheField>
    <cacheField name="Méd/Prof_x000a_Executado" numFmtId="169">
      <sharedItems containsSemiMixedTypes="0" containsString="0" containsNumber="1" minValue="2.0081216774955699" maxValue="7.0129156361637817"/>
    </cacheField>
    <cacheField name="Méd/Prof_x000a_Previsto" numFmtId="169">
      <sharedItems containsSemiMixedTypes="0" containsString="0" containsNumber="1" minValue="2.5190962883270576" maxValue="9.5774496644295297"/>
    </cacheField>
    <cacheField name="PF_x000a_Qnt Pot Pag._x000a_Exec." numFmtId="167">
      <sharedItems containsSemiMixedTypes="0" containsString="0" containsNumber="1" containsInteger="1" minValue="245" maxValue="62629"/>
    </cacheField>
    <cacheField name="PF Qnt Pag._x000a_Exec." numFmtId="167">
      <sharedItems containsSemiMixedTypes="0" containsString="0" containsNumber="1" containsInteger="1" minValue="134" maxValue="40448"/>
    </cacheField>
    <cacheField name="Adimp. PF_x000a_Exec." numFmtId="168">
      <sharedItems containsSemiMixedTypes="0" containsString="0" containsNumber="1" minValue="0.47005988023952094" maxValue="0.84350393700787396"/>
    </cacheField>
    <cacheField name="PF_x000a_Qnt Pot Pag._x000a_Previsto" numFmtId="177">
      <sharedItems containsSemiMixedTypes="0" containsString="0" containsNumber="1" minValue="246" maxValue="63084"/>
    </cacheField>
    <cacheField name="PF Qnt Pag._x000a_Previsto" numFmtId="177">
      <sharedItems containsSemiMixedTypes="0" containsString="0" containsNumber="1" containsInteger="1" minValue="166" maxValue="46118"/>
    </cacheField>
    <cacheField name="Adimp. PF_x000a_Previsto" numFmtId="168">
      <sharedItems containsSemiMixedTypes="0" containsString="0" containsNumber="1" minValue="0.59064994298745721" maxValue="0.97163814180929098"/>
    </cacheField>
    <cacheField name="PJ Pagantes_x000a_Exec." numFmtId="177">
      <sharedItems containsSemiMixedTypes="0" containsString="0" containsNumber="1" containsInteger="1" minValue="15" maxValue="4432"/>
    </cacheField>
    <cacheField name="Adimp. PJ_x000a_Exec." numFmtId="168">
      <sharedItems containsSemiMixedTypes="0" containsString="0" containsNumber="1" minValue="0.22388059701492538" maxValue="0.63488843813387419"/>
    </cacheField>
    <cacheField name="PJ Pagante_x000a_Previsto" numFmtId="177">
      <sharedItems containsSemiMixedTypes="0" containsString="0" containsNumber="1" containsInteger="1" minValue="25" maxValue="4832"/>
    </cacheField>
    <cacheField name="Adimp. PJ_x000a_Previsto PJ" numFmtId="168">
      <sharedItems containsSemiMixedTypes="0" containsString="0" containsNumber="1" minValue="0.31428571428571428" maxValue="0.76239669421487599"/>
    </cacheField>
    <cacheField name="Masculino" numFmtId="167">
      <sharedItems containsSemiMixedTypes="0" containsString="0" containsNumber="1" containsInteger="1" minValue="97" maxValue="24494"/>
    </cacheField>
    <cacheField name="Feminino" numFmtId="167">
      <sharedItems containsSemiMixedTypes="0" containsString="0" containsNumber="1" containsInteger="1" minValue="156" maxValue="42294"/>
    </cacheField>
    <cacheField name="Egressos" numFmtId="167">
      <sharedItems containsSemiMixedTypes="0" containsString="0" containsNumber="1" containsInteger="1" minValue="6" maxValue="1375"/>
    </cacheField>
    <cacheField name="Previsto - Egressos" numFmtId="167">
      <sharedItems containsSemiMixedTypes="0" containsString="0" containsNumber="1" containsInteger="1" minValue="9" maxValue="2709"/>
    </cacheField>
    <cacheField name="% de exec. - Egressos" numFmtId="168">
      <sharedItems containsSemiMixedTypes="0" containsString="0" containsNumber="1" minValue="0.46339285714285716" maxValue="1.1728395061728396"/>
    </cacheField>
    <cacheField name="Receita_x000a_PF_x000a_2022" numFmtId="44">
      <sharedItems containsSemiMixedTypes="0" containsString="0" containsNumber="1" minValue="145826.93599999999" maxValue="9343527.1360000018"/>
    </cacheField>
    <cacheField name="Receita_x000a_PF_x000a_2021" numFmtId="44">
      <sharedItems containsSemiMixedTypes="0" containsString="0" containsNumber="1" minValue="46641.024000000005" maxValue="14365482.448000001"/>
    </cacheField>
    <cacheField name="Var_x000a_PF_x000a_YOY" numFmtId="168">
      <sharedItems containsSemiMixedTypes="0" containsString="0" containsNumber="1" minValue="-0.34958486985580972" maxValue="18.849339390080086"/>
    </cacheField>
    <cacheField name="Receita_x000a_PF - Ex Ant_x000a_2022" numFmtId="44">
      <sharedItems containsSemiMixedTypes="0" containsString="0" containsNumber="1" minValue="38199.704000000012" maxValue="1983188.5999999996"/>
    </cacheField>
    <cacheField name="Receita_x000a_PF - Ex Ant_x000a_2021" numFmtId="44">
      <sharedItems containsSemiMixedTypes="0" containsString="0" containsNumber="1" minValue="12742.648000000001" maxValue="4118164.5599999996"/>
    </cacheField>
    <cacheField name="Var_x000a_PF Ex Ant_x000a_YOY" numFmtId="168">
      <sharedItems containsSemiMixedTypes="0" containsString="0" containsNumber="1" minValue="-0.63464235921645629" maxValue="12.96978052554064"/>
    </cacheField>
    <cacheField name="Receita_x000a_PJ_x000a_2022" numFmtId="44">
      <sharedItems containsSemiMixedTypes="0" containsString="0" containsNumber="1" minValue="10895.152000000002" maxValue="582202.19200000004"/>
    </cacheField>
    <cacheField name="Receita_x000a_PJ_x000a_2021" numFmtId="44">
      <sharedItems containsSemiMixedTypes="0" containsString="0" containsNumber="1" minValue="5423.1440000000002" maxValue="1193124.4480000001"/>
    </cacheField>
    <cacheField name="Var_x000a_PJ_x000a_YOY" numFmtId="168">
      <sharedItems containsSemiMixedTypes="0" containsString="0" containsNumber="1" minValue="-0.76884628216083628" maxValue="26.778624567242915"/>
    </cacheField>
    <cacheField name="Receita_x000a_PJ - Ex Ant_x000a_2022" numFmtId="44">
      <sharedItems containsSemiMixedTypes="0" containsString="0" containsNumber="1" minValue="6046.6240000000007" maxValue="611816.19999999995"/>
    </cacheField>
    <cacheField name="Receita_x000a_PJ - Ex Ant_x000a_2021" numFmtId="44">
      <sharedItems containsSemiMixedTypes="0" containsString="0" containsNumber="1" minValue="390.8" maxValue="589577.81600000011"/>
    </cacheField>
    <cacheField name="Var_x000a_PJ Ex Ant_x000a_YOY" numFmtId="168">
      <sharedItems containsSemiMixedTypes="0" containsString="0" containsNumber="1" minValue="-0.57845956617572392" maxValue="59.898369503764087"/>
    </cacheField>
    <cacheField name="Receita_x000a_RRT_x000a_2022" numFmtId="44">
      <sharedItems containsSemiMixedTypes="0" containsString="0" containsNumber="1" minValue="199212.12000000002" maxValue="16396714.608000001"/>
    </cacheField>
    <cacheField name="Receita_x000a_RRT_x000a_2021" numFmtId="44">
      <sharedItems containsSemiMixedTypes="0" containsString="0" containsNumber="1" minValue="90506.040000000008" maxValue="20298903.335999999"/>
    </cacheField>
    <cacheField name="Var_x000a_RRT_x000a_YOY" numFmtId="168">
      <sharedItems containsSemiMixedTypes="0" containsString="0" containsNumber="1" minValue="-0.63446765151884654" maxValue="29.514234616203336"/>
    </cacheField>
    <cacheField name="Receita_x000a_Taxas_x000a_2022" numFmtId="44">
      <sharedItems containsSemiMixedTypes="0" containsString="0" containsNumber="1" minValue="26745.144" maxValue="1557509.4659999998"/>
    </cacheField>
    <cacheField name="Receita_x000a_Taxas_x000a_2021" numFmtId="44">
      <sharedItems containsSemiMixedTypes="0" containsString="0" containsNumber="1" minValue="5743.9920000000002" maxValue="2356331.8820000021"/>
    </cacheField>
    <cacheField name="Var_x000a_Taxas_x000a_YOY" numFmtId="168">
      <sharedItems containsSemiMixedTypes="0" containsString="0" containsNumber="1" minValue="-0.68511359979977571" maxValue="26.473900147523803"/>
    </cacheField>
    <cacheField name="Ano anterior_x000a_TOTAL acumulado" numFmtId="44">
      <sharedItems containsSemiMixedTypes="0" containsString="0" containsNumber="1" minValue="161447.64800000002" maxValue="42921584.489999995"/>
    </cacheField>
    <cacheField name="YOY_x000a_% de exec." numFmtId="168">
      <sharedItems containsSemiMixedTypes="0" containsString="0" containsNumber="1" minValue="-0.11845553150238997" maxValue="0.30280797269706583"/>
    </cacheField>
    <cacheField name="% de exec._x000a_x Previsto" numFmtId="168">
      <sharedItems containsSemiMixedTypes="0" containsString="0" containsNumber="1" minValue="0.6617188510847668" maxValue="1.0355503292441026"/>
    </cacheField>
    <cacheField name="PF + PJ" numFmtId="167">
      <sharedItems containsSemiMixedTypes="0" containsString="0" containsNumber="1" containsInteger="1" minValue="320" maxValue="75198"/>
    </cacheField>
    <cacheField name="PF / Receita Ex" numFmtId="0" formula="#NAME?/#NAME?" databaseField="0"/>
    <cacheField name="Ativos Total (PF + PJ)" numFmtId="0" formula="#NAME?+#NAME?" databaseField="0"/>
    <cacheField name="PF + PJ2" numFmtId="0" formula="'PF Ativos_x000a_Exec.'+'PJ Ativos'" databaseField="0"/>
  </cacheFields>
  <extLst>
    <ext xmlns:x14="http://schemas.microsoft.com/office/spreadsheetml/2009/9/main" uri="{725AE2AE-9491-48be-B2B4-4EB974FC3084}">
      <x14:pivotCacheDefinition pivotCacheId="1599593090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Marcos Cristino de Oliveira" refreshedDate="44839.540237384259" createdVersion="6" refreshedVersion="6" minRefreshableVersion="3" recordCount="216">
  <cacheSource type="worksheet">
    <worksheetSource ref="A1:J217" sheet="RRTs pagos por Grupo"/>
  </cacheSource>
  <cacheFields count="11">
    <cacheField name="periodo" numFmtId="17">
      <sharedItems containsSemiMixedTypes="0" containsNonDate="0" containsDate="1" containsString="0" minDate="2022-01-01T00:00:00" maxDate="2022-08-02T00:00:00" count="8"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</sharedItems>
      <fieldGroup par="10" base="0">
        <rangePr groupBy="days" startDate="2022-01-01T00:00:00" endDate="2022-08-02T00:00:00"/>
        <groupItems count="368">
          <s v="&lt;01/01/2022"/>
          <s v="01/jan"/>
          <s v="02/jan"/>
          <s v="03/jan"/>
          <s v="04/jan"/>
          <s v="05/jan"/>
          <s v="06/jan"/>
          <s v="07/jan"/>
          <s v="08/jan"/>
          <s v="09/jan"/>
          <s v="10/jan"/>
          <s v="11/jan"/>
          <s v="12/jan"/>
          <s v="13/jan"/>
          <s v="14/jan"/>
          <s v="15/jan"/>
          <s v="16/jan"/>
          <s v="17/jan"/>
          <s v="18/jan"/>
          <s v="19/jan"/>
          <s v="20/jan"/>
          <s v="21/jan"/>
          <s v="22/jan"/>
          <s v="23/jan"/>
          <s v="24/jan"/>
          <s v="25/jan"/>
          <s v="26/jan"/>
          <s v="27/jan"/>
          <s v="28/jan"/>
          <s v="29/jan"/>
          <s v="30/jan"/>
          <s v="31/jan"/>
          <s v="01/fev"/>
          <s v="02/fev"/>
          <s v="03/fev"/>
          <s v="04/fev"/>
          <s v="05/fev"/>
          <s v="06/fev"/>
          <s v="07/fev"/>
          <s v="08/fev"/>
          <s v="09/fev"/>
          <s v="10/fev"/>
          <s v="11/fev"/>
          <s v="12/fev"/>
          <s v="13/fev"/>
          <s v="14/fev"/>
          <s v="15/fev"/>
          <s v="16/fev"/>
          <s v="17/fev"/>
          <s v="18/fev"/>
          <s v="19/fev"/>
          <s v="20/fev"/>
          <s v="21/fev"/>
          <s v="22/fev"/>
          <s v="23/fev"/>
          <s v="24/fev"/>
          <s v="25/fev"/>
          <s v="26/fev"/>
          <s v="27/fev"/>
          <s v="28/fev"/>
          <s v="29/fev"/>
          <s v="01/mar"/>
          <s v="02/mar"/>
          <s v="03/mar"/>
          <s v="04/mar"/>
          <s v="05/mar"/>
          <s v="06/mar"/>
          <s v="07/mar"/>
          <s v="08/mar"/>
          <s v="09/mar"/>
          <s v="10/mar"/>
          <s v="11/mar"/>
          <s v="12/mar"/>
          <s v="13/mar"/>
          <s v="14/mar"/>
          <s v="15/mar"/>
          <s v="16/mar"/>
          <s v="17/mar"/>
          <s v="18/mar"/>
          <s v="19/mar"/>
          <s v="20/mar"/>
          <s v="21/mar"/>
          <s v="22/mar"/>
          <s v="23/mar"/>
          <s v="24/mar"/>
          <s v="25/mar"/>
          <s v="26/mar"/>
          <s v="27/mar"/>
          <s v="28/mar"/>
          <s v="29/mar"/>
          <s v="30/mar"/>
          <s v="31/mar"/>
          <s v="01/abr"/>
          <s v="02/abr"/>
          <s v="03/abr"/>
          <s v="04/abr"/>
          <s v="05/abr"/>
          <s v="06/abr"/>
          <s v="07/abr"/>
          <s v="08/abr"/>
          <s v="09/abr"/>
          <s v="10/abr"/>
          <s v="11/abr"/>
          <s v="12/abr"/>
          <s v="13/abr"/>
          <s v="14/abr"/>
          <s v="15/abr"/>
          <s v="16/abr"/>
          <s v="17/abr"/>
          <s v="18/abr"/>
          <s v="19/abr"/>
          <s v="20/abr"/>
          <s v="21/abr"/>
          <s v="22/abr"/>
          <s v="23/abr"/>
          <s v="24/abr"/>
          <s v="25/abr"/>
          <s v="26/abr"/>
          <s v="27/abr"/>
          <s v="28/abr"/>
          <s v="29/abr"/>
          <s v="30/abr"/>
          <s v="01/mai"/>
          <s v="02/mai"/>
          <s v="03/mai"/>
          <s v="04/mai"/>
          <s v="05/mai"/>
          <s v="06/mai"/>
          <s v="07/mai"/>
          <s v="08/mai"/>
          <s v="09/mai"/>
          <s v="10/mai"/>
          <s v="11/mai"/>
          <s v="12/mai"/>
          <s v="13/mai"/>
          <s v="14/mai"/>
          <s v="15/mai"/>
          <s v="16/mai"/>
          <s v="17/mai"/>
          <s v="18/mai"/>
          <s v="19/mai"/>
          <s v="20/mai"/>
          <s v="21/mai"/>
          <s v="22/mai"/>
          <s v="23/mai"/>
          <s v="24/mai"/>
          <s v="25/mai"/>
          <s v="26/mai"/>
          <s v="27/mai"/>
          <s v="28/mai"/>
          <s v="29/mai"/>
          <s v="30/mai"/>
          <s v="31/mai"/>
          <s v="01/jun"/>
          <s v="02/jun"/>
          <s v="03/jun"/>
          <s v="04/jun"/>
          <s v="05/jun"/>
          <s v="06/jun"/>
          <s v="07/jun"/>
          <s v="08/jun"/>
          <s v="09/jun"/>
          <s v="10/jun"/>
          <s v="11/jun"/>
          <s v="12/jun"/>
          <s v="13/jun"/>
          <s v="14/jun"/>
          <s v="15/jun"/>
          <s v="16/jun"/>
          <s v="17/jun"/>
          <s v="18/jun"/>
          <s v="19/jun"/>
          <s v="20/jun"/>
          <s v="21/jun"/>
          <s v="22/jun"/>
          <s v="23/jun"/>
          <s v="24/jun"/>
          <s v="25/jun"/>
          <s v="26/jun"/>
          <s v="27/jun"/>
          <s v="28/jun"/>
          <s v="29/jun"/>
          <s v="30/jun"/>
          <s v="01/jul"/>
          <s v="02/jul"/>
          <s v="03/jul"/>
          <s v="04/jul"/>
          <s v="05/jul"/>
          <s v="06/jul"/>
          <s v="07/jul"/>
          <s v="08/jul"/>
          <s v="09/jul"/>
          <s v="10/jul"/>
          <s v="11/jul"/>
          <s v="12/jul"/>
          <s v="13/jul"/>
          <s v="14/jul"/>
          <s v="15/jul"/>
          <s v="16/jul"/>
          <s v="17/jul"/>
          <s v="18/jul"/>
          <s v="19/jul"/>
          <s v="20/jul"/>
          <s v="21/jul"/>
          <s v="22/jul"/>
          <s v="23/jul"/>
          <s v="24/jul"/>
          <s v="25/jul"/>
          <s v="26/jul"/>
          <s v="27/jul"/>
          <s v="28/jul"/>
          <s v="29/jul"/>
          <s v="30/jul"/>
          <s v="31/jul"/>
          <s v="01/ago"/>
          <s v="02/ago"/>
          <s v="03/ago"/>
          <s v="04/ago"/>
          <s v="05/ago"/>
          <s v="06/ago"/>
          <s v="07/ago"/>
          <s v="08/ago"/>
          <s v="09/ago"/>
          <s v="10/ago"/>
          <s v="11/ago"/>
          <s v="12/ago"/>
          <s v="13/ago"/>
          <s v="14/ago"/>
          <s v="15/ago"/>
          <s v="16/ago"/>
          <s v="17/ago"/>
          <s v="18/ago"/>
          <s v="19/ago"/>
          <s v="20/ago"/>
          <s v="21/ago"/>
          <s v="22/ago"/>
          <s v="23/ago"/>
          <s v="24/ago"/>
          <s v="25/ago"/>
          <s v="26/ago"/>
          <s v="27/ago"/>
          <s v="28/ago"/>
          <s v="29/ago"/>
          <s v="30/ago"/>
          <s v="31/ago"/>
          <s v="01/set"/>
          <s v="02/set"/>
          <s v="03/set"/>
          <s v="04/set"/>
          <s v="05/set"/>
          <s v="06/set"/>
          <s v="07/set"/>
          <s v="08/set"/>
          <s v="09/set"/>
          <s v="10/set"/>
          <s v="11/set"/>
          <s v="12/set"/>
          <s v="13/set"/>
          <s v="14/set"/>
          <s v="15/set"/>
          <s v="16/set"/>
          <s v="17/set"/>
          <s v="18/set"/>
          <s v="19/set"/>
          <s v="20/set"/>
          <s v="21/set"/>
          <s v="22/set"/>
          <s v="23/set"/>
          <s v="24/set"/>
          <s v="25/set"/>
          <s v="26/set"/>
          <s v="27/set"/>
          <s v="28/set"/>
          <s v="29/set"/>
          <s v="30/set"/>
          <s v="01/out"/>
          <s v="02/out"/>
          <s v="03/out"/>
          <s v="04/out"/>
          <s v="05/out"/>
          <s v="06/out"/>
          <s v="07/out"/>
          <s v="08/out"/>
          <s v="09/out"/>
          <s v="10/out"/>
          <s v="11/out"/>
          <s v="12/out"/>
          <s v="13/out"/>
          <s v="14/out"/>
          <s v="15/out"/>
          <s v="16/out"/>
          <s v="17/out"/>
          <s v="18/out"/>
          <s v="19/out"/>
          <s v="20/out"/>
          <s v="21/out"/>
          <s v="22/out"/>
          <s v="23/out"/>
          <s v="24/out"/>
          <s v="25/out"/>
          <s v="26/out"/>
          <s v="27/out"/>
          <s v="28/out"/>
          <s v="29/out"/>
          <s v="30/out"/>
          <s v="31/out"/>
          <s v="01/nov"/>
          <s v="02/nov"/>
          <s v="03/nov"/>
          <s v="04/nov"/>
          <s v="05/nov"/>
          <s v="06/nov"/>
          <s v="07/nov"/>
          <s v="08/nov"/>
          <s v="09/nov"/>
          <s v="10/nov"/>
          <s v="11/nov"/>
          <s v="12/nov"/>
          <s v="13/nov"/>
          <s v="14/nov"/>
          <s v="15/nov"/>
          <s v="16/nov"/>
          <s v="17/nov"/>
          <s v="18/nov"/>
          <s v="19/nov"/>
          <s v="20/nov"/>
          <s v="21/nov"/>
          <s v="22/nov"/>
          <s v="23/nov"/>
          <s v="24/nov"/>
          <s v="25/nov"/>
          <s v="26/nov"/>
          <s v="27/nov"/>
          <s v="28/nov"/>
          <s v="29/nov"/>
          <s v="30/nov"/>
          <s v="01/dez"/>
          <s v="02/dez"/>
          <s v="03/dez"/>
          <s v="04/dez"/>
          <s v="05/dez"/>
          <s v="06/dez"/>
          <s v="07/dez"/>
          <s v="08/dez"/>
          <s v="09/dez"/>
          <s v="10/dez"/>
          <s v="11/dez"/>
          <s v="12/dez"/>
          <s v="13/dez"/>
          <s v="14/dez"/>
          <s v="15/dez"/>
          <s v="16/dez"/>
          <s v="17/dez"/>
          <s v="18/dez"/>
          <s v="19/dez"/>
          <s v="20/dez"/>
          <s v="21/dez"/>
          <s v="22/dez"/>
          <s v="23/dez"/>
          <s v="24/dez"/>
          <s v="25/dez"/>
          <s v="26/dez"/>
          <s v="27/dez"/>
          <s v="28/dez"/>
          <s v="29/dez"/>
          <s v="30/dez"/>
          <s v="31/dez"/>
          <s v="&gt;02/08/2022"/>
        </groupItems>
      </fieldGroup>
    </cacheField>
    <cacheField name="uf" numFmtId="0">
      <sharedItems/>
    </cacheField>
    <cacheField name="qtde_total" numFmtId="0">
      <sharedItems containsSemiMixedTypes="0" containsString="0" containsNumber="1" containsInteger="1" minValue="129" maxValue="33179"/>
    </cacheField>
    <cacheField name="Ensino e Pesquisa" numFmtId="0">
      <sharedItems containsString="0" containsBlank="1" containsNumber="1" containsInteger="1" minValue="1" maxValue="31"/>
    </cacheField>
    <cacheField name="Execução" numFmtId="0">
      <sharedItems containsSemiMixedTypes="0" containsString="0" containsNumber="1" containsInteger="1" minValue="30" maxValue="13590"/>
    </cacheField>
    <cacheField name="Projeto" numFmtId="0">
      <sharedItems containsSemiMixedTypes="0" containsString="0" containsNumber="1" containsInteger="1" minValue="81" maxValue="14669"/>
    </cacheField>
    <cacheField name="Engenharia de Seg. Trab." numFmtId="0">
      <sharedItems containsString="0" containsBlank="1" containsNumber="1" containsInteger="1" minValue="1" maxValue="421"/>
    </cacheField>
    <cacheField name="Gestão" numFmtId="0">
      <sharedItems containsSemiMixedTypes="0" containsString="0" containsNumber="1" containsInteger="1" minValue="3" maxValue="1903"/>
    </cacheField>
    <cacheField name="Atividades Especiais" numFmtId="0">
      <sharedItems containsSemiMixedTypes="0" containsString="0" containsNumber="1" containsInteger="1" minValue="3" maxValue="4289"/>
    </cacheField>
    <cacheField name="Meio Ambiente e Plan. Reg. Urb." numFmtId="0">
      <sharedItems containsString="0" containsBlank="1" containsNumber="1" containsInteger="1" minValue="1" maxValue="537"/>
    </cacheField>
    <cacheField name="Meses" numFmtId="0" databaseField="0">
      <fieldGroup base="0">
        <rangePr groupBy="months" startDate="2022-01-01T00:00:00" endDate="2022-08-02T00:00:00"/>
        <groupItems count="14">
          <s v="&lt;01/01/2022"/>
          <s v="jan"/>
          <s v="fev"/>
          <s v="mar"/>
          <s v="abr"/>
          <s v="mai"/>
          <s v="jun"/>
          <s v="jul"/>
          <s v="ago"/>
          <s v="set"/>
          <s v="out"/>
          <s v="nov"/>
          <s v="dez"/>
          <s v="&gt;02/08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Marcos Cristino de Oliveira" refreshedDate="44839.540263541669" createdVersion="6" refreshedVersion="6" minRefreshableVersion="3" recordCount="244">
  <cacheSource type="worksheet">
    <worksheetSource ref="A1:J1048576" sheet="RRTs pagos por Grupo"/>
  </cacheSource>
  <cacheFields count="10">
    <cacheField name="periodo" numFmtId="0">
      <sharedItems containsNonDate="0" containsDate="1" containsString="0" containsBlank="1" minDate="2022-01-01T00:00:00" maxDate="2022-09-02T00:00:00"/>
    </cacheField>
    <cacheField name="uf" numFmtId="0">
      <sharedItems containsBlank="1" count="28">
        <s v="AC"/>
        <s v="AL"/>
        <s v="AM"/>
        <s v="AP"/>
        <s v="BA"/>
        <s v="CE"/>
        <s v="DF"/>
        <s v="ES"/>
        <s v="GO"/>
        <s v="MA"/>
        <s v="MG"/>
        <s v="MS"/>
        <s v="MT"/>
        <s v="PA"/>
        <s v="PB"/>
        <s v="PE"/>
        <s v="PI"/>
        <s v="PR"/>
        <s v="RJ"/>
        <s v="RN"/>
        <s v="RO"/>
        <s v="RR"/>
        <s v="RS"/>
        <s v="SC"/>
        <s v="SE"/>
        <s v="SP"/>
        <s v="TO"/>
        <m/>
      </sharedItems>
    </cacheField>
    <cacheField name="qtde_total" numFmtId="0">
      <sharedItems containsString="0" containsBlank="1" containsNumber="1" containsInteger="1" minValue="129" maxValue="33179"/>
    </cacheField>
    <cacheField name="Ensino e Pesquisa" numFmtId="0">
      <sharedItems containsString="0" containsBlank="1" containsNumber="1" containsInteger="1" minValue="1" maxValue="31"/>
    </cacheField>
    <cacheField name="Execução" numFmtId="0">
      <sharedItems containsString="0" containsBlank="1" containsNumber="1" containsInteger="1" minValue="26" maxValue="13590"/>
    </cacheField>
    <cacheField name="Projeto" numFmtId="0">
      <sharedItems containsString="0" containsBlank="1" containsNumber="1" containsInteger="1" minValue="81" maxValue="14669"/>
    </cacheField>
    <cacheField name="Engenharia de Seg. Trab." numFmtId="0">
      <sharedItems containsString="0" containsBlank="1" containsNumber="1" containsInteger="1" minValue="1" maxValue="421"/>
    </cacheField>
    <cacheField name="Gestão" numFmtId="0">
      <sharedItems containsString="0" containsBlank="1" containsNumber="1" containsInteger="1" minValue="3" maxValue="1903"/>
    </cacheField>
    <cacheField name="Atividades Especiais" numFmtId="0">
      <sharedItems containsString="0" containsBlank="1" containsNumber="1" containsInteger="1" minValue="3" maxValue="4289"/>
    </cacheField>
    <cacheField name="Meio Ambiente e Plan. Reg. Urb." numFmtId="0">
      <sharedItems containsString="0" containsBlank="1" containsNumber="1" containsInteger="1" minValue="1" maxValue="537"/>
    </cacheField>
  </cacheFields>
  <extLst>
    <ext xmlns:x14="http://schemas.microsoft.com/office/spreadsheetml/2009/9/main" uri="{725AE2AE-9491-48be-B2B4-4EB974FC3084}">
      <x14:pivotCacheDefinition pivotCacheId="159959309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4">
  <r>
    <x v="0"/>
    <x v="0"/>
    <n v="206"/>
  </r>
  <r>
    <x v="1"/>
    <x v="0"/>
    <n v="518"/>
  </r>
  <r>
    <x v="2"/>
    <x v="0"/>
    <n v="452"/>
  </r>
  <r>
    <x v="3"/>
    <x v="0"/>
    <n v="303"/>
  </r>
  <r>
    <x v="4"/>
    <x v="0"/>
    <n v="1330"/>
  </r>
  <r>
    <x v="5"/>
    <x v="0"/>
    <n v="1024"/>
  </r>
  <r>
    <x v="6"/>
    <x v="0"/>
    <n v="1381"/>
  </r>
  <r>
    <x v="7"/>
    <x v="0"/>
    <n v="1147"/>
  </r>
  <r>
    <x v="8"/>
    <x v="0"/>
    <n v="2127"/>
  </r>
  <r>
    <x v="9"/>
    <x v="0"/>
    <n v="358"/>
  </r>
  <r>
    <x v="10"/>
    <x v="0"/>
    <n v="4297"/>
  </r>
  <r>
    <x v="11"/>
    <x v="0"/>
    <n v="1306"/>
  </r>
  <r>
    <x v="12"/>
    <x v="0"/>
    <n v="1902"/>
  </r>
  <r>
    <x v="13"/>
    <x v="0"/>
    <n v="577"/>
  </r>
  <r>
    <x v="14"/>
    <x v="0"/>
    <n v="798"/>
  </r>
  <r>
    <x v="15"/>
    <x v="0"/>
    <n v="1405"/>
  </r>
  <r>
    <x v="16"/>
    <x v="0"/>
    <n v="423"/>
  </r>
  <r>
    <x v="17"/>
    <x v="0"/>
    <n v="5118"/>
  </r>
  <r>
    <x v="18"/>
    <x v="0"/>
    <n v="4698"/>
  </r>
  <r>
    <x v="19"/>
    <x v="0"/>
    <n v="579"/>
  </r>
  <r>
    <x v="20"/>
    <x v="0"/>
    <n v="708"/>
  </r>
  <r>
    <x v="21"/>
    <x v="0"/>
    <n v="110"/>
  </r>
  <r>
    <x v="22"/>
    <x v="0"/>
    <n v="7312"/>
  </r>
  <r>
    <x v="23"/>
    <x v="0"/>
    <n v="3596"/>
  </r>
  <r>
    <x v="24"/>
    <x v="0"/>
    <n v="644"/>
  </r>
  <r>
    <x v="25"/>
    <x v="0"/>
    <n v="23874"/>
  </r>
  <r>
    <x v="26"/>
    <x v="0"/>
    <n v="303"/>
  </r>
  <r>
    <x v="0"/>
    <x v="1"/>
    <n v="171"/>
  </r>
  <r>
    <x v="1"/>
    <x v="2"/>
    <n v="494"/>
  </r>
  <r>
    <x v="2"/>
    <x v="3"/>
    <n v="465"/>
  </r>
  <r>
    <x v="3"/>
    <x v="4"/>
    <n v="296"/>
  </r>
  <r>
    <x v="4"/>
    <x v="5"/>
    <n v="1408"/>
  </r>
  <r>
    <x v="5"/>
    <x v="6"/>
    <n v="835"/>
  </r>
  <r>
    <x v="6"/>
    <x v="7"/>
    <n v="1188"/>
  </r>
  <r>
    <x v="7"/>
    <x v="8"/>
    <n v="881"/>
  </r>
  <r>
    <x v="8"/>
    <x v="9"/>
    <n v="1928"/>
  </r>
  <r>
    <x v="9"/>
    <x v="10"/>
    <n v="334"/>
  </r>
  <r>
    <x v="10"/>
    <x v="11"/>
    <n v="3418"/>
  </r>
  <r>
    <x v="11"/>
    <x v="12"/>
    <n v="1444"/>
  </r>
  <r>
    <x v="12"/>
    <x v="13"/>
    <n v="1921"/>
  </r>
  <r>
    <x v="13"/>
    <x v="14"/>
    <n v="524"/>
  </r>
  <r>
    <x v="14"/>
    <x v="15"/>
    <n v="689"/>
  </r>
  <r>
    <x v="15"/>
    <x v="16"/>
    <n v="1258"/>
  </r>
  <r>
    <x v="16"/>
    <x v="17"/>
    <n v="325"/>
  </r>
  <r>
    <x v="17"/>
    <x v="18"/>
    <n v="5312"/>
  </r>
  <r>
    <x v="18"/>
    <x v="19"/>
    <n v="4050"/>
  </r>
  <r>
    <x v="19"/>
    <x v="20"/>
    <n v="528"/>
  </r>
  <r>
    <x v="20"/>
    <x v="21"/>
    <n v="682"/>
  </r>
  <r>
    <x v="21"/>
    <x v="22"/>
    <n v="88"/>
  </r>
  <r>
    <x v="22"/>
    <x v="23"/>
    <n v="6716"/>
  </r>
  <r>
    <x v="23"/>
    <x v="24"/>
    <n v="3804"/>
  </r>
  <r>
    <x v="24"/>
    <x v="25"/>
    <n v="505"/>
  </r>
  <r>
    <x v="25"/>
    <x v="26"/>
    <n v="23455"/>
  </r>
  <r>
    <x v="26"/>
    <x v="27"/>
    <n v="312"/>
  </r>
  <r>
    <x v="0"/>
    <x v="28"/>
    <n v="189"/>
  </r>
  <r>
    <x v="1"/>
    <x v="29"/>
    <n v="529"/>
  </r>
  <r>
    <x v="2"/>
    <x v="30"/>
    <n v="555"/>
  </r>
  <r>
    <x v="3"/>
    <x v="31"/>
    <n v="286"/>
  </r>
  <r>
    <x v="4"/>
    <x v="32"/>
    <n v="1347"/>
  </r>
  <r>
    <x v="5"/>
    <x v="33"/>
    <n v="743"/>
  </r>
  <r>
    <x v="6"/>
    <x v="34"/>
    <n v="1265"/>
  </r>
  <r>
    <x v="7"/>
    <x v="35"/>
    <n v="1052"/>
  </r>
  <r>
    <x v="8"/>
    <x v="36"/>
    <n v="2040"/>
  </r>
  <r>
    <x v="9"/>
    <x v="37"/>
    <n v="333"/>
  </r>
  <r>
    <x v="10"/>
    <x v="38"/>
    <n v="3721"/>
  </r>
  <r>
    <x v="11"/>
    <x v="39"/>
    <n v="1598"/>
  </r>
  <r>
    <x v="12"/>
    <x v="40"/>
    <n v="2367"/>
  </r>
  <r>
    <x v="13"/>
    <x v="41"/>
    <n v="564"/>
  </r>
  <r>
    <x v="14"/>
    <x v="42"/>
    <n v="763"/>
  </r>
  <r>
    <x v="15"/>
    <x v="43"/>
    <n v="1183"/>
  </r>
  <r>
    <x v="16"/>
    <x v="44"/>
    <n v="324"/>
  </r>
  <r>
    <x v="17"/>
    <x v="45"/>
    <n v="5885"/>
  </r>
  <r>
    <x v="18"/>
    <x v="46"/>
    <n v="3807"/>
  </r>
  <r>
    <x v="19"/>
    <x v="47"/>
    <n v="637"/>
  </r>
  <r>
    <x v="20"/>
    <x v="48"/>
    <n v="605"/>
  </r>
  <r>
    <x v="21"/>
    <x v="49"/>
    <n v="100"/>
  </r>
  <r>
    <x v="22"/>
    <x v="50"/>
    <n v="6925"/>
  </r>
  <r>
    <x v="23"/>
    <x v="51"/>
    <n v="4095"/>
  </r>
  <r>
    <x v="24"/>
    <x v="52"/>
    <n v="544"/>
  </r>
  <r>
    <x v="25"/>
    <x v="53"/>
    <n v="25758"/>
  </r>
  <r>
    <x v="26"/>
    <x v="54"/>
    <n v="356"/>
  </r>
  <r>
    <x v="0"/>
    <x v="55"/>
    <n v="103"/>
  </r>
  <r>
    <x v="1"/>
    <x v="56"/>
    <n v="373"/>
  </r>
  <r>
    <x v="2"/>
    <x v="57"/>
    <n v="218"/>
  </r>
  <r>
    <x v="3"/>
    <x v="58"/>
    <n v="165"/>
  </r>
  <r>
    <x v="4"/>
    <x v="59"/>
    <n v="785"/>
  </r>
  <r>
    <x v="5"/>
    <x v="60"/>
    <n v="371"/>
  </r>
  <r>
    <x v="6"/>
    <x v="61"/>
    <n v="788"/>
  </r>
  <r>
    <x v="7"/>
    <x v="62"/>
    <n v="622"/>
  </r>
  <r>
    <x v="8"/>
    <x v="63"/>
    <n v="1507"/>
  </r>
  <r>
    <x v="9"/>
    <x v="64"/>
    <n v="163"/>
  </r>
  <r>
    <x v="10"/>
    <x v="65"/>
    <n v="2618"/>
  </r>
  <r>
    <x v="11"/>
    <x v="66"/>
    <n v="1192"/>
  </r>
  <r>
    <x v="12"/>
    <x v="67"/>
    <n v="2057"/>
  </r>
  <r>
    <x v="13"/>
    <x v="68"/>
    <n v="382"/>
  </r>
  <r>
    <x v="14"/>
    <x v="69"/>
    <n v="385"/>
  </r>
  <r>
    <x v="15"/>
    <x v="70"/>
    <n v="550"/>
  </r>
  <r>
    <x v="16"/>
    <x v="71"/>
    <n v="179"/>
  </r>
  <r>
    <x v="17"/>
    <x v="72"/>
    <n v="4027"/>
  </r>
  <r>
    <x v="18"/>
    <x v="73"/>
    <n v="1664"/>
  </r>
  <r>
    <x v="19"/>
    <x v="74"/>
    <n v="361"/>
  </r>
  <r>
    <x v="20"/>
    <x v="75"/>
    <n v="547"/>
  </r>
  <r>
    <x v="21"/>
    <x v="76"/>
    <n v="53"/>
  </r>
  <r>
    <x v="22"/>
    <x v="77"/>
    <n v="4260"/>
  </r>
  <r>
    <x v="23"/>
    <x v="78"/>
    <n v="3414"/>
  </r>
  <r>
    <x v="24"/>
    <x v="79"/>
    <n v="405"/>
  </r>
  <r>
    <x v="25"/>
    <x v="80"/>
    <n v="13653"/>
  </r>
  <r>
    <x v="26"/>
    <x v="81"/>
    <n v="195"/>
  </r>
  <r>
    <x v="0"/>
    <x v="82"/>
    <n v="146"/>
  </r>
  <r>
    <x v="1"/>
    <x v="83"/>
    <n v="407"/>
  </r>
  <r>
    <x v="2"/>
    <x v="84"/>
    <n v="267"/>
  </r>
  <r>
    <x v="3"/>
    <x v="85"/>
    <n v="172"/>
  </r>
  <r>
    <x v="4"/>
    <x v="86"/>
    <n v="805"/>
  </r>
  <r>
    <x v="5"/>
    <x v="87"/>
    <n v="358"/>
  </r>
  <r>
    <x v="6"/>
    <x v="88"/>
    <n v="1019"/>
  </r>
  <r>
    <x v="7"/>
    <x v="89"/>
    <n v="846"/>
  </r>
  <r>
    <x v="8"/>
    <x v="90"/>
    <n v="1843"/>
  </r>
  <r>
    <x v="9"/>
    <x v="91"/>
    <n v="168"/>
  </r>
  <r>
    <x v="10"/>
    <x v="92"/>
    <n v="3243"/>
  </r>
  <r>
    <x v="11"/>
    <x v="93"/>
    <n v="1400"/>
  </r>
  <r>
    <x v="12"/>
    <x v="94"/>
    <n v="2519"/>
  </r>
  <r>
    <x v="13"/>
    <x v="95"/>
    <n v="282"/>
  </r>
  <r>
    <x v="14"/>
    <x v="96"/>
    <n v="483"/>
  </r>
  <r>
    <x v="15"/>
    <x v="97"/>
    <n v="701"/>
  </r>
  <r>
    <x v="16"/>
    <x v="98"/>
    <n v="174"/>
  </r>
  <r>
    <x v="17"/>
    <x v="99"/>
    <n v="5600"/>
  </r>
  <r>
    <x v="18"/>
    <x v="100"/>
    <n v="1961"/>
  </r>
  <r>
    <x v="19"/>
    <x v="101"/>
    <n v="496"/>
  </r>
  <r>
    <x v="20"/>
    <x v="102"/>
    <n v="662"/>
  </r>
  <r>
    <x v="21"/>
    <x v="103"/>
    <n v="73"/>
  </r>
  <r>
    <x v="22"/>
    <x v="104"/>
    <n v="5722"/>
  </r>
  <r>
    <x v="23"/>
    <x v="105"/>
    <n v="4089"/>
  </r>
  <r>
    <x v="24"/>
    <x v="106"/>
    <n v="366"/>
  </r>
  <r>
    <x v="25"/>
    <x v="107"/>
    <n v="15563"/>
  </r>
  <r>
    <x v="26"/>
    <x v="108"/>
    <n v="335"/>
  </r>
  <r>
    <x v="0"/>
    <x v="109"/>
    <n v="175"/>
  </r>
  <r>
    <x v="1"/>
    <x v="110"/>
    <n v="435"/>
  </r>
  <r>
    <x v="2"/>
    <x v="111"/>
    <n v="487"/>
  </r>
  <r>
    <x v="3"/>
    <x v="112"/>
    <n v="205"/>
  </r>
  <r>
    <x v="4"/>
    <x v="113"/>
    <n v="1162"/>
  </r>
  <r>
    <x v="5"/>
    <x v="114"/>
    <n v="861"/>
  </r>
  <r>
    <x v="6"/>
    <x v="115"/>
    <n v="1300"/>
  </r>
  <r>
    <x v="7"/>
    <x v="116"/>
    <n v="952"/>
  </r>
  <r>
    <x v="8"/>
    <x v="117"/>
    <n v="2464"/>
  </r>
  <r>
    <x v="9"/>
    <x v="118"/>
    <n v="307"/>
  </r>
  <r>
    <x v="10"/>
    <x v="119"/>
    <n v="3912"/>
  </r>
  <r>
    <x v="11"/>
    <x v="120"/>
    <n v="1657"/>
  </r>
  <r>
    <x v="12"/>
    <x v="121"/>
    <n v="2706"/>
  </r>
  <r>
    <x v="13"/>
    <x v="122"/>
    <n v="578"/>
  </r>
  <r>
    <x v="14"/>
    <x v="123"/>
    <n v="521"/>
  </r>
  <r>
    <x v="15"/>
    <x v="124"/>
    <n v="871"/>
  </r>
  <r>
    <x v="16"/>
    <x v="125"/>
    <n v="317"/>
  </r>
  <r>
    <x v="17"/>
    <x v="126"/>
    <n v="6244"/>
  </r>
  <r>
    <x v="18"/>
    <x v="127"/>
    <n v="2874"/>
  </r>
  <r>
    <x v="19"/>
    <x v="128"/>
    <n v="474"/>
  </r>
  <r>
    <x v="20"/>
    <x v="129"/>
    <n v="849"/>
  </r>
  <r>
    <x v="21"/>
    <x v="130"/>
    <n v="70"/>
  </r>
  <r>
    <x v="22"/>
    <x v="131"/>
    <n v="6517"/>
  </r>
  <r>
    <x v="23"/>
    <x v="132"/>
    <n v="4571"/>
  </r>
  <r>
    <x v="24"/>
    <x v="133"/>
    <n v="495"/>
  </r>
  <r>
    <x v="25"/>
    <x v="134"/>
    <n v="21456"/>
  </r>
  <r>
    <x v="26"/>
    <x v="135"/>
    <n v="365"/>
  </r>
  <r>
    <x v="0"/>
    <x v="136"/>
    <n v="231"/>
  </r>
  <r>
    <x v="1"/>
    <x v="137"/>
    <n v="602"/>
  </r>
  <r>
    <x v="2"/>
    <x v="138"/>
    <n v="672"/>
  </r>
  <r>
    <x v="3"/>
    <x v="139"/>
    <n v="352"/>
  </r>
  <r>
    <x v="4"/>
    <x v="140"/>
    <n v="1521"/>
  </r>
  <r>
    <x v="5"/>
    <x v="141"/>
    <n v="1089"/>
  </r>
  <r>
    <x v="6"/>
    <x v="142"/>
    <n v="1683"/>
  </r>
  <r>
    <x v="7"/>
    <x v="143"/>
    <n v="1304"/>
  </r>
  <r>
    <x v="8"/>
    <x v="144"/>
    <n v="3089"/>
  </r>
  <r>
    <x v="9"/>
    <x v="145"/>
    <n v="469"/>
  </r>
  <r>
    <x v="10"/>
    <x v="146"/>
    <n v="5010"/>
  </r>
  <r>
    <x v="11"/>
    <x v="147"/>
    <n v="1985"/>
  </r>
  <r>
    <x v="12"/>
    <x v="148"/>
    <n v="2972"/>
  </r>
  <r>
    <x v="13"/>
    <x v="149"/>
    <n v="725"/>
  </r>
  <r>
    <x v="14"/>
    <x v="150"/>
    <n v="870"/>
  </r>
  <r>
    <x v="15"/>
    <x v="151"/>
    <n v="1420"/>
  </r>
  <r>
    <x v="16"/>
    <x v="152"/>
    <n v="489"/>
  </r>
  <r>
    <x v="17"/>
    <x v="153"/>
    <n v="7325"/>
  </r>
  <r>
    <x v="18"/>
    <x v="154"/>
    <n v="4208"/>
  </r>
  <r>
    <x v="19"/>
    <x v="155"/>
    <n v="778"/>
  </r>
  <r>
    <x v="20"/>
    <x v="156"/>
    <n v="1163"/>
  </r>
  <r>
    <x v="21"/>
    <x v="157"/>
    <n v="82"/>
  </r>
  <r>
    <x v="22"/>
    <x v="158"/>
    <n v="7342"/>
  </r>
  <r>
    <x v="23"/>
    <x v="159"/>
    <n v="4867"/>
  </r>
  <r>
    <x v="24"/>
    <x v="160"/>
    <n v="596"/>
  </r>
  <r>
    <x v="25"/>
    <x v="161"/>
    <n v="28574"/>
  </r>
  <r>
    <x v="26"/>
    <x v="162"/>
    <n v="474"/>
  </r>
  <r>
    <x v="0"/>
    <x v="163"/>
    <n v="320"/>
  </r>
  <r>
    <x v="1"/>
    <x v="164"/>
    <n v="616"/>
  </r>
  <r>
    <x v="2"/>
    <x v="165"/>
    <n v="710"/>
  </r>
  <r>
    <x v="3"/>
    <x v="166"/>
    <n v="423"/>
  </r>
  <r>
    <x v="4"/>
    <x v="167"/>
    <n v="1670"/>
  </r>
  <r>
    <x v="5"/>
    <x v="168"/>
    <n v="1247"/>
  </r>
  <r>
    <x v="6"/>
    <x v="169"/>
    <n v="1838"/>
  </r>
  <r>
    <x v="7"/>
    <x v="170"/>
    <n v="1438"/>
  </r>
  <r>
    <x v="8"/>
    <x v="171"/>
    <n v="2737"/>
  </r>
  <r>
    <x v="9"/>
    <x v="172"/>
    <n v="484"/>
  </r>
  <r>
    <x v="10"/>
    <x v="173"/>
    <n v="5030"/>
  </r>
  <r>
    <x v="11"/>
    <x v="174"/>
    <n v="2084"/>
  </r>
  <r>
    <x v="12"/>
    <x v="175"/>
    <n v="2994"/>
  </r>
  <r>
    <x v="13"/>
    <x v="176"/>
    <n v="971"/>
  </r>
  <r>
    <x v="14"/>
    <x v="177"/>
    <n v="1002"/>
  </r>
  <r>
    <x v="15"/>
    <x v="178"/>
    <n v="1439"/>
  </r>
  <r>
    <x v="16"/>
    <x v="179"/>
    <n v="492"/>
  </r>
  <r>
    <x v="17"/>
    <x v="180"/>
    <n v="7265"/>
  </r>
  <r>
    <x v="18"/>
    <x v="181"/>
    <n v="5100"/>
  </r>
  <r>
    <x v="19"/>
    <x v="182"/>
    <n v="859"/>
  </r>
  <r>
    <x v="20"/>
    <x v="183"/>
    <n v="968"/>
  </r>
  <r>
    <x v="21"/>
    <x v="184"/>
    <n v="121"/>
  </r>
  <r>
    <x v="22"/>
    <x v="185"/>
    <n v="8343"/>
  </r>
  <r>
    <x v="23"/>
    <x v="186"/>
    <n v="5443"/>
  </r>
  <r>
    <x v="24"/>
    <x v="187"/>
    <n v="611"/>
  </r>
  <r>
    <x v="25"/>
    <x v="188"/>
    <n v="29460"/>
  </r>
  <r>
    <x v="26"/>
    <x v="189"/>
    <n v="491"/>
  </r>
  <r>
    <x v="0"/>
    <x v="190"/>
    <n v="329"/>
  </r>
  <r>
    <x v="1"/>
    <x v="191"/>
    <n v="592"/>
  </r>
  <r>
    <x v="2"/>
    <x v="192"/>
    <n v="615"/>
  </r>
  <r>
    <x v="3"/>
    <x v="193"/>
    <n v="364"/>
  </r>
  <r>
    <x v="4"/>
    <x v="194"/>
    <n v="1650"/>
  </r>
  <r>
    <x v="5"/>
    <x v="195"/>
    <n v="1148"/>
  </r>
  <r>
    <x v="6"/>
    <x v="196"/>
    <n v="1645"/>
  </r>
  <r>
    <x v="7"/>
    <x v="197"/>
    <n v="1234"/>
  </r>
  <r>
    <x v="8"/>
    <x v="198"/>
    <n v="2546"/>
  </r>
  <r>
    <x v="9"/>
    <x v="199"/>
    <n v="530"/>
  </r>
  <r>
    <x v="10"/>
    <x v="200"/>
    <n v="4759"/>
  </r>
  <r>
    <x v="11"/>
    <x v="201"/>
    <n v="1745"/>
  </r>
  <r>
    <x v="12"/>
    <x v="202"/>
    <n v="2497"/>
  </r>
  <r>
    <x v="13"/>
    <x v="203"/>
    <n v="750"/>
  </r>
  <r>
    <x v="14"/>
    <x v="204"/>
    <n v="1005"/>
  </r>
  <r>
    <x v="15"/>
    <x v="205"/>
    <n v="1434"/>
  </r>
  <r>
    <x v="16"/>
    <x v="206"/>
    <n v="408"/>
  </r>
  <r>
    <x v="17"/>
    <x v="207"/>
    <n v="7252"/>
  </r>
  <r>
    <x v="18"/>
    <x v="208"/>
    <n v="5174"/>
  </r>
  <r>
    <x v="19"/>
    <x v="209"/>
    <n v="867"/>
  </r>
  <r>
    <x v="20"/>
    <x v="210"/>
    <n v="911"/>
  </r>
  <r>
    <x v="21"/>
    <x v="211"/>
    <n v="128"/>
  </r>
  <r>
    <x v="22"/>
    <x v="212"/>
    <n v="8151"/>
  </r>
  <r>
    <x v="23"/>
    <x v="213"/>
    <n v="5444"/>
  </r>
  <r>
    <x v="24"/>
    <x v="214"/>
    <n v="691"/>
  </r>
  <r>
    <x v="25"/>
    <x v="215"/>
    <n v="29786"/>
  </r>
  <r>
    <x v="26"/>
    <x v="216"/>
    <n v="382"/>
  </r>
  <r>
    <x v="0"/>
    <x v="217"/>
    <n v="301"/>
  </r>
  <r>
    <x v="1"/>
    <x v="218"/>
    <n v="816"/>
  </r>
  <r>
    <x v="2"/>
    <x v="219"/>
    <n v="632"/>
  </r>
  <r>
    <x v="3"/>
    <x v="220"/>
    <n v="361"/>
  </r>
  <r>
    <x v="4"/>
    <x v="221"/>
    <n v="1833"/>
  </r>
  <r>
    <x v="5"/>
    <x v="222"/>
    <n v="1320"/>
  </r>
  <r>
    <x v="6"/>
    <x v="223"/>
    <n v="1840"/>
  </r>
  <r>
    <x v="7"/>
    <x v="224"/>
    <n v="1553"/>
  </r>
  <r>
    <x v="8"/>
    <x v="225"/>
    <n v="2847"/>
  </r>
  <r>
    <x v="9"/>
    <x v="226"/>
    <n v="497"/>
  </r>
  <r>
    <x v="10"/>
    <x v="227"/>
    <n v="4934"/>
  </r>
  <r>
    <x v="11"/>
    <x v="228"/>
    <n v="1962"/>
  </r>
  <r>
    <x v="12"/>
    <x v="229"/>
    <n v="2907"/>
  </r>
  <r>
    <x v="13"/>
    <x v="230"/>
    <n v="827"/>
  </r>
  <r>
    <x v="14"/>
    <x v="231"/>
    <n v="1053"/>
  </r>
  <r>
    <x v="15"/>
    <x v="232"/>
    <n v="1691"/>
  </r>
  <r>
    <x v="16"/>
    <x v="233"/>
    <n v="615"/>
  </r>
  <r>
    <x v="17"/>
    <x v="234"/>
    <n v="7531"/>
  </r>
  <r>
    <x v="18"/>
    <x v="235"/>
    <n v="5569"/>
  </r>
  <r>
    <x v="19"/>
    <x v="236"/>
    <n v="831"/>
  </r>
  <r>
    <x v="20"/>
    <x v="237"/>
    <n v="832"/>
  </r>
  <r>
    <x v="21"/>
    <x v="238"/>
    <n v="96"/>
  </r>
  <r>
    <x v="22"/>
    <x v="239"/>
    <n v="9031"/>
  </r>
  <r>
    <x v="23"/>
    <x v="240"/>
    <n v="5713"/>
  </r>
  <r>
    <x v="24"/>
    <x v="241"/>
    <n v="770"/>
  </r>
  <r>
    <x v="25"/>
    <x v="242"/>
    <n v="32781"/>
  </r>
  <r>
    <x v="26"/>
    <x v="243"/>
    <n v="482"/>
  </r>
  <r>
    <x v="0"/>
    <x v="244"/>
    <n v="271"/>
  </r>
  <r>
    <x v="1"/>
    <x v="245"/>
    <n v="633"/>
  </r>
  <r>
    <x v="2"/>
    <x v="246"/>
    <n v="623"/>
  </r>
  <r>
    <x v="3"/>
    <x v="247"/>
    <n v="200"/>
  </r>
  <r>
    <x v="4"/>
    <x v="248"/>
    <n v="1836"/>
  </r>
  <r>
    <x v="5"/>
    <x v="249"/>
    <n v="1298"/>
  </r>
  <r>
    <x v="6"/>
    <x v="250"/>
    <n v="1764"/>
  </r>
  <r>
    <x v="7"/>
    <x v="251"/>
    <n v="1338"/>
  </r>
  <r>
    <x v="8"/>
    <x v="252"/>
    <n v="2297"/>
  </r>
  <r>
    <x v="9"/>
    <x v="253"/>
    <n v="461"/>
  </r>
  <r>
    <x v="10"/>
    <x v="254"/>
    <n v="4906"/>
  </r>
  <r>
    <x v="11"/>
    <x v="255"/>
    <n v="1865"/>
  </r>
  <r>
    <x v="12"/>
    <x v="256"/>
    <n v="2502"/>
  </r>
  <r>
    <x v="13"/>
    <x v="257"/>
    <n v="800"/>
  </r>
  <r>
    <x v="14"/>
    <x v="258"/>
    <n v="979"/>
  </r>
  <r>
    <x v="15"/>
    <x v="259"/>
    <n v="1560"/>
  </r>
  <r>
    <x v="16"/>
    <x v="260"/>
    <n v="509"/>
  </r>
  <r>
    <x v="17"/>
    <x v="261"/>
    <n v="6938"/>
  </r>
  <r>
    <x v="18"/>
    <x v="262"/>
    <n v="5255"/>
  </r>
  <r>
    <x v="19"/>
    <x v="263"/>
    <n v="827"/>
  </r>
  <r>
    <x v="20"/>
    <x v="264"/>
    <n v="901"/>
  </r>
  <r>
    <x v="21"/>
    <x v="265"/>
    <n v="137"/>
  </r>
  <r>
    <x v="22"/>
    <x v="266"/>
    <n v="8292"/>
  </r>
  <r>
    <x v="23"/>
    <x v="267"/>
    <n v="5057"/>
  </r>
  <r>
    <x v="24"/>
    <x v="268"/>
    <n v="584"/>
  </r>
  <r>
    <x v="25"/>
    <x v="269"/>
    <n v="28811"/>
  </r>
  <r>
    <x v="26"/>
    <x v="270"/>
    <n v="505"/>
  </r>
  <r>
    <x v="0"/>
    <x v="271"/>
    <n v="243"/>
  </r>
  <r>
    <x v="1"/>
    <x v="272"/>
    <n v="625"/>
  </r>
  <r>
    <x v="2"/>
    <x v="273"/>
    <n v="496"/>
  </r>
  <r>
    <x v="3"/>
    <x v="274"/>
    <n v="246"/>
  </r>
  <r>
    <x v="4"/>
    <x v="275"/>
    <n v="1775"/>
  </r>
  <r>
    <x v="5"/>
    <x v="276"/>
    <n v="1126"/>
  </r>
  <r>
    <x v="6"/>
    <x v="277"/>
    <n v="1486"/>
  </r>
  <r>
    <x v="7"/>
    <x v="278"/>
    <n v="1192"/>
  </r>
  <r>
    <x v="8"/>
    <x v="279"/>
    <n v="2394"/>
  </r>
  <r>
    <x v="9"/>
    <x v="280"/>
    <n v="394"/>
  </r>
  <r>
    <x v="10"/>
    <x v="281"/>
    <n v="4363"/>
  </r>
  <r>
    <x v="11"/>
    <x v="282"/>
    <n v="1391"/>
  </r>
  <r>
    <x v="12"/>
    <x v="283"/>
    <n v="2041"/>
  </r>
  <r>
    <x v="13"/>
    <x v="284"/>
    <n v="708"/>
  </r>
  <r>
    <x v="14"/>
    <x v="285"/>
    <n v="970"/>
  </r>
  <r>
    <x v="15"/>
    <x v="286"/>
    <n v="1542"/>
  </r>
  <r>
    <x v="16"/>
    <x v="287"/>
    <n v="380"/>
  </r>
  <r>
    <x v="17"/>
    <x v="288"/>
    <n v="6019"/>
  </r>
  <r>
    <x v="18"/>
    <x v="289"/>
    <n v="4334"/>
  </r>
  <r>
    <x v="19"/>
    <x v="290"/>
    <n v="779"/>
  </r>
  <r>
    <x v="20"/>
    <x v="291"/>
    <n v="851"/>
  </r>
  <r>
    <x v="21"/>
    <x v="292"/>
    <n v="133"/>
  </r>
  <r>
    <x v="22"/>
    <x v="293"/>
    <n v="7661"/>
  </r>
  <r>
    <x v="23"/>
    <x v="294"/>
    <n v="4525"/>
  </r>
  <r>
    <x v="24"/>
    <x v="295"/>
    <n v="599"/>
  </r>
  <r>
    <x v="25"/>
    <x v="296"/>
    <n v="25253"/>
  </r>
  <r>
    <x v="26"/>
    <x v="297"/>
    <n v="365"/>
  </r>
  <r>
    <x v="0"/>
    <x v="298"/>
    <n v="181"/>
  </r>
  <r>
    <x v="1"/>
    <x v="298"/>
    <n v="483"/>
  </r>
  <r>
    <x v="2"/>
    <x v="298"/>
    <n v="308"/>
  </r>
  <r>
    <x v="3"/>
    <x v="298"/>
    <n v="281"/>
  </r>
  <r>
    <x v="4"/>
    <x v="298"/>
    <n v="1438"/>
  </r>
  <r>
    <x v="5"/>
    <x v="298"/>
    <n v="898"/>
  </r>
  <r>
    <x v="6"/>
    <x v="298"/>
    <n v="1342"/>
  </r>
  <r>
    <x v="7"/>
    <x v="298"/>
    <n v="1002"/>
  </r>
  <r>
    <x v="8"/>
    <x v="298"/>
    <n v="2003"/>
  </r>
  <r>
    <x v="9"/>
    <x v="298"/>
    <n v="356"/>
  </r>
  <r>
    <x v="10"/>
    <x v="298"/>
    <n v="3778"/>
  </r>
  <r>
    <x v="11"/>
    <x v="298"/>
    <n v="1327"/>
  </r>
  <r>
    <x v="12"/>
    <x v="298"/>
    <n v="1683"/>
  </r>
  <r>
    <x v="13"/>
    <x v="298"/>
    <n v="590"/>
  </r>
  <r>
    <x v="14"/>
    <x v="298"/>
    <n v="821"/>
  </r>
  <r>
    <x v="15"/>
    <x v="298"/>
    <n v="1246"/>
  </r>
  <r>
    <x v="16"/>
    <x v="298"/>
    <n v="426"/>
  </r>
  <r>
    <x v="17"/>
    <x v="298"/>
    <n v="4941"/>
  </r>
  <r>
    <x v="18"/>
    <x v="298"/>
    <n v="3871"/>
  </r>
  <r>
    <x v="19"/>
    <x v="298"/>
    <n v="628"/>
  </r>
  <r>
    <x v="20"/>
    <x v="298"/>
    <n v="531"/>
  </r>
  <r>
    <x v="21"/>
    <x v="298"/>
    <n v="72"/>
  </r>
  <r>
    <x v="22"/>
    <x v="298"/>
    <n v="6125"/>
  </r>
  <r>
    <x v="23"/>
    <x v="298"/>
    <n v="3675"/>
  </r>
  <r>
    <x v="24"/>
    <x v="298"/>
    <n v="618"/>
  </r>
  <r>
    <x v="25"/>
    <x v="298"/>
    <n v="22884"/>
  </r>
  <r>
    <x v="26"/>
    <x v="298"/>
    <n v="306"/>
  </r>
  <r>
    <x v="0"/>
    <x v="299"/>
    <n v="172"/>
  </r>
  <r>
    <x v="1"/>
    <x v="300"/>
    <n v="721"/>
  </r>
  <r>
    <x v="2"/>
    <x v="301"/>
    <n v="347"/>
  </r>
  <r>
    <x v="3"/>
    <x v="302"/>
    <n v="302"/>
  </r>
  <r>
    <x v="4"/>
    <x v="303"/>
    <n v="1622"/>
  </r>
  <r>
    <x v="5"/>
    <x v="304"/>
    <n v="1181"/>
  </r>
  <r>
    <x v="6"/>
    <x v="305"/>
    <n v="1565"/>
  </r>
  <r>
    <x v="7"/>
    <x v="306"/>
    <n v="1100"/>
  </r>
  <r>
    <x v="8"/>
    <x v="307"/>
    <n v="2408"/>
  </r>
  <r>
    <x v="9"/>
    <x v="308"/>
    <n v="423"/>
  </r>
  <r>
    <x v="10"/>
    <x v="309"/>
    <n v="4338"/>
  </r>
  <r>
    <x v="11"/>
    <x v="310"/>
    <n v="1660"/>
  </r>
  <r>
    <x v="12"/>
    <x v="311"/>
    <n v="2492"/>
  </r>
  <r>
    <x v="13"/>
    <x v="312"/>
    <n v="805"/>
  </r>
  <r>
    <x v="14"/>
    <x v="313"/>
    <n v="930"/>
  </r>
  <r>
    <x v="15"/>
    <x v="314"/>
    <n v="1401"/>
  </r>
  <r>
    <x v="16"/>
    <x v="315"/>
    <n v="507"/>
  </r>
  <r>
    <x v="17"/>
    <x v="316"/>
    <n v="5985"/>
  </r>
  <r>
    <x v="18"/>
    <x v="317"/>
    <n v="4428"/>
  </r>
  <r>
    <x v="19"/>
    <x v="318"/>
    <n v="774"/>
  </r>
  <r>
    <x v="20"/>
    <x v="319"/>
    <n v="711"/>
  </r>
  <r>
    <x v="21"/>
    <x v="320"/>
    <n v="116"/>
  </r>
  <r>
    <x v="22"/>
    <x v="321"/>
    <n v="7095"/>
  </r>
  <r>
    <x v="23"/>
    <x v="322"/>
    <n v="4694"/>
  </r>
  <r>
    <x v="24"/>
    <x v="323"/>
    <n v="697"/>
  </r>
  <r>
    <x v="25"/>
    <x v="324"/>
    <n v="27355"/>
  </r>
  <r>
    <x v="26"/>
    <x v="325"/>
    <n v="388"/>
  </r>
  <r>
    <x v="0"/>
    <x v="326"/>
    <n v="207"/>
  </r>
  <r>
    <x v="1"/>
    <x v="327"/>
    <n v="821"/>
  </r>
  <r>
    <x v="2"/>
    <x v="328"/>
    <n v="671"/>
  </r>
  <r>
    <x v="3"/>
    <x v="329"/>
    <n v="334"/>
  </r>
  <r>
    <x v="4"/>
    <x v="330"/>
    <n v="1938"/>
  </r>
  <r>
    <x v="5"/>
    <x v="331"/>
    <n v="1111"/>
  </r>
  <r>
    <x v="6"/>
    <x v="332"/>
    <n v="1919"/>
  </r>
  <r>
    <x v="7"/>
    <x v="333"/>
    <n v="1515"/>
  </r>
  <r>
    <x v="8"/>
    <x v="334"/>
    <n v="2313"/>
  </r>
  <r>
    <x v="9"/>
    <x v="335"/>
    <n v="483"/>
  </r>
  <r>
    <x v="10"/>
    <x v="336"/>
    <n v="5432"/>
  </r>
  <r>
    <x v="11"/>
    <x v="337"/>
    <n v="1985"/>
  </r>
  <r>
    <x v="12"/>
    <x v="338"/>
    <n v="2987"/>
  </r>
  <r>
    <x v="13"/>
    <x v="339"/>
    <n v="697"/>
  </r>
  <r>
    <x v="14"/>
    <x v="340"/>
    <n v="1067"/>
  </r>
  <r>
    <x v="15"/>
    <x v="341"/>
    <n v="1777"/>
  </r>
  <r>
    <x v="16"/>
    <x v="342"/>
    <n v="499"/>
  </r>
  <r>
    <x v="17"/>
    <x v="343"/>
    <n v="7257"/>
  </r>
  <r>
    <x v="18"/>
    <x v="344"/>
    <n v="5563"/>
  </r>
  <r>
    <x v="19"/>
    <x v="345"/>
    <n v="869"/>
  </r>
  <r>
    <x v="20"/>
    <x v="346"/>
    <n v="892"/>
  </r>
  <r>
    <x v="21"/>
    <x v="347"/>
    <n v="139"/>
  </r>
  <r>
    <x v="22"/>
    <x v="348"/>
    <n v="8228"/>
  </r>
  <r>
    <x v="23"/>
    <x v="349"/>
    <n v="5866"/>
  </r>
  <r>
    <x v="24"/>
    <x v="350"/>
    <n v="818"/>
  </r>
  <r>
    <x v="25"/>
    <x v="351"/>
    <n v="29102"/>
  </r>
  <r>
    <x v="26"/>
    <x v="352"/>
    <n v="457"/>
  </r>
  <r>
    <x v="0"/>
    <x v="353"/>
    <n v="219"/>
  </r>
  <r>
    <x v="1"/>
    <x v="354"/>
    <n v="691"/>
  </r>
  <r>
    <x v="2"/>
    <x v="355"/>
    <n v="622"/>
  </r>
  <r>
    <x v="3"/>
    <x v="356"/>
    <n v="261"/>
  </r>
  <r>
    <x v="4"/>
    <x v="357"/>
    <n v="1864"/>
  </r>
  <r>
    <x v="5"/>
    <x v="358"/>
    <n v="1100"/>
  </r>
  <r>
    <x v="6"/>
    <x v="359"/>
    <n v="1665"/>
  </r>
  <r>
    <x v="7"/>
    <x v="360"/>
    <n v="1272"/>
  </r>
  <r>
    <x v="8"/>
    <x v="361"/>
    <n v="2392"/>
  </r>
  <r>
    <x v="9"/>
    <x v="362"/>
    <n v="406"/>
  </r>
  <r>
    <x v="10"/>
    <x v="363"/>
    <n v="4801"/>
  </r>
  <r>
    <x v="11"/>
    <x v="364"/>
    <n v="1776"/>
  </r>
  <r>
    <x v="12"/>
    <x v="365"/>
    <n v="2595"/>
  </r>
  <r>
    <x v="13"/>
    <x v="366"/>
    <n v="787"/>
  </r>
  <r>
    <x v="14"/>
    <x v="367"/>
    <n v="1098"/>
  </r>
  <r>
    <x v="15"/>
    <x v="368"/>
    <n v="1559"/>
  </r>
  <r>
    <x v="16"/>
    <x v="369"/>
    <n v="449"/>
  </r>
  <r>
    <x v="17"/>
    <x v="370"/>
    <n v="6840"/>
  </r>
  <r>
    <x v="18"/>
    <x v="371"/>
    <n v="4749"/>
  </r>
  <r>
    <x v="19"/>
    <x v="372"/>
    <n v="762"/>
  </r>
  <r>
    <x v="20"/>
    <x v="373"/>
    <n v="821"/>
  </r>
  <r>
    <x v="21"/>
    <x v="374"/>
    <n v="88"/>
  </r>
  <r>
    <x v="22"/>
    <x v="375"/>
    <n v="7218"/>
  </r>
  <r>
    <x v="23"/>
    <x v="376"/>
    <n v="5093"/>
  </r>
  <r>
    <x v="24"/>
    <x v="377"/>
    <n v="759"/>
  </r>
  <r>
    <x v="25"/>
    <x v="378"/>
    <n v="26475"/>
  </r>
  <r>
    <x v="26"/>
    <x v="379"/>
    <n v="409"/>
  </r>
  <r>
    <x v="0"/>
    <x v="380"/>
    <n v="343"/>
  </r>
  <r>
    <x v="1"/>
    <x v="381"/>
    <n v="898"/>
  </r>
  <r>
    <x v="2"/>
    <x v="382"/>
    <n v="755"/>
  </r>
  <r>
    <x v="3"/>
    <x v="383"/>
    <n v="232"/>
  </r>
  <r>
    <x v="4"/>
    <x v="384"/>
    <n v="2424"/>
  </r>
  <r>
    <x v="5"/>
    <x v="385"/>
    <n v="1062"/>
  </r>
  <r>
    <x v="6"/>
    <x v="386"/>
    <n v="836"/>
  </r>
  <r>
    <x v="7"/>
    <x v="387"/>
    <n v="1385"/>
  </r>
  <r>
    <x v="8"/>
    <x v="388"/>
    <n v="3423"/>
  </r>
  <r>
    <x v="9"/>
    <x v="389"/>
    <n v="1025"/>
  </r>
  <r>
    <x v="10"/>
    <x v="390"/>
    <n v="5112"/>
  </r>
  <r>
    <x v="11"/>
    <x v="391"/>
    <n v="1972"/>
  </r>
  <r>
    <x v="12"/>
    <x v="392"/>
    <n v="3199"/>
  </r>
  <r>
    <x v="13"/>
    <x v="393"/>
    <n v="1213"/>
  </r>
  <r>
    <x v="14"/>
    <x v="394"/>
    <n v="840"/>
  </r>
  <r>
    <x v="15"/>
    <x v="395"/>
    <n v="1443"/>
  </r>
  <r>
    <x v="16"/>
    <x v="396"/>
    <n v="353"/>
  </r>
  <r>
    <x v="17"/>
    <x v="397"/>
    <n v="6257"/>
  </r>
  <r>
    <x v="18"/>
    <x v="398"/>
    <n v="5703"/>
  </r>
  <r>
    <x v="19"/>
    <x v="399"/>
    <n v="856"/>
  </r>
  <r>
    <x v="20"/>
    <x v="400"/>
    <n v="926"/>
  </r>
  <r>
    <x v="21"/>
    <x v="401"/>
    <n v="164"/>
  </r>
  <r>
    <x v="22"/>
    <x v="402"/>
    <n v="7666"/>
  </r>
  <r>
    <x v="23"/>
    <x v="403"/>
    <n v="6044"/>
  </r>
  <r>
    <x v="24"/>
    <x v="404"/>
    <n v="660"/>
  </r>
  <r>
    <x v="25"/>
    <x v="405"/>
    <n v="24761"/>
  </r>
  <r>
    <x v="26"/>
    <x v="406"/>
    <n v="421"/>
  </r>
  <r>
    <x v="0"/>
    <x v="407"/>
    <n v="303"/>
  </r>
  <r>
    <x v="1"/>
    <x v="408"/>
    <n v="709"/>
  </r>
  <r>
    <x v="2"/>
    <x v="409"/>
    <n v="650"/>
  </r>
  <r>
    <x v="3"/>
    <x v="410"/>
    <n v="353"/>
  </r>
  <r>
    <x v="4"/>
    <x v="411"/>
    <n v="2043"/>
  </r>
  <r>
    <x v="5"/>
    <x v="412"/>
    <n v="1325"/>
  </r>
  <r>
    <x v="6"/>
    <x v="413"/>
    <n v="1605"/>
  </r>
  <r>
    <x v="7"/>
    <x v="414"/>
    <n v="1494"/>
  </r>
  <r>
    <x v="8"/>
    <x v="415"/>
    <n v="3198"/>
  </r>
  <r>
    <x v="9"/>
    <x v="416"/>
    <n v="674"/>
  </r>
  <r>
    <x v="10"/>
    <x v="417"/>
    <n v="5427"/>
  </r>
  <r>
    <x v="11"/>
    <x v="418"/>
    <n v="1786"/>
  </r>
  <r>
    <x v="12"/>
    <x v="419"/>
    <n v="3284"/>
  </r>
  <r>
    <x v="13"/>
    <x v="420"/>
    <n v="1027"/>
  </r>
  <r>
    <x v="14"/>
    <x v="421"/>
    <n v="1034"/>
  </r>
  <r>
    <x v="15"/>
    <x v="422"/>
    <n v="1529"/>
  </r>
  <r>
    <x v="16"/>
    <x v="423"/>
    <n v="614"/>
  </r>
  <r>
    <x v="17"/>
    <x v="424"/>
    <n v="7200"/>
  </r>
  <r>
    <x v="18"/>
    <x v="425"/>
    <n v="5650"/>
  </r>
  <r>
    <x v="19"/>
    <x v="426"/>
    <n v="852"/>
  </r>
  <r>
    <x v="20"/>
    <x v="427"/>
    <n v="889"/>
  </r>
  <r>
    <x v="21"/>
    <x v="428"/>
    <n v="109"/>
  </r>
  <r>
    <x v="22"/>
    <x v="429"/>
    <n v="8212"/>
  </r>
  <r>
    <x v="23"/>
    <x v="430"/>
    <n v="6020"/>
  </r>
  <r>
    <x v="24"/>
    <x v="431"/>
    <n v="727"/>
  </r>
  <r>
    <x v="25"/>
    <x v="432"/>
    <n v="29400"/>
  </r>
  <r>
    <x v="26"/>
    <x v="433"/>
    <n v="526"/>
  </r>
  <r>
    <x v="0"/>
    <x v="434"/>
    <n v="340"/>
  </r>
  <r>
    <x v="1"/>
    <x v="435"/>
    <n v="914"/>
  </r>
  <r>
    <x v="2"/>
    <x v="436"/>
    <n v="840"/>
  </r>
  <r>
    <x v="3"/>
    <x v="437"/>
    <n v="372"/>
  </r>
  <r>
    <x v="4"/>
    <x v="438"/>
    <n v="2287"/>
  </r>
  <r>
    <x v="5"/>
    <x v="439"/>
    <n v="1712"/>
  </r>
  <r>
    <x v="6"/>
    <x v="440"/>
    <n v="1930"/>
  </r>
  <r>
    <x v="7"/>
    <x v="441"/>
    <n v="1762"/>
  </r>
  <r>
    <x v="8"/>
    <x v="442"/>
    <n v="3432"/>
  </r>
  <r>
    <x v="9"/>
    <x v="443"/>
    <n v="806"/>
  </r>
  <r>
    <x v="10"/>
    <x v="444"/>
    <n v="6039"/>
  </r>
  <r>
    <x v="11"/>
    <x v="445"/>
    <n v="2106"/>
  </r>
  <r>
    <x v="12"/>
    <x v="446"/>
    <n v="3379"/>
  </r>
  <r>
    <x v="13"/>
    <x v="447"/>
    <n v="970"/>
  </r>
  <r>
    <x v="14"/>
    <x v="448"/>
    <n v="1203"/>
  </r>
  <r>
    <x v="15"/>
    <x v="449"/>
    <n v="1949"/>
  </r>
  <r>
    <x v="16"/>
    <x v="450"/>
    <n v="708"/>
  </r>
  <r>
    <x v="17"/>
    <x v="451"/>
    <n v="7745"/>
  </r>
  <r>
    <x v="18"/>
    <x v="452"/>
    <n v="6127"/>
  </r>
  <r>
    <x v="19"/>
    <x v="453"/>
    <n v="1077"/>
  </r>
  <r>
    <x v="20"/>
    <x v="454"/>
    <n v="972"/>
  </r>
  <r>
    <x v="21"/>
    <x v="455"/>
    <n v="154"/>
  </r>
  <r>
    <x v="22"/>
    <x v="456"/>
    <n v="9027"/>
  </r>
  <r>
    <x v="23"/>
    <x v="457"/>
    <n v="5984"/>
  </r>
  <r>
    <x v="24"/>
    <x v="458"/>
    <n v="861"/>
  </r>
  <r>
    <x v="25"/>
    <x v="459"/>
    <n v="31132"/>
  </r>
  <r>
    <x v="26"/>
    <x v="460"/>
    <n v="647"/>
  </r>
  <r>
    <x v="0"/>
    <x v="461"/>
    <n v="315"/>
  </r>
  <r>
    <x v="1"/>
    <x v="462"/>
    <n v="848"/>
  </r>
  <r>
    <x v="2"/>
    <x v="463"/>
    <n v="784"/>
  </r>
  <r>
    <x v="3"/>
    <x v="464"/>
    <n v="411"/>
  </r>
  <r>
    <x v="4"/>
    <x v="465"/>
    <n v="2469"/>
  </r>
  <r>
    <x v="5"/>
    <x v="466"/>
    <n v="1525"/>
  </r>
  <r>
    <x v="6"/>
    <x v="467"/>
    <n v="1719"/>
  </r>
  <r>
    <x v="7"/>
    <x v="468"/>
    <n v="1875"/>
  </r>
  <r>
    <x v="8"/>
    <x v="469"/>
    <n v="3183"/>
  </r>
  <r>
    <x v="9"/>
    <x v="470"/>
    <n v="763"/>
  </r>
  <r>
    <x v="10"/>
    <x v="471"/>
    <n v="6053"/>
  </r>
  <r>
    <x v="11"/>
    <x v="472"/>
    <n v="2105"/>
  </r>
  <r>
    <x v="12"/>
    <x v="473"/>
    <n v="3401"/>
  </r>
  <r>
    <x v="13"/>
    <x v="474"/>
    <n v="1065"/>
  </r>
  <r>
    <x v="14"/>
    <x v="475"/>
    <n v="1166"/>
  </r>
  <r>
    <x v="15"/>
    <x v="476"/>
    <n v="1892"/>
  </r>
  <r>
    <x v="16"/>
    <x v="477"/>
    <n v="659"/>
  </r>
  <r>
    <x v="17"/>
    <x v="478"/>
    <n v="7503"/>
  </r>
  <r>
    <x v="18"/>
    <x v="479"/>
    <n v="6410"/>
  </r>
  <r>
    <x v="19"/>
    <x v="480"/>
    <n v="982"/>
  </r>
  <r>
    <x v="20"/>
    <x v="481"/>
    <n v="928"/>
  </r>
  <r>
    <x v="21"/>
    <x v="482"/>
    <n v="140"/>
  </r>
  <r>
    <x v="22"/>
    <x v="483"/>
    <n v="9415"/>
  </r>
  <r>
    <x v="23"/>
    <x v="484"/>
    <n v="6286"/>
  </r>
  <r>
    <x v="24"/>
    <x v="485"/>
    <n v="812"/>
  </r>
  <r>
    <x v="25"/>
    <x v="486"/>
    <n v="33978"/>
  </r>
  <r>
    <x v="26"/>
    <x v="487"/>
    <n v="475"/>
  </r>
  <r>
    <x v="0"/>
    <x v="488"/>
    <n v="292"/>
  </r>
  <r>
    <x v="1"/>
    <x v="489"/>
    <n v="815"/>
  </r>
  <r>
    <x v="2"/>
    <x v="490"/>
    <n v="772"/>
  </r>
  <r>
    <x v="3"/>
    <x v="491"/>
    <n v="377"/>
  </r>
  <r>
    <x v="4"/>
    <x v="492"/>
    <n v="2487"/>
  </r>
  <r>
    <x v="5"/>
    <x v="493"/>
    <n v="1464"/>
  </r>
  <r>
    <x v="6"/>
    <x v="494"/>
    <n v="1628"/>
  </r>
  <r>
    <x v="7"/>
    <x v="495"/>
    <n v="1543"/>
  </r>
  <r>
    <x v="8"/>
    <x v="496"/>
    <n v="2896"/>
  </r>
  <r>
    <x v="9"/>
    <x v="497"/>
    <n v="680"/>
  </r>
  <r>
    <x v="10"/>
    <x v="498"/>
    <n v="5551"/>
  </r>
  <r>
    <x v="11"/>
    <x v="499"/>
    <n v="1914"/>
  </r>
  <r>
    <x v="12"/>
    <x v="500"/>
    <n v="3161"/>
  </r>
  <r>
    <x v="13"/>
    <x v="501"/>
    <n v="1066"/>
  </r>
  <r>
    <x v="14"/>
    <x v="502"/>
    <n v="1266"/>
  </r>
  <r>
    <x v="15"/>
    <x v="503"/>
    <n v="1873"/>
  </r>
  <r>
    <x v="16"/>
    <x v="504"/>
    <n v="635"/>
  </r>
  <r>
    <x v="17"/>
    <x v="505"/>
    <n v="6966"/>
  </r>
  <r>
    <x v="18"/>
    <x v="506"/>
    <n v="6178"/>
  </r>
  <r>
    <x v="19"/>
    <x v="507"/>
    <n v="961"/>
  </r>
  <r>
    <x v="20"/>
    <x v="508"/>
    <n v="936"/>
  </r>
  <r>
    <x v="21"/>
    <x v="509"/>
    <n v="142"/>
  </r>
  <r>
    <x v="22"/>
    <x v="510"/>
    <n v="8620"/>
  </r>
  <r>
    <x v="23"/>
    <x v="511"/>
    <n v="5883"/>
  </r>
  <r>
    <x v="24"/>
    <x v="512"/>
    <n v="790"/>
  </r>
  <r>
    <x v="25"/>
    <x v="513"/>
    <n v="32240"/>
  </r>
  <r>
    <x v="26"/>
    <x v="514"/>
    <n v="468"/>
  </r>
  <r>
    <x v="0"/>
    <x v="515"/>
    <n v="221"/>
  </r>
  <r>
    <x v="1"/>
    <x v="516"/>
    <n v="791"/>
  </r>
  <r>
    <x v="2"/>
    <x v="517"/>
    <n v="710"/>
  </r>
  <r>
    <x v="3"/>
    <x v="518"/>
    <n v="377"/>
  </r>
  <r>
    <x v="4"/>
    <x v="519"/>
    <n v="2139"/>
  </r>
  <r>
    <x v="5"/>
    <x v="520"/>
    <n v="1401"/>
  </r>
  <r>
    <x v="6"/>
    <x v="521"/>
    <n v="1634"/>
  </r>
  <r>
    <x v="7"/>
    <x v="522"/>
    <n v="1565"/>
  </r>
  <r>
    <x v="8"/>
    <x v="523"/>
    <n v="2715"/>
  </r>
  <r>
    <x v="9"/>
    <x v="524"/>
    <n v="703"/>
  </r>
  <r>
    <x v="10"/>
    <x v="525"/>
    <n v="5165"/>
  </r>
  <r>
    <x v="11"/>
    <x v="526"/>
    <n v="1665"/>
  </r>
  <r>
    <x v="12"/>
    <x v="527"/>
    <n v="2691"/>
  </r>
  <r>
    <x v="13"/>
    <x v="528"/>
    <n v="1054"/>
  </r>
  <r>
    <x v="14"/>
    <x v="529"/>
    <n v="1122"/>
  </r>
  <r>
    <x v="15"/>
    <x v="530"/>
    <n v="1790"/>
  </r>
  <r>
    <x v="16"/>
    <x v="531"/>
    <n v="505"/>
  </r>
  <r>
    <x v="17"/>
    <x v="532"/>
    <n v="6483"/>
  </r>
  <r>
    <x v="18"/>
    <x v="533"/>
    <n v="5890"/>
  </r>
  <r>
    <x v="19"/>
    <x v="534"/>
    <n v="856"/>
  </r>
  <r>
    <x v="20"/>
    <x v="535"/>
    <n v="822"/>
  </r>
  <r>
    <x v="21"/>
    <x v="536"/>
    <n v="124"/>
  </r>
  <r>
    <x v="22"/>
    <x v="537"/>
    <n v="8632"/>
  </r>
  <r>
    <x v="23"/>
    <x v="538"/>
    <n v="5779"/>
  </r>
  <r>
    <x v="24"/>
    <x v="539"/>
    <n v="770"/>
  </r>
  <r>
    <x v="25"/>
    <x v="540"/>
    <n v="29917"/>
  </r>
  <r>
    <x v="26"/>
    <x v="541"/>
    <n v="491"/>
  </r>
  <r>
    <x v="0"/>
    <x v="542"/>
    <n v="256"/>
  </r>
  <r>
    <x v="1"/>
    <x v="543"/>
    <n v="755"/>
  </r>
  <r>
    <x v="2"/>
    <x v="544"/>
    <n v="720"/>
  </r>
  <r>
    <x v="3"/>
    <x v="545"/>
    <n v="411"/>
  </r>
  <r>
    <x v="4"/>
    <x v="546"/>
    <n v="2190"/>
  </r>
  <r>
    <x v="5"/>
    <x v="547"/>
    <n v="1417"/>
  </r>
  <r>
    <x v="6"/>
    <x v="548"/>
    <n v="1478"/>
  </r>
  <r>
    <x v="7"/>
    <x v="549"/>
    <n v="1353"/>
  </r>
  <r>
    <x v="8"/>
    <x v="550"/>
    <n v="2668"/>
  </r>
  <r>
    <x v="9"/>
    <x v="551"/>
    <n v="625"/>
  </r>
  <r>
    <x v="10"/>
    <x v="552"/>
    <n v="5212"/>
  </r>
  <r>
    <x v="11"/>
    <x v="553"/>
    <n v="1813"/>
  </r>
  <r>
    <x v="12"/>
    <x v="554"/>
    <n v="2706"/>
  </r>
  <r>
    <x v="13"/>
    <x v="555"/>
    <n v="1050"/>
  </r>
  <r>
    <x v="14"/>
    <x v="556"/>
    <n v="1140"/>
  </r>
  <r>
    <x v="15"/>
    <x v="557"/>
    <n v="1857"/>
  </r>
  <r>
    <x v="16"/>
    <x v="558"/>
    <n v="525"/>
  </r>
  <r>
    <x v="17"/>
    <x v="559"/>
    <n v="6634"/>
  </r>
  <r>
    <x v="18"/>
    <x v="560"/>
    <n v="6107"/>
  </r>
  <r>
    <x v="19"/>
    <x v="561"/>
    <n v="967"/>
  </r>
  <r>
    <x v="20"/>
    <x v="562"/>
    <n v="745"/>
  </r>
  <r>
    <x v="21"/>
    <x v="563"/>
    <n v="140"/>
  </r>
  <r>
    <x v="22"/>
    <x v="564"/>
    <n v="8610"/>
  </r>
  <r>
    <x v="23"/>
    <x v="565"/>
    <n v="5504"/>
  </r>
  <r>
    <x v="24"/>
    <x v="566"/>
    <n v="769"/>
  </r>
  <r>
    <x v="25"/>
    <x v="567"/>
    <n v="30033"/>
  </r>
  <r>
    <x v="26"/>
    <x v="568"/>
    <n v="407"/>
  </r>
  <r>
    <x v="0"/>
    <x v="569"/>
    <n v="175"/>
  </r>
  <r>
    <x v="1"/>
    <x v="570"/>
    <n v="696"/>
  </r>
  <r>
    <x v="2"/>
    <x v="571"/>
    <n v="604"/>
  </r>
  <r>
    <x v="3"/>
    <x v="572"/>
    <n v="308"/>
  </r>
  <r>
    <x v="4"/>
    <x v="573"/>
    <n v="1983"/>
  </r>
  <r>
    <x v="5"/>
    <x v="574"/>
    <n v="1295"/>
  </r>
  <r>
    <x v="6"/>
    <x v="575"/>
    <n v="1317"/>
  </r>
  <r>
    <x v="7"/>
    <x v="576"/>
    <n v="1380"/>
  </r>
  <r>
    <x v="8"/>
    <x v="577"/>
    <n v="2508"/>
  </r>
  <r>
    <x v="9"/>
    <x v="578"/>
    <n v="513"/>
  </r>
  <r>
    <x v="10"/>
    <x v="579"/>
    <n v="4868"/>
  </r>
  <r>
    <x v="11"/>
    <x v="580"/>
    <n v="1430"/>
  </r>
  <r>
    <x v="12"/>
    <x v="581"/>
    <n v="2235"/>
  </r>
  <r>
    <x v="13"/>
    <x v="582"/>
    <n v="897"/>
  </r>
  <r>
    <x v="14"/>
    <x v="583"/>
    <n v="1007"/>
  </r>
  <r>
    <x v="15"/>
    <x v="584"/>
    <n v="1731"/>
  </r>
  <r>
    <x v="16"/>
    <x v="585"/>
    <n v="494"/>
  </r>
  <r>
    <x v="17"/>
    <x v="586"/>
    <n v="5818"/>
  </r>
  <r>
    <x v="18"/>
    <x v="587"/>
    <n v="5165"/>
  </r>
  <r>
    <x v="19"/>
    <x v="588"/>
    <n v="868"/>
  </r>
  <r>
    <x v="20"/>
    <x v="589"/>
    <n v="734"/>
  </r>
  <r>
    <x v="21"/>
    <x v="590"/>
    <n v="152"/>
  </r>
  <r>
    <x v="22"/>
    <x v="591"/>
    <n v="8026"/>
  </r>
  <r>
    <x v="23"/>
    <x v="592"/>
    <n v="4705"/>
  </r>
  <r>
    <x v="24"/>
    <x v="593"/>
    <n v="609"/>
  </r>
  <r>
    <x v="25"/>
    <x v="594"/>
    <n v="26361"/>
  </r>
  <r>
    <x v="26"/>
    <x v="595"/>
    <n v="371"/>
  </r>
  <r>
    <x v="0"/>
    <x v="596"/>
    <n v="204"/>
  </r>
  <r>
    <x v="1"/>
    <x v="596"/>
    <n v="679"/>
  </r>
  <r>
    <x v="2"/>
    <x v="596"/>
    <n v="534"/>
  </r>
  <r>
    <x v="3"/>
    <x v="596"/>
    <n v="275"/>
  </r>
  <r>
    <x v="4"/>
    <x v="596"/>
    <n v="1725"/>
  </r>
  <r>
    <x v="5"/>
    <x v="596"/>
    <n v="1100"/>
  </r>
  <r>
    <x v="6"/>
    <x v="596"/>
    <n v="1367"/>
  </r>
  <r>
    <x v="7"/>
    <x v="596"/>
    <n v="1165"/>
  </r>
  <r>
    <x v="8"/>
    <x v="596"/>
    <n v="2134"/>
  </r>
  <r>
    <x v="9"/>
    <x v="596"/>
    <n v="530"/>
  </r>
  <r>
    <x v="10"/>
    <x v="596"/>
    <n v="4091"/>
  </r>
  <r>
    <x v="11"/>
    <x v="596"/>
    <n v="1326"/>
  </r>
  <r>
    <x v="12"/>
    <x v="596"/>
    <n v="1810"/>
  </r>
  <r>
    <x v="13"/>
    <x v="596"/>
    <n v="726"/>
  </r>
  <r>
    <x v="14"/>
    <x v="596"/>
    <n v="851"/>
  </r>
  <r>
    <x v="15"/>
    <x v="596"/>
    <n v="1397"/>
  </r>
  <r>
    <x v="16"/>
    <x v="596"/>
    <n v="366"/>
  </r>
  <r>
    <x v="17"/>
    <x v="596"/>
    <n v="5049"/>
  </r>
  <r>
    <x v="18"/>
    <x v="596"/>
    <n v="4464"/>
  </r>
  <r>
    <x v="19"/>
    <x v="596"/>
    <n v="654"/>
  </r>
  <r>
    <x v="20"/>
    <x v="596"/>
    <n v="555"/>
  </r>
  <r>
    <x v="21"/>
    <x v="596"/>
    <n v="129"/>
  </r>
  <r>
    <x v="22"/>
    <x v="596"/>
    <n v="6803"/>
  </r>
  <r>
    <x v="23"/>
    <x v="596"/>
    <n v="3992"/>
  </r>
  <r>
    <x v="24"/>
    <x v="596"/>
    <n v="601"/>
  </r>
  <r>
    <x v="25"/>
    <x v="596"/>
    <n v="23130"/>
  </r>
  <r>
    <x v="26"/>
    <x v="596"/>
    <n v="308"/>
  </r>
  <r>
    <x v="0"/>
    <x v="597"/>
    <n v="178"/>
  </r>
  <r>
    <x v="1"/>
    <x v="598"/>
    <n v="714"/>
  </r>
  <r>
    <x v="2"/>
    <x v="599"/>
    <n v="593"/>
  </r>
  <r>
    <x v="3"/>
    <x v="600"/>
    <n v="224"/>
  </r>
  <r>
    <x v="4"/>
    <x v="601"/>
    <n v="2083"/>
  </r>
  <r>
    <x v="5"/>
    <x v="602"/>
    <n v="1236"/>
  </r>
  <r>
    <x v="6"/>
    <x v="603"/>
    <n v="1399"/>
  </r>
  <r>
    <x v="7"/>
    <x v="604"/>
    <n v="1277"/>
  </r>
  <r>
    <x v="8"/>
    <x v="605"/>
    <n v="2476"/>
  </r>
  <r>
    <x v="9"/>
    <x v="606"/>
    <n v="652"/>
  </r>
  <r>
    <x v="10"/>
    <x v="607"/>
    <n v="4349"/>
  </r>
  <r>
    <x v="11"/>
    <x v="608"/>
    <n v="1564"/>
  </r>
  <r>
    <x v="12"/>
    <x v="609"/>
    <n v="2454"/>
  </r>
  <r>
    <x v="13"/>
    <x v="610"/>
    <n v="791"/>
  </r>
  <r>
    <x v="14"/>
    <x v="611"/>
    <n v="889"/>
  </r>
  <r>
    <x v="15"/>
    <x v="612"/>
    <n v="1560"/>
  </r>
  <r>
    <x v="16"/>
    <x v="613"/>
    <n v="445"/>
  </r>
  <r>
    <x v="17"/>
    <x v="614"/>
    <n v="5624"/>
  </r>
  <r>
    <x v="18"/>
    <x v="615"/>
    <n v="5001"/>
  </r>
  <r>
    <x v="19"/>
    <x v="616"/>
    <n v="767"/>
  </r>
  <r>
    <x v="20"/>
    <x v="617"/>
    <n v="633"/>
  </r>
  <r>
    <x v="21"/>
    <x v="618"/>
    <n v="144"/>
  </r>
  <r>
    <x v="22"/>
    <x v="619"/>
    <n v="7579"/>
  </r>
  <r>
    <x v="23"/>
    <x v="620"/>
    <n v="4531"/>
  </r>
  <r>
    <x v="24"/>
    <x v="621"/>
    <n v="670"/>
  </r>
  <r>
    <x v="25"/>
    <x v="622"/>
    <n v="25601"/>
  </r>
  <r>
    <x v="26"/>
    <x v="623"/>
    <n v="375"/>
  </r>
  <r>
    <x v="0"/>
    <x v="624"/>
    <n v="261"/>
  </r>
  <r>
    <x v="1"/>
    <x v="625"/>
    <n v="902"/>
  </r>
  <r>
    <x v="2"/>
    <x v="626"/>
    <n v="760"/>
  </r>
  <r>
    <x v="3"/>
    <x v="627"/>
    <n v="385"/>
  </r>
  <r>
    <x v="4"/>
    <x v="628"/>
    <n v="2520"/>
  </r>
  <r>
    <x v="5"/>
    <x v="629"/>
    <n v="1334"/>
  </r>
  <r>
    <x v="6"/>
    <x v="630"/>
    <n v="1614"/>
  </r>
  <r>
    <x v="7"/>
    <x v="631"/>
    <n v="1683"/>
  </r>
  <r>
    <x v="8"/>
    <x v="632"/>
    <n v="3378"/>
  </r>
  <r>
    <x v="9"/>
    <x v="633"/>
    <n v="700"/>
  </r>
  <r>
    <x v="10"/>
    <x v="634"/>
    <n v="5847"/>
  </r>
  <r>
    <x v="11"/>
    <x v="635"/>
    <n v="2166"/>
  </r>
  <r>
    <x v="12"/>
    <x v="636"/>
    <n v="3220"/>
  </r>
  <r>
    <x v="13"/>
    <x v="637"/>
    <n v="1091"/>
  </r>
  <r>
    <x v="14"/>
    <x v="638"/>
    <n v="1174"/>
  </r>
  <r>
    <x v="15"/>
    <x v="639"/>
    <n v="1969"/>
  </r>
  <r>
    <x v="16"/>
    <x v="640"/>
    <n v="518"/>
  </r>
  <r>
    <x v="17"/>
    <x v="641"/>
    <n v="7162"/>
  </r>
  <r>
    <x v="18"/>
    <x v="642"/>
    <n v="6025"/>
  </r>
  <r>
    <x v="19"/>
    <x v="643"/>
    <n v="894"/>
  </r>
  <r>
    <x v="20"/>
    <x v="644"/>
    <n v="820"/>
  </r>
  <r>
    <x v="21"/>
    <x v="645"/>
    <n v="145"/>
  </r>
  <r>
    <x v="22"/>
    <x v="646"/>
    <n v="8797"/>
  </r>
  <r>
    <x v="23"/>
    <x v="647"/>
    <n v="6453"/>
  </r>
  <r>
    <x v="24"/>
    <x v="648"/>
    <n v="961"/>
  </r>
  <r>
    <x v="25"/>
    <x v="649"/>
    <n v="32744"/>
  </r>
  <r>
    <x v="26"/>
    <x v="650"/>
    <n v="501"/>
  </r>
  <r>
    <x v="0"/>
    <x v="651"/>
    <n v="207"/>
  </r>
  <r>
    <x v="1"/>
    <x v="652"/>
    <n v="821"/>
  </r>
  <r>
    <x v="2"/>
    <x v="653"/>
    <n v="641"/>
  </r>
  <r>
    <x v="3"/>
    <x v="654"/>
    <n v="275"/>
  </r>
  <r>
    <x v="4"/>
    <x v="655"/>
    <n v="2024"/>
  </r>
  <r>
    <x v="5"/>
    <x v="656"/>
    <n v="1155"/>
  </r>
  <r>
    <x v="6"/>
    <x v="657"/>
    <n v="1422"/>
  </r>
  <r>
    <x v="7"/>
    <x v="658"/>
    <n v="1311"/>
  </r>
  <r>
    <x v="8"/>
    <x v="659"/>
    <n v="2626"/>
  </r>
  <r>
    <x v="9"/>
    <x v="660"/>
    <n v="611"/>
  </r>
  <r>
    <x v="10"/>
    <x v="661"/>
    <n v="4913"/>
  </r>
  <r>
    <x v="11"/>
    <x v="662"/>
    <n v="1592"/>
  </r>
  <r>
    <x v="12"/>
    <x v="663"/>
    <n v="2686"/>
  </r>
  <r>
    <x v="13"/>
    <x v="664"/>
    <n v="1011"/>
  </r>
  <r>
    <x v="14"/>
    <x v="665"/>
    <n v="898"/>
  </r>
  <r>
    <x v="15"/>
    <x v="666"/>
    <n v="1667"/>
  </r>
  <r>
    <x v="16"/>
    <x v="667"/>
    <n v="478"/>
  </r>
  <r>
    <x v="17"/>
    <x v="668"/>
    <n v="6003"/>
  </r>
  <r>
    <x v="18"/>
    <x v="669"/>
    <n v="5065"/>
  </r>
  <r>
    <x v="19"/>
    <x v="670"/>
    <n v="791"/>
  </r>
  <r>
    <x v="20"/>
    <x v="671"/>
    <n v="816"/>
  </r>
  <r>
    <x v="21"/>
    <x v="672"/>
    <n v="145"/>
  </r>
  <r>
    <x v="22"/>
    <x v="673"/>
    <n v="7546"/>
  </r>
  <r>
    <x v="23"/>
    <x v="674"/>
    <n v="4932"/>
  </r>
  <r>
    <x v="24"/>
    <x v="675"/>
    <n v="732"/>
  </r>
  <r>
    <x v="25"/>
    <x v="676"/>
    <n v="27573"/>
  </r>
  <r>
    <x v="26"/>
    <x v="677"/>
    <n v="458"/>
  </r>
  <r>
    <x v="0"/>
    <x v="678"/>
    <n v="249"/>
  </r>
  <r>
    <x v="1"/>
    <x v="679"/>
    <n v="756"/>
  </r>
  <r>
    <x v="2"/>
    <x v="680"/>
    <n v="735"/>
  </r>
  <r>
    <x v="3"/>
    <x v="681"/>
    <n v="387"/>
  </r>
  <r>
    <x v="4"/>
    <x v="682"/>
    <n v="2701"/>
  </r>
  <r>
    <x v="5"/>
    <x v="683"/>
    <n v="1562"/>
  </r>
  <r>
    <x v="6"/>
    <x v="684"/>
    <n v="1792"/>
  </r>
  <r>
    <x v="7"/>
    <x v="685"/>
    <n v="1609"/>
  </r>
  <r>
    <x v="8"/>
    <x v="686"/>
    <n v="3151"/>
  </r>
  <r>
    <x v="9"/>
    <x v="687"/>
    <n v="686"/>
  </r>
  <r>
    <x v="10"/>
    <x v="688"/>
    <n v="5854"/>
  </r>
  <r>
    <x v="11"/>
    <x v="689"/>
    <n v="2025"/>
  </r>
  <r>
    <x v="12"/>
    <x v="690"/>
    <n v="3258"/>
  </r>
  <r>
    <x v="13"/>
    <x v="691"/>
    <n v="1157"/>
  </r>
  <r>
    <x v="14"/>
    <x v="692"/>
    <n v="1125"/>
  </r>
  <r>
    <x v="15"/>
    <x v="693"/>
    <n v="1919"/>
  </r>
  <r>
    <x v="16"/>
    <x v="694"/>
    <n v="523"/>
  </r>
  <r>
    <x v="17"/>
    <x v="695"/>
    <n v="6587"/>
  </r>
  <r>
    <x v="18"/>
    <x v="696"/>
    <n v="6372"/>
  </r>
  <r>
    <x v="19"/>
    <x v="697"/>
    <n v="921"/>
  </r>
  <r>
    <x v="20"/>
    <x v="698"/>
    <n v="981"/>
  </r>
  <r>
    <x v="21"/>
    <x v="699"/>
    <n v="191"/>
  </r>
  <r>
    <x v="22"/>
    <x v="700"/>
    <n v="8694"/>
  </r>
  <r>
    <x v="23"/>
    <x v="701"/>
    <n v="5758"/>
  </r>
  <r>
    <x v="24"/>
    <x v="702"/>
    <n v="797"/>
  </r>
  <r>
    <x v="25"/>
    <x v="703"/>
    <n v="32927"/>
  </r>
  <r>
    <x v="26"/>
    <x v="704"/>
    <n v="588"/>
  </r>
  <r>
    <x v="0"/>
    <x v="705"/>
    <n v="328"/>
  </r>
  <r>
    <x v="1"/>
    <x v="706"/>
    <n v="626"/>
  </r>
  <r>
    <x v="2"/>
    <x v="707"/>
    <n v="755"/>
  </r>
  <r>
    <x v="3"/>
    <x v="708"/>
    <n v="389"/>
  </r>
  <r>
    <x v="4"/>
    <x v="709"/>
    <n v="2034"/>
  </r>
  <r>
    <x v="5"/>
    <x v="710"/>
    <n v="1554"/>
  </r>
  <r>
    <x v="6"/>
    <x v="711"/>
    <n v="1547"/>
  </r>
  <r>
    <x v="7"/>
    <x v="712"/>
    <n v="1488"/>
  </r>
  <r>
    <x v="8"/>
    <x v="713"/>
    <n v="2894"/>
  </r>
  <r>
    <x v="9"/>
    <x v="714"/>
    <n v="648"/>
  </r>
  <r>
    <x v="10"/>
    <x v="715"/>
    <n v="5557"/>
  </r>
  <r>
    <x v="11"/>
    <x v="716"/>
    <n v="1876"/>
  </r>
  <r>
    <x v="12"/>
    <x v="717"/>
    <n v="3134"/>
  </r>
  <r>
    <x v="13"/>
    <x v="718"/>
    <n v="1131"/>
  </r>
  <r>
    <x v="14"/>
    <x v="719"/>
    <n v="955"/>
  </r>
  <r>
    <x v="15"/>
    <x v="720"/>
    <n v="1465"/>
  </r>
  <r>
    <x v="16"/>
    <x v="721"/>
    <n v="505"/>
  </r>
  <r>
    <x v="17"/>
    <x v="722"/>
    <n v="6258"/>
  </r>
  <r>
    <x v="18"/>
    <x v="723"/>
    <n v="5854"/>
  </r>
  <r>
    <x v="19"/>
    <x v="724"/>
    <n v="853"/>
  </r>
  <r>
    <x v="20"/>
    <x v="725"/>
    <n v="806"/>
  </r>
  <r>
    <x v="21"/>
    <x v="726"/>
    <n v="147"/>
  </r>
  <r>
    <x v="22"/>
    <x v="727"/>
    <n v="8167"/>
  </r>
  <r>
    <x v="23"/>
    <x v="728"/>
    <n v="5423"/>
  </r>
  <r>
    <x v="24"/>
    <x v="729"/>
    <n v="596"/>
  </r>
  <r>
    <x v="25"/>
    <x v="730"/>
    <n v="30909"/>
  </r>
  <r>
    <x v="26"/>
    <x v="731"/>
    <n v="481"/>
  </r>
  <r>
    <x v="0"/>
    <x v="732"/>
    <n v="269"/>
  </r>
  <r>
    <x v="1"/>
    <x v="733"/>
    <n v="644"/>
  </r>
  <r>
    <x v="2"/>
    <x v="734"/>
    <n v="665"/>
  </r>
  <r>
    <x v="3"/>
    <x v="735"/>
    <n v="346"/>
  </r>
  <r>
    <x v="4"/>
    <x v="736"/>
    <n v="2195"/>
  </r>
  <r>
    <x v="5"/>
    <x v="737"/>
    <n v="1515"/>
  </r>
  <r>
    <x v="6"/>
    <x v="738"/>
    <n v="1433"/>
  </r>
  <r>
    <x v="7"/>
    <x v="739"/>
    <n v="1634"/>
  </r>
  <r>
    <x v="8"/>
    <x v="740"/>
    <n v="2686"/>
  </r>
  <r>
    <x v="9"/>
    <x v="741"/>
    <n v="690"/>
  </r>
  <r>
    <x v="10"/>
    <x v="742"/>
    <n v="5413"/>
  </r>
  <r>
    <x v="11"/>
    <x v="743"/>
    <n v="1956"/>
  </r>
  <r>
    <x v="12"/>
    <x v="744"/>
    <n v="2940"/>
  </r>
  <r>
    <x v="13"/>
    <x v="745"/>
    <n v="922"/>
  </r>
  <r>
    <x v="14"/>
    <x v="746"/>
    <n v="938"/>
  </r>
  <r>
    <x v="15"/>
    <x v="747"/>
    <n v="1724"/>
  </r>
  <r>
    <x v="16"/>
    <x v="748"/>
    <n v="541"/>
  </r>
  <r>
    <x v="17"/>
    <x v="749"/>
    <n v="6571"/>
  </r>
  <r>
    <x v="18"/>
    <x v="750"/>
    <n v="5883"/>
  </r>
  <r>
    <x v="19"/>
    <x v="751"/>
    <n v="809"/>
  </r>
  <r>
    <x v="20"/>
    <x v="752"/>
    <n v="860"/>
  </r>
  <r>
    <x v="21"/>
    <x v="753"/>
    <n v="130"/>
  </r>
  <r>
    <x v="22"/>
    <x v="754"/>
    <n v="8151"/>
  </r>
  <r>
    <x v="23"/>
    <x v="755"/>
    <n v="5471"/>
  </r>
  <r>
    <x v="24"/>
    <x v="756"/>
    <n v="669"/>
  </r>
  <r>
    <x v="25"/>
    <x v="757"/>
    <n v="29999"/>
  </r>
  <r>
    <x v="26"/>
    <x v="758"/>
    <n v="382"/>
  </r>
  <r>
    <x v="0"/>
    <x v="759"/>
    <n v="278"/>
  </r>
  <r>
    <x v="1"/>
    <x v="760"/>
    <n v="894"/>
  </r>
  <r>
    <x v="2"/>
    <x v="761"/>
    <n v="826"/>
  </r>
  <r>
    <x v="3"/>
    <x v="762"/>
    <n v="398"/>
  </r>
  <r>
    <x v="4"/>
    <x v="763"/>
    <n v="2611"/>
  </r>
  <r>
    <x v="5"/>
    <x v="764"/>
    <n v="1654"/>
  </r>
  <r>
    <x v="6"/>
    <x v="765"/>
    <n v="1605"/>
  </r>
  <r>
    <x v="7"/>
    <x v="766"/>
    <n v="1662"/>
  </r>
  <r>
    <x v="8"/>
    <x v="767"/>
    <n v="3270"/>
  </r>
  <r>
    <x v="9"/>
    <x v="768"/>
    <n v="766"/>
  </r>
  <r>
    <x v="10"/>
    <x v="769"/>
    <n v="5905"/>
  </r>
  <r>
    <x v="11"/>
    <x v="770"/>
    <n v="1966"/>
  </r>
  <r>
    <x v="12"/>
    <x v="771"/>
    <n v="3179"/>
  </r>
  <r>
    <x v="13"/>
    <x v="772"/>
    <n v="1232"/>
  </r>
  <r>
    <x v="14"/>
    <x v="773"/>
    <n v="1127"/>
  </r>
  <r>
    <x v="15"/>
    <x v="774"/>
    <n v="1960"/>
  </r>
  <r>
    <x v="16"/>
    <x v="775"/>
    <n v="598"/>
  </r>
  <r>
    <x v="17"/>
    <x v="776"/>
    <n v="7233"/>
  </r>
  <r>
    <x v="18"/>
    <x v="777"/>
    <n v="6684"/>
  </r>
  <r>
    <x v="19"/>
    <x v="778"/>
    <n v="925"/>
  </r>
  <r>
    <x v="20"/>
    <x v="779"/>
    <n v="908"/>
  </r>
  <r>
    <x v="21"/>
    <x v="780"/>
    <n v="129"/>
  </r>
  <r>
    <x v="22"/>
    <x v="781"/>
    <n v="9379"/>
  </r>
  <r>
    <x v="23"/>
    <x v="782"/>
    <n v="5894"/>
  </r>
  <r>
    <x v="24"/>
    <x v="783"/>
    <n v="821"/>
  </r>
  <r>
    <x v="25"/>
    <x v="784"/>
    <n v="33179"/>
  </r>
  <r>
    <x v="26"/>
    <x v="785"/>
    <n v="47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7">
  <r>
    <x v="0"/>
    <s v="ACRE"/>
    <x v="0"/>
    <n v="145826.93599999999"/>
    <n v="173232.09"/>
    <n v="0.84180093884452922"/>
    <n v="65148.808000000005"/>
    <n v="65999.62"/>
    <n v="0.98710883486904943"/>
    <n v="11480.128000000001"/>
    <n v="22368.199999999997"/>
    <n v="0.5132343237274346"/>
    <n v="6094.0479999999998"/>
    <n v="10405.58"/>
    <n v="0.58565192906113839"/>
    <n v="199212.12000000002"/>
    <n v="247987.1"/>
    <n v="0.80331646283213931"/>
    <n v="30779.920000000002"/>
    <n v="28255.510000000002"/>
    <n v="1.0893422203315388"/>
    <n v="739"/>
    <n v="53"/>
    <n v="720"/>
    <n v="1.0263888888888888"/>
    <n v="165"/>
    <n v="13"/>
    <n v="172"/>
    <n v="0.95930232558139539"/>
    <n v="2236"/>
    <n v="2852"/>
    <n v="3.0257104194857916"/>
    <n v="3.9611111111111112"/>
    <n v="732"/>
    <n v="398"/>
    <n v="0.54371584699453557"/>
    <n v="709"/>
    <n v="481"/>
    <n v="0.67842031029619176"/>
    <n v="53"/>
    <n v="0.32121212121212123"/>
    <n v="83"/>
    <n v="0.48255813953488375"/>
    <n v="386"/>
    <n v="353"/>
    <n v="34"/>
    <n v="43"/>
    <n v="0.79069767441860461"/>
    <n v="145826.93599999999"/>
    <n v="126924.16000000002"/>
    <n v="0.14892969155754088"/>
    <n v="65148.808000000005"/>
    <n v="37310.880000000005"/>
    <n v="0.74610751609182091"/>
    <n v="11480.128000000001"/>
    <n v="13298.240000000002"/>
    <n v="-0.13671824241403374"/>
    <n v="6094.0479999999998"/>
    <n v="6081.9120000000003"/>
    <n v="1.9954251228888609E-3"/>
    <n v="199212.12000000002"/>
    <n v="188984.06400000001"/>
    <n v="5.4121261780040841E-2"/>
    <n v="30779.920000000002"/>
    <n v="23589.896000000004"/>
    <n v="0.30479252642741606"/>
    <n v="396189.15200000006"/>
    <n v="0.15738141159402552"/>
    <n v="0.83637674257329853"/>
  </r>
  <r>
    <x v="1"/>
    <s v="ALAGOAS"/>
    <x v="1"/>
    <n v="495176.54400000005"/>
    <n v="558689.82999999996"/>
    <n v="0.88631744737504903"/>
    <n v="121918.88799999999"/>
    <n v="123638.42"/>
    <n v="0.98609225190681016"/>
    <n v="11320.248000000001"/>
    <n v="21671.61"/>
    <n v="0.52235380758513106"/>
    <n v="6046.6240000000007"/>
    <n v="22976.79"/>
    <n v="0.26316226069873122"/>
    <n v="605895.28800000006"/>
    <n v="671443.34000000008"/>
    <n v="0.90237738898415465"/>
    <n v="56039.432000000001"/>
    <n v="65757.320000000007"/>
    <n v="0.8522158749778731"/>
    <n v="2222"/>
    <n v="134"/>
    <n v="2206"/>
    <n v="1.0072529465095195"/>
    <n v="181"/>
    <n v="11"/>
    <n v="174"/>
    <n v="1.0402298850574712"/>
    <n v="6861"/>
    <n v="7722"/>
    <n v="3.087758775877588"/>
    <n v="3.5004533091568448"/>
    <n v="2161"/>
    <n v="1301"/>
    <n v="0.60203609440074035"/>
    <n v="2118"/>
    <n v="1536"/>
    <n v="0.72521246458923516"/>
    <n v="64"/>
    <n v="0.35359116022099446"/>
    <n v="85"/>
    <n v="0.4885057471264368"/>
    <n v="596"/>
    <n v="1626"/>
    <n v="90"/>
    <n v="116"/>
    <n v="0.77586206896551724"/>
    <n v="495176.54400000005"/>
    <n v="452815.54400000005"/>
    <n v="9.355023377907723E-2"/>
    <n v="121918.88799999999"/>
    <n v="198247.984"/>
    <n v="-0.38501827085414397"/>
    <n v="11320.248000000001"/>
    <n v="21222.544000000002"/>
    <n v="-0.46659326044983107"/>
    <n v="6046.6240000000007"/>
    <n v="9239.232"/>
    <n v="-0.3455490672817827"/>
    <n v="605895.28799999994"/>
    <n v="550504.37600000016"/>
    <n v="0.10061847719081496"/>
    <n v="56039.432000000001"/>
    <n v="78143.071999999986"/>
    <n v="-0.28286116010386675"/>
    <n v="1310172.7520000001"/>
    <n v="-1.0514436343582179E-2"/>
    <n v="0.88540985790853433"/>
  </r>
  <r>
    <x v="2"/>
    <s v="AMAZONAS"/>
    <x v="0"/>
    <n v="422608.95200000005"/>
    <n v="564760.02"/>
    <n v="0.74829828074586446"/>
    <n v="98081.751999999993"/>
    <n v="146693.6"/>
    <n v="0.66861643589086361"/>
    <n v="15599.032000000003"/>
    <n v="38358.76"/>
    <n v="0.40666152920480231"/>
    <n v="13587.808000000003"/>
    <n v="25790.080000000002"/>
    <n v="0.52686180112663483"/>
    <n v="544278.62400000007"/>
    <n v="677529.99"/>
    <n v="0.80332772280677944"/>
    <n v="55253.258000000023"/>
    <n v="64497.72"/>
    <n v="0.85666994120102269"/>
    <n v="2353"/>
    <n v="252"/>
    <n v="2347"/>
    <n v="1.0025564550489987"/>
    <n v="308"/>
    <n v="47"/>
    <n v="292"/>
    <n v="1.0547945205479452"/>
    <n v="6159"/>
    <n v="7792"/>
    <n v="2.6175095622609437"/>
    <n v="3.3199829569663399"/>
    <n v="2338"/>
    <n v="1099"/>
    <n v="0.47005988023952094"/>
    <n v="2329"/>
    <n v="1473"/>
    <n v="0.63246028338342641"/>
    <n v="83"/>
    <n v="0.26948051948051949"/>
    <n v="143"/>
    <n v="0.48972602739726029"/>
    <n v="944"/>
    <n v="1409"/>
    <n v="79"/>
    <n v="94"/>
    <n v="0.84042553191489366"/>
    <n v="269696.29600000003"/>
    <n v="389751.56799999997"/>
    <n v="-0.30803024761660469"/>
    <n v="73180.160000000003"/>
    <n v="137768.06400000004"/>
    <n v="-0.46881622724988004"/>
    <n v="14871.848000000002"/>
    <n v="23957.4"/>
    <n v="-0.37923781378613697"/>
    <n v="11852.28"/>
    <n v="10993.576000000001"/>
    <n v="7.8109616015753058E-2"/>
    <n v="366750.54399999994"/>
    <n v="456720.92800000001"/>
    <n v="-0.19699203273645494"/>
    <n v="42090.880000000012"/>
    <n v="72208.928"/>
    <n v="-0.41709590260085272"/>
    <n v="1091400.4640000002"/>
    <n v="5.3150941302879895E-2"/>
    <n v="0.7573712283276498"/>
  </r>
  <r>
    <x v="3"/>
    <s v="AMAPÁ"/>
    <x v="0"/>
    <n v="158351.24799999999"/>
    <n v="193991.7"/>
    <n v="0.81627846964586626"/>
    <n v="56174.168000000005"/>
    <n v="70623.45"/>
    <n v="0.79540390620962309"/>
    <n v="15336.248"/>
    <n v="30504.54"/>
    <n v="0.5027529672632336"/>
    <n v="13836.183999999999"/>
    <n v="29503.100000000002"/>
    <n v="0.4689739044371608"/>
    <n v="280687.79200000002"/>
    <n v="311896.82"/>
    <n v="0.89993797307712209"/>
    <n v="37415.800000000003"/>
    <n v="34372.410000000003"/>
    <n v="1.0885416530292755"/>
    <n v="886"/>
    <n v="55"/>
    <n v="883"/>
    <n v="1.0033975084937712"/>
    <n v="336"/>
    <n v="29"/>
    <n v="350"/>
    <n v="0.96"/>
    <n v="3083"/>
    <n v="3587"/>
    <n v="3.479683972911964"/>
    <n v="4.062287655719139"/>
    <n v="881"/>
    <n v="417"/>
    <n v="0.47332576617480138"/>
    <n v="877"/>
    <n v="518"/>
    <n v="0.59064994298745721"/>
    <n v="82"/>
    <n v="0.24404761904761904"/>
    <n v="110"/>
    <n v="0.31428571428571428"/>
    <n v="481"/>
    <n v="405"/>
    <n v="35"/>
    <n v="30"/>
    <n v="1.1666666666666667"/>
    <n v="311263.90399999998"/>
    <n v="135081.76"/>
    <n v="1.3042630181898724"/>
    <n v="81075.759999999995"/>
    <n v="57580.024000000005"/>
    <n v="0.40805359858828805"/>
    <n v="16063.432000000003"/>
    <n v="20964.736000000001"/>
    <n v="-0.23378801431127005"/>
    <n v="15571.712000000001"/>
    <n v="9705.1440000000002"/>
    <n v="0.60448026325008697"/>
    <n v="458215.87200000003"/>
    <n v="234633.38399999999"/>
    <n v="0.95290143366810942"/>
    <n v="50578.178"/>
    <n v="26222.200000000008"/>
    <n v="0.92883045663597952"/>
    <n v="484187.24800000002"/>
    <n v="0.16029788541642898"/>
    <n v="0.83739472709781237"/>
  </r>
  <r>
    <x v="4"/>
    <s v="BAHIA"/>
    <x v="1"/>
    <n v="1530239.888"/>
    <n v="1725578.28"/>
    <n v="0.88679830161051865"/>
    <n v="289451.016"/>
    <n v="369690.77"/>
    <n v="0.78295440267551175"/>
    <n v="66782.296000000002"/>
    <n v="167980.98"/>
    <n v="0.39755867598819816"/>
    <n v="53345.688000000002"/>
    <n v="99609.25"/>
    <n v="0.53554953982687348"/>
    <n v="1776444.1440000001"/>
    <n v="1628784.86"/>
    <n v="1.0906561005239206"/>
    <n v="169066.712"/>
    <n v="160121"/>
    <n v="1.055868449485077"/>
    <n v="7444"/>
    <n v="348"/>
    <n v="7436"/>
    <n v="1.0010758472296934"/>
    <n v="1068"/>
    <n v="46"/>
    <n v="1140"/>
    <n v="0.93684210526315792"/>
    <n v="20099"/>
    <n v="18732"/>
    <n v="2.7000268672756582"/>
    <n v="2.5190962883270576"/>
    <n v="6690"/>
    <n v="4179"/>
    <n v="0.62466367713004489"/>
    <n v="6633"/>
    <n v="4840"/>
    <n v="0.72968490878938641"/>
    <n v="357"/>
    <n v="0.3342696629213483"/>
    <n v="568"/>
    <n v="0.49824561403508771"/>
    <n v="2749"/>
    <n v="4695"/>
    <n v="257"/>
    <n v="388"/>
    <n v="0.66237113402061853"/>
    <n v="1530239.888"/>
    <n v="1379175.9440000001"/>
    <n v="0.1095320322669433"/>
    <n v="289451.016"/>
    <n v="378812.96799999999"/>
    <n v="-0.23589992832557938"/>
    <n v="66782.296000000002"/>
    <n v="106338.40000000001"/>
    <n v="-0.37198325346253092"/>
    <n v="53345.688000000002"/>
    <n v="40606.344000000005"/>
    <n v="0.3137279238928774"/>
    <n v="1776444.1440000003"/>
    <n v="1484676.5280000002"/>
    <n v="0.19651931615908191"/>
    <n v="169066.71200000003"/>
    <n v="192743.11199999999"/>
    <n v="-0.12283914975908439"/>
    <n v="3582353.2960000006"/>
    <n v="8.4574697961336875E-2"/>
    <n v="0.93582599520549947"/>
  </r>
  <r>
    <x v="5"/>
    <s v="CEARÁ"/>
    <x v="1"/>
    <n v="1083541.3440000003"/>
    <n v="1150209.6499999999"/>
    <n v="0.94203812670151077"/>
    <n v="298626.2"/>
    <n v="211350.33000000002"/>
    <n v="1.4129440914523295"/>
    <n v="39283.168000000005"/>
    <n v="83922"/>
    <n v="0.4680914182216821"/>
    <n v="56357.911999999997"/>
    <n v="56778.33"/>
    <n v="0.99259544970766123"/>
    <n v="1117589.5920000002"/>
    <n v="1064727.24"/>
    <n v="1.0496487269359243"/>
    <n v="177476.24000000005"/>
    <n v="110694.43000000001"/>
    <n v="1.6032987386989574"/>
    <n v="4757"/>
    <n v="324"/>
    <n v="4756"/>
    <n v="1.000210260723297"/>
    <n v="470"/>
    <n v="18"/>
    <n v="499"/>
    <n v="0.94188376753507019"/>
    <n v="12660"/>
    <n v="12245"/>
    <n v="2.6613411814168595"/>
    <n v="2.5746425567703954"/>
    <n v="4584"/>
    <n v="3080"/>
    <n v="0.67190226876090753"/>
    <n v="4570"/>
    <n v="3326"/>
    <n v="0.7277899343544858"/>
    <n v="226"/>
    <n v="0.48085106382978721"/>
    <n v="287"/>
    <n v="0.57515030060120242"/>
    <n v="1847"/>
    <n v="2910"/>
    <n v="280"/>
    <n v="414"/>
    <n v="0.67632850241545894"/>
    <n v="1083541.3440000003"/>
    <n v="874640.304"/>
    <n v="0.23884222925084897"/>
    <n v="298626.2"/>
    <n v="174492.83999999997"/>
    <n v="0.71139514950871385"/>
    <n v="39283.168000000005"/>
    <n v="50366.872000000003"/>
    <n v="-0.22005940730248241"/>
    <n v="56357.911999999997"/>
    <n v="19461.52"/>
    <n v="1.895863837973601"/>
    <n v="1117589.5920000002"/>
    <n v="907609.73599999992"/>
    <n v="0.23135478573138646"/>
    <n v="177476.24"/>
    <n v="101811.81600000004"/>
    <n v="0.74317920033957474"/>
    <n v="2128383.088"/>
    <n v="0.30280797269706583"/>
    <n v="1.0355503292441026"/>
  </r>
  <r>
    <x v="6"/>
    <s v="DISTRITO FEDERAL"/>
    <x v="2"/>
    <n v="1684099.824"/>
    <n v="1763978.32"/>
    <n v="0.95471684935447498"/>
    <n v="456786.24000000011"/>
    <n v="394786.83999999997"/>
    <n v="1.1570452551052617"/>
    <n v="68091.248000000007"/>
    <n v="117069.78"/>
    <n v="0.58162958878029847"/>
    <n v="49406.168000000005"/>
    <n v="65835.459999999992"/>
    <n v="0.75044919561585821"/>
    <n v="1207770.504"/>
    <n v="1640958.15"/>
    <n v="0.73601542123423447"/>
    <n v="241606.20800000007"/>
    <n v="176003.27000000002"/>
    <n v="1.3727370406243022"/>
    <n v="6772"/>
    <n v="183"/>
    <n v="6854"/>
    <n v="0.98803618325065656"/>
    <n v="833"/>
    <n v="28"/>
    <n v="924"/>
    <n v="0.90151515151515149"/>
    <n v="13599"/>
    <n v="18872"/>
    <n v="2.0081216774955699"/>
    <n v="2.7534286548001168"/>
    <n v="6348"/>
    <n v="4273"/>
    <n v="0.67312539382482672"/>
    <n v="6327"/>
    <n v="4671"/>
    <n v="0.73826458036984355"/>
    <n v="379"/>
    <n v="0.45498199279711887"/>
    <n v="459"/>
    <n v="0.49675324675324678"/>
    <n v="2392"/>
    <n v="4380"/>
    <n v="178"/>
    <n v="279"/>
    <n v="0.63799283154121866"/>
    <n v="1684099.824"/>
    <n v="1417913.216"/>
    <n v="0.18773124123274965"/>
    <n v="456786.24000000011"/>
    <n v="362184.47200000001"/>
    <n v="0.2611977467659079"/>
    <n v="68091.248000000007"/>
    <n v="86133.104000000007"/>
    <n v="-0.20946483015403694"/>
    <n v="49406.168000000005"/>
    <n v="29542.183999999994"/>
    <n v="0.67239388936173494"/>
    <n v="1207770.504"/>
    <n v="1140917.504"/>
    <n v="5.8595822893080962E-2"/>
    <n v="241606.20800000001"/>
    <n v="178165.64800000004"/>
    <n v="0.35607627346883364"/>
    <n v="3214856.128"/>
    <n v="0.15332072241336703"/>
    <n v="0.89158173949623665"/>
  </r>
  <r>
    <x v="7"/>
    <s v="ESPÍRITO SANTO"/>
    <x v="3"/>
    <n v="1328322.0480000002"/>
    <n v="1418616.52"/>
    <n v="0.93635033095483777"/>
    <n v="186104.20799999998"/>
    <n v="230979.35"/>
    <n v="0.80571794837936805"/>
    <n v="55261.768000000011"/>
    <n v="99098.45"/>
    <n v="0.55764512966650859"/>
    <n v="26724.248"/>
    <n v="20060.740000000002"/>
    <n v="1.3321666100054135"/>
    <n v="1183466.9040000001"/>
    <n v="1537311.36"/>
    <n v="0.76982902409567833"/>
    <n v="116437.768"/>
    <n v="125197.05"/>
    <n v="0.93003603519411993"/>
    <n v="4136"/>
    <n v="245"/>
    <n v="4185"/>
    <n v="0.9882915173237754"/>
    <n v="493"/>
    <n v="15"/>
    <n v="484"/>
    <n v="1.0185950413223142"/>
    <n v="13420"/>
    <n v="17680"/>
    <n v="3.2446808510638299"/>
    <n v="4.2246117084826764"/>
    <n v="4064"/>
    <n v="3428"/>
    <n v="0.84350393700787396"/>
    <n v="4090"/>
    <n v="3974"/>
    <n v="0.97163814180929098"/>
    <n v="313"/>
    <n v="0.63488843813387419"/>
    <n v="369"/>
    <n v="0.76239669421487599"/>
    <n v="1090"/>
    <n v="3046"/>
    <n v="141"/>
    <n v="124"/>
    <n v="1.1370967741935485"/>
    <n v="1328322.0480000002"/>
    <n v="1072032.344"/>
    <n v="0.23906900331357916"/>
    <n v="186104.20799999998"/>
    <n v="150495.45599999998"/>
    <n v="0.23661014721932871"/>
    <n v="55261.768000000011"/>
    <n v="82272.736000000004"/>
    <n v="-0.3283100734610308"/>
    <n v="26724.248"/>
    <n v="20292.039999999997"/>
    <n v="0.31698183129936686"/>
    <n v="1183466.9040000001"/>
    <n v="1028768.6"/>
    <n v="0.15037230335373786"/>
    <n v="116437.76800000001"/>
    <n v="116018.86400000002"/>
    <n v="3.6106542122322782E-3"/>
    <n v="2469880.04"/>
    <n v="0.17265490513458293"/>
    <n v="0.84409634215585327"/>
  </r>
  <r>
    <x v="8"/>
    <s v="GOIÁS"/>
    <x v="2"/>
    <n v="1257495.4879999999"/>
    <n v="1363273.97"/>
    <n v="0.92240849284315163"/>
    <n v="367743.88"/>
    <n v="317093.52"/>
    <n v="1.1597331916464266"/>
    <n v="55147.136000000006"/>
    <n v="80298.62"/>
    <n v="0.68677563823637333"/>
    <n v="48030.840000000004"/>
    <n v="111529.82"/>
    <n v="0.43065468948125263"/>
    <n v="2215098.432"/>
    <n v="2884284.79"/>
    <n v="0.76798880598749752"/>
    <n v="186443.27200000003"/>
    <n v="153353.85999999999"/>
    <n v="1.2157716277894801"/>
    <n v="5405"/>
    <n v="300"/>
    <n v="5373"/>
    <n v="1.0059557044481668"/>
    <n v="773"/>
    <n v="55"/>
    <n v="811"/>
    <n v="0.95314426633785454"/>
    <n v="25310"/>
    <n v="33171"/>
    <n v="4.6827012025901942"/>
    <n v="6.1736460078168625"/>
    <n v="5211"/>
    <n v="3328"/>
    <n v="0.63864901170600652"/>
    <n v="5137"/>
    <n v="3697"/>
    <n v="0.71968074751800659"/>
    <n v="301"/>
    <n v="0.38939197930142305"/>
    <n v="329"/>
    <n v="0.40567200986436497"/>
    <n v="1701"/>
    <n v="3704"/>
    <n v="188"/>
    <n v="310"/>
    <n v="0.6064516129032258"/>
    <n v="1257495.4879999999"/>
    <n v="1052483.152"/>
    <n v="0.19478918556598424"/>
    <n v="367743.88"/>
    <n v="313531.81599999999"/>
    <n v="0.17290769623201507"/>
    <n v="55147.136000000006"/>
    <n v="86101.847999999998"/>
    <n v="-0.35951274820489332"/>
    <n v="48030.840000000004"/>
    <n v="32641.264000000003"/>
    <n v="0.47147610460183165"/>
    <n v="2215098.432"/>
    <n v="1994112.4800000002"/>
    <n v="0.11081920113152277"/>
    <n v="186443.272"/>
    <n v="155691.39999999994"/>
    <n v="0.197518115965301"/>
    <n v="3634561.96"/>
    <n v="0.13630173139213708"/>
    <n v="0.84116052805999009"/>
  </r>
  <r>
    <x v="9"/>
    <s v="MARANHÃO"/>
    <x v="1"/>
    <n v="419525.04"/>
    <n v="512036.4"/>
    <n v="0.81932659474990444"/>
    <n v="97415.056000000026"/>
    <n v="165818.14000000001"/>
    <n v="0.58748129728146758"/>
    <n v="17735.112000000001"/>
    <n v="40883.160000000003"/>
    <n v="0.43379993131646377"/>
    <n v="13639.152000000002"/>
    <n v="50933.57"/>
    <n v="0.26778315362539878"/>
    <n v="529810.22399999993"/>
    <n v="489800.62"/>
    <n v="1.0816854907206934"/>
    <n v="52473.191999999995"/>
    <n v="44648.26"/>
    <n v="1.1752572664645833"/>
    <n v="2252"/>
    <n v="171"/>
    <n v="2191"/>
    <n v="1.0278411684162483"/>
    <n v="329"/>
    <n v="29"/>
    <n v="340"/>
    <n v="0.96764705882352942"/>
    <n v="5965"/>
    <n v="5633"/>
    <n v="2.6487566607460034"/>
    <n v="2.5709721588315837"/>
    <n v="2227"/>
    <n v="1145"/>
    <n v="0.51414458913336325"/>
    <n v="2163"/>
    <n v="1388"/>
    <n v="0.64170134073046692"/>
    <n v="96"/>
    <n v="0.2917933130699088"/>
    <n v="135"/>
    <n v="0.39705882352941174"/>
    <n v="887"/>
    <n v="1365"/>
    <n v="91"/>
    <n v="137"/>
    <n v="0.66423357664233573"/>
    <n v="419525.04"/>
    <n v="369740.90399999998"/>
    <n v="0.13464600605833965"/>
    <n v="97415.056000000026"/>
    <n v="122393.83200000001"/>
    <n v="-0.20408525161627411"/>
    <n v="17735.112000000001"/>
    <n v="23559.696000000004"/>
    <n v="-0.24722661956249359"/>
    <n v="13639.152000000002"/>
    <n v="13940.528000000004"/>
    <n v="-2.1618693352217555E-2"/>
    <n v="529810.22400000005"/>
    <n v="454013.272"/>
    <n v="0.16694875827330447"/>
    <n v="52473.19200000001"/>
    <n v="59868.928000000007"/>
    <n v="-0.12353212671521352"/>
    <n v="1043517.1599999999"/>
    <n v="8.3449146154913167E-2"/>
    <n v="0.8669429546042976"/>
  </r>
  <r>
    <x v="10"/>
    <s v="MINAS GERAIS"/>
    <x v="3"/>
    <n v="4564030.3279999997"/>
    <n v="4794475.05"/>
    <n v="0.95193535901287041"/>
    <n v="956042.51199999999"/>
    <n v="723080.07"/>
    <n v="1.3221806984667688"/>
    <n v="185987.48800000001"/>
    <n v="366538.9"/>
    <n v="0.5074154148440998"/>
    <n v="175841.04800000004"/>
    <n v="109991.88"/>
    <n v="1.5986729929518437"/>
    <n v="4189608.3680000002"/>
    <n v="5364068.88"/>
    <n v="0.78105044169380622"/>
    <n v="497634.47200000001"/>
    <n v="524881.82000000007"/>
    <n v="0.94808860402137751"/>
    <n v="17877"/>
    <n v="632"/>
    <n v="18589"/>
    <n v="0.96169777825595781"/>
    <n v="2035"/>
    <n v="144"/>
    <n v="2127"/>
    <n v="0.95674659144334739"/>
    <n v="47515"/>
    <n v="61690"/>
    <n v="2.6578844325110476"/>
    <n v="3.3186292968960136"/>
    <n v="17230"/>
    <n v="11631"/>
    <n v="0.67504352872896112"/>
    <n v="17880"/>
    <n v="13411"/>
    <n v="0.75005592841163315"/>
    <n v="1071"/>
    <n v="0.52628992628992632"/>
    <n v="1408"/>
    <n v="0.66196520921485658"/>
    <n v="5417"/>
    <n v="12460"/>
    <n v="632"/>
    <n v="797"/>
    <n v="0.79297365119196994"/>
    <n v="3100071.3280000002"/>
    <n v="3875235.3840000005"/>
    <n v="-0.20003018634699798"/>
    <n v="490125.58399999997"/>
    <n v="1141704.456"/>
    <n v="-0.57070712878079544"/>
    <n v="110797.296"/>
    <n v="298078.41599999997"/>
    <n v="-0.62829480414308159"/>
    <n v="84048.751999999993"/>
    <n v="141826.36799999999"/>
    <n v="-0.40738275128077739"/>
    <n v="2818462.2800000003"/>
    <n v="3698718.1439999999"/>
    <n v="-0.2379894411332576"/>
    <n v="226677.17600000001"/>
    <n v="519842.40799999994"/>
    <n v="-0.56395020392410911"/>
    <n v="9675405.1760000009"/>
    <n v="9.2372259739254448E-2"/>
    <n v="0.8894312600198504"/>
  </r>
  <r>
    <x v="11"/>
    <s v="MATO GROSSO DO SUL"/>
    <x v="2"/>
    <n v="748928.61599999992"/>
    <n v="844523.85"/>
    <n v="0.8868057616134819"/>
    <n v="222159.36000000004"/>
    <n v="293680.92"/>
    <n v="0.75646507781302252"/>
    <n v="40397.024000000005"/>
    <n v="87773.540000000008"/>
    <n v="0.46024148051907215"/>
    <n v="55803.000000000015"/>
    <n v="64930.83"/>
    <n v="0.8594222498002877"/>
    <n v="1425865.368"/>
    <n v="2068501.13"/>
    <n v="0.68932298238580125"/>
    <n v="160039.69600000003"/>
    <n v="143612.68"/>
    <n v="1.1143841616213834"/>
    <n v="3640"/>
    <n v="72"/>
    <n v="3778"/>
    <n v="0.96347273689782953"/>
    <n v="698"/>
    <n v="33"/>
    <n v="686"/>
    <n v="1.0174927113702623"/>
    <n v="16284"/>
    <n v="23789"/>
    <n v="4.4736263736263737"/>
    <n v="6.2967178401270516"/>
    <n v="3571"/>
    <n v="1913"/>
    <n v="0.53570428451414165"/>
    <n v="3683"/>
    <n v="2351"/>
    <n v="0.63833831115938089"/>
    <n v="232"/>
    <n v="0.33237822349570201"/>
    <n v="331"/>
    <n v="0.48250728862973763"/>
    <n v="1359"/>
    <n v="2281"/>
    <n v="151"/>
    <n v="250"/>
    <n v="0.60399999999999998"/>
    <n v="748928.61599999992"/>
    <n v="644575.98400000005"/>
    <n v="0.16189345335584182"/>
    <n v="222159.36000000004"/>
    <n v="206008.52000000005"/>
    <n v="7.8398893404991066E-2"/>
    <n v="40397.024000000005"/>
    <n v="62223.911999999997"/>
    <n v="-0.35077974525291811"/>
    <n v="55803.000000000015"/>
    <n v="31979.968000000008"/>
    <n v="0.74493607998607136"/>
    <n v="1425865.3680000002"/>
    <n v="1312747.432"/>
    <n v="8.616884957654225E-2"/>
    <n v="160039.69600000003"/>
    <n v="109269.69599999998"/>
    <n v="0.46463019353508628"/>
    <n v="2366805.5120000001"/>
    <n v="0.12100172597536174"/>
    <n v="0.75740099390442184"/>
  </r>
  <r>
    <x v="12"/>
    <s v="MATO GROSSO"/>
    <x v="2"/>
    <n v="903004.57600000012"/>
    <n v="1039263.51"/>
    <n v="0.86888894617304524"/>
    <n v="154706.48000000001"/>
    <n v="167836.07"/>
    <n v="0.92177134509882175"/>
    <n v="63403.240000000005"/>
    <n v="102373.44"/>
    <n v="0.61933290509725969"/>
    <n v="31293.68"/>
    <n v="58593.32"/>
    <n v="0.534082724788423"/>
    <n v="2220353.352"/>
    <n v="3102099.55"/>
    <n v="0.71575825218117195"/>
    <n v="94568.335999999996"/>
    <n v="123360.06"/>
    <n v="0.76660416669706544"/>
    <n v="3639"/>
    <n v="193"/>
    <n v="3725"/>
    <n v="0.9769127516778523"/>
    <n v="710"/>
    <n v="49"/>
    <n v="756"/>
    <n v="0.93915343915343918"/>
    <n v="25520"/>
    <n v="35676"/>
    <n v="7.0129156361637817"/>
    <n v="9.5774496644295297"/>
    <n v="3587"/>
    <n v="2343"/>
    <n v="0.65319208252021188"/>
    <n v="3662"/>
    <n v="2872"/>
    <n v="0.78427089022392138"/>
    <n v="307"/>
    <n v="0.43239436619718308"/>
    <n v="370"/>
    <n v="0.48941798941798942"/>
    <n v="1214"/>
    <n v="2425"/>
    <n v="145"/>
    <n v="147"/>
    <n v="0.98639455782312924"/>
    <n v="2366963.5760000004"/>
    <n v="820837.16"/>
    <n v="1.8835970047944715"/>
    <n v="620623.40799999994"/>
    <n v="247418.99200000009"/>
    <n v="1.5083903340775056"/>
    <n v="138593.43200000003"/>
    <n v="71433.48000000001"/>
    <n v="0.9401747191932972"/>
    <n v="123085.976"/>
    <n v="34860.576000000008"/>
    <n v="2.5308072936029502"/>
    <n v="3591499.4400000004"/>
    <n v="2052689.0080000004"/>
    <n v="0.74965590306312957"/>
    <n v="365525.63200000004"/>
    <n v="123571.24799999996"/>
    <n v="1.9580152172615439"/>
    <n v="3350810.4640000011"/>
    <n v="3.4773438023977254E-2"/>
    <n v="0.75482966717538635"/>
  </r>
  <r>
    <x v="13"/>
    <s v="PARÁ"/>
    <x v="0"/>
    <n v="582437.92000000004"/>
    <n v="661650.40999999992"/>
    <n v="0.88028044900629643"/>
    <n v="163335.136"/>
    <n v="309741.52"/>
    <n v="0.52732722432562473"/>
    <n v="29247.08"/>
    <n v="50489.86"/>
    <n v="0.5792664111170045"/>
    <n v="17846.592000000001"/>
    <n v="38300.33"/>
    <n v="0.4659644446927742"/>
    <n v="804249.58400000003"/>
    <n v="928212.6"/>
    <n v="0.86644975946243352"/>
    <n v="83255.351999999984"/>
    <n v="77079.790000000008"/>
    <n v="1.0801190817982247"/>
    <n v="3301"/>
    <n v="179"/>
    <n v="3253"/>
    <n v="1.0147556102059638"/>
    <n v="488"/>
    <n v="36"/>
    <n v="513"/>
    <n v="0.95126705653021437"/>
    <n v="9011"/>
    <n v="10675"/>
    <n v="2.7297788548924569"/>
    <n v="3.2815862280971411"/>
    <n v="3167"/>
    <n v="1577"/>
    <n v="0.4979475844647932"/>
    <n v="3086"/>
    <n v="1852"/>
    <n v="0.60012961762799744"/>
    <n v="150"/>
    <n v="0.30737704918032788"/>
    <n v="186"/>
    <n v="0.36257309941520466"/>
    <n v="1165"/>
    <n v="2136"/>
    <n v="108"/>
    <n v="98"/>
    <n v="1.1020408163265305"/>
    <n v="582437.92000000004"/>
    <n v="531132.35199999996"/>
    <n v="9.6596578624531082E-2"/>
    <n v="163335.136"/>
    <n v="215302.71200000003"/>
    <n v="-0.24136981609409558"/>
    <n v="29247.08"/>
    <n v="43250.536"/>
    <n v="-0.32377531691167938"/>
    <n v="17846.592000000001"/>
    <n v="15469.624"/>
    <n v="0.15365389617743785"/>
    <n v="804249.58400000003"/>
    <n v="661943.26399999997"/>
    <n v="0.21498265446508125"/>
    <n v="83255.351999999999"/>
    <n v="94467.848000000027"/>
    <n v="-0.11869113394008957"/>
    <n v="1561566.3359999999"/>
    <n v="7.608087166141364E-2"/>
    <n v="0.81355236090519467"/>
  </r>
  <r>
    <x v="14"/>
    <s v="PARAÍBA"/>
    <x v="1"/>
    <n v="707095.62400000007"/>
    <n v="789002.26"/>
    <n v="0.89618960533775915"/>
    <n v="233932.296"/>
    <n v="273180.46000000002"/>
    <n v="0.856328801847687"/>
    <n v="22603.536"/>
    <n v="62991.5"/>
    <n v="0.35883469991983047"/>
    <n v="33818.496000000006"/>
    <n v="28773.33"/>
    <n v="1.1753417487652631"/>
    <n v="798679.56000000017"/>
    <n v="878041.3"/>
    <n v="0.90961502608134737"/>
    <n v="120147.51200000002"/>
    <n v="95283.22"/>
    <n v="1.2609514246055078"/>
    <n v="3193"/>
    <n v="187"/>
    <n v="3237"/>
    <n v="0.98640716713005872"/>
    <n v="515"/>
    <n v="6"/>
    <n v="562"/>
    <n v="0.91637010676156583"/>
    <n v="9065"/>
    <n v="10098"/>
    <n v="2.8390228625117446"/>
    <n v="3.119555143651529"/>
    <n v="3136"/>
    <n v="2009"/>
    <n v="0.640625"/>
    <n v="3171"/>
    <n v="2231"/>
    <n v="0.7035635446231473"/>
    <n v="116"/>
    <n v="0.22524271844660193"/>
    <n v="210"/>
    <n v="0.37366548042704628"/>
    <n v="1125"/>
    <n v="2068"/>
    <n v="152"/>
    <n v="246"/>
    <n v="0.61788617886178865"/>
    <n v="707095.62400000007"/>
    <n v="590110.14400000009"/>
    <n v="0.1982434655453067"/>
    <n v="233932.296"/>
    <n v="213254.89599999998"/>
    <n v="9.6960962621932101E-2"/>
    <n v="22603.536"/>
    <n v="30946.392000000003"/>
    <n v="-0.26959058749078091"/>
    <n v="33818.496000000006"/>
    <n v="20845.535999999996"/>
    <n v="0.62233755946596969"/>
    <n v="798679.56"/>
    <n v="748656.54400000011"/>
    <n v="6.6817042341915212E-2"/>
    <n v="120147.512"/>
    <n v="85008.664000000004"/>
    <n v="0.41335607862276236"/>
    <n v="1688822.1760000002"/>
    <n v="0.13468253273339292"/>
    <n v="0.90081426396953534"/>
  </r>
  <r>
    <x v="15"/>
    <s v="PERNAMBUCO"/>
    <x v="1"/>
    <n v="1271106.7520000001"/>
    <n v="1472090.38"/>
    <n v="0.86347059207057664"/>
    <n v="328802.17599999992"/>
    <n v="464660.17"/>
    <n v="0.70761859360573109"/>
    <n v="54373.600000000006"/>
    <n v="108536.37999999999"/>
    <n v="0.50097119509605914"/>
    <n v="40606.392"/>
    <n v="48179.87"/>
    <n v="0.84280825166194917"/>
    <n v="1375324.6320000002"/>
    <n v="1890684.29"/>
    <n v="0.7274216215124949"/>
    <n v="171585.37599999999"/>
    <n v="189430.22"/>
    <n v="0.90579726930581606"/>
    <n v="5633"/>
    <n v="308"/>
    <n v="5629"/>
    <n v="1.0007106057914372"/>
    <n v="591"/>
    <n v="37"/>
    <n v="625"/>
    <n v="0.9456"/>
    <n v="15581"/>
    <n v="21744"/>
    <n v="2.7660216580862773"/>
    <n v="3.8628530822526201"/>
    <n v="5271"/>
    <n v="3429"/>
    <n v="0.65054069436539552"/>
    <n v="5181"/>
    <n v="4057"/>
    <n v="0.78305346458212699"/>
    <n v="294"/>
    <n v="0.49746192893401014"/>
    <n v="404"/>
    <n v="0.64639999999999997"/>
    <n v="1774"/>
    <n v="3859"/>
    <n v="207"/>
    <n v="252"/>
    <n v="0.8214285714285714"/>
    <n v="2110981.4960000003"/>
    <n v="1155017.5120000001"/>
    <n v="0.82766189609080154"/>
    <n v="472804.44800000003"/>
    <n v="373179.09600000002"/>
    <n v="0.26696391375576956"/>
    <n v="222658.448"/>
    <n v="70202.752000000008"/>
    <n v="2.1716484276855694"/>
    <n v="120593.36799999999"/>
    <n v="45377.648000000001"/>
    <n v="1.6575499902507063"/>
    <n v="3852587.1119999997"/>
    <n v="1168936.4720000001"/>
    <n v="2.2958053788914539"/>
    <n v="321059.03200000001"/>
    <n v="145995.97600000005"/>
    <n v="1.199095076428681"/>
    <n v="2958709.4560000007"/>
    <n v="9.5680051120234033E-2"/>
    <n v="0.77674272697948232"/>
  </r>
  <r>
    <x v="16"/>
    <s v="PIAUÍ"/>
    <x v="1"/>
    <n v="352559.63200000004"/>
    <n v="441365.22"/>
    <n v="0.79879341648170665"/>
    <n v="50630.864000000001"/>
    <n v="200000"/>
    <n v="0.25315431999999999"/>
    <n v="22578.975999999999"/>
    <n v="58238.9"/>
    <n v="0.38769578408932859"/>
    <n v="12928.519999999999"/>
    <n v="45000"/>
    <n v="0.28730044444444441"/>
    <n v="397641.92000000004"/>
    <n v="521167.17000000004"/>
    <n v="0.76298343965142701"/>
    <n v="30466.078000000001"/>
    <n v="44159.64"/>
    <n v="0.68990775287117379"/>
    <n v="1613"/>
    <n v="106"/>
    <n v="1641"/>
    <n v="0.98293723339427175"/>
    <n v="313"/>
    <n v="23"/>
    <n v="275"/>
    <n v="1.1381818181818182"/>
    <n v="4449"/>
    <n v="6019"/>
    <n v="2.7582145071295723"/>
    <n v="3.6678854357099331"/>
    <n v="1576"/>
    <n v="969"/>
    <n v="0.61484771573604058"/>
    <n v="1599"/>
    <n v="1196"/>
    <n v="0.74796747967479671"/>
    <n v="121"/>
    <n v="0.38658146964856233"/>
    <n v="155"/>
    <n v="0.5636363636363636"/>
    <n v="561"/>
    <n v="1052"/>
    <n v="108"/>
    <n v="138"/>
    <n v="0.78260869565217395"/>
    <n v="781287.00000000012"/>
    <n v="347095.47199999995"/>
    <n v="1.2509282402854285"/>
    <n v="220661.59999999998"/>
    <n v="127498.336"/>
    <n v="0.73070180304157062"/>
    <n v="42198.240000000005"/>
    <n v="33720.128000000004"/>
    <n v="0.25142585461122802"/>
    <n v="29258.360000000008"/>
    <n v="28768.440000000002"/>
    <n v="1.7029772903918605E-2"/>
    <n v="1066041.9440000001"/>
    <n v="390699.09600000002"/>
    <n v="1.7285498095956693"/>
    <n v="130356.088"/>
    <n v="55499.599999999977"/>
    <n v="1.3487752704524008"/>
    <n v="983281.07199999993"/>
    <n v="-0.11845553150238997"/>
    <n v="0.6617188510847668"/>
  </r>
  <r>
    <x v="17"/>
    <s v="PARANÁ"/>
    <x v="4"/>
    <n v="3608937.6560000004"/>
    <n v="3699470.39"/>
    <n v="0.97552819067163832"/>
    <n v="642270.16800000006"/>
    <n v="867607.55"/>
    <n v="0.74027729242328522"/>
    <n v="274513.35200000001"/>
    <n v="492458.63"/>
    <n v="0.55743434123593283"/>
    <n v="171166.39200000002"/>
    <n v="185014.2"/>
    <n v="0.92515272881757193"/>
    <n v="4962386.4000000004"/>
    <n v="6434187.1500000004"/>
    <n v="0.7712530400984684"/>
    <n v="405701.69599999994"/>
    <n v="410922.9"/>
    <n v="0.98729395709024714"/>
    <n v="14583"/>
    <n v="670"/>
    <n v="14181"/>
    <n v="1.0283477892955364"/>
    <n v="2819"/>
    <n v="235"/>
    <n v="2791"/>
    <n v="1.0100322465066285"/>
    <n v="56658"/>
    <n v="74309"/>
    <n v="3.8852088047726805"/>
    <n v="5.2400394894577254"/>
    <n v="14207"/>
    <n v="9557"/>
    <n v="0.67269655803477157"/>
    <n v="13769"/>
    <n v="9552"/>
    <n v="0.69373229718933838"/>
    <n v="1556"/>
    <n v="0.55196878325647392"/>
    <n v="1303"/>
    <n v="0.46685775707631672"/>
    <n v="4781"/>
    <n v="9802"/>
    <n v="519"/>
    <n v="1120"/>
    <n v="0.46339285714285716"/>
    <n v="2340335.5439999998"/>
    <n v="3168447.3600000003"/>
    <n v="-0.2613620243323217"/>
    <n v="328237.16000000003"/>
    <n v="749852.04800000007"/>
    <n v="-0.56226410146445316"/>
    <n v="86609.24"/>
    <n v="371901.68"/>
    <n v="-0.76711791137915808"/>
    <n v="74849.576000000015"/>
    <n v="177562.03200000004"/>
    <n v="-0.57845956617572392"/>
    <n v="1816723.8959999999"/>
    <n v="4799290.6239999998"/>
    <n v="-0.62145991182216842"/>
    <n v="156338.03000000003"/>
    <n v="417560.14399999985"/>
    <n v="-0.62559158902866918"/>
    <n v="9684613.8879999984"/>
    <n v="3.9274851883491557E-2"/>
    <n v="0.8325275467901837"/>
  </r>
  <r>
    <x v="18"/>
    <s v="RIO DE JANEIRO"/>
    <x v="3"/>
    <n v="4215944.1680000005"/>
    <n v="4562590.3600000003"/>
    <n v="0.92402425713273983"/>
    <n v="696022.32800000021"/>
    <n v="1162226.3400000001"/>
    <n v="0.59886986213029736"/>
    <n v="262183.14400000003"/>
    <n v="536205.69999999995"/>
    <n v="0.48896000919050292"/>
    <n v="125599.36800000002"/>
    <n v="227054.9"/>
    <n v="0.55316739695994233"/>
    <n v="4526065.392"/>
    <n v="5685356.5199999996"/>
    <n v="0.79609174483221334"/>
    <n v="403807.38400000002"/>
    <n v="502437.18"/>
    <n v="0.8036972582323626"/>
    <n v="21441"/>
    <n v="532"/>
    <n v="21569"/>
    <n v="0.9940655570494692"/>
    <n v="2983"/>
    <n v="87"/>
    <n v="3226"/>
    <n v="0.92467451952882829"/>
    <n v="51144"/>
    <n v="65385"/>
    <n v="2.3853365048272002"/>
    <n v="3.0314340025035933"/>
    <n v="18194"/>
    <n v="11518"/>
    <n v="0.6330658458832582"/>
    <n v="18065"/>
    <n v="12989"/>
    <n v="0.71901466924993085"/>
    <n v="1293"/>
    <n v="0.43345625209520616"/>
    <n v="1905"/>
    <n v="0.59051456912585243"/>
    <n v="8693"/>
    <n v="12748"/>
    <n v="433"/>
    <n v="515"/>
    <n v="0.84077669902912622"/>
    <n v="4215944.1680000005"/>
    <n v="4105037.5360000003"/>
    <n v="2.7017202894585202E-2"/>
    <n v="696022.32800000021"/>
    <n v="1032855.12"/>
    <n v="-0.32611814133234851"/>
    <n v="262183.14400000003"/>
    <n v="426834.424"/>
    <n v="-0.38574976792406035"/>
    <n v="125599.36800000002"/>
    <n v="147098.432"/>
    <n v="-0.1461542703595915"/>
    <n v="4526065.392"/>
    <n v="3887726.5280000004"/>
    <n v="0.16419335552606018"/>
    <n v="403807.38400000002"/>
    <n v="602947.32000000007"/>
    <n v="-0.33027750417731361"/>
    <n v="10202499.360000001"/>
    <n v="2.6584097722499589E-3"/>
    <n v="0.80701529575364106"/>
  </r>
  <r>
    <x v="19"/>
    <s v="RIO GRANDE DO NORTE"/>
    <x v="1"/>
    <n v="613217.83200000005"/>
    <n v="694746.1"/>
    <n v="0.88265026892558318"/>
    <n v="133056.17600000001"/>
    <n v="193603.36"/>
    <n v="0.68726170868108905"/>
    <n v="17642.52"/>
    <n v="58238.9"/>
    <n v="0.30293360623226057"/>
    <n v="11967.079999999998"/>
    <n v="45000"/>
    <n v="0.26593511111111107"/>
    <n v="667481.01599999995"/>
    <n v="918560.92999999993"/>
    <n v="0.72665948899002264"/>
    <n v="80350.207999999999"/>
    <n v="80784.91"/>
    <n v="0.99461901981446776"/>
    <n v="2789"/>
    <n v="123"/>
    <n v="2803"/>
    <n v="0.99500535140920443"/>
    <n v="328"/>
    <n v="16"/>
    <n v="316"/>
    <n v="1.0379746835443038"/>
    <n v="7489"/>
    <n v="10564"/>
    <n v="2.6851918250268914"/>
    <n v="3.7688191223688903"/>
    <n v="2728"/>
    <n v="1592"/>
    <n v="0.58357771260997071"/>
    <n v="2723"/>
    <n v="1878"/>
    <n v="0.68968049944913701"/>
    <n v="94"/>
    <n v="0.28658536585365851"/>
    <n v="149"/>
    <n v="0.47151898734177217"/>
    <n v="760"/>
    <n v="2029"/>
    <n v="103"/>
    <n v="115"/>
    <n v="0.89565217391304353"/>
    <n v="613217.83200000005"/>
    <n v="542284.45600000012"/>
    <n v="0.13080473765229939"/>
    <n v="133056.17600000001"/>
    <n v="187485.04800000001"/>
    <n v="-0.29031046785128167"/>
    <n v="17642.52"/>
    <n v="24662.752000000004"/>
    <n v="-0.28464917459333017"/>
    <n v="11967.079999999998"/>
    <n v="14777.088000000002"/>
    <n v="-0.19015979332328559"/>
    <n v="667481.01599999995"/>
    <n v="624533.38400000008"/>
    <n v="6.8767552064117998E-2"/>
    <n v="80350.207999999999"/>
    <n v="88339.144"/>
    <n v="-9.0434835999769314E-2"/>
    <n v="1482081.8720000002"/>
    <n v="2.8090863795410925E-2"/>
    <n v="0.76532656478551631"/>
  </r>
  <r>
    <x v="20"/>
    <s v="RONDÔNIA"/>
    <x v="0"/>
    <n v="318796.96000000002"/>
    <n v="357610.5"/>
    <n v="0.89146420477027388"/>
    <n v="95524.272000000026"/>
    <n v="76550.48"/>
    <n v="1.2478598697225678"/>
    <n v="15997.368000000002"/>
    <n v="34600.170000000006"/>
    <n v="0.46234940464165347"/>
    <n v="21375.360000000001"/>
    <n v="19144.309999999998"/>
    <n v="1.116538543306079"/>
    <n v="630595.15200000012"/>
    <n v="955515.52"/>
    <n v="0.65995280955771407"/>
    <n v="54991.736000000012"/>
    <n v="60161.98"/>
    <n v="0.91406127258444636"/>
    <n v="1471"/>
    <n v="85"/>
    <n v="1461.8"/>
    <n v="1.0062936106170475"/>
    <n v="246"/>
    <n v="13"/>
    <n v="241"/>
    <n v="1.0207468879668049"/>
    <n v="7167"/>
    <n v="11007"/>
    <n v="4.8721957851801498"/>
    <n v="7.5297578328088663"/>
    <n v="1459"/>
    <n v="929"/>
    <n v="0.63673749143248803"/>
    <n v="1442.8"/>
    <n v="1030"/>
    <n v="0.71388965899639589"/>
    <n v="74"/>
    <n v="0.30081300813008133"/>
    <n v="109"/>
    <n v="0.45228215767634855"/>
    <n v="638"/>
    <n v="833"/>
    <n v="95"/>
    <n v="81"/>
    <n v="1.1728395061728396"/>
    <n v="2086419.4880000001"/>
    <n v="259160.39200000002"/>
    <n v="7.0506881159525339"/>
    <n v="559744.42400000012"/>
    <n v="73843.39999999998"/>
    <n v="6.5801550849500465"/>
    <n v="228920.75200000001"/>
    <n v="19488.072"/>
    <n v="10.746711116420341"/>
    <n v="99961.304000000033"/>
    <n v="11396.088000000002"/>
    <n v="7.7715454636713943"/>
    <n v="4604214.5999999996"/>
    <n v="605838.12"/>
    <n v="6.5997439712113195"/>
    <n v="348828.86400000006"/>
    <n v="36706.439999999995"/>
    <n v="8.5032060859075447"/>
    <n v="1006432.5119999999"/>
    <n v="0.13001203204373457"/>
    <n v="0.75638051125559458"/>
  </r>
  <r>
    <x v="21"/>
    <s v="RORAIMA"/>
    <x v="0"/>
    <n v="52341.72"/>
    <n v="60890.82"/>
    <n v="0.85959952583985566"/>
    <n v="10485.544"/>
    <n v="16201.14"/>
    <n v="0.6472102580435698"/>
    <n v="2350.1760000000004"/>
    <n v="6861.2"/>
    <n v="0.34253133562642107"/>
    <n v="1966.424"/>
    <n v="5896.87"/>
    <n v="0.33346911157953285"/>
    <n v="114038.064"/>
    <n v="119732.91"/>
    <n v="0.95243708684604755"/>
    <n v="5227.6720000000005"/>
    <n v="7156.77"/>
    <n v="0.7304513069443338"/>
    <n v="253"/>
    <n v="7"/>
    <n v="255"/>
    <n v="0.99215686274509807"/>
    <n v="67"/>
    <n v="4"/>
    <n v="64"/>
    <n v="1.046875"/>
    <n v="1296"/>
    <n v="1377"/>
    <n v="5.1225296442687744"/>
    <n v="5.4"/>
    <n v="245"/>
    <n v="134"/>
    <n v="0.54693877551020409"/>
    <n v="246"/>
    <n v="166"/>
    <n v="0.67479674796747968"/>
    <n v="15"/>
    <n v="0.22388059701492538"/>
    <n v="25"/>
    <n v="0.390625"/>
    <n v="97"/>
    <n v="156"/>
    <n v="6"/>
    <n v="9"/>
    <n v="0.66666666666666663"/>
    <n v="211257.05599999998"/>
    <n v="46641.024000000005"/>
    <n v="3.5294257690397179"/>
    <n v="73268.84"/>
    <n v="12742.648000000001"/>
    <n v="4.749891231398685"/>
    <n v="13751.991999999998"/>
    <n v="5423.1440000000002"/>
    <n v="1.535796947305843"/>
    <n v="15595.536000000002"/>
    <n v="390.8"/>
    <n v="38.906693961105425"/>
    <n v="492540.12"/>
    <n v="90506.040000000008"/>
    <n v="4.4420690597003247"/>
    <n v="44453.712000000007"/>
    <n v="5743.9920000000002"/>
    <n v="6.7391667676417386"/>
    <n v="161447.64800000002"/>
    <n v="0.1546132898758612"/>
    <n v="0.86006205323426899"/>
  </r>
  <r>
    <x v="22"/>
    <s v="RIO GRANDE DO SUL"/>
    <x v="4"/>
    <n v="4620902.7119999994"/>
    <n v="4736160.08"/>
    <n v="0.97566438506022779"/>
    <n v="911979.88800000004"/>
    <n v="1698548.27"/>
    <n v="0.53691726288120145"/>
    <n v="313537.40000000002"/>
    <n v="58238.9"/>
    <n v="5.3836422047806538"/>
    <n v="174663.88800000001"/>
    <n v="45000"/>
    <n v="3.8814197333333333"/>
    <n v="6428051.04"/>
    <n v="8793716.6199999992"/>
    <n v="0.7309822817556294"/>
    <n v="497493.54400000005"/>
    <n v="530902.67000000004"/>
    <n v="0.93707109063889249"/>
    <n v="18080"/>
    <n v="644"/>
    <n v="18256"/>
    <n v="0.9903593339176161"/>
    <n v="3292"/>
    <n v="297"/>
    <n v="3413"/>
    <n v="0.96454731907412838"/>
    <n v="73503"/>
    <n v="101133"/>
    <n v="4.0654314159292033"/>
    <n v="5.5397129710780018"/>
    <n v="17237"/>
    <n v="12096"/>
    <n v="0.70174624354586068"/>
    <n v="17104"/>
    <n v="13671"/>
    <n v="0.79928671655753036"/>
    <n v="1725"/>
    <n v="0.52399756986634261"/>
    <n v="2026"/>
    <n v="0.59361265748608261"/>
    <n v="6074"/>
    <n v="12006"/>
    <n v="593"/>
    <n v="952"/>
    <n v="0.62289915966386555"/>
    <n v="2694364.8480000002"/>
    <n v="3812972.64"/>
    <n v="-0.29336895320602141"/>
    <n v="384976.44000000012"/>
    <n v="913623.92799999996"/>
    <n v="-0.57862701687033735"/>
    <n v="89212.2"/>
    <n v="367169.76800000004"/>
    <n v="-0.75702738140466952"/>
    <n v="82448.832000000009"/>
    <n v="120971.60800000001"/>
    <n v="-0.3184447709416246"/>
    <n v="2075929.5360000001"/>
    <n v="5644247.2640000004"/>
    <n v="-0.63220435978405076"/>
    <n v="164430.37600000005"/>
    <n v="449741.05600000004"/>
    <n v="-0.6343887803741004"/>
    <n v="11308726.264"/>
    <n v="0.14483525109402184"/>
    <n v="0.81617488817796313"/>
  </r>
  <r>
    <x v="23"/>
    <s v="SANTA CATARINA"/>
    <x v="4"/>
    <n v="3238796.0720000002"/>
    <n v="3316553.47"/>
    <n v="0.97655475821410476"/>
    <n v="790322.08800000011"/>
    <n v="700847.52"/>
    <n v="1.1276662404398607"/>
    <n v="212343.61600000001"/>
    <n v="341605.97"/>
    <n v="0.6216039374253326"/>
    <n v="220887.296"/>
    <n v="196070.56"/>
    <n v="1.1265704346435284"/>
    <n v="4162542.7920000004"/>
    <n v="5391545.71"/>
    <n v="0.77204998638507327"/>
    <n v="433531.25600000011"/>
    <n v="320023.28728570876"/>
    <n v="1.354686590707239"/>
    <n v="11846"/>
    <n v="497"/>
    <n v="11865"/>
    <n v="0.9983986514959966"/>
    <n v="2101"/>
    <n v="195"/>
    <n v="2159"/>
    <n v="0.97313571097730434"/>
    <n v="47797"/>
    <n v="62006"/>
    <n v="4.0348640891440146"/>
    <n v="5.2259587020648963"/>
    <n v="11612"/>
    <n v="8301"/>
    <n v="0.71486393386152258"/>
    <n v="11577"/>
    <n v="9084"/>
    <n v="0.78465923814459704"/>
    <n v="1048"/>
    <n v="0.49881009043312707"/>
    <n v="1224"/>
    <n v="0.56692913385826771"/>
    <n v="3756"/>
    <n v="8090"/>
    <n v="425"/>
    <n v="725"/>
    <n v="0.58620689655172409"/>
    <n v="3238796.0720000002"/>
    <n v="2674745.0960000004"/>
    <n v="0.21088027298134726"/>
    <n v="790322.08800000011"/>
    <n v="570018.80799999996"/>
    <n v="0.38648422983264119"/>
    <n v="212343.61600000001"/>
    <n v="241560.84000000003"/>
    <n v="-0.1209518231514678"/>
    <n v="220887.296"/>
    <n v="64965.552000000003"/>
    <n v="2.400068023742798"/>
    <n v="4162542.7920000004"/>
    <n v="3894331.9920000006"/>
    <n v="6.8872094251588356E-2"/>
    <n v="433531.25600000005"/>
    <n v="303518.3520000003"/>
    <n v="0.42835269479849969"/>
    <n v="7749140.6400000006"/>
    <n v="0.16895840981923382"/>
    <n v="0.88231567189427917"/>
  </r>
  <r>
    <x v="24"/>
    <s v="SERGIPE"/>
    <x v="1"/>
    <n v="373056.95200000005"/>
    <n v="437802.01"/>
    <n v="0.8521133833990393"/>
    <n v="104584.488"/>
    <n v="73005.62"/>
    <n v="1.4325539321493332"/>
    <n v="13940.447999999999"/>
    <n v="58238.9"/>
    <n v="0.23936660891603376"/>
    <n v="14064.192000000003"/>
    <n v="45000"/>
    <n v="0.31253760000000008"/>
    <n v="588319.29599999997"/>
    <n v="648401.06000000006"/>
    <n v="0.9073385783792518"/>
    <n v="51082.696000000011"/>
    <n v="47526.63"/>
    <n v="1.0748225994563472"/>
    <n v="1659"/>
    <n v="96"/>
    <n v="1701"/>
    <n v="0.97530864197530864"/>
    <n v="195"/>
    <n v="15"/>
    <n v="201"/>
    <n v="0.97014925373134331"/>
    <n v="6702"/>
    <n v="7457"/>
    <n v="4.0397830018083178"/>
    <n v="4.3838918283362727"/>
    <n v="1631"/>
    <n v="985"/>
    <n v="0.60392397302268552"/>
    <n v="1667"/>
    <n v="1194"/>
    <n v="0.71625674865026989"/>
    <n v="93"/>
    <n v="0.47692307692307695"/>
    <n v="122"/>
    <n v="0.60696517412935325"/>
    <n v="635"/>
    <n v="1024"/>
    <n v="100"/>
    <n v="103"/>
    <n v="0.970873786407767"/>
    <n v="6743433.8560000006"/>
    <n v="339730.89599999995"/>
    <n v="18.849339390080086"/>
    <n v="1983188.5999999996"/>
    <n v="141962.75999999998"/>
    <n v="12.96978052554064"/>
    <n v="582202.19200000004"/>
    <n v="20958.64"/>
    <n v="26.778624567242915"/>
    <n v="611816.19999999995"/>
    <n v="10046.512000000001"/>
    <n v="59.898369503764087"/>
    <n v="16396714.608000001"/>
    <n v="537346.41600000008"/>
    <n v="29.514234616203336"/>
    <n v="1557509.4659999998"/>
    <n v="56690.511999999995"/>
    <n v="26.473900147523803"/>
    <n v="1106735.736"/>
    <n v="3.4617420178794989E-2"/>
    <n v="0.87409969945820765"/>
  </r>
  <r>
    <x v="25"/>
    <s v="SÃO PAULO"/>
    <x v="3"/>
    <n v="15713904.039999999"/>
    <n v="16795375.52"/>
    <n v="0.93560897291565881"/>
    <n v="3383206.9999999995"/>
    <n v="4054515.912"/>
    <n v="0.83442933100517558"/>
    <n v="844056.89599999995"/>
    <n v="1218522.2080000001"/>
    <n v="0.69268897231292803"/>
    <n v="847348"/>
    <n v="507349.61600000004"/>
    <n v="1.6701461344951525"/>
    <n v="23228301.120000005"/>
    <n v="31198029.792000003"/>
    <n v="0.74454384699499043"/>
    <n v="2248403.6339999996"/>
    <n v="2200201.1920000003"/>
    <n v="1.0219081973845232"/>
    <n v="66788"/>
    <n v="1776"/>
    <n v="67463"/>
    <n v="0.98999451551220674"/>
    <n v="8410"/>
    <n v="365"/>
    <n v="8228"/>
    <n v="1.0221195916383081"/>
    <n v="265567"/>
    <n v="358796"/>
    <n v="3.976268191890759"/>
    <n v="5.3184115737515381"/>
    <n v="62629"/>
    <n v="40448"/>
    <n v="0.64583499656708554"/>
    <n v="63084"/>
    <n v="46118"/>
    <n v="0.73105700336059853"/>
    <n v="4432"/>
    <n v="0.52699167657550539"/>
    <n v="4832"/>
    <n v="0.58726300437530388"/>
    <n v="24494"/>
    <n v="42294"/>
    <n v="1375"/>
    <n v="2709"/>
    <n v="0.50756736803248426"/>
    <n v="9343527.1360000018"/>
    <n v="14365482.448000001"/>
    <n v="-0.34958486985580972"/>
    <n v="1504602.8880000005"/>
    <n v="4118164.5599999996"/>
    <n v="-0.63464235921645629"/>
    <n v="275795.15199999994"/>
    <n v="1193124.4480000001"/>
    <n v="-0.76884628216083628"/>
    <n v="249595.99200000003"/>
    <n v="589577.81600000011"/>
    <n v="-0.57665301300956684"/>
    <n v="7419905.8079999993"/>
    <n v="20298903.335999999"/>
    <n v="-0.63446765151884654"/>
    <n v="741976.86400000018"/>
    <n v="2356331.8820000021"/>
    <n v="-0.68511359979977571"/>
    <n v="42921584.489999995"/>
    <n v="7.790104302367995E-2"/>
    <n v="0.82654849485331283"/>
  </r>
  <r>
    <x v="26"/>
    <s v="TOCANTINS"/>
    <x v="0"/>
    <n v="196633.19999999998"/>
    <n v="228245"/>
    <n v="0.8615005805165501"/>
    <n v="38199.704000000012"/>
    <n v="50794.41"/>
    <n v="0.75204543177093719"/>
    <n v="10895.152000000002"/>
    <n v="58238.9"/>
    <n v="0.18707688503732045"/>
    <n v="15569.232"/>
    <n v="45000"/>
    <n v="0.34598293333333335"/>
    <n v="351383.68800000002"/>
    <n v="499713.14999999997"/>
    <n v="0.70317078507940012"/>
    <n v="26745.144"/>
    <n v="36281.89"/>
    <n v="0.73714858845556286"/>
    <n v="933"/>
    <n v="64"/>
    <n v="923"/>
    <n v="1.0108342361863489"/>
    <n v="234"/>
    <n v="17"/>
    <n v="241"/>
    <n v="0.97095435684647302"/>
    <n v="3990"/>
    <n v="5747"/>
    <n v="4.276527331189711"/>
    <n v="6.2264355362946908"/>
    <n v="918"/>
    <n v="551"/>
    <n v="0.60021786492374729"/>
    <n v="904"/>
    <n v="639"/>
    <n v="0.70685840707964598"/>
    <n v="65"/>
    <n v="0.27777777777777779"/>
    <n v="100"/>
    <n v="0.41493775933609961"/>
    <n v="365"/>
    <n v="568"/>
    <n v="68"/>
    <n v="80"/>
    <n v="0.85"/>
    <n v="196633.19999999998"/>
    <n v="172196.05600000004"/>
    <n v="0.14191465569919859"/>
    <n v="38199.704000000012"/>
    <n v="55167.88"/>
    <n v="-0.30757346484947379"/>
    <n v="10895.152000000002"/>
    <n v="15479.632"/>
    <n v="-0.2961620793052443"/>
    <n v="15569.232"/>
    <n v="10666.264000000003"/>
    <n v="0.45967060256524639"/>
    <n v="351383.68800000002"/>
    <n v="325596.13600000006"/>
    <n v="7.9201038184310457E-2"/>
    <n v="26745.144"/>
    <n v="24428.072000000015"/>
    <n v="9.4852839798408306E-2"/>
    <n v="603534.04000000015"/>
    <n v="5.9469851940745277E-2"/>
    <n v="0.6963352687955062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8">
  <r>
    <x v="0"/>
    <s v="ACRE"/>
    <x v="0"/>
    <n v="145826.93599999999"/>
    <n v="173232.09"/>
    <n v="0.84180093884452922"/>
    <n v="65148.808000000005"/>
    <n v="65999.62"/>
    <n v="0.98710883486904943"/>
    <n v="11480.128000000001"/>
    <n v="22368.199999999997"/>
    <n v="0.5132343237274346"/>
    <n v="6094.0479999999998"/>
    <n v="10405.58"/>
    <n v="0.58565192906113839"/>
    <n v="199212.12000000002"/>
    <n v="247987.1"/>
    <n v="0.80331646283213931"/>
    <n v="30779.920000000002"/>
    <n v="28255.510000000002"/>
    <n v="1.0893422203315388"/>
    <n v="739"/>
    <n v="53"/>
    <n v="720"/>
    <n v="1.0263888888888888"/>
    <n v="165"/>
    <n v="13"/>
    <n v="172"/>
    <n v="0.95930232558139539"/>
    <n v="2236"/>
    <n v="2852"/>
    <n v="3.0257104194857916"/>
    <n v="3.9611111111111112"/>
    <n v="732"/>
    <n v="398"/>
    <n v="0.54371584699453557"/>
    <n v="709"/>
    <n v="481"/>
    <n v="0.67842031029619176"/>
    <n v="53"/>
    <n v="0.32121212121212123"/>
    <n v="83"/>
    <n v="0.48255813953488375"/>
    <n v="386"/>
    <n v="353"/>
    <n v="34"/>
    <n v="43"/>
    <n v="0.79069767441860461"/>
    <n v="145826.93599999999"/>
    <n v="126924.16000000002"/>
    <n v="0.14892969155754088"/>
    <n v="65148.808000000005"/>
    <n v="37310.880000000005"/>
    <n v="0.74610751609182091"/>
    <n v="11480.128000000001"/>
    <n v="13298.240000000002"/>
    <n v="-0.13671824241403374"/>
    <n v="6094.0479999999998"/>
    <n v="6081.9120000000003"/>
    <n v="1.9954251228888609E-3"/>
    <n v="199212.12000000002"/>
    <n v="188984.06400000001"/>
    <n v="5.4121261780040841E-2"/>
    <n v="30779.920000000002"/>
    <n v="23589.896000000004"/>
    <n v="0.30479252642741606"/>
    <n v="396189.15200000006"/>
    <n v="0.15738141159402552"/>
    <n v="0.83637674257329853"/>
    <n v="904"/>
  </r>
  <r>
    <x v="1"/>
    <s v="ALAGOAS"/>
    <x v="1"/>
    <n v="495176.54400000005"/>
    <n v="558689.82999999996"/>
    <n v="0.88631744737504903"/>
    <n v="121918.88799999999"/>
    <n v="123638.42"/>
    <n v="0.98609225190681016"/>
    <n v="11320.248000000001"/>
    <n v="21671.61"/>
    <n v="0.52235380758513106"/>
    <n v="6046.6240000000007"/>
    <n v="22976.79"/>
    <n v="0.26316226069873122"/>
    <n v="605895.28800000006"/>
    <n v="671443.34000000008"/>
    <n v="0.90237738898415465"/>
    <n v="56039.432000000001"/>
    <n v="65757.320000000007"/>
    <n v="0.8522158749778731"/>
    <n v="2222"/>
    <n v="134"/>
    <n v="2206"/>
    <n v="1.0072529465095195"/>
    <n v="181"/>
    <n v="11"/>
    <n v="174"/>
    <n v="1.0402298850574712"/>
    <n v="6861"/>
    <n v="7722"/>
    <n v="3.087758775877588"/>
    <n v="3.5004533091568448"/>
    <n v="2161"/>
    <n v="1301"/>
    <n v="0.60203609440074035"/>
    <n v="2118"/>
    <n v="1536"/>
    <n v="0.72521246458923516"/>
    <n v="64"/>
    <n v="0.35359116022099446"/>
    <n v="85"/>
    <n v="0.4885057471264368"/>
    <n v="596"/>
    <n v="1626"/>
    <n v="90"/>
    <n v="116"/>
    <n v="0.77586206896551724"/>
    <n v="495176.54400000005"/>
    <n v="452815.54400000005"/>
    <n v="9.355023377907723E-2"/>
    <n v="121918.88799999999"/>
    <n v="198247.984"/>
    <n v="-0.38501827085414397"/>
    <n v="11320.248000000001"/>
    <n v="21222.544000000002"/>
    <n v="-0.46659326044983107"/>
    <n v="6046.6240000000007"/>
    <n v="9239.232"/>
    <n v="-0.3455490672817827"/>
    <n v="605895.28799999994"/>
    <n v="550504.37600000016"/>
    <n v="0.10061847719081496"/>
    <n v="56039.432000000001"/>
    <n v="78143.071999999986"/>
    <n v="-0.28286116010386675"/>
    <n v="1310172.7520000001"/>
    <n v="-1.0514436343582179E-2"/>
    <n v="0.88540985790853433"/>
    <n v="2403"/>
  </r>
  <r>
    <x v="2"/>
    <s v="AMAZONAS"/>
    <x v="0"/>
    <n v="422608.95200000005"/>
    <n v="564760.02"/>
    <n v="0.74829828074586446"/>
    <n v="98081.751999999993"/>
    <n v="146693.6"/>
    <n v="0.66861643589086361"/>
    <n v="15599.032000000003"/>
    <n v="38358.76"/>
    <n v="0.40666152920480231"/>
    <n v="13587.808000000003"/>
    <n v="25790.080000000002"/>
    <n v="0.52686180112663483"/>
    <n v="544278.62400000007"/>
    <n v="677529.99"/>
    <n v="0.80332772280677944"/>
    <n v="55253.258000000023"/>
    <n v="64497.72"/>
    <n v="0.85666994120102269"/>
    <n v="2353"/>
    <n v="252"/>
    <n v="2347"/>
    <n v="1.0025564550489987"/>
    <n v="308"/>
    <n v="47"/>
    <n v="292"/>
    <n v="1.0547945205479452"/>
    <n v="6159"/>
    <n v="7792"/>
    <n v="2.6175095622609437"/>
    <n v="3.3199829569663399"/>
    <n v="2338"/>
    <n v="1099"/>
    <n v="0.47005988023952094"/>
    <n v="2329"/>
    <n v="1473"/>
    <n v="0.63246028338342641"/>
    <n v="83"/>
    <n v="0.26948051948051949"/>
    <n v="143"/>
    <n v="0.48972602739726029"/>
    <n v="944"/>
    <n v="1409"/>
    <n v="79"/>
    <n v="94"/>
    <n v="0.84042553191489366"/>
    <n v="269696.29600000003"/>
    <n v="389751.56799999997"/>
    <n v="-0.30803024761660469"/>
    <n v="73180.160000000003"/>
    <n v="137768.06400000004"/>
    <n v="-0.46881622724988004"/>
    <n v="14871.848000000002"/>
    <n v="23957.4"/>
    <n v="-0.37923781378613697"/>
    <n v="11852.28"/>
    <n v="10993.576000000001"/>
    <n v="7.8109616015753058E-2"/>
    <n v="366750.54399999994"/>
    <n v="456720.92800000001"/>
    <n v="-0.19699203273645494"/>
    <n v="42090.880000000012"/>
    <n v="72208.928"/>
    <n v="-0.41709590260085272"/>
    <n v="1091400.4640000002"/>
    <n v="5.3150941302879895E-2"/>
    <n v="0.7573712283276498"/>
    <n v="2661"/>
  </r>
  <r>
    <x v="3"/>
    <s v="AMAPÁ"/>
    <x v="0"/>
    <n v="158351.24799999999"/>
    <n v="193991.7"/>
    <n v="0.81627846964586626"/>
    <n v="56174.168000000005"/>
    <n v="70623.45"/>
    <n v="0.79540390620962309"/>
    <n v="15336.248"/>
    <n v="30504.54"/>
    <n v="0.5027529672632336"/>
    <n v="13836.183999999999"/>
    <n v="29503.100000000002"/>
    <n v="0.4689739044371608"/>
    <n v="280687.79200000002"/>
    <n v="311896.82"/>
    <n v="0.89993797307712209"/>
    <n v="37415.800000000003"/>
    <n v="34372.410000000003"/>
    <n v="1.0885416530292755"/>
    <n v="886"/>
    <n v="55"/>
    <n v="883"/>
    <n v="1.0033975084937712"/>
    <n v="336"/>
    <n v="29"/>
    <n v="350"/>
    <n v="0.96"/>
    <n v="3083"/>
    <n v="3587"/>
    <n v="3.479683972911964"/>
    <n v="4.062287655719139"/>
    <n v="881"/>
    <n v="417"/>
    <n v="0.47332576617480138"/>
    <n v="877"/>
    <n v="518"/>
    <n v="0.59064994298745721"/>
    <n v="82"/>
    <n v="0.24404761904761904"/>
    <n v="110"/>
    <n v="0.31428571428571428"/>
    <n v="481"/>
    <n v="405"/>
    <n v="35"/>
    <n v="30"/>
    <n v="1.1666666666666667"/>
    <n v="311263.90399999998"/>
    <n v="135081.76"/>
    <n v="1.3042630181898724"/>
    <n v="81075.759999999995"/>
    <n v="57580.024000000005"/>
    <n v="0.40805359858828805"/>
    <n v="16063.432000000003"/>
    <n v="20964.736000000001"/>
    <n v="-0.23378801431127005"/>
    <n v="15571.712000000001"/>
    <n v="9705.1440000000002"/>
    <n v="0.60448026325008697"/>
    <n v="458215.87200000003"/>
    <n v="234633.38399999999"/>
    <n v="0.95290143366810942"/>
    <n v="50578.178"/>
    <n v="26222.200000000008"/>
    <n v="0.92883045663597952"/>
    <n v="484187.24800000002"/>
    <n v="0.16029788541642898"/>
    <n v="0.83739472709781237"/>
    <n v="1222"/>
  </r>
  <r>
    <x v="4"/>
    <s v="BAHIA"/>
    <x v="1"/>
    <n v="1530239.888"/>
    <n v="1725578.28"/>
    <n v="0.88679830161051865"/>
    <n v="289451.016"/>
    <n v="369690.77"/>
    <n v="0.78295440267551175"/>
    <n v="66782.296000000002"/>
    <n v="167980.98"/>
    <n v="0.39755867598819816"/>
    <n v="53345.688000000002"/>
    <n v="99609.25"/>
    <n v="0.53554953982687348"/>
    <n v="1776444.1440000001"/>
    <n v="1628784.86"/>
    <n v="1.0906561005239206"/>
    <n v="169066.712"/>
    <n v="160121"/>
    <n v="1.055868449485077"/>
    <n v="7444"/>
    <n v="348"/>
    <n v="7436"/>
    <n v="1.0010758472296934"/>
    <n v="1068"/>
    <n v="46"/>
    <n v="1140"/>
    <n v="0.93684210526315792"/>
    <n v="20099"/>
    <n v="18732"/>
    <n v="2.7000268672756582"/>
    <n v="2.5190962883270576"/>
    <n v="6690"/>
    <n v="4179"/>
    <n v="0.62466367713004489"/>
    <n v="6633"/>
    <n v="4840"/>
    <n v="0.72968490878938641"/>
    <n v="357"/>
    <n v="0.3342696629213483"/>
    <n v="568"/>
    <n v="0.49824561403508771"/>
    <n v="2749"/>
    <n v="4695"/>
    <n v="257"/>
    <n v="388"/>
    <n v="0.66237113402061853"/>
    <n v="1530239.888"/>
    <n v="1379175.9440000001"/>
    <n v="0.1095320322669433"/>
    <n v="289451.016"/>
    <n v="378812.96799999999"/>
    <n v="-0.23589992832557938"/>
    <n v="66782.296000000002"/>
    <n v="106338.40000000001"/>
    <n v="-0.37198325346253092"/>
    <n v="53345.688000000002"/>
    <n v="40606.344000000005"/>
    <n v="0.3137279238928774"/>
    <n v="1776444.1440000003"/>
    <n v="1484676.5280000002"/>
    <n v="0.19651931615908191"/>
    <n v="169066.71200000003"/>
    <n v="192743.11199999999"/>
    <n v="-0.12283914975908439"/>
    <n v="3582353.2960000006"/>
    <n v="8.4574697961336875E-2"/>
    <n v="0.93582599520549947"/>
    <n v="8512"/>
  </r>
  <r>
    <x v="5"/>
    <s v="CEARÁ"/>
    <x v="1"/>
    <n v="1083541.3440000003"/>
    <n v="1150209.6499999999"/>
    <n v="0.94203812670151077"/>
    <n v="298626.2"/>
    <n v="211350.33000000002"/>
    <n v="1.4129440914523295"/>
    <n v="39283.168000000005"/>
    <n v="83922"/>
    <n v="0.4680914182216821"/>
    <n v="56357.911999999997"/>
    <n v="56778.33"/>
    <n v="0.99259544970766123"/>
    <n v="1117589.5920000002"/>
    <n v="1064727.24"/>
    <n v="1.0496487269359243"/>
    <n v="177476.24000000005"/>
    <n v="110694.43000000001"/>
    <n v="1.6032987386989574"/>
    <n v="4757"/>
    <n v="324"/>
    <n v="4756"/>
    <n v="1.000210260723297"/>
    <n v="470"/>
    <n v="18"/>
    <n v="499"/>
    <n v="0.94188376753507019"/>
    <n v="12660"/>
    <n v="12245"/>
    <n v="2.6613411814168595"/>
    <n v="2.5746425567703954"/>
    <n v="4584"/>
    <n v="3080"/>
    <n v="0.67190226876090753"/>
    <n v="4570"/>
    <n v="3326"/>
    <n v="0.7277899343544858"/>
    <n v="226"/>
    <n v="0.48085106382978721"/>
    <n v="287"/>
    <n v="0.57515030060120242"/>
    <n v="1847"/>
    <n v="2910"/>
    <n v="280"/>
    <n v="414"/>
    <n v="0.67632850241545894"/>
    <n v="1083541.3440000003"/>
    <n v="874640.304"/>
    <n v="0.23884222925084897"/>
    <n v="298626.2"/>
    <n v="174492.83999999997"/>
    <n v="0.71139514950871385"/>
    <n v="39283.168000000005"/>
    <n v="50366.872000000003"/>
    <n v="-0.22005940730248241"/>
    <n v="56357.911999999997"/>
    <n v="19461.52"/>
    <n v="1.895863837973601"/>
    <n v="1117589.5920000002"/>
    <n v="907609.73599999992"/>
    <n v="0.23135478573138646"/>
    <n v="177476.24"/>
    <n v="101811.81600000004"/>
    <n v="0.74317920033957474"/>
    <n v="2128383.088"/>
    <n v="0.30280797269706583"/>
    <n v="1.0355503292441026"/>
    <n v="5227"/>
  </r>
  <r>
    <x v="6"/>
    <s v="DISTRITO FEDERAL"/>
    <x v="2"/>
    <n v="1684099.824"/>
    <n v="1763978.32"/>
    <n v="0.95471684935447498"/>
    <n v="456786.24000000011"/>
    <n v="394786.83999999997"/>
    <n v="1.1570452551052617"/>
    <n v="68091.248000000007"/>
    <n v="117069.78"/>
    <n v="0.58162958878029847"/>
    <n v="49406.168000000005"/>
    <n v="65835.459999999992"/>
    <n v="0.75044919561585821"/>
    <n v="1207770.504"/>
    <n v="1640958.15"/>
    <n v="0.73601542123423447"/>
    <n v="241606.20800000007"/>
    <n v="176003.27000000002"/>
    <n v="1.3727370406243022"/>
    <n v="6772"/>
    <n v="183"/>
    <n v="6854"/>
    <n v="0.98803618325065656"/>
    <n v="833"/>
    <n v="28"/>
    <n v="924"/>
    <n v="0.90151515151515149"/>
    <n v="13599"/>
    <n v="18872"/>
    <n v="2.0081216774955699"/>
    <n v="2.7534286548001168"/>
    <n v="6348"/>
    <n v="4273"/>
    <n v="0.67312539382482672"/>
    <n v="6327"/>
    <n v="4671"/>
    <n v="0.73826458036984355"/>
    <n v="379"/>
    <n v="0.45498199279711887"/>
    <n v="459"/>
    <n v="0.49675324675324678"/>
    <n v="2392"/>
    <n v="4380"/>
    <n v="178"/>
    <n v="279"/>
    <n v="0.63799283154121866"/>
    <n v="1684099.824"/>
    <n v="1417913.216"/>
    <n v="0.18773124123274965"/>
    <n v="456786.24000000011"/>
    <n v="362184.47200000001"/>
    <n v="0.2611977467659079"/>
    <n v="68091.248000000007"/>
    <n v="86133.104000000007"/>
    <n v="-0.20946483015403694"/>
    <n v="49406.168000000005"/>
    <n v="29542.183999999994"/>
    <n v="0.67239388936173494"/>
    <n v="1207770.504"/>
    <n v="1140917.504"/>
    <n v="5.8595822893080962E-2"/>
    <n v="241606.20800000001"/>
    <n v="178165.64800000004"/>
    <n v="0.35607627346883364"/>
    <n v="3214856.128"/>
    <n v="0.15332072241336703"/>
    <n v="0.89158173949623665"/>
    <n v="7605"/>
  </r>
  <r>
    <x v="7"/>
    <s v="ESPÍRITO SANTO"/>
    <x v="3"/>
    <n v="1328322.0480000002"/>
    <n v="1418616.52"/>
    <n v="0.93635033095483777"/>
    <n v="186104.20799999998"/>
    <n v="230979.35"/>
    <n v="0.80571794837936805"/>
    <n v="55261.768000000011"/>
    <n v="99098.45"/>
    <n v="0.55764512966650859"/>
    <n v="26724.248"/>
    <n v="20060.740000000002"/>
    <n v="1.3321666100054135"/>
    <n v="1183466.9040000001"/>
    <n v="1537311.36"/>
    <n v="0.76982902409567833"/>
    <n v="116437.768"/>
    <n v="125197.05"/>
    <n v="0.93003603519411993"/>
    <n v="4136"/>
    <n v="245"/>
    <n v="4185"/>
    <n v="0.9882915173237754"/>
    <n v="493"/>
    <n v="15"/>
    <n v="484"/>
    <n v="1.0185950413223142"/>
    <n v="13420"/>
    <n v="17680"/>
    <n v="3.2446808510638299"/>
    <n v="4.2246117084826764"/>
    <n v="4064"/>
    <n v="3428"/>
    <n v="0.84350393700787396"/>
    <n v="4090"/>
    <n v="3974"/>
    <n v="0.97163814180929098"/>
    <n v="313"/>
    <n v="0.63488843813387419"/>
    <n v="369"/>
    <n v="0.76239669421487599"/>
    <n v="1090"/>
    <n v="3046"/>
    <n v="141"/>
    <n v="124"/>
    <n v="1.1370967741935485"/>
    <n v="1328322.0480000002"/>
    <n v="1072032.344"/>
    <n v="0.23906900331357916"/>
    <n v="186104.20799999998"/>
    <n v="150495.45599999998"/>
    <n v="0.23661014721932871"/>
    <n v="55261.768000000011"/>
    <n v="82272.736000000004"/>
    <n v="-0.3283100734610308"/>
    <n v="26724.248"/>
    <n v="20292.039999999997"/>
    <n v="0.31698183129936686"/>
    <n v="1183466.9040000001"/>
    <n v="1028768.6"/>
    <n v="0.15037230335373786"/>
    <n v="116437.76800000001"/>
    <n v="116018.86400000002"/>
    <n v="3.6106542122322782E-3"/>
    <n v="2469880.04"/>
    <n v="0.17265490513458293"/>
    <n v="0.84409634215585327"/>
    <n v="4629"/>
  </r>
  <r>
    <x v="8"/>
    <s v="GOIÁS"/>
    <x v="2"/>
    <n v="1257495.4879999999"/>
    <n v="1363273.97"/>
    <n v="0.92240849284315163"/>
    <n v="367743.88"/>
    <n v="317093.52"/>
    <n v="1.1597331916464266"/>
    <n v="55147.136000000006"/>
    <n v="80298.62"/>
    <n v="0.68677563823637333"/>
    <n v="48030.840000000004"/>
    <n v="111529.82"/>
    <n v="0.43065468948125263"/>
    <n v="2215098.432"/>
    <n v="2884284.79"/>
    <n v="0.76798880598749752"/>
    <n v="186443.27200000003"/>
    <n v="153353.85999999999"/>
    <n v="1.2157716277894801"/>
    <n v="5405"/>
    <n v="300"/>
    <n v="5373"/>
    <n v="1.0059557044481668"/>
    <n v="773"/>
    <n v="55"/>
    <n v="811"/>
    <n v="0.95314426633785454"/>
    <n v="25310"/>
    <n v="33171"/>
    <n v="4.6827012025901942"/>
    <n v="6.1736460078168625"/>
    <n v="5211"/>
    <n v="3328"/>
    <n v="0.63864901170600652"/>
    <n v="5137"/>
    <n v="3697"/>
    <n v="0.71968074751800659"/>
    <n v="301"/>
    <n v="0.38939197930142305"/>
    <n v="329"/>
    <n v="0.40567200986436497"/>
    <n v="1701"/>
    <n v="3704"/>
    <n v="188"/>
    <n v="310"/>
    <n v="0.6064516129032258"/>
    <n v="1257495.4879999999"/>
    <n v="1052483.152"/>
    <n v="0.19478918556598424"/>
    <n v="367743.88"/>
    <n v="313531.81599999999"/>
    <n v="0.17290769623201507"/>
    <n v="55147.136000000006"/>
    <n v="86101.847999999998"/>
    <n v="-0.35951274820489332"/>
    <n v="48030.840000000004"/>
    <n v="32641.264000000003"/>
    <n v="0.47147610460183165"/>
    <n v="2215098.432"/>
    <n v="1994112.4800000002"/>
    <n v="0.11081920113152277"/>
    <n v="186443.272"/>
    <n v="155691.39999999994"/>
    <n v="0.197518115965301"/>
    <n v="3634561.96"/>
    <n v="0.13630173139213708"/>
    <n v="0.84116052805999009"/>
    <n v="6178"/>
  </r>
  <r>
    <x v="9"/>
    <s v="MARANHÃO"/>
    <x v="1"/>
    <n v="419525.04"/>
    <n v="512036.4"/>
    <n v="0.81932659474990444"/>
    <n v="97415.056000000026"/>
    <n v="165818.14000000001"/>
    <n v="0.58748129728146758"/>
    <n v="17735.112000000001"/>
    <n v="40883.160000000003"/>
    <n v="0.43379993131646377"/>
    <n v="13639.152000000002"/>
    <n v="50933.57"/>
    <n v="0.26778315362539878"/>
    <n v="529810.22399999993"/>
    <n v="489800.62"/>
    <n v="1.0816854907206934"/>
    <n v="52473.191999999995"/>
    <n v="44648.26"/>
    <n v="1.1752572664645833"/>
    <n v="2252"/>
    <n v="171"/>
    <n v="2191"/>
    <n v="1.0278411684162483"/>
    <n v="329"/>
    <n v="29"/>
    <n v="340"/>
    <n v="0.96764705882352942"/>
    <n v="5965"/>
    <n v="5633"/>
    <n v="2.6487566607460034"/>
    <n v="2.5709721588315837"/>
    <n v="2227"/>
    <n v="1145"/>
    <n v="0.51414458913336325"/>
    <n v="2163"/>
    <n v="1388"/>
    <n v="0.64170134073046692"/>
    <n v="96"/>
    <n v="0.2917933130699088"/>
    <n v="135"/>
    <n v="0.39705882352941174"/>
    <n v="887"/>
    <n v="1365"/>
    <n v="91"/>
    <n v="137"/>
    <n v="0.66423357664233573"/>
    <n v="419525.04"/>
    <n v="369740.90399999998"/>
    <n v="0.13464600605833965"/>
    <n v="97415.056000000026"/>
    <n v="122393.83200000001"/>
    <n v="-0.20408525161627411"/>
    <n v="17735.112000000001"/>
    <n v="23559.696000000004"/>
    <n v="-0.24722661956249359"/>
    <n v="13639.152000000002"/>
    <n v="13940.528000000004"/>
    <n v="-2.1618693352217555E-2"/>
    <n v="529810.22400000005"/>
    <n v="454013.272"/>
    <n v="0.16694875827330447"/>
    <n v="52473.19200000001"/>
    <n v="59868.928000000007"/>
    <n v="-0.12353212671521352"/>
    <n v="1043517.1599999999"/>
    <n v="8.3449146154913167E-2"/>
    <n v="0.8669429546042976"/>
    <n v="2581"/>
  </r>
  <r>
    <x v="10"/>
    <s v="MINAS GERAIS"/>
    <x v="3"/>
    <n v="4564030.3279999997"/>
    <n v="4794475.05"/>
    <n v="0.95193535901287041"/>
    <n v="956042.51199999999"/>
    <n v="723080.07"/>
    <n v="1.3221806984667688"/>
    <n v="185987.48800000001"/>
    <n v="366538.9"/>
    <n v="0.5074154148440998"/>
    <n v="175841.04800000004"/>
    <n v="109991.88"/>
    <n v="1.5986729929518437"/>
    <n v="4189608.3680000002"/>
    <n v="5364068.88"/>
    <n v="0.78105044169380622"/>
    <n v="497634.47200000001"/>
    <n v="524881.82000000007"/>
    <n v="0.94808860402137751"/>
    <n v="17877"/>
    <n v="632"/>
    <n v="18589"/>
    <n v="0.96169777825595781"/>
    <n v="2035"/>
    <n v="144"/>
    <n v="2127"/>
    <n v="0.95674659144334739"/>
    <n v="47515"/>
    <n v="61690"/>
    <n v="2.6578844325110476"/>
    <n v="3.3186292968960136"/>
    <n v="17230"/>
    <n v="11631"/>
    <n v="0.67504352872896112"/>
    <n v="17880"/>
    <n v="13411"/>
    <n v="0.75005592841163315"/>
    <n v="1071"/>
    <n v="0.52628992628992632"/>
    <n v="1408"/>
    <n v="0.66196520921485658"/>
    <n v="5417"/>
    <n v="12460"/>
    <n v="632"/>
    <n v="797"/>
    <n v="0.79297365119196994"/>
    <n v="3100071.3280000002"/>
    <n v="3875235.3840000005"/>
    <n v="-0.20003018634699798"/>
    <n v="490125.58399999997"/>
    <n v="1141704.456"/>
    <n v="-0.57070712878079544"/>
    <n v="110797.296"/>
    <n v="298078.41599999997"/>
    <n v="-0.62829480414308159"/>
    <n v="84048.751999999993"/>
    <n v="141826.36799999999"/>
    <n v="-0.40738275128077739"/>
    <n v="2818462.2800000003"/>
    <n v="3698718.1439999999"/>
    <n v="-0.2379894411332576"/>
    <n v="226677.17600000001"/>
    <n v="519842.40799999994"/>
    <n v="-0.56395020392410911"/>
    <n v="9675405.1760000009"/>
    <n v="9.2372259739254448E-2"/>
    <n v="0.8894312600198504"/>
    <n v="19912"/>
  </r>
  <r>
    <x v="11"/>
    <s v="MATO GROSSO DO SUL"/>
    <x v="2"/>
    <n v="748928.61599999992"/>
    <n v="844523.85"/>
    <n v="0.8868057616134819"/>
    <n v="222159.36000000004"/>
    <n v="293680.92"/>
    <n v="0.75646507781302252"/>
    <n v="40397.024000000005"/>
    <n v="87773.540000000008"/>
    <n v="0.46024148051907215"/>
    <n v="55803.000000000015"/>
    <n v="64930.83"/>
    <n v="0.8594222498002877"/>
    <n v="1425865.368"/>
    <n v="2068501.13"/>
    <n v="0.68932298238580125"/>
    <n v="160039.69600000003"/>
    <n v="143612.68"/>
    <n v="1.1143841616213834"/>
    <n v="3640"/>
    <n v="72"/>
    <n v="3778"/>
    <n v="0.96347273689782953"/>
    <n v="698"/>
    <n v="33"/>
    <n v="686"/>
    <n v="1.0174927113702623"/>
    <n v="16284"/>
    <n v="23789"/>
    <n v="4.4736263736263737"/>
    <n v="6.2967178401270516"/>
    <n v="3571"/>
    <n v="1913"/>
    <n v="0.53570428451414165"/>
    <n v="3683"/>
    <n v="2351"/>
    <n v="0.63833831115938089"/>
    <n v="232"/>
    <n v="0.33237822349570201"/>
    <n v="331"/>
    <n v="0.48250728862973763"/>
    <n v="1359"/>
    <n v="2281"/>
    <n v="151"/>
    <n v="250"/>
    <n v="0.60399999999999998"/>
    <n v="748928.61599999992"/>
    <n v="644575.98400000005"/>
    <n v="0.16189345335584182"/>
    <n v="222159.36000000004"/>
    <n v="206008.52000000005"/>
    <n v="7.8398893404991066E-2"/>
    <n v="40397.024000000005"/>
    <n v="62223.911999999997"/>
    <n v="-0.35077974525291811"/>
    <n v="55803.000000000015"/>
    <n v="31979.968000000008"/>
    <n v="0.74493607998607136"/>
    <n v="1425865.3680000002"/>
    <n v="1312747.432"/>
    <n v="8.616884957654225E-2"/>
    <n v="160039.69600000003"/>
    <n v="109269.69599999998"/>
    <n v="0.46463019353508628"/>
    <n v="2366805.5120000001"/>
    <n v="0.12100172597536174"/>
    <n v="0.75740099390442184"/>
    <n v="4338"/>
  </r>
  <r>
    <x v="12"/>
    <s v="MATO GROSSO"/>
    <x v="2"/>
    <n v="903004.57600000012"/>
    <n v="1039263.51"/>
    <n v="0.86888894617304524"/>
    <n v="154706.48000000001"/>
    <n v="167836.07"/>
    <n v="0.92177134509882175"/>
    <n v="63403.240000000005"/>
    <n v="102373.44"/>
    <n v="0.61933290509725969"/>
    <n v="31293.68"/>
    <n v="58593.32"/>
    <n v="0.534082724788423"/>
    <n v="2220353.352"/>
    <n v="3102099.55"/>
    <n v="0.71575825218117195"/>
    <n v="94568.335999999996"/>
    <n v="123360.06"/>
    <n v="0.76660416669706544"/>
    <n v="3639"/>
    <n v="193"/>
    <n v="3725"/>
    <n v="0.9769127516778523"/>
    <n v="710"/>
    <n v="49"/>
    <n v="756"/>
    <n v="0.93915343915343918"/>
    <n v="25520"/>
    <n v="35676"/>
    <n v="7.0129156361637817"/>
    <n v="9.5774496644295297"/>
    <n v="3587"/>
    <n v="2343"/>
    <n v="0.65319208252021188"/>
    <n v="3662"/>
    <n v="2872"/>
    <n v="0.78427089022392138"/>
    <n v="307"/>
    <n v="0.43239436619718308"/>
    <n v="370"/>
    <n v="0.48941798941798942"/>
    <n v="1214"/>
    <n v="2425"/>
    <n v="145"/>
    <n v="147"/>
    <n v="0.98639455782312924"/>
    <n v="2366963.5760000004"/>
    <n v="820837.16"/>
    <n v="1.8835970047944715"/>
    <n v="620623.40799999994"/>
    <n v="247418.99200000009"/>
    <n v="1.5083903340775056"/>
    <n v="138593.43200000003"/>
    <n v="71433.48000000001"/>
    <n v="0.9401747191932972"/>
    <n v="123085.976"/>
    <n v="34860.576000000008"/>
    <n v="2.5308072936029502"/>
    <n v="3591499.4400000004"/>
    <n v="2052689.0080000004"/>
    <n v="0.74965590306312957"/>
    <n v="365525.63200000004"/>
    <n v="123571.24799999996"/>
    <n v="1.9580152172615439"/>
    <n v="3350810.4640000011"/>
    <n v="3.4773438023977254E-2"/>
    <n v="0.75482966717538635"/>
    <n v="4349"/>
  </r>
  <r>
    <x v="13"/>
    <s v="PARÁ"/>
    <x v="0"/>
    <n v="582437.92000000004"/>
    <n v="661650.40999999992"/>
    <n v="0.88028044900629643"/>
    <n v="163335.136"/>
    <n v="309741.52"/>
    <n v="0.52732722432562473"/>
    <n v="29247.08"/>
    <n v="50489.86"/>
    <n v="0.5792664111170045"/>
    <n v="17846.592000000001"/>
    <n v="38300.33"/>
    <n v="0.4659644446927742"/>
    <n v="804249.58400000003"/>
    <n v="928212.6"/>
    <n v="0.86644975946243352"/>
    <n v="83255.351999999984"/>
    <n v="77079.790000000008"/>
    <n v="1.0801190817982247"/>
    <n v="3301"/>
    <n v="179"/>
    <n v="3253"/>
    <n v="1.0147556102059638"/>
    <n v="488"/>
    <n v="36"/>
    <n v="513"/>
    <n v="0.95126705653021437"/>
    <n v="9011"/>
    <n v="10675"/>
    <n v="2.7297788548924569"/>
    <n v="3.2815862280971411"/>
    <n v="3167"/>
    <n v="1577"/>
    <n v="0.4979475844647932"/>
    <n v="3086"/>
    <n v="1852"/>
    <n v="0.60012961762799744"/>
    <n v="150"/>
    <n v="0.30737704918032788"/>
    <n v="186"/>
    <n v="0.36257309941520466"/>
    <n v="1165"/>
    <n v="2136"/>
    <n v="108"/>
    <n v="98"/>
    <n v="1.1020408163265305"/>
    <n v="582437.92000000004"/>
    <n v="531132.35199999996"/>
    <n v="9.6596578624531082E-2"/>
    <n v="163335.136"/>
    <n v="215302.71200000003"/>
    <n v="-0.24136981609409558"/>
    <n v="29247.08"/>
    <n v="43250.536"/>
    <n v="-0.32377531691167938"/>
    <n v="17846.592000000001"/>
    <n v="15469.624"/>
    <n v="0.15365389617743785"/>
    <n v="804249.58400000003"/>
    <n v="661943.26399999997"/>
    <n v="0.21498265446508125"/>
    <n v="83255.351999999999"/>
    <n v="94467.848000000027"/>
    <n v="-0.11869113394008957"/>
    <n v="1561566.3359999999"/>
    <n v="7.608087166141364E-2"/>
    <n v="0.81355236090519467"/>
    <n v="3789"/>
  </r>
  <r>
    <x v="14"/>
    <s v="PARAÍBA"/>
    <x v="1"/>
    <n v="707095.62400000007"/>
    <n v="789002.26"/>
    <n v="0.89618960533775915"/>
    <n v="233932.296"/>
    <n v="273180.46000000002"/>
    <n v="0.856328801847687"/>
    <n v="22603.536"/>
    <n v="62991.5"/>
    <n v="0.35883469991983047"/>
    <n v="33818.496000000006"/>
    <n v="28773.33"/>
    <n v="1.1753417487652631"/>
    <n v="798679.56000000017"/>
    <n v="878041.3"/>
    <n v="0.90961502608134737"/>
    <n v="120147.51200000002"/>
    <n v="95283.22"/>
    <n v="1.2609514246055078"/>
    <n v="3193"/>
    <n v="187"/>
    <n v="3237"/>
    <n v="0.98640716713005872"/>
    <n v="515"/>
    <n v="6"/>
    <n v="562"/>
    <n v="0.91637010676156583"/>
    <n v="9065"/>
    <n v="10098"/>
    <n v="2.8390228625117446"/>
    <n v="3.119555143651529"/>
    <n v="3136"/>
    <n v="2009"/>
    <n v="0.640625"/>
    <n v="3171"/>
    <n v="2231"/>
    <n v="0.7035635446231473"/>
    <n v="116"/>
    <n v="0.22524271844660193"/>
    <n v="210"/>
    <n v="0.37366548042704628"/>
    <n v="1125"/>
    <n v="2068"/>
    <n v="152"/>
    <n v="246"/>
    <n v="0.61788617886178865"/>
    <n v="707095.62400000007"/>
    <n v="590110.14400000009"/>
    <n v="0.1982434655453067"/>
    <n v="233932.296"/>
    <n v="213254.89599999998"/>
    <n v="9.6960962621932101E-2"/>
    <n v="22603.536"/>
    <n v="30946.392000000003"/>
    <n v="-0.26959058749078091"/>
    <n v="33818.496000000006"/>
    <n v="20845.535999999996"/>
    <n v="0.62233755946596969"/>
    <n v="798679.56"/>
    <n v="748656.54400000011"/>
    <n v="6.6817042341915212E-2"/>
    <n v="120147.512"/>
    <n v="85008.664000000004"/>
    <n v="0.41335607862276236"/>
    <n v="1688822.1760000002"/>
    <n v="0.13468253273339292"/>
    <n v="0.90081426396953534"/>
    <n v="3708"/>
  </r>
  <r>
    <x v="15"/>
    <s v="PERNAMBUCO"/>
    <x v="1"/>
    <n v="1271106.7520000001"/>
    <n v="1472090.38"/>
    <n v="0.86347059207057664"/>
    <n v="328802.17599999992"/>
    <n v="464660.17"/>
    <n v="0.70761859360573109"/>
    <n v="54373.600000000006"/>
    <n v="108536.37999999999"/>
    <n v="0.50097119509605914"/>
    <n v="40606.392"/>
    <n v="48179.87"/>
    <n v="0.84280825166194917"/>
    <n v="1375324.6320000002"/>
    <n v="1890684.29"/>
    <n v="0.7274216215124949"/>
    <n v="171585.37599999999"/>
    <n v="189430.22"/>
    <n v="0.90579726930581606"/>
    <n v="5633"/>
    <n v="308"/>
    <n v="5629"/>
    <n v="1.0007106057914372"/>
    <n v="591"/>
    <n v="37"/>
    <n v="625"/>
    <n v="0.9456"/>
    <n v="15581"/>
    <n v="21744"/>
    <n v="2.7660216580862773"/>
    <n v="3.8628530822526201"/>
    <n v="5271"/>
    <n v="3429"/>
    <n v="0.65054069436539552"/>
    <n v="5181"/>
    <n v="4057"/>
    <n v="0.78305346458212699"/>
    <n v="294"/>
    <n v="0.49746192893401014"/>
    <n v="404"/>
    <n v="0.64639999999999997"/>
    <n v="1774"/>
    <n v="3859"/>
    <n v="207"/>
    <n v="252"/>
    <n v="0.8214285714285714"/>
    <n v="2110981.4960000003"/>
    <n v="1155017.5120000001"/>
    <n v="0.82766189609080154"/>
    <n v="472804.44800000003"/>
    <n v="373179.09600000002"/>
    <n v="0.26696391375576956"/>
    <n v="222658.448"/>
    <n v="70202.752000000008"/>
    <n v="2.1716484276855694"/>
    <n v="120593.36799999999"/>
    <n v="45377.648000000001"/>
    <n v="1.6575499902507063"/>
    <n v="3852587.1119999997"/>
    <n v="1168936.4720000001"/>
    <n v="2.2958053788914539"/>
    <n v="321059.03200000001"/>
    <n v="145995.97600000005"/>
    <n v="1.199095076428681"/>
    <n v="2958709.4560000007"/>
    <n v="9.5680051120234033E-2"/>
    <n v="0.77674272697948232"/>
    <n v="6224"/>
  </r>
  <r>
    <x v="16"/>
    <s v="PIAUÍ"/>
    <x v="1"/>
    <n v="352559.63200000004"/>
    <n v="441365.22"/>
    <n v="0.79879341648170665"/>
    <n v="50630.864000000001"/>
    <n v="200000"/>
    <n v="0.25315431999999999"/>
    <n v="22578.975999999999"/>
    <n v="58238.9"/>
    <n v="0.38769578408932859"/>
    <n v="12928.519999999999"/>
    <n v="45000"/>
    <n v="0.28730044444444441"/>
    <n v="397641.92000000004"/>
    <n v="521167.17000000004"/>
    <n v="0.76298343965142701"/>
    <n v="30466.078000000001"/>
    <n v="44159.64"/>
    <n v="0.68990775287117379"/>
    <n v="1613"/>
    <n v="106"/>
    <n v="1641"/>
    <n v="0.98293723339427175"/>
    <n v="313"/>
    <n v="23"/>
    <n v="275"/>
    <n v="1.1381818181818182"/>
    <n v="4449"/>
    <n v="6019"/>
    <n v="2.7582145071295723"/>
    <n v="3.6678854357099331"/>
    <n v="1576"/>
    <n v="969"/>
    <n v="0.61484771573604058"/>
    <n v="1599"/>
    <n v="1196"/>
    <n v="0.74796747967479671"/>
    <n v="121"/>
    <n v="0.38658146964856233"/>
    <n v="155"/>
    <n v="0.5636363636363636"/>
    <n v="561"/>
    <n v="1052"/>
    <n v="108"/>
    <n v="138"/>
    <n v="0.78260869565217395"/>
    <n v="781287.00000000012"/>
    <n v="347095.47199999995"/>
    <n v="1.2509282402854285"/>
    <n v="220661.59999999998"/>
    <n v="127498.336"/>
    <n v="0.73070180304157062"/>
    <n v="42198.240000000005"/>
    <n v="33720.128000000004"/>
    <n v="0.25142585461122802"/>
    <n v="29258.360000000008"/>
    <n v="28768.440000000002"/>
    <n v="1.7029772903918605E-2"/>
    <n v="1066041.9440000001"/>
    <n v="390699.09600000002"/>
    <n v="1.7285498095956693"/>
    <n v="130356.088"/>
    <n v="55499.599999999977"/>
    <n v="1.3487752704524008"/>
    <n v="983281.07199999993"/>
    <n v="-0.11845553150238997"/>
    <n v="0.6617188510847668"/>
    <n v="1926"/>
  </r>
  <r>
    <x v="17"/>
    <s v="PARANÁ"/>
    <x v="4"/>
    <n v="3608937.6560000004"/>
    <n v="3699470.39"/>
    <n v="0.97552819067163832"/>
    <n v="642270.16800000006"/>
    <n v="867607.55"/>
    <n v="0.74027729242328522"/>
    <n v="274513.35200000001"/>
    <n v="492458.63"/>
    <n v="0.55743434123593283"/>
    <n v="171166.39200000002"/>
    <n v="185014.2"/>
    <n v="0.92515272881757193"/>
    <n v="4962386.4000000004"/>
    <n v="6434187.1500000004"/>
    <n v="0.7712530400984684"/>
    <n v="405701.69599999994"/>
    <n v="410922.9"/>
    <n v="0.98729395709024714"/>
    <n v="14583"/>
    <n v="670"/>
    <n v="14181"/>
    <n v="1.0283477892955364"/>
    <n v="2819"/>
    <n v="235"/>
    <n v="2791"/>
    <n v="1.0100322465066285"/>
    <n v="56658"/>
    <n v="74309"/>
    <n v="3.8852088047726805"/>
    <n v="5.2400394894577254"/>
    <n v="14207"/>
    <n v="9557"/>
    <n v="0.67269655803477157"/>
    <n v="13769"/>
    <n v="9552"/>
    <n v="0.69373229718933838"/>
    <n v="1556"/>
    <n v="0.55196878325647392"/>
    <n v="1303"/>
    <n v="0.46685775707631672"/>
    <n v="4781"/>
    <n v="9802"/>
    <n v="519"/>
    <n v="1120"/>
    <n v="0.46339285714285716"/>
    <n v="2340335.5439999998"/>
    <n v="3168447.3600000003"/>
    <n v="-0.2613620243323217"/>
    <n v="328237.16000000003"/>
    <n v="749852.04800000007"/>
    <n v="-0.56226410146445316"/>
    <n v="86609.24"/>
    <n v="371901.68"/>
    <n v="-0.76711791137915808"/>
    <n v="74849.576000000015"/>
    <n v="177562.03200000004"/>
    <n v="-0.57845956617572392"/>
    <n v="1816723.8959999999"/>
    <n v="4799290.6239999998"/>
    <n v="-0.62145991182216842"/>
    <n v="156338.03000000003"/>
    <n v="417560.14399999985"/>
    <n v="-0.62559158902866918"/>
    <n v="9684613.8879999984"/>
    <n v="3.9274851883491557E-2"/>
    <n v="0.8325275467901837"/>
    <n v="17402"/>
  </r>
  <r>
    <x v="18"/>
    <s v="RIO DE JANEIRO"/>
    <x v="3"/>
    <n v="4215944.1680000005"/>
    <n v="4562590.3600000003"/>
    <n v="0.92402425713273983"/>
    <n v="696022.32800000021"/>
    <n v="1162226.3400000001"/>
    <n v="0.59886986213029736"/>
    <n v="262183.14400000003"/>
    <n v="536205.69999999995"/>
    <n v="0.48896000919050292"/>
    <n v="125599.36800000002"/>
    <n v="227054.9"/>
    <n v="0.55316739695994233"/>
    <n v="4526065.392"/>
    <n v="5685356.5199999996"/>
    <n v="0.79609174483221334"/>
    <n v="403807.38400000002"/>
    <n v="502437.18"/>
    <n v="0.8036972582323626"/>
    <n v="21441"/>
    <n v="532"/>
    <n v="21569"/>
    <n v="0.9940655570494692"/>
    <n v="2983"/>
    <n v="87"/>
    <n v="3226"/>
    <n v="0.92467451952882829"/>
    <n v="51144"/>
    <n v="65385"/>
    <n v="2.3853365048272002"/>
    <n v="3.0314340025035933"/>
    <n v="18194"/>
    <n v="11518"/>
    <n v="0.6330658458832582"/>
    <n v="18065"/>
    <n v="12989"/>
    <n v="0.71901466924993085"/>
    <n v="1293"/>
    <n v="0.43345625209520616"/>
    <n v="1905"/>
    <n v="0.59051456912585243"/>
    <n v="8693"/>
    <n v="12748"/>
    <n v="433"/>
    <n v="515"/>
    <n v="0.84077669902912622"/>
    <n v="4215944.1680000005"/>
    <n v="4105037.5360000003"/>
    <n v="2.7017202894585202E-2"/>
    <n v="696022.32800000021"/>
    <n v="1032855.12"/>
    <n v="-0.32611814133234851"/>
    <n v="262183.14400000003"/>
    <n v="426834.424"/>
    <n v="-0.38574976792406035"/>
    <n v="125599.36800000002"/>
    <n v="147098.432"/>
    <n v="-0.1461542703595915"/>
    <n v="4526065.392"/>
    <n v="3887726.5280000004"/>
    <n v="0.16419335552606018"/>
    <n v="403807.38400000002"/>
    <n v="602947.32000000007"/>
    <n v="-0.33027750417731361"/>
    <n v="10202499.360000001"/>
    <n v="2.6584097722499589E-3"/>
    <n v="0.80701529575364106"/>
    <n v="24424"/>
  </r>
  <r>
    <x v="19"/>
    <s v="RIO GRANDE DO NORTE"/>
    <x v="1"/>
    <n v="613217.83200000005"/>
    <n v="694746.1"/>
    <n v="0.88265026892558318"/>
    <n v="133056.17600000001"/>
    <n v="193603.36"/>
    <n v="0.68726170868108905"/>
    <n v="17642.52"/>
    <n v="58238.9"/>
    <n v="0.30293360623226057"/>
    <n v="11967.079999999998"/>
    <n v="45000"/>
    <n v="0.26593511111111107"/>
    <n v="667481.01599999995"/>
    <n v="918560.92999999993"/>
    <n v="0.72665948899002264"/>
    <n v="80350.207999999999"/>
    <n v="80784.91"/>
    <n v="0.99461901981446776"/>
    <n v="2789"/>
    <n v="123"/>
    <n v="2803"/>
    <n v="0.99500535140920443"/>
    <n v="328"/>
    <n v="16"/>
    <n v="316"/>
    <n v="1.0379746835443038"/>
    <n v="7489"/>
    <n v="10564"/>
    <n v="2.6851918250268914"/>
    <n v="3.7688191223688903"/>
    <n v="2728"/>
    <n v="1592"/>
    <n v="0.58357771260997071"/>
    <n v="2723"/>
    <n v="1878"/>
    <n v="0.68968049944913701"/>
    <n v="94"/>
    <n v="0.28658536585365851"/>
    <n v="149"/>
    <n v="0.47151898734177217"/>
    <n v="760"/>
    <n v="2029"/>
    <n v="103"/>
    <n v="115"/>
    <n v="0.89565217391304353"/>
    <n v="613217.83200000005"/>
    <n v="542284.45600000012"/>
    <n v="0.13080473765229939"/>
    <n v="133056.17600000001"/>
    <n v="187485.04800000001"/>
    <n v="-0.29031046785128167"/>
    <n v="17642.52"/>
    <n v="24662.752000000004"/>
    <n v="-0.28464917459333017"/>
    <n v="11967.079999999998"/>
    <n v="14777.088000000002"/>
    <n v="-0.19015979332328559"/>
    <n v="667481.01599999995"/>
    <n v="624533.38400000008"/>
    <n v="6.8767552064117998E-2"/>
    <n v="80350.207999999999"/>
    <n v="88339.144"/>
    <n v="-9.0434835999769314E-2"/>
    <n v="1482081.8720000002"/>
    <n v="2.8090863795410925E-2"/>
    <n v="0.76532656478551631"/>
    <n v="3117"/>
  </r>
  <r>
    <x v="20"/>
    <s v="RONDÔNIA"/>
    <x v="0"/>
    <n v="318796.96000000002"/>
    <n v="357610.5"/>
    <n v="0.89146420477027388"/>
    <n v="95524.272000000026"/>
    <n v="76550.48"/>
    <n v="1.2478598697225678"/>
    <n v="15997.368000000002"/>
    <n v="34600.170000000006"/>
    <n v="0.46234940464165347"/>
    <n v="21375.360000000001"/>
    <n v="19144.309999999998"/>
    <n v="1.116538543306079"/>
    <n v="630595.15200000012"/>
    <n v="955515.52"/>
    <n v="0.65995280955771407"/>
    <n v="54991.736000000012"/>
    <n v="60161.98"/>
    <n v="0.91406127258444636"/>
    <n v="1471"/>
    <n v="85"/>
    <n v="1461.8"/>
    <n v="1.0062936106170475"/>
    <n v="246"/>
    <n v="13"/>
    <n v="241"/>
    <n v="1.0207468879668049"/>
    <n v="7167"/>
    <n v="11007"/>
    <n v="4.8721957851801498"/>
    <n v="7.5297578328088663"/>
    <n v="1459"/>
    <n v="929"/>
    <n v="0.63673749143248803"/>
    <n v="1442.8"/>
    <n v="1030"/>
    <n v="0.71388965899639589"/>
    <n v="74"/>
    <n v="0.30081300813008133"/>
    <n v="109"/>
    <n v="0.45228215767634855"/>
    <n v="638"/>
    <n v="833"/>
    <n v="95"/>
    <n v="81"/>
    <n v="1.1728395061728396"/>
    <n v="2086419.4880000001"/>
    <n v="259160.39200000002"/>
    <n v="7.0506881159525339"/>
    <n v="559744.42400000012"/>
    <n v="73843.39999999998"/>
    <n v="6.5801550849500465"/>
    <n v="228920.75200000001"/>
    <n v="19488.072"/>
    <n v="10.746711116420341"/>
    <n v="99961.304000000033"/>
    <n v="11396.088000000002"/>
    <n v="7.7715454636713943"/>
    <n v="4604214.5999999996"/>
    <n v="605838.12"/>
    <n v="6.5997439712113195"/>
    <n v="348828.86400000006"/>
    <n v="36706.439999999995"/>
    <n v="8.5032060859075447"/>
    <n v="1006432.5119999999"/>
    <n v="0.13001203204373457"/>
    <n v="0.75638051125559458"/>
    <n v="1717"/>
  </r>
  <r>
    <x v="21"/>
    <s v="RORAIMA"/>
    <x v="0"/>
    <n v="52341.72"/>
    <n v="60890.82"/>
    <n v="0.85959952583985566"/>
    <n v="10485.544"/>
    <n v="16201.14"/>
    <n v="0.6472102580435698"/>
    <n v="2350.1760000000004"/>
    <n v="6861.2"/>
    <n v="0.34253133562642107"/>
    <n v="1966.424"/>
    <n v="5896.87"/>
    <n v="0.33346911157953285"/>
    <n v="114038.064"/>
    <n v="119732.91"/>
    <n v="0.95243708684604755"/>
    <n v="5227.6720000000005"/>
    <n v="7156.77"/>
    <n v="0.7304513069443338"/>
    <n v="253"/>
    <n v="7"/>
    <n v="255"/>
    <n v="0.99215686274509807"/>
    <n v="67"/>
    <n v="4"/>
    <n v="64"/>
    <n v="1.046875"/>
    <n v="1296"/>
    <n v="1377"/>
    <n v="5.1225296442687744"/>
    <n v="5.4"/>
    <n v="245"/>
    <n v="134"/>
    <n v="0.54693877551020409"/>
    <n v="246"/>
    <n v="166"/>
    <n v="0.67479674796747968"/>
    <n v="15"/>
    <n v="0.22388059701492538"/>
    <n v="25"/>
    <n v="0.390625"/>
    <n v="97"/>
    <n v="156"/>
    <n v="6"/>
    <n v="9"/>
    <n v="0.66666666666666663"/>
    <n v="211257.05599999998"/>
    <n v="46641.024000000005"/>
    <n v="3.5294257690397179"/>
    <n v="73268.84"/>
    <n v="12742.648000000001"/>
    <n v="4.749891231398685"/>
    <n v="13751.991999999998"/>
    <n v="5423.1440000000002"/>
    <n v="1.535796947305843"/>
    <n v="15595.536000000002"/>
    <n v="390.8"/>
    <n v="38.906693961105425"/>
    <n v="492540.12"/>
    <n v="90506.040000000008"/>
    <n v="4.4420690597003247"/>
    <n v="44453.712000000007"/>
    <n v="5743.9920000000002"/>
    <n v="6.7391667676417386"/>
    <n v="161447.64800000002"/>
    <n v="0.1546132898758612"/>
    <n v="0.86006205323426899"/>
    <n v="320"/>
  </r>
  <r>
    <x v="22"/>
    <s v="RIO GRANDE DO SUL"/>
    <x v="4"/>
    <n v="4620902.7119999994"/>
    <n v="4736160.08"/>
    <n v="0.97566438506022779"/>
    <n v="911979.88800000004"/>
    <n v="1698548.27"/>
    <n v="0.53691726288120145"/>
    <n v="313537.40000000002"/>
    <n v="58238.9"/>
    <n v="5.3836422047806538"/>
    <n v="174663.88800000001"/>
    <n v="45000"/>
    <n v="3.8814197333333333"/>
    <n v="6428051.04"/>
    <n v="8793716.6199999992"/>
    <n v="0.7309822817556294"/>
    <n v="497493.54400000005"/>
    <n v="530902.67000000004"/>
    <n v="0.93707109063889249"/>
    <n v="18080"/>
    <n v="644"/>
    <n v="18256"/>
    <n v="0.9903593339176161"/>
    <n v="3292"/>
    <n v="297"/>
    <n v="3413"/>
    <n v="0.96454731907412838"/>
    <n v="73503"/>
    <n v="101133"/>
    <n v="4.0654314159292033"/>
    <n v="5.5397129710780018"/>
    <n v="17237"/>
    <n v="12096"/>
    <n v="0.70174624354586068"/>
    <n v="17104"/>
    <n v="13671"/>
    <n v="0.79928671655753036"/>
    <n v="1725"/>
    <n v="0.52399756986634261"/>
    <n v="2026"/>
    <n v="0.59361265748608261"/>
    <n v="6074"/>
    <n v="12006"/>
    <n v="593"/>
    <n v="952"/>
    <n v="0.62289915966386555"/>
    <n v="2694364.8480000002"/>
    <n v="3812972.64"/>
    <n v="-0.29336895320602141"/>
    <n v="384976.44000000012"/>
    <n v="913623.92799999996"/>
    <n v="-0.57862701687033735"/>
    <n v="89212.2"/>
    <n v="367169.76800000004"/>
    <n v="-0.75702738140466952"/>
    <n v="82448.832000000009"/>
    <n v="120971.60800000001"/>
    <n v="-0.3184447709416246"/>
    <n v="2075929.5360000001"/>
    <n v="5644247.2640000004"/>
    <n v="-0.63220435978405076"/>
    <n v="164430.37600000005"/>
    <n v="449741.05600000004"/>
    <n v="-0.6343887803741004"/>
    <n v="11308726.264"/>
    <n v="0.14483525109402184"/>
    <n v="0.81617488817796313"/>
    <n v="21372"/>
  </r>
  <r>
    <x v="23"/>
    <s v="SANTA CATARINA"/>
    <x v="4"/>
    <n v="3238796.0720000002"/>
    <n v="3316553.47"/>
    <n v="0.97655475821410476"/>
    <n v="790322.08800000011"/>
    <n v="700847.52"/>
    <n v="1.1276662404398607"/>
    <n v="212343.61600000001"/>
    <n v="341605.97"/>
    <n v="0.6216039374253326"/>
    <n v="220887.296"/>
    <n v="196070.56"/>
    <n v="1.1265704346435284"/>
    <n v="4162542.7920000004"/>
    <n v="5391545.71"/>
    <n v="0.77204998638507327"/>
    <n v="433531.25600000011"/>
    <n v="320023.28728570876"/>
    <n v="1.354686590707239"/>
    <n v="11846"/>
    <n v="497"/>
    <n v="11865"/>
    <n v="0.9983986514959966"/>
    <n v="2101"/>
    <n v="195"/>
    <n v="2159"/>
    <n v="0.97313571097730434"/>
    <n v="47797"/>
    <n v="62006"/>
    <n v="4.0348640891440146"/>
    <n v="5.2259587020648963"/>
    <n v="11612"/>
    <n v="8301"/>
    <n v="0.71486393386152258"/>
    <n v="11577"/>
    <n v="9084"/>
    <n v="0.78465923814459704"/>
    <n v="1048"/>
    <n v="0.49881009043312707"/>
    <n v="1224"/>
    <n v="0.56692913385826771"/>
    <n v="3756"/>
    <n v="8090"/>
    <n v="425"/>
    <n v="725"/>
    <n v="0.58620689655172409"/>
    <n v="3238796.0720000002"/>
    <n v="2674745.0960000004"/>
    <n v="0.21088027298134726"/>
    <n v="790322.08800000011"/>
    <n v="570018.80799999996"/>
    <n v="0.38648422983264119"/>
    <n v="212343.61600000001"/>
    <n v="241560.84000000003"/>
    <n v="-0.1209518231514678"/>
    <n v="220887.296"/>
    <n v="64965.552000000003"/>
    <n v="2.400068023742798"/>
    <n v="4162542.7920000004"/>
    <n v="3894331.9920000006"/>
    <n v="6.8872094251588356E-2"/>
    <n v="433531.25600000005"/>
    <n v="303518.3520000003"/>
    <n v="0.42835269479849969"/>
    <n v="7749140.6400000006"/>
    <n v="0.16895840981923382"/>
    <n v="0.88231567189427917"/>
    <n v="13947"/>
  </r>
  <r>
    <x v="24"/>
    <s v="SERGIPE"/>
    <x v="1"/>
    <n v="373056.95200000005"/>
    <n v="437802.01"/>
    <n v="0.8521133833990393"/>
    <n v="104584.488"/>
    <n v="73005.62"/>
    <n v="1.4325539321493332"/>
    <n v="13940.447999999999"/>
    <n v="58238.9"/>
    <n v="0.23936660891603376"/>
    <n v="14064.192000000003"/>
    <n v="45000"/>
    <n v="0.31253760000000008"/>
    <n v="588319.29599999997"/>
    <n v="648401.06000000006"/>
    <n v="0.9073385783792518"/>
    <n v="51082.696000000011"/>
    <n v="47526.63"/>
    <n v="1.0748225994563472"/>
    <n v="1659"/>
    <n v="96"/>
    <n v="1701"/>
    <n v="0.97530864197530864"/>
    <n v="195"/>
    <n v="15"/>
    <n v="201"/>
    <n v="0.97014925373134331"/>
    <n v="6702"/>
    <n v="7457"/>
    <n v="4.0397830018083178"/>
    <n v="4.3838918283362727"/>
    <n v="1631"/>
    <n v="985"/>
    <n v="0.60392397302268552"/>
    <n v="1667"/>
    <n v="1194"/>
    <n v="0.71625674865026989"/>
    <n v="93"/>
    <n v="0.47692307692307695"/>
    <n v="122"/>
    <n v="0.60696517412935325"/>
    <n v="635"/>
    <n v="1024"/>
    <n v="100"/>
    <n v="103"/>
    <n v="0.970873786407767"/>
    <n v="6743433.8560000006"/>
    <n v="339730.89599999995"/>
    <n v="18.849339390080086"/>
    <n v="1983188.5999999996"/>
    <n v="141962.75999999998"/>
    <n v="12.96978052554064"/>
    <n v="582202.19200000004"/>
    <n v="20958.64"/>
    <n v="26.778624567242915"/>
    <n v="611816.19999999995"/>
    <n v="10046.512000000001"/>
    <n v="59.898369503764087"/>
    <n v="16396714.608000001"/>
    <n v="537346.41600000008"/>
    <n v="29.514234616203336"/>
    <n v="1557509.4659999998"/>
    <n v="56690.511999999995"/>
    <n v="26.473900147523803"/>
    <n v="1106735.736"/>
    <n v="3.4617420178794989E-2"/>
    <n v="0.87409969945820765"/>
    <n v="1854"/>
  </r>
  <r>
    <x v="25"/>
    <s v="SÃO PAULO"/>
    <x v="3"/>
    <n v="15713904.039999999"/>
    <n v="16795375.52"/>
    <n v="0.93560897291565881"/>
    <n v="3383206.9999999995"/>
    <n v="4054515.912"/>
    <n v="0.83442933100517558"/>
    <n v="844056.89599999995"/>
    <n v="1218522.2080000001"/>
    <n v="0.69268897231292803"/>
    <n v="847348"/>
    <n v="507349.61600000004"/>
    <n v="1.6701461344951525"/>
    <n v="23228301.120000005"/>
    <n v="31198029.792000003"/>
    <n v="0.74454384699499043"/>
    <n v="2248403.6339999996"/>
    <n v="2200201.1920000003"/>
    <n v="1.0219081973845232"/>
    <n v="66788"/>
    <n v="1776"/>
    <n v="67463"/>
    <n v="0.98999451551220674"/>
    <n v="8410"/>
    <n v="365"/>
    <n v="8228"/>
    <n v="1.0221195916383081"/>
    <n v="265567"/>
    <n v="358796"/>
    <n v="3.976268191890759"/>
    <n v="5.3184115737515381"/>
    <n v="62629"/>
    <n v="40448"/>
    <n v="0.64583499656708554"/>
    <n v="63084"/>
    <n v="46118"/>
    <n v="0.73105700336059853"/>
    <n v="4432"/>
    <n v="0.52699167657550539"/>
    <n v="4832"/>
    <n v="0.58726300437530388"/>
    <n v="24494"/>
    <n v="42294"/>
    <n v="1375"/>
    <n v="2709"/>
    <n v="0.50756736803248426"/>
    <n v="9343527.1360000018"/>
    <n v="14365482.448000001"/>
    <n v="-0.34958486985580972"/>
    <n v="1504602.8880000005"/>
    <n v="4118164.5599999996"/>
    <n v="-0.63464235921645629"/>
    <n v="275795.15199999994"/>
    <n v="1193124.4480000001"/>
    <n v="-0.76884628216083628"/>
    <n v="249595.99200000003"/>
    <n v="589577.81600000011"/>
    <n v="-0.57665301300956684"/>
    <n v="7419905.8079999993"/>
    <n v="20298903.335999999"/>
    <n v="-0.63446765151884654"/>
    <n v="741976.86400000018"/>
    <n v="2356331.8820000021"/>
    <n v="-0.68511359979977571"/>
    <n v="42921584.489999995"/>
    <n v="7.790104302367995E-2"/>
    <n v="0.82654849485331283"/>
    <n v="75198"/>
  </r>
  <r>
    <x v="26"/>
    <s v="TOCANTINS"/>
    <x v="0"/>
    <n v="196633.19999999998"/>
    <n v="228245"/>
    <n v="0.8615005805165501"/>
    <n v="38199.704000000012"/>
    <n v="50794.41"/>
    <n v="0.75204543177093719"/>
    <n v="10895.152000000002"/>
    <n v="58238.9"/>
    <n v="0.18707688503732045"/>
    <n v="15569.232"/>
    <n v="45000"/>
    <n v="0.34598293333333335"/>
    <n v="351383.68800000002"/>
    <n v="499713.14999999997"/>
    <n v="0.70317078507940012"/>
    <n v="26745.144"/>
    <n v="36281.89"/>
    <n v="0.73714858845556286"/>
    <n v="933"/>
    <n v="64"/>
    <n v="923"/>
    <n v="1.0108342361863489"/>
    <n v="234"/>
    <n v="17"/>
    <n v="241"/>
    <n v="0.97095435684647302"/>
    <n v="3990"/>
    <n v="5747"/>
    <n v="4.276527331189711"/>
    <n v="6.2264355362946908"/>
    <n v="918"/>
    <n v="551"/>
    <n v="0.60021786492374729"/>
    <n v="904"/>
    <n v="639"/>
    <n v="0.70685840707964598"/>
    <n v="65"/>
    <n v="0.27777777777777779"/>
    <n v="100"/>
    <n v="0.41493775933609961"/>
    <n v="365"/>
    <n v="568"/>
    <n v="68"/>
    <n v="80"/>
    <n v="0.85"/>
    <n v="196633.19999999998"/>
    <n v="172196.05600000004"/>
    <n v="0.14191465569919859"/>
    <n v="38199.704000000012"/>
    <n v="55167.88"/>
    <n v="-0.30757346484947379"/>
    <n v="10895.152000000002"/>
    <n v="15479.632"/>
    <n v="-0.2961620793052443"/>
    <n v="15569.232"/>
    <n v="10666.264000000003"/>
    <n v="0.45967060256524639"/>
    <n v="351383.68800000002"/>
    <n v="325596.13600000006"/>
    <n v="7.9201038184310457E-2"/>
    <n v="26745.144"/>
    <n v="24428.072000000015"/>
    <n v="9.4852839798408306E-2"/>
    <n v="603534.04000000015"/>
    <n v="5.9469851940745277E-2"/>
    <n v="0.69633526879550622"/>
    <n v="1167"/>
  </r>
  <r>
    <x v="27"/>
    <s v="BRASIL"/>
    <x v="5"/>
    <n v="12651720.517999999"/>
    <n v="13589407.380000001"/>
    <n v="0.93099869363103882"/>
    <n v="2738177.6740000001"/>
    <n v="3338414.43"/>
    <n v="0.82020304291579516"/>
    <n v="685521.84999999986"/>
    <n v="1186094.26"/>
    <n v="0.57796574279012181"/>
    <n v="564953.40800000005"/>
    <n v="592289.79"/>
    <n v="0.95384627177179604"/>
    <n v="16632785.092000002"/>
    <n v="21638045.420000002"/>
    <n v="0.76868241882080313"/>
    <n v="1599088.9460000002"/>
    <n v="1608349.5"/>
    <n v="0.99424220046700063"/>
    <n v="215705"/>
    <n v="8236"/>
    <n v="217280.8"/>
    <n v="0.99274763347704909"/>
    <n v="30981"/>
    <n v="1863"/>
    <n v="31610"/>
    <n v="0.98010123378677638"/>
    <n v="758130"/>
    <n v="995758"/>
    <n v="3.5146612271389164"/>
    <n v="4.5828163372005264"/>
    <n v="203634"/>
    <n v="132630"/>
    <n v="0.65131559562744923"/>
    <n v="203796.8"/>
    <n v="150195"/>
    <n v="0.73698409396025855"/>
    <n v="14640"/>
    <n v="0.47254769051999612"/>
    <n v="17427"/>
    <n v="0.55131287567225562"/>
    <n v="75981"/>
    <n v="139724"/>
    <n v="6593"/>
    <n v="10272"/>
    <n v="0.64184190031152644"/>
    <n v="12651720.518000001"/>
    <n v="11180315.202"/>
    <n v="0.13160678294085915"/>
    <n v="2738177.6740000001"/>
    <n v="3078225.3859999999"/>
    <n v="-0.11046875045166038"/>
    <n v="685521.85000000009"/>
    <n v="952668.64800000016"/>
    <n v="-0.28041942868681458"/>
    <n v="564953.40800000005"/>
    <n v="414771.02400000003"/>
    <n v="0.36208504285487408"/>
    <n v="16632785.092000002"/>
    <n v="14795912.668000001"/>
    <n v="0.12414728751222714"/>
    <n v="1599088.9460000002"/>
    <n v="1585563.6520000007"/>
    <n v="8.5302750116269532E-3"/>
    <n v="32007456.580000006"/>
    <n v="8.9503859853396595E-2"/>
    <n v="0.83122969350268738"/>
    <n v="24668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7">
  <r>
    <x v="0"/>
    <x v="0"/>
    <x v="0"/>
    <n v="145826.93599999999"/>
    <n v="173232.09"/>
    <n v="0.84180093884452922"/>
    <n v="65148.808000000005"/>
    <n v="65999.62"/>
    <n v="0.98710883486904943"/>
    <n v="11480.128000000001"/>
    <n v="22368.199999999997"/>
    <n v="0.5132343237274346"/>
    <n v="6094.0479999999998"/>
    <n v="10405.58"/>
    <n v="0.58565192906113839"/>
    <n v="199212.12000000002"/>
    <n v="247987.1"/>
    <n v="0.80331646283213931"/>
    <n v="30779.920000000002"/>
    <n v="28255.510000000002"/>
    <n v="1.0893422203315388"/>
    <n v="739"/>
    <n v="53"/>
    <n v="720"/>
    <n v="1.0263888888888888"/>
    <n v="165"/>
    <n v="13"/>
    <n v="172"/>
    <n v="0.95930232558139539"/>
    <n v="2236"/>
    <n v="2852"/>
    <n v="3.0257104194857916"/>
    <n v="3.9611111111111112"/>
    <n v="732"/>
    <n v="398"/>
    <n v="0.54371584699453557"/>
    <n v="709"/>
    <n v="481"/>
    <n v="0.67842031029619176"/>
    <n v="53"/>
    <n v="0.32121212121212123"/>
    <n v="83"/>
    <n v="0.48255813953488375"/>
    <n v="386"/>
    <n v="353"/>
    <n v="34"/>
    <n v="43"/>
    <n v="0.79069767441860461"/>
    <n v="145826.93599999999"/>
    <n v="126924.16000000002"/>
    <n v="0.14892969155754088"/>
    <n v="65148.808000000005"/>
    <n v="37310.880000000005"/>
    <n v="0.74610751609182091"/>
    <n v="11480.128000000001"/>
    <n v="13298.240000000002"/>
    <n v="-0.13671824241403374"/>
    <n v="6094.0479999999998"/>
    <n v="6081.9120000000003"/>
    <n v="1.9954251228888609E-3"/>
    <n v="199212.12000000002"/>
    <n v="188984.06400000001"/>
    <n v="5.4121261780040841E-2"/>
    <n v="30779.920000000002"/>
    <n v="23589.896000000004"/>
    <n v="0.30479252642741606"/>
    <n v="396189.15200000006"/>
    <n v="0.15738141159402552"/>
    <n v="0.83637674257329853"/>
    <n v="904"/>
  </r>
  <r>
    <x v="1"/>
    <x v="1"/>
    <x v="1"/>
    <n v="495176.54400000005"/>
    <n v="558689.82999999996"/>
    <n v="0.88631744737504903"/>
    <n v="121918.88799999999"/>
    <n v="123638.42"/>
    <n v="0.98609225190681016"/>
    <n v="11320.248000000001"/>
    <n v="21671.61"/>
    <n v="0.52235380758513106"/>
    <n v="6046.6240000000007"/>
    <n v="22976.79"/>
    <n v="0.26316226069873122"/>
    <n v="605895.28800000006"/>
    <n v="671443.34000000008"/>
    <n v="0.90237738898415465"/>
    <n v="56039.432000000001"/>
    <n v="65757.320000000007"/>
    <n v="0.8522158749778731"/>
    <n v="2222"/>
    <n v="134"/>
    <n v="2206"/>
    <n v="1.0072529465095195"/>
    <n v="181"/>
    <n v="11"/>
    <n v="174"/>
    <n v="1.0402298850574712"/>
    <n v="6861"/>
    <n v="7722"/>
    <n v="3.087758775877588"/>
    <n v="3.5004533091568448"/>
    <n v="2161"/>
    <n v="1301"/>
    <n v="0.60203609440074035"/>
    <n v="2118"/>
    <n v="1536"/>
    <n v="0.72521246458923516"/>
    <n v="64"/>
    <n v="0.35359116022099446"/>
    <n v="85"/>
    <n v="0.4885057471264368"/>
    <n v="596"/>
    <n v="1626"/>
    <n v="90"/>
    <n v="116"/>
    <n v="0.77586206896551724"/>
    <n v="495176.54400000005"/>
    <n v="452815.54400000005"/>
    <n v="9.355023377907723E-2"/>
    <n v="121918.88799999999"/>
    <n v="198247.984"/>
    <n v="-0.38501827085414397"/>
    <n v="11320.248000000001"/>
    <n v="21222.544000000002"/>
    <n v="-0.46659326044983107"/>
    <n v="6046.6240000000007"/>
    <n v="9239.232"/>
    <n v="-0.3455490672817827"/>
    <n v="605895.28799999994"/>
    <n v="550504.37600000016"/>
    <n v="0.10061847719081496"/>
    <n v="56039.432000000001"/>
    <n v="78143.071999999986"/>
    <n v="-0.28286116010386675"/>
    <n v="1310172.7520000001"/>
    <n v="-1.0514436343582179E-2"/>
    <n v="0.88540985790853433"/>
    <n v="2403"/>
  </r>
  <r>
    <x v="2"/>
    <x v="2"/>
    <x v="0"/>
    <n v="422608.95200000005"/>
    <n v="564760.02"/>
    <n v="0.74829828074586446"/>
    <n v="98081.751999999993"/>
    <n v="146693.6"/>
    <n v="0.66861643589086361"/>
    <n v="15599.032000000003"/>
    <n v="38358.76"/>
    <n v="0.40666152920480231"/>
    <n v="13587.808000000003"/>
    <n v="25790.080000000002"/>
    <n v="0.52686180112663483"/>
    <n v="544278.62400000007"/>
    <n v="677529.99"/>
    <n v="0.80332772280677944"/>
    <n v="55253.258000000023"/>
    <n v="64497.72"/>
    <n v="0.85666994120102269"/>
    <n v="2353"/>
    <n v="252"/>
    <n v="2347"/>
    <n v="1.0025564550489987"/>
    <n v="308"/>
    <n v="47"/>
    <n v="292"/>
    <n v="1.0547945205479452"/>
    <n v="6159"/>
    <n v="7792"/>
    <n v="2.6175095622609437"/>
    <n v="3.3199829569663399"/>
    <n v="2338"/>
    <n v="1099"/>
    <n v="0.47005988023952094"/>
    <n v="2329"/>
    <n v="1473"/>
    <n v="0.63246028338342641"/>
    <n v="83"/>
    <n v="0.26948051948051949"/>
    <n v="143"/>
    <n v="0.48972602739726029"/>
    <n v="944"/>
    <n v="1409"/>
    <n v="79"/>
    <n v="94"/>
    <n v="0.84042553191489366"/>
    <n v="269696.29600000003"/>
    <n v="389751.56799999997"/>
    <n v="-0.30803024761660469"/>
    <n v="73180.160000000003"/>
    <n v="137768.06400000004"/>
    <n v="-0.46881622724988004"/>
    <n v="14871.848000000002"/>
    <n v="23957.4"/>
    <n v="-0.37923781378613697"/>
    <n v="11852.28"/>
    <n v="10993.576000000001"/>
    <n v="7.8109616015753058E-2"/>
    <n v="366750.54399999994"/>
    <n v="456720.92800000001"/>
    <n v="-0.19699203273645494"/>
    <n v="42090.880000000012"/>
    <n v="72208.928"/>
    <n v="-0.41709590260085272"/>
    <n v="1091400.4640000002"/>
    <n v="5.3150941302879895E-2"/>
    <n v="0.7573712283276498"/>
    <n v="2661"/>
  </r>
  <r>
    <x v="3"/>
    <x v="3"/>
    <x v="0"/>
    <n v="158351.24799999999"/>
    <n v="193991.7"/>
    <n v="0.81627846964586626"/>
    <n v="56174.168000000005"/>
    <n v="70623.45"/>
    <n v="0.79540390620962309"/>
    <n v="15336.248"/>
    <n v="30504.54"/>
    <n v="0.5027529672632336"/>
    <n v="13836.183999999999"/>
    <n v="29503.100000000002"/>
    <n v="0.4689739044371608"/>
    <n v="280687.79200000002"/>
    <n v="311896.82"/>
    <n v="0.89993797307712209"/>
    <n v="37415.800000000003"/>
    <n v="34372.410000000003"/>
    <n v="1.0885416530292755"/>
    <n v="886"/>
    <n v="55"/>
    <n v="883"/>
    <n v="1.0033975084937712"/>
    <n v="336"/>
    <n v="29"/>
    <n v="350"/>
    <n v="0.96"/>
    <n v="3083"/>
    <n v="3587"/>
    <n v="3.479683972911964"/>
    <n v="4.062287655719139"/>
    <n v="881"/>
    <n v="417"/>
    <n v="0.47332576617480138"/>
    <n v="877"/>
    <n v="518"/>
    <n v="0.59064994298745721"/>
    <n v="82"/>
    <n v="0.24404761904761904"/>
    <n v="110"/>
    <n v="0.31428571428571428"/>
    <n v="481"/>
    <n v="405"/>
    <n v="35"/>
    <n v="30"/>
    <n v="1.1666666666666667"/>
    <n v="311263.90399999998"/>
    <n v="135081.76"/>
    <n v="1.3042630181898724"/>
    <n v="81075.759999999995"/>
    <n v="57580.024000000005"/>
    <n v="0.40805359858828805"/>
    <n v="16063.432000000003"/>
    <n v="20964.736000000001"/>
    <n v="-0.23378801431127005"/>
    <n v="15571.712000000001"/>
    <n v="9705.1440000000002"/>
    <n v="0.60448026325008697"/>
    <n v="458215.87200000003"/>
    <n v="234633.38399999999"/>
    <n v="0.95290143366810942"/>
    <n v="50578.178"/>
    <n v="26222.200000000008"/>
    <n v="0.92883045663597952"/>
    <n v="484187.24800000002"/>
    <n v="0.16029788541642898"/>
    <n v="0.83739472709781237"/>
    <n v="1222"/>
  </r>
  <r>
    <x v="4"/>
    <x v="4"/>
    <x v="1"/>
    <n v="1530239.888"/>
    <n v="1725578.28"/>
    <n v="0.88679830161051865"/>
    <n v="289451.016"/>
    <n v="369690.77"/>
    <n v="0.78295440267551175"/>
    <n v="66782.296000000002"/>
    <n v="167980.98"/>
    <n v="0.39755867598819816"/>
    <n v="53345.688000000002"/>
    <n v="99609.25"/>
    <n v="0.53554953982687348"/>
    <n v="1776444.1440000001"/>
    <n v="1628784.86"/>
    <n v="1.0906561005239206"/>
    <n v="169066.712"/>
    <n v="160121"/>
    <n v="1.055868449485077"/>
    <n v="7444"/>
    <n v="348"/>
    <n v="7436"/>
    <n v="1.0010758472296934"/>
    <n v="1068"/>
    <n v="46"/>
    <n v="1140"/>
    <n v="0.93684210526315792"/>
    <n v="20099"/>
    <n v="18732"/>
    <n v="2.7000268672756582"/>
    <n v="2.5190962883270576"/>
    <n v="6690"/>
    <n v="4179"/>
    <n v="0.62466367713004489"/>
    <n v="6633"/>
    <n v="4840"/>
    <n v="0.72968490878938641"/>
    <n v="357"/>
    <n v="0.3342696629213483"/>
    <n v="568"/>
    <n v="0.49824561403508771"/>
    <n v="2749"/>
    <n v="4695"/>
    <n v="257"/>
    <n v="388"/>
    <n v="0.66237113402061853"/>
    <n v="1530239.888"/>
    <n v="1379175.9440000001"/>
    <n v="0.1095320322669433"/>
    <n v="289451.016"/>
    <n v="378812.96799999999"/>
    <n v="-0.23589992832557938"/>
    <n v="66782.296000000002"/>
    <n v="106338.40000000001"/>
    <n v="-0.37198325346253092"/>
    <n v="53345.688000000002"/>
    <n v="40606.344000000005"/>
    <n v="0.3137279238928774"/>
    <n v="1776444.1440000003"/>
    <n v="1484676.5280000002"/>
    <n v="0.19651931615908191"/>
    <n v="169066.71200000003"/>
    <n v="192743.11199999999"/>
    <n v="-0.12283914975908439"/>
    <n v="3582353.2960000006"/>
    <n v="8.4574697961336875E-2"/>
    <n v="0.93582599520549947"/>
    <n v="8512"/>
  </r>
  <r>
    <x v="5"/>
    <x v="5"/>
    <x v="1"/>
    <n v="1083541.3440000003"/>
    <n v="1150209.6499999999"/>
    <n v="0.94203812670151077"/>
    <n v="298626.2"/>
    <n v="211350.33000000002"/>
    <n v="1.4129440914523295"/>
    <n v="39283.168000000005"/>
    <n v="83922"/>
    <n v="0.4680914182216821"/>
    <n v="56357.911999999997"/>
    <n v="56778.33"/>
    <n v="0.99259544970766123"/>
    <n v="1117589.5920000002"/>
    <n v="1064727.24"/>
    <n v="1.0496487269359243"/>
    <n v="177476.24000000005"/>
    <n v="110694.43000000001"/>
    <n v="1.6032987386989574"/>
    <n v="4757"/>
    <n v="324"/>
    <n v="4756"/>
    <n v="1.000210260723297"/>
    <n v="470"/>
    <n v="18"/>
    <n v="499"/>
    <n v="0.94188376753507019"/>
    <n v="12660"/>
    <n v="12245"/>
    <n v="2.6613411814168595"/>
    <n v="2.5746425567703954"/>
    <n v="4584"/>
    <n v="3080"/>
    <n v="0.67190226876090753"/>
    <n v="4570"/>
    <n v="3326"/>
    <n v="0.7277899343544858"/>
    <n v="226"/>
    <n v="0.48085106382978721"/>
    <n v="287"/>
    <n v="0.57515030060120242"/>
    <n v="1847"/>
    <n v="2910"/>
    <n v="280"/>
    <n v="414"/>
    <n v="0.67632850241545894"/>
    <n v="1083541.3440000003"/>
    <n v="874640.304"/>
    <n v="0.23884222925084897"/>
    <n v="298626.2"/>
    <n v="174492.83999999997"/>
    <n v="0.71139514950871385"/>
    <n v="39283.168000000005"/>
    <n v="50366.872000000003"/>
    <n v="-0.22005940730248241"/>
    <n v="56357.911999999997"/>
    <n v="19461.52"/>
    <n v="1.895863837973601"/>
    <n v="1117589.5920000002"/>
    <n v="907609.73599999992"/>
    <n v="0.23135478573138646"/>
    <n v="177476.24"/>
    <n v="101811.81600000004"/>
    <n v="0.74317920033957474"/>
    <n v="2128383.088"/>
    <n v="0.30280797269706583"/>
    <n v="1.0355503292441026"/>
    <n v="5227"/>
  </r>
  <r>
    <x v="6"/>
    <x v="6"/>
    <x v="2"/>
    <n v="1684099.824"/>
    <n v="1763978.32"/>
    <n v="0.95471684935447498"/>
    <n v="456786.24000000011"/>
    <n v="394786.83999999997"/>
    <n v="1.1570452551052617"/>
    <n v="68091.248000000007"/>
    <n v="117069.78"/>
    <n v="0.58162958878029847"/>
    <n v="49406.168000000005"/>
    <n v="65835.459999999992"/>
    <n v="0.75044919561585821"/>
    <n v="1207770.504"/>
    <n v="1640958.15"/>
    <n v="0.73601542123423447"/>
    <n v="241606.20800000007"/>
    <n v="176003.27000000002"/>
    <n v="1.3727370406243022"/>
    <n v="6772"/>
    <n v="183"/>
    <n v="6854"/>
    <n v="0.98803618325065656"/>
    <n v="833"/>
    <n v="28"/>
    <n v="924"/>
    <n v="0.90151515151515149"/>
    <n v="13599"/>
    <n v="18872"/>
    <n v="2.0081216774955699"/>
    <n v="2.7534286548001168"/>
    <n v="6348"/>
    <n v="4273"/>
    <n v="0.67312539382482672"/>
    <n v="6327"/>
    <n v="4671"/>
    <n v="0.73826458036984355"/>
    <n v="379"/>
    <n v="0.45498199279711887"/>
    <n v="459"/>
    <n v="0.49675324675324678"/>
    <n v="2392"/>
    <n v="4380"/>
    <n v="178"/>
    <n v="279"/>
    <n v="0.63799283154121866"/>
    <n v="1684099.824"/>
    <n v="1417913.216"/>
    <n v="0.18773124123274965"/>
    <n v="456786.24000000011"/>
    <n v="362184.47200000001"/>
    <n v="0.2611977467659079"/>
    <n v="68091.248000000007"/>
    <n v="86133.104000000007"/>
    <n v="-0.20946483015403694"/>
    <n v="49406.168000000005"/>
    <n v="29542.183999999994"/>
    <n v="0.67239388936173494"/>
    <n v="1207770.504"/>
    <n v="1140917.504"/>
    <n v="5.8595822893080962E-2"/>
    <n v="241606.20800000001"/>
    <n v="178165.64800000004"/>
    <n v="0.35607627346883364"/>
    <n v="3214856.128"/>
    <n v="0.15332072241336703"/>
    <n v="0.89158173949623665"/>
    <n v="7605"/>
  </r>
  <r>
    <x v="7"/>
    <x v="7"/>
    <x v="3"/>
    <n v="1328322.0480000002"/>
    <n v="1418616.52"/>
    <n v="0.93635033095483777"/>
    <n v="186104.20799999998"/>
    <n v="230979.35"/>
    <n v="0.80571794837936805"/>
    <n v="55261.768000000011"/>
    <n v="99098.45"/>
    <n v="0.55764512966650859"/>
    <n v="26724.248"/>
    <n v="20060.740000000002"/>
    <n v="1.3321666100054135"/>
    <n v="1183466.9040000001"/>
    <n v="1537311.36"/>
    <n v="0.76982902409567833"/>
    <n v="116437.768"/>
    <n v="125197.05"/>
    <n v="0.93003603519411993"/>
    <n v="4136"/>
    <n v="245"/>
    <n v="4185"/>
    <n v="0.9882915173237754"/>
    <n v="493"/>
    <n v="15"/>
    <n v="484"/>
    <n v="1.0185950413223142"/>
    <n v="13420"/>
    <n v="17680"/>
    <n v="3.2446808510638299"/>
    <n v="4.2246117084826764"/>
    <n v="4064"/>
    <n v="3428"/>
    <n v="0.84350393700787396"/>
    <n v="4090"/>
    <n v="3974"/>
    <n v="0.97163814180929098"/>
    <n v="313"/>
    <n v="0.63488843813387419"/>
    <n v="369"/>
    <n v="0.76239669421487599"/>
    <n v="1090"/>
    <n v="3046"/>
    <n v="141"/>
    <n v="124"/>
    <n v="1.1370967741935485"/>
    <n v="1328322.0480000002"/>
    <n v="1072032.344"/>
    <n v="0.23906900331357916"/>
    <n v="186104.20799999998"/>
    <n v="150495.45599999998"/>
    <n v="0.23661014721932871"/>
    <n v="55261.768000000011"/>
    <n v="82272.736000000004"/>
    <n v="-0.3283100734610308"/>
    <n v="26724.248"/>
    <n v="20292.039999999997"/>
    <n v="0.31698183129936686"/>
    <n v="1183466.9040000001"/>
    <n v="1028768.6"/>
    <n v="0.15037230335373786"/>
    <n v="116437.76800000001"/>
    <n v="116018.86400000002"/>
    <n v="3.6106542122322782E-3"/>
    <n v="2469880.04"/>
    <n v="0.17265490513458293"/>
    <n v="0.84409634215585327"/>
    <n v="4629"/>
  </r>
  <r>
    <x v="8"/>
    <x v="8"/>
    <x v="2"/>
    <n v="1257495.4879999999"/>
    <n v="1363273.97"/>
    <n v="0.92240849284315163"/>
    <n v="367743.88"/>
    <n v="317093.52"/>
    <n v="1.1597331916464266"/>
    <n v="55147.136000000006"/>
    <n v="80298.62"/>
    <n v="0.68677563823637333"/>
    <n v="48030.840000000004"/>
    <n v="111529.82"/>
    <n v="0.43065468948125263"/>
    <n v="2215098.432"/>
    <n v="2884284.79"/>
    <n v="0.76798880598749752"/>
    <n v="186443.27200000003"/>
    <n v="153353.85999999999"/>
    <n v="1.2157716277894801"/>
    <n v="5405"/>
    <n v="300"/>
    <n v="5373"/>
    <n v="1.0059557044481668"/>
    <n v="773"/>
    <n v="55"/>
    <n v="811"/>
    <n v="0.95314426633785454"/>
    <n v="25310"/>
    <n v="33171"/>
    <n v="4.6827012025901942"/>
    <n v="6.1736460078168625"/>
    <n v="5211"/>
    <n v="3328"/>
    <n v="0.63864901170600652"/>
    <n v="5137"/>
    <n v="3697"/>
    <n v="0.71968074751800659"/>
    <n v="301"/>
    <n v="0.38939197930142305"/>
    <n v="329"/>
    <n v="0.40567200986436497"/>
    <n v="1701"/>
    <n v="3704"/>
    <n v="188"/>
    <n v="310"/>
    <n v="0.6064516129032258"/>
    <n v="1257495.4879999999"/>
    <n v="1052483.152"/>
    <n v="0.19478918556598424"/>
    <n v="367743.88"/>
    <n v="313531.81599999999"/>
    <n v="0.17290769623201507"/>
    <n v="55147.136000000006"/>
    <n v="86101.847999999998"/>
    <n v="-0.35951274820489332"/>
    <n v="48030.840000000004"/>
    <n v="32641.264000000003"/>
    <n v="0.47147610460183165"/>
    <n v="2215098.432"/>
    <n v="1994112.4800000002"/>
    <n v="0.11081920113152277"/>
    <n v="186443.272"/>
    <n v="155691.39999999994"/>
    <n v="0.197518115965301"/>
    <n v="3634561.96"/>
    <n v="0.13630173139213708"/>
    <n v="0.84116052805999009"/>
    <n v="6178"/>
  </r>
  <r>
    <x v="9"/>
    <x v="9"/>
    <x v="1"/>
    <n v="419525.04"/>
    <n v="512036.4"/>
    <n v="0.81932659474990444"/>
    <n v="97415.056000000026"/>
    <n v="165818.14000000001"/>
    <n v="0.58748129728146758"/>
    <n v="17735.112000000001"/>
    <n v="40883.160000000003"/>
    <n v="0.43379993131646377"/>
    <n v="13639.152000000002"/>
    <n v="50933.57"/>
    <n v="0.26778315362539878"/>
    <n v="529810.22399999993"/>
    <n v="489800.62"/>
    <n v="1.0816854907206934"/>
    <n v="52473.191999999995"/>
    <n v="44648.26"/>
    <n v="1.1752572664645833"/>
    <n v="2252"/>
    <n v="171"/>
    <n v="2191"/>
    <n v="1.0278411684162483"/>
    <n v="329"/>
    <n v="29"/>
    <n v="340"/>
    <n v="0.96764705882352942"/>
    <n v="5965"/>
    <n v="5633"/>
    <n v="2.6487566607460034"/>
    <n v="2.5709721588315837"/>
    <n v="2227"/>
    <n v="1145"/>
    <n v="0.51414458913336325"/>
    <n v="2163"/>
    <n v="1388"/>
    <n v="0.64170134073046692"/>
    <n v="96"/>
    <n v="0.2917933130699088"/>
    <n v="135"/>
    <n v="0.39705882352941174"/>
    <n v="887"/>
    <n v="1365"/>
    <n v="91"/>
    <n v="137"/>
    <n v="0.66423357664233573"/>
    <n v="419525.04"/>
    <n v="369740.90399999998"/>
    <n v="0.13464600605833965"/>
    <n v="97415.056000000026"/>
    <n v="122393.83200000001"/>
    <n v="-0.20408525161627411"/>
    <n v="17735.112000000001"/>
    <n v="23559.696000000004"/>
    <n v="-0.24722661956249359"/>
    <n v="13639.152000000002"/>
    <n v="13940.528000000004"/>
    <n v="-2.1618693352217555E-2"/>
    <n v="529810.22400000005"/>
    <n v="454013.272"/>
    <n v="0.16694875827330447"/>
    <n v="52473.19200000001"/>
    <n v="59868.928000000007"/>
    <n v="-0.12353212671521352"/>
    <n v="1043517.1599999999"/>
    <n v="8.3449146154913167E-2"/>
    <n v="0.8669429546042976"/>
    <n v="2581"/>
  </r>
  <r>
    <x v="10"/>
    <x v="10"/>
    <x v="3"/>
    <n v="4564030.3279999997"/>
    <n v="4794475.05"/>
    <n v="0.95193535901287041"/>
    <n v="956042.51199999999"/>
    <n v="723080.07"/>
    <n v="1.3221806984667688"/>
    <n v="185987.48800000001"/>
    <n v="366538.9"/>
    <n v="0.5074154148440998"/>
    <n v="175841.04800000004"/>
    <n v="109991.88"/>
    <n v="1.5986729929518437"/>
    <n v="4189608.3680000002"/>
    <n v="5364068.88"/>
    <n v="0.78105044169380622"/>
    <n v="497634.47200000001"/>
    <n v="524881.82000000007"/>
    <n v="0.94808860402137751"/>
    <n v="17877"/>
    <n v="632"/>
    <n v="18589"/>
    <n v="0.96169777825595781"/>
    <n v="2035"/>
    <n v="144"/>
    <n v="2127"/>
    <n v="0.95674659144334739"/>
    <n v="47515"/>
    <n v="61690"/>
    <n v="2.6578844325110476"/>
    <n v="3.3186292968960136"/>
    <n v="17230"/>
    <n v="11631"/>
    <n v="0.67504352872896112"/>
    <n v="17880"/>
    <n v="13411"/>
    <n v="0.75005592841163315"/>
    <n v="1071"/>
    <n v="0.52628992628992632"/>
    <n v="1408"/>
    <n v="0.66196520921485658"/>
    <n v="5417"/>
    <n v="12460"/>
    <n v="632"/>
    <n v="797"/>
    <n v="0.79297365119196994"/>
    <n v="3100071.3280000002"/>
    <n v="3875235.3840000005"/>
    <n v="-0.20003018634699798"/>
    <n v="490125.58399999997"/>
    <n v="1141704.456"/>
    <n v="-0.57070712878079544"/>
    <n v="110797.296"/>
    <n v="298078.41599999997"/>
    <n v="-0.62829480414308159"/>
    <n v="84048.751999999993"/>
    <n v="141826.36799999999"/>
    <n v="-0.40738275128077739"/>
    <n v="2818462.2800000003"/>
    <n v="3698718.1439999999"/>
    <n v="-0.2379894411332576"/>
    <n v="226677.17600000001"/>
    <n v="519842.40799999994"/>
    <n v="-0.56395020392410911"/>
    <n v="9675405.1760000009"/>
    <n v="9.2372259739254448E-2"/>
    <n v="0.8894312600198504"/>
    <n v="19912"/>
  </r>
  <r>
    <x v="11"/>
    <x v="11"/>
    <x v="2"/>
    <n v="748928.61599999992"/>
    <n v="844523.85"/>
    <n v="0.8868057616134819"/>
    <n v="222159.36000000004"/>
    <n v="293680.92"/>
    <n v="0.75646507781302252"/>
    <n v="40397.024000000005"/>
    <n v="87773.540000000008"/>
    <n v="0.46024148051907215"/>
    <n v="55803.000000000015"/>
    <n v="64930.83"/>
    <n v="0.8594222498002877"/>
    <n v="1425865.368"/>
    <n v="2068501.13"/>
    <n v="0.68932298238580125"/>
    <n v="160039.69600000003"/>
    <n v="143612.68"/>
    <n v="1.1143841616213834"/>
    <n v="3640"/>
    <n v="72"/>
    <n v="3778"/>
    <n v="0.96347273689782953"/>
    <n v="698"/>
    <n v="33"/>
    <n v="686"/>
    <n v="1.0174927113702623"/>
    <n v="16284"/>
    <n v="23789"/>
    <n v="4.4736263736263737"/>
    <n v="6.2967178401270516"/>
    <n v="3571"/>
    <n v="1913"/>
    <n v="0.53570428451414165"/>
    <n v="3683"/>
    <n v="2351"/>
    <n v="0.63833831115938089"/>
    <n v="232"/>
    <n v="0.33237822349570201"/>
    <n v="331"/>
    <n v="0.48250728862973763"/>
    <n v="1359"/>
    <n v="2281"/>
    <n v="151"/>
    <n v="250"/>
    <n v="0.60399999999999998"/>
    <n v="748928.61599999992"/>
    <n v="644575.98400000005"/>
    <n v="0.16189345335584182"/>
    <n v="222159.36000000004"/>
    <n v="206008.52000000005"/>
    <n v="7.8398893404991066E-2"/>
    <n v="40397.024000000005"/>
    <n v="62223.911999999997"/>
    <n v="-0.35077974525291811"/>
    <n v="55803.000000000015"/>
    <n v="31979.968000000008"/>
    <n v="0.74493607998607136"/>
    <n v="1425865.3680000002"/>
    <n v="1312747.432"/>
    <n v="8.616884957654225E-2"/>
    <n v="160039.69600000003"/>
    <n v="109269.69599999998"/>
    <n v="0.46463019353508628"/>
    <n v="2366805.5120000001"/>
    <n v="0.12100172597536174"/>
    <n v="0.75740099390442184"/>
    <n v="4338"/>
  </r>
  <r>
    <x v="12"/>
    <x v="12"/>
    <x v="2"/>
    <n v="903004.57600000012"/>
    <n v="1039263.51"/>
    <n v="0.86888894617304524"/>
    <n v="154706.48000000001"/>
    <n v="167836.07"/>
    <n v="0.92177134509882175"/>
    <n v="63403.240000000005"/>
    <n v="102373.44"/>
    <n v="0.61933290509725969"/>
    <n v="31293.68"/>
    <n v="58593.32"/>
    <n v="0.534082724788423"/>
    <n v="2220353.352"/>
    <n v="3102099.55"/>
    <n v="0.71575825218117195"/>
    <n v="94568.335999999996"/>
    <n v="123360.06"/>
    <n v="0.76660416669706544"/>
    <n v="3639"/>
    <n v="193"/>
    <n v="3725"/>
    <n v="0.9769127516778523"/>
    <n v="710"/>
    <n v="49"/>
    <n v="756"/>
    <n v="0.93915343915343918"/>
    <n v="25520"/>
    <n v="35676"/>
    <n v="7.0129156361637817"/>
    <n v="9.5774496644295297"/>
    <n v="3587"/>
    <n v="2343"/>
    <n v="0.65319208252021188"/>
    <n v="3662"/>
    <n v="2872"/>
    <n v="0.78427089022392138"/>
    <n v="307"/>
    <n v="0.43239436619718308"/>
    <n v="370"/>
    <n v="0.48941798941798942"/>
    <n v="1214"/>
    <n v="2425"/>
    <n v="145"/>
    <n v="147"/>
    <n v="0.98639455782312924"/>
    <n v="2366963.5760000004"/>
    <n v="820837.16"/>
    <n v="1.8835970047944715"/>
    <n v="620623.40799999994"/>
    <n v="247418.99200000009"/>
    <n v="1.5083903340775056"/>
    <n v="138593.43200000003"/>
    <n v="71433.48000000001"/>
    <n v="0.9401747191932972"/>
    <n v="123085.976"/>
    <n v="34860.576000000008"/>
    <n v="2.5308072936029502"/>
    <n v="3591499.4400000004"/>
    <n v="2052689.0080000004"/>
    <n v="0.74965590306312957"/>
    <n v="365525.63200000004"/>
    <n v="123571.24799999996"/>
    <n v="1.9580152172615439"/>
    <n v="3350810.4640000011"/>
    <n v="3.4773438023977254E-2"/>
    <n v="0.75482966717538635"/>
    <n v="4349"/>
  </r>
  <r>
    <x v="13"/>
    <x v="13"/>
    <x v="0"/>
    <n v="582437.92000000004"/>
    <n v="661650.40999999992"/>
    <n v="0.88028044900629643"/>
    <n v="163335.136"/>
    <n v="309741.52"/>
    <n v="0.52732722432562473"/>
    <n v="29247.08"/>
    <n v="50489.86"/>
    <n v="0.5792664111170045"/>
    <n v="17846.592000000001"/>
    <n v="38300.33"/>
    <n v="0.4659644446927742"/>
    <n v="804249.58400000003"/>
    <n v="928212.6"/>
    <n v="0.86644975946243352"/>
    <n v="83255.351999999984"/>
    <n v="77079.790000000008"/>
    <n v="1.0801190817982247"/>
    <n v="3301"/>
    <n v="179"/>
    <n v="3253"/>
    <n v="1.0147556102059638"/>
    <n v="488"/>
    <n v="36"/>
    <n v="513"/>
    <n v="0.95126705653021437"/>
    <n v="9011"/>
    <n v="10675"/>
    <n v="2.7297788548924569"/>
    <n v="3.2815862280971411"/>
    <n v="3167"/>
    <n v="1577"/>
    <n v="0.4979475844647932"/>
    <n v="3086"/>
    <n v="1852"/>
    <n v="0.60012961762799744"/>
    <n v="150"/>
    <n v="0.30737704918032788"/>
    <n v="186"/>
    <n v="0.36257309941520466"/>
    <n v="1165"/>
    <n v="2136"/>
    <n v="108"/>
    <n v="98"/>
    <n v="1.1020408163265305"/>
    <n v="582437.92000000004"/>
    <n v="531132.35199999996"/>
    <n v="9.6596578624531082E-2"/>
    <n v="163335.136"/>
    <n v="215302.71200000003"/>
    <n v="-0.24136981609409558"/>
    <n v="29247.08"/>
    <n v="43250.536"/>
    <n v="-0.32377531691167938"/>
    <n v="17846.592000000001"/>
    <n v="15469.624"/>
    <n v="0.15365389617743785"/>
    <n v="804249.58400000003"/>
    <n v="661943.26399999997"/>
    <n v="0.21498265446508125"/>
    <n v="83255.351999999999"/>
    <n v="94467.848000000027"/>
    <n v="-0.11869113394008957"/>
    <n v="1561566.3359999999"/>
    <n v="7.608087166141364E-2"/>
    <n v="0.81355236090519467"/>
    <n v="3789"/>
  </r>
  <r>
    <x v="14"/>
    <x v="14"/>
    <x v="1"/>
    <n v="707095.62400000007"/>
    <n v="789002.26"/>
    <n v="0.89618960533775915"/>
    <n v="233932.296"/>
    <n v="273180.46000000002"/>
    <n v="0.856328801847687"/>
    <n v="22603.536"/>
    <n v="62991.5"/>
    <n v="0.35883469991983047"/>
    <n v="33818.496000000006"/>
    <n v="28773.33"/>
    <n v="1.1753417487652631"/>
    <n v="798679.56000000017"/>
    <n v="878041.3"/>
    <n v="0.90961502608134737"/>
    <n v="120147.51200000002"/>
    <n v="95283.22"/>
    <n v="1.2609514246055078"/>
    <n v="3193"/>
    <n v="187"/>
    <n v="3237"/>
    <n v="0.98640716713005872"/>
    <n v="515"/>
    <n v="6"/>
    <n v="562"/>
    <n v="0.91637010676156583"/>
    <n v="9065"/>
    <n v="10098"/>
    <n v="2.8390228625117446"/>
    <n v="3.119555143651529"/>
    <n v="3136"/>
    <n v="2009"/>
    <n v="0.640625"/>
    <n v="3171"/>
    <n v="2231"/>
    <n v="0.7035635446231473"/>
    <n v="116"/>
    <n v="0.22524271844660193"/>
    <n v="210"/>
    <n v="0.37366548042704628"/>
    <n v="1125"/>
    <n v="2068"/>
    <n v="152"/>
    <n v="246"/>
    <n v="0.61788617886178865"/>
    <n v="707095.62400000007"/>
    <n v="590110.14400000009"/>
    <n v="0.1982434655453067"/>
    <n v="233932.296"/>
    <n v="213254.89599999998"/>
    <n v="9.6960962621932101E-2"/>
    <n v="22603.536"/>
    <n v="30946.392000000003"/>
    <n v="-0.26959058749078091"/>
    <n v="33818.496000000006"/>
    <n v="20845.535999999996"/>
    <n v="0.62233755946596969"/>
    <n v="798679.56"/>
    <n v="748656.54400000011"/>
    <n v="6.6817042341915212E-2"/>
    <n v="120147.512"/>
    <n v="85008.664000000004"/>
    <n v="0.41335607862276236"/>
    <n v="1688822.1760000002"/>
    <n v="0.13468253273339292"/>
    <n v="0.90081426396953534"/>
    <n v="3708"/>
  </r>
  <r>
    <x v="15"/>
    <x v="15"/>
    <x v="1"/>
    <n v="1271106.7520000001"/>
    <n v="1472090.38"/>
    <n v="0.86347059207057664"/>
    <n v="328802.17599999992"/>
    <n v="464660.17"/>
    <n v="0.70761859360573109"/>
    <n v="54373.600000000006"/>
    <n v="108536.37999999999"/>
    <n v="0.50097119509605914"/>
    <n v="40606.392"/>
    <n v="48179.87"/>
    <n v="0.84280825166194917"/>
    <n v="1375324.6320000002"/>
    <n v="1890684.29"/>
    <n v="0.7274216215124949"/>
    <n v="171585.37599999999"/>
    <n v="189430.22"/>
    <n v="0.90579726930581606"/>
    <n v="5633"/>
    <n v="308"/>
    <n v="5629"/>
    <n v="1.0007106057914372"/>
    <n v="591"/>
    <n v="37"/>
    <n v="625"/>
    <n v="0.9456"/>
    <n v="15581"/>
    <n v="21744"/>
    <n v="2.7660216580862773"/>
    <n v="3.8628530822526201"/>
    <n v="5271"/>
    <n v="3429"/>
    <n v="0.65054069436539552"/>
    <n v="5181"/>
    <n v="4057"/>
    <n v="0.78305346458212699"/>
    <n v="294"/>
    <n v="0.49746192893401014"/>
    <n v="404"/>
    <n v="0.64639999999999997"/>
    <n v="1774"/>
    <n v="3859"/>
    <n v="207"/>
    <n v="252"/>
    <n v="0.8214285714285714"/>
    <n v="2110981.4960000003"/>
    <n v="1155017.5120000001"/>
    <n v="0.82766189609080154"/>
    <n v="472804.44800000003"/>
    <n v="373179.09600000002"/>
    <n v="0.26696391375576956"/>
    <n v="222658.448"/>
    <n v="70202.752000000008"/>
    <n v="2.1716484276855694"/>
    <n v="120593.36799999999"/>
    <n v="45377.648000000001"/>
    <n v="1.6575499902507063"/>
    <n v="3852587.1119999997"/>
    <n v="1168936.4720000001"/>
    <n v="2.2958053788914539"/>
    <n v="321059.03200000001"/>
    <n v="145995.97600000005"/>
    <n v="1.199095076428681"/>
    <n v="2958709.4560000007"/>
    <n v="9.5680051120234033E-2"/>
    <n v="0.77674272697948232"/>
    <n v="6224"/>
  </r>
  <r>
    <x v="16"/>
    <x v="16"/>
    <x v="1"/>
    <n v="352559.63200000004"/>
    <n v="441365.22"/>
    <n v="0.79879341648170665"/>
    <n v="50630.864000000001"/>
    <n v="200000"/>
    <n v="0.25315431999999999"/>
    <n v="22578.975999999999"/>
    <n v="58238.9"/>
    <n v="0.38769578408932859"/>
    <n v="12928.519999999999"/>
    <n v="45000"/>
    <n v="0.28730044444444441"/>
    <n v="397641.92000000004"/>
    <n v="521167.17000000004"/>
    <n v="0.76298343965142701"/>
    <n v="30466.078000000001"/>
    <n v="44159.64"/>
    <n v="0.68990775287117379"/>
    <n v="1613"/>
    <n v="106"/>
    <n v="1641"/>
    <n v="0.98293723339427175"/>
    <n v="313"/>
    <n v="23"/>
    <n v="275"/>
    <n v="1.1381818181818182"/>
    <n v="4449"/>
    <n v="6019"/>
    <n v="2.7582145071295723"/>
    <n v="3.6678854357099331"/>
    <n v="1576"/>
    <n v="969"/>
    <n v="0.61484771573604058"/>
    <n v="1599"/>
    <n v="1196"/>
    <n v="0.74796747967479671"/>
    <n v="121"/>
    <n v="0.38658146964856233"/>
    <n v="155"/>
    <n v="0.5636363636363636"/>
    <n v="561"/>
    <n v="1052"/>
    <n v="108"/>
    <n v="138"/>
    <n v="0.78260869565217395"/>
    <n v="781287.00000000012"/>
    <n v="347095.47199999995"/>
    <n v="1.2509282402854285"/>
    <n v="220661.59999999998"/>
    <n v="127498.336"/>
    <n v="0.73070180304157062"/>
    <n v="42198.240000000005"/>
    <n v="33720.128000000004"/>
    <n v="0.25142585461122802"/>
    <n v="29258.360000000008"/>
    <n v="28768.440000000002"/>
    <n v="1.7029772903918605E-2"/>
    <n v="1066041.9440000001"/>
    <n v="390699.09600000002"/>
    <n v="1.7285498095956693"/>
    <n v="130356.088"/>
    <n v="55499.599999999977"/>
    <n v="1.3487752704524008"/>
    <n v="983281.07199999993"/>
    <n v="-0.11845553150238997"/>
    <n v="0.6617188510847668"/>
    <n v="1926"/>
  </r>
  <r>
    <x v="17"/>
    <x v="17"/>
    <x v="4"/>
    <n v="3608937.6560000004"/>
    <n v="3699470.39"/>
    <n v="0.97552819067163832"/>
    <n v="642270.16800000006"/>
    <n v="867607.55"/>
    <n v="0.74027729242328522"/>
    <n v="274513.35200000001"/>
    <n v="492458.63"/>
    <n v="0.55743434123593283"/>
    <n v="171166.39200000002"/>
    <n v="185014.2"/>
    <n v="0.92515272881757193"/>
    <n v="4962386.4000000004"/>
    <n v="6434187.1500000004"/>
    <n v="0.7712530400984684"/>
    <n v="405701.69599999994"/>
    <n v="410922.9"/>
    <n v="0.98729395709024714"/>
    <n v="14583"/>
    <n v="670"/>
    <n v="14181"/>
    <n v="1.0283477892955364"/>
    <n v="2819"/>
    <n v="235"/>
    <n v="2791"/>
    <n v="1.0100322465066285"/>
    <n v="56658"/>
    <n v="74309"/>
    <n v="3.8852088047726805"/>
    <n v="5.2400394894577254"/>
    <n v="14207"/>
    <n v="9557"/>
    <n v="0.67269655803477157"/>
    <n v="13769"/>
    <n v="9552"/>
    <n v="0.69373229718933838"/>
    <n v="1556"/>
    <n v="0.55196878325647392"/>
    <n v="1303"/>
    <n v="0.46685775707631672"/>
    <n v="4781"/>
    <n v="9802"/>
    <n v="519"/>
    <n v="1120"/>
    <n v="0.46339285714285716"/>
    <n v="2340335.5439999998"/>
    <n v="3168447.3600000003"/>
    <n v="-0.2613620243323217"/>
    <n v="328237.16000000003"/>
    <n v="749852.04800000007"/>
    <n v="-0.56226410146445316"/>
    <n v="86609.24"/>
    <n v="371901.68"/>
    <n v="-0.76711791137915808"/>
    <n v="74849.576000000015"/>
    <n v="177562.03200000004"/>
    <n v="-0.57845956617572392"/>
    <n v="1816723.8959999999"/>
    <n v="4799290.6239999998"/>
    <n v="-0.62145991182216842"/>
    <n v="156338.03000000003"/>
    <n v="417560.14399999985"/>
    <n v="-0.62559158902866918"/>
    <n v="9684613.8879999984"/>
    <n v="3.9274851883491557E-2"/>
    <n v="0.8325275467901837"/>
    <n v="17402"/>
  </r>
  <r>
    <x v="18"/>
    <x v="18"/>
    <x v="3"/>
    <n v="4215944.1680000005"/>
    <n v="4562590.3600000003"/>
    <n v="0.92402425713273983"/>
    <n v="696022.32800000021"/>
    <n v="1162226.3400000001"/>
    <n v="0.59886986213029736"/>
    <n v="262183.14400000003"/>
    <n v="536205.69999999995"/>
    <n v="0.48896000919050292"/>
    <n v="125599.36800000002"/>
    <n v="227054.9"/>
    <n v="0.55316739695994233"/>
    <n v="4526065.392"/>
    <n v="5685356.5199999996"/>
    <n v="0.79609174483221334"/>
    <n v="403807.38400000002"/>
    <n v="502437.18"/>
    <n v="0.8036972582323626"/>
    <n v="21441"/>
    <n v="532"/>
    <n v="21569"/>
    <n v="0.9940655570494692"/>
    <n v="2983"/>
    <n v="87"/>
    <n v="3226"/>
    <n v="0.92467451952882829"/>
    <n v="51144"/>
    <n v="65385"/>
    <n v="2.3853365048272002"/>
    <n v="3.0314340025035933"/>
    <n v="18194"/>
    <n v="11518"/>
    <n v="0.6330658458832582"/>
    <n v="18065"/>
    <n v="12989"/>
    <n v="0.71901466924993085"/>
    <n v="1293"/>
    <n v="0.43345625209520616"/>
    <n v="1905"/>
    <n v="0.59051456912585243"/>
    <n v="8693"/>
    <n v="12748"/>
    <n v="433"/>
    <n v="515"/>
    <n v="0.84077669902912622"/>
    <n v="4215944.1680000005"/>
    <n v="4105037.5360000003"/>
    <n v="2.7017202894585202E-2"/>
    <n v="696022.32800000021"/>
    <n v="1032855.12"/>
    <n v="-0.32611814133234851"/>
    <n v="262183.14400000003"/>
    <n v="426834.424"/>
    <n v="-0.38574976792406035"/>
    <n v="125599.36800000002"/>
    <n v="147098.432"/>
    <n v="-0.1461542703595915"/>
    <n v="4526065.392"/>
    <n v="3887726.5280000004"/>
    <n v="0.16419335552606018"/>
    <n v="403807.38400000002"/>
    <n v="602947.32000000007"/>
    <n v="-0.33027750417731361"/>
    <n v="10202499.360000001"/>
    <n v="2.6584097722499589E-3"/>
    <n v="0.80701529575364106"/>
    <n v="24424"/>
  </r>
  <r>
    <x v="19"/>
    <x v="19"/>
    <x v="1"/>
    <n v="613217.83200000005"/>
    <n v="694746.1"/>
    <n v="0.88265026892558318"/>
    <n v="133056.17600000001"/>
    <n v="193603.36"/>
    <n v="0.68726170868108905"/>
    <n v="17642.52"/>
    <n v="58238.9"/>
    <n v="0.30293360623226057"/>
    <n v="11967.079999999998"/>
    <n v="45000"/>
    <n v="0.26593511111111107"/>
    <n v="667481.01599999995"/>
    <n v="918560.92999999993"/>
    <n v="0.72665948899002264"/>
    <n v="80350.207999999999"/>
    <n v="80784.91"/>
    <n v="0.99461901981446776"/>
    <n v="2789"/>
    <n v="123"/>
    <n v="2803"/>
    <n v="0.99500535140920443"/>
    <n v="328"/>
    <n v="16"/>
    <n v="316"/>
    <n v="1.0379746835443038"/>
    <n v="7489"/>
    <n v="10564"/>
    <n v="2.6851918250268914"/>
    <n v="3.7688191223688903"/>
    <n v="2728"/>
    <n v="1592"/>
    <n v="0.58357771260997071"/>
    <n v="2723"/>
    <n v="1878"/>
    <n v="0.68968049944913701"/>
    <n v="94"/>
    <n v="0.28658536585365851"/>
    <n v="149"/>
    <n v="0.47151898734177217"/>
    <n v="760"/>
    <n v="2029"/>
    <n v="103"/>
    <n v="115"/>
    <n v="0.89565217391304353"/>
    <n v="613217.83200000005"/>
    <n v="542284.45600000012"/>
    <n v="0.13080473765229939"/>
    <n v="133056.17600000001"/>
    <n v="187485.04800000001"/>
    <n v="-0.29031046785128167"/>
    <n v="17642.52"/>
    <n v="24662.752000000004"/>
    <n v="-0.28464917459333017"/>
    <n v="11967.079999999998"/>
    <n v="14777.088000000002"/>
    <n v="-0.19015979332328559"/>
    <n v="667481.01599999995"/>
    <n v="624533.38400000008"/>
    <n v="6.8767552064117998E-2"/>
    <n v="80350.207999999999"/>
    <n v="88339.144"/>
    <n v="-9.0434835999769314E-2"/>
    <n v="1482081.8720000002"/>
    <n v="2.8090863795410925E-2"/>
    <n v="0.76532656478551631"/>
    <n v="3117"/>
  </r>
  <r>
    <x v="20"/>
    <x v="20"/>
    <x v="0"/>
    <n v="318796.96000000002"/>
    <n v="357610.5"/>
    <n v="0.89146420477027388"/>
    <n v="95524.272000000026"/>
    <n v="76550.48"/>
    <n v="1.2478598697225678"/>
    <n v="15997.368000000002"/>
    <n v="34600.170000000006"/>
    <n v="0.46234940464165347"/>
    <n v="21375.360000000001"/>
    <n v="19144.309999999998"/>
    <n v="1.116538543306079"/>
    <n v="630595.15200000012"/>
    <n v="955515.52"/>
    <n v="0.65995280955771407"/>
    <n v="54991.736000000012"/>
    <n v="60161.98"/>
    <n v="0.91406127258444636"/>
    <n v="1471"/>
    <n v="85"/>
    <n v="1461.8"/>
    <n v="1.0062936106170475"/>
    <n v="246"/>
    <n v="13"/>
    <n v="241"/>
    <n v="1.0207468879668049"/>
    <n v="7167"/>
    <n v="11007"/>
    <n v="4.8721957851801498"/>
    <n v="7.5297578328088663"/>
    <n v="1459"/>
    <n v="929"/>
    <n v="0.63673749143248803"/>
    <n v="1442.8"/>
    <n v="1030"/>
    <n v="0.71388965899639589"/>
    <n v="74"/>
    <n v="0.30081300813008133"/>
    <n v="109"/>
    <n v="0.45228215767634855"/>
    <n v="638"/>
    <n v="833"/>
    <n v="95"/>
    <n v="81"/>
    <n v="1.1728395061728396"/>
    <n v="2086419.4880000001"/>
    <n v="259160.39200000002"/>
    <n v="7.0506881159525339"/>
    <n v="559744.42400000012"/>
    <n v="73843.39999999998"/>
    <n v="6.5801550849500465"/>
    <n v="228920.75200000001"/>
    <n v="19488.072"/>
    <n v="10.746711116420341"/>
    <n v="99961.304000000033"/>
    <n v="11396.088000000002"/>
    <n v="7.7715454636713943"/>
    <n v="4604214.5999999996"/>
    <n v="605838.12"/>
    <n v="6.5997439712113195"/>
    <n v="348828.86400000006"/>
    <n v="36706.439999999995"/>
    <n v="8.5032060859075447"/>
    <n v="1006432.5119999999"/>
    <n v="0.13001203204373457"/>
    <n v="0.75638051125559458"/>
    <n v="1717"/>
  </r>
  <r>
    <x v="21"/>
    <x v="21"/>
    <x v="0"/>
    <n v="52341.72"/>
    <n v="60890.82"/>
    <n v="0.85959952583985566"/>
    <n v="10485.544"/>
    <n v="16201.14"/>
    <n v="0.6472102580435698"/>
    <n v="2350.1760000000004"/>
    <n v="6861.2"/>
    <n v="0.34253133562642107"/>
    <n v="1966.424"/>
    <n v="5896.87"/>
    <n v="0.33346911157953285"/>
    <n v="114038.064"/>
    <n v="119732.91"/>
    <n v="0.95243708684604755"/>
    <n v="5227.6720000000005"/>
    <n v="7156.77"/>
    <n v="0.7304513069443338"/>
    <n v="253"/>
    <n v="7"/>
    <n v="255"/>
    <n v="0.99215686274509807"/>
    <n v="67"/>
    <n v="4"/>
    <n v="64"/>
    <n v="1.046875"/>
    <n v="1296"/>
    <n v="1377"/>
    <n v="5.1225296442687744"/>
    <n v="5.4"/>
    <n v="245"/>
    <n v="134"/>
    <n v="0.54693877551020409"/>
    <n v="246"/>
    <n v="166"/>
    <n v="0.67479674796747968"/>
    <n v="15"/>
    <n v="0.22388059701492538"/>
    <n v="25"/>
    <n v="0.390625"/>
    <n v="97"/>
    <n v="156"/>
    <n v="6"/>
    <n v="9"/>
    <n v="0.66666666666666663"/>
    <n v="211257.05599999998"/>
    <n v="46641.024000000005"/>
    <n v="3.5294257690397179"/>
    <n v="73268.84"/>
    <n v="12742.648000000001"/>
    <n v="4.749891231398685"/>
    <n v="13751.991999999998"/>
    <n v="5423.1440000000002"/>
    <n v="1.535796947305843"/>
    <n v="15595.536000000002"/>
    <n v="390.8"/>
    <n v="38.906693961105425"/>
    <n v="492540.12"/>
    <n v="90506.040000000008"/>
    <n v="4.4420690597003247"/>
    <n v="44453.712000000007"/>
    <n v="5743.9920000000002"/>
    <n v="6.7391667676417386"/>
    <n v="161447.64800000002"/>
    <n v="0.1546132898758612"/>
    <n v="0.86006205323426899"/>
    <n v="320"/>
  </r>
  <r>
    <x v="22"/>
    <x v="22"/>
    <x v="4"/>
    <n v="4620902.7119999994"/>
    <n v="4736160.08"/>
    <n v="0.97566438506022779"/>
    <n v="911979.88800000004"/>
    <n v="1698548.27"/>
    <n v="0.53691726288120145"/>
    <n v="313537.40000000002"/>
    <n v="58238.9"/>
    <n v="5.3836422047806538"/>
    <n v="174663.88800000001"/>
    <n v="45000"/>
    <n v="3.8814197333333333"/>
    <n v="6428051.04"/>
    <n v="8793716.6199999992"/>
    <n v="0.7309822817556294"/>
    <n v="497493.54400000005"/>
    <n v="530902.67000000004"/>
    <n v="0.93707109063889249"/>
    <n v="18080"/>
    <n v="644"/>
    <n v="18256"/>
    <n v="0.9903593339176161"/>
    <n v="3292"/>
    <n v="297"/>
    <n v="3413"/>
    <n v="0.96454731907412838"/>
    <n v="73503"/>
    <n v="101133"/>
    <n v="4.0654314159292033"/>
    <n v="5.5397129710780018"/>
    <n v="17237"/>
    <n v="12096"/>
    <n v="0.70174624354586068"/>
    <n v="17104"/>
    <n v="13671"/>
    <n v="0.79928671655753036"/>
    <n v="1725"/>
    <n v="0.52399756986634261"/>
    <n v="2026"/>
    <n v="0.59361265748608261"/>
    <n v="6074"/>
    <n v="12006"/>
    <n v="593"/>
    <n v="952"/>
    <n v="0.62289915966386555"/>
    <n v="2694364.8480000002"/>
    <n v="3812972.64"/>
    <n v="-0.29336895320602141"/>
    <n v="384976.44000000012"/>
    <n v="913623.92799999996"/>
    <n v="-0.57862701687033735"/>
    <n v="89212.2"/>
    <n v="367169.76800000004"/>
    <n v="-0.75702738140466952"/>
    <n v="82448.832000000009"/>
    <n v="120971.60800000001"/>
    <n v="-0.3184447709416246"/>
    <n v="2075929.5360000001"/>
    <n v="5644247.2640000004"/>
    <n v="-0.63220435978405076"/>
    <n v="164430.37600000005"/>
    <n v="449741.05600000004"/>
    <n v="-0.6343887803741004"/>
    <n v="11308726.264"/>
    <n v="0.14483525109402184"/>
    <n v="0.81617488817796313"/>
    <n v="21372"/>
  </r>
  <r>
    <x v="23"/>
    <x v="23"/>
    <x v="4"/>
    <n v="3238796.0720000002"/>
    <n v="3316553.47"/>
    <n v="0.97655475821410476"/>
    <n v="790322.08800000011"/>
    <n v="700847.52"/>
    <n v="1.1276662404398607"/>
    <n v="212343.61600000001"/>
    <n v="341605.97"/>
    <n v="0.6216039374253326"/>
    <n v="220887.296"/>
    <n v="196070.56"/>
    <n v="1.1265704346435284"/>
    <n v="4162542.7920000004"/>
    <n v="5391545.71"/>
    <n v="0.77204998638507327"/>
    <n v="433531.25600000011"/>
    <n v="320023.28728570876"/>
    <n v="1.354686590707239"/>
    <n v="11846"/>
    <n v="497"/>
    <n v="11865"/>
    <n v="0.9983986514959966"/>
    <n v="2101"/>
    <n v="195"/>
    <n v="2159"/>
    <n v="0.97313571097730434"/>
    <n v="47797"/>
    <n v="62006"/>
    <n v="4.0348640891440146"/>
    <n v="5.2259587020648963"/>
    <n v="11612"/>
    <n v="8301"/>
    <n v="0.71486393386152258"/>
    <n v="11577"/>
    <n v="9084"/>
    <n v="0.78465923814459704"/>
    <n v="1048"/>
    <n v="0.49881009043312707"/>
    <n v="1224"/>
    <n v="0.56692913385826771"/>
    <n v="3756"/>
    <n v="8090"/>
    <n v="425"/>
    <n v="725"/>
    <n v="0.58620689655172409"/>
    <n v="3238796.0720000002"/>
    <n v="2674745.0960000004"/>
    <n v="0.21088027298134726"/>
    <n v="790322.08800000011"/>
    <n v="570018.80799999996"/>
    <n v="0.38648422983264119"/>
    <n v="212343.61600000001"/>
    <n v="241560.84000000003"/>
    <n v="-0.1209518231514678"/>
    <n v="220887.296"/>
    <n v="64965.552000000003"/>
    <n v="2.400068023742798"/>
    <n v="4162542.7920000004"/>
    <n v="3894331.9920000006"/>
    <n v="6.8872094251588356E-2"/>
    <n v="433531.25600000005"/>
    <n v="303518.3520000003"/>
    <n v="0.42835269479849969"/>
    <n v="7749140.6400000006"/>
    <n v="0.16895840981923382"/>
    <n v="0.88231567189427917"/>
    <n v="13947"/>
  </r>
  <r>
    <x v="24"/>
    <x v="24"/>
    <x v="1"/>
    <n v="373056.95200000005"/>
    <n v="437802.01"/>
    <n v="0.8521133833990393"/>
    <n v="104584.488"/>
    <n v="73005.62"/>
    <n v="1.4325539321493332"/>
    <n v="13940.447999999999"/>
    <n v="58238.9"/>
    <n v="0.23936660891603376"/>
    <n v="14064.192000000003"/>
    <n v="45000"/>
    <n v="0.31253760000000008"/>
    <n v="588319.29599999997"/>
    <n v="648401.06000000006"/>
    <n v="0.9073385783792518"/>
    <n v="51082.696000000011"/>
    <n v="47526.63"/>
    <n v="1.0748225994563472"/>
    <n v="1659"/>
    <n v="96"/>
    <n v="1701"/>
    <n v="0.97530864197530864"/>
    <n v="195"/>
    <n v="15"/>
    <n v="201"/>
    <n v="0.97014925373134331"/>
    <n v="6702"/>
    <n v="7457"/>
    <n v="4.0397830018083178"/>
    <n v="4.3838918283362727"/>
    <n v="1631"/>
    <n v="985"/>
    <n v="0.60392397302268552"/>
    <n v="1667"/>
    <n v="1194"/>
    <n v="0.71625674865026989"/>
    <n v="93"/>
    <n v="0.47692307692307695"/>
    <n v="122"/>
    <n v="0.60696517412935325"/>
    <n v="635"/>
    <n v="1024"/>
    <n v="100"/>
    <n v="103"/>
    <n v="0.970873786407767"/>
    <n v="6743433.8560000006"/>
    <n v="339730.89599999995"/>
    <n v="18.849339390080086"/>
    <n v="1983188.5999999996"/>
    <n v="141962.75999999998"/>
    <n v="12.96978052554064"/>
    <n v="582202.19200000004"/>
    <n v="20958.64"/>
    <n v="26.778624567242915"/>
    <n v="611816.19999999995"/>
    <n v="10046.512000000001"/>
    <n v="59.898369503764087"/>
    <n v="16396714.608000001"/>
    <n v="537346.41600000008"/>
    <n v="29.514234616203336"/>
    <n v="1557509.4659999998"/>
    <n v="56690.511999999995"/>
    <n v="26.473900147523803"/>
    <n v="1106735.736"/>
    <n v="3.4617420178794989E-2"/>
    <n v="0.87409969945820765"/>
    <n v="1854"/>
  </r>
  <r>
    <x v="25"/>
    <x v="25"/>
    <x v="3"/>
    <n v="15713904.039999999"/>
    <n v="16795375.52"/>
    <n v="0.93560897291565881"/>
    <n v="3383206.9999999995"/>
    <n v="4054515.912"/>
    <n v="0.83442933100517558"/>
    <n v="844056.89599999995"/>
    <n v="1218522.2080000001"/>
    <n v="0.69268897231292803"/>
    <n v="847348"/>
    <n v="507349.61600000004"/>
    <n v="1.6701461344951525"/>
    <n v="23228301.120000005"/>
    <n v="31198029.792000003"/>
    <n v="0.74454384699499043"/>
    <n v="2248403.6339999996"/>
    <n v="2200201.1920000003"/>
    <n v="1.0219081973845232"/>
    <n v="66788"/>
    <n v="1776"/>
    <n v="67463"/>
    <n v="0.98999451551220674"/>
    <n v="8410"/>
    <n v="365"/>
    <n v="8228"/>
    <n v="1.0221195916383081"/>
    <n v="265567"/>
    <n v="358796"/>
    <n v="3.976268191890759"/>
    <n v="5.3184115737515381"/>
    <n v="62629"/>
    <n v="40448"/>
    <n v="0.64583499656708554"/>
    <n v="63084"/>
    <n v="46118"/>
    <n v="0.73105700336059853"/>
    <n v="4432"/>
    <n v="0.52699167657550539"/>
    <n v="4832"/>
    <n v="0.58726300437530388"/>
    <n v="24494"/>
    <n v="42294"/>
    <n v="1375"/>
    <n v="2709"/>
    <n v="0.50756736803248426"/>
    <n v="9343527.1360000018"/>
    <n v="14365482.448000001"/>
    <n v="-0.34958486985580972"/>
    <n v="1504602.8880000005"/>
    <n v="4118164.5599999996"/>
    <n v="-0.63464235921645629"/>
    <n v="275795.15199999994"/>
    <n v="1193124.4480000001"/>
    <n v="-0.76884628216083628"/>
    <n v="249595.99200000003"/>
    <n v="589577.81600000011"/>
    <n v="-0.57665301300956684"/>
    <n v="7419905.8079999993"/>
    <n v="20298903.335999999"/>
    <n v="-0.63446765151884654"/>
    <n v="741976.86400000018"/>
    <n v="2356331.8820000021"/>
    <n v="-0.68511359979977571"/>
    <n v="42921584.489999995"/>
    <n v="7.790104302367995E-2"/>
    <n v="0.82654849485331283"/>
    <n v="75198"/>
  </r>
  <r>
    <x v="26"/>
    <x v="26"/>
    <x v="0"/>
    <n v="196633.19999999998"/>
    <n v="228245"/>
    <n v="0.8615005805165501"/>
    <n v="38199.704000000012"/>
    <n v="50794.41"/>
    <n v="0.75204543177093719"/>
    <n v="10895.152000000002"/>
    <n v="58238.9"/>
    <n v="0.18707688503732045"/>
    <n v="15569.232"/>
    <n v="45000"/>
    <n v="0.34598293333333335"/>
    <n v="351383.68800000002"/>
    <n v="499713.14999999997"/>
    <n v="0.70317078507940012"/>
    <n v="26745.144"/>
    <n v="36281.89"/>
    <n v="0.73714858845556286"/>
    <n v="933"/>
    <n v="64"/>
    <n v="923"/>
    <n v="1.0108342361863489"/>
    <n v="234"/>
    <n v="17"/>
    <n v="241"/>
    <n v="0.97095435684647302"/>
    <n v="3990"/>
    <n v="5747"/>
    <n v="4.276527331189711"/>
    <n v="6.2264355362946908"/>
    <n v="918"/>
    <n v="551"/>
    <n v="0.60021786492374729"/>
    <n v="904"/>
    <n v="639"/>
    <n v="0.70685840707964598"/>
    <n v="65"/>
    <n v="0.27777777777777779"/>
    <n v="100"/>
    <n v="0.41493775933609961"/>
    <n v="365"/>
    <n v="568"/>
    <n v="68"/>
    <n v="80"/>
    <n v="0.85"/>
    <n v="196633.19999999998"/>
    <n v="172196.05600000004"/>
    <n v="0.14191465569919859"/>
    <n v="38199.704000000012"/>
    <n v="55167.88"/>
    <n v="-0.30757346484947379"/>
    <n v="10895.152000000002"/>
    <n v="15479.632"/>
    <n v="-0.2961620793052443"/>
    <n v="15569.232"/>
    <n v="10666.264000000003"/>
    <n v="0.45967060256524639"/>
    <n v="351383.68800000002"/>
    <n v="325596.13600000006"/>
    <n v="7.9201038184310457E-2"/>
    <n v="26745.144"/>
    <n v="24428.072000000015"/>
    <n v="9.4852839798408306E-2"/>
    <n v="603534.04000000015"/>
    <n v="5.9469851940745277E-2"/>
    <n v="0.69633526879550622"/>
    <n v="116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16">
  <r>
    <x v="0"/>
    <s v="AC"/>
    <n v="204"/>
    <m/>
    <n v="53"/>
    <n v="145"/>
    <m/>
    <n v="4"/>
    <n v="6"/>
    <m/>
  </r>
  <r>
    <x v="0"/>
    <s v="AL"/>
    <n v="679"/>
    <n v="1"/>
    <n v="138"/>
    <n v="483"/>
    <n v="4"/>
    <n v="15"/>
    <n v="30"/>
    <n v="34"/>
  </r>
  <r>
    <x v="0"/>
    <s v="AM"/>
    <n v="534"/>
    <m/>
    <n v="125"/>
    <n v="377"/>
    <n v="3"/>
    <n v="14"/>
    <n v="26"/>
    <n v="9"/>
  </r>
  <r>
    <x v="0"/>
    <s v="AP"/>
    <n v="275"/>
    <m/>
    <n v="98"/>
    <n v="139"/>
    <n v="8"/>
    <n v="29"/>
    <n v="3"/>
    <n v="5"/>
  </r>
  <r>
    <x v="0"/>
    <s v="BA"/>
    <n v="1725"/>
    <m/>
    <n v="420"/>
    <n v="1098"/>
    <n v="45"/>
    <n v="63"/>
    <n v="126"/>
    <n v="17"/>
  </r>
  <r>
    <x v="0"/>
    <s v="CE"/>
    <n v="1100"/>
    <m/>
    <n v="257"/>
    <n v="693"/>
    <n v="3"/>
    <n v="41"/>
    <n v="54"/>
    <n v="81"/>
  </r>
  <r>
    <x v="0"/>
    <s v="DF"/>
    <n v="1367"/>
    <n v="1"/>
    <n v="459"/>
    <n v="766"/>
    <m/>
    <n v="52"/>
    <n v="115"/>
    <n v="22"/>
  </r>
  <r>
    <x v="0"/>
    <s v="ES"/>
    <n v="1165"/>
    <m/>
    <n v="357"/>
    <n v="663"/>
    <n v="4"/>
    <n v="17"/>
    <n v="128"/>
    <n v="36"/>
  </r>
  <r>
    <x v="0"/>
    <s v="GO"/>
    <n v="2134"/>
    <m/>
    <n v="605"/>
    <n v="1410"/>
    <n v="1"/>
    <n v="48"/>
    <n v="96"/>
    <n v="29"/>
  </r>
  <r>
    <x v="0"/>
    <s v="MA"/>
    <n v="530"/>
    <m/>
    <n v="160"/>
    <n v="289"/>
    <n v="6"/>
    <n v="11"/>
    <n v="53"/>
    <n v="23"/>
  </r>
  <r>
    <x v="0"/>
    <s v="MG"/>
    <n v="4091"/>
    <n v="31"/>
    <n v="667"/>
    <n v="2813"/>
    <n v="24"/>
    <n v="137"/>
    <n v="469"/>
    <n v="168"/>
  </r>
  <r>
    <x v="0"/>
    <s v="MS"/>
    <n v="1326"/>
    <n v="2"/>
    <n v="463"/>
    <n v="740"/>
    <n v="9"/>
    <n v="38"/>
    <n v="144"/>
    <n v="19"/>
  </r>
  <r>
    <x v="0"/>
    <s v="MT"/>
    <n v="1810"/>
    <m/>
    <n v="632"/>
    <n v="1130"/>
    <n v="22"/>
    <n v="33"/>
    <n v="131"/>
    <n v="15"/>
  </r>
  <r>
    <x v="0"/>
    <s v="PA"/>
    <n v="726"/>
    <m/>
    <n v="174"/>
    <n v="438"/>
    <n v="39"/>
    <n v="36"/>
    <n v="50"/>
    <n v="8"/>
  </r>
  <r>
    <x v="0"/>
    <s v="PB"/>
    <n v="851"/>
    <m/>
    <n v="231"/>
    <n v="562"/>
    <n v="5"/>
    <n v="12"/>
    <n v="44"/>
    <n v="12"/>
  </r>
  <r>
    <x v="0"/>
    <s v="PE"/>
    <n v="1397"/>
    <m/>
    <n v="237"/>
    <n v="941"/>
    <n v="21"/>
    <n v="30"/>
    <n v="168"/>
    <n v="25"/>
  </r>
  <r>
    <x v="0"/>
    <s v="PI"/>
    <n v="366"/>
    <m/>
    <n v="86"/>
    <n v="202"/>
    <n v="1"/>
    <n v="7"/>
    <n v="54"/>
    <n v="29"/>
  </r>
  <r>
    <x v="0"/>
    <s v="PR"/>
    <n v="5049"/>
    <n v="1"/>
    <n v="1807"/>
    <n v="2850"/>
    <n v="57"/>
    <n v="142"/>
    <n v="287"/>
    <n v="231"/>
  </r>
  <r>
    <x v="0"/>
    <s v="RJ"/>
    <n v="4464"/>
    <n v="2"/>
    <n v="1724"/>
    <n v="2189"/>
    <n v="51"/>
    <n v="185"/>
    <n v="382"/>
    <n v="44"/>
  </r>
  <r>
    <x v="0"/>
    <s v="RN"/>
    <n v="654"/>
    <m/>
    <n v="167"/>
    <n v="467"/>
    <n v="1"/>
    <n v="13"/>
    <n v="36"/>
    <n v="17"/>
  </r>
  <r>
    <x v="0"/>
    <s v="RO"/>
    <n v="555"/>
    <m/>
    <n v="167"/>
    <n v="332"/>
    <n v="7"/>
    <n v="10"/>
    <n v="87"/>
    <n v="14"/>
  </r>
  <r>
    <x v="0"/>
    <s v="RR"/>
    <n v="129"/>
    <m/>
    <n v="34"/>
    <n v="81"/>
    <m/>
    <n v="14"/>
    <n v="12"/>
    <m/>
  </r>
  <r>
    <x v="0"/>
    <s v="RS"/>
    <n v="6803"/>
    <m/>
    <n v="2380"/>
    <n v="3205"/>
    <n v="42"/>
    <n v="159"/>
    <n v="1294"/>
    <n v="179"/>
  </r>
  <r>
    <x v="0"/>
    <s v="SC"/>
    <n v="3992"/>
    <n v="7"/>
    <n v="1364"/>
    <n v="2083"/>
    <n v="12"/>
    <n v="82"/>
    <n v="555"/>
    <n v="169"/>
  </r>
  <r>
    <x v="0"/>
    <s v="SE"/>
    <n v="601"/>
    <m/>
    <n v="155"/>
    <n v="413"/>
    <n v="12"/>
    <n v="17"/>
    <n v="45"/>
    <n v="13"/>
  </r>
  <r>
    <x v="0"/>
    <s v="SP"/>
    <n v="23130"/>
    <n v="3"/>
    <n v="9317"/>
    <n v="9868"/>
    <n v="258"/>
    <n v="1446"/>
    <n v="2981"/>
    <n v="303"/>
  </r>
  <r>
    <x v="0"/>
    <s v="TO"/>
    <n v="308"/>
    <m/>
    <n v="82"/>
    <n v="199"/>
    <n v="6"/>
    <n v="4"/>
    <n v="25"/>
    <m/>
  </r>
  <r>
    <x v="1"/>
    <s v="AC"/>
    <n v="178"/>
    <m/>
    <n v="50"/>
    <n v="119"/>
    <n v="2"/>
    <n v="5"/>
    <n v="6"/>
    <m/>
  </r>
  <r>
    <x v="1"/>
    <s v="AL"/>
    <n v="714"/>
    <m/>
    <n v="167"/>
    <n v="485"/>
    <n v="24"/>
    <n v="7"/>
    <n v="35"/>
    <n v="22"/>
  </r>
  <r>
    <x v="1"/>
    <s v="AM"/>
    <n v="593"/>
    <m/>
    <n v="136"/>
    <n v="398"/>
    <n v="7"/>
    <n v="26"/>
    <n v="36"/>
    <n v="10"/>
  </r>
  <r>
    <x v="1"/>
    <s v="AP"/>
    <n v="224"/>
    <m/>
    <n v="70"/>
    <n v="119"/>
    <n v="6"/>
    <n v="20"/>
    <n v="5"/>
    <n v="8"/>
  </r>
  <r>
    <x v="1"/>
    <s v="BA"/>
    <n v="2083"/>
    <n v="2"/>
    <n v="522"/>
    <n v="1338"/>
    <n v="26"/>
    <n v="86"/>
    <n v="144"/>
    <n v="34"/>
  </r>
  <r>
    <x v="1"/>
    <s v="CE"/>
    <n v="1236"/>
    <m/>
    <n v="252"/>
    <n v="785"/>
    <n v="24"/>
    <n v="59"/>
    <n v="60"/>
    <n v="97"/>
  </r>
  <r>
    <x v="1"/>
    <s v="DF"/>
    <n v="1399"/>
    <m/>
    <n v="443"/>
    <n v="780"/>
    <n v="3"/>
    <n v="42"/>
    <n v="148"/>
    <n v="27"/>
  </r>
  <r>
    <x v="1"/>
    <s v="ES"/>
    <n v="1277"/>
    <m/>
    <n v="375"/>
    <n v="711"/>
    <n v="5"/>
    <n v="44"/>
    <n v="124"/>
    <n v="54"/>
  </r>
  <r>
    <x v="1"/>
    <s v="GO"/>
    <n v="2476"/>
    <m/>
    <n v="687"/>
    <n v="1660"/>
    <n v="3"/>
    <n v="37"/>
    <n v="116"/>
    <n v="24"/>
  </r>
  <r>
    <x v="1"/>
    <s v="MA"/>
    <n v="652"/>
    <m/>
    <n v="182"/>
    <n v="379"/>
    <n v="8"/>
    <n v="17"/>
    <n v="67"/>
    <n v="21"/>
  </r>
  <r>
    <x v="1"/>
    <s v="MG"/>
    <n v="4349"/>
    <n v="26"/>
    <n v="702"/>
    <n v="3156"/>
    <n v="36"/>
    <n v="118"/>
    <n v="431"/>
    <n v="106"/>
  </r>
  <r>
    <x v="1"/>
    <s v="MS"/>
    <n v="1564"/>
    <n v="3"/>
    <n v="501"/>
    <n v="900"/>
    <n v="6"/>
    <n v="32"/>
    <n v="197"/>
    <n v="23"/>
  </r>
  <r>
    <x v="1"/>
    <s v="MT"/>
    <n v="2454"/>
    <n v="1"/>
    <n v="912"/>
    <n v="1506"/>
    <n v="22"/>
    <n v="43"/>
    <n v="142"/>
    <n v="35"/>
  </r>
  <r>
    <x v="1"/>
    <s v="PA"/>
    <n v="791"/>
    <m/>
    <n v="178"/>
    <n v="473"/>
    <n v="24"/>
    <n v="57"/>
    <n v="56"/>
    <n v="20"/>
  </r>
  <r>
    <x v="1"/>
    <s v="PB"/>
    <n v="889"/>
    <m/>
    <n v="196"/>
    <n v="635"/>
    <n v="7"/>
    <n v="13"/>
    <n v="42"/>
    <n v="6"/>
  </r>
  <r>
    <x v="1"/>
    <s v="PE"/>
    <n v="1560"/>
    <n v="3"/>
    <n v="278"/>
    <n v="1065"/>
    <n v="26"/>
    <n v="32"/>
    <n v="172"/>
    <n v="44"/>
  </r>
  <r>
    <x v="1"/>
    <s v="PI"/>
    <n v="445"/>
    <m/>
    <n v="92"/>
    <n v="280"/>
    <n v="1"/>
    <n v="18"/>
    <n v="62"/>
    <n v="14"/>
  </r>
  <r>
    <x v="1"/>
    <s v="PR"/>
    <n v="5624"/>
    <n v="2"/>
    <n v="1950"/>
    <n v="3229"/>
    <n v="83"/>
    <n v="145"/>
    <n v="317"/>
    <n v="247"/>
  </r>
  <r>
    <x v="1"/>
    <s v="RJ"/>
    <n v="5001"/>
    <n v="2"/>
    <n v="1852"/>
    <n v="2544"/>
    <n v="65"/>
    <n v="197"/>
    <n v="449"/>
    <n v="31"/>
  </r>
  <r>
    <x v="1"/>
    <s v="RN"/>
    <n v="767"/>
    <m/>
    <n v="158"/>
    <n v="529"/>
    <n v="2"/>
    <n v="24"/>
    <n v="53"/>
    <n v="32"/>
  </r>
  <r>
    <x v="1"/>
    <s v="RO"/>
    <n v="633"/>
    <n v="1"/>
    <n v="189"/>
    <n v="375"/>
    <n v="3"/>
    <n v="20"/>
    <n v="95"/>
    <n v="9"/>
  </r>
  <r>
    <x v="1"/>
    <s v="RR"/>
    <n v="144"/>
    <m/>
    <n v="38"/>
    <n v="94"/>
    <n v="5"/>
    <n v="5"/>
    <n v="5"/>
    <n v="1"/>
  </r>
  <r>
    <x v="1"/>
    <s v="RS"/>
    <n v="7579"/>
    <n v="1"/>
    <n v="2754"/>
    <n v="3637"/>
    <n v="40"/>
    <n v="174"/>
    <n v="1261"/>
    <n v="199"/>
  </r>
  <r>
    <x v="1"/>
    <s v="SC"/>
    <n v="4531"/>
    <n v="3"/>
    <n v="1540"/>
    <n v="2345"/>
    <n v="40"/>
    <n v="88"/>
    <n v="588"/>
    <n v="210"/>
  </r>
  <r>
    <x v="1"/>
    <s v="SE"/>
    <n v="670"/>
    <m/>
    <n v="189"/>
    <n v="455"/>
    <n v="22"/>
    <n v="23"/>
    <n v="52"/>
    <n v="13"/>
  </r>
  <r>
    <x v="1"/>
    <s v="SP"/>
    <n v="25601"/>
    <n v="5"/>
    <n v="9904"/>
    <n v="11220"/>
    <n v="332"/>
    <n v="1582"/>
    <n v="3357"/>
    <n v="390"/>
  </r>
  <r>
    <x v="1"/>
    <s v="TO"/>
    <n v="375"/>
    <m/>
    <n v="94"/>
    <n v="234"/>
    <n v="13"/>
    <n v="11"/>
    <n v="32"/>
    <m/>
  </r>
  <r>
    <x v="2"/>
    <s v="AC"/>
    <n v="261"/>
    <n v="1"/>
    <n v="67"/>
    <n v="179"/>
    <n v="1"/>
    <n v="3"/>
    <n v="10"/>
    <n v="2"/>
  </r>
  <r>
    <x v="2"/>
    <s v="AL"/>
    <n v="902"/>
    <m/>
    <n v="217"/>
    <n v="593"/>
    <n v="14"/>
    <n v="10"/>
    <n v="62"/>
    <n v="31"/>
  </r>
  <r>
    <x v="2"/>
    <s v="AM"/>
    <n v="760"/>
    <n v="1"/>
    <n v="183"/>
    <n v="507"/>
    <n v="9"/>
    <n v="17"/>
    <n v="52"/>
    <n v="11"/>
  </r>
  <r>
    <x v="2"/>
    <s v="AP"/>
    <n v="385"/>
    <n v="1"/>
    <n v="128"/>
    <n v="200"/>
    <n v="9"/>
    <n v="36"/>
    <n v="5"/>
    <n v="15"/>
  </r>
  <r>
    <x v="2"/>
    <s v="BA"/>
    <n v="2520"/>
    <m/>
    <n v="558"/>
    <n v="1723"/>
    <n v="42"/>
    <n v="84"/>
    <n v="154"/>
    <n v="55"/>
  </r>
  <r>
    <x v="2"/>
    <s v="CE"/>
    <n v="1334"/>
    <n v="2"/>
    <n v="240"/>
    <n v="890"/>
    <n v="19"/>
    <n v="70"/>
    <n v="69"/>
    <n v="85"/>
  </r>
  <r>
    <x v="2"/>
    <s v="DF"/>
    <n v="1614"/>
    <m/>
    <n v="545"/>
    <n v="875"/>
    <n v="2"/>
    <n v="50"/>
    <n v="174"/>
    <n v="11"/>
  </r>
  <r>
    <x v="2"/>
    <s v="ES"/>
    <n v="1683"/>
    <n v="1"/>
    <n v="523"/>
    <n v="969"/>
    <n v="6"/>
    <n v="45"/>
    <n v="169"/>
    <n v="39"/>
  </r>
  <r>
    <x v="2"/>
    <s v="GO"/>
    <n v="3378"/>
    <m/>
    <n v="930"/>
    <n v="2294"/>
    <n v="3"/>
    <n v="56"/>
    <n v="133"/>
    <n v="33"/>
  </r>
  <r>
    <x v="2"/>
    <s v="MA"/>
    <n v="700"/>
    <m/>
    <n v="179"/>
    <n v="397"/>
    <n v="24"/>
    <n v="19"/>
    <n v="56"/>
    <n v="42"/>
  </r>
  <r>
    <x v="2"/>
    <s v="MG"/>
    <n v="5847"/>
    <n v="10"/>
    <n v="1052"/>
    <n v="4133"/>
    <n v="49"/>
    <n v="252"/>
    <n v="555"/>
    <n v="118"/>
  </r>
  <r>
    <x v="2"/>
    <s v="MS"/>
    <n v="2166"/>
    <n v="1"/>
    <n v="706"/>
    <n v="1130"/>
    <n v="88"/>
    <n v="72"/>
    <n v="246"/>
    <n v="41"/>
  </r>
  <r>
    <x v="2"/>
    <s v="MT"/>
    <n v="3220"/>
    <n v="1"/>
    <n v="1196"/>
    <n v="1937"/>
    <n v="41"/>
    <n v="46"/>
    <n v="210"/>
    <n v="46"/>
  </r>
  <r>
    <x v="2"/>
    <s v="PA"/>
    <n v="1091"/>
    <m/>
    <n v="321"/>
    <n v="654"/>
    <n v="27"/>
    <n v="28"/>
    <n v="52"/>
    <n v="26"/>
  </r>
  <r>
    <x v="2"/>
    <s v="PB"/>
    <n v="1174"/>
    <m/>
    <n v="307"/>
    <n v="799"/>
    <n v="11"/>
    <n v="20"/>
    <n v="38"/>
    <n v="13"/>
  </r>
  <r>
    <x v="2"/>
    <s v="PE"/>
    <n v="1969"/>
    <n v="1"/>
    <n v="340"/>
    <n v="1350"/>
    <n v="23"/>
    <n v="41"/>
    <n v="234"/>
    <n v="47"/>
  </r>
  <r>
    <x v="2"/>
    <s v="PI"/>
    <n v="518"/>
    <m/>
    <n v="97"/>
    <n v="335"/>
    <n v="1"/>
    <n v="10"/>
    <n v="62"/>
    <n v="29"/>
  </r>
  <r>
    <x v="2"/>
    <s v="PR"/>
    <n v="7162"/>
    <n v="10"/>
    <n v="2416"/>
    <n v="4140"/>
    <n v="92"/>
    <n v="214"/>
    <n v="366"/>
    <n v="343"/>
  </r>
  <r>
    <x v="2"/>
    <s v="RJ"/>
    <n v="6025"/>
    <n v="3"/>
    <n v="2276"/>
    <n v="3020"/>
    <n v="100"/>
    <n v="208"/>
    <n v="533"/>
    <n v="45"/>
  </r>
  <r>
    <x v="2"/>
    <s v="RN"/>
    <n v="894"/>
    <m/>
    <n v="141"/>
    <n v="674"/>
    <n v="4"/>
    <n v="15"/>
    <n v="71"/>
    <n v="22"/>
  </r>
  <r>
    <x v="2"/>
    <s v="RO"/>
    <n v="820"/>
    <n v="2"/>
    <n v="208"/>
    <n v="512"/>
    <n v="14"/>
    <n v="28"/>
    <n v="102"/>
    <n v="15"/>
  </r>
  <r>
    <x v="2"/>
    <s v="RR"/>
    <n v="145"/>
    <m/>
    <n v="31"/>
    <n v="100"/>
    <m/>
    <n v="7"/>
    <n v="9"/>
    <m/>
  </r>
  <r>
    <x v="2"/>
    <s v="RS"/>
    <n v="8797"/>
    <n v="1"/>
    <n v="3056"/>
    <n v="4240"/>
    <n v="34"/>
    <n v="227"/>
    <n v="1659"/>
    <n v="218"/>
  </r>
  <r>
    <x v="2"/>
    <s v="SC"/>
    <n v="6453"/>
    <n v="10"/>
    <n v="2195"/>
    <n v="3340"/>
    <n v="84"/>
    <n v="149"/>
    <n v="768"/>
    <n v="291"/>
  </r>
  <r>
    <x v="2"/>
    <s v="SE"/>
    <n v="961"/>
    <m/>
    <n v="350"/>
    <n v="656"/>
    <n v="4"/>
    <n v="12"/>
    <n v="57"/>
    <n v="20"/>
  </r>
  <r>
    <x v="2"/>
    <s v="SP"/>
    <n v="32744"/>
    <n v="4"/>
    <n v="12792"/>
    <n v="14468"/>
    <n v="421"/>
    <n v="1903"/>
    <n v="4289"/>
    <n v="497"/>
  </r>
  <r>
    <x v="2"/>
    <s v="TO"/>
    <n v="501"/>
    <m/>
    <n v="111"/>
    <n v="344"/>
    <n v="2"/>
    <n v="11"/>
    <n v="41"/>
    <n v="2"/>
  </r>
  <r>
    <x v="3"/>
    <s v="AC"/>
    <n v="207"/>
    <m/>
    <n v="45"/>
    <n v="148"/>
    <n v="1"/>
    <n v="7"/>
    <n v="3"/>
    <n v="6"/>
  </r>
  <r>
    <x v="3"/>
    <s v="AL"/>
    <n v="821"/>
    <m/>
    <n v="164"/>
    <n v="540"/>
    <n v="6"/>
    <n v="50"/>
    <n v="43"/>
    <n v="40"/>
  </r>
  <r>
    <x v="3"/>
    <s v="AM"/>
    <n v="641"/>
    <m/>
    <n v="141"/>
    <n v="452"/>
    <n v="9"/>
    <n v="14"/>
    <n v="33"/>
    <n v="10"/>
  </r>
  <r>
    <x v="3"/>
    <s v="AP"/>
    <n v="275"/>
    <m/>
    <n v="77"/>
    <n v="149"/>
    <n v="3"/>
    <n v="31"/>
    <n v="15"/>
    <n v="5"/>
  </r>
  <r>
    <x v="3"/>
    <s v="BA"/>
    <n v="2024"/>
    <m/>
    <n v="501"/>
    <n v="1332"/>
    <n v="25"/>
    <n v="60"/>
    <n v="121"/>
    <n v="30"/>
  </r>
  <r>
    <x v="3"/>
    <s v="CE"/>
    <n v="1155"/>
    <n v="2"/>
    <n v="234"/>
    <n v="744"/>
    <n v="7"/>
    <n v="39"/>
    <n v="67"/>
    <n v="96"/>
  </r>
  <r>
    <x v="3"/>
    <s v="DF"/>
    <n v="1422"/>
    <n v="1"/>
    <n v="472"/>
    <n v="810"/>
    <n v="1"/>
    <n v="38"/>
    <n v="131"/>
    <n v="14"/>
  </r>
  <r>
    <x v="3"/>
    <s v="ES"/>
    <n v="1311"/>
    <m/>
    <n v="385"/>
    <n v="744"/>
    <n v="3"/>
    <n v="35"/>
    <n v="133"/>
    <n v="48"/>
  </r>
  <r>
    <x v="3"/>
    <s v="GO"/>
    <n v="2626"/>
    <n v="3"/>
    <n v="677"/>
    <n v="1834"/>
    <n v="3"/>
    <n v="29"/>
    <n v="107"/>
    <n v="29"/>
  </r>
  <r>
    <x v="3"/>
    <s v="MA"/>
    <n v="611"/>
    <m/>
    <n v="142"/>
    <n v="387"/>
    <n v="12"/>
    <n v="14"/>
    <n v="52"/>
    <n v="26"/>
  </r>
  <r>
    <x v="3"/>
    <s v="MG"/>
    <n v="4913"/>
    <n v="13"/>
    <n v="830"/>
    <n v="3478"/>
    <n v="17"/>
    <n v="158"/>
    <n v="508"/>
    <n v="180"/>
  </r>
  <r>
    <x v="3"/>
    <s v="MS"/>
    <n v="1592"/>
    <m/>
    <n v="523"/>
    <n v="855"/>
    <n v="14"/>
    <n v="59"/>
    <n v="190"/>
    <n v="54"/>
  </r>
  <r>
    <x v="3"/>
    <s v="MT"/>
    <n v="2686"/>
    <m/>
    <n v="1017"/>
    <n v="1656"/>
    <n v="22"/>
    <n v="50"/>
    <n v="187"/>
    <n v="30"/>
  </r>
  <r>
    <x v="3"/>
    <s v="PA"/>
    <n v="1011"/>
    <m/>
    <n v="254"/>
    <n v="636"/>
    <n v="10"/>
    <n v="49"/>
    <n v="60"/>
    <n v="26"/>
  </r>
  <r>
    <x v="3"/>
    <s v="PB"/>
    <n v="898"/>
    <m/>
    <n v="206"/>
    <n v="619"/>
    <n v="11"/>
    <n v="16"/>
    <n v="50"/>
    <n v="17"/>
  </r>
  <r>
    <x v="3"/>
    <s v="PE"/>
    <n v="1667"/>
    <n v="2"/>
    <n v="335"/>
    <n v="1132"/>
    <n v="9"/>
    <n v="30"/>
    <n v="178"/>
    <n v="27"/>
  </r>
  <r>
    <x v="3"/>
    <s v="PI"/>
    <n v="478"/>
    <m/>
    <n v="99"/>
    <n v="281"/>
    <n v="2"/>
    <n v="11"/>
    <n v="61"/>
    <n v="44"/>
  </r>
  <r>
    <x v="3"/>
    <s v="PR"/>
    <n v="6003"/>
    <n v="3"/>
    <n v="2035"/>
    <n v="3414"/>
    <n v="63"/>
    <n v="172"/>
    <n v="339"/>
    <n v="360"/>
  </r>
  <r>
    <x v="3"/>
    <s v="RJ"/>
    <n v="5065"/>
    <n v="4"/>
    <n v="1859"/>
    <n v="2586"/>
    <n v="69"/>
    <n v="171"/>
    <n v="454"/>
    <n v="34"/>
  </r>
  <r>
    <x v="3"/>
    <s v="RN"/>
    <n v="791"/>
    <m/>
    <n v="163"/>
    <n v="558"/>
    <n v="4"/>
    <n v="19"/>
    <n v="58"/>
    <n v="25"/>
  </r>
  <r>
    <x v="3"/>
    <s v="RO"/>
    <n v="816"/>
    <m/>
    <n v="238"/>
    <n v="504"/>
    <m/>
    <n v="17"/>
    <n v="110"/>
    <n v="18"/>
  </r>
  <r>
    <x v="3"/>
    <s v="RR"/>
    <n v="145"/>
    <m/>
    <n v="33"/>
    <n v="106"/>
    <n v="1"/>
    <n v="4"/>
    <n v="7"/>
    <n v="3"/>
  </r>
  <r>
    <x v="3"/>
    <s v="RS"/>
    <n v="7546"/>
    <n v="2"/>
    <n v="2646"/>
    <n v="3583"/>
    <n v="47"/>
    <n v="147"/>
    <n v="1428"/>
    <n v="193"/>
  </r>
  <r>
    <x v="3"/>
    <s v="SC"/>
    <n v="4932"/>
    <n v="8"/>
    <n v="1640"/>
    <n v="2513"/>
    <n v="34"/>
    <n v="135"/>
    <n v="628"/>
    <n v="276"/>
  </r>
  <r>
    <x v="3"/>
    <s v="SE"/>
    <n v="732"/>
    <m/>
    <n v="261"/>
    <n v="531"/>
    <n v="2"/>
    <n v="24"/>
    <n v="45"/>
    <n v="18"/>
  </r>
  <r>
    <x v="3"/>
    <s v="SP"/>
    <n v="27573"/>
    <n v="10"/>
    <n v="10999"/>
    <n v="12314"/>
    <n v="313"/>
    <n v="1516"/>
    <n v="3530"/>
    <n v="401"/>
  </r>
  <r>
    <x v="3"/>
    <s v="TO"/>
    <n v="458"/>
    <m/>
    <n v="133"/>
    <n v="284"/>
    <n v="1"/>
    <n v="14"/>
    <n v="43"/>
    <n v="2"/>
  </r>
  <r>
    <x v="4"/>
    <s v="AC"/>
    <n v="249"/>
    <m/>
    <n v="79"/>
    <n v="153"/>
    <n v="2"/>
    <n v="10"/>
    <n v="4"/>
    <n v="5"/>
  </r>
  <r>
    <x v="4"/>
    <s v="AL"/>
    <n v="756"/>
    <m/>
    <n v="173"/>
    <n v="527"/>
    <n v="5"/>
    <n v="17"/>
    <n v="34"/>
    <n v="28"/>
  </r>
  <r>
    <x v="4"/>
    <s v="AM"/>
    <n v="735"/>
    <m/>
    <n v="189"/>
    <n v="503"/>
    <n v="2"/>
    <n v="20"/>
    <n v="43"/>
    <n v="8"/>
  </r>
  <r>
    <x v="4"/>
    <s v="AP"/>
    <n v="387"/>
    <m/>
    <n v="126"/>
    <n v="195"/>
    <n v="10"/>
    <n v="34"/>
    <n v="9"/>
    <n v="17"/>
  </r>
  <r>
    <x v="4"/>
    <s v="BA"/>
    <n v="2701"/>
    <n v="1"/>
    <n v="722"/>
    <n v="1751"/>
    <n v="27"/>
    <n v="73"/>
    <n v="154"/>
    <n v="40"/>
  </r>
  <r>
    <x v="4"/>
    <s v="CE"/>
    <n v="1562"/>
    <m/>
    <n v="346"/>
    <n v="1021"/>
    <n v="11"/>
    <n v="54"/>
    <n v="68"/>
    <n v="108"/>
  </r>
  <r>
    <x v="4"/>
    <s v="DF"/>
    <n v="1792"/>
    <m/>
    <n v="609"/>
    <n v="1006"/>
    <n v="3"/>
    <n v="64"/>
    <n v="175"/>
    <n v="21"/>
  </r>
  <r>
    <x v="4"/>
    <s v="ES"/>
    <n v="1609"/>
    <n v="2"/>
    <n v="480"/>
    <n v="873"/>
    <n v="11"/>
    <n v="30"/>
    <n v="194"/>
    <n v="56"/>
  </r>
  <r>
    <x v="4"/>
    <s v="GO"/>
    <n v="3151"/>
    <m/>
    <n v="927"/>
    <n v="2082"/>
    <n v="9"/>
    <n v="46"/>
    <n v="125"/>
    <n v="27"/>
  </r>
  <r>
    <x v="4"/>
    <s v="MA"/>
    <n v="686"/>
    <n v="1"/>
    <n v="168"/>
    <n v="406"/>
    <n v="11"/>
    <n v="11"/>
    <n v="66"/>
    <n v="44"/>
  </r>
  <r>
    <x v="4"/>
    <s v="MG"/>
    <n v="5854"/>
    <n v="23"/>
    <n v="1023"/>
    <n v="4214"/>
    <n v="23"/>
    <n v="143"/>
    <n v="570"/>
    <n v="143"/>
  </r>
  <r>
    <x v="4"/>
    <s v="MS"/>
    <n v="2025"/>
    <m/>
    <n v="648"/>
    <n v="1125"/>
    <n v="20"/>
    <n v="67"/>
    <n v="226"/>
    <n v="52"/>
  </r>
  <r>
    <x v="4"/>
    <s v="MT"/>
    <n v="3258"/>
    <n v="1"/>
    <n v="1201"/>
    <n v="2012"/>
    <n v="55"/>
    <n v="56"/>
    <n v="221"/>
    <n v="43"/>
  </r>
  <r>
    <x v="4"/>
    <s v="PA"/>
    <n v="1157"/>
    <n v="1"/>
    <n v="283"/>
    <n v="734"/>
    <n v="29"/>
    <n v="48"/>
    <n v="64"/>
    <n v="20"/>
  </r>
  <r>
    <x v="4"/>
    <s v="PB"/>
    <n v="1125"/>
    <m/>
    <n v="254"/>
    <n v="816"/>
    <n v="10"/>
    <n v="21"/>
    <n v="47"/>
    <n v="6"/>
  </r>
  <r>
    <x v="4"/>
    <s v="PE"/>
    <n v="1919"/>
    <n v="2"/>
    <n v="421"/>
    <n v="1268"/>
    <n v="17"/>
    <n v="38"/>
    <n v="209"/>
    <n v="35"/>
  </r>
  <r>
    <x v="4"/>
    <s v="PI"/>
    <n v="523"/>
    <n v="3"/>
    <n v="130"/>
    <n v="302"/>
    <n v="2"/>
    <n v="13"/>
    <n v="53"/>
    <n v="39"/>
  </r>
  <r>
    <x v="4"/>
    <s v="PR"/>
    <n v="6587"/>
    <n v="2"/>
    <n v="2210"/>
    <n v="3794"/>
    <n v="69"/>
    <n v="199"/>
    <n v="402"/>
    <n v="334"/>
  </r>
  <r>
    <x v="4"/>
    <s v="RJ"/>
    <n v="6372"/>
    <n v="2"/>
    <n v="2367"/>
    <n v="3199"/>
    <n v="82"/>
    <n v="242"/>
    <n v="591"/>
    <n v="55"/>
  </r>
  <r>
    <x v="4"/>
    <s v="RN"/>
    <n v="921"/>
    <m/>
    <n v="177"/>
    <n v="661"/>
    <n v="2"/>
    <n v="16"/>
    <n v="63"/>
    <n v="39"/>
  </r>
  <r>
    <x v="4"/>
    <s v="RO"/>
    <n v="981"/>
    <n v="1"/>
    <n v="309"/>
    <n v="626"/>
    <n v="2"/>
    <n v="20"/>
    <n v="119"/>
    <n v="4"/>
  </r>
  <r>
    <x v="4"/>
    <s v="RR"/>
    <n v="191"/>
    <n v="2"/>
    <n v="40"/>
    <n v="120"/>
    <n v="22"/>
    <n v="5"/>
    <n v="16"/>
    <n v="1"/>
  </r>
  <r>
    <x v="4"/>
    <s v="RS"/>
    <n v="8694"/>
    <m/>
    <n v="3049"/>
    <n v="4203"/>
    <n v="26"/>
    <n v="211"/>
    <n v="1632"/>
    <n v="209"/>
  </r>
  <r>
    <x v="4"/>
    <s v="SC"/>
    <n v="5758"/>
    <n v="5"/>
    <n v="1938"/>
    <n v="2998"/>
    <n v="63"/>
    <n v="141"/>
    <n v="683"/>
    <n v="286"/>
  </r>
  <r>
    <x v="4"/>
    <s v="SE"/>
    <n v="797"/>
    <m/>
    <n v="263"/>
    <n v="610"/>
    <n v="7"/>
    <n v="6"/>
    <n v="64"/>
    <n v="12"/>
  </r>
  <r>
    <x v="4"/>
    <s v="SP"/>
    <n v="32927"/>
    <n v="5"/>
    <n v="13193"/>
    <n v="14669"/>
    <n v="393"/>
    <n v="1888"/>
    <n v="4074"/>
    <n v="442"/>
  </r>
  <r>
    <x v="4"/>
    <s v="TO"/>
    <n v="588"/>
    <m/>
    <n v="159"/>
    <n v="389"/>
    <m/>
    <n v="22"/>
    <n v="34"/>
    <n v="1"/>
  </r>
  <r>
    <x v="5"/>
    <s v="AC"/>
    <n v="328"/>
    <m/>
    <n v="99"/>
    <n v="208"/>
    <m/>
    <n v="14"/>
    <n v="9"/>
    <n v="8"/>
  </r>
  <r>
    <x v="5"/>
    <s v="AL"/>
    <n v="626"/>
    <m/>
    <n v="121"/>
    <n v="465"/>
    <n v="7"/>
    <n v="14"/>
    <n v="33"/>
    <n v="23"/>
  </r>
  <r>
    <x v="5"/>
    <s v="AM"/>
    <n v="755"/>
    <m/>
    <n v="188"/>
    <n v="501"/>
    <n v="10"/>
    <n v="24"/>
    <n v="48"/>
    <n v="18"/>
  </r>
  <r>
    <x v="5"/>
    <s v="AP"/>
    <n v="389"/>
    <m/>
    <n v="137"/>
    <n v="190"/>
    <n v="9"/>
    <n v="39"/>
    <n v="8"/>
    <n v="8"/>
  </r>
  <r>
    <x v="5"/>
    <s v="BA"/>
    <n v="2034"/>
    <n v="1"/>
    <n v="520"/>
    <n v="1305"/>
    <n v="19"/>
    <n v="79"/>
    <n v="129"/>
    <n v="38"/>
  </r>
  <r>
    <x v="5"/>
    <s v="CE"/>
    <n v="1554"/>
    <n v="2"/>
    <n v="337"/>
    <n v="1003"/>
    <n v="4"/>
    <n v="69"/>
    <n v="78"/>
    <n v="112"/>
  </r>
  <r>
    <x v="5"/>
    <s v="DF"/>
    <n v="1547"/>
    <m/>
    <n v="466"/>
    <n v="900"/>
    <n v="1"/>
    <n v="46"/>
    <n v="180"/>
    <n v="18"/>
  </r>
  <r>
    <x v="5"/>
    <s v="ES"/>
    <n v="1488"/>
    <m/>
    <n v="446"/>
    <n v="853"/>
    <n v="1"/>
    <n v="38"/>
    <n v="148"/>
    <n v="46"/>
  </r>
  <r>
    <x v="5"/>
    <s v="GO"/>
    <n v="2894"/>
    <m/>
    <n v="831"/>
    <n v="1909"/>
    <n v="7"/>
    <n v="43"/>
    <n v="129"/>
    <n v="24"/>
  </r>
  <r>
    <x v="5"/>
    <s v="MA"/>
    <n v="648"/>
    <n v="1"/>
    <n v="165"/>
    <n v="416"/>
    <n v="8"/>
    <n v="23"/>
    <n v="49"/>
    <n v="19"/>
  </r>
  <r>
    <x v="5"/>
    <s v="MG"/>
    <n v="5557"/>
    <n v="8"/>
    <n v="985"/>
    <n v="3985"/>
    <n v="38"/>
    <n v="167"/>
    <n v="520"/>
    <n v="139"/>
  </r>
  <r>
    <x v="5"/>
    <s v="MS"/>
    <n v="1876"/>
    <n v="2"/>
    <n v="626"/>
    <n v="997"/>
    <n v="15"/>
    <n v="75"/>
    <n v="217"/>
    <n v="49"/>
  </r>
  <r>
    <x v="5"/>
    <s v="MT"/>
    <n v="3134"/>
    <n v="2"/>
    <n v="1184"/>
    <n v="1924"/>
    <n v="41"/>
    <n v="48"/>
    <n v="211"/>
    <n v="34"/>
  </r>
  <r>
    <x v="5"/>
    <s v="PA"/>
    <n v="1131"/>
    <n v="1"/>
    <n v="351"/>
    <n v="707"/>
    <n v="21"/>
    <n v="66"/>
    <n v="83"/>
    <n v="28"/>
  </r>
  <r>
    <x v="5"/>
    <s v="PB"/>
    <n v="955"/>
    <m/>
    <n v="199"/>
    <n v="700"/>
    <n v="2"/>
    <n v="17"/>
    <n v="46"/>
    <n v="8"/>
  </r>
  <r>
    <x v="5"/>
    <s v="PE"/>
    <n v="1465"/>
    <n v="1"/>
    <n v="215"/>
    <n v="1007"/>
    <n v="17"/>
    <n v="59"/>
    <n v="175"/>
    <n v="27"/>
  </r>
  <r>
    <x v="5"/>
    <s v="PI"/>
    <n v="505"/>
    <m/>
    <n v="104"/>
    <n v="296"/>
    <n v="2"/>
    <n v="18"/>
    <n v="71"/>
    <n v="25"/>
  </r>
  <r>
    <x v="5"/>
    <s v="PR"/>
    <n v="6258"/>
    <n v="8"/>
    <n v="2141"/>
    <n v="3536"/>
    <n v="53"/>
    <n v="179"/>
    <n v="392"/>
    <n v="315"/>
  </r>
  <r>
    <x v="5"/>
    <s v="RJ"/>
    <n v="5854"/>
    <n v="2"/>
    <n v="2083"/>
    <n v="2996"/>
    <n v="74"/>
    <n v="231"/>
    <n v="569"/>
    <n v="64"/>
  </r>
  <r>
    <x v="5"/>
    <s v="RN"/>
    <n v="853"/>
    <m/>
    <n v="177"/>
    <n v="593"/>
    <n v="2"/>
    <n v="31"/>
    <n v="71"/>
    <n v="19"/>
  </r>
  <r>
    <x v="5"/>
    <s v="RO"/>
    <n v="806"/>
    <n v="1"/>
    <n v="223"/>
    <n v="498"/>
    <n v="6"/>
    <n v="20"/>
    <n v="120"/>
    <n v="13"/>
  </r>
  <r>
    <x v="5"/>
    <s v="RR"/>
    <n v="147"/>
    <m/>
    <n v="30"/>
    <n v="102"/>
    <n v="1"/>
    <n v="3"/>
    <n v="18"/>
    <m/>
  </r>
  <r>
    <x v="5"/>
    <s v="RS"/>
    <n v="8167"/>
    <n v="4"/>
    <n v="2844"/>
    <n v="3848"/>
    <n v="42"/>
    <n v="209"/>
    <n v="1557"/>
    <n v="222"/>
  </r>
  <r>
    <x v="5"/>
    <s v="SC"/>
    <n v="5423"/>
    <n v="6"/>
    <n v="1817"/>
    <n v="2790"/>
    <n v="81"/>
    <n v="165"/>
    <n v="619"/>
    <n v="272"/>
  </r>
  <r>
    <x v="5"/>
    <s v="SE"/>
    <n v="596"/>
    <m/>
    <n v="192"/>
    <n v="443"/>
    <n v="4"/>
    <n v="16"/>
    <n v="49"/>
    <n v="14"/>
  </r>
  <r>
    <x v="5"/>
    <s v="SP"/>
    <n v="30909"/>
    <n v="6"/>
    <n v="12392"/>
    <n v="13600"/>
    <n v="347"/>
    <n v="1739"/>
    <n v="3978"/>
    <n v="477"/>
  </r>
  <r>
    <x v="5"/>
    <s v="TO"/>
    <n v="481"/>
    <m/>
    <n v="129"/>
    <n v="322"/>
    <n v="1"/>
    <n v="10"/>
    <n v="33"/>
    <n v="2"/>
  </r>
  <r>
    <x v="6"/>
    <s v="AC"/>
    <n v="269"/>
    <m/>
    <n v="73"/>
    <n v="178"/>
    <n v="2"/>
    <n v="8"/>
    <n v="12"/>
    <m/>
  </r>
  <r>
    <x v="6"/>
    <s v="AL"/>
    <n v="644"/>
    <m/>
    <n v="134"/>
    <n v="451"/>
    <n v="5"/>
    <n v="14"/>
    <n v="44"/>
    <n v="21"/>
  </r>
  <r>
    <x v="6"/>
    <s v="AM"/>
    <n v="665"/>
    <m/>
    <n v="168"/>
    <n v="439"/>
    <n v="5"/>
    <n v="18"/>
    <n v="44"/>
    <n v="13"/>
  </r>
  <r>
    <x v="6"/>
    <s v="AP"/>
    <n v="346"/>
    <m/>
    <n v="131"/>
    <n v="183"/>
    <n v="7"/>
    <n v="15"/>
    <n v="4"/>
    <n v="8"/>
  </r>
  <r>
    <x v="6"/>
    <s v="BA"/>
    <n v="2195"/>
    <n v="1"/>
    <n v="577"/>
    <n v="1403"/>
    <n v="25"/>
    <n v="77"/>
    <n v="145"/>
    <n v="25"/>
  </r>
  <r>
    <x v="6"/>
    <s v="CE"/>
    <n v="1515"/>
    <n v="1"/>
    <n v="351"/>
    <n v="968"/>
    <n v="4"/>
    <n v="50"/>
    <n v="74"/>
    <n v="113"/>
  </r>
  <r>
    <x v="6"/>
    <s v="DF"/>
    <n v="1433"/>
    <m/>
    <n v="461"/>
    <n v="820"/>
    <m/>
    <n v="57"/>
    <n v="144"/>
    <n v="16"/>
  </r>
  <r>
    <x v="6"/>
    <s v="ES"/>
    <n v="1634"/>
    <m/>
    <n v="532"/>
    <n v="927"/>
    <n v="6"/>
    <n v="33"/>
    <n v="154"/>
    <n v="44"/>
  </r>
  <r>
    <x v="6"/>
    <s v="GO"/>
    <n v="2686"/>
    <n v="1"/>
    <n v="764"/>
    <n v="1762"/>
    <n v="7"/>
    <n v="37"/>
    <n v="110"/>
    <n v="50"/>
  </r>
  <r>
    <x v="6"/>
    <s v="MA"/>
    <n v="690"/>
    <m/>
    <n v="169"/>
    <n v="389"/>
    <n v="2"/>
    <n v="10"/>
    <n v="83"/>
    <n v="52"/>
  </r>
  <r>
    <x v="6"/>
    <s v="MG"/>
    <n v="5413"/>
    <n v="8"/>
    <n v="979"/>
    <n v="3818"/>
    <n v="23"/>
    <n v="197"/>
    <n v="548"/>
    <n v="148"/>
  </r>
  <r>
    <x v="6"/>
    <s v="MS"/>
    <n v="1956"/>
    <n v="2"/>
    <n v="705"/>
    <n v="1037"/>
    <n v="16"/>
    <n v="48"/>
    <n v="212"/>
    <n v="46"/>
  </r>
  <r>
    <x v="6"/>
    <s v="MT"/>
    <n v="2940"/>
    <m/>
    <n v="1036"/>
    <n v="1813"/>
    <n v="38"/>
    <n v="51"/>
    <n v="207"/>
    <n v="34"/>
  </r>
  <r>
    <x v="6"/>
    <s v="PA"/>
    <n v="922"/>
    <m/>
    <n v="227"/>
    <n v="569"/>
    <n v="32"/>
    <n v="34"/>
    <n v="59"/>
    <n v="20"/>
  </r>
  <r>
    <x v="6"/>
    <s v="PB"/>
    <n v="938"/>
    <m/>
    <n v="201"/>
    <n v="678"/>
    <n v="1"/>
    <n v="16"/>
    <n v="54"/>
    <n v="11"/>
  </r>
  <r>
    <x v="6"/>
    <s v="PE"/>
    <n v="1724"/>
    <n v="1"/>
    <n v="299"/>
    <n v="1161"/>
    <n v="10"/>
    <n v="44"/>
    <n v="240"/>
    <n v="34"/>
  </r>
  <r>
    <x v="6"/>
    <s v="PI"/>
    <n v="541"/>
    <m/>
    <n v="120"/>
    <n v="312"/>
    <n v="3"/>
    <n v="23"/>
    <n v="80"/>
    <n v="21"/>
  </r>
  <r>
    <x v="6"/>
    <s v="PR"/>
    <n v="6571"/>
    <n v="3"/>
    <n v="2286"/>
    <n v="3792"/>
    <n v="57"/>
    <n v="166"/>
    <n v="354"/>
    <n v="313"/>
  </r>
  <r>
    <x v="6"/>
    <s v="RJ"/>
    <n v="5883"/>
    <n v="1"/>
    <n v="2207"/>
    <n v="2942"/>
    <n v="70"/>
    <n v="227"/>
    <n v="564"/>
    <n v="60"/>
  </r>
  <r>
    <x v="6"/>
    <s v="RN"/>
    <n v="809"/>
    <m/>
    <n v="148"/>
    <n v="559"/>
    <n v="2"/>
    <n v="28"/>
    <n v="66"/>
    <n v="34"/>
  </r>
  <r>
    <x v="6"/>
    <s v="RO"/>
    <n v="860"/>
    <n v="2"/>
    <n v="245"/>
    <n v="527"/>
    <n v="9"/>
    <n v="14"/>
    <n v="123"/>
    <n v="11"/>
  </r>
  <r>
    <x v="6"/>
    <s v="RR"/>
    <n v="130"/>
    <m/>
    <n v="30"/>
    <n v="89"/>
    <n v="1"/>
    <n v="7"/>
    <n v="15"/>
    <n v="1"/>
  </r>
  <r>
    <x v="6"/>
    <s v="RS"/>
    <n v="8151"/>
    <n v="2"/>
    <n v="2862"/>
    <n v="3927"/>
    <n v="25"/>
    <n v="209"/>
    <n v="1497"/>
    <n v="232"/>
  </r>
  <r>
    <x v="6"/>
    <s v="SC"/>
    <n v="5471"/>
    <n v="3"/>
    <n v="1912"/>
    <n v="2798"/>
    <n v="88"/>
    <n v="154"/>
    <n v="623"/>
    <n v="258"/>
  </r>
  <r>
    <x v="6"/>
    <s v="SE"/>
    <n v="669"/>
    <m/>
    <n v="218"/>
    <n v="504"/>
    <n v="6"/>
    <n v="19"/>
    <n v="52"/>
    <n v="8"/>
  </r>
  <r>
    <x v="6"/>
    <s v="SP"/>
    <n v="29999"/>
    <n v="13"/>
    <n v="12058"/>
    <n v="13380"/>
    <n v="294"/>
    <n v="1661"/>
    <n v="3884"/>
    <n v="389"/>
  </r>
  <r>
    <x v="6"/>
    <s v="TO"/>
    <n v="382"/>
    <m/>
    <n v="99"/>
    <n v="252"/>
    <n v="1"/>
    <n v="10"/>
    <n v="26"/>
    <n v="1"/>
  </r>
  <r>
    <x v="7"/>
    <s v="AC"/>
    <n v="278"/>
    <m/>
    <n v="76"/>
    <n v="182"/>
    <n v="3"/>
    <n v="13"/>
    <n v="4"/>
    <n v="4"/>
  </r>
  <r>
    <x v="7"/>
    <s v="AL"/>
    <n v="894"/>
    <m/>
    <n v="206"/>
    <n v="630"/>
    <n v="10"/>
    <n v="19"/>
    <n v="41"/>
    <n v="35"/>
  </r>
  <r>
    <x v="7"/>
    <s v="AM"/>
    <n v="826"/>
    <m/>
    <n v="205"/>
    <n v="548"/>
    <n v="5"/>
    <n v="20"/>
    <n v="52"/>
    <n v="26"/>
  </r>
  <r>
    <x v="7"/>
    <s v="AP"/>
    <n v="398"/>
    <m/>
    <n v="149"/>
    <n v="195"/>
    <n v="4"/>
    <n v="46"/>
    <n v="4"/>
    <n v="6"/>
  </r>
  <r>
    <x v="7"/>
    <s v="BA"/>
    <n v="2611"/>
    <n v="4"/>
    <n v="690"/>
    <n v="1708"/>
    <n v="16"/>
    <n v="66"/>
    <n v="151"/>
    <n v="42"/>
  </r>
  <r>
    <x v="7"/>
    <s v="CE"/>
    <n v="1654"/>
    <n v="1"/>
    <n v="398"/>
    <n v="1057"/>
    <n v="5"/>
    <n v="54"/>
    <n v="86"/>
    <n v="113"/>
  </r>
  <r>
    <x v="7"/>
    <s v="DF"/>
    <n v="1605"/>
    <n v="1"/>
    <n v="522"/>
    <n v="908"/>
    <n v="1"/>
    <n v="36"/>
    <n v="174"/>
    <n v="27"/>
  </r>
  <r>
    <x v="7"/>
    <s v="ES"/>
    <n v="1662"/>
    <n v="1"/>
    <n v="531"/>
    <n v="911"/>
    <n v="14"/>
    <n v="49"/>
    <n v="184"/>
    <n v="38"/>
  </r>
  <r>
    <x v="7"/>
    <s v="GO"/>
    <n v="3270"/>
    <m/>
    <n v="1003"/>
    <n v="2133"/>
    <n v="8"/>
    <n v="53"/>
    <n v="115"/>
    <n v="39"/>
  </r>
  <r>
    <x v="7"/>
    <s v="MA"/>
    <n v="766"/>
    <m/>
    <n v="184"/>
    <n v="487"/>
    <n v="2"/>
    <n v="17"/>
    <n v="70"/>
    <n v="32"/>
  </r>
  <r>
    <x v="7"/>
    <s v="MG"/>
    <n v="5905"/>
    <n v="11"/>
    <n v="1202"/>
    <n v="4140"/>
    <n v="23"/>
    <n v="153"/>
    <n v="569"/>
    <n v="131"/>
  </r>
  <r>
    <x v="7"/>
    <s v="MS"/>
    <n v="1966"/>
    <n v="1"/>
    <n v="653"/>
    <n v="1079"/>
    <n v="8"/>
    <n v="69"/>
    <n v="236"/>
    <n v="45"/>
  </r>
  <r>
    <x v="7"/>
    <s v="MT"/>
    <n v="3179"/>
    <m/>
    <n v="1132"/>
    <n v="1958"/>
    <n v="31"/>
    <n v="69"/>
    <n v="215"/>
    <n v="28"/>
  </r>
  <r>
    <x v="7"/>
    <s v="PA"/>
    <n v="1232"/>
    <m/>
    <n v="386"/>
    <n v="696"/>
    <n v="35"/>
    <n v="40"/>
    <n v="64"/>
    <n v="35"/>
  </r>
  <r>
    <x v="7"/>
    <s v="PB"/>
    <n v="1127"/>
    <m/>
    <n v="265"/>
    <n v="810"/>
    <n v="7"/>
    <n v="16"/>
    <n v="50"/>
    <n v="5"/>
  </r>
  <r>
    <x v="7"/>
    <s v="PE"/>
    <n v="1960"/>
    <n v="4"/>
    <n v="318"/>
    <n v="1347"/>
    <n v="23"/>
    <n v="59"/>
    <n v="219"/>
    <n v="55"/>
  </r>
  <r>
    <x v="7"/>
    <s v="PI"/>
    <n v="598"/>
    <m/>
    <n v="142"/>
    <n v="373"/>
    <n v="3"/>
    <n v="9"/>
    <n v="59"/>
    <n v="28"/>
  </r>
  <r>
    <x v="7"/>
    <s v="PR"/>
    <n v="7233"/>
    <n v="9"/>
    <n v="2507"/>
    <n v="4152"/>
    <n v="62"/>
    <n v="188"/>
    <n v="433"/>
    <n v="361"/>
  </r>
  <r>
    <x v="7"/>
    <s v="RJ"/>
    <n v="6684"/>
    <n v="2"/>
    <n v="2470"/>
    <n v="3450"/>
    <n v="108"/>
    <n v="208"/>
    <n v="619"/>
    <n v="51"/>
  </r>
  <r>
    <x v="7"/>
    <s v="RN"/>
    <n v="925"/>
    <n v="1"/>
    <n v="162"/>
    <n v="654"/>
    <n v="1"/>
    <n v="14"/>
    <n v="73"/>
    <n v="41"/>
  </r>
  <r>
    <x v="7"/>
    <s v="RO"/>
    <n v="908"/>
    <n v="2"/>
    <n v="257"/>
    <n v="560"/>
    <n v="10"/>
    <n v="18"/>
    <n v="139"/>
    <n v="13"/>
  </r>
  <r>
    <x v="7"/>
    <s v="RR"/>
    <n v="129"/>
    <m/>
    <n v="38"/>
    <n v="83"/>
    <n v="4"/>
    <n v="3"/>
    <n v="6"/>
    <m/>
  </r>
  <r>
    <x v="7"/>
    <s v="RS"/>
    <n v="9379"/>
    <n v="1"/>
    <n v="3342"/>
    <n v="4478"/>
    <n v="37"/>
    <n v="243"/>
    <n v="1787"/>
    <n v="228"/>
  </r>
  <r>
    <x v="7"/>
    <s v="SC"/>
    <n v="5894"/>
    <n v="8"/>
    <n v="1940"/>
    <n v="3080"/>
    <n v="76"/>
    <n v="156"/>
    <n v="722"/>
    <n v="289"/>
  </r>
  <r>
    <x v="7"/>
    <s v="SE"/>
    <n v="821"/>
    <m/>
    <n v="256"/>
    <n v="575"/>
    <n v="5"/>
    <n v="23"/>
    <n v="71"/>
    <n v="19"/>
  </r>
  <r>
    <x v="7"/>
    <s v="SP"/>
    <n v="33179"/>
    <n v="4"/>
    <n v="13590"/>
    <n v="14379"/>
    <n v="329"/>
    <n v="1870"/>
    <n v="4264"/>
    <n v="537"/>
  </r>
  <r>
    <x v="7"/>
    <s v="TO"/>
    <n v="479"/>
    <m/>
    <n v="139"/>
    <n v="312"/>
    <m/>
    <n v="6"/>
    <n v="27"/>
    <n v="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44">
  <r>
    <d v="2022-01-01T00:00:00"/>
    <x v="0"/>
    <n v="204"/>
    <m/>
    <n v="53"/>
    <n v="145"/>
    <m/>
    <n v="4"/>
    <n v="6"/>
    <m/>
  </r>
  <r>
    <d v="2022-01-01T00:00:00"/>
    <x v="1"/>
    <n v="679"/>
    <n v="1"/>
    <n v="138"/>
    <n v="483"/>
    <n v="4"/>
    <n v="15"/>
    <n v="30"/>
    <n v="34"/>
  </r>
  <r>
    <d v="2022-01-01T00:00:00"/>
    <x v="2"/>
    <n v="534"/>
    <m/>
    <n v="125"/>
    <n v="377"/>
    <n v="3"/>
    <n v="14"/>
    <n v="26"/>
    <n v="9"/>
  </r>
  <r>
    <d v="2022-01-01T00:00:00"/>
    <x v="3"/>
    <n v="275"/>
    <m/>
    <n v="98"/>
    <n v="139"/>
    <n v="8"/>
    <n v="29"/>
    <n v="3"/>
    <n v="5"/>
  </r>
  <r>
    <d v="2022-01-01T00:00:00"/>
    <x v="4"/>
    <n v="1725"/>
    <m/>
    <n v="420"/>
    <n v="1098"/>
    <n v="45"/>
    <n v="63"/>
    <n v="126"/>
    <n v="17"/>
  </r>
  <r>
    <d v="2022-01-01T00:00:00"/>
    <x v="5"/>
    <n v="1100"/>
    <m/>
    <n v="257"/>
    <n v="693"/>
    <n v="3"/>
    <n v="41"/>
    <n v="54"/>
    <n v="81"/>
  </r>
  <r>
    <d v="2022-01-01T00:00:00"/>
    <x v="6"/>
    <n v="1367"/>
    <n v="1"/>
    <n v="459"/>
    <n v="766"/>
    <m/>
    <n v="52"/>
    <n v="115"/>
    <n v="22"/>
  </r>
  <r>
    <d v="2022-01-01T00:00:00"/>
    <x v="7"/>
    <n v="1165"/>
    <m/>
    <n v="357"/>
    <n v="663"/>
    <n v="4"/>
    <n v="17"/>
    <n v="128"/>
    <n v="36"/>
  </r>
  <r>
    <d v="2022-01-01T00:00:00"/>
    <x v="8"/>
    <n v="2134"/>
    <m/>
    <n v="605"/>
    <n v="1410"/>
    <n v="1"/>
    <n v="48"/>
    <n v="96"/>
    <n v="29"/>
  </r>
  <r>
    <d v="2022-01-01T00:00:00"/>
    <x v="9"/>
    <n v="530"/>
    <m/>
    <n v="160"/>
    <n v="289"/>
    <n v="6"/>
    <n v="11"/>
    <n v="53"/>
    <n v="23"/>
  </r>
  <r>
    <d v="2022-01-01T00:00:00"/>
    <x v="10"/>
    <n v="4091"/>
    <n v="31"/>
    <n v="667"/>
    <n v="2813"/>
    <n v="24"/>
    <n v="137"/>
    <n v="469"/>
    <n v="168"/>
  </r>
  <r>
    <d v="2022-01-01T00:00:00"/>
    <x v="11"/>
    <n v="1326"/>
    <n v="2"/>
    <n v="463"/>
    <n v="740"/>
    <n v="9"/>
    <n v="38"/>
    <n v="144"/>
    <n v="19"/>
  </r>
  <r>
    <d v="2022-01-01T00:00:00"/>
    <x v="12"/>
    <n v="1810"/>
    <m/>
    <n v="632"/>
    <n v="1130"/>
    <n v="22"/>
    <n v="33"/>
    <n v="131"/>
    <n v="15"/>
  </r>
  <r>
    <d v="2022-01-01T00:00:00"/>
    <x v="13"/>
    <n v="726"/>
    <m/>
    <n v="174"/>
    <n v="438"/>
    <n v="39"/>
    <n v="36"/>
    <n v="50"/>
    <n v="8"/>
  </r>
  <r>
    <d v="2022-01-01T00:00:00"/>
    <x v="14"/>
    <n v="851"/>
    <m/>
    <n v="231"/>
    <n v="562"/>
    <n v="5"/>
    <n v="12"/>
    <n v="44"/>
    <n v="12"/>
  </r>
  <r>
    <d v="2022-01-01T00:00:00"/>
    <x v="15"/>
    <n v="1397"/>
    <m/>
    <n v="237"/>
    <n v="941"/>
    <n v="21"/>
    <n v="30"/>
    <n v="168"/>
    <n v="25"/>
  </r>
  <r>
    <d v="2022-01-01T00:00:00"/>
    <x v="16"/>
    <n v="366"/>
    <m/>
    <n v="86"/>
    <n v="202"/>
    <n v="1"/>
    <n v="7"/>
    <n v="54"/>
    <n v="29"/>
  </r>
  <r>
    <d v="2022-01-01T00:00:00"/>
    <x v="17"/>
    <n v="5049"/>
    <n v="1"/>
    <n v="1807"/>
    <n v="2850"/>
    <n v="57"/>
    <n v="142"/>
    <n v="287"/>
    <n v="231"/>
  </r>
  <r>
    <d v="2022-01-01T00:00:00"/>
    <x v="18"/>
    <n v="4464"/>
    <n v="2"/>
    <n v="1724"/>
    <n v="2189"/>
    <n v="51"/>
    <n v="185"/>
    <n v="382"/>
    <n v="44"/>
  </r>
  <r>
    <d v="2022-01-01T00:00:00"/>
    <x v="19"/>
    <n v="654"/>
    <m/>
    <n v="167"/>
    <n v="467"/>
    <n v="1"/>
    <n v="13"/>
    <n v="36"/>
    <n v="17"/>
  </r>
  <r>
    <d v="2022-01-01T00:00:00"/>
    <x v="20"/>
    <n v="555"/>
    <m/>
    <n v="167"/>
    <n v="332"/>
    <n v="7"/>
    <n v="10"/>
    <n v="87"/>
    <n v="14"/>
  </r>
  <r>
    <d v="2022-01-01T00:00:00"/>
    <x v="21"/>
    <n v="129"/>
    <m/>
    <n v="34"/>
    <n v="81"/>
    <m/>
    <n v="14"/>
    <n v="12"/>
    <m/>
  </r>
  <r>
    <d v="2022-01-01T00:00:00"/>
    <x v="22"/>
    <n v="6803"/>
    <m/>
    <n v="2380"/>
    <n v="3205"/>
    <n v="42"/>
    <n v="159"/>
    <n v="1294"/>
    <n v="179"/>
  </r>
  <r>
    <d v="2022-01-01T00:00:00"/>
    <x v="23"/>
    <n v="3992"/>
    <n v="7"/>
    <n v="1364"/>
    <n v="2083"/>
    <n v="12"/>
    <n v="82"/>
    <n v="555"/>
    <n v="169"/>
  </r>
  <r>
    <d v="2022-01-01T00:00:00"/>
    <x v="24"/>
    <n v="601"/>
    <m/>
    <n v="155"/>
    <n v="413"/>
    <n v="12"/>
    <n v="17"/>
    <n v="45"/>
    <n v="13"/>
  </r>
  <r>
    <d v="2022-01-01T00:00:00"/>
    <x v="25"/>
    <n v="23130"/>
    <n v="3"/>
    <n v="9317"/>
    <n v="9868"/>
    <n v="258"/>
    <n v="1446"/>
    <n v="2981"/>
    <n v="303"/>
  </r>
  <r>
    <d v="2022-01-01T00:00:00"/>
    <x v="26"/>
    <n v="308"/>
    <m/>
    <n v="82"/>
    <n v="199"/>
    <n v="6"/>
    <n v="4"/>
    <n v="25"/>
    <m/>
  </r>
  <r>
    <d v="2022-02-01T00:00:00"/>
    <x v="0"/>
    <n v="178"/>
    <m/>
    <n v="50"/>
    <n v="119"/>
    <n v="2"/>
    <n v="5"/>
    <n v="6"/>
    <m/>
  </r>
  <r>
    <d v="2022-02-01T00:00:00"/>
    <x v="1"/>
    <n v="714"/>
    <m/>
    <n v="167"/>
    <n v="485"/>
    <n v="24"/>
    <n v="7"/>
    <n v="35"/>
    <n v="22"/>
  </r>
  <r>
    <d v="2022-02-01T00:00:00"/>
    <x v="2"/>
    <n v="593"/>
    <m/>
    <n v="136"/>
    <n v="398"/>
    <n v="7"/>
    <n v="26"/>
    <n v="36"/>
    <n v="10"/>
  </r>
  <r>
    <d v="2022-02-01T00:00:00"/>
    <x v="3"/>
    <n v="224"/>
    <m/>
    <n v="70"/>
    <n v="119"/>
    <n v="6"/>
    <n v="20"/>
    <n v="5"/>
    <n v="8"/>
  </r>
  <r>
    <d v="2022-02-01T00:00:00"/>
    <x v="4"/>
    <n v="2083"/>
    <n v="2"/>
    <n v="522"/>
    <n v="1338"/>
    <n v="26"/>
    <n v="86"/>
    <n v="144"/>
    <n v="34"/>
  </r>
  <r>
    <d v="2022-02-01T00:00:00"/>
    <x v="5"/>
    <n v="1236"/>
    <m/>
    <n v="252"/>
    <n v="785"/>
    <n v="24"/>
    <n v="59"/>
    <n v="60"/>
    <n v="97"/>
  </r>
  <r>
    <d v="2022-02-01T00:00:00"/>
    <x v="6"/>
    <n v="1399"/>
    <m/>
    <n v="443"/>
    <n v="780"/>
    <n v="3"/>
    <n v="42"/>
    <n v="148"/>
    <n v="27"/>
  </r>
  <r>
    <d v="2022-02-01T00:00:00"/>
    <x v="7"/>
    <n v="1277"/>
    <m/>
    <n v="375"/>
    <n v="711"/>
    <n v="5"/>
    <n v="44"/>
    <n v="124"/>
    <n v="54"/>
  </r>
  <r>
    <d v="2022-02-01T00:00:00"/>
    <x v="8"/>
    <n v="2476"/>
    <m/>
    <n v="687"/>
    <n v="1660"/>
    <n v="3"/>
    <n v="37"/>
    <n v="116"/>
    <n v="24"/>
  </r>
  <r>
    <d v="2022-02-01T00:00:00"/>
    <x v="9"/>
    <n v="652"/>
    <m/>
    <n v="182"/>
    <n v="379"/>
    <n v="8"/>
    <n v="17"/>
    <n v="67"/>
    <n v="21"/>
  </r>
  <r>
    <d v="2022-02-01T00:00:00"/>
    <x v="10"/>
    <n v="4349"/>
    <n v="26"/>
    <n v="702"/>
    <n v="3156"/>
    <n v="36"/>
    <n v="118"/>
    <n v="431"/>
    <n v="106"/>
  </r>
  <r>
    <d v="2022-02-01T00:00:00"/>
    <x v="11"/>
    <n v="1564"/>
    <n v="3"/>
    <n v="501"/>
    <n v="900"/>
    <n v="6"/>
    <n v="32"/>
    <n v="197"/>
    <n v="23"/>
  </r>
  <r>
    <d v="2022-02-01T00:00:00"/>
    <x v="12"/>
    <n v="2454"/>
    <n v="1"/>
    <n v="912"/>
    <n v="1506"/>
    <n v="22"/>
    <n v="43"/>
    <n v="142"/>
    <n v="35"/>
  </r>
  <r>
    <d v="2022-02-01T00:00:00"/>
    <x v="13"/>
    <n v="791"/>
    <m/>
    <n v="178"/>
    <n v="473"/>
    <n v="24"/>
    <n v="57"/>
    <n v="56"/>
    <n v="20"/>
  </r>
  <r>
    <d v="2022-02-01T00:00:00"/>
    <x v="14"/>
    <n v="889"/>
    <m/>
    <n v="196"/>
    <n v="635"/>
    <n v="7"/>
    <n v="13"/>
    <n v="42"/>
    <n v="6"/>
  </r>
  <r>
    <d v="2022-02-01T00:00:00"/>
    <x v="15"/>
    <n v="1560"/>
    <n v="3"/>
    <n v="278"/>
    <n v="1065"/>
    <n v="26"/>
    <n v="32"/>
    <n v="172"/>
    <n v="44"/>
  </r>
  <r>
    <d v="2022-02-01T00:00:00"/>
    <x v="16"/>
    <n v="445"/>
    <m/>
    <n v="92"/>
    <n v="280"/>
    <n v="1"/>
    <n v="18"/>
    <n v="62"/>
    <n v="14"/>
  </r>
  <r>
    <d v="2022-02-01T00:00:00"/>
    <x v="17"/>
    <n v="5624"/>
    <n v="2"/>
    <n v="1950"/>
    <n v="3229"/>
    <n v="83"/>
    <n v="145"/>
    <n v="317"/>
    <n v="247"/>
  </r>
  <r>
    <d v="2022-02-01T00:00:00"/>
    <x v="18"/>
    <n v="5001"/>
    <n v="2"/>
    <n v="1852"/>
    <n v="2544"/>
    <n v="65"/>
    <n v="197"/>
    <n v="449"/>
    <n v="31"/>
  </r>
  <r>
    <d v="2022-02-01T00:00:00"/>
    <x v="19"/>
    <n v="767"/>
    <m/>
    <n v="158"/>
    <n v="529"/>
    <n v="2"/>
    <n v="24"/>
    <n v="53"/>
    <n v="32"/>
  </r>
  <r>
    <d v="2022-02-01T00:00:00"/>
    <x v="20"/>
    <n v="633"/>
    <n v="1"/>
    <n v="189"/>
    <n v="375"/>
    <n v="3"/>
    <n v="20"/>
    <n v="95"/>
    <n v="9"/>
  </r>
  <r>
    <d v="2022-02-01T00:00:00"/>
    <x v="21"/>
    <n v="144"/>
    <m/>
    <n v="38"/>
    <n v="94"/>
    <n v="5"/>
    <n v="5"/>
    <n v="5"/>
    <n v="1"/>
  </r>
  <r>
    <d v="2022-02-01T00:00:00"/>
    <x v="22"/>
    <n v="7579"/>
    <n v="1"/>
    <n v="2754"/>
    <n v="3637"/>
    <n v="40"/>
    <n v="174"/>
    <n v="1261"/>
    <n v="199"/>
  </r>
  <r>
    <d v="2022-02-01T00:00:00"/>
    <x v="23"/>
    <n v="4531"/>
    <n v="3"/>
    <n v="1540"/>
    <n v="2345"/>
    <n v="40"/>
    <n v="88"/>
    <n v="588"/>
    <n v="210"/>
  </r>
  <r>
    <d v="2022-02-01T00:00:00"/>
    <x v="24"/>
    <n v="670"/>
    <m/>
    <n v="189"/>
    <n v="455"/>
    <n v="22"/>
    <n v="23"/>
    <n v="52"/>
    <n v="13"/>
  </r>
  <r>
    <d v="2022-02-01T00:00:00"/>
    <x v="25"/>
    <n v="25601"/>
    <n v="5"/>
    <n v="9904"/>
    <n v="11220"/>
    <n v="332"/>
    <n v="1582"/>
    <n v="3357"/>
    <n v="390"/>
  </r>
  <r>
    <d v="2022-02-01T00:00:00"/>
    <x v="26"/>
    <n v="375"/>
    <m/>
    <n v="94"/>
    <n v="234"/>
    <n v="13"/>
    <n v="11"/>
    <n v="32"/>
    <m/>
  </r>
  <r>
    <d v="2022-03-01T00:00:00"/>
    <x v="0"/>
    <n v="261"/>
    <n v="1"/>
    <n v="67"/>
    <n v="179"/>
    <n v="1"/>
    <n v="3"/>
    <n v="10"/>
    <n v="2"/>
  </r>
  <r>
    <d v="2022-03-01T00:00:00"/>
    <x v="1"/>
    <n v="902"/>
    <m/>
    <n v="217"/>
    <n v="593"/>
    <n v="14"/>
    <n v="10"/>
    <n v="62"/>
    <n v="31"/>
  </r>
  <r>
    <d v="2022-03-01T00:00:00"/>
    <x v="2"/>
    <n v="760"/>
    <n v="1"/>
    <n v="183"/>
    <n v="507"/>
    <n v="9"/>
    <n v="17"/>
    <n v="52"/>
    <n v="11"/>
  </r>
  <r>
    <d v="2022-03-01T00:00:00"/>
    <x v="3"/>
    <n v="385"/>
    <n v="1"/>
    <n v="128"/>
    <n v="200"/>
    <n v="9"/>
    <n v="36"/>
    <n v="5"/>
    <n v="15"/>
  </r>
  <r>
    <d v="2022-03-01T00:00:00"/>
    <x v="4"/>
    <n v="2520"/>
    <m/>
    <n v="558"/>
    <n v="1723"/>
    <n v="42"/>
    <n v="84"/>
    <n v="154"/>
    <n v="55"/>
  </r>
  <r>
    <d v="2022-03-01T00:00:00"/>
    <x v="5"/>
    <n v="1334"/>
    <n v="2"/>
    <n v="240"/>
    <n v="890"/>
    <n v="19"/>
    <n v="70"/>
    <n v="69"/>
    <n v="85"/>
  </r>
  <r>
    <d v="2022-03-01T00:00:00"/>
    <x v="6"/>
    <n v="1614"/>
    <m/>
    <n v="545"/>
    <n v="875"/>
    <n v="2"/>
    <n v="50"/>
    <n v="174"/>
    <n v="11"/>
  </r>
  <r>
    <d v="2022-03-01T00:00:00"/>
    <x v="7"/>
    <n v="1683"/>
    <n v="1"/>
    <n v="523"/>
    <n v="969"/>
    <n v="6"/>
    <n v="45"/>
    <n v="169"/>
    <n v="39"/>
  </r>
  <r>
    <d v="2022-03-01T00:00:00"/>
    <x v="8"/>
    <n v="3378"/>
    <m/>
    <n v="930"/>
    <n v="2294"/>
    <n v="3"/>
    <n v="56"/>
    <n v="133"/>
    <n v="33"/>
  </r>
  <r>
    <d v="2022-03-01T00:00:00"/>
    <x v="9"/>
    <n v="700"/>
    <m/>
    <n v="179"/>
    <n v="397"/>
    <n v="24"/>
    <n v="19"/>
    <n v="56"/>
    <n v="42"/>
  </r>
  <r>
    <d v="2022-03-01T00:00:00"/>
    <x v="10"/>
    <n v="5847"/>
    <n v="10"/>
    <n v="1052"/>
    <n v="4133"/>
    <n v="49"/>
    <n v="252"/>
    <n v="555"/>
    <n v="118"/>
  </r>
  <r>
    <d v="2022-03-01T00:00:00"/>
    <x v="11"/>
    <n v="2166"/>
    <n v="1"/>
    <n v="706"/>
    <n v="1130"/>
    <n v="88"/>
    <n v="72"/>
    <n v="246"/>
    <n v="41"/>
  </r>
  <r>
    <d v="2022-03-01T00:00:00"/>
    <x v="12"/>
    <n v="3220"/>
    <n v="1"/>
    <n v="1196"/>
    <n v="1937"/>
    <n v="41"/>
    <n v="46"/>
    <n v="210"/>
    <n v="46"/>
  </r>
  <r>
    <d v="2022-03-01T00:00:00"/>
    <x v="13"/>
    <n v="1091"/>
    <m/>
    <n v="321"/>
    <n v="654"/>
    <n v="27"/>
    <n v="28"/>
    <n v="52"/>
    <n v="26"/>
  </r>
  <r>
    <d v="2022-03-01T00:00:00"/>
    <x v="14"/>
    <n v="1174"/>
    <m/>
    <n v="307"/>
    <n v="799"/>
    <n v="11"/>
    <n v="20"/>
    <n v="38"/>
    <n v="13"/>
  </r>
  <r>
    <d v="2022-03-01T00:00:00"/>
    <x v="15"/>
    <n v="1969"/>
    <n v="1"/>
    <n v="340"/>
    <n v="1350"/>
    <n v="23"/>
    <n v="41"/>
    <n v="234"/>
    <n v="47"/>
  </r>
  <r>
    <d v="2022-03-01T00:00:00"/>
    <x v="16"/>
    <n v="518"/>
    <m/>
    <n v="97"/>
    <n v="335"/>
    <n v="1"/>
    <n v="10"/>
    <n v="62"/>
    <n v="29"/>
  </r>
  <r>
    <d v="2022-03-01T00:00:00"/>
    <x v="17"/>
    <n v="7162"/>
    <n v="10"/>
    <n v="2416"/>
    <n v="4140"/>
    <n v="92"/>
    <n v="214"/>
    <n v="366"/>
    <n v="343"/>
  </r>
  <r>
    <d v="2022-03-01T00:00:00"/>
    <x v="18"/>
    <n v="6025"/>
    <n v="3"/>
    <n v="2276"/>
    <n v="3020"/>
    <n v="100"/>
    <n v="208"/>
    <n v="533"/>
    <n v="45"/>
  </r>
  <r>
    <d v="2022-03-01T00:00:00"/>
    <x v="19"/>
    <n v="894"/>
    <m/>
    <n v="141"/>
    <n v="674"/>
    <n v="4"/>
    <n v="15"/>
    <n v="71"/>
    <n v="22"/>
  </r>
  <r>
    <d v="2022-03-01T00:00:00"/>
    <x v="20"/>
    <n v="820"/>
    <n v="2"/>
    <n v="208"/>
    <n v="512"/>
    <n v="14"/>
    <n v="28"/>
    <n v="102"/>
    <n v="15"/>
  </r>
  <r>
    <d v="2022-03-01T00:00:00"/>
    <x v="21"/>
    <n v="145"/>
    <m/>
    <n v="31"/>
    <n v="100"/>
    <m/>
    <n v="7"/>
    <n v="9"/>
    <m/>
  </r>
  <r>
    <d v="2022-03-01T00:00:00"/>
    <x v="22"/>
    <n v="8797"/>
    <n v="1"/>
    <n v="3056"/>
    <n v="4240"/>
    <n v="34"/>
    <n v="227"/>
    <n v="1659"/>
    <n v="218"/>
  </r>
  <r>
    <d v="2022-03-01T00:00:00"/>
    <x v="23"/>
    <n v="6453"/>
    <n v="10"/>
    <n v="2195"/>
    <n v="3340"/>
    <n v="84"/>
    <n v="149"/>
    <n v="768"/>
    <n v="291"/>
  </r>
  <r>
    <d v="2022-03-01T00:00:00"/>
    <x v="24"/>
    <n v="961"/>
    <m/>
    <n v="350"/>
    <n v="656"/>
    <n v="4"/>
    <n v="12"/>
    <n v="57"/>
    <n v="20"/>
  </r>
  <r>
    <d v="2022-03-01T00:00:00"/>
    <x v="25"/>
    <n v="32744"/>
    <n v="4"/>
    <n v="12792"/>
    <n v="14468"/>
    <n v="421"/>
    <n v="1903"/>
    <n v="4289"/>
    <n v="497"/>
  </r>
  <r>
    <d v="2022-03-01T00:00:00"/>
    <x v="26"/>
    <n v="501"/>
    <m/>
    <n v="111"/>
    <n v="344"/>
    <n v="2"/>
    <n v="11"/>
    <n v="41"/>
    <n v="2"/>
  </r>
  <r>
    <d v="2022-04-01T00:00:00"/>
    <x v="0"/>
    <n v="207"/>
    <m/>
    <n v="45"/>
    <n v="148"/>
    <n v="1"/>
    <n v="7"/>
    <n v="3"/>
    <n v="6"/>
  </r>
  <r>
    <d v="2022-04-01T00:00:00"/>
    <x v="1"/>
    <n v="821"/>
    <m/>
    <n v="164"/>
    <n v="540"/>
    <n v="6"/>
    <n v="50"/>
    <n v="43"/>
    <n v="40"/>
  </r>
  <r>
    <d v="2022-04-01T00:00:00"/>
    <x v="2"/>
    <n v="641"/>
    <m/>
    <n v="141"/>
    <n v="452"/>
    <n v="9"/>
    <n v="14"/>
    <n v="33"/>
    <n v="10"/>
  </r>
  <r>
    <d v="2022-04-01T00:00:00"/>
    <x v="3"/>
    <n v="275"/>
    <m/>
    <n v="77"/>
    <n v="149"/>
    <n v="3"/>
    <n v="31"/>
    <n v="15"/>
    <n v="5"/>
  </r>
  <r>
    <d v="2022-04-01T00:00:00"/>
    <x v="4"/>
    <n v="2024"/>
    <m/>
    <n v="501"/>
    <n v="1332"/>
    <n v="25"/>
    <n v="60"/>
    <n v="121"/>
    <n v="30"/>
  </r>
  <r>
    <d v="2022-04-01T00:00:00"/>
    <x v="5"/>
    <n v="1155"/>
    <n v="2"/>
    <n v="234"/>
    <n v="744"/>
    <n v="7"/>
    <n v="39"/>
    <n v="67"/>
    <n v="96"/>
  </r>
  <r>
    <d v="2022-04-01T00:00:00"/>
    <x v="6"/>
    <n v="1422"/>
    <n v="1"/>
    <n v="472"/>
    <n v="810"/>
    <n v="1"/>
    <n v="38"/>
    <n v="131"/>
    <n v="14"/>
  </r>
  <r>
    <d v="2022-04-01T00:00:00"/>
    <x v="7"/>
    <n v="1311"/>
    <m/>
    <n v="385"/>
    <n v="744"/>
    <n v="3"/>
    <n v="35"/>
    <n v="133"/>
    <n v="48"/>
  </r>
  <r>
    <d v="2022-04-01T00:00:00"/>
    <x v="8"/>
    <n v="2626"/>
    <n v="3"/>
    <n v="677"/>
    <n v="1834"/>
    <n v="3"/>
    <n v="29"/>
    <n v="107"/>
    <n v="29"/>
  </r>
  <r>
    <d v="2022-04-01T00:00:00"/>
    <x v="9"/>
    <n v="611"/>
    <m/>
    <n v="142"/>
    <n v="387"/>
    <n v="12"/>
    <n v="14"/>
    <n v="52"/>
    <n v="26"/>
  </r>
  <r>
    <d v="2022-04-01T00:00:00"/>
    <x v="10"/>
    <n v="4913"/>
    <n v="13"/>
    <n v="830"/>
    <n v="3478"/>
    <n v="17"/>
    <n v="158"/>
    <n v="508"/>
    <n v="180"/>
  </r>
  <r>
    <d v="2022-04-01T00:00:00"/>
    <x v="11"/>
    <n v="1592"/>
    <m/>
    <n v="523"/>
    <n v="855"/>
    <n v="14"/>
    <n v="59"/>
    <n v="190"/>
    <n v="54"/>
  </r>
  <r>
    <d v="2022-04-01T00:00:00"/>
    <x v="12"/>
    <n v="2686"/>
    <m/>
    <n v="1017"/>
    <n v="1656"/>
    <n v="22"/>
    <n v="50"/>
    <n v="187"/>
    <n v="30"/>
  </r>
  <r>
    <d v="2022-04-01T00:00:00"/>
    <x v="13"/>
    <n v="1011"/>
    <m/>
    <n v="254"/>
    <n v="636"/>
    <n v="10"/>
    <n v="49"/>
    <n v="60"/>
    <n v="26"/>
  </r>
  <r>
    <d v="2022-04-01T00:00:00"/>
    <x v="14"/>
    <n v="898"/>
    <m/>
    <n v="206"/>
    <n v="619"/>
    <n v="11"/>
    <n v="16"/>
    <n v="50"/>
    <n v="17"/>
  </r>
  <r>
    <d v="2022-04-01T00:00:00"/>
    <x v="15"/>
    <n v="1667"/>
    <n v="2"/>
    <n v="335"/>
    <n v="1132"/>
    <n v="9"/>
    <n v="30"/>
    <n v="178"/>
    <n v="27"/>
  </r>
  <r>
    <d v="2022-04-01T00:00:00"/>
    <x v="16"/>
    <n v="478"/>
    <m/>
    <n v="99"/>
    <n v="281"/>
    <n v="2"/>
    <n v="11"/>
    <n v="61"/>
    <n v="44"/>
  </r>
  <r>
    <d v="2022-04-01T00:00:00"/>
    <x v="17"/>
    <n v="6003"/>
    <n v="3"/>
    <n v="2035"/>
    <n v="3414"/>
    <n v="63"/>
    <n v="172"/>
    <n v="339"/>
    <n v="360"/>
  </r>
  <r>
    <d v="2022-04-01T00:00:00"/>
    <x v="18"/>
    <n v="5065"/>
    <n v="4"/>
    <n v="1859"/>
    <n v="2586"/>
    <n v="69"/>
    <n v="171"/>
    <n v="454"/>
    <n v="34"/>
  </r>
  <r>
    <d v="2022-04-01T00:00:00"/>
    <x v="19"/>
    <n v="791"/>
    <m/>
    <n v="163"/>
    <n v="558"/>
    <n v="4"/>
    <n v="19"/>
    <n v="58"/>
    <n v="25"/>
  </r>
  <r>
    <d v="2022-04-01T00:00:00"/>
    <x v="20"/>
    <n v="816"/>
    <m/>
    <n v="238"/>
    <n v="504"/>
    <m/>
    <n v="17"/>
    <n v="110"/>
    <n v="18"/>
  </r>
  <r>
    <d v="2022-04-01T00:00:00"/>
    <x v="21"/>
    <n v="145"/>
    <m/>
    <n v="33"/>
    <n v="106"/>
    <n v="1"/>
    <n v="4"/>
    <n v="7"/>
    <n v="3"/>
  </r>
  <r>
    <d v="2022-04-01T00:00:00"/>
    <x v="22"/>
    <n v="7546"/>
    <n v="2"/>
    <n v="2646"/>
    <n v="3583"/>
    <n v="47"/>
    <n v="147"/>
    <n v="1428"/>
    <n v="193"/>
  </r>
  <r>
    <d v="2022-04-01T00:00:00"/>
    <x v="23"/>
    <n v="4932"/>
    <n v="8"/>
    <n v="1640"/>
    <n v="2513"/>
    <n v="34"/>
    <n v="135"/>
    <n v="628"/>
    <n v="276"/>
  </r>
  <r>
    <d v="2022-04-01T00:00:00"/>
    <x v="24"/>
    <n v="732"/>
    <m/>
    <n v="261"/>
    <n v="531"/>
    <n v="2"/>
    <n v="24"/>
    <n v="45"/>
    <n v="18"/>
  </r>
  <r>
    <d v="2022-04-01T00:00:00"/>
    <x v="25"/>
    <n v="27573"/>
    <n v="10"/>
    <n v="10999"/>
    <n v="12314"/>
    <n v="313"/>
    <n v="1516"/>
    <n v="3530"/>
    <n v="401"/>
  </r>
  <r>
    <d v="2022-04-01T00:00:00"/>
    <x v="26"/>
    <n v="458"/>
    <m/>
    <n v="133"/>
    <n v="284"/>
    <n v="1"/>
    <n v="14"/>
    <n v="43"/>
    <n v="2"/>
  </r>
  <r>
    <d v="2022-05-01T00:00:00"/>
    <x v="0"/>
    <n v="249"/>
    <m/>
    <n v="79"/>
    <n v="153"/>
    <n v="2"/>
    <n v="10"/>
    <n v="4"/>
    <n v="5"/>
  </r>
  <r>
    <d v="2022-05-01T00:00:00"/>
    <x v="1"/>
    <n v="756"/>
    <m/>
    <n v="173"/>
    <n v="527"/>
    <n v="5"/>
    <n v="17"/>
    <n v="34"/>
    <n v="28"/>
  </r>
  <r>
    <d v="2022-05-01T00:00:00"/>
    <x v="2"/>
    <n v="735"/>
    <m/>
    <n v="189"/>
    <n v="503"/>
    <n v="2"/>
    <n v="20"/>
    <n v="43"/>
    <n v="8"/>
  </r>
  <r>
    <d v="2022-05-01T00:00:00"/>
    <x v="3"/>
    <n v="387"/>
    <m/>
    <n v="126"/>
    <n v="195"/>
    <n v="10"/>
    <n v="34"/>
    <n v="9"/>
    <n v="17"/>
  </r>
  <r>
    <d v="2022-05-01T00:00:00"/>
    <x v="4"/>
    <n v="2701"/>
    <n v="1"/>
    <n v="722"/>
    <n v="1751"/>
    <n v="27"/>
    <n v="73"/>
    <n v="154"/>
    <n v="40"/>
  </r>
  <r>
    <d v="2022-05-01T00:00:00"/>
    <x v="5"/>
    <n v="1562"/>
    <m/>
    <n v="346"/>
    <n v="1021"/>
    <n v="11"/>
    <n v="54"/>
    <n v="68"/>
    <n v="108"/>
  </r>
  <r>
    <d v="2022-05-01T00:00:00"/>
    <x v="6"/>
    <n v="1792"/>
    <m/>
    <n v="609"/>
    <n v="1006"/>
    <n v="3"/>
    <n v="64"/>
    <n v="175"/>
    <n v="21"/>
  </r>
  <r>
    <d v="2022-05-01T00:00:00"/>
    <x v="7"/>
    <n v="1609"/>
    <n v="2"/>
    <n v="480"/>
    <n v="873"/>
    <n v="11"/>
    <n v="30"/>
    <n v="194"/>
    <n v="56"/>
  </r>
  <r>
    <d v="2022-05-01T00:00:00"/>
    <x v="8"/>
    <n v="3151"/>
    <m/>
    <n v="927"/>
    <n v="2082"/>
    <n v="9"/>
    <n v="46"/>
    <n v="125"/>
    <n v="27"/>
  </r>
  <r>
    <d v="2022-05-01T00:00:00"/>
    <x v="9"/>
    <n v="686"/>
    <n v="1"/>
    <n v="168"/>
    <n v="406"/>
    <n v="11"/>
    <n v="11"/>
    <n v="66"/>
    <n v="44"/>
  </r>
  <r>
    <d v="2022-05-01T00:00:00"/>
    <x v="10"/>
    <n v="5854"/>
    <n v="23"/>
    <n v="1023"/>
    <n v="4214"/>
    <n v="23"/>
    <n v="143"/>
    <n v="570"/>
    <n v="143"/>
  </r>
  <r>
    <d v="2022-05-01T00:00:00"/>
    <x v="11"/>
    <n v="2025"/>
    <m/>
    <n v="648"/>
    <n v="1125"/>
    <n v="20"/>
    <n v="67"/>
    <n v="226"/>
    <n v="52"/>
  </r>
  <r>
    <d v="2022-05-01T00:00:00"/>
    <x v="12"/>
    <n v="3258"/>
    <n v="1"/>
    <n v="1201"/>
    <n v="2012"/>
    <n v="55"/>
    <n v="56"/>
    <n v="221"/>
    <n v="43"/>
  </r>
  <r>
    <d v="2022-05-01T00:00:00"/>
    <x v="13"/>
    <n v="1157"/>
    <n v="1"/>
    <n v="283"/>
    <n v="734"/>
    <n v="29"/>
    <n v="48"/>
    <n v="64"/>
    <n v="20"/>
  </r>
  <r>
    <d v="2022-05-01T00:00:00"/>
    <x v="14"/>
    <n v="1125"/>
    <m/>
    <n v="254"/>
    <n v="816"/>
    <n v="10"/>
    <n v="21"/>
    <n v="47"/>
    <n v="6"/>
  </r>
  <r>
    <d v="2022-05-01T00:00:00"/>
    <x v="15"/>
    <n v="1919"/>
    <n v="2"/>
    <n v="421"/>
    <n v="1268"/>
    <n v="17"/>
    <n v="38"/>
    <n v="209"/>
    <n v="35"/>
  </r>
  <r>
    <d v="2022-05-01T00:00:00"/>
    <x v="16"/>
    <n v="523"/>
    <n v="3"/>
    <n v="130"/>
    <n v="302"/>
    <n v="2"/>
    <n v="13"/>
    <n v="53"/>
    <n v="39"/>
  </r>
  <r>
    <d v="2022-05-01T00:00:00"/>
    <x v="17"/>
    <n v="6587"/>
    <n v="2"/>
    <n v="2210"/>
    <n v="3794"/>
    <n v="69"/>
    <n v="199"/>
    <n v="402"/>
    <n v="334"/>
  </r>
  <r>
    <d v="2022-05-01T00:00:00"/>
    <x v="18"/>
    <n v="6372"/>
    <n v="2"/>
    <n v="2367"/>
    <n v="3199"/>
    <n v="82"/>
    <n v="242"/>
    <n v="591"/>
    <n v="55"/>
  </r>
  <r>
    <d v="2022-05-01T00:00:00"/>
    <x v="19"/>
    <n v="921"/>
    <m/>
    <n v="177"/>
    <n v="661"/>
    <n v="2"/>
    <n v="16"/>
    <n v="63"/>
    <n v="39"/>
  </r>
  <r>
    <d v="2022-05-01T00:00:00"/>
    <x v="20"/>
    <n v="981"/>
    <n v="1"/>
    <n v="309"/>
    <n v="626"/>
    <n v="2"/>
    <n v="20"/>
    <n v="119"/>
    <n v="4"/>
  </r>
  <r>
    <d v="2022-05-01T00:00:00"/>
    <x v="21"/>
    <n v="191"/>
    <n v="2"/>
    <n v="40"/>
    <n v="120"/>
    <n v="22"/>
    <n v="5"/>
    <n v="16"/>
    <n v="1"/>
  </r>
  <r>
    <d v="2022-05-01T00:00:00"/>
    <x v="22"/>
    <n v="8694"/>
    <m/>
    <n v="3049"/>
    <n v="4203"/>
    <n v="26"/>
    <n v="211"/>
    <n v="1632"/>
    <n v="209"/>
  </r>
  <r>
    <d v="2022-05-01T00:00:00"/>
    <x v="23"/>
    <n v="5758"/>
    <n v="5"/>
    <n v="1938"/>
    <n v="2998"/>
    <n v="63"/>
    <n v="141"/>
    <n v="683"/>
    <n v="286"/>
  </r>
  <r>
    <d v="2022-05-01T00:00:00"/>
    <x v="24"/>
    <n v="797"/>
    <m/>
    <n v="263"/>
    <n v="610"/>
    <n v="7"/>
    <n v="6"/>
    <n v="64"/>
    <n v="12"/>
  </r>
  <r>
    <d v="2022-05-01T00:00:00"/>
    <x v="25"/>
    <n v="32927"/>
    <n v="5"/>
    <n v="13193"/>
    <n v="14669"/>
    <n v="393"/>
    <n v="1888"/>
    <n v="4074"/>
    <n v="442"/>
  </r>
  <r>
    <d v="2022-05-01T00:00:00"/>
    <x v="26"/>
    <n v="588"/>
    <m/>
    <n v="159"/>
    <n v="389"/>
    <m/>
    <n v="22"/>
    <n v="34"/>
    <n v="1"/>
  </r>
  <r>
    <d v="2022-06-01T00:00:00"/>
    <x v="0"/>
    <n v="328"/>
    <m/>
    <n v="99"/>
    <n v="208"/>
    <m/>
    <n v="14"/>
    <n v="9"/>
    <n v="8"/>
  </r>
  <r>
    <d v="2022-06-01T00:00:00"/>
    <x v="1"/>
    <n v="626"/>
    <m/>
    <n v="121"/>
    <n v="465"/>
    <n v="7"/>
    <n v="14"/>
    <n v="33"/>
    <n v="23"/>
  </r>
  <r>
    <d v="2022-06-01T00:00:00"/>
    <x v="2"/>
    <n v="755"/>
    <m/>
    <n v="188"/>
    <n v="501"/>
    <n v="10"/>
    <n v="24"/>
    <n v="48"/>
    <n v="18"/>
  </r>
  <r>
    <d v="2022-06-01T00:00:00"/>
    <x v="3"/>
    <n v="389"/>
    <m/>
    <n v="137"/>
    <n v="190"/>
    <n v="9"/>
    <n v="39"/>
    <n v="8"/>
    <n v="8"/>
  </r>
  <r>
    <d v="2022-06-01T00:00:00"/>
    <x v="4"/>
    <n v="2034"/>
    <n v="1"/>
    <n v="520"/>
    <n v="1305"/>
    <n v="19"/>
    <n v="79"/>
    <n v="129"/>
    <n v="38"/>
  </r>
  <r>
    <d v="2022-06-01T00:00:00"/>
    <x v="5"/>
    <n v="1554"/>
    <n v="2"/>
    <n v="337"/>
    <n v="1003"/>
    <n v="4"/>
    <n v="69"/>
    <n v="78"/>
    <n v="112"/>
  </r>
  <r>
    <d v="2022-06-01T00:00:00"/>
    <x v="6"/>
    <n v="1547"/>
    <m/>
    <n v="466"/>
    <n v="900"/>
    <n v="1"/>
    <n v="46"/>
    <n v="180"/>
    <n v="18"/>
  </r>
  <r>
    <d v="2022-06-01T00:00:00"/>
    <x v="7"/>
    <n v="1488"/>
    <m/>
    <n v="446"/>
    <n v="853"/>
    <n v="1"/>
    <n v="38"/>
    <n v="148"/>
    <n v="46"/>
  </r>
  <r>
    <d v="2022-06-01T00:00:00"/>
    <x v="8"/>
    <n v="2894"/>
    <m/>
    <n v="831"/>
    <n v="1909"/>
    <n v="7"/>
    <n v="43"/>
    <n v="129"/>
    <n v="24"/>
  </r>
  <r>
    <d v="2022-06-01T00:00:00"/>
    <x v="9"/>
    <n v="648"/>
    <n v="1"/>
    <n v="165"/>
    <n v="416"/>
    <n v="8"/>
    <n v="23"/>
    <n v="49"/>
    <n v="19"/>
  </r>
  <r>
    <d v="2022-06-01T00:00:00"/>
    <x v="10"/>
    <n v="5557"/>
    <n v="8"/>
    <n v="985"/>
    <n v="3985"/>
    <n v="38"/>
    <n v="167"/>
    <n v="520"/>
    <n v="139"/>
  </r>
  <r>
    <d v="2022-06-01T00:00:00"/>
    <x v="11"/>
    <n v="1876"/>
    <n v="2"/>
    <n v="626"/>
    <n v="997"/>
    <n v="15"/>
    <n v="75"/>
    <n v="217"/>
    <n v="49"/>
  </r>
  <r>
    <d v="2022-06-01T00:00:00"/>
    <x v="12"/>
    <n v="3134"/>
    <n v="2"/>
    <n v="1184"/>
    <n v="1924"/>
    <n v="41"/>
    <n v="48"/>
    <n v="211"/>
    <n v="34"/>
  </r>
  <r>
    <d v="2022-06-01T00:00:00"/>
    <x v="13"/>
    <n v="1131"/>
    <n v="1"/>
    <n v="351"/>
    <n v="707"/>
    <n v="21"/>
    <n v="66"/>
    <n v="83"/>
    <n v="28"/>
  </r>
  <r>
    <d v="2022-06-01T00:00:00"/>
    <x v="14"/>
    <n v="955"/>
    <m/>
    <n v="199"/>
    <n v="700"/>
    <n v="2"/>
    <n v="17"/>
    <n v="46"/>
    <n v="8"/>
  </r>
  <r>
    <d v="2022-06-01T00:00:00"/>
    <x v="15"/>
    <n v="1465"/>
    <n v="1"/>
    <n v="215"/>
    <n v="1007"/>
    <n v="17"/>
    <n v="59"/>
    <n v="175"/>
    <n v="27"/>
  </r>
  <r>
    <d v="2022-06-01T00:00:00"/>
    <x v="16"/>
    <n v="505"/>
    <m/>
    <n v="104"/>
    <n v="296"/>
    <n v="2"/>
    <n v="18"/>
    <n v="71"/>
    <n v="25"/>
  </r>
  <r>
    <d v="2022-06-01T00:00:00"/>
    <x v="17"/>
    <n v="6258"/>
    <n v="8"/>
    <n v="2141"/>
    <n v="3536"/>
    <n v="53"/>
    <n v="179"/>
    <n v="392"/>
    <n v="315"/>
  </r>
  <r>
    <d v="2022-06-01T00:00:00"/>
    <x v="18"/>
    <n v="5854"/>
    <n v="2"/>
    <n v="2083"/>
    <n v="2996"/>
    <n v="74"/>
    <n v="231"/>
    <n v="569"/>
    <n v="64"/>
  </r>
  <r>
    <d v="2022-06-01T00:00:00"/>
    <x v="19"/>
    <n v="853"/>
    <m/>
    <n v="177"/>
    <n v="593"/>
    <n v="2"/>
    <n v="31"/>
    <n v="71"/>
    <n v="19"/>
  </r>
  <r>
    <d v="2022-06-01T00:00:00"/>
    <x v="20"/>
    <n v="806"/>
    <n v="1"/>
    <n v="223"/>
    <n v="498"/>
    <n v="6"/>
    <n v="20"/>
    <n v="120"/>
    <n v="13"/>
  </r>
  <r>
    <d v="2022-06-01T00:00:00"/>
    <x v="21"/>
    <n v="147"/>
    <m/>
    <n v="30"/>
    <n v="102"/>
    <n v="1"/>
    <n v="3"/>
    <n v="18"/>
    <m/>
  </r>
  <r>
    <d v="2022-06-01T00:00:00"/>
    <x v="22"/>
    <n v="8167"/>
    <n v="4"/>
    <n v="2844"/>
    <n v="3848"/>
    <n v="42"/>
    <n v="209"/>
    <n v="1557"/>
    <n v="222"/>
  </r>
  <r>
    <d v="2022-06-01T00:00:00"/>
    <x v="23"/>
    <n v="5423"/>
    <n v="6"/>
    <n v="1817"/>
    <n v="2790"/>
    <n v="81"/>
    <n v="165"/>
    <n v="619"/>
    <n v="272"/>
  </r>
  <r>
    <d v="2022-06-01T00:00:00"/>
    <x v="24"/>
    <n v="596"/>
    <m/>
    <n v="192"/>
    <n v="443"/>
    <n v="4"/>
    <n v="16"/>
    <n v="49"/>
    <n v="14"/>
  </r>
  <r>
    <d v="2022-06-01T00:00:00"/>
    <x v="25"/>
    <n v="30909"/>
    <n v="6"/>
    <n v="12392"/>
    <n v="13600"/>
    <n v="347"/>
    <n v="1739"/>
    <n v="3978"/>
    <n v="477"/>
  </r>
  <r>
    <d v="2022-06-01T00:00:00"/>
    <x v="26"/>
    <n v="481"/>
    <m/>
    <n v="129"/>
    <n v="322"/>
    <n v="1"/>
    <n v="10"/>
    <n v="33"/>
    <n v="2"/>
  </r>
  <r>
    <d v="2022-07-01T00:00:00"/>
    <x v="0"/>
    <n v="269"/>
    <m/>
    <n v="73"/>
    <n v="178"/>
    <n v="2"/>
    <n v="8"/>
    <n v="12"/>
    <m/>
  </r>
  <r>
    <d v="2022-07-01T00:00:00"/>
    <x v="1"/>
    <n v="644"/>
    <m/>
    <n v="134"/>
    <n v="451"/>
    <n v="5"/>
    <n v="14"/>
    <n v="44"/>
    <n v="21"/>
  </r>
  <r>
    <d v="2022-07-01T00:00:00"/>
    <x v="2"/>
    <n v="665"/>
    <m/>
    <n v="168"/>
    <n v="439"/>
    <n v="5"/>
    <n v="18"/>
    <n v="44"/>
    <n v="13"/>
  </r>
  <r>
    <d v="2022-07-01T00:00:00"/>
    <x v="3"/>
    <n v="346"/>
    <m/>
    <n v="131"/>
    <n v="183"/>
    <n v="7"/>
    <n v="15"/>
    <n v="4"/>
    <n v="8"/>
  </r>
  <r>
    <d v="2022-07-01T00:00:00"/>
    <x v="4"/>
    <n v="2195"/>
    <n v="1"/>
    <n v="577"/>
    <n v="1403"/>
    <n v="25"/>
    <n v="77"/>
    <n v="145"/>
    <n v="25"/>
  </r>
  <r>
    <d v="2022-07-01T00:00:00"/>
    <x v="5"/>
    <n v="1515"/>
    <n v="1"/>
    <n v="351"/>
    <n v="968"/>
    <n v="4"/>
    <n v="50"/>
    <n v="74"/>
    <n v="113"/>
  </r>
  <r>
    <d v="2022-07-01T00:00:00"/>
    <x v="6"/>
    <n v="1433"/>
    <m/>
    <n v="461"/>
    <n v="820"/>
    <m/>
    <n v="57"/>
    <n v="144"/>
    <n v="16"/>
  </r>
  <r>
    <d v="2022-07-01T00:00:00"/>
    <x v="7"/>
    <n v="1634"/>
    <m/>
    <n v="532"/>
    <n v="927"/>
    <n v="6"/>
    <n v="33"/>
    <n v="154"/>
    <n v="44"/>
  </r>
  <r>
    <d v="2022-07-01T00:00:00"/>
    <x v="8"/>
    <n v="2686"/>
    <n v="1"/>
    <n v="764"/>
    <n v="1762"/>
    <n v="7"/>
    <n v="37"/>
    <n v="110"/>
    <n v="50"/>
  </r>
  <r>
    <d v="2022-07-01T00:00:00"/>
    <x v="9"/>
    <n v="690"/>
    <m/>
    <n v="169"/>
    <n v="389"/>
    <n v="2"/>
    <n v="10"/>
    <n v="83"/>
    <n v="52"/>
  </r>
  <r>
    <d v="2022-07-01T00:00:00"/>
    <x v="10"/>
    <n v="5413"/>
    <n v="8"/>
    <n v="979"/>
    <n v="3818"/>
    <n v="23"/>
    <n v="197"/>
    <n v="548"/>
    <n v="148"/>
  </r>
  <r>
    <d v="2022-07-01T00:00:00"/>
    <x v="11"/>
    <n v="1956"/>
    <n v="2"/>
    <n v="705"/>
    <n v="1037"/>
    <n v="16"/>
    <n v="48"/>
    <n v="212"/>
    <n v="46"/>
  </r>
  <r>
    <d v="2022-07-01T00:00:00"/>
    <x v="12"/>
    <n v="2940"/>
    <m/>
    <n v="1036"/>
    <n v="1813"/>
    <n v="38"/>
    <n v="51"/>
    <n v="207"/>
    <n v="34"/>
  </r>
  <r>
    <d v="2022-07-01T00:00:00"/>
    <x v="13"/>
    <n v="922"/>
    <m/>
    <n v="227"/>
    <n v="569"/>
    <n v="32"/>
    <n v="34"/>
    <n v="59"/>
    <n v="20"/>
  </r>
  <r>
    <d v="2022-07-01T00:00:00"/>
    <x v="14"/>
    <n v="938"/>
    <m/>
    <n v="201"/>
    <n v="678"/>
    <n v="1"/>
    <n v="16"/>
    <n v="54"/>
    <n v="11"/>
  </r>
  <r>
    <d v="2022-07-01T00:00:00"/>
    <x v="15"/>
    <n v="1724"/>
    <n v="1"/>
    <n v="299"/>
    <n v="1161"/>
    <n v="10"/>
    <n v="44"/>
    <n v="240"/>
    <n v="34"/>
  </r>
  <r>
    <d v="2022-07-01T00:00:00"/>
    <x v="16"/>
    <n v="541"/>
    <m/>
    <n v="120"/>
    <n v="312"/>
    <n v="3"/>
    <n v="23"/>
    <n v="80"/>
    <n v="21"/>
  </r>
  <r>
    <d v="2022-07-01T00:00:00"/>
    <x v="17"/>
    <n v="6571"/>
    <n v="3"/>
    <n v="2286"/>
    <n v="3792"/>
    <n v="57"/>
    <n v="166"/>
    <n v="354"/>
    <n v="313"/>
  </r>
  <r>
    <d v="2022-07-01T00:00:00"/>
    <x v="18"/>
    <n v="5883"/>
    <n v="1"/>
    <n v="2207"/>
    <n v="2942"/>
    <n v="70"/>
    <n v="227"/>
    <n v="564"/>
    <n v="60"/>
  </r>
  <r>
    <d v="2022-07-01T00:00:00"/>
    <x v="19"/>
    <n v="809"/>
    <m/>
    <n v="148"/>
    <n v="559"/>
    <n v="2"/>
    <n v="28"/>
    <n v="66"/>
    <n v="34"/>
  </r>
  <r>
    <d v="2022-07-01T00:00:00"/>
    <x v="20"/>
    <n v="860"/>
    <n v="2"/>
    <n v="245"/>
    <n v="527"/>
    <n v="9"/>
    <n v="14"/>
    <n v="123"/>
    <n v="11"/>
  </r>
  <r>
    <d v="2022-07-01T00:00:00"/>
    <x v="21"/>
    <n v="130"/>
    <m/>
    <n v="30"/>
    <n v="89"/>
    <n v="1"/>
    <n v="7"/>
    <n v="15"/>
    <n v="1"/>
  </r>
  <r>
    <d v="2022-07-01T00:00:00"/>
    <x v="22"/>
    <n v="8151"/>
    <n v="2"/>
    <n v="2862"/>
    <n v="3927"/>
    <n v="25"/>
    <n v="209"/>
    <n v="1497"/>
    <n v="232"/>
  </r>
  <r>
    <d v="2022-07-01T00:00:00"/>
    <x v="23"/>
    <n v="5471"/>
    <n v="3"/>
    <n v="1912"/>
    <n v="2798"/>
    <n v="88"/>
    <n v="154"/>
    <n v="623"/>
    <n v="258"/>
  </r>
  <r>
    <d v="2022-07-01T00:00:00"/>
    <x v="24"/>
    <n v="669"/>
    <m/>
    <n v="218"/>
    <n v="504"/>
    <n v="6"/>
    <n v="19"/>
    <n v="52"/>
    <n v="8"/>
  </r>
  <r>
    <d v="2022-07-01T00:00:00"/>
    <x v="25"/>
    <n v="29999"/>
    <n v="13"/>
    <n v="12058"/>
    <n v="13380"/>
    <n v="294"/>
    <n v="1661"/>
    <n v="3884"/>
    <n v="389"/>
  </r>
  <r>
    <d v="2022-07-01T00:00:00"/>
    <x v="26"/>
    <n v="382"/>
    <m/>
    <n v="99"/>
    <n v="252"/>
    <n v="1"/>
    <n v="10"/>
    <n v="26"/>
    <n v="1"/>
  </r>
  <r>
    <d v="2022-08-01T00:00:00"/>
    <x v="0"/>
    <n v="278"/>
    <m/>
    <n v="76"/>
    <n v="182"/>
    <n v="3"/>
    <n v="13"/>
    <n v="4"/>
    <n v="4"/>
  </r>
  <r>
    <d v="2022-08-01T00:00:00"/>
    <x v="1"/>
    <n v="894"/>
    <m/>
    <n v="206"/>
    <n v="630"/>
    <n v="10"/>
    <n v="19"/>
    <n v="41"/>
    <n v="35"/>
  </r>
  <r>
    <d v="2022-08-01T00:00:00"/>
    <x v="2"/>
    <n v="826"/>
    <m/>
    <n v="205"/>
    <n v="548"/>
    <n v="5"/>
    <n v="20"/>
    <n v="52"/>
    <n v="26"/>
  </r>
  <r>
    <d v="2022-08-01T00:00:00"/>
    <x v="3"/>
    <n v="398"/>
    <m/>
    <n v="149"/>
    <n v="195"/>
    <n v="4"/>
    <n v="46"/>
    <n v="4"/>
    <n v="6"/>
  </r>
  <r>
    <d v="2022-08-01T00:00:00"/>
    <x v="4"/>
    <n v="2611"/>
    <n v="4"/>
    <n v="690"/>
    <n v="1708"/>
    <n v="16"/>
    <n v="66"/>
    <n v="151"/>
    <n v="42"/>
  </r>
  <r>
    <d v="2022-08-01T00:00:00"/>
    <x v="5"/>
    <n v="1654"/>
    <n v="1"/>
    <n v="398"/>
    <n v="1057"/>
    <n v="5"/>
    <n v="54"/>
    <n v="86"/>
    <n v="113"/>
  </r>
  <r>
    <d v="2022-08-01T00:00:00"/>
    <x v="6"/>
    <n v="1605"/>
    <n v="1"/>
    <n v="522"/>
    <n v="908"/>
    <n v="1"/>
    <n v="36"/>
    <n v="174"/>
    <n v="27"/>
  </r>
  <r>
    <d v="2022-08-01T00:00:00"/>
    <x v="7"/>
    <n v="1662"/>
    <n v="1"/>
    <n v="531"/>
    <n v="911"/>
    <n v="14"/>
    <n v="49"/>
    <n v="184"/>
    <n v="38"/>
  </r>
  <r>
    <d v="2022-08-01T00:00:00"/>
    <x v="8"/>
    <n v="3270"/>
    <m/>
    <n v="1003"/>
    <n v="2133"/>
    <n v="8"/>
    <n v="53"/>
    <n v="115"/>
    <n v="39"/>
  </r>
  <r>
    <d v="2022-08-01T00:00:00"/>
    <x v="9"/>
    <n v="766"/>
    <m/>
    <n v="184"/>
    <n v="487"/>
    <n v="2"/>
    <n v="17"/>
    <n v="70"/>
    <n v="32"/>
  </r>
  <r>
    <d v="2022-08-01T00:00:00"/>
    <x v="10"/>
    <n v="5905"/>
    <n v="11"/>
    <n v="1202"/>
    <n v="4140"/>
    <n v="23"/>
    <n v="153"/>
    <n v="569"/>
    <n v="131"/>
  </r>
  <r>
    <d v="2022-08-01T00:00:00"/>
    <x v="11"/>
    <n v="1966"/>
    <n v="1"/>
    <n v="653"/>
    <n v="1079"/>
    <n v="8"/>
    <n v="69"/>
    <n v="236"/>
    <n v="45"/>
  </r>
  <r>
    <d v="2022-08-01T00:00:00"/>
    <x v="12"/>
    <n v="3179"/>
    <m/>
    <n v="1132"/>
    <n v="1958"/>
    <n v="31"/>
    <n v="69"/>
    <n v="215"/>
    <n v="28"/>
  </r>
  <r>
    <d v="2022-08-01T00:00:00"/>
    <x v="13"/>
    <n v="1232"/>
    <m/>
    <n v="386"/>
    <n v="696"/>
    <n v="35"/>
    <n v="40"/>
    <n v="64"/>
    <n v="35"/>
  </r>
  <r>
    <d v="2022-08-01T00:00:00"/>
    <x v="14"/>
    <n v="1127"/>
    <m/>
    <n v="265"/>
    <n v="810"/>
    <n v="7"/>
    <n v="16"/>
    <n v="50"/>
    <n v="5"/>
  </r>
  <r>
    <d v="2022-08-01T00:00:00"/>
    <x v="15"/>
    <n v="1960"/>
    <n v="4"/>
    <n v="318"/>
    <n v="1347"/>
    <n v="23"/>
    <n v="59"/>
    <n v="219"/>
    <n v="55"/>
  </r>
  <r>
    <d v="2022-08-01T00:00:00"/>
    <x v="16"/>
    <n v="598"/>
    <m/>
    <n v="142"/>
    <n v="373"/>
    <n v="3"/>
    <n v="9"/>
    <n v="59"/>
    <n v="28"/>
  </r>
  <r>
    <d v="2022-08-01T00:00:00"/>
    <x v="17"/>
    <n v="7233"/>
    <n v="9"/>
    <n v="2507"/>
    <n v="4152"/>
    <n v="62"/>
    <n v="188"/>
    <n v="433"/>
    <n v="361"/>
  </r>
  <r>
    <d v="2022-08-01T00:00:00"/>
    <x v="18"/>
    <n v="6684"/>
    <n v="2"/>
    <n v="2470"/>
    <n v="3450"/>
    <n v="108"/>
    <n v="208"/>
    <n v="619"/>
    <n v="51"/>
  </r>
  <r>
    <d v="2022-08-01T00:00:00"/>
    <x v="19"/>
    <n v="925"/>
    <n v="1"/>
    <n v="162"/>
    <n v="654"/>
    <n v="1"/>
    <n v="14"/>
    <n v="73"/>
    <n v="41"/>
  </r>
  <r>
    <d v="2022-08-01T00:00:00"/>
    <x v="20"/>
    <n v="908"/>
    <n v="2"/>
    <n v="257"/>
    <n v="560"/>
    <n v="10"/>
    <n v="18"/>
    <n v="139"/>
    <n v="13"/>
  </r>
  <r>
    <d v="2022-08-01T00:00:00"/>
    <x v="21"/>
    <n v="129"/>
    <m/>
    <n v="38"/>
    <n v="83"/>
    <n v="4"/>
    <n v="3"/>
    <n v="6"/>
    <m/>
  </r>
  <r>
    <d v="2022-08-01T00:00:00"/>
    <x v="22"/>
    <n v="9379"/>
    <n v="1"/>
    <n v="3342"/>
    <n v="4478"/>
    <n v="37"/>
    <n v="243"/>
    <n v="1787"/>
    <n v="228"/>
  </r>
  <r>
    <d v="2022-08-01T00:00:00"/>
    <x v="23"/>
    <n v="5894"/>
    <n v="8"/>
    <n v="1940"/>
    <n v="3080"/>
    <n v="76"/>
    <n v="156"/>
    <n v="722"/>
    <n v="289"/>
  </r>
  <r>
    <d v="2022-08-01T00:00:00"/>
    <x v="24"/>
    <n v="821"/>
    <m/>
    <n v="256"/>
    <n v="575"/>
    <n v="5"/>
    <n v="23"/>
    <n v="71"/>
    <n v="19"/>
  </r>
  <r>
    <d v="2022-08-01T00:00:00"/>
    <x v="25"/>
    <n v="33179"/>
    <n v="4"/>
    <n v="13590"/>
    <n v="14379"/>
    <n v="329"/>
    <n v="1870"/>
    <n v="4264"/>
    <n v="537"/>
  </r>
  <r>
    <d v="2022-08-01T00:00:00"/>
    <x v="26"/>
    <n v="479"/>
    <m/>
    <n v="139"/>
    <n v="312"/>
    <m/>
    <n v="6"/>
    <n v="27"/>
    <n v="3"/>
  </r>
  <r>
    <d v="2022-09-01T00:00:00"/>
    <x v="0"/>
    <n v="262"/>
    <m/>
    <n v="72"/>
    <n v="175"/>
    <n v="2"/>
    <n v="4"/>
    <n v="6"/>
    <n v="7"/>
  </r>
  <r>
    <d v="2022-09-01T00:00:00"/>
    <x v="1"/>
    <n v="825"/>
    <m/>
    <n v="206"/>
    <n v="550"/>
    <n v="4"/>
    <n v="15"/>
    <n v="53"/>
    <n v="39"/>
  </r>
  <r>
    <d v="2022-09-01T00:00:00"/>
    <x v="2"/>
    <n v="650"/>
    <m/>
    <n v="169"/>
    <n v="429"/>
    <n v="7"/>
    <n v="7"/>
    <n v="41"/>
    <n v="17"/>
  </r>
  <r>
    <d v="2022-09-01T00:00:00"/>
    <x v="3"/>
    <n v="404"/>
    <m/>
    <n v="165"/>
    <n v="192"/>
    <n v="7"/>
    <n v="26"/>
    <n v="8"/>
    <n v="12"/>
  </r>
  <r>
    <d v="2022-09-01T00:00:00"/>
    <x v="4"/>
    <n v="2206"/>
    <n v="1"/>
    <n v="547"/>
    <n v="1470"/>
    <n v="25"/>
    <n v="50"/>
    <n v="133"/>
    <n v="36"/>
  </r>
  <r>
    <d v="2022-09-01T00:00:00"/>
    <x v="5"/>
    <n v="1550"/>
    <m/>
    <n v="403"/>
    <n v="987"/>
    <n v="13"/>
    <n v="41"/>
    <n v="94"/>
    <n v="75"/>
  </r>
  <r>
    <d v="2022-09-01T00:00:00"/>
    <x v="6"/>
    <n v="1420"/>
    <m/>
    <n v="447"/>
    <n v="824"/>
    <n v="3"/>
    <n v="56"/>
    <n v="133"/>
    <n v="21"/>
  </r>
  <r>
    <d v="2022-09-01T00:00:00"/>
    <x v="7"/>
    <n v="1591"/>
    <m/>
    <n v="520"/>
    <n v="858"/>
    <n v="8"/>
    <n v="23"/>
    <n v="177"/>
    <n v="52"/>
  </r>
  <r>
    <d v="2022-09-01T00:00:00"/>
    <x v="8"/>
    <n v="2695"/>
    <n v="1"/>
    <n v="791"/>
    <n v="1753"/>
    <n v="5"/>
    <n v="47"/>
    <n v="120"/>
    <n v="38"/>
  </r>
  <r>
    <d v="2022-09-01T00:00:00"/>
    <x v="9"/>
    <n v="682"/>
    <m/>
    <n v="165"/>
    <n v="433"/>
    <n v="5"/>
    <n v="11"/>
    <n v="55"/>
    <n v="39"/>
  </r>
  <r>
    <d v="2022-09-01T00:00:00"/>
    <x v="10"/>
    <n v="5586"/>
    <n v="2"/>
    <n v="989"/>
    <n v="3976"/>
    <n v="26"/>
    <n v="195"/>
    <n v="553"/>
    <n v="161"/>
  </r>
  <r>
    <d v="2022-09-01T00:00:00"/>
    <x v="11"/>
    <n v="1813"/>
    <n v="1"/>
    <n v="575"/>
    <n v="1008"/>
    <n v="11"/>
    <n v="48"/>
    <n v="245"/>
    <n v="40"/>
  </r>
  <r>
    <d v="2022-09-01T00:00:00"/>
    <x v="12"/>
    <n v="2839"/>
    <n v="1"/>
    <n v="1022"/>
    <n v="1725"/>
    <n v="44"/>
    <n v="56"/>
    <n v="217"/>
    <n v="41"/>
  </r>
  <r>
    <d v="2022-09-01T00:00:00"/>
    <x v="13"/>
    <n v="950"/>
    <n v="2"/>
    <n v="256"/>
    <n v="584"/>
    <n v="16"/>
    <n v="41"/>
    <n v="55"/>
    <n v="23"/>
  </r>
  <r>
    <d v="2022-09-01T00:00:00"/>
    <x v="14"/>
    <n v="1108"/>
    <m/>
    <n v="268"/>
    <n v="787"/>
    <n v="6"/>
    <n v="27"/>
    <n v="35"/>
    <n v="6"/>
  </r>
  <r>
    <d v="2022-09-01T00:00:00"/>
    <x v="15"/>
    <n v="1920"/>
    <m/>
    <n v="416"/>
    <n v="1267"/>
    <n v="13"/>
    <n v="37"/>
    <n v="196"/>
    <n v="44"/>
  </r>
  <r>
    <d v="2022-09-01T00:00:00"/>
    <x v="16"/>
    <n v="475"/>
    <m/>
    <n v="109"/>
    <n v="282"/>
    <n v="3"/>
    <n v="10"/>
    <n v="65"/>
    <n v="19"/>
  </r>
  <r>
    <d v="2022-09-01T00:00:00"/>
    <x v="17"/>
    <n v="6171"/>
    <n v="3"/>
    <n v="2142"/>
    <n v="3551"/>
    <n v="47"/>
    <n v="153"/>
    <n v="381"/>
    <n v="285"/>
  </r>
  <r>
    <d v="2022-09-01T00:00:00"/>
    <x v="18"/>
    <n v="5796"/>
    <n v="2"/>
    <n v="2188"/>
    <n v="2994"/>
    <n v="84"/>
    <n v="241"/>
    <n v="480"/>
    <n v="53"/>
  </r>
  <r>
    <d v="2022-09-01T00:00:00"/>
    <x v="19"/>
    <n v="875"/>
    <m/>
    <n v="187"/>
    <n v="607"/>
    <m/>
    <n v="16"/>
    <n v="79"/>
    <n v="21"/>
  </r>
  <r>
    <d v="2022-09-01T00:00:00"/>
    <x v="20"/>
    <n v="788"/>
    <n v="1"/>
    <n v="223"/>
    <n v="475"/>
    <n v="9"/>
    <n v="20"/>
    <n v="130"/>
    <n v="9"/>
  </r>
  <r>
    <d v="2022-09-01T00:00:00"/>
    <x v="21"/>
    <n v="136"/>
    <m/>
    <n v="26"/>
    <n v="94"/>
    <n v="2"/>
    <n v="6"/>
    <n v="13"/>
    <n v="2"/>
  </r>
  <r>
    <d v="2022-09-01T00:00:00"/>
    <x v="22"/>
    <n v="8387"/>
    <n v="3"/>
    <n v="2946"/>
    <n v="3940"/>
    <n v="37"/>
    <n v="194"/>
    <n v="1668"/>
    <n v="250"/>
  </r>
  <r>
    <d v="2022-09-01T00:00:00"/>
    <x v="23"/>
    <n v="5343"/>
    <n v="6"/>
    <n v="1798"/>
    <n v="2728"/>
    <n v="83"/>
    <n v="120"/>
    <n v="668"/>
    <n v="268"/>
  </r>
  <r>
    <d v="2022-09-01T00:00:00"/>
    <x v="24"/>
    <n v="855"/>
    <m/>
    <n v="314"/>
    <n v="631"/>
    <n v="6"/>
    <n v="14"/>
    <n v="62"/>
    <n v="13"/>
  </r>
  <r>
    <d v="2022-09-01T00:00:00"/>
    <x v="25"/>
    <n v="29505"/>
    <n v="4"/>
    <n v="11801"/>
    <n v="12933"/>
    <n v="328"/>
    <n v="1623"/>
    <n v="4009"/>
    <n v="374"/>
  </r>
  <r>
    <d v="2022-09-01T00:00:00"/>
    <x v="26"/>
    <n v="418"/>
    <m/>
    <n v="94"/>
    <n v="292"/>
    <m/>
    <n v="13"/>
    <n v="37"/>
    <m/>
  </r>
  <r>
    <m/>
    <x v="27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9" cacheId="29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 chartFormat="8" rowHeaderCaption="UF">
  <location ref="M1:O9" firstHeaderRow="1" firstDataRow="2" firstDataCol="1"/>
  <pivotFields count="10">
    <pivotField numFmtId="17" showAll="0"/>
    <pivotField axis="axisCol" showAll="0">
      <items count="29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x="25"/>
        <item h="1" x="26"/>
        <item h="1" x="27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</pivotFields>
  <rowFields count="1">
    <field x="-2"/>
  </rowFields>
  <row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rowItems>
  <colFields count="1">
    <field x="1"/>
  </colFields>
  <colItems count="2">
    <i>
      <x v="25"/>
    </i>
    <i t="grand">
      <x/>
    </i>
  </colItems>
  <dataFields count="7">
    <dataField name="1 - Projeto" fld="5" baseField="1" baseItem="0" numFmtId="3"/>
    <dataField name="2 - Execução" fld="4" baseField="1" baseItem="0" numFmtId="3"/>
    <dataField name="3 - Gestão" fld="7" baseField="1" baseItem="0" numFmtId="3"/>
    <dataField name="4 - Meio Amb." fld="9" baseField="1" baseItem="0"/>
    <dataField name="5 - Ativ. Especiais" fld="8" baseField="1" baseItem="0" numFmtId="3"/>
    <dataField name="6 - Ensino e Pesquisa" fld="3" baseField="1" baseItem="0" numFmtId="3"/>
    <dataField name="7 - Eng. Seg. Trab." fld="6" baseField="1" baseItem="0" numFmtId="3"/>
  </dataFields>
  <formats count="9">
    <format dxfId="362">
      <pivotArea field="1" type="button" dataOnly="0" labelOnly="1" outline="0" axis="axisCol" fieldPosition="0"/>
    </format>
    <format dxfId="361">
      <pivotArea field="1" type="button" dataOnly="0" labelOnly="1" outline="0" axis="axisCol" fieldPosition="0"/>
    </format>
    <format dxfId="360">
      <pivotArea field="1" type="button" dataOnly="0" labelOnly="1" outline="0" axis="axisCol" fieldPosition="0"/>
    </format>
    <format dxfId="359">
      <pivotArea outline="0" fieldPosition="0">
        <references count="1">
          <reference field="4294967294" count="1">
            <x v="0"/>
          </reference>
        </references>
      </pivotArea>
    </format>
    <format dxfId="358">
      <pivotArea outline="0" fieldPosition="0">
        <references count="1">
          <reference field="4294967294" count="1">
            <x v="1"/>
          </reference>
        </references>
      </pivotArea>
    </format>
    <format dxfId="357">
      <pivotArea outline="0" fieldPosition="0">
        <references count="1">
          <reference field="4294967294" count="1">
            <x v="2"/>
          </reference>
        </references>
      </pivotArea>
    </format>
    <format dxfId="356">
      <pivotArea outline="0" fieldPosition="0">
        <references count="1">
          <reference field="4294967294" count="1">
            <x v="4"/>
          </reference>
        </references>
      </pivotArea>
    </format>
    <format dxfId="355">
      <pivotArea outline="0" fieldPosition="0">
        <references count="1">
          <reference field="4294967294" count="1">
            <x v="5"/>
          </reference>
        </references>
      </pivotArea>
    </format>
    <format dxfId="354">
      <pivotArea outline="0" fieldPosition="0">
        <references count="1">
          <reference field="4294967294" count="1">
            <x v="6"/>
          </reference>
        </references>
      </pivotArea>
    </format>
  </formats>
  <chartFormats count="56"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5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7"/>
          </reference>
        </references>
      </pivotArea>
    </chartFormat>
    <chartFormat chart="3" format="8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7" format="8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7" format="8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7" format="8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7" format="8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7" format="8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7" format="8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7" format="8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7" format="8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7" format="9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7" format="9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7" format="9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7" format="9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7" format="9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7" format="9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7" format="9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  <chartFormat chart="7" format="9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chartFormat>
    <chartFormat chart="7" format="9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7" format="9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7" format="10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7" format="10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7" format="10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7" format="10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7" format="10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7" format="10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7" format="10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7" format="10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7" format="10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5"/>
          </reference>
        </references>
      </pivotArea>
    </chartFormat>
  </chart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ela dinâmica23" cacheId="26" applyNumberFormats="0" applyBorderFormats="0" applyFontFormats="0" applyPatternFormats="0" applyAlignmentFormats="0" applyWidthHeightFormats="1" dataCaption="Valores" updatedVersion="6" minRefreshableVersion="3" useAutoFormatting="1" itemPrintTitles="1" createdVersion="8" indent="0" outline="1" outlineData="1" multipleFieldFilters="0" chartFormat="1">
  <location ref="L30:M39" firstHeaderRow="1" firstDataRow="1" firstDataCol="1"/>
  <pivotFields count="11">
    <pivotField numFmtId="17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0"/>
  </rowFields>
  <row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a de qtde_total" fld="2" baseField="0" baseItem="0"/>
  </dataFields>
  <chartFormats count="1">
    <chartFormat chart="0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ela dinâmica1" cacheId="23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5" indent="0" compact="0" compactData="0" multipleFieldFilters="0" chartFormat="4">
  <location ref="BT3:EJ30" firstHeaderRow="0" firstDataRow="1" firstDataCol="2"/>
  <pivotFields count="73">
    <pivotField axis="axisRow" compact="0" outline="0" showAll="0" includeNewItemsInFilter="1" sortType="ascending" defaultSubtotal="0">
      <items count="27">
        <item x="0"/>
        <item x="1"/>
        <item x="2"/>
        <item x="3"/>
        <item x="4"/>
        <item x="5"/>
        <item x="6"/>
        <item x="7"/>
        <item x="8"/>
        <item x="9"/>
        <item sd="0"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compact="0" outline="0" showAll="0" defaultSubtotal="0">
      <items count="27">
        <item x="0"/>
        <item x="1"/>
        <item x="3"/>
        <item x="2"/>
        <item x="4"/>
        <item x="5"/>
        <item x="6"/>
        <item x="7"/>
        <item x="8"/>
        <item x="9"/>
        <item x="12"/>
        <item x="11"/>
        <item x="10"/>
        <item x="13"/>
        <item x="14"/>
        <item x="17"/>
        <item x="15"/>
        <item x="16"/>
        <item x="18"/>
        <item x="19"/>
        <item x="22"/>
        <item x="20"/>
        <item x="21"/>
        <item x="23"/>
        <item x="25"/>
        <item x="24"/>
        <item x="26"/>
      </items>
    </pivotField>
    <pivotField compact="0" outline="0" showAll="0" defaultSubtotal="0">
      <items count="5">
        <item x="2"/>
        <item x="1"/>
        <item x="0"/>
        <item x="3"/>
        <item x="4"/>
      </items>
    </pivotField>
    <pivotField dataField="1" compact="0" numFmtId="172" outline="0" showAll="0"/>
    <pivotField dataField="1" compact="0" numFmtId="172" outline="0" showAll="0"/>
    <pivotField dataField="1" compact="0" numFmtId="168" outline="0" showAll="0"/>
    <pivotField dataField="1" compact="0" numFmtId="172" outline="0" showAll="0"/>
    <pivotField dataField="1" compact="0" numFmtId="172" outline="0" showAll="0"/>
    <pivotField dataField="1" compact="0" numFmtId="168" outline="0" showAll="0"/>
    <pivotField dataField="1" compact="0" numFmtId="172" outline="0" showAll="0"/>
    <pivotField dataField="1" compact="0" numFmtId="172" outline="0" showAll="0"/>
    <pivotField dataField="1" compact="0" numFmtId="168" outline="0" showAll="0"/>
    <pivotField dataField="1" compact="0" numFmtId="172" outline="0" showAll="0"/>
    <pivotField dataField="1" compact="0" numFmtId="172" outline="0" showAll="0"/>
    <pivotField dataField="1" compact="0" numFmtId="168" outline="0" showAll="0"/>
    <pivotField dataField="1" compact="0" numFmtId="172" outline="0" showAll="0"/>
    <pivotField dataField="1" compact="0" numFmtId="172" outline="0" showAll="0"/>
    <pivotField dataField="1" compact="0" numFmtId="168" outline="0" showAll="0"/>
    <pivotField dataField="1" compact="0" numFmtId="172" outline="0" showAll="0"/>
    <pivotField dataField="1" compact="0" numFmtId="172" outline="0" showAll="0"/>
    <pivotField dataField="1" compact="0" numFmtId="168" outline="0" showAll="0"/>
    <pivotField dataField="1" compact="0" numFmtId="167" outline="0" showAll="0"/>
    <pivotField dataField="1" compact="0" numFmtId="167" outline="0" showAll="0"/>
    <pivotField dataField="1" compact="0" numFmtId="167" outline="0" showAll="0" defaultSubtotal="0"/>
    <pivotField dataField="1" compact="0" numFmtId="168" outline="0" showAll="0"/>
    <pivotField dataField="1" compact="0" numFmtId="167" outline="0" showAll="0" defaultSubtotal="0"/>
    <pivotField dataField="1" compact="0" numFmtId="167" outline="0" showAll="0"/>
    <pivotField dataField="1" compact="0" numFmtId="167" outline="0" showAll="0" defaultSubtotal="0"/>
    <pivotField dataField="1" compact="0" numFmtId="168" outline="0" showAll="0"/>
    <pivotField dataField="1" compact="0" numFmtId="167" outline="0" showAll="0"/>
    <pivotField dataField="1" compact="0" numFmtId="167" outline="0" showAll="0" defaultSubtotal="0"/>
    <pivotField dataField="1" compact="0" numFmtId="169" outline="0" showAll="0" defaultSubtotal="0"/>
    <pivotField dataField="1" compact="0" numFmtId="169" outline="0" showAll="0" defaultSubtotal="0"/>
    <pivotField dataField="1" compact="0" numFmtId="167" outline="0" showAll="0"/>
    <pivotField dataField="1" compact="0" numFmtId="167" outline="0" showAll="0"/>
    <pivotField dataField="1" compact="0" numFmtId="168" outline="0" showAll="0"/>
    <pivotField dataField="1" compact="0" numFmtId="177" outline="0" showAll="0"/>
    <pivotField dataField="1" compact="0" numFmtId="177" outline="0" showAll="0"/>
    <pivotField dataField="1" compact="0" numFmtId="168" outline="0" showAll="0"/>
    <pivotField dataField="1" compact="0" numFmtId="177" outline="0" showAll="0"/>
    <pivotField dataField="1" compact="0" numFmtId="168" outline="0" showAll="0"/>
    <pivotField dataField="1" compact="0" numFmtId="177" outline="0" showAll="0"/>
    <pivotField dataField="1" compact="0" numFmtId="168" outline="0" showAll="0"/>
    <pivotField dataField="1" compact="0" numFmtId="167" outline="0" showAll="0" defaultSubtotal="0"/>
    <pivotField dataField="1" compact="0" numFmtId="167" outline="0" showAll="0" defaultSubtotal="0"/>
    <pivotField dataField="1" compact="0" numFmtId="167" outline="0" showAll="0"/>
    <pivotField dataField="1" compact="0" numFmtId="167" outline="0" showAll="0"/>
    <pivotField dataField="1" compact="0" numFmtId="168" outline="0" showAll="0"/>
    <pivotField dataField="1" compact="0" numFmtId="44" outline="0" showAll="0"/>
    <pivotField dataField="1" compact="0" numFmtId="170" outline="0" showAll="0"/>
    <pivotField dataField="1" compact="0" numFmtId="168" outline="0" showAll="0"/>
    <pivotField dataField="1" compact="0" numFmtId="44" outline="0" showAll="0"/>
    <pivotField dataField="1" compact="0" numFmtId="44" outline="0" showAll="0"/>
    <pivotField dataField="1" compact="0" numFmtId="168" outline="0" showAll="0"/>
    <pivotField dataField="1" compact="0" numFmtId="44" outline="0" showAll="0"/>
    <pivotField dataField="1" compact="0" numFmtId="170" outline="0" showAll="0"/>
    <pivotField dataField="1" compact="0" numFmtId="168" outline="0" showAll="0"/>
    <pivotField dataField="1" compact="0" numFmtId="44" outline="0" showAll="0"/>
    <pivotField dataField="1" compact="0" numFmtId="44" outline="0" showAll="0"/>
    <pivotField dataField="1" compact="0" numFmtId="168" outline="0" showAll="0"/>
    <pivotField dataField="1" compact="0" numFmtId="44" outline="0" showAll="0"/>
    <pivotField dataField="1" compact="0" numFmtId="170" outline="0" showAll="0"/>
    <pivotField dataField="1" compact="0" numFmtId="168" outline="0" showAll="0"/>
    <pivotField dataField="1" compact="0" numFmtId="44" outline="0" showAll="0"/>
    <pivotField dataField="1" compact="0" numFmtId="170" outline="0" showAll="0"/>
    <pivotField dataField="1" compact="0" numFmtId="168" outline="0" showAll="0"/>
    <pivotField dataField="1" compact="0" numFmtId="167" outline="0" showAll="0"/>
    <pivotField dataField="1" compact="0" numFmtId="168" outline="0" showAll="0"/>
    <pivotField dataField="1" compact="0" numFmtId="168" outline="0" showAll="0"/>
    <pivotField dataField="1" compact="0" numFmtId="167" outline="0" showAl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1"/>
  </rowFields>
  <rowItems count="27">
    <i>
      <x/>
      <x/>
    </i>
    <i>
      <x v="1"/>
      <x v="1"/>
    </i>
    <i>
      <x v="2"/>
      <x v="3"/>
    </i>
    <i>
      <x v="3"/>
      <x v="2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</i>
    <i>
      <x v="11"/>
      <x v="11"/>
    </i>
    <i>
      <x v="12"/>
      <x v="10"/>
    </i>
    <i>
      <x v="13"/>
      <x v="13"/>
    </i>
    <i>
      <x v="14"/>
      <x v="14"/>
    </i>
    <i>
      <x v="15"/>
      <x v="16"/>
    </i>
    <i>
      <x v="16"/>
      <x v="17"/>
    </i>
    <i>
      <x v="17"/>
      <x v="15"/>
    </i>
    <i>
      <x v="18"/>
      <x v="18"/>
    </i>
    <i>
      <x v="19"/>
      <x v="19"/>
    </i>
    <i>
      <x v="20"/>
      <x v="21"/>
    </i>
    <i>
      <x v="21"/>
      <x v="22"/>
    </i>
    <i>
      <x v="22"/>
      <x v="20"/>
    </i>
    <i>
      <x v="23"/>
      <x v="23"/>
    </i>
    <i>
      <x v="24"/>
      <x v="25"/>
    </i>
    <i>
      <x v="25"/>
      <x v="24"/>
    </i>
    <i>
      <x v="26"/>
      <x v="26"/>
    </i>
  </rowItems>
  <colFields count="1">
    <field x="-2"/>
  </colFields>
  <colItems count="6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  <i i="44">
      <x v="44"/>
    </i>
    <i i="45">
      <x v="45"/>
    </i>
    <i i="46">
      <x v="46"/>
    </i>
    <i i="47">
      <x v="47"/>
    </i>
    <i i="48">
      <x v="48"/>
    </i>
    <i i="49">
      <x v="49"/>
    </i>
    <i i="50">
      <x v="50"/>
    </i>
    <i i="51">
      <x v="51"/>
    </i>
    <i i="52">
      <x v="52"/>
    </i>
    <i i="53">
      <x v="53"/>
    </i>
    <i i="54">
      <x v="54"/>
    </i>
    <i i="55">
      <x v="55"/>
    </i>
    <i i="56">
      <x v="56"/>
    </i>
    <i i="57">
      <x v="57"/>
    </i>
    <i i="58">
      <x v="58"/>
    </i>
    <i i="59">
      <x v="59"/>
    </i>
    <i i="60">
      <x v="60"/>
    </i>
    <i i="61">
      <x v="61"/>
    </i>
    <i i="62">
      <x v="62"/>
    </i>
    <i i="63">
      <x v="63"/>
    </i>
    <i i="64">
      <x v="64"/>
    </i>
    <i i="65">
      <x v="65"/>
    </i>
    <i i="66">
      <x v="66"/>
    </i>
  </colItems>
  <dataFields count="67">
    <dataField name="Soma de Anuidade PF - Exerc._x000a_Exec." fld="3" baseField="0" baseItem="0" numFmtId="4"/>
    <dataField name="Soma de Anuidade PF - Exerc._x000a_Previsto" fld="4" baseField="0" baseItem="0" numFmtId="170"/>
    <dataField name="Soma de Anuidade PF - Exerc._x000a_Exec. %" fld="5" baseField="0" baseItem="0" numFmtId="168"/>
    <dataField name="Soma de Anuidade PF - Ex. Ant._x000a_Exec." fld="6" baseField="0" baseItem="0" numFmtId="170"/>
    <dataField name="Soma de Anuidade PF - Ex. Ant._x000a_Previsto" fld="7" baseField="0" baseItem="0" numFmtId="170"/>
    <dataField name="Soma de Anuidade PF - Ex. Ant._x000a_Exec. %" fld="8" baseField="0" baseItem="0" numFmtId="168"/>
    <dataField name="Soma de Anuidade PJ - Exerc._x000a_Exec." fld="9" baseField="0" baseItem="0" numFmtId="170"/>
    <dataField name="Soma de Anuidade PJ - Exerc._x000a_Previsto" fld="10" baseField="0" baseItem="0" numFmtId="170"/>
    <dataField name="Soma de Anuidade PJ - Exerc._x000a_Exec. %" fld="11" baseField="0" baseItem="0" numFmtId="168"/>
    <dataField name="Soma de Anuidade PJ - Ex. Ant._x000a_Exec." fld="12" baseField="0" baseItem="0" numFmtId="170"/>
    <dataField name="Soma de Anuidade PJ - Ex. Ant._x000a_Previsto" fld="13" baseField="0" baseItem="0" numFmtId="170"/>
    <dataField name="Soma de Anuidade PJ - Ex. Ant._x000a_Exec. %" fld="14" baseField="0" baseItem="0" numFmtId="168"/>
    <dataField name="Soma de RRT_x000a_Exec." fld="15" baseField="0" baseItem="0" numFmtId="170"/>
    <dataField name="Soma de RRT_x000a_Previsto" fld="16" baseField="0" baseItem="0" numFmtId="170"/>
    <dataField name="Soma de RRT_x000a_Exec. %" fld="17" baseField="0" baseItem="0" numFmtId="168"/>
    <dataField name="Soma de Taxas_x000a_Exec." fld="18" baseField="0" baseItem="0" numFmtId="170"/>
    <dataField name="Soma de Taxas_x000a_Previsto" fld="19" baseField="0" baseItem="0" numFmtId="170"/>
    <dataField name="Soma de Taxas_x000a_Exec. %" fld="20" baseField="0" baseItem="0" numFmtId="168"/>
    <dataField name="Soma de PF Ativos_x000a_Exec." fld="21" baseField="0" baseItem="0" numFmtId="177"/>
    <dataField name="Soma de Var_x000a_PF - Ativos_x000a_2022 x 2021" fld="22" baseField="0" baseItem="0" numFmtId="3"/>
    <dataField name="Soma de Previsto PF" fld="23" baseField="0" baseItem="0" numFmtId="177"/>
    <dataField name="Soma de % de exerc. - PF" fld="24" baseField="0" baseItem="0" numFmtId="168"/>
    <dataField name="Soma de PJ Ativos" fld="25" baseField="0" baseItem="0" numFmtId="177"/>
    <dataField name="Soma de Var_x000a_PJ - Ativos_x000a_2022 x 2021" fld="26" baseField="0" baseItem="0"/>
    <dataField name="Soma de Previsto PJ" fld="27" baseField="0" baseItem="0" numFmtId="177"/>
    <dataField name="Soma de % de exerc. - PJ" fld="28" baseField="0" baseItem="0" numFmtId="168"/>
    <dataField name="Soma de RRT_x000a_Executado" fld="29" baseField="0" baseItem="0" numFmtId="3"/>
    <dataField name="Soma de Previsto - RRT" fld="30" baseField="0" baseItem="0" numFmtId="177"/>
    <dataField name="Soma de Méd/Prof_x000a_Executado" fld="31" baseField="0" baseItem="0"/>
    <dataField name="Soma de Méd/Prof_x000a_Previsto" fld="32" baseField="0" baseItem="0"/>
    <dataField name="Soma de PF_x000a_Qnt Pot Pag._x000a_Exec." fld="33" baseField="0" baseItem="0" numFmtId="177"/>
    <dataField name="Soma de PF Qnt Pag._x000a_Exec." fld="34" baseField="0" baseItem="0" numFmtId="177"/>
    <dataField name="Soma de Adimp. PF_x000a_Exec." fld="35" baseField="0" baseItem="0" numFmtId="168"/>
    <dataField name="Soma de PF_x000a_Qnt Pot Pag._x000a_Previsto" fld="36" baseField="0" baseItem="0" numFmtId="177"/>
    <dataField name="Soma de PF Qnt Pag._x000a_Previsto" fld="37" baseField="0" baseItem="0" numFmtId="177"/>
    <dataField name="Soma de Adimp. PF_x000a_Previsto" fld="38" baseField="0" baseItem="0" numFmtId="168"/>
    <dataField name="Soma de PJ Pagantes_x000a_Exec." fld="39" baseField="0" baseItem="0" numFmtId="177"/>
    <dataField name="Soma de Adimp. PJ_x000a_Exec." fld="40" baseField="0" baseItem="0" numFmtId="168"/>
    <dataField name="Soma de PJ Pagante_x000a_Previsto" fld="41" baseField="0" baseItem="0" numFmtId="3"/>
    <dataField name="Soma de Adimp. PJ_x000a_Previsto PJ" fld="42" baseField="0" baseItem="0" numFmtId="168"/>
    <dataField name="Soma de Masculino" fld="43" baseField="0" baseItem="0" numFmtId="177"/>
    <dataField name="Soma de Feminino" fld="44" baseField="0" baseItem="0" numFmtId="177"/>
    <dataField name="Soma de Egressos" fld="45" baseField="0" baseItem="0" numFmtId="177"/>
    <dataField name="Soma de Previsto - Egressos" fld="46" baseField="0" baseItem="0" numFmtId="177"/>
    <dataField name="Soma de % de exec. - Egressos" fld="47" baseField="0" baseItem="0" numFmtId="168"/>
    <dataField name="Soma de Receita_x000a_PF_x000a_2022" fld="48" baseField="0" baseItem="0" numFmtId="170"/>
    <dataField name="Soma de Receita_x000a_PF_x000a_2021" fld="49" baseField="0" baseItem="0" numFmtId="170"/>
    <dataField name="Soma de Var_x000a_PF_x000a_YOY" fld="50" baseField="0" baseItem="0" numFmtId="168"/>
    <dataField name="Soma de Receita_x000a_PF - Ex Ant_x000a_2022" fld="51" baseField="0" baseItem="0" numFmtId="170"/>
    <dataField name="Soma de Receita_x000a_PF - Ex Ant_x000a_2021" fld="52" baseField="0" baseItem="0" numFmtId="170"/>
    <dataField name="Soma de Var_x000a_PF Ex Ant_x000a_YOY" fld="53" baseField="0" baseItem="0" numFmtId="168"/>
    <dataField name="Soma de Receita_x000a_PJ_x000a_2022" fld="54" baseField="0" baseItem="0" numFmtId="170"/>
    <dataField name="Soma de Receita_x000a_PJ_x000a_2021" fld="55" baseField="0" baseItem="0" numFmtId="170"/>
    <dataField name="Soma de Var_x000a_PJ_x000a_YOY" fld="56" baseField="0" baseItem="0" numFmtId="168"/>
    <dataField name="Soma de Receita_x000a_PJ - Ex Ant_x000a_2022" fld="57" baseField="0" baseItem="0" numFmtId="170"/>
    <dataField name="Soma de Receita_x000a_PJ - Ex Ant_x000a_2021" fld="58" baseField="0" baseItem="0" numFmtId="170"/>
    <dataField name="Soma de Var_x000a_PJ Ex Ant_x000a_YOY" fld="59" baseField="0" baseItem="0" numFmtId="168"/>
    <dataField name="Soma de Receita_x000a_RRT_x000a_2022" fld="60" baseField="0" baseItem="0" numFmtId="170"/>
    <dataField name="Soma de Receita_x000a_RRT_x000a_2021" fld="61" baseField="0" baseItem="0" numFmtId="170"/>
    <dataField name="Soma de Var_x000a_RRT_x000a_YOY" fld="62" baseField="0" baseItem="0" numFmtId="168"/>
    <dataField name="Soma de Receita_x000a_Taxas_x000a_2022" fld="63" baseField="0" baseItem="0" numFmtId="170"/>
    <dataField name="Soma de Receita_x000a_Taxas_x000a_2021" fld="64" baseField="0" baseItem="0" numFmtId="170"/>
    <dataField name="Soma de Var_x000a_Taxas_x000a_YOY" fld="65" baseField="0" baseItem="0" numFmtId="168"/>
    <dataField name="Soma de Ano anterior_x000a_TOTAL acumulado" fld="66" baseField="0" baseItem="0" numFmtId="170"/>
    <dataField name="Soma de YOY_x000a_% de exec." fld="67" baseField="0" baseItem="0" numFmtId="168"/>
    <dataField name="Soma de % de exec._x000a_x Previsto" fld="68" baseField="0" baseItem="0" numFmtId="168"/>
    <dataField name="Soma de PF + PJ" fld="69" baseField="0" baseItem="0" numFmtId="3"/>
  </dataFields>
  <formats count="134">
    <format dxfId="348">
      <pivotArea field="2" type="button" dataOnly="0" labelOnly="1" outline="0"/>
    </format>
    <format dxfId="347">
      <pivotArea outline="0" collapsedLevelsAreSubtotals="1" fieldPosition="0"/>
    </format>
    <format dxfId="346">
      <pivotArea outline="0" collapsedLevelsAreSubtotals="1" fieldPosition="0"/>
    </format>
    <format dxfId="345">
      <pivotArea field="0" type="button" dataOnly="0" labelOnly="1" outline="0" axis="axisRow" fieldPosition="0"/>
    </format>
    <format dxfId="344">
      <pivotArea field="2" type="button" dataOnly="0" labelOnly="1" outline="0"/>
    </format>
    <format dxfId="343">
      <pivotArea field="0" type="button" dataOnly="0" labelOnly="1" outline="0" axis="axisRow" fieldPosition="0"/>
    </format>
    <format dxfId="342">
      <pivotArea field="2" type="button" dataOnly="0" labelOnly="1" outline="0"/>
    </format>
    <format dxfId="341">
      <pivotArea field="0" type="button" dataOnly="0" labelOnly="1" outline="0" axis="axisRow" fieldPosition="0"/>
    </format>
    <format dxfId="340">
      <pivotArea field="2" type="button" dataOnly="0" labelOnly="1" outline="0"/>
    </format>
    <format dxfId="339">
      <pivotArea field="2" type="button" dataOnly="0" labelOnly="1" outline="0"/>
    </format>
    <format dxfId="338">
      <pivotArea field="2" type="button" dataOnly="0" labelOnly="1" outline="0"/>
    </format>
    <format dxfId="337">
      <pivotArea dataOnly="0" labelOnly="1" outline="0" axis="axisValues" fieldPosition="0"/>
    </format>
    <format dxfId="336">
      <pivotArea dataOnly="0" labelOnly="1" outline="0" axis="axisValues" fieldPosition="0"/>
    </format>
    <format dxfId="335">
      <pivotArea dataOnly="0" labelOnly="1" outline="0" axis="axisValues" fieldPosition="0"/>
    </format>
    <format dxfId="334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333">
      <pivotArea outline="0" fieldPosition="0">
        <references count="1">
          <reference field="4294967294" count="2" selected="0">
            <x v="3"/>
            <x v="4"/>
          </reference>
        </references>
      </pivotArea>
    </format>
    <format dxfId="332">
      <pivotArea outline="0" fieldPosition="0">
        <references count="1">
          <reference field="4294967294" count="2" selected="0">
            <x v="6"/>
            <x v="7"/>
          </reference>
        </references>
      </pivotArea>
    </format>
    <format dxfId="331">
      <pivotArea outline="0" fieldPosition="0">
        <references count="1">
          <reference field="4294967294" count="2" selected="0">
            <x v="9"/>
            <x v="10"/>
          </reference>
        </references>
      </pivotArea>
    </format>
    <format dxfId="330">
      <pivotArea outline="0" fieldPosition="0">
        <references count="1">
          <reference field="4294967294" count="1" selected="0">
            <x v="2"/>
          </reference>
        </references>
      </pivotArea>
    </format>
    <format dxfId="329">
      <pivotArea outline="0" fieldPosition="0">
        <references count="1">
          <reference field="4294967294" count="1" selected="0">
            <x v="5"/>
          </reference>
        </references>
      </pivotArea>
    </format>
    <format dxfId="328">
      <pivotArea outline="0" fieldPosition="0">
        <references count="1">
          <reference field="4294967294" count="1" selected="0">
            <x v="8"/>
          </reference>
        </references>
      </pivotArea>
    </format>
    <format dxfId="327">
      <pivotArea outline="0" fieldPosition="0">
        <references count="1">
          <reference field="4294967294" count="1" selected="0">
            <x v="11"/>
          </reference>
        </references>
      </pivotArea>
    </format>
    <format dxfId="326">
      <pivotArea outline="0" fieldPosition="0">
        <references count="1">
          <reference field="4294967294" count="1" selected="0">
            <x v="14"/>
          </reference>
        </references>
      </pivotArea>
    </format>
    <format dxfId="325">
      <pivotArea outline="0" fieldPosition="0">
        <references count="1">
          <reference field="4294967294" count="1" selected="0">
            <x v="17"/>
          </reference>
        </references>
      </pivotArea>
    </format>
    <format dxfId="324">
      <pivotArea outline="0" fieldPosition="0">
        <references count="1">
          <reference field="4294967294" count="1" selected="0">
            <x v="21"/>
          </reference>
        </references>
      </pivotArea>
    </format>
    <format dxfId="323">
      <pivotArea outline="0" fieldPosition="0">
        <references count="1">
          <reference field="4294967294" count="2" selected="0">
            <x v="12"/>
            <x v="13"/>
          </reference>
        </references>
      </pivotArea>
    </format>
    <format dxfId="322">
      <pivotArea outline="0" fieldPosition="0">
        <references count="1">
          <reference field="4294967294" count="2" selected="0">
            <x v="15"/>
            <x v="16"/>
          </reference>
        </references>
      </pivotArea>
    </format>
    <format dxfId="321">
      <pivotArea outline="0" fieldPosition="0">
        <references count="1">
          <reference field="4294967294" count="1" selected="0">
            <x v="18"/>
          </reference>
        </references>
      </pivotArea>
    </format>
    <format dxfId="320">
      <pivotArea outline="0" fieldPosition="0">
        <references count="1">
          <reference field="4294967294" count="1" selected="0">
            <x v="20"/>
          </reference>
        </references>
      </pivotArea>
    </format>
    <format dxfId="319">
      <pivotArea outline="0" fieldPosition="0">
        <references count="1">
          <reference field="4294967294" count="1" selected="0">
            <x v="22"/>
          </reference>
        </references>
      </pivotArea>
    </format>
    <format dxfId="318">
      <pivotArea outline="0" fieldPosition="0">
        <references count="1">
          <reference field="4294967294" count="1" selected="0">
            <x v="24"/>
          </reference>
        </references>
      </pivotArea>
    </format>
    <format dxfId="317">
      <pivotArea outline="0" fieldPosition="0">
        <references count="1">
          <reference field="4294967294" count="1" selected="0">
            <x v="27"/>
          </reference>
        </references>
      </pivotArea>
    </format>
    <format dxfId="316">
      <pivotArea outline="0" fieldPosition="0">
        <references count="1">
          <reference field="4294967294" count="1" selected="0">
            <x v="33"/>
          </reference>
        </references>
      </pivotArea>
    </format>
    <format dxfId="315">
      <pivotArea outline="0" fieldPosition="0">
        <references count="1">
          <reference field="4294967294" count="1" selected="0">
            <x v="34"/>
          </reference>
        </references>
      </pivotArea>
    </format>
    <format dxfId="314">
      <pivotArea outline="0" fieldPosition="0">
        <references count="1">
          <reference field="4294967294" count="2" selected="0">
            <x v="36"/>
            <x v="37"/>
          </reference>
        </references>
      </pivotArea>
    </format>
    <format dxfId="313">
      <pivotArea outline="0" fieldPosition="0">
        <references count="1">
          <reference field="4294967294" count="1" selected="0">
            <x v="37"/>
          </reference>
        </references>
      </pivotArea>
    </format>
    <format dxfId="312">
      <pivotArea outline="0" fieldPosition="0">
        <references count="1">
          <reference field="4294967294" count="1" selected="0">
            <x v="35"/>
          </reference>
        </references>
      </pivotArea>
    </format>
    <format dxfId="311">
      <pivotArea outline="0" fieldPosition="0">
        <references count="1">
          <reference field="4294967294" count="1" selected="0">
            <x v="32"/>
          </reference>
        </references>
      </pivotArea>
    </format>
    <format dxfId="310">
      <pivotArea outline="0" fieldPosition="0">
        <references count="1">
          <reference field="4294967294" count="2" selected="0">
            <x v="30"/>
            <x v="31"/>
          </reference>
        </references>
      </pivotArea>
    </format>
    <format dxfId="309">
      <pivotArea outline="0" fieldPosition="0">
        <references count="1">
          <reference field="4294967294" count="2" selected="0">
            <x v="40"/>
            <x v="41"/>
          </reference>
        </references>
      </pivotArea>
    </format>
    <format dxfId="308">
      <pivotArea outline="0" fieldPosition="0">
        <references count="1">
          <reference field="4294967294" count="1" selected="0">
            <x v="38"/>
          </reference>
        </references>
      </pivotArea>
    </format>
    <format dxfId="307">
      <pivotArea outline="0" fieldPosition="0">
        <references count="3">
          <reference field="4294967294" count="1" selected="0">
            <x v="40"/>
          </reference>
          <reference field="0" count="1" selected="0">
            <x v="0"/>
          </reference>
          <reference field="1" count="1" selected="0">
            <x v="0"/>
          </reference>
        </references>
      </pivotArea>
    </format>
    <format dxfId="306">
      <pivotArea outline="0" fieldPosition="0">
        <references count="3">
          <reference field="4294967294" count="1" selected="0">
            <x v="41"/>
          </reference>
          <reference field="0" count="1" selected="0">
            <x v="0"/>
          </reference>
          <reference field="1" count="1" selected="0">
            <x v="0"/>
          </reference>
        </references>
      </pivotArea>
    </format>
    <format dxfId="305">
      <pivotArea outline="0" fieldPosition="0">
        <references count="1">
          <reference field="4294967294" count="1" selected="0">
            <x v="39"/>
          </reference>
        </references>
      </pivotArea>
    </format>
    <format dxfId="304">
      <pivotArea outline="0" fieldPosition="0">
        <references count="1">
          <reference field="4294967294" count="1" selected="0">
            <x v="43"/>
          </reference>
        </references>
      </pivotArea>
    </format>
    <format dxfId="303">
      <pivotArea outline="0" fieldPosition="0">
        <references count="1">
          <reference field="4294967294" count="1" selected="0">
            <x v="44"/>
          </reference>
        </references>
      </pivotArea>
    </format>
    <format dxfId="302">
      <pivotArea outline="0" fieldPosition="0">
        <references count="1">
          <reference field="4294967294" count="1" selected="0">
            <x v="42"/>
          </reference>
        </references>
      </pivotArea>
    </format>
    <format dxfId="301">
      <pivotArea outline="0" fieldPosition="0">
        <references count="1">
          <reference field="4294967294" count="1" selected="0">
            <x v="42"/>
          </reference>
        </references>
      </pivotArea>
    </format>
    <format dxfId="300">
      <pivotArea field="0" type="button" dataOnly="0" labelOnly="1" outline="0" axis="axisRow" fieldPosition="0"/>
    </format>
    <format dxfId="299">
      <pivotArea field="1" type="button" dataOnly="0" labelOnly="1" outline="0" axis="axisRow" fieldPosition="1"/>
    </format>
    <format dxfId="298">
      <pivotArea dataOnly="0" labelOnly="1" outline="0" fieldPosition="0">
        <references count="1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97">
      <pivotArea dataOnly="0" labelOnly="1" outline="0" fieldPosition="0">
        <references count="1">
          <reference field="4294967294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296">
      <pivotArea field="0" type="button" dataOnly="0" labelOnly="1" outline="0" axis="axisRow" fieldPosition="0"/>
    </format>
    <format dxfId="295">
      <pivotArea field="1" type="button" dataOnly="0" labelOnly="1" outline="0" axis="axisRow" fieldPosition="1"/>
    </format>
    <format dxfId="294">
      <pivotArea dataOnly="0" labelOnly="1" outline="0" fieldPosition="0">
        <references count="1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93">
      <pivotArea dataOnly="0" labelOnly="1" outline="0" fieldPosition="0">
        <references count="1">
          <reference field="4294967294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292">
      <pivotArea field="0" type="button" dataOnly="0" labelOnly="1" outline="0" axis="axisRow" fieldPosition="0"/>
    </format>
    <format dxfId="291">
      <pivotArea field="1" type="button" dataOnly="0" labelOnly="1" outline="0" axis="axisRow" fieldPosition="1"/>
    </format>
    <format dxfId="290">
      <pivotArea dataOnly="0" labelOnly="1" outline="0" fieldPosition="0">
        <references count="1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89">
      <pivotArea dataOnly="0" labelOnly="1" outline="0" fieldPosition="0">
        <references count="1">
          <reference field="4294967294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288">
      <pivotArea outline="0" fieldPosition="0">
        <references count="1">
          <reference field="4294967294" count="1" selected="0">
            <x v="64"/>
          </reference>
        </references>
      </pivotArea>
    </format>
    <format dxfId="287">
      <pivotArea dataOnly="0" labelOnly="1" outline="0" fieldPosition="0">
        <references count="1">
          <reference field="4294967294" count="1">
            <x v="64"/>
          </reference>
        </references>
      </pivotArea>
    </format>
    <format dxfId="286">
      <pivotArea outline="0" fieldPosition="0">
        <references count="1">
          <reference field="4294967294" count="1" selected="0">
            <x v="62"/>
          </reference>
        </references>
      </pivotArea>
    </format>
    <format dxfId="285">
      <pivotArea dataOnly="0" labelOnly="1" outline="0" fieldPosition="0">
        <references count="1">
          <reference field="4294967294" count="1">
            <x v="62"/>
          </reference>
        </references>
      </pivotArea>
    </format>
    <format dxfId="284">
      <pivotArea outline="0" fieldPosition="0">
        <references count="1">
          <reference field="4294967294" count="1" selected="0">
            <x v="59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59"/>
          </reference>
        </references>
      </pivotArea>
    </format>
    <format dxfId="282">
      <pivotArea outline="0" fieldPosition="0">
        <references count="1">
          <reference field="4294967294" count="1" selected="0">
            <x v="56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56"/>
          </reference>
        </references>
      </pivotArea>
    </format>
    <format dxfId="280">
      <pivotArea outline="0" fieldPosition="0">
        <references count="1">
          <reference field="4294967294" count="1" selected="0">
            <x v="53"/>
          </reference>
        </references>
      </pivotArea>
    </format>
    <format dxfId="279">
      <pivotArea dataOnly="0" labelOnly="1" outline="0" fieldPosition="0">
        <references count="1">
          <reference field="4294967294" count="1">
            <x v="53"/>
          </reference>
        </references>
      </pivotArea>
    </format>
    <format dxfId="278">
      <pivotArea outline="0" fieldPosition="0">
        <references count="1">
          <reference field="4294967294" count="1" selected="0">
            <x v="50"/>
          </reference>
        </references>
      </pivotArea>
    </format>
    <format dxfId="277">
      <pivotArea dataOnly="0" labelOnly="1" outline="0" fieldPosition="0">
        <references count="1">
          <reference field="4294967294" count="1">
            <x v="50"/>
          </reference>
        </references>
      </pivotArea>
    </format>
    <format dxfId="276">
      <pivotArea outline="0" fieldPosition="0">
        <references count="1">
          <reference field="4294967294" count="1" selected="0">
            <x v="47"/>
          </reference>
        </references>
      </pivotArea>
    </format>
    <format dxfId="275">
      <pivotArea dataOnly="0" labelOnly="1" outline="0" fieldPosition="0">
        <references count="1">
          <reference field="4294967294" count="1">
            <x v="47"/>
          </reference>
        </references>
      </pivotArea>
    </format>
    <format dxfId="274">
      <pivotArea outline="0" fieldPosition="0">
        <references count="1">
          <reference field="4294967294" count="1" selected="0">
            <x v="65"/>
          </reference>
        </references>
      </pivotArea>
    </format>
    <format dxfId="273">
      <pivotArea dataOnly="0" labelOnly="1" outline="0" fieldPosition="0">
        <references count="1">
          <reference field="4294967294" count="1">
            <x v="65"/>
          </reference>
        </references>
      </pivotArea>
    </format>
    <format dxfId="272">
      <pivotArea outline="0" fieldPosition="0">
        <references count="1">
          <reference field="4294967294" count="1" selected="0">
            <x v="66"/>
          </reference>
        </references>
      </pivotArea>
    </format>
    <format dxfId="271">
      <pivotArea dataOnly="0" labelOnly="1" outline="0" fieldPosition="0">
        <references count="1">
          <reference field="4294967294" count="1">
            <x v="66"/>
          </reference>
        </references>
      </pivotArea>
    </format>
    <format dxfId="270">
      <pivotArea outline="0" fieldPosition="0">
        <references count="1">
          <reference field="4294967294" count="1" selected="0">
            <x v="26"/>
          </reference>
        </references>
      </pivotArea>
    </format>
    <format dxfId="269">
      <pivotArea dataOnly="0" labelOnly="1" outline="0" fieldPosition="0">
        <references count="1">
          <reference field="4294967294" count="1">
            <x v="26"/>
          </reference>
        </references>
      </pivotArea>
    </format>
    <format dxfId="268">
      <pivotArea outline="0" fieldPosition="0">
        <references count="1">
          <reference field="4294967294" count="1" selected="0">
            <x v="25"/>
          </reference>
        </references>
      </pivotArea>
    </format>
    <format dxfId="267">
      <pivotArea dataOnly="0" labelOnly="1" outline="0" fieldPosition="0">
        <references count="1">
          <reference field="4294967294" count="1">
            <x v="25"/>
          </reference>
        </references>
      </pivotArea>
    </format>
    <format dxfId="266">
      <pivotArea outline="0" fieldPosition="0">
        <references count="1">
          <reference field="4294967294" count="1" selected="0">
            <x v="19"/>
          </reference>
        </references>
      </pivotArea>
    </format>
    <format dxfId="265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64">
      <pivotArea outline="0" fieldPosition="0">
        <references count="1">
          <reference field="4294967294" count="1" selected="0">
            <x v="0"/>
          </reference>
        </references>
      </pivotArea>
    </format>
    <format dxfId="2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2">
      <pivotArea outline="0" fieldPosition="0">
        <references count="1">
          <reference field="4294967294" count="1" selected="0">
            <x v="63"/>
          </reference>
        </references>
      </pivotArea>
    </format>
    <format dxfId="261">
      <pivotArea dataOnly="0" labelOnly="1" outline="0" fieldPosition="0">
        <references count="1">
          <reference field="4294967294" count="1">
            <x v="63"/>
          </reference>
        </references>
      </pivotArea>
    </format>
    <format dxfId="260">
      <pivotArea outline="0" fieldPosition="0">
        <references count="1">
          <reference field="4294967294" count="1" selected="0">
            <x v="61"/>
          </reference>
        </references>
      </pivotArea>
    </format>
    <format dxfId="259">
      <pivotArea dataOnly="0" labelOnly="1" outline="0" fieldPosition="0">
        <references count="1">
          <reference field="4294967294" count="1">
            <x v="61"/>
          </reference>
        </references>
      </pivotArea>
    </format>
    <format dxfId="258">
      <pivotArea outline="0" fieldPosition="0">
        <references count="1">
          <reference field="4294967294" count="1" selected="0">
            <x v="60"/>
          </reference>
        </references>
      </pivotArea>
    </format>
    <format dxfId="257">
      <pivotArea dataOnly="0" labelOnly="1" outline="0" fieldPosition="0">
        <references count="1">
          <reference field="4294967294" count="1">
            <x v="60"/>
          </reference>
        </references>
      </pivotArea>
    </format>
    <format dxfId="256">
      <pivotArea outline="0" fieldPosition="0">
        <references count="1">
          <reference field="4294967294" count="1" selected="0">
            <x v="58"/>
          </reference>
        </references>
      </pivotArea>
    </format>
    <format dxfId="255">
      <pivotArea dataOnly="0" labelOnly="1" outline="0" fieldPosition="0">
        <references count="1">
          <reference field="4294967294" count="1">
            <x v="58"/>
          </reference>
        </references>
      </pivotArea>
    </format>
    <format dxfId="254">
      <pivotArea outline="0" fieldPosition="0">
        <references count="1">
          <reference field="4294967294" count="1" selected="0">
            <x v="57"/>
          </reference>
        </references>
      </pivotArea>
    </format>
    <format dxfId="253">
      <pivotArea dataOnly="0" labelOnly="1" outline="0" fieldPosition="0">
        <references count="1">
          <reference field="4294967294" count="1">
            <x v="57"/>
          </reference>
        </references>
      </pivotArea>
    </format>
    <format dxfId="252">
      <pivotArea outline="0" fieldPosition="0">
        <references count="1">
          <reference field="4294967294" count="1" selected="0">
            <x v="55"/>
          </reference>
        </references>
      </pivotArea>
    </format>
    <format dxfId="251">
      <pivotArea dataOnly="0" labelOnly="1" outline="0" fieldPosition="0">
        <references count="1">
          <reference field="4294967294" count="1">
            <x v="55"/>
          </reference>
        </references>
      </pivotArea>
    </format>
    <format dxfId="250">
      <pivotArea outline="0" fieldPosition="0">
        <references count="1">
          <reference field="4294967294" count="1" selected="0">
            <x v="54"/>
          </reference>
        </references>
      </pivotArea>
    </format>
    <format dxfId="249">
      <pivotArea dataOnly="0" labelOnly="1" outline="0" fieldPosition="0">
        <references count="1">
          <reference field="4294967294" count="1">
            <x v="54"/>
          </reference>
        </references>
      </pivotArea>
    </format>
    <format dxfId="248">
      <pivotArea outline="0" fieldPosition="0">
        <references count="1">
          <reference field="4294967294" count="1" selected="0">
            <x v="52"/>
          </reference>
        </references>
      </pivotArea>
    </format>
    <format dxfId="247">
      <pivotArea dataOnly="0" labelOnly="1" outline="0" fieldPosition="0">
        <references count="1">
          <reference field="4294967294" count="1">
            <x v="52"/>
          </reference>
        </references>
      </pivotArea>
    </format>
    <format dxfId="246">
      <pivotArea outline="0" fieldPosition="0">
        <references count="1">
          <reference field="4294967294" count="1" selected="0">
            <x v="51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51"/>
          </reference>
        </references>
      </pivotArea>
    </format>
    <format dxfId="244">
      <pivotArea outline="0" fieldPosition="0">
        <references count="1">
          <reference field="4294967294" count="1" selected="0">
            <x v="49"/>
          </reference>
        </references>
      </pivotArea>
    </format>
    <format dxfId="243">
      <pivotArea dataOnly="0" labelOnly="1" outline="0" fieldPosition="0">
        <references count="1">
          <reference field="4294967294" count="1">
            <x v="49"/>
          </reference>
        </references>
      </pivotArea>
    </format>
    <format dxfId="242">
      <pivotArea outline="0" fieldPosition="0">
        <references count="1">
          <reference field="4294967294" count="1" selected="0">
            <x v="48"/>
          </reference>
        </references>
      </pivotArea>
    </format>
    <format dxfId="241">
      <pivotArea dataOnly="0" labelOnly="1" outline="0" fieldPosition="0">
        <references count="1">
          <reference field="4294967294" count="1">
            <x v="48"/>
          </reference>
        </references>
      </pivotArea>
    </format>
    <format dxfId="240">
      <pivotArea outline="0" fieldPosition="0">
        <references count="1">
          <reference field="4294967294" count="1" selected="0">
            <x v="46"/>
          </reference>
        </references>
      </pivotArea>
    </format>
    <format dxfId="239">
      <pivotArea dataOnly="0" labelOnly="1" outline="0" fieldPosition="0">
        <references count="1">
          <reference field="4294967294" count="1">
            <x v="46"/>
          </reference>
        </references>
      </pivotArea>
    </format>
    <format dxfId="238">
      <pivotArea outline="0" fieldPosition="0">
        <references count="1">
          <reference field="4294967294" count="1" selected="0">
            <x v="45"/>
          </reference>
        </references>
      </pivotArea>
    </format>
    <format dxfId="237">
      <pivotArea dataOnly="0" labelOnly="1" outline="0" fieldPosition="0">
        <references count="1">
          <reference field="4294967294" count="1">
            <x v="45"/>
          </reference>
        </references>
      </pivotArea>
    </format>
    <format dxfId="236">
      <pivotArea outline="0" fieldPosition="0">
        <references count="1">
          <reference field="4294967294" count="1" selected="0">
            <x v="16"/>
          </reference>
        </references>
      </pivotArea>
    </format>
    <format dxfId="23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34">
      <pivotArea outline="0" fieldPosition="0">
        <references count="1">
          <reference field="4294967294" count="1" selected="0">
            <x v="15"/>
          </reference>
        </references>
      </pivotArea>
    </format>
    <format dxfId="233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32">
      <pivotArea outline="0" fieldPosition="0">
        <references count="1">
          <reference field="4294967294" count="1" selected="0">
            <x v="13"/>
          </reference>
        </references>
      </pivotArea>
    </format>
    <format dxfId="23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30">
      <pivotArea outline="0" fieldPosition="0">
        <references count="1">
          <reference field="4294967294" count="1" selected="0">
            <x v="12"/>
          </reference>
        </references>
      </pivotArea>
    </format>
    <format dxfId="22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28">
      <pivotArea outline="0" fieldPosition="0">
        <references count="1">
          <reference field="4294967294" count="1" selected="0">
            <x v="10"/>
          </reference>
        </references>
      </pivotArea>
    </format>
    <format dxfId="22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26">
      <pivotArea outline="0" fieldPosition="0">
        <references count="1">
          <reference field="4294967294" count="1" selected="0">
            <x v="9"/>
          </reference>
        </references>
      </pivotArea>
    </format>
    <format dxfId="22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24">
      <pivotArea outline="0" fieldPosition="0">
        <references count="1">
          <reference field="4294967294" count="1" selected="0">
            <x v="7"/>
          </reference>
        </references>
      </pivotArea>
    </format>
    <format dxfId="22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22">
      <pivotArea outline="0" fieldPosition="0">
        <references count="1">
          <reference field="4294967294" count="1" selected="0">
            <x v="6"/>
          </reference>
        </references>
      </pivotArea>
    </format>
    <format dxfId="22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20">
      <pivotArea outline="0" fieldPosition="0">
        <references count="1">
          <reference field="4294967294" count="1" selected="0">
            <x v="4"/>
          </reference>
        </references>
      </pivotArea>
    </format>
    <format dxfId="21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18">
      <pivotArea outline="0" fieldPosition="0">
        <references count="1">
          <reference field="4294967294" count="1" selected="0">
            <x v="3"/>
          </reference>
        </references>
      </pivotArea>
    </format>
    <format dxfId="21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16">
      <pivotArea outline="0" fieldPosition="0">
        <references count="1">
          <reference field="4294967294" count="1" selected="0">
            <x v="1"/>
          </reference>
        </references>
      </pivotArea>
    </format>
    <format dxfId="21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ela dinâmica12" cacheId="18" applyNumberFormats="0" applyBorderFormats="0" applyFontFormats="0" applyPatternFormats="0" applyAlignmentFormats="0" applyWidthHeightFormats="1" dataCaption="Valores" updatedVersion="6" minRefreshableVersion="3" useAutoFormatting="1" itemPrintTitles="1" createdVersion="7" indent="0" outline="1" outlineData="1" multipleFieldFilters="0" chartFormat="3">
  <location ref="A148:C153" firstHeaderRow="0" firstDataRow="1" firstDataCol="1"/>
  <pivotFields count="70">
    <pivotField axis="axisRow" showAll="0">
      <items count="29">
        <item x="0"/>
        <item x="1"/>
        <item x="2"/>
        <item x="3"/>
        <item x="4"/>
        <item x="27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showAll="0"/>
    <pivotField showAll="0">
      <items count="7">
        <item h="1" x="5"/>
        <item x="2"/>
        <item h="1" x="1"/>
        <item h="1" x="0"/>
        <item h="1" x="3"/>
        <item h="1" x="4"/>
        <item t="default"/>
      </items>
    </pivotField>
    <pivotField showAll="0"/>
    <pivotField showAll="0"/>
    <pivotField numFmtId="168" showAll="0"/>
    <pivotField showAll="0"/>
    <pivotField showAll="0"/>
    <pivotField numFmtId="168" showAll="0"/>
    <pivotField showAll="0"/>
    <pivotField showAll="0"/>
    <pivotField numFmtId="168" showAll="0"/>
    <pivotField showAll="0"/>
    <pivotField showAll="0"/>
    <pivotField numFmtId="168" showAll="0"/>
    <pivotField showAll="0"/>
    <pivotField showAll="0"/>
    <pivotField numFmtId="168" showAll="0"/>
    <pivotField showAll="0"/>
    <pivotField showAll="0"/>
    <pivotField numFmtId="168" showAll="0"/>
    <pivotField showAll="0"/>
    <pivotField showAll="0"/>
    <pivotField showAll="0"/>
    <pivotField numFmtId="168" showAll="0"/>
    <pivotField showAll="0"/>
    <pivotField showAll="0"/>
    <pivotField showAll="0"/>
    <pivotField numFmtId="168" showAll="0"/>
    <pivotField dataField="1" showAll="0"/>
    <pivotField showAll="0"/>
    <pivotField numFmtId="169" showAll="0"/>
    <pivotField numFmtId="169" showAll="0"/>
    <pivotField numFmtId="167" showAll="0"/>
    <pivotField numFmtId="167" showAll="0"/>
    <pivotField numFmtId="168" showAll="0"/>
    <pivotField numFmtId="177" showAll="0"/>
    <pivotField numFmtId="177" showAll="0"/>
    <pivotField numFmtId="168" showAll="0"/>
    <pivotField numFmtId="177" showAll="0"/>
    <pivotField numFmtId="168" showAll="0"/>
    <pivotField numFmtId="177" showAll="0"/>
    <pivotField numFmtId="168" showAll="0"/>
    <pivotField showAll="0"/>
    <pivotField showAll="0"/>
    <pivotField showAll="0"/>
    <pivotField showAll="0"/>
    <pivotField numFmtId="168" showAll="0"/>
    <pivotField numFmtId="44" showAll="0"/>
    <pivotField numFmtId="44" showAll="0"/>
    <pivotField numFmtId="168" showAll="0"/>
    <pivotField numFmtId="44" showAll="0"/>
    <pivotField numFmtId="44" showAll="0"/>
    <pivotField numFmtId="168" showAll="0"/>
    <pivotField numFmtId="44" showAll="0"/>
    <pivotField numFmtId="44" showAll="0"/>
    <pivotField numFmtId="168" showAll="0"/>
    <pivotField numFmtId="44" showAll="0"/>
    <pivotField numFmtId="44" showAll="0"/>
    <pivotField numFmtId="168" showAll="0"/>
    <pivotField numFmtId="44" showAll="0"/>
    <pivotField numFmtId="44" showAll="0"/>
    <pivotField numFmtId="168" showAll="0"/>
    <pivotField numFmtId="44" showAll="0"/>
    <pivotField numFmtId="44" showAll="0"/>
    <pivotField numFmtId="168" showAll="0"/>
    <pivotField numFmtId="44" showAll="0"/>
    <pivotField numFmtId="168" showAll="0"/>
    <pivotField numFmtId="168" showAll="0"/>
    <pivotField dataField="1" numFmtId="167" showAll="0"/>
  </pivotFields>
  <rowFields count="1">
    <field x="0"/>
  </rowFields>
  <rowItems count="5">
    <i>
      <x v="7"/>
    </i>
    <i>
      <x v="9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Soma de RRT_x000a_Executado" fld="29" baseField="0" baseItem="0"/>
    <dataField name="Soma de PF + PJ" fld="69" baseField="0" baseItem="0"/>
  </dataFields>
  <chartFormats count="21"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6">
      <pivotArea type="data" outline="0" fieldPosition="0">
        <references count="2">
          <reference field="4294967294" count="1" selected="0">
            <x v="1"/>
          </reference>
          <reference field="0" count="1" selected="0">
            <x v="12"/>
          </reference>
        </references>
      </pivotArea>
    </chartFormat>
    <chartFormat chart="2" format="7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2" format="8">
      <pivotArea type="data" outline="0" fieldPosition="0">
        <references count="2">
          <reference field="4294967294" count="1" selected="0">
            <x v="1"/>
          </reference>
          <reference field="0" count="1" selected="0">
            <x v="15"/>
          </reference>
        </references>
      </pivotArea>
    </chartFormat>
    <chartFormat chart="2" format="9">
      <pivotArea type="data" outline="0" fieldPosition="0">
        <references count="2">
          <reference field="4294967294" count="1" selected="0">
            <x v="1"/>
          </reference>
          <reference field="0" count="1" selected="0">
            <x v="17"/>
          </reference>
        </references>
      </pivotArea>
    </chartFormat>
    <chartFormat chart="2" format="10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2" format="11">
      <pivotArea type="data" outline="0" fieldPosition="0">
        <references count="2">
          <reference field="4294967294" count="1" selected="0">
            <x v="1"/>
          </reference>
          <reference field="0" count="1" selected="0">
            <x v="21"/>
          </reference>
        </references>
      </pivotArea>
    </chartFormat>
    <chartFormat chart="2" format="12">
      <pivotArea type="data" outline="0" fieldPosition="0">
        <references count="2">
          <reference field="4294967294" count="1" selected="0">
            <x v="1"/>
          </reference>
          <reference field="0" count="1" selected="0">
            <x v="3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4">
      <pivotArea type="data" outline="0" fieldPosition="0">
        <references count="2">
          <reference field="4294967294" count="1" selected="0">
            <x v="1"/>
          </reference>
          <reference field="0" count="1" selected="0">
            <x v="4"/>
          </reference>
        </references>
      </pivotArea>
    </chartFormat>
    <chartFormat chart="2" format="15">
      <pivotArea type="data" outline="0" fieldPosition="0">
        <references count="2">
          <reference field="4294967294" count="1" selected="0">
            <x v="1"/>
          </reference>
          <reference field="0" count="1" selected="0">
            <x v="16"/>
          </reference>
        </references>
      </pivotArea>
    </chartFormat>
    <chartFormat chart="2" format="16">
      <pivotArea type="data" outline="0" fieldPosition="0">
        <references count="2">
          <reference field="4294967294" count="1" selected="0">
            <x v="1"/>
          </reference>
          <reference field="0" count="1" selected="0">
            <x v="6"/>
          </reference>
        </references>
      </pivotArea>
    </chartFormat>
    <chartFormat chart="2" format="17">
      <pivotArea type="data" outline="0" fieldPosition="0">
        <references count="2">
          <reference field="4294967294" count="1" selected="0">
            <x v="1"/>
          </reference>
          <reference field="0" count="1" selected="0">
            <x v="14"/>
          </reference>
        </references>
      </pivotArea>
    </chartFormat>
    <chartFormat chart="2" format="18">
      <pivotArea type="data" outline="0" fieldPosition="0">
        <references count="2">
          <reference field="4294967294" count="1" selected="0">
            <x v="1"/>
          </reference>
          <reference field="0" count="1" selected="0">
            <x v="22"/>
          </reference>
        </references>
      </pivotArea>
    </chartFormat>
    <chartFormat chart="2" format="19">
      <pivotArea type="data" outline="0" fieldPosition="0">
        <references count="2">
          <reference field="4294967294" count="1" selected="0">
            <x v="1"/>
          </reference>
          <reference field="0" count="1" selected="0">
            <x v="8"/>
          </reference>
        </references>
      </pivotArea>
    </chartFormat>
    <chartFormat chart="2" format="20">
      <pivotArea type="data" outline="0" fieldPosition="0">
        <references count="2">
          <reference field="4294967294" count="1" selected="0">
            <x v="1"/>
          </reference>
          <reference field="0" count="1" selected="0">
            <x v="26"/>
          </reference>
        </references>
      </pivotArea>
    </chartFormat>
    <chartFormat chart="2" format="21">
      <pivotArea type="data" outline="0" fieldPosition="0">
        <references count="2">
          <reference field="4294967294" count="1" selected="0">
            <x v="1"/>
          </reference>
          <reference field="0" count="1" selected="0">
            <x v="13"/>
          </reference>
        </references>
      </pivotArea>
    </chartFormat>
    <chartFormat chart="2" format="23">
      <pivotArea type="data" outline="0" fieldPosition="0">
        <references count="2">
          <reference field="4294967294" count="1" selected="0">
            <x v="1"/>
          </reference>
          <reference field="0" count="1" selected="0">
            <x v="7"/>
          </reference>
        </references>
      </pivotArea>
    </chartFormat>
    <chartFormat chart="2" format="24">
      <pivotArea type="data" outline="0" fieldPosition="0">
        <references count="2">
          <reference field="4294967294" count="1" selected="0">
            <x v="1"/>
          </reference>
          <reference field="0" count="1" selected="0">
            <x v="1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ela dinâmica5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98:C115" firstHeaderRow="1" firstDataRow="1" firstDataCol="0"/>
  <pivotFields count="6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ela dinâmica4" cacheId="2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A67:B95" firstHeaderRow="1" firstDataRow="1" firstDataCol="1"/>
  <pivotFields count="73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showAll="0"/>
    <pivotField showAll="0"/>
    <pivotField numFmtId="172" showAll="0"/>
    <pivotField numFmtId="172" showAll="0"/>
    <pivotField numFmtId="168" showAll="0"/>
    <pivotField numFmtId="172" showAll="0"/>
    <pivotField numFmtId="172" showAll="0"/>
    <pivotField numFmtId="168" showAll="0"/>
    <pivotField numFmtId="172" showAll="0"/>
    <pivotField numFmtId="172" showAll="0"/>
    <pivotField numFmtId="168" showAll="0"/>
    <pivotField numFmtId="172" showAll="0"/>
    <pivotField numFmtId="172" showAll="0"/>
    <pivotField numFmtId="168" showAll="0"/>
    <pivotField numFmtId="172" showAll="0"/>
    <pivotField numFmtId="172" showAll="0"/>
    <pivotField numFmtId="168" showAll="0"/>
    <pivotField numFmtId="172" showAll="0"/>
    <pivotField numFmtId="172" showAll="0"/>
    <pivotField numFmtId="168" showAll="0"/>
    <pivotField numFmtId="167" showAll="0"/>
    <pivotField numFmtId="167" showAll="0"/>
    <pivotField numFmtId="167" showAll="0"/>
    <pivotField numFmtId="168" showAll="0"/>
    <pivotField numFmtId="167" showAll="0"/>
    <pivotField numFmtId="167" showAll="0"/>
    <pivotField numFmtId="167" showAll="0"/>
    <pivotField numFmtId="168" showAll="0"/>
    <pivotField numFmtId="167" showAll="0"/>
    <pivotField numFmtId="167" showAll="0"/>
    <pivotField numFmtId="169" showAll="0"/>
    <pivotField numFmtId="169" showAll="0"/>
    <pivotField numFmtId="167" showAll="0"/>
    <pivotField numFmtId="167" showAll="0"/>
    <pivotField numFmtId="168" showAll="0"/>
    <pivotField numFmtId="177" showAll="0"/>
    <pivotField numFmtId="177" showAll="0"/>
    <pivotField numFmtId="168" showAll="0"/>
    <pivotField numFmtId="177" showAll="0"/>
    <pivotField numFmtId="168" showAll="0"/>
    <pivotField numFmtId="177" showAll="0"/>
    <pivotField numFmtId="168" showAll="0"/>
    <pivotField showAll="0"/>
    <pivotField showAll="0"/>
    <pivotField numFmtId="167" showAll="0"/>
    <pivotField numFmtId="167" showAll="0"/>
    <pivotField numFmtId="168" showAll="0"/>
    <pivotField numFmtId="44" showAll="0"/>
    <pivotField numFmtId="170" showAll="0"/>
    <pivotField numFmtId="168" showAll="0"/>
    <pivotField numFmtId="44" showAll="0"/>
    <pivotField numFmtId="44" showAll="0"/>
    <pivotField numFmtId="168" showAll="0"/>
    <pivotField numFmtId="44" showAll="0"/>
    <pivotField numFmtId="170" showAll="0"/>
    <pivotField numFmtId="168" showAll="0"/>
    <pivotField numFmtId="44" showAll="0"/>
    <pivotField numFmtId="44" showAll="0"/>
    <pivotField numFmtId="168" showAll="0"/>
    <pivotField numFmtId="44" showAll="0"/>
    <pivotField numFmtId="170" showAll="0"/>
    <pivotField numFmtId="168" showAll="0"/>
    <pivotField numFmtId="44" showAll="0"/>
    <pivotField numFmtId="170" showAll="0"/>
    <pivotField numFmtId="168" showAll="0"/>
    <pivotField numFmtId="167" showAll="0"/>
    <pivotField numFmtId="168" showAll="0"/>
    <pivotField numFmtId="168" showAll="0"/>
    <pivotField numFmtId="167" showAl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dataFields count="1">
    <dataField name=" PF + PJ" fld="72" baseField="0" baseItem="0" numFmtId="167"/>
  </dataFields>
  <formats count="2">
    <format dxfId="350">
      <pivotArea collapsedLevelsAreSubtotals="1" fieldPosition="0">
        <references count="2">
          <reference field="4294967294" count="1" selected="0">
            <x v="0"/>
          </reference>
          <reference field="0" count="1">
            <x v="1"/>
          </reference>
        </references>
      </pivotArea>
    </format>
    <format dxfId="349">
      <pivotArea outline="0" collapsedLevelsAreSubtotals="1" fieldPosition="0"/>
    </format>
  </formats>
  <chartFormats count="1">
    <chartFormat chart="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ela dinâmica2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>
  <location ref="A36:C41" firstHeaderRow="0" firstDataRow="1" firstDataCol="1"/>
  <pivotFields count="69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showAll="0"/>
    <pivotField showAll="0">
      <items count="7">
        <item h="1" m="1" x="5"/>
        <item x="2"/>
        <item h="1" x="1"/>
        <item h="1" x="0"/>
        <item h="1" x="3"/>
        <item h="1" x="4"/>
        <item t="default"/>
      </items>
    </pivotField>
    <pivotField dataField="1" numFmtId="172" showAll="0"/>
    <pivotField numFmtId="172" showAll="0"/>
    <pivotField numFmtId="168" showAll="0"/>
    <pivotField numFmtId="172" showAll="0"/>
    <pivotField numFmtId="172" showAll="0"/>
    <pivotField numFmtId="168" showAll="0"/>
    <pivotField numFmtId="172" showAll="0"/>
    <pivotField numFmtId="172" showAll="0"/>
    <pivotField numFmtId="168" showAll="0"/>
    <pivotField numFmtId="172" showAll="0"/>
    <pivotField numFmtId="172" showAll="0"/>
    <pivotField numFmtId="168" showAll="0"/>
    <pivotField numFmtId="172" showAll="0"/>
    <pivotField numFmtId="172" showAll="0"/>
    <pivotField numFmtId="168" showAll="0"/>
    <pivotField numFmtId="172" showAll="0"/>
    <pivotField numFmtId="172" showAll="0"/>
    <pivotField numFmtId="168" showAll="0"/>
    <pivotField dataField="1" numFmtId="167" showAll="0"/>
    <pivotField numFmtId="167" showAll="0"/>
    <pivotField numFmtId="167" showAll="0"/>
    <pivotField numFmtId="168" showAll="0"/>
    <pivotField numFmtId="167" showAll="0"/>
    <pivotField numFmtId="167" showAll="0"/>
    <pivotField numFmtId="167" showAll="0"/>
    <pivotField numFmtId="168" showAll="0"/>
    <pivotField numFmtId="167" showAll="0"/>
    <pivotField numFmtId="167" showAll="0"/>
    <pivotField numFmtId="169" showAll="0"/>
    <pivotField numFmtId="169" showAll="0"/>
    <pivotField numFmtId="167" showAll="0"/>
    <pivotField numFmtId="167" showAll="0"/>
    <pivotField numFmtId="168" showAll="0"/>
    <pivotField numFmtId="177" showAll="0"/>
    <pivotField numFmtId="177" showAll="0"/>
    <pivotField numFmtId="168" showAll="0"/>
    <pivotField numFmtId="177" showAll="0"/>
    <pivotField numFmtId="168" showAll="0"/>
    <pivotField numFmtId="177" showAll="0"/>
    <pivotField numFmtId="168" showAll="0"/>
    <pivotField showAll="0"/>
    <pivotField showAll="0"/>
    <pivotField numFmtId="167" showAll="0"/>
    <pivotField numFmtId="167" showAll="0"/>
    <pivotField numFmtId="168" showAll="0"/>
    <pivotField numFmtId="44" showAll="0"/>
    <pivotField numFmtId="170" showAll="0"/>
    <pivotField numFmtId="168" showAll="0"/>
    <pivotField numFmtId="44" showAll="0"/>
    <pivotField numFmtId="44" showAll="0"/>
    <pivotField numFmtId="168" showAll="0"/>
    <pivotField numFmtId="44" showAll="0"/>
    <pivotField numFmtId="170" showAll="0"/>
    <pivotField numFmtId="168" showAll="0"/>
    <pivotField numFmtId="44" showAll="0"/>
    <pivotField numFmtId="44" showAll="0"/>
    <pivotField numFmtId="168" showAll="0"/>
    <pivotField numFmtId="44" showAll="0"/>
    <pivotField numFmtId="170" showAll="0"/>
    <pivotField numFmtId="168" showAll="0"/>
    <pivotField numFmtId="44" showAll="0"/>
    <pivotField numFmtId="170" showAll="0"/>
    <pivotField numFmtId="168" showAll="0"/>
    <pivotField numFmtId="167" showAll="0"/>
    <pivotField numFmtId="168" showAll="0"/>
    <pivotField numFmtId="168" showAll="0"/>
  </pivotFields>
  <rowFields count="1">
    <field x="0"/>
  </rowFields>
  <rowItems count="5">
    <i>
      <x v="6"/>
    </i>
    <i>
      <x v="8"/>
    </i>
    <i>
      <x v="11"/>
    </i>
    <i>
      <x v="12"/>
    </i>
    <i t="grand">
      <x/>
    </i>
  </rowItems>
  <colFields count="1">
    <field x="-2"/>
  </colFields>
  <colItems count="2">
    <i>
      <x/>
    </i>
    <i i="1">
      <x v="1"/>
    </i>
  </colItems>
  <dataFields count="2">
    <dataField name=" PF Ativos" fld="21" baseField="0" baseItem="7" numFmtId="3"/>
    <dataField name=" Anuidade PF - Exerc." fld="3" baseField="0" baseItem="7" numFmtId="8"/>
  </dataFields>
  <formats count="3">
    <format dxfId="35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5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5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chartFormats count="24">
    <chartFormat chart="3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3">
      <pivotArea type="data" outline="0" fieldPosition="0">
        <references count="2">
          <reference field="4294967294" count="1" selected="0">
            <x v="1"/>
          </reference>
          <reference field="0" count="1" selected="0">
            <x v="25"/>
          </reference>
        </references>
      </pivotArea>
    </chartFormat>
    <chartFormat chart="3" format="14">
      <pivotArea type="data" outline="0" fieldPosition="0">
        <references count="2">
          <reference field="4294967294" count="1" selected="0">
            <x v="1"/>
          </reference>
          <reference field="0" count="1" selected="0">
            <x v="18"/>
          </reference>
        </references>
      </pivotArea>
    </chartFormat>
    <chartFormat chart="3" format="15">
      <pivotArea type="data" outline="0" fieldPosition="0">
        <references count="2">
          <reference field="4294967294" count="1" selected="0">
            <x v="1"/>
          </reference>
          <reference field="0" count="1" selected="0">
            <x v="1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1"/>
          </reference>
          <reference field="0" count="1" selected="0">
            <x v="7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1"/>
          </reference>
          <reference field="0" count="1" selected="0">
            <x v="21"/>
          </reference>
        </references>
      </pivotArea>
    </chartFormat>
    <chartFormat chart="3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3" format="20">
      <pivotArea type="data" outline="0" fieldPosition="0">
        <references count="2">
          <reference field="4294967294" count="1" selected="0">
            <x v="1"/>
          </reference>
          <reference field="0" count="1" selected="0">
            <x v="6"/>
          </reference>
        </references>
      </pivotArea>
    </chartFormat>
    <chartFormat chart="3" format="21">
      <pivotArea type="data" outline="0" fieldPosition="0">
        <references count="2">
          <reference field="4294967294" count="1" selected="0">
            <x v="1"/>
          </reference>
          <reference field="0" count="1" selected="0">
            <x v="8"/>
          </reference>
        </references>
      </pivotArea>
    </chartFormat>
    <chartFormat chart="3" format="22">
      <pivotArea type="data" outline="0" fieldPosition="0">
        <references count="2">
          <reference field="4294967294" count="1" selected="0">
            <x v="1"/>
          </reference>
          <reference field="0" count="1" selected="0">
            <x v="11"/>
          </reference>
        </references>
      </pivotArea>
    </chartFormat>
    <chartFormat chart="3" format="23">
      <pivotArea type="data" outline="0" fieldPosition="0">
        <references count="2">
          <reference field="4294967294" count="1" selected="0">
            <x v="1"/>
          </reference>
          <reference field="0" count="1" selected="0">
            <x v="12"/>
          </reference>
        </references>
      </pivotArea>
    </chartFormat>
    <chartFormat chart="3" format="24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3" format="25">
      <pivotArea type="data" outline="0" fieldPosition="0">
        <references count="2">
          <reference field="4294967294" count="1" selected="0">
            <x v="1"/>
          </reference>
          <reference field="0" count="1" selected="0">
            <x v="2"/>
          </reference>
        </references>
      </pivotArea>
    </chartFormat>
    <chartFormat chart="3" format="26">
      <pivotArea type="data" outline="0" fieldPosition="0">
        <references count="2">
          <reference field="4294967294" count="1" selected="0">
            <x v="1"/>
          </reference>
          <reference field="0" count="1" selected="0">
            <x v="3"/>
          </reference>
        </references>
      </pivotArea>
    </chartFormat>
    <chartFormat chart="3" format="27">
      <pivotArea type="data" outline="0" fieldPosition="0">
        <references count="2">
          <reference field="4294967294" count="1" selected="0">
            <x v="1"/>
          </reference>
          <reference field="0" count="1" selected="0">
            <x v="13"/>
          </reference>
        </references>
      </pivotArea>
    </chartFormat>
    <chartFormat chart="3" format="28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3" format="29">
      <pivotArea type="data" outline="0" fieldPosition="0">
        <references count="2">
          <reference field="4294967294" count="1" selected="0">
            <x v="1"/>
          </reference>
          <reference field="0" count="1" selected="0">
            <x v="5"/>
          </reference>
        </references>
      </pivotArea>
    </chartFormat>
    <chartFormat chart="3" format="30">
      <pivotArea type="data" outline="0" fieldPosition="0">
        <references count="2">
          <reference field="4294967294" count="1" selected="0">
            <x v="1"/>
          </reference>
          <reference field="0" count="1" selected="0">
            <x v="17"/>
          </reference>
        </references>
      </pivotArea>
    </chartFormat>
    <chartFormat chart="3" format="31">
      <pivotArea type="data" outline="0" fieldPosition="0">
        <references count="2">
          <reference field="4294967294" count="1" selected="0">
            <x v="1"/>
          </reference>
          <reference field="0" count="1" selected="0">
            <x v="22"/>
          </reference>
        </references>
      </pivotArea>
    </chartFormat>
    <chartFormat chart="3" format="32">
      <pivotArea type="data" outline="0" fieldPosition="0">
        <references count="2">
          <reference field="4294967294" count="1" selected="0">
            <x v="1"/>
          </reference>
          <reference field="0" count="1" selected="0">
            <x v="2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ela dinâmica6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29:C146" firstHeaderRow="1" firstDataRow="1" firstDataCol="0"/>
  <pivotFields count="69">
    <pivotField showAll="0"/>
    <pivotField showAll="0"/>
    <pivotField showAll="0"/>
    <pivotField numFmtId="172" showAll="0"/>
    <pivotField numFmtId="172" showAll="0"/>
    <pivotField numFmtId="168" showAll="0"/>
    <pivotField numFmtId="172" showAll="0"/>
    <pivotField numFmtId="172" showAll="0"/>
    <pivotField numFmtId="168" showAll="0"/>
    <pivotField numFmtId="172" showAll="0"/>
    <pivotField numFmtId="172" showAll="0"/>
    <pivotField numFmtId="168" showAll="0"/>
    <pivotField numFmtId="172" showAll="0"/>
    <pivotField numFmtId="172" showAll="0"/>
    <pivotField numFmtId="168" showAll="0"/>
    <pivotField numFmtId="172" showAll="0"/>
    <pivotField numFmtId="172" showAll="0"/>
    <pivotField numFmtId="168" showAll="0"/>
    <pivotField numFmtId="172" showAll="0"/>
    <pivotField numFmtId="172" showAll="0"/>
    <pivotField numFmtId="168" showAll="0"/>
    <pivotField numFmtId="167" showAll="0"/>
    <pivotField numFmtId="167" showAll="0"/>
    <pivotField numFmtId="167" showAll="0"/>
    <pivotField numFmtId="168" showAll="0"/>
    <pivotField numFmtId="167" showAll="0"/>
    <pivotField numFmtId="167" showAll="0"/>
    <pivotField numFmtId="167" showAll="0"/>
    <pivotField numFmtId="168" showAll="0"/>
    <pivotField numFmtId="167" showAll="0"/>
    <pivotField numFmtId="167" showAll="0"/>
    <pivotField numFmtId="169" showAll="0"/>
    <pivotField numFmtId="169" showAll="0"/>
    <pivotField numFmtId="167" showAll="0"/>
    <pivotField numFmtId="167" showAll="0"/>
    <pivotField numFmtId="168" showAll="0"/>
    <pivotField numFmtId="177" showAll="0"/>
    <pivotField numFmtId="177" showAll="0"/>
    <pivotField numFmtId="168" showAll="0"/>
    <pivotField numFmtId="177" showAll="0"/>
    <pivotField numFmtId="168" showAll="0"/>
    <pivotField numFmtId="177" showAll="0"/>
    <pivotField numFmtId="168" showAll="0"/>
    <pivotField showAll="0"/>
    <pivotField showAll="0"/>
    <pivotField numFmtId="167" showAll="0"/>
    <pivotField numFmtId="167" showAll="0"/>
    <pivotField numFmtId="168" showAll="0"/>
    <pivotField numFmtId="44" showAll="0"/>
    <pivotField numFmtId="170" showAll="0"/>
    <pivotField numFmtId="168" showAll="0"/>
    <pivotField numFmtId="44" showAll="0"/>
    <pivotField numFmtId="44" showAll="0"/>
    <pivotField numFmtId="168" showAll="0"/>
    <pivotField numFmtId="44" showAll="0"/>
    <pivotField numFmtId="170" showAll="0"/>
    <pivotField numFmtId="168" showAll="0"/>
    <pivotField numFmtId="44" showAll="0"/>
    <pivotField numFmtId="44" showAll="0"/>
    <pivotField numFmtId="168" showAll="0"/>
    <pivotField numFmtId="44" showAll="0"/>
    <pivotField numFmtId="170" showAll="0"/>
    <pivotField numFmtId="168" showAll="0"/>
    <pivotField numFmtId="44" showAll="0"/>
    <pivotField numFmtId="170" showAll="0"/>
    <pivotField numFmtId="168" showAll="0"/>
    <pivotField numFmtId="167" showAll="0"/>
    <pivotField numFmtId="168" showAll="0"/>
    <pivotField numFmtId="168"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Tabela dinâmica20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8" indent="0" outline="1" outlineData="1" multipleFieldFilters="0" chartFormat="3">
  <location ref="E3:F39" firstHeaderRow="1" firstDataRow="1" firstDataCol="1" rowPageCount="1" colPageCount="1"/>
  <pivotFields count="5">
    <pivotField axis="axisPage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axis="axisRow" numFmtId="176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/>
    <pivotField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Row" showAll="0">
      <items count="6">
        <item x="0"/>
        <item x="1"/>
        <item x="2"/>
        <item x="3"/>
        <item x="4"/>
        <item t="default"/>
      </items>
    </pivotField>
  </pivotFields>
  <rowFields count="2">
    <field x="4"/>
    <field x="1"/>
  </rowFields>
  <rowItems count="36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Items count="1">
    <i/>
  </colItems>
  <pageFields count="1">
    <pageField fld="0" hier="-1"/>
  </pageFields>
  <dataFields count="1">
    <dataField name="Soma de RRT Pagos" fld="2" baseField="0" baseItem="0" numFmtId="3"/>
  </dataFields>
  <formats count="3">
    <format dxfId="141">
      <pivotArea collapsedLevelsAreSubtotals="1" fieldPosition="0">
        <references count="1">
          <reference field="4" count="1">
            <x v="1"/>
          </reference>
        </references>
      </pivotArea>
    </format>
    <format dxfId="140">
      <pivotArea outline="0" collapsedLevelsAreSubtotals="1" fieldPosition="0"/>
    </format>
    <format dxfId="139">
      <pivotArea dataOnly="0" labelOnly="1" outline="0" axis="axisValues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UF" sourceName="UF">
  <pivotTables>
    <pivotTable tabId="66" name="Tabela dinâmica1"/>
  </pivotTables>
  <data>
    <tabular pivotCacheId="1599593090">
      <items count="27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Região" sourceName="Região">
  <pivotTables>
    <pivotTable tabId="66" name="Tabela dinâmica2"/>
  </pivotTables>
  <data>
    <tabular pivotCacheId="1007040290">
      <items count="6">
        <i x="2" s="1"/>
        <i x="1"/>
        <i x="0"/>
        <i x="3"/>
        <i x="4"/>
        <i x="5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uf1" sourceName="uf">
  <pivotTables>
    <pivotTable tabId="149" name="Tabela dinâmica9"/>
  </pivotTables>
  <data>
    <tabular pivotCacheId="1599593092">
      <items count="28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 s="1"/>
        <i x="26"/>
        <i x="27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Região2" sourceName="Região">
  <pivotTables>
    <pivotTable tabId="66" name="Tabela dinâmica12"/>
  </pivotTables>
  <data>
    <tabular pivotCacheId="296801093">
      <items count="6">
        <i x="5"/>
        <i x="2" s="1"/>
        <i x="1"/>
        <i x="0"/>
        <i x="3"/>
        <i x="4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6" cache="SegmentaçãodeDados_uf1" caption="uf" startItem="19" rowHeight="3048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10" cache="SegmentaçãodeDados_uf1" caption="UF" columnCount="2" rowHeight="304800"/>
</slicers>
</file>

<file path=xl/slicers/slicer1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5" cache="SegmentaçãodeDados_UF" caption="UF" columnCount="2" rowHeight="288000"/>
</slicers>
</file>

<file path=xl/slicers/slicer1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7" cache="SegmentaçãodeDados_UF" caption="UF" columnCount="2" rowHeight="288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Região 2" cache="SegmentaçãodeDados_Região2" caption="Região" rowHeight="3048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" cache="SegmentaçãodeDados_UF" caption="UF" columnCount="2" rowHeight="2880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2" cache="SegmentaçãodeDados_UF" caption="UF" columnCount="2" rowHeight="2880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Região" cache="SegmentaçãodeDados_Região" caption="Região" rowHeight="3048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1" cache="SegmentaçãodeDados_UF" caption="UF" columnCount="2" rowHeight="2880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3" cache="SegmentaçãodeDados_UF" caption="UF" columnCount="2" rowHeight="2880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UF 4" cache="SegmentaçãodeDados_UF" caption="UF" columnCount="2" rowHeight="2880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Região 1" cache="SegmentaçãodeDados_Região2" caption="Região" rowHeight="304800"/>
</slicers>
</file>

<file path=xl/tables/table1.xml><?xml version="1.0" encoding="utf-8"?>
<table xmlns="http://schemas.openxmlformats.org/spreadsheetml/2006/main" id="3" name="Tabela3" displayName="Tabela3" ref="A3:BR31" totalsRowShown="0" headerRowDxfId="214" dataDxfId="213" tableBorderDxfId="212" dataCellStyle="Porcentagem">
  <autoFilter ref="A3:BR31"/>
  <sortState ref="A4:BQ31">
    <sortCondition ref="A3:A31"/>
  </sortState>
  <tableColumns count="70">
    <tableColumn id="1" name="UF" dataDxfId="211"/>
    <tableColumn id="2" name="Estado" dataDxfId="210"/>
    <tableColumn id="3" name="Região" dataDxfId="209"/>
    <tableColumn id="4" name="Anuidade PF - Exerc._x000a_Exec." dataDxfId="208" dataCellStyle="Moeda"/>
    <tableColumn id="5" name="Anuidade PF - Exerc._x000a_Previsto" dataDxfId="207">
      <calculatedColumnFormula>VLOOKUP($A$4:$A$31,'Evolução das Receitas'!$P$212:$Q$239,2,0)</calculatedColumnFormula>
    </tableColumn>
    <tableColumn id="6" name="Anuidade PF - Exerc._x000a_Exec. %" dataDxfId="206" dataCellStyle="Porcentagem">
      <calculatedColumnFormula>D4/E4</calculatedColumnFormula>
    </tableColumn>
    <tableColumn id="7" name="Anuidade PF - Ex. Ant._x000a_Exec." dataDxfId="205" dataCellStyle="Moeda"/>
    <tableColumn id="8" name="Anuidade PF - Ex. Ant._x000a_Previsto" dataDxfId="204">
      <calculatedColumnFormula>VLOOKUP($A$4:$A$31,'Evolução das Receitas'!$P$212:$R$239,3,0)</calculatedColumnFormula>
    </tableColumn>
    <tableColumn id="9" name="Anuidade PF - Ex. Ant._x000a_Exec. %" dataDxfId="203" dataCellStyle="Porcentagem">
      <calculatedColumnFormula>IFERROR(G4/H4,)</calculatedColumnFormula>
    </tableColumn>
    <tableColumn id="10" name="Anuidade PJ - Exerc._x000a_Exec." dataDxfId="202" dataCellStyle="Moeda"/>
    <tableColumn id="11" name="Anuidade PJ - Exerc._x000a_Previsto" dataDxfId="201">
      <calculatedColumnFormula>VLOOKUP($A$4:$A$31,'Evolução das Receitas'!$P$212:$S$239,4,)</calculatedColumnFormula>
    </tableColumn>
    <tableColumn id="12" name="Anuidade PJ - Exerc._x000a_Exec. %" dataDxfId="200" dataCellStyle="Porcentagem">
      <calculatedColumnFormula>J4/K4</calculatedColumnFormula>
    </tableColumn>
    <tableColumn id="13" name="Anuidade PJ - Ex. Ant._x000a_Exec." dataDxfId="199" dataCellStyle="Moeda"/>
    <tableColumn id="14" name="Anuidade PJ - Ex. Ant._x000a_Previsto" dataDxfId="198">
      <calculatedColumnFormula>VLOOKUP($A$4:$A$31,'Evolução das Receitas'!$P$212:$T$239,5,0)</calculatedColumnFormula>
    </tableColumn>
    <tableColumn id="15" name="Anuidade PJ - Ex. Ant._x000a_Exec. %" dataDxfId="197" dataCellStyle="Porcentagem">
      <calculatedColumnFormula>IFERROR(M4/N4,)</calculatedColumnFormula>
    </tableColumn>
    <tableColumn id="16" name="RRT_x000a_Exec." dataDxfId="196" dataCellStyle="Moeda">
      <calculatedColumnFormula>VLOOKUP($B$4:$B$30,'TOTAL POR UF'!$A$5:$X$31,23,)</calculatedColumnFormula>
    </tableColumn>
    <tableColumn id="17" name="RRT_x000a_Previsto" dataDxfId="195">
      <calculatedColumnFormula>VLOOKUP($A$4:$A$31,'Evolução das Receitas'!$P$212:$U$239,6,0)</calculatedColumnFormula>
    </tableColumn>
    <tableColumn id="18" name="RRT_x000a_Exec. %" dataDxfId="194" dataCellStyle="Porcentagem">
      <calculatedColumnFormula>P4/Q4</calculatedColumnFormula>
    </tableColumn>
    <tableColumn id="19" name="Taxas_x000a_Exec." dataDxfId="193" dataCellStyle="Moeda"/>
    <tableColumn id="20" name="Taxas_x000a_Previsto" dataDxfId="192">
      <calculatedColumnFormula>VLOOKUP($A$4:$A$31,'Evolução das Receitas'!$P$212:$V$239,7,0)</calculatedColumnFormula>
    </tableColumn>
    <tableColumn id="21" name="Taxas_x000a_Exec. %" dataDxfId="191" dataCellStyle="Porcentagem">
      <calculatedColumnFormula>S4/T4</calculatedColumnFormula>
    </tableColumn>
    <tableColumn id="22" name="PF Ativos_x000a_Exec." dataDxfId="190" dataCellStyle="Vírgula"/>
    <tableColumn id="23" name="Var_x000a_PF - Ativos_x000a_2022 x 2021" dataDxfId="189" dataCellStyle="Vírgula"/>
    <tableColumn id="24" name="Previsto PF" dataDxfId="188" dataCellStyle="Vírgula"/>
    <tableColumn id="25" name="% de exerc. - PF" dataDxfId="187" dataCellStyle="Porcentagem">
      <calculatedColumnFormula>IFERROR(V4/X4,)</calculatedColumnFormula>
    </tableColumn>
    <tableColumn id="26" name="PJ Ativos" dataDxfId="186" dataCellStyle="Vírgula"/>
    <tableColumn id="27" name="Var_x000a_PJ - Ativos_x000a_2022 x 2021" dataDxfId="185" dataCellStyle="Vírgula"/>
    <tableColumn id="28" name="Previsto PJ" dataDxfId="184" dataCellStyle="Vírgula"/>
    <tableColumn id="29" name="% de exerc. - PJ" dataDxfId="183" dataCellStyle="Porcentagem">
      <calculatedColumnFormula>IFERROR(Z4/AB4,)</calculatedColumnFormula>
    </tableColumn>
    <tableColumn id="30" name="RRT_x000a_Executado" dataDxfId="182" dataCellStyle="Vírgula"/>
    <tableColumn id="31" name="Previsto - RRT" dataDxfId="181" dataCellStyle="Vírgula"/>
    <tableColumn id="32" name="Méd/Prof_x000a_Executado" dataDxfId="180" dataCellStyle="Vírgula">
      <calculatedColumnFormula>AD4/V4</calculatedColumnFormula>
    </tableColumn>
    <tableColumn id="33" name="Méd/Prof_x000a_Previsto" dataDxfId="179" dataCellStyle="Vírgula">
      <calculatedColumnFormula>Tabela3[[#This Row],[Previsto - RRT]]/Tabela3[[#This Row],[Previsto PF]]</calculatedColumnFormula>
    </tableColumn>
    <tableColumn id="58" name="PF_x000a_Qnt Pot Pag._x000a_Exec." dataDxfId="178" dataCellStyle="Vírgula">
      <calculatedColumnFormula>VLOOKUP(Tabela3[UF],'ADIMPLÊNCIA PF'!$A$4:H30,8,)</calculatedColumnFormula>
    </tableColumn>
    <tableColumn id="59" name="PF Qnt Pag._x000a_Exec." dataDxfId="177" dataCellStyle="Vírgula">
      <calculatedColumnFormula>VLOOKUP(Tabela3[[#This Row],[UF]],'ADIMPLÊNCIA PF'!$A$4:$I$30,9,)</calculatedColumnFormula>
    </tableColumn>
    <tableColumn id="34" name="Adimp. PF_x000a_Exec." dataDxfId="176" dataCellStyle="Porcentagem">
      <calculatedColumnFormula>Tabela3[[#This Row],[PF Qnt Pag.
Exec.]]/Tabela3[[#This Row],[PF
Qnt Pot Pag.
Exec.]]</calculatedColumnFormula>
    </tableColumn>
    <tableColumn id="62" name="PF_x000a_Qnt Pot Pag._x000a_Previsto" dataDxfId="175" dataCellStyle="Vírgula">
      <calculatedColumnFormula>VLOOKUP(Tabela3[[#This Row],[UF]],'ADIMPLÊNCIA PF'!$A$4:$C$30,3,)</calculatedColumnFormula>
    </tableColumn>
    <tableColumn id="61" name="PF Qnt Pag._x000a_Previsto" dataDxfId="174" dataCellStyle="Vírgula">
      <calculatedColumnFormula>VLOOKUP(Tabela3[[#This Row],[UF]],'ADIMPLÊNCIA PF'!$A$4:$D$30,4,)</calculatedColumnFormula>
    </tableColumn>
    <tableColumn id="35" name="Adimp. PF_x000a_Previsto" dataDxfId="173" dataCellStyle="Porcentagem">
      <calculatedColumnFormula>Tabela3[[#This Row],[PF Qnt Pag.
Previsto]]/Tabela3[[#This Row],[PF
Qnt Pot Pag.
Previsto]]</calculatedColumnFormula>
    </tableColumn>
    <tableColumn id="60" name="PJ Pagantes_x000a_Exec." dataDxfId="172" dataCellStyle="Vírgula">
      <calculatedColumnFormula>VLOOKUP(Tabela3[[#This Row],[UF]],'ADIMPLÊNCIA PJ'!$A$4:$F$30,6,)</calculatedColumnFormula>
    </tableColumn>
    <tableColumn id="36" name="Adimp. PJ_x000a_Exec." dataDxfId="171" dataCellStyle="Porcentagem">
      <calculatedColumnFormula>Tabela3[[#This Row],[PJ Pagantes
Exec.]]/Tabela3[[#This Row],[PJ Ativos]]</calculatedColumnFormula>
    </tableColumn>
    <tableColumn id="63" name="PJ Pagante_x000a_Previsto" dataDxfId="170" dataCellStyle="Vírgula">
      <calculatedColumnFormula>VLOOKUP(Tabela3[[#This Row],[UF]],'ADIMPLÊNCIA PJ'!$A$4:$C$30,3,)</calculatedColumnFormula>
    </tableColumn>
    <tableColumn id="37" name="Adimp. PJ_x000a_Previsto PJ" dataDxfId="169" dataCellStyle="Porcentagem">
      <calculatedColumnFormula>Tabela3[[#This Row],[PJ Pagante
Previsto]]/Tabela3[[#This Row],[Previsto PJ]]</calculatedColumnFormula>
    </tableColumn>
    <tableColumn id="38" name="Masculino" dataDxfId="168" dataCellStyle="Vírgula"/>
    <tableColumn id="39" name="Feminino" dataDxfId="167" dataCellStyle="Vírgula"/>
    <tableColumn id="40" name="Egressos" dataDxfId="166" dataCellStyle="Vírgula"/>
    <tableColumn id="41" name="Previsto - Egressos" dataDxfId="165" dataCellStyle="Vírgula"/>
    <tableColumn id="42" name="% de exec. - Egressos" dataDxfId="164" dataCellStyle="Porcentagem">
      <calculatedColumnFormula>AT4/AU4</calculatedColumnFormula>
    </tableColumn>
    <tableColumn id="51" name="Receita_x000a_PF_x000a_2022" dataDxfId="163" dataCellStyle="Moeda">
      <calculatedColumnFormula>'Comparativo YoY'!FN3</calculatedColumnFormula>
    </tableColumn>
    <tableColumn id="50" name="Receita_x000a_PF_x000a_2021" dataDxfId="162" dataCellStyle="Moeda">
      <calculatedColumnFormula>'Comparativo YoY'!FN36</calculatedColumnFormula>
    </tableColumn>
    <tableColumn id="43" name="Var_x000a_PF_x000a_YOY" dataDxfId="161" dataCellStyle="Porcentagem">
      <calculatedColumnFormula>Tabela3[[#This Row],[Receita
PF
2022]]/Tabela3[[#This Row],[Receita
PF
2021]]-1</calculatedColumnFormula>
    </tableColumn>
    <tableColumn id="65" name="Receita_x000a_PF - Ex Ant_x000a_2022" dataDxfId="160" dataCellStyle="Moeda">
      <calculatedColumnFormula>+'Comparativo YoY'!FO3</calculatedColumnFormula>
    </tableColumn>
    <tableColumn id="66" name="Receita_x000a_PF - Ex Ant_x000a_2021" dataDxfId="159" dataCellStyle="Moeda">
      <calculatedColumnFormula>+'Comparativo YoY'!FO36</calculatedColumnFormula>
    </tableColumn>
    <tableColumn id="67" name="Var_x000a_PF Ex Ant_x000a_YOY" dataDxfId="158" dataCellStyle="Porcentagem"/>
    <tableColumn id="52" name="Receita_x000a_PJ_x000a_2022" dataDxfId="157" dataCellStyle="Moeda">
      <calculatedColumnFormula>'Comparativo YoY'!FP3</calculatedColumnFormula>
    </tableColumn>
    <tableColumn id="53" name="Receita_x000a_PJ_x000a_2021" dataDxfId="156" dataCellStyle="Moeda">
      <calculatedColumnFormula>'Comparativo YoY'!FP36</calculatedColumnFormula>
    </tableColumn>
    <tableColumn id="44" name="Var_x000a_PJ_x000a_YOY" dataDxfId="155" dataCellStyle="Porcentagem">
      <calculatedColumnFormula>Tabela3[[#This Row],[Receita
PJ
2022]]/Tabela3[[#This Row],[Receita
PJ
2021]]-1</calculatedColumnFormula>
    </tableColumn>
    <tableColumn id="68" name="Receita_x000a_PJ - Ex Ant_x000a_2022" dataDxfId="154" dataCellStyle="Moeda">
      <calculatedColumnFormula>'Comparativo YoY'!FQ3</calculatedColumnFormula>
    </tableColumn>
    <tableColumn id="69" name="Receita_x000a_PJ - Ex Ant_x000a_2021" dataDxfId="153" dataCellStyle="Moeda">
      <calculatedColumnFormula>'Comparativo YoY'!FQ36</calculatedColumnFormula>
    </tableColumn>
    <tableColumn id="70" name="Var_x000a_PJ Ex Ant_x000a_YOY" dataDxfId="152" dataCellStyle="Porcentagem"/>
    <tableColumn id="54" name="Receita_x000a_RRT_x000a_2022" dataDxfId="151" dataCellStyle="Moeda">
      <calculatedColumnFormula>'Comparativo YoY'!FR3</calculatedColumnFormula>
    </tableColumn>
    <tableColumn id="55" name="Receita_x000a_RRT_x000a_2021" dataDxfId="150" dataCellStyle="Moeda">
      <calculatedColumnFormula>'Comparativo YoY'!FR36</calculatedColumnFormula>
    </tableColumn>
    <tableColumn id="45" name="Var_x000a_RRT_x000a_YOY" dataDxfId="149" dataCellStyle="Porcentagem">
      <calculatedColumnFormula>Tabela3[[#This Row],[Receita
RRT
2022]]/Tabela3[[#This Row],[Receita
RRT
2021]]-1</calculatedColumnFormula>
    </tableColumn>
    <tableColumn id="56" name="Receita_x000a_Taxas_x000a_2022" dataDxfId="148" dataCellStyle="Moeda">
      <calculatedColumnFormula>'Comparativo YoY'!FS3</calculatedColumnFormula>
    </tableColumn>
    <tableColumn id="57" name="Receita_x000a_Taxas_x000a_2021" dataDxfId="147" dataCellStyle="Moeda">
      <calculatedColumnFormula>'Comparativo YoY'!FS36</calculatedColumnFormula>
    </tableColumn>
    <tableColumn id="46" name="Var_x000a_Taxas_x000a_YOY" dataDxfId="146" dataCellStyle="Porcentagem">
      <calculatedColumnFormula>Tabela3[[#This Row],[Receita
Taxas
2022]]/Tabela3[[#This Row],[Receita
Taxas
2021]]-1</calculatedColumnFormula>
    </tableColumn>
    <tableColumn id="47" name="Ano anterior_x000a_TOTAL acumulado" dataDxfId="145" dataCellStyle="Moeda">
      <calculatedColumnFormula>Tabela3[[#This Row],[Receita
PF
2021]]+Tabela3[[#This Row],[Receita
PF - Ex Ant
2021]]+Tabela3[[#This Row],[Receita
PJ
2021]]+Tabela3[[#This Row],[Receita
PJ - Ex Ant
2021]]+Tabela3[[#This Row],[Receita
RRT
2021]]+Tabela3[[#This Row],[Receita
Taxas
2021]]</calculatedColumnFormula>
    </tableColumn>
    <tableColumn id="48" name="YOY_x000a_% de exec." dataDxfId="144" dataCellStyle="Porcentagem">
      <calculatedColumnFormula>((D4+J4+G4+M4+P4+S4)/BO4)-1</calculatedColumnFormula>
    </tableColumn>
    <tableColumn id="49" name="% de exec._x000a_x Previsto" dataDxfId="143" dataCellStyle="Porcentagem">
      <calculatedColumnFormula>(D4+G4+J4+M4+P4+S4)/(E4+H4+K4+N4+Q4+T4)</calculatedColumnFormula>
    </tableColumn>
    <tableColumn id="64" name="PF + PJ" dataDxfId="142" dataCellStyle="Porcentagem">
      <calculatedColumnFormula>Tabela3[[#This Row],[PF Ativos
Exec.]]+Tabela3[[#This Row],[PJ Ativos]]</calculatedColumnFormula>
    </tableColumn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CAU">
      <a:dk1>
        <a:srgbClr val="1C3942"/>
      </a:dk1>
      <a:lt1>
        <a:sysClr val="window" lastClr="FFFFFF"/>
      </a:lt1>
      <a:dk2>
        <a:srgbClr val="2A5664"/>
      </a:dk2>
      <a:lt2>
        <a:srgbClr val="FFFFFF"/>
      </a:lt2>
      <a:accent1>
        <a:srgbClr val="006871"/>
      </a:accent1>
      <a:accent2>
        <a:srgbClr val="008F9A"/>
      </a:accent2>
      <a:accent3>
        <a:srgbClr val="5E9AA6"/>
      </a:accent3>
      <a:accent4>
        <a:srgbClr val="AECCD2"/>
      </a:accent4>
      <a:accent5>
        <a:srgbClr val="B7D8D7"/>
      </a:accent5>
      <a:accent6>
        <a:srgbClr val="B7D8D7"/>
      </a:accent6>
      <a:hlink>
        <a:srgbClr val="9999FE"/>
      </a:hlink>
      <a:folHlink>
        <a:srgbClr val="FE66FF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CAU">
    <a:dk1>
      <a:srgbClr val="1C3942"/>
    </a:dk1>
    <a:lt1>
      <a:sysClr val="window" lastClr="FFFFFF"/>
    </a:lt1>
    <a:dk2>
      <a:srgbClr val="2A5664"/>
    </a:dk2>
    <a:lt2>
      <a:srgbClr val="FFFFFF"/>
    </a:lt2>
    <a:accent1>
      <a:srgbClr val="006871"/>
    </a:accent1>
    <a:accent2>
      <a:srgbClr val="008F9A"/>
    </a:accent2>
    <a:accent3>
      <a:srgbClr val="5E9AA6"/>
    </a:accent3>
    <a:accent4>
      <a:srgbClr val="AECCD2"/>
    </a:accent4>
    <a:accent5>
      <a:srgbClr val="B7D8D7"/>
    </a:accent5>
    <a:accent6>
      <a:srgbClr val="B7D8D7"/>
    </a:accent6>
    <a:hlink>
      <a:srgbClr val="9999FE"/>
    </a:hlink>
    <a:folHlink>
      <a:srgbClr val="FE66FF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CAU">
    <a:dk1>
      <a:srgbClr val="1C3942"/>
    </a:dk1>
    <a:lt1>
      <a:sysClr val="window" lastClr="FFFFFF"/>
    </a:lt1>
    <a:dk2>
      <a:srgbClr val="2A5664"/>
    </a:dk2>
    <a:lt2>
      <a:srgbClr val="FFFFFF"/>
    </a:lt2>
    <a:accent1>
      <a:srgbClr val="006871"/>
    </a:accent1>
    <a:accent2>
      <a:srgbClr val="008F9A"/>
    </a:accent2>
    <a:accent3>
      <a:srgbClr val="5E9AA6"/>
    </a:accent3>
    <a:accent4>
      <a:srgbClr val="AECCD2"/>
    </a:accent4>
    <a:accent5>
      <a:srgbClr val="B7D8D7"/>
    </a:accent5>
    <a:accent6>
      <a:srgbClr val="B7D8D7"/>
    </a:accent6>
    <a:hlink>
      <a:srgbClr val="9999FE"/>
    </a:hlink>
    <a:folHlink>
      <a:srgbClr val="FE66FF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R8" dT="2020-03-23T18:13:08.68" personId="{C04F7575-3164-44C0-8C8C-4BA338781F34}" id="{7E564A3A-4A4B-4569-A074-12D48F10BEEB}">
    <text>Esse percentual é o q vale, pois é a média geral de todos ufs e fontes de receitas dos últimos 3 anos, ajustar mensalmente selecionando o período acumulado (janeiro até o mês atual)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9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drawing" Target="../drawings/drawing5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ivotTable" Target="../pivotTables/pivotTable5.xml"/><Relationship Id="rId7" Type="http://schemas.openxmlformats.org/officeDocument/2006/relationships/printerSettings" Target="../printerSettings/printerSettings3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6" Type="http://schemas.openxmlformats.org/officeDocument/2006/relationships/pivotTable" Target="../pivotTables/pivotTable8.xml"/><Relationship Id="rId5" Type="http://schemas.openxmlformats.org/officeDocument/2006/relationships/pivotTable" Target="../pivotTables/pivotTable7.xml"/><Relationship Id="rId10" Type="http://schemas.microsoft.com/office/2007/relationships/slicer" Target="../slicers/slicer2.xml"/><Relationship Id="rId4" Type="http://schemas.openxmlformats.org/officeDocument/2006/relationships/pivotTable" Target="../pivotTables/pivotTable6.xml"/><Relationship Id="rId9" Type="http://schemas.openxmlformats.org/officeDocument/2006/relationships/table" Target="../tables/table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5.bin"/><Relationship Id="rId4" Type="http://schemas.microsoft.com/office/2007/relationships/slicer" Target="../slicers/slicer4.xml"/></Relationships>
</file>

<file path=xl/worksheets/_rels/sheet36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8.bin"/><Relationship Id="rId4" Type="http://schemas.microsoft.com/office/2007/relationships/slicer" Target="../slicers/slicer7.xml"/></Relationships>
</file>

<file path=xl/worksheets/_rels/sheet39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microsoft.com/office/2007/relationships/slicer" Target="../slicers/slicer9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microsoft.com/office/2007/relationships/slicer" Target="../slicers/slicer10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microsoft.com/office/2007/relationships/slicer" Target="../slicers/slicer11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microsoft.com/office/2007/relationships/slicer" Target="../slicers/slicer12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3">
    <tabColor theme="6"/>
  </sheetPr>
  <dimension ref="A1:M40"/>
  <sheetViews>
    <sheetView zoomScale="84" zoomScaleNormal="84" workbookViewId="0">
      <selection sqref="A1:AC1"/>
    </sheetView>
  </sheetViews>
  <sheetFormatPr defaultRowHeight="15"/>
  <cols>
    <col min="1" max="1" width="15.85546875" style="10" customWidth="1"/>
    <col min="2" max="2" width="15.42578125" style="10" bestFit="1" customWidth="1"/>
    <col min="3" max="10" width="15.28515625" style="10" customWidth="1"/>
    <col min="11" max="11" width="20.7109375" style="743" customWidth="1"/>
    <col min="12" max="12" width="12.42578125" style="743" bestFit="1" customWidth="1"/>
    <col min="13" max="13" width="9.140625" style="743"/>
    <col min="14" max="16384" width="9.140625" style="10"/>
  </cols>
  <sheetData>
    <row r="1" spans="1:12">
      <c r="A1" s="145"/>
      <c r="B1" s="832" t="s">
        <v>173</v>
      </c>
      <c r="C1" s="832"/>
      <c r="D1" s="832"/>
      <c r="E1" s="832"/>
      <c r="F1" s="832"/>
      <c r="G1" s="25" t="s">
        <v>28</v>
      </c>
      <c r="H1" s="832" t="s">
        <v>174</v>
      </c>
      <c r="I1" s="832"/>
      <c r="J1" s="832"/>
    </row>
    <row r="2" spans="1:12" ht="57.75" customHeight="1">
      <c r="A2" s="38" t="s">
        <v>172</v>
      </c>
      <c r="B2" s="311" t="s">
        <v>383</v>
      </c>
      <c r="C2" s="310" t="s">
        <v>385</v>
      </c>
      <c r="D2" s="310" t="s">
        <v>563</v>
      </c>
      <c r="E2" s="310" t="s">
        <v>386</v>
      </c>
      <c r="F2" s="310" t="s">
        <v>554</v>
      </c>
      <c r="G2" s="311" t="s">
        <v>387</v>
      </c>
      <c r="H2" s="310" t="s">
        <v>388</v>
      </c>
      <c r="I2" s="310" t="s">
        <v>564</v>
      </c>
      <c r="J2" s="567" t="s">
        <v>389</v>
      </c>
    </row>
    <row r="3" spans="1:12">
      <c r="A3" s="38" t="s">
        <v>77</v>
      </c>
      <c r="B3" s="306">
        <v>7</v>
      </c>
      <c r="C3" s="306">
        <v>739</v>
      </c>
      <c r="D3" s="306">
        <v>686</v>
      </c>
      <c r="E3" s="782">
        <f>C3-D3</f>
        <v>53</v>
      </c>
      <c r="F3" s="306">
        <v>34</v>
      </c>
      <c r="G3" s="306">
        <f>'RRTs pagos por Grupo'!AH2</f>
        <v>2236</v>
      </c>
      <c r="H3" s="306">
        <v>165</v>
      </c>
      <c r="I3" s="306">
        <v>152</v>
      </c>
      <c r="J3" s="568">
        <f>H3-I3</f>
        <v>13</v>
      </c>
      <c r="K3" s="785"/>
      <c r="L3" s="785"/>
    </row>
    <row r="4" spans="1:12">
      <c r="A4" s="38" t="s">
        <v>78</v>
      </c>
      <c r="B4" s="308">
        <v>61</v>
      </c>
      <c r="C4" s="308">
        <v>2222</v>
      </c>
      <c r="D4" s="308">
        <v>2088</v>
      </c>
      <c r="E4" s="783">
        <f t="shared" ref="E4:E29" si="0">C4-D4</f>
        <v>134</v>
      </c>
      <c r="F4" s="308">
        <v>90</v>
      </c>
      <c r="G4" s="308">
        <f>'RRTs pagos por Grupo'!AH3</f>
        <v>6861</v>
      </c>
      <c r="H4" s="308">
        <v>181</v>
      </c>
      <c r="I4" s="308">
        <v>170</v>
      </c>
      <c r="J4" s="569">
        <f t="shared" ref="J4:J29" si="1">H4-I4</f>
        <v>11</v>
      </c>
      <c r="K4" s="785"/>
      <c r="L4" s="785"/>
    </row>
    <row r="5" spans="1:12">
      <c r="A5" s="38" t="s">
        <v>80</v>
      </c>
      <c r="B5" s="306">
        <v>15</v>
      </c>
      <c r="C5" s="306">
        <v>2353</v>
      </c>
      <c r="D5" s="306">
        <v>2101</v>
      </c>
      <c r="E5" s="782">
        <f t="shared" si="0"/>
        <v>252</v>
      </c>
      <c r="F5" s="306">
        <v>79</v>
      </c>
      <c r="G5" s="306">
        <f>'RRTs pagos por Grupo'!AH4</f>
        <v>6159</v>
      </c>
      <c r="H5" s="306">
        <v>308</v>
      </c>
      <c r="I5" s="306">
        <v>261</v>
      </c>
      <c r="J5" s="568">
        <f t="shared" si="1"/>
        <v>47</v>
      </c>
      <c r="K5" s="785"/>
      <c r="L5" s="785"/>
    </row>
    <row r="6" spans="1:12">
      <c r="A6" s="38" t="s">
        <v>79</v>
      </c>
      <c r="B6" s="308">
        <v>5</v>
      </c>
      <c r="C6" s="308">
        <v>886</v>
      </c>
      <c r="D6" s="308">
        <v>831</v>
      </c>
      <c r="E6" s="783">
        <f t="shared" si="0"/>
        <v>55</v>
      </c>
      <c r="F6" s="308">
        <v>35</v>
      </c>
      <c r="G6" s="308">
        <f>'RRTs pagos por Grupo'!AH5</f>
        <v>3083</v>
      </c>
      <c r="H6" s="308">
        <v>336</v>
      </c>
      <c r="I6" s="308">
        <v>307</v>
      </c>
      <c r="J6" s="569">
        <f t="shared" si="1"/>
        <v>29</v>
      </c>
      <c r="K6" s="785"/>
      <c r="L6" s="785"/>
    </row>
    <row r="7" spans="1:12">
      <c r="A7" s="38" t="s">
        <v>81</v>
      </c>
      <c r="B7" s="306">
        <v>754</v>
      </c>
      <c r="C7" s="306">
        <v>7444</v>
      </c>
      <c r="D7" s="306">
        <v>7096</v>
      </c>
      <c r="E7" s="782">
        <f t="shared" si="0"/>
        <v>348</v>
      </c>
      <c r="F7" s="306">
        <v>257</v>
      </c>
      <c r="G7" s="306">
        <f>'RRTs pagos por Grupo'!AH6</f>
        <v>20099</v>
      </c>
      <c r="H7" s="306">
        <v>1068</v>
      </c>
      <c r="I7" s="306">
        <v>1022</v>
      </c>
      <c r="J7" s="568">
        <f t="shared" si="1"/>
        <v>46</v>
      </c>
      <c r="K7" s="785"/>
      <c r="L7" s="785"/>
    </row>
    <row r="8" spans="1:12">
      <c r="A8" s="38" t="s">
        <v>82</v>
      </c>
      <c r="B8" s="308">
        <v>173</v>
      </c>
      <c r="C8" s="308">
        <v>4757</v>
      </c>
      <c r="D8" s="308">
        <v>4433</v>
      </c>
      <c r="E8" s="783">
        <f t="shared" si="0"/>
        <v>324</v>
      </c>
      <c r="F8" s="308">
        <v>280</v>
      </c>
      <c r="G8" s="308">
        <f>'RRTs pagos por Grupo'!AH7</f>
        <v>12660</v>
      </c>
      <c r="H8" s="308">
        <v>470</v>
      </c>
      <c r="I8" s="308">
        <v>452</v>
      </c>
      <c r="J8" s="569">
        <f t="shared" si="1"/>
        <v>18</v>
      </c>
      <c r="K8" s="785"/>
      <c r="L8" s="785"/>
    </row>
    <row r="9" spans="1:12">
      <c r="A9" s="38" t="s">
        <v>83</v>
      </c>
      <c r="B9" s="306">
        <v>424</v>
      </c>
      <c r="C9" s="306">
        <v>6772</v>
      </c>
      <c r="D9" s="306">
        <v>6589</v>
      </c>
      <c r="E9" s="782">
        <f t="shared" si="0"/>
        <v>183</v>
      </c>
      <c r="F9" s="306">
        <v>178</v>
      </c>
      <c r="G9" s="306">
        <f>'RRTs pagos por Grupo'!AH8</f>
        <v>13599</v>
      </c>
      <c r="H9" s="306">
        <v>833</v>
      </c>
      <c r="I9" s="306">
        <v>805</v>
      </c>
      <c r="J9" s="568">
        <f t="shared" si="1"/>
        <v>28</v>
      </c>
      <c r="K9" s="785"/>
      <c r="L9" s="785"/>
    </row>
    <row r="10" spans="1:12">
      <c r="A10" s="38" t="s">
        <v>84</v>
      </c>
      <c r="B10" s="308">
        <v>72</v>
      </c>
      <c r="C10" s="308">
        <v>4136</v>
      </c>
      <c r="D10" s="308">
        <v>3891</v>
      </c>
      <c r="E10" s="783">
        <f t="shared" si="0"/>
        <v>245</v>
      </c>
      <c r="F10" s="308">
        <v>141</v>
      </c>
      <c r="G10" s="308">
        <f>'RRTs pagos por Grupo'!AH9</f>
        <v>13420</v>
      </c>
      <c r="H10" s="308">
        <v>493</v>
      </c>
      <c r="I10" s="308">
        <v>478</v>
      </c>
      <c r="J10" s="569">
        <f t="shared" si="1"/>
        <v>15</v>
      </c>
      <c r="K10" s="785"/>
      <c r="L10" s="785"/>
    </row>
    <row r="11" spans="1:12">
      <c r="A11" s="38" t="s">
        <v>85</v>
      </c>
      <c r="B11" s="306">
        <v>194</v>
      </c>
      <c r="C11" s="306">
        <v>5405</v>
      </c>
      <c r="D11" s="306">
        <v>5105</v>
      </c>
      <c r="E11" s="782">
        <f t="shared" si="0"/>
        <v>300</v>
      </c>
      <c r="F11" s="306">
        <v>188</v>
      </c>
      <c r="G11" s="306">
        <f>'RRTs pagos por Grupo'!AH10</f>
        <v>25310</v>
      </c>
      <c r="H11" s="306">
        <v>773</v>
      </c>
      <c r="I11" s="306">
        <v>718</v>
      </c>
      <c r="J11" s="568">
        <f t="shared" si="1"/>
        <v>55</v>
      </c>
      <c r="K11" s="785"/>
      <c r="L11" s="785"/>
    </row>
    <row r="12" spans="1:12">
      <c r="A12" s="38" t="s">
        <v>86</v>
      </c>
      <c r="B12" s="308">
        <v>25</v>
      </c>
      <c r="C12" s="308">
        <v>2252</v>
      </c>
      <c r="D12" s="308">
        <v>2081</v>
      </c>
      <c r="E12" s="783">
        <f t="shared" si="0"/>
        <v>171</v>
      </c>
      <c r="F12" s="308">
        <v>91</v>
      </c>
      <c r="G12" s="308">
        <f>'RRTs pagos por Grupo'!AH11</f>
        <v>5965</v>
      </c>
      <c r="H12" s="308">
        <v>329</v>
      </c>
      <c r="I12" s="308">
        <v>300</v>
      </c>
      <c r="J12" s="569">
        <f t="shared" si="1"/>
        <v>29</v>
      </c>
      <c r="K12" s="785"/>
      <c r="L12" s="785"/>
    </row>
    <row r="13" spans="1:12">
      <c r="A13" s="38" t="s">
        <v>89</v>
      </c>
      <c r="B13" s="306">
        <v>647</v>
      </c>
      <c r="C13" s="306">
        <v>17877</v>
      </c>
      <c r="D13" s="306">
        <v>17245</v>
      </c>
      <c r="E13" s="782">
        <f t="shared" si="0"/>
        <v>632</v>
      </c>
      <c r="F13" s="306">
        <v>632</v>
      </c>
      <c r="G13" s="306">
        <f>'RRTs pagos por Grupo'!AH12</f>
        <v>47515</v>
      </c>
      <c r="H13" s="306">
        <v>2035</v>
      </c>
      <c r="I13" s="306">
        <v>1891</v>
      </c>
      <c r="J13" s="568">
        <f t="shared" si="1"/>
        <v>144</v>
      </c>
      <c r="K13" s="785"/>
      <c r="L13" s="785"/>
    </row>
    <row r="14" spans="1:12">
      <c r="A14" s="38" t="s">
        <v>88</v>
      </c>
      <c r="B14" s="308">
        <v>69</v>
      </c>
      <c r="C14" s="308">
        <v>3640</v>
      </c>
      <c r="D14" s="308">
        <v>3568</v>
      </c>
      <c r="E14" s="783">
        <f t="shared" si="0"/>
        <v>72</v>
      </c>
      <c r="F14" s="308">
        <v>151</v>
      </c>
      <c r="G14" s="308">
        <f>'RRTs pagos por Grupo'!AH13</f>
        <v>16284</v>
      </c>
      <c r="H14" s="308">
        <v>698</v>
      </c>
      <c r="I14" s="308">
        <v>665</v>
      </c>
      <c r="J14" s="569">
        <f t="shared" si="1"/>
        <v>33</v>
      </c>
      <c r="K14" s="785"/>
      <c r="L14" s="785"/>
    </row>
    <row r="15" spans="1:12">
      <c r="A15" s="38" t="s">
        <v>87</v>
      </c>
      <c r="B15" s="306">
        <v>52</v>
      </c>
      <c r="C15" s="306">
        <v>3639</v>
      </c>
      <c r="D15" s="306">
        <v>3446</v>
      </c>
      <c r="E15" s="782">
        <f t="shared" si="0"/>
        <v>193</v>
      </c>
      <c r="F15" s="306">
        <v>145</v>
      </c>
      <c r="G15" s="306">
        <f>'RRTs pagos por Grupo'!AH14</f>
        <v>25520</v>
      </c>
      <c r="H15" s="306">
        <v>710</v>
      </c>
      <c r="I15" s="306">
        <v>661</v>
      </c>
      <c r="J15" s="568">
        <f t="shared" si="1"/>
        <v>49</v>
      </c>
      <c r="K15" s="785"/>
      <c r="L15" s="785"/>
    </row>
    <row r="16" spans="1:12">
      <c r="A16" s="38" t="s">
        <v>90</v>
      </c>
      <c r="B16" s="308">
        <v>134</v>
      </c>
      <c r="C16" s="308">
        <v>3301</v>
      </c>
      <c r="D16" s="308">
        <v>3122</v>
      </c>
      <c r="E16" s="783">
        <f t="shared" si="0"/>
        <v>179</v>
      </c>
      <c r="F16" s="308">
        <v>108</v>
      </c>
      <c r="G16" s="308">
        <f>'RRTs pagos por Grupo'!AH15</f>
        <v>9011</v>
      </c>
      <c r="H16" s="308">
        <v>488</v>
      </c>
      <c r="I16" s="308">
        <v>452</v>
      </c>
      <c r="J16" s="569">
        <f t="shared" si="1"/>
        <v>36</v>
      </c>
      <c r="K16" s="785"/>
      <c r="L16" s="785"/>
    </row>
    <row r="17" spans="1:13">
      <c r="A17" s="38" t="s">
        <v>91</v>
      </c>
      <c r="B17" s="306">
        <v>57</v>
      </c>
      <c r="C17" s="306">
        <v>3193</v>
      </c>
      <c r="D17" s="306">
        <v>3006</v>
      </c>
      <c r="E17" s="782">
        <f t="shared" si="0"/>
        <v>187</v>
      </c>
      <c r="F17" s="306">
        <v>152</v>
      </c>
      <c r="G17" s="306">
        <f>'RRTs pagos por Grupo'!AH16</f>
        <v>9065</v>
      </c>
      <c r="H17" s="306">
        <v>515</v>
      </c>
      <c r="I17" s="306">
        <v>509</v>
      </c>
      <c r="J17" s="568">
        <f t="shared" si="1"/>
        <v>6</v>
      </c>
      <c r="K17" s="785"/>
      <c r="L17" s="785"/>
    </row>
    <row r="18" spans="1:13">
      <c r="A18" s="38" t="s">
        <v>93</v>
      </c>
      <c r="B18" s="308">
        <v>362</v>
      </c>
      <c r="C18" s="308">
        <v>5633</v>
      </c>
      <c r="D18" s="308">
        <v>5325</v>
      </c>
      <c r="E18" s="783">
        <f t="shared" si="0"/>
        <v>308</v>
      </c>
      <c r="F18" s="308">
        <v>207</v>
      </c>
      <c r="G18" s="308">
        <f>'RRTs pagos por Grupo'!AH17</f>
        <v>15581</v>
      </c>
      <c r="H18" s="308">
        <v>591</v>
      </c>
      <c r="I18" s="308">
        <v>554</v>
      </c>
      <c r="J18" s="569">
        <f t="shared" si="1"/>
        <v>37</v>
      </c>
      <c r="K18" s="785"/>
      <c r="L18" s="785"/>
    </row>
    <row r="19" spans="1:13">
      <c r="A19" s="38" t="s">
        <v>94</v>
      </c>
      <c r="B19" s="306">
        <v>37</v>
      </c>
      <c r="C19" s="306">
        <v>1613</v>
      </c>
      <c r="D19" s="306">
        <v>1507</v>
      </c>
      <c r="E19" s="782">
        <f t="shared" si="0"/>
        <v>106</v>
      </c>
      <c r="F19" s="306">
        <v>108</v>
      </c>
      <c r="G19" s="306">
        <f>'RRTs pagos por Grupo'!AH18</f>
        <v>4449</v>
      </c>
      <c r="H19" s="306">
        <v>313</v>
      </c>
      <c r="I19" s="306">
        <v>290</v>
      </c>
      <c r="J19" s="568">
        <f t="shared" si="1"/>
        <v>23</v>
      </c>
      <c r="K19" s="785"/>
      <c r="L19" s="785"/>
    </row>
    <row r="20" spans="1:13">
      <c r="A20" s="38" t="s">
        <v>92</v>
      </c>
      <c r="B20" s="308">
        <v>376</v>
      </c>
      <c r="C20" s="308">
        <v>14583</v>
      </c>
      <c r="D20" s="308">
        <v>13913</v>
      </c>
      <c r="E20" s="783">
        <f t="shared" si="0"/>
        <v>670</v>
      </c>
      <c r="F20" s="308">
        <v>519</v>
      </c>
      <c r="G20" s="308">
        <f>'RRTs pagos por Grupo'!AH19</f>
        <v>56658</v>
      </c>
      <c r="H20" s="308">
        <v>2819</v>
      </c>
      <c r="I20" s="308">
        <v>2584</v>
      </c>
      <c r="J20" s="569">
        <f t="shared" si="1"/>
        <v>235</v>
      </c>
      <c r="K20" s="785"/>
      <c r="L20" s="785"/>
    </row>
    <row r="21" spans="1:13">
      <c r="A21" s="38" t="s">
        <v>95</v>
      </c>
      <c r="B21" s="306">
        <v>3247</v>
      </c>
      <c r="C21" s="306">
        <v>21441</v>
      </c>
      <c r="D21" s="306">
        <v>20909</v>
      </c>
      <c r="E21" s="782">
        <f t="shared" si="0"/>
        <v>532</v>
      </c>
      <c r="F21" s="306">
        <v>433</v>
      </c>
      <c r="G21" s="306">
        <f>'RRTs pagos por Grupo'!AH20</f>
        <v>51144</v>
      </c>
      <c r="H21" s="306">
        <v>2983</v>
      </c>
      <c r="I21" s="306">
        <v>2896</v>
      </c>
      <c r="J21" s="568">
        <f t="shared" si="1"/>
        <v>87</v>
      </c>
      <c r="K21" s="785"/>
      <c r="L21" s="785"/>
    </row>
    <row r="22" spans="1:13">
      <c r="A22" s="38" t="s">
        <v>96</v>
      </c>
      <c r="B22" s="308">
        <v>61</v>
      </c>
      <c r="C22" s="308">
        <v>2789</v>
      </c>
      <c r="D22" s="308">
        <v>2666</v>
      </c>
      <c r="E22" s="783">
        <f t="shared" si="0"/>
        <v>123</v>
      </c>
      <c r="F22" s="308">
        <v>103</v>
      </c>
      <c r="G22" s="308">
        <f>'RRTs pagos por Grupo'!AH21</f>
        <v>7489</v>
      </c>
      <c r="H22" s="308">
        <v>328</v>
      </c>
      <c r="I22" s="308">
        <v>312</v>
      </c>
      <c r="J22" s="569">
        <f t="shared" si="1"/>
        <v>16</v>
      </c>
      <c r="K22" s="785"/>
      <c r="L22" s="785"/>
    </row>
    <row r="23" spans="1:13">
      <c r="A23" s="38" t="s">
        <v>98</v>
      </c>
      <c r="B23" s="306">
        <v>12</v>
      </c>
      <c r="C23" s="306">
        <v>1471</v>
      </c>
      <c r="D23" s="306">
        <v>1386</v>
      </c>
      <c r="E23" s="782">
        <f t="shared" si="0"/>
        <v>85</v>
      </c>
      <c r="F23" s="306">
        <v>95</v>
      </c>
      <c r="G23" s="306">
        <f>'RRTs pagos por Grupo'!AH22</f>
        <v>7167</v>
      </c>
      <c r="H23" s="306">
        <v>246</v>
      </c>
      <c r="I23" s="306">
        <v>233</v>
      </c>
      <c r="J23" s="568">
        <f t="shared" si="1"/>
        <v>13</v>
      </c>
      <c r="K23" s="785"/>
      <c r="L23" s="785"/>
    </row>
    <row r="24" spans="1:13">
      <c r="A24" s="38" t="s">
        <v>99</v>
      </c>
      <c r="B24" s="308">
        <v>8</v>
      </c>
      <c r="C24" s="308">
        <v>253</v>
      </c>
      <c r="D24" s="308">
        <v>246</v>
      </c>
      <c r="E24" s="783">
        <f t="shared" si="0"/>
        <v>7</v>
      </c>
      <c r="F24" s="308">
        <v>6</v>
      </c>
      <c r="G24" s="308">
        <f>'RRTs pagos por Grupo'!AH23</f>
        <v>1296</v>
      </c>
      <c r="H24" s="308">
        <v>67</v>
      </c>
      <c r="I24" s="308">
        <v>63</v>
      </c>
      <c r="J24" s="569">
        <f t="shared" si="1"/>
        <v>4</v>
      </c>
      <c r="K24" s="785"/>
      <c r="L24" s="785"/>
    </row>
    <row r="25" spans="1:13">
      <c r="A25" s="38" t="s">
        <v>97</v>
      </c>
      <c r="B25" s="306">
        <v>843</v>
      </c>
      <c r="C25" s="306">
        <v>18080</v>
      </c>
      <c r="D25" s="306">
        <v>17436</v>
      </c>
      <c r="E25" s="782">
        <f t="shared" si="0"/>
        <v>644</v>
      </c>
      <c r="F25" s="306">
        <v>593</v>
      </c>
      <c r="G25" s="306">
        <f>'RRTs pagos por Grupo'!AH24</f>
        <v>73503</v>
      </c>
      <c r="H25" s="306">
        <v>3292</v>
      </c>
      <c r="I25" s="306">
        <v>2995</v>
      </c>
      <c r="J25" s="568">
        <f t="shared" si="1"/>
        <v>297</v>
      </c>
      <c r="K25" s="785"/>
      <c r="L25" s="785"/>
    </row>
    <row r="26" spans="1:13">
      <c r="A26" s="38" t="s">
        <v>100</v>
      </c>
      <c r="B26" s="308">
        <v>234</v>
      </c>
      <c r="C26" s="308">
        <v>11846</v>
      </c>
      <c r="D26" s="308">
        <v>11349</v>
      </c>
      <c r="E26" s="783">
        <f t="shared" si="0"/>
        <v>497</v>
      </c>
      <c r="F26" s="308">
        <v>425</v>
      </c>
      <c r="G26" s="308">
        <f>'RRTs pagos por Grupo'!AH25</f>
        <v>47797</v>
      </c>
      <c r="H26" s="308">
        <v>2101</v>
      </c>
      <c r="I26" s="308">
        <v>1906</v>
      </c>
      <c r="J26" s="569">
        <f t="shared" si="1"/>
        <v>195</v>
      </c>
      <c r="K26" s="785"/>
      <c r="L26" s="785"/>
    </row>
    <row r="27" spans="1:13">
      <c r="A27" s="38" t="s">
        <v>102</v>
      </c>
      <c r="B27" s="306">
        <v>28</v>
      </c>
      <c r="C27" s="306">
        <v>1659</v>
      </c>
      <c r="D27" s="306">
        <v>1563</v>
      </c>
      <c r="E27" s="782">
        <f t="shared" si="0"/>
        <v>96</v>
      </c>
      <c r="F27" s="306">
        <v>100</v>
      </c>
      <c r="G27" s="306">
        <f>'RRTs pagos por Grupo'!AH26</f>
        <v>6702</v>
      </c>
      <c r="H27" s="306">
        <v>195</v>
      </c>
      <c r="I27" s="306">
        <v>180</v>
      </c>
      <c r="J27" s="568">
        <f t="shared" si="1"/>
        <v>15</v>
      </c>
      <c r="K27" s="785"/>
      <c r="L27" s="785"/>
    </row>
    <row r="28" spans="1:13">
      <c r="A28" s="38" t="s">
        <v>101</v>
      </c>
      <c r="B28" s="308">
        <v>4159</v>
      </c>
      <c r="C28" s="308">
        <v>66788</v>
      </c>
      <c r="D28" s="308">
        <v>65012</v>
      </c>
      <c r="E28" s="783">
        <f>C28-D28</f>
        <v>1776</v>
      </c>
      <c r="F28" s="308">
        <v>1375</v>
      </c>
      <c r="G28" s="308">
        <f>'RRTs pagos por Grupo'!AH27</f>
        <v>265567</v>
      </c>
      <c r="H28" s="308">
        <v>8410</v>
      </c>
      <c r="I28" s="308">
        <v>8045</v>
      </c>
      <c r="J28" s="569">
        <f t="shared" si="1"/>
        <v>365</v>
      </c>
      <c r="K28" s="785"/>
      <c r="L28" s="785"/>
    </row>
    <row r="29" spans="1:13">
      <c r="A29" s="38" t="s">
        <v>103</v>
      </c>
      <c r="B29" s="306">
        <v>15</v>
      </c>
      <c r="C29" s="306">
        <v>933</v>
      </c>
      <c r="D29" s="306">
        <v>869</v>
      </c>
      <c r="E29" s="782">
        <f t="shared" si="0"/>
        <v>64</v>
      </c>
      <c r="F29" s="306">
        <v>68</v>
      </c>
      <c r="G29" s="306">
        <f>'RRTs pagos por Grupo'!AH28</f>
        <v>3990</v>
      </c>
      <c r="H29" s="306">
        <v>234</v>
      </c>
      <c r="I29" s="306">
        <v>217</v>
      </c>
      <c r="J29" s="568">
        <f t="shared" si="1"/>
        <v>17</v>
      </c>
      <c r="K29" s="785"/>
      <c r="L29" s="785"/>
    </row>
    <row r="30" spans="1:13">
      <c r="A30" s="38" t="s">
        <v>257</v>
      </c>
      <c r="B30" s="307">
        <f>SUM(B3:B29)</f>
        <v>12071</v>
      </c>
      <c r="C30" s="307">
        <f t="shared" ref="C30:D30" si="2">SUM(C3:C29)</f>
        <v>215705</v>
      </c>
      <c r="D30" s="307">
        <f t="shared" si="2"/>
        <v>207469</v>
      </c>
      <c r="E30" s="307">
        <f>SUM(E3:E29)</f>
        <v>8236</v>
      </c>
      <c r="F30" s="307">
        <f>SUM(F3:F29)</f>
        <v>6593</v>
      </c>
      <c r="G30" s="307">
        <f>SUM(G3:G29)</f>
        <v>758130</v>
      </c>
      <c r="H30" s="307">
        <f>SUM(H3:H29)</f>
        <v>30981</v>
      </c>
      <c r="I30" s="307">
        <f>SUM(I3:I29)</f>
        <v>29118</v>
      </c>
      <c r="J30" s="784">
        <f>H30-I30</f>
        <v>1863</v>
      </c>
      <c r="K30" s="785"/>
      <c r="L30" s="785"/>
    </row>
    <row r="31" spans="1:13">
      <c r="B31" s="196"/>
      <c r="D31" s="785"/>
      <c r="E31" s="785"/>
      <c r="I31" s="785"/>
      <c r="J31" s="785"/>
      <c r="K31" s="785"/>
      <c r="L31" s="785"/>
    </row>
    <row r="32" spans="1:13" s="375" customFormat="1" ht="35.25" customHeight="1">
      <c r="A32" s="831" t="s">
        <v>718</v>
      </c>
      <c r="B32" s="831"/>
      <c r="C32" s="831"/>
      <c r="D32" s="831"/>
      <c r="E32" s="831"/>
      <c r="F32" s="831"/>
      <c r="G32" s="831"/>
      <c r="H32" s="831"/>
      <c r="I32" s="831"/>
      <c r="J32" s="831"/>
      <c r="K32" s="785"/>
      <c r="L32" s="785"/>
      <c r="M32" s="786"/>
    </row>
    <row r="33" spans="1:13" s="375" customFormat="1" ht="35.25" customHeight="1">
      <c r="A33" s="831" t="s">
        <v>719</v>
      </c>
      <c r="B33" s="831"/>
      <c r="C33" s="831"/>
      <c r="D33" s="831"/>
      <c r="E33" s="831"/>
      <c r="F33" s="831"/>
      <c r="G33" s="831"/>
      <c r="H33" s="831"/>
      <c r="I33" s="831"/>
      <c r="J33" s="831"/>
      <c r="K33" s="785"/>
      <c r="L33" s="785"/>
      <c r="M33" s="786"/>
    </row>
    <row r="34" spans="1:13" s="375" customFormat="1" ht="35.25" customHeight="1">
      <c r="A34" s="830" t="s">
        <v>585</v>
      </c>
      <c r="B34" s="830"/>
      <c r="C34" s="830"/>
      <c r="D34" s="830"/>
      <c r="E34" s="830"/>
      <c r="F34" s="830"/>
      <c r="G34" s="830"/>
      <c r="H34" s="830"/>
      <c r="I34" s="830"/>
      <c r="J34" s="830"/>
      <c r="K34" s="785"/>
      <c r="L34" s="785"/>
      <c r="M34" s="786"/>
    </row>
    <row r="35" spans="1:13" s="375" customFormat="1" ht="35.25" customHeight="1">
      <c r="A35" s="830" t="s">
        <v>390</v>
      </c>
      <c r="B35" s="830"/>
      <c r="C35" s="830"/>
      <c r="D35" s="830"/>
      <c r="E35" s="830"/>
      <c r="F35" s="830"/>
      <c r="G35" s="830"/>
      <c r="H35" s="830"/>
      <c r="I35" s="830"/>
      <c r="J35" s="830"/>
      <c r="K35" s="785"/>
      <c r="L35" s="785"/>
      <c r="M35" s="786"/>
    </row>
    <row r="36" spans="1:13" ht="35.25" customHeight="1">
      <c r="A36" s="831" t="s">
        <v>720</v>
      </c>
      <c r="B36" s="831"/>
      <c r="C36" s="831"/>
      <c r="D36" s="831"/>
      <c r="E36" s="831"/>
      <c r="F36" s="831"/>
      <c r="G36" s="831"/>
      <c r="H36" s="831"/>
      <c r="I36" s="831"/>
      <c r="J36" s="831"/>
      <c r="K36" s="785"/>
      <c r="L36" s="785"/>
    </row>
    <row r="37" spans="1:13" s="375" customFormat="1" ht="35.25" customHeight="1">
      <c r="A37" s="831" t="s">
        <v>721</v>
      </c>
      <c r="B37" s="831"/>
      <c r="C37" s="831"/>
      <c r="D37" s="831"/>
      <c r="E37" s="831"/>
      <c r="F37" s="831"/>
      <c r="G37" s="831"/>
      <c r="H37" s="831"/>
      <c r="I37" s="831"/>
      <c r="J37" s="831"/>
      <c r="K37" s="785"/>
      <c r="L37" s="785"/>
      <c r="M37" s="786"/>
    </row>
    <row r="38" spans="1:13" ht="35.25" customHeight="1">
      <c r="A38" s="831" t="s">
        <v>722</v>
      </c>
      <c r="B38" s="831"/>
      <c r="C38" s="831"/>
      <c r="D38" s="831"/>
      <c r="E38" s="831"/>
      <c r="F38" s="831"/>
      <c r="G38" s="831"/>
      <c r="H38" s="831"/>
      <c r="I38" s="831"/>
      <c r="J38" s="831"/>
      <c r="K38" s="785"/>
      <c r="L38" s="785"/>
    </row>
    <row r="39" spans="1:13" ht="35.25" customHeight="1">
      <c r="A39" s="827" t="s">
        <v>586</v>
      </c>
      <c r="B39" s="828"/>
      <c r="C39" s="828"/>
      <c r="D39" s="828"/>
      <c r="E39" s="828"/>
      <c r="F39" s="828"/>
      <c r="G39" s="828"/>
      <c r="H39" s="828"/>
      <c r="I39" s="828"/>
      <c r="J39" s="829"/>
      <c r="K39" s="785"/>
      <c r="L39" s="785"/>
    </row>
    <row r="40" spans="1:13" ht="35.25" customHeight="1">
      <c r="A40" s="827" t="s">
        <v>391</v>
      </c>
      <c r="B40" s="828"/>
      <c r="C40" s="828"/>
      <c r="D40" s="828"/>
      <c r="E40" s="828"/>
      <c r="F40" s="828"/>
      <c r="G40" s="828"/>
      <c r="H40" s="828"/>
      <c r="I40" s="828"/>
      <c r="J40" s="829"/>
      <c r="K40" s="785"/>
      <c r="L40" s="785"/>
    </row>
  </sheetData>
  <mergeCells count="11">
    <mergeCell ref="H1:J1"/>
    <mergeCell ref="B1:F1"/>
    <mergeCell ref="A32:J32"/>
    <mergeCell ref="A33:J33"/>
    <mergeCell ref="A34:J34"/>
    <mergeCell ref="A40:J40"/>
    <mergeCell ref="A35:J35"/>
    <mergeCell ref="A36:J36"/>
    <mergeCell ref="A37:J37"/>
    <mergeCell ref="A38:J38"/>
    <mergeCell ref="A39:J39"/>
  </mergeCells>
  <phoneticPr fontId="68" type="noConversion"/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>
    <pageSetUpPr fitToPage="1"/>
  </sheetPr>
  <dimension ref="A2:AN105"/>
  <sheetViews>
    <sheetView topLeftCell="L22" zoomScale="70" zoomScaleNormal="70" workbookViewId="0">
      <selection activeCell="DQ31" sqref="DQ31:DV31"/>
    </sheetView>
  </sheetViews>
  <sheetFormatPr defaultRowHeight="15"/>
  <cols>
    <col min="1" max="1" width="20.85546875" style="370" customWidth="1"/>
    <col min="2" max="12" width="20.85546875" style="357" customWidth="1"/>
    <col min="13" max="13" width="12.7109375" style="357" customWidth="1"/>
    <col min="14" max="14" width="18.42578125" style="357" customWidth="1"/>
    <col min="15" max="18" width="20.85546875" style="357" customWidth="1"/>
    <col min="19" max="24" width="15.5703125" style="370" customWidth="1"/>
    <col min="25" max="25" width="9.140625" style="370"/>
    <col min="26" max="26" width="10.140625" style="357" bestFit="1" customWidth="1"/>
    <col min="27" max="16384" width="9.140625" style="357"/>
  </cols>
  <sheetData>
    <row r="2" spans="1:40" ht="46.5">
      <c r="A2" s="837" t="s">
        <v>69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</row>
    <row r="3" spans="1:40" s="372" customFormat="1" ht="35.1" customHeight="1">
      <c r="A3" s="835" t="s">
        <v>33</v>
      </c>
      <c r="B3" s="833" t="s">
        <v>27</v>
      </c>
      <c r="C3" s="834"/>
      <c r="D3" s="833" t="s">
        <v>29</v>
      </c>
      <c r="E3" s="834"/>
      <c r="F3" s="835" t="s">
        <v>28</v>
      </c>
      <c r="G3" s="835" t="s">
        <v>36</v>
      </c>
      <c r="H3" s="835" t="s">
        <v>30</v>
      </c>
      <c r="I3" s="835" t="s">
        <v>31</v>
      </c>
      <c r="J3" s="835" t="s">
        <v>41</v>
      </c>
      <c r="K3" s="835" t="s">
        <v>35</v>
      </c>
      <c r="L3" s="835" t="s">
        <v>40</v>
      </c>
      <c r="M3" s="835" t="s">
        <v>42</v>
      </c>
      <c r="N3" s="835" t="s">
        <v>45</v>
      </c>
      <c r="O3" s="835" t="s">
        <v>279</v>
      </c>
      <c r="P3" s="833" t="s">
        <v>49</v>
      </c>
      <c r="Q3" s="834"/>
      <c r="R3" s="835" t="s">
        <v>34</v>
      </c>
      <c r="S3" s="711"/>
      <c r="T3" s="711"/>
      <c r="U3" s="711"/>
      <c r="V3" s="711"/>
      <c r="W3" s="711"/>
      <c r="X3" s="711"/>
      <c r="Y3" s="711"/>
    </row>
    <row r="4" spans="1:40" s="372" customFormat="1" ht="35.1" customHeight="1">
      <c r="A4" s="836"/>
      <c r="B4" s="361" t="s">
        <v>43</v>
      </c>
      <c r="C4" s="361" t="s">
        <v>44</v>
      </c>
      <c r="D4" s="361" t="s">
        <v>43</v>
      </c>
      <c r="E4" s="361" t="s">
        <v>44</v>
      </c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362" t="s">
        <v>50</v>
      </c>
      <c r="Q4" s="362" t="s">
        <v>51</v>
      </c>
      <c r="R4" s="836"/>
      <c r="S4" s="711" t="s">
        <v>173</v>
      </c>
      <c r="T4" s="711" t="s">
        <v>291</v>
      </c>
      <c r="U4" s="711" t="s">
        <v>174</v>
      </c>
      <c r="V4" s="711" t="s">
        <v>292</v>
      </c>
      <c r="W4" s="711" t="s">
        <v>28</v>
      </c>
      <c r="X4" s="711" t="s">
        <v>175</v>
      </c>
      <c r="Y4" s="727"/>
    </row>
    <row r="5" spans="1:40">
      <c r="A5" s="2" t="s">
        <v>77</v>
      </c>
      <c r="B5" s="16">
        <f t="shared" ref="B5:Q7" si="0">B75*0.8</f>
        <v>6457.648000000001</v>
      </c>
      <c r="C5" s="16">
        <f t="shared" si="0"/>
        <v>3265.1999999999994</v>
      </c>
      <c r="D5" s="16">
        <f t="shared" si="0"/>
        <v>1965.5119999999999</v>
      </c>
      <c r="E5" s="16">
        <f t="shared" si="0"/>
        <v>663.30400000000009</v>
      </c>
      <c r="F5" s="16">
        <f t="shared" si="0"/>
        <v>22259.712</v>
      </c>
      <c r="G5" s="16">
        <f t="shared" si="0"/>
        <v>1652.0880000000002</v>
      </c>
      <c r="H5" s="16">
        <f t="shared" si="0"/>
        <v>766.30400000000009</v>
      </c>
      <c r="I5" s="16">
        <f t="shared" si="0"/>
        <v>0</v>
      </c>
      <c r="J5" s="16">
        <f t="shared" si="0"/>
        <v>1859.664</v>
      </c>
      <c r="K5" s="16">
        <f t="shared" si="0"/>
        <v>434.76000000000005</v>
      </c>
      <c r="L5" s="16">
        <f t="shared" si="0"/>
        <v>0</v>
      </c>
      <c r="M5" s="16">
        <f t="shared" si="0"/>
        <v>0</v>
      </c>
      <c r="N5" s="16">
        <f t="shared" si="0"/>
        <v>0</v>
      </c>
      <c r="O5" s="16">
        <f t="shared" si="0"/>
        <v>0</v>
      </c>
      <c r="P5" s="1038">
        <f t="shared" si="0"/>
        <v>0</v>
      </c>
      <c r="Q5" s="1038">
        <f t="shared" si="0"/>
        <v>0</v>
      </c>
      <c r="R5" s="8">
        <f t="shared" ref="R5:R31" si="1">SUM(B5:Q5)</f>
        <v>39324.19200000001</v>
      </c>
      <c r="S5" s="370">
        <f>B5</f>
        <v>6457.648000000001</v>
      </c>
      <c r="T5" s="370">
        <f>C5</f>
        <v>3265.1999999999994</v>
      </c>
      <c r="U5" s="370">
        <f>D5</f>
        <v>1965.5119999999999</v>
      </c>
      <c r="V5" s="370">
        <f>E5</f>
        <v>663.30400000000009</v>
      </c>
      <c r="W5" s="370">
        <f>F5+G5</f>
        <v>23911.8</v>
      </c>
      <c r="X5" s="370">
        <f>SUM(H5:Q5)</f>
        <v>3060.7280000000001</v>
      </c>
      <c r="Z5" s="363"/>
      <c r="AI5" s="363"/>
      <c r="AJ5" s="363"/>
      <c r="AK5" s="363"/>
      <c r="AL5" s="363"/>
      <c r="AM5" s="363"/>
      <c r="AN5" s="363"/>
    </row>
    <row r="6" spans="1:40">
      <c r="A6" s="2" t="s">
        <v>78</v>
      </c>
      <c r="B6" s="16">
        <f t="shared" ref="B6:Q6" si="2">B76*0.8</f>
        <v>12681.928</v>
      </c>
      <c r="C6" s="16">
        <f t="shared" si="2"/>
        <v>8812.8239999999987</v>
      </c>
      <c r="D6" s="16">
        <f t="shared" si="2"/>
        <v>625.58400000000006</v>
      </c>
      <c r="E6" s="16">
        <f t="shared" si="2"/>
        <v>548.24799999999993</v>
      </c>
      <c r="F6" s="16">
        <f t="shared" si="2"/>
        <v>72257.112000000008</v>
      </c>
      <c r="G6" s="16">
        <f t="shared" si="2"/>
        <v>3130.2720000000004</v>
      </c>
      <c r="H6" s="16">
        <f t="shared" si="2"/>
        <v>2270.904</v>
      </c>
      <c r="I6" s="16">
        <f t="shared" si="2"/>
        <v>0</v>
      </c>
      <c r="J6" s="16">
        <f t="shared" si="2"/>
        <v>4284.920000000001</v>
      </c>
      <c r="K6" s="16">
        <f t="shared" si="2"/>
        <v>0</v>
      </c>
      <c r="L6" s="16">
        <f t="shared" si="2"/>
        <v>173.904</v>
      </c>
      <c r="M6" s="16">
        <f t="shared" si="2"/>
        <v>0</v>
      </c>
      <c r="N6" s="16">
        <f t="shared" si="2"/>
        <v>50.72</v>
      </c>
      <c r="O6" s="16">
        <f t="shared" si="2"/>
        <v>0</v>
      </c>
      <c r="P6" s="1038">
        <f t="shared" si="0"/>
        <v>0</v>
      </c>
      <c r="Q6" s="1038">
        <f t="shared" si="0"/>
        <v>0</v>
      </c>
      <c r="R6" s="8">
        <f t="shared" si="1"/>
        <v>104836.416</v>
      </c>
      <c r="S6" s="370">
        <f t="shared" ref="S6:V31" si="3">B6</f>
        <v>12681.928</v>
      </c>
      <c r="T6" s="370">
        <f t="shared" si="3"/>
        <v>8812.8239999999987</v>
      </c>
      <c r="U6" s="370">
        <f t="shared" si="3"/>
        <v>625.58400000000006</v>
      </c>
      <c r="V6" s="370">
        <f t="shared" si="3"/>
        <v>548.24799999999993</v>
      </c>
      <c r="W6" s="370">
        <f t="shared" ref="W6:W31" si="4">F6+G6</f>
        <v>75387.384000000005</v>
      </c>
      <c r="X6" s="370">
        <f t="shared" ref="X6:X31" si="5">SUM(H6:Q6)</f>
        <v>6780.4480000000012</v>
      </c>
      <c r="Z6" s="363"/>
      <c r="AI6" s="363"/>
      <c r="AJ6" s="363"/>
      <c r="AK6" s="363"/>
      <c r="AL6" s="363"/>
      <c r="AM6" s="363"/>
      <c r="AN6" s="363"/>
    </row>
    <row r="7" spans="1:40">
      <c r="A7" s="2" t="s">
        <v>79</v>
      </c>
      <c r="B7" s="16">
        <f t="shared" ref="B7:Q7" si="6">B77*0.8</f>
        <v>7783.1039999999994</v>
      </c>
      <c r="C7" s="16">
        <f t="shared" si="6"/>
        <v>6344.2400000000016</v>
      </c>
      <c r="D7" s="16">
        <f t="shared" si="6"/>
        <v>2832.0480000000002</v>
      </c>
      <c r="E7" s="16">
        <f t="shared" si="6"/>
        <v>779.41600000000005</v>
      </c>
      <c r="F7" s="16">
        <f t="shared" si="6"/>
        <v>35215.56</v>
      </c>
      <c r="G7" s="16">
        <f t="shared" si="6"/>
        <v>2782.4639999999999</v>
      </c>
      <c r="H7" s="16">
        <f t="shared" si="6"/>
        <v>1293.5440000000001</v>
      </c>
      <c r="I7" s="16">
        <f t="shared" si="6"/>
        <v>235.072</v>
      </c>
      <c r="J7" s="16">
        <f t="shared" si="6"/>
        <v>2950.9600000000005</v>
      </c>
      <c r="K7" s="16">
        <f t="shared" si="6"/>
        <v>434.76000000000005</v>
      </c>
      <c r="L7" s="16">
        <f t="shared" si="6"/>
        <v>0</v>
      </c>
      <c r="M7" s="16">
        <f t="shared" si="6"/>
        <v>0</v>
      </c>
      <c r="N7" s="16">
        <f t="shared" si="6"/>
        <v>25.36</v>
      </c>
      <c r="O7" s="16">
        <f t="shared" si="6"/>
        <v>0</v>
      </c>
      <c r="P7" s="1038">
        <f t="shared" si="0"/>
        <v>0</v>
      </c>
      <c r="Q7" s="1038">
        <f t="shared" si="0"/>
        <v>0</v>
      </c>
      <c r="R7" s="8">
        <f t="shared" si="1"/>
        <v>60676.528000000006</v>
      </c>
      <c r="S7" s="370">
        <f t="shared" si="3"/>
        <v>7783.1039999999994</v>
      </c>
      <c r="T7" s="370">
        <f t="shared" si="3"/>
        <v>6344.2400000000016</v>
      </c>
      <c r="U7" s="370">
        <f t="shared" si="3"/>
        <v>2832.0480000000002</v>
      </c>
      <c r="V7" s="370">
        <f t="shared" si="3"/>
        <v>779.41600000000005</v>
      </c>
      <c r="W7" s="370">
        <f t="shared" si="4"/>
        <v>37998.023999999998</v>
      </c>
      <c r="X7" s="370">
        <f t="shared" si="5"/>
        <v>4939.6960000000008</v>
      </c>
      <c r="Z7" s="363"/>
      <c r="AI7" s="363"/>
      <c r="AJ7" s="363"/>
      <c r="AK7" s="363"/>
      <c r="AL7" s="363"/>
      <c r="AM7" s="363"/>
      <c r="AN7" s="363"/>
    </row>
    <row r="8" spans="1:40">
      <c r="A8" s="2" t="s">
        <v>80</v>
      </c>
      <c r="B8" s="16">
        <f t="shared" ref="B8:Q8" si="7">B78*0.8</f>
        <v>12703.224000000002</v>
      </c>
      <c r="C8" s="16">
        <f t="shared" si="7"/>
        <v>6961.1999999999989</v>
      </c>
      <c r="D8" s="16">
        <f t="shared" si="7"/>
        <v>2031.7360000000001</v>
      </c>
      <c r="E8" s="16">
        <f t="shared" si="7"/>
        <v>670.60799999999983</v>
      </c>
      <c r="F8" s="16">
        <f t="shared" si="7"/>
        <v>56518.8</v>
      </c>
      <c r="G8" s="16">
        <f t="shared" si="7"/>
        <v>1043.424</v>
      </c>
      <c r="H8" s="16">
        <f t="shared" si="7"/>
        <v>1832.8640000000005</v>
      </c>
      <c r="I8" s="16">
        <f t="shared" si="7"/>
        <v>0</v>
      </c>
      <c r="J8" s="16">
        <f t="shared" si="7"/>
        <v>3506.5440000000003</v>
      </c>
      <c r="K8" s="16">
        <f t="shared" si="7"/>
        <v>260.85599999999999</v>
      </c>
      <c r="L8" s="16">
        <f t="shared" si="7"/>
        <v>0</v>
      </c>
      <c r="M8" s="16">
        <f t="shared" si="7"/>
        <v>634.56000000000006</v>
      </c>
      <c r="N8" s="16">
        <f t="shared" si="7"/>
        <v>50.72</v>
      </c>
      <c r="O8" s="16">
        <f t="shared" si="7"/>
        <v>0</v>
      </c>
      <c r="P8" s="1038">
        <f>P78</f>
        <v>33.85</v>
      </c>
      <c r="Q8" s="1038">
        <f>Q78</f>
        <v>338.48</v>
      </c>
      <c r="R8" s="8">
        <f t="shared" si="1"/>
        <v>86586.865999999995</v>
      </c>
      <c r="S8" s="370">
        <f t="shared" si="3"/>
        <v>12703.224000000002</v>
      </c>
      <c r="T8" s="370">
        <f t="shared" si="3"/>
        <v>6961.1999999999989</v>
      </c>
      <c r="U8" s="370">
        <f t="shared" si="3"/>
        <v>2031.7360000000001</v>
      </c>
      <c r="V8" s="370">
        <f t="shared" si="3"/>
        <v>670.60799999999983</v>
      </c>
      <c r="W8" s="370">
        <f t="shared" si="4"/>
        <v>57562.224000000002</v>
      </c>
      <c r="X8" s="370">
        <f t="shared" si="5"/>
        <v>6657.8740000000016</v>
      </c>
      <c r="Z8" s="363"/>
      <c r="AI8" s="363"/>
      <c r="AJ8" s="363"/>
      <c r="AK8" s="363"/>
      <c r="AL8" s="363"/>
      <c r="AM8" s="363"/>
      <c r="AN8" s="363"/>
    </row>
    <row r="9" spans="1:40">
      <c r="A9" s="2" t="s">
        <v>81</v>
      </c>
      <c r="B9" s="16">
        <f t="shared" ref="B9:Q21" si="8">B79*0.8</f>
        <v>59893.168000000005</v>
      </c>
      <c r="C9" s="16">
        <f t="shared" si="8"/>
        <v>23301.82399999999</v>
      </c>
      <c r="D9" s="16">
        <f t="shared" si="8"/>
        <v>9504.9120000000003</v>
      </c>
      <c r="E9" s="16">
        <f t="shared" si="8"/>
        <v>3140.2240000000006</v>
      </c>
      <c r="F9" s="16">
        <f t="shared" si="8"/>
        <v>189903.16800000001</v>
      </c>
      <c r="G9" s="16">
        <f t="shared" si="8"/>
        <v>5825.7839999999997</v>
      </c>
      <c r="H9" s="16">
        <f t="shared" si="8"/>
        <v>7231.9599999999991</v>
      </c>
      <c r="I9" s="16">
        <f t="shared" si="8"/>
        <v>0</v>
      </c>
      <c r="J9" s="16">
        <f t="shared" si="8"/>
        <v>15198.272000000001</v>
      </c>
      <c r="K9" s="16">
        <f t="shared" si="8"/>
        <v>1565.1360000000002</v>
      </c>
      <c r="L9" s="16">
        <f t="shared" si="8"/>
        <v>0</v>
      </c>
      <c r="M9" s="16">
        <f t="shared" si="8"/>
        <v>0</v>
      </c>
      <c r="N9" s="16">
        <f t="shared" si="8"/>
        <v>228.24</v>
      </c>
      <c r="O9" s="16">
        <f t="shared" si="8"/>
        <v>0</v>
      </c>
      <c r="P9" s="1038">
        <f t="shared" si="8"/>
        <v>0</v>
      </c>
      <c r="Q9" s="1038">
        <f t="shared" si="8"/>
        <v>0</v>
      </c>
      <c r="R9" s="8">
        <f t="shared" si="1"/>
        <v>315792.68799999997</v>
      </c>
      <c r="S9" s="370">
        <f t="shared" si="3"/>
        <v>59893.168000000005</v>
      </c>
      <c r="T9" s="370">
        <f t="shared" si="3"/>
        <v>23301.82399999999</v>
      </c>
      <c r="U9" s="370">
        <f t="shared" si="3"/>
        <v>9504.9120000000003</v>
      </c>
      <c r="V9" s="370">
        <f t="shared" si="3"/>
        <v>3140.2240000000006</v>
      </c>
      <c r="W9" s="370">
        <f t="shared" si="4"/>
        <v>195728.95199999999</v>
      </c>
      <c r="X9" s="370">
        <f t="shared" si="5"/>
        <v>24223.608</v>
      </c>
      <c r="Z9" s="363"/>
      <c r="AI9" s="363"/>
      <c r="AJ9" s="363"/>
      <c r="AK9" s="363"/>
      <c r="AL9" s="363"/>
      <c r="AM9" s="363"/>
      <c r="AN9" s="363"/>
    </row>
    <row r="10" spans="1:40">
      <c r="A10" s="2" t="s">
        <v>82</v>
      </c>
      <c r="B10" s="16">
        <f t="shared" ref="B10:Q10" si="9">B80*0.8</f>
        <v>45471.415999999997</v>
      </c>
      <c r="C10" s="16">
        <f t="shared" si="9"/>
        <v>38420.984000000004</v>
      </c>
      <c r="D10" s="16">
        <f t="shared" si="9"/>
        <v>4082.5120000000006</v>
      </c>
      <c r="E10" s="16">
        <f t="shared" si="9"/>
        <v>2203.4479999999999</v>
      </c>
      <c r="F10" s="16">
        <f t="shared" si="9"/>
        <v>134775.6</v>
      </c>
      <c r="G10" s="16">
        <f t="shared" si="9"/>
        <v>2695.5120000000006</v>
      </c>
      <c r="H10" s="16">
        <f t="shared" si="9"/>
        <v>8880.3200000000015</v>
      </c>
      <c r="I10" s="16">
        <f t="shared" si="9"/>
        <v>0</v>
      </c>
      <c r="J10" s="16">
        <f t="shared" si="9"/>
        <v>16440.928</v>
      </c>
      <c r="K10" s="16">
        <f t="shared" si="9"/>
        <v>521.71199999999999</v>
      </c>
      <c r="L10" s="16">
        <f t="shared" si="9"/>
        <v>0</v>
      </c>
      <c r="M10" s="16">
        <f t="shared" si="9"/>
        <v>355.06400000000002</v>
      </c>
      <c r="N10" s="16">
        <f t="shared" si="9"/>
        <v>304.32</v>
      </c>
      <c r="O10" s="16">
        <f t="shared" si="9"/>
        <v>0</v>
      </c>
      <c r="P10" s="1038">
        <f t="shared" si="8"/>
        <v>54.624000000000002</v>
      </c>
      <c r="Q10" s="1038">
        <f t="shared" si="8"/>
        <v>2019.2720000000002</v>
      </c>
      <c r="R10" s="8">
        <f t="shared" si="1"/>
        <v>256225.71200000006</v>
      </c>
      <c r="S10" s="370">
        <f t="shared" si="3"/>
        <v>45471.415999999997</v>
      </c>
      <c r="T10" s="370">
        <f t="shared" si="3"/>
        <v>38420.984000000004</v>
      </c>
      <c r="U10" s="370">
        <f t="shared" si="3"/>
        <v>4082.5120000000006</v>
      </c>
      <c r="V10" s="370">
        <f t="shared" si="3"/>
        <v>2203.4479999999999</v>
      </c>
      <c r="W10" s="370">
        <f t="shared" si="4"/>
        <v>137471.11199999999</v>
      </c>
      <c r="X10" s="370">
        <f t="shared" si="5"/>
        <v>28576.239999999998</v>
      </c>
      <c r="Z10" s="363"/>
      <c r="AI10" s="363"/>
      <c r="AJ10" s="363"/>
      <c r="AK10" s="363"/>
      <c r="AL10" s="363"/>
      <c r="AM10" s="363"/>
      <c r="AN10" s="363"/>
    </row>
    <row r="11" spans="1:40">
      <c r="A11" s="2" t="s">
        <v>83</v>
      </c>
      <c r="B11" s="16">
        <f t="shared" ref="B11:Q11" si="10">B81*0.8</f>
        <v>68259.248000000007</v>
      </c>
      <c r="C11" s="16">
        <f t="shared" si="10"/>
        <v>53768.863999999994</v>
      </c>
      <c r="D11" s="16">
        <f t="shared" si="10"/>
        <v>10434.92</v>
      </c>
      <c r="E11" s="16">
        <f t="shared" si="10"/>
        <v>5038.0720000000019</v>
      </c>
      <c r="F11" s="16">
        <f t="shared" si="10"/>
        <v>124689.16800000001</v>
      </c>
      <c r="G11" s="16">
        <f t="shared" si="10"/>
        <v>4869.3120000000008</v>
      </c>
      <c r="H11" s="16">
        <f t="shared" si="10"/>
        <v>12780.512000000001</v>
      </c>
      <c r="I11" s="16">
        <f t="shared" si="10"/>
        <v>0</v>
      </c>
      <c r="J11" s="16">
        <f t="shared" si="10"/>
        <v>25049.768</v>
      </c>
      <c r="K11" s="16">
        <f t="shared" si="10"/>
        <v>347.80799999999999</v>
      </c>
      <c r="L11" s="16">
        <f t="shared" si="10"/>
        <v>173.904</v>
      </c>
      <c r="M11" s="16">
        <f t="shared" si="10"/>
        <v>905.39200000000005</v>
      </c>
      <c r="N11" s="16">
        <f t="shared" si="10"/>
        <v>583.28000000000009</v>
      </c>
      <c r="O11" s="16">
        <f t="shared" si="10"/>
        <v>0</v>
      </c>
      <c r="P11" s="1038">
        <f t="shared" si="8"/>
        <v>0</v>
      </c>
      <c r="Q11" s="1038">
        <f t="shared" si="8"/>
        <v>0</v>
      </c>
      <c r="R11" s="8">
        <f t="shared" si="1"/>
        <v>306900.24799999996</v>
      </c>
      <c r="S11" s="370">
        <f t="shared" si="3"/>
        <v>68259.248000000007</v>
      </c>
      <c r="T11" s="370">
        <f t="shared" si="3"/>
        <v>53768.863999999994</v>
      </c>
      <c r="U11" s="370">
        <f t="shared" si="3"/>
        <v>10434.92</v>
      </c>
      <c r="V11" s="370">
        <f t="shared" si="3"/>
        <v>5038.0720000000019</v>
      </c>
      <c r="W11" s="370">
        <f t="shared" si="4"/>
        <v>129558.48000000001</v>
      </c>
      <c r="X11" s="370">
        <f t="shared" si="5"/>
        <v>39840.663999999997</v>
      </c>
      <c r="Z11" s="363"/>
      <c r="AI11" s="363"/>
      <c r="AJ11" s="363"/>
      <c r="AK11" s="363"/>
      <c r="AL11" s="363"/>
      <c r="AM11" s="363"/>
      <c r="AN11" s="363"/>
    </row>
    <row r="12" spans="1:40">
      <c r="A12" s="2" t="s">
        <v>84</v>
      </c>
      <c r="B12" s="16">
        <f t="shared" ref="B12:Q12" si="11">B82*0.8</f>
        <v>53644.296000000002</v>
      </c>
      <c r="C12" s="16">
        <f t="shared" si="11"/>
        <v>16443.856000000007</v>
      </c>
      <c r="D12" s="16">
        <f t="shared" si="11"/>
        <v>5577.3760000000002</v>
      </c>
      <c r="E12" s="16">
        <f t="shared" si="11"/>
        <v>2398.96</v>
      </c>
      <c r="F12" s="16">
        <f t="shared" si="11"/>
        <v>136862.448</v>
      </c>
      <c r="G12" s="16">
        <f t="shared" si="11"/>
        <v>2956.3680000000004</v>
      </c>
      <c r="H12" s="16">
        <f t="shared" si="11"/>
        <v>5326.2479999999996</v>
      </c>
      <c r="I12" s="16">
        <f t="shared" si="11"/>
        <v>289.84800000000001</v>
      </c>
      <c r="J12" s="16">
        <f t="shared" si="11"/>
        <v>13328.592000000002</v>
      </c>
      <c r="K12" s="16">
        <f t="shared" si="11"/>
        <v>434.76000000000005</v>
      </c>
      <c r="L12" s="16">
        <f t="shared" si="11"/>
        <v>173.904</v>
      </c>
      <c r="M12" s="16">
        <f t="shared" si="11"/>
        <v>0</v>
      </c>
      <c r="N12" s="16">
        <f t="shared" si="11"/>
        <v>278.95999999999998</v>
      </c>
      <c r="O12" s="16">
        <f t="shared" si="11"/>
        <v>0</v>
      </c>
      <c r="P12" s="1038">
        <f t="shared" si="8"/>
        <v>0</v>
      </c>
      <c r="Q12" s="1038">
        <f t="shared" si="8"/>
        <v>0</v>
      </c>
      <c r="R12" s="8">
        <f t="shared" si="1"/>
        <v>237715.61600000001</v>
      </c>
      <c r="S12" s="370">
        <f t="shared" si="3"/>
        <v>53644.296000000002</v>
      </c>
      <c r="T12" s="370">
        <f t="shared" si="3"/>
        <v>16443.856000000007</v>
      </c>
      <c r="U12" s="370">
        <f t="shared" si="3"/>
        <v>5577.3760000000002</v>
      </c>
      <c r="V12" s="370">
        <f t="shared" si="3"/>
        <v>2398.96</v>
      </c>
      <c r="W12" s="370">
        <f t="shared" si="4"/>
        <v>139818.81599999999</v>
      </c>
      <c r="X12" s="370">
        <f t="shared" si="5"/>
        <v>19832.311999999998</v>
      </c>
      <c r="Z12" s="363"/>
      <c r="AI12" s="363"/>
      <c r="AJ12" s="363"/>
      <c r="AK12" s="363"/>
      <c r="AL12" s="363"/>
      <c r="AM12" s="363"/>
      <c r="AN12" s="363"/>
    </row>
    <row r="13" spans="1:40">
      <c r="A13" s="2" t="s">
        <v>85</v>
      </c>
      <c r="B13" s="16">
        <f t="shared" ref="B13:Q13" si="12">B83*0.8</f>
        <v>56676.135999999999</v>
      </c>
      <c r="C13" s="16">
        <f t="shared" si="12"/>
        <v>57500.592000000004</v>
      </c>
      <c r="D13" s="16">
        <f t="shared" si="12"/>
        <v>6610.8960000000006</v>
      </c>
      <c r="E13" s="16">
        <f t="shared" si="12"/>
        <v>4882.6879999999992</v>
      </c>
      <c r="F13" s="16">
        <f t="shared" si="12"/>
        <v>240422.28</v>
      </c>
      <c r="G13" s="16">
        <f t="shared" si="12"/>
        <v>4869.3119999999999</v>
      </c>
      <c r="H13" s="16">
        <f t="shared" si="12"/>
        <v>13724.992000000002</v>
      </c>
      <c r="I13" s="16">
        <f t="shared" si="12"/>
        <v>1036.3280000000002</v>
      </c>
      <c r="J13" s="16">
        <f t="shared" si="12"/>
        <v>20444.768000000004</v>
      </c>
      <c r="K13" s="16">
        <f t="shared" si="12"/>
        <v>608.6640000000001</v>
      </c>
      <c r="L13" s="16">
        <f t="shared" si="12"/>
        <v>0</v>
      </c>
      <c r="M13" s="16">
        <f t="shared" si="12"/>
        <v>0</v>
      </c>
      <c r="N13" s="16">
        <f t="shared" si="12"/>
        <v>253.60000000000002</v>
      </c>
      <c r="O13" s="16">
        <f t="shared" si="12"/>
        <v>0</v>
      </c>
      <c r="P13" s="1038">
        <f t="shared" si="8"/>
        <v>0</v>
      </c>
      <c r="Q13" s="1038">
        <f t="shared" si="8"/>
        <v>0</v>
      </c>
      <c r="R13" s="8">
        <f t="shared" si="1"/>
        <v>407030.25599999994</v>
      </c>
      <c r="S13" s="370">
        <f t="shared" si="3"/>
        <v>56676.135999999999</v>
      </c>
      <c r="T13" s="370">
        <f t="shared" si="3"/>
        <v>57500.592000000004</v>
      </c>
      <c r="U13" s="370">
        <f t="shared" si="3"/>
        <v>6610.8960000000006</v>
      </c>
      <c r="V13" s="370">
        <f t="shared" si="3"/>
        <v>4882.6879999999992</v>
      </c>
      <c r="W13" s="370">
        <f t="shared" si="4"/>
        <v>245291.592</v>
      </c>
      <c r="X13" s="370">
        <f t="shared" si="5"/>
        <v>36068.351999999999</v>
      </c>
      <c r="Z13" s="363"/>
      <c r="AI13" s="363"/>
      <c r="AJ13" s="363"/>
      <c r="AK13" s="363"/>
      <c r="AL13" s="363"/>
      <c r="AM13" s="363"/>
      <c r="AN13" s="363"/>
    </row>
    <row r="14" spans="1:40">
      <c r="A14" s="2" t="s">
        <v>86</v>
      </c>
      <c r="B14" s="16">
        <f t="shared" ref="B14:Q14" si="13">B84*0.8</f>
        <v>14099.744000000001</v>
      </c>
      <c r="C14" s="16">
        <f t="shared" si="13"/>
        <v>6775.2720000000008</v>
      </c>
      <c r="D14" s="16">
        <f t="shared" si="13"/>
        <v>1743.616</v>
      </c>
      <c r="E14" s="16">
        <f t="shared" si="13"/>
        <v>1217.0880000000002</v>
      </c>
      <c r="F14" s="16">
        <f t="shared" si="13"/>
        <v>58257.840000000004</v>
      </c>
      <c r="G14" s="16">
        <f t="shared" si="13"/>
        <v>2434.6560000000004</v>
      </c>
      <c r="H14" s="16">
        <f t="shared" si="13"/>
        <v>1820.7919999999999</v>
      </c>
      <c r="I14" s="16">
        <f t="shared" si="13"/>
        <v>1275.3200000000002</v>
      </c>
      <c r="J14" s="16">
        <f t="shared" si="13"/>
        <v>4161.3680000000004</v>
      </c>
      <c r="K14" s="16">
        <f t="shared" si="13"/>
        <v>521.71199999999999</v>
      </c>
      <c r="L14" s="16">
        <f t="shared" si="13"/>
        <v>0</v>
      </c>
      <c r="M14" s="16">
        <f t="shared" si="13"/>
        <v>0</v>
      </c>
      <c r="N14" s="16">
        <f t="shared" si="13"/>
        <v>50.72</v>
      </c>
      <c r="O14" s="16">
        <f t="shared" si="13"/>
        <v>0</v>
      </c>
      <c r="P14" s="1038">
        <f t="shared" si="8"/>
        <v>0</v>
      </c>
      <c r="Q14" s="1038">
        <f t="shared" si="8"/>
        <v>0</v>
      </c>
      <c r="R14" s="8">
        <f t="shared" si="1"/>
        <v>92358.128000000026</v>
      </c>
      <c r="S14" s="370">
        <f t="shared" si="3"/>
        <v>14099.744000000001</v>
      </c>
      <c r="T14" s="370">
        <f t="shared" si="3"/>
        <v>6775.2720000000008</v>
      </c>
      <c r="U14" s="370">
        <f t="shared" si="3"/>
        <v>1743.616</v>
      </c>
      <c r="V14" s="370">
        <f t="shared" si="3"/>
        <v>1217.0880000000002</v>
      </c>
      <c r="W14" s="370">
        <f t="shared" si="4"/>
        <v>60692.496000000006</v>
      </c>
      <c r="X14" s="370">
        <f t="shared" si="5"/>
        <v>7829.9120000000012</v>
      </c>
      <c r="Z14" s="363"/>
      <c r="AI14" s="363"/>
      <c r="AJ14" s="363"/>
      <c r="AK14" s="363"/>
      <c r="AL14" s="363"/>
      <c r="AM14" s="363"/>
      <c r="AN14" s="363"/>
    </row>
    <row r="15" spans="1:40">
      <c r="A15" s="2" t="s">
        <v>87</v>
      </c>
      <c r="B15" s="16">
        <f t="shared" ref="B15:Q15" si="14">B85*0.8</f>
        <v>26066.464000000004</v>
      </c>
      <c r="C15" s="16">
        <f t="shared" si="14"/>
        <v>13386.864000000001</v>
      </c>
      <c r="D15" s="16">
        <f t="shared" si="14"/>
        <v>17485.760000000002</v>
      </c>
      <c r="E15" s="16">
        <f t="shared" si="14"/>
        <v>1725.6159999999975</v>
      </c>
      <c r="F15" s="16">
        <f t="shared" si="14"/>
        <v>247030.63199999998</v>
      </c>
      <c r="G15" s="16">
        <f t="shared" si="14"/>
        <v>3391.1280000000002</v>
      </c>
      <c r="H15" s="16">
        <f t="shared" si="14"/>
        <v>4483.8879999999999</v>
      </c>
      <c r="I15" s="16">
        <f t="shared" si="14"/>
        <v>1652.8400000000001</v>
      </c>
      <c r="J15" s="16">
        <f t="shared" si="14"/>
        <v>7440.6159999999991</v>
      </c>
      <c r="K15" s="16">
        <f t="shared" si="14"/>
        <v>434.76000000000005</v>
      </c>
      <c r="L15" s="16">
        <f t="shared" si="14"/>
        <v>0</v>
      </c>
      <c r="M15" s="16">
        <f t="shared" si="14"/>
        <v>0</v>
      </c>
      <c r="N15" s="16">
        <f t="shared" si="14"/>
        <v>0</v>
      </c>
      <c r="O15" s="16">
        <f t="shared" si="14"/>
        <v>42.264000000000003</v>
      </c>
      <c r="P15" s="1038">
        <f t="shared" si="8"/>
        <v>0</v>
      </c>
      <c r="Q15" s="1038">
        <f t="shared" si="8"/>
        <v>0</v>
      </c>
      <c r="R15" s="8">
        <f t="shared" si="1"/>
        <v>323140.83200000005</v>
      </c>
      <c r="S15" s="370">
        <f t="shared" si="3"/>
        <v>26066.464000000004</v>
      </c>
      <c r="T15" s="370">
        <f t="shared" si="3"/>
        <v>13386.864000000001</v>
      </c>
      <c r="U15" s="370">
        <f t="shared" si="3"/>
        <v>17485.760000000002</v>
      </c>
      <c r="V15" s="370">
        <f t="shared" si="3"/>
        <v>1725.6159999999975</v>
      </c>
      <c r="W15" s="370">
        <f t="shared" si="4"/>
        <v>250421.75999999998</v>
      </c>
      <c r="X15" s="370">
        <f t="shared" si="5"/>
        <v>14054.367999999999</v>
      </c>
      <c r="Z15" s="363"/>
      <c r="AI15" s="363"/>
      <c r="AJ15" s="363"/>
      <c r="AK15" s="363"/>
      <c r="AL15" s="363"/>
      <c r="AM15" s="363"/>
      <c r="AN15" s="363"/>
    </row>
    <row r="16" spans="1:40">
      <c r="A16" s="2" t="s">
        <v>88</v>
      </c>
      <c r="B16" s="16">
        <f t="shared" ref="B16:Q16" si="15">B86*0.8</f>
        <v>19466.664000000001</v>
      </c>
      <c r="C16" s="16">
        <f t="shared" si="15"/>
        <v>17887.271999999997</v>
      </c>
      <c r="D16" s="16">
        <f t="shared" si="15"/>
        <v>8090.3520000000008</v>
      </c>
      <c r="E16" s="16">
        <f t="shared" si="15"/>
        <v>9450.9760000000006</v>
      </c>
      <c r="F16" s="16">
        <f t="shared" si="15"/>
        <v>157122.264</v>
      </c>
      <c r="G16" s="16">
        <f t="shared" si="15"/>
        <v>2695.5120000000002</v>
      </c>
      <c r="H16" s="16">
        <f t="shared" si="15"/>
        <v>13183.592000000002</v>
      </c>
      <c r="I16" s="16">
        <f t="shared" si="15"/>
        <v>8721.4240000000009</v>
      </c>
      <c r="J16" s="16">
        <f t="shared" si="15"/>
        <v>8357.76</v>
      </c>
      <c r="K16" s="16">
        <f t="shared" si="15"/>
        <v>695.61599999999999</v>
      </c>
      <c r="L16" s="16">
        <f t="shared" si="15"/>
        <v>0</v>
      </c>
      <c r="M16" s="16">
        <f t="shared" si="15"/>
        <v>0</v>
      </c>
      <c r="N16" s="16">
        <f t="shared" si="15"/>
        <v>50.72</v>
      </c>
      <c r="O16" s="16">
        <f t="shared" si="15"/>
        <v>0</v>
      </c>
      <c r="P16" s="1038">
        <f t="shared" si="8"/>
        <v>60.415999999999997</v>
      </c>
      <c r="Q16" s="1038">
        <f t="shared" si="8"/>
        <v>0</v>
      </c>
      <c r="R16" s="8">
        <f t="shared" si="1"/>
        <v>245782.568</v>
      </c>
      <c r="S16" s="370">
        <f t="shared" si="3"/>
        <v>19466.664000000001</v>
      </c>
      <c r="T16" s="370">
        <f t="shared" si="3"/>
        <v>17887.271999999997</v>
      </c>
      <c r="U16" s="370">
        <f t="shared" si="3"/>
        <v>8090.3520000000008</v>
      </c>
      <c r="V16" s="370">
        <f t="shared" si="3"/>
        <v>9450.9760000000006</v>
      </c>
      <c r="W16" s="370">
        <f t="shared" si="4"/>
        <v>159817.77599999998</v>
      </c>
      <c r="X16" s="370">
        <f t="shared" si="5"/>
        <v>31069.528000000009</v>
      </c>
      <c r="Z16" s="363"/>
      <c r="AI16" s="363"/>
      <c r="AJ16" s="363"/>
      <c r="AK16" s="363"/>
      <c r="AL16" s="363"/>
      <c r="AM16" s="363"/>
      <c r="AN16" s="363"/>
    </row>
    <row r="17" spans="1:40">
      <c r="A17" s="2" t="s">
        <v>89</v>
      </c>
      <c r="B17" s="16">
        <f t="shared" ref="B17:Q17" si="16">B87*0.8</f>
        <v>91939.343999999997</v>
      </c>
      <c r="C17" s="16">
        <f t="shared" si="16"/>
        <v>59657.088000000018</v>
      </c>
      <c r="D17" s="16">
        <f t="shared" si="16"/>
        <v>21143.504000000001</v>
      </c>
      <c r="E17" s="16">
        <f t="shared" si="16"/>
        <v>12731.887999999999</v>
      </c>
      <c r="F17" s="16">
        <f t="shared" si="16"/>
        <v>483627.02400000003</v>
      </c>
      <c r="G17" s="16">
        <f t="shared" si="16"/>
        <v>13042.800000000001</v>
      </c>
      <c r="H17" s="16">
        <f t="shared" si="16"/>
        <v>18513.560000000001</v>
      </c>
      <c r="I17" s="16">
        <f t="shared" si="16"/>
        <v>782.5680000000001</v>
      </c>
      <c r="J17" s="16">
        <f t="shared" si="16"/>
        <v>30669.592000000004</v>
      </c>
      <c r="K17" s="16">
        <f t="shared" si="16"/>
        <v>1565.1360000000002</v>
      </c>
      <c r="L17" s="16">
        <f t="shared" si="16"/>
        <v>173.904</v>
      </c>
      <c r="M17" s="16">
        <f t="shared" si="16"/>
        <v>0</v>
      </c>
      <c r="N17" s="16">
        <f t="shared" si="16"/>
        <v>608.64</v>
      </c>
      <c r="O17" s="16">
        <f t="shared" si="16"/>
        <v>0</v>
      </c>
      <c r="P17" s="1038">
        <f t="shared" si="8"/>
        <v>0</v>
      </c>
      <c r="Q17" s="1038">
        <f t="shared" si="8"/>
        <v>0</v>
      </c>
      <c r="R17" s="8">
        <f t="shared" si="1"/>
        <v>734455.0480000003</v>
      </c>
      <c r="S17" s="370">
        <f t="shared" si="3"/>
        <v>91939.343999999997</v>
      </c>
      <c r="T17" s="370">
        <f t="shared" si="3"/>
        <v>59657.088000000018</v>
      </c>
      <c r="U17" s="370">
        <f t="shared" si="3"/>
        <v>21143.504000000001</v>
      </c>
      <c r="V17" s="370">
        <f t="shared" si="3"/>
        <v>12731.887999999999</v>
      </c>
      <c r="W17" s="370">
        <f t="shared" si="4"/>
        <v>496669.82400000002</v>
      </c>
      <c r="X17" s="370">
        <f t="shared" si="5"/>
        <v>52313.4</v>
      </c>
      <c r="Z17" s="363"/>
      <c r="AI17" s="363"/>
      <c r="AJ17" s="363"/>
      <c r="AK17" s="363"/>
      <c r="AL17" s="363"/>
      <c r="AM17" s="363"/>
      <c r="AN17" s="363"/>
    </row>
    <row r="18" spans="1:40">
      <c r="A18" s="2" t="s">
        <v>90</v>
      </c>
      <c r="B18" s="16">
        <f t="shared" ref="B18:Q18" si="17">B88*0.8</f>
        <v>19142.768</v>
      </c>
      <c r="C18" s="16">
        <f t="shared" si="17"/>
        <v>12787.616000000004</v>
      </c>
      <c r="D18" s="16">
        <f t="shared" si="17"/>
        <v>5228.1760000000004</v>
      </c>
      <c r="E18" s="16">
        <f t="shared" si="17"/>
        <v>743.00799999999947</v>
      </c>
      <c r="F18" s="16">
        <f t="shared" si="17"/>
        <v>82604.400000000009</v>
      </c>
      <c r="G18" s="16">
        <f t="shared" si="17"/>
        <v>5130.1679999999997</v>
      </c>
      <c r="H18" s="16">
        <f t="shared" si="17"/>
        <v>3462.6880000000006</v>
      </c>
      <c r="I18" s="16">
        <f t="shared" si="17"/>
        <v>0</v>
      </c>
      <c r="J18" s="16">
        <f t="shared" si="17"/>
        <v>6299.0320000000002</v>
      </c>
      <c r="K18" s="16">
        <f t="shared" si="17"/>
        <v>173.904</v>
      </c>
      <c r="L18" s="16">
        <f t="shared" si="17"/>
        <v>0</v>
      </c>
      <c r="M18" s="16">
        <f t="shared" si="17"/>
        <v>0</v>
      </c>
      <c r="N18" s="16">
        <f t="shared" si="17"/>
        <v>76.08</v>
      </c>
      <c r="O18" s="16">
        <f t="shared" si="17"/>
        <v>0</v>
      </c>
      <c r="P18" s="1038">
        <f t="shared" si="8"/>
        <v>0</v>
      </c>
      <c r="Q18" s="1038">
        <f t="shared" si="8"/>
        <v>0</v>
      </c>
      <c r="R18" s="8">
        <f t="shared" si="1"/>
        <v>135647.84000000003</v>
      </c>
      <c r="S18" s="370">
        <f t="shared" si="3"/>
        <v>19142.768</v>
      </c>
      <c r="T18" s="370">
        <f t="shared" si="3"/>
        <v>12787.616000000004</v>
      </c>
      <c r="U18" s="370">
        <f t="shared" si="3"/>
        <v>5228.1760000000004</v>
      </c>
      <c r="V18" s="370">
        <f t="shared" si="3"/>
        <v>743.00799999999947</v>
      </c>
      <c r="W18" s="370">
        <f t="shared" si="4"/>
        <v>87734.568000000014</v>
      </c>
      <c r="X18" s="370">
        <f t="shared" si="5"/>
        <v>10011.704000000002</v>
      </c>
      <c r="Z18" s="363"/>
      <c r="AI18" s="363"/>
      <c r="AJ18" s="363"/>
      <c r="AK18" s="363"/>
      <c r="AL18" s="363"/>
      <c r="AM18" s="363"/>
      <c r="AN18" s="363"/>
    </row>
    <row r="19" spans="1:40">
      <c r="A19" s="2" t="s">
        <v>91</v>
      </c>
      <c r="B19" s="16">
        <f t="shared" ref="B19:Q19" si="18">B89*0.8</f>
        <v>36470.103999999999</v>
      </c>
      <c r="C19" s="16">
        <f t="shared" si="18"/>
        <v>25361.056</v>
      </c>
      <c r="D19" s="16">
        <f t="shared" si="18"/>
        <v>5721.8720000000003</v>
      </c>
      <c r="E19" s="16">
        <f t="shared" si="18"/>
        <v>5996.3600000000006</v>
      </c>
      <c r="F19" s="16">
        <f t="shared" si="18"/>
        <v>95386.343999999997</v>
      </c>
      <c r="G19" s="16">
        <f t="shared" si="18"/>
        <v>1999.896</v>
      </c>
      <c r="H19" s="16">
        <f t="shared" si="18"/>
        <v>6702.2080000000005</v>
      </c>
      <c r="I19" s="16">
        <f t="shared" si="18"/>
        <v>0</v>
      </c>
      <c r="J19" s="16">
        <f t="shared" si="18"/>
        <v>12857.464</v>
      </c>
      <c r="K19" s="16">
        <f t="shared" si="18"/>
        <v>260.85599999999999</v>
      </c>
      <c r="L19" s="16">
        <f t="shared" si="18"/>
        <v>173.904</v>
      </c>
      <c r="M19" s="16">
        <f t="shared" si="18"/>
        <v>0</v>
      </c>
      <c r="N19" s="16">
        <f t="shared" si="18"/>
        <v>76.08</v>
      </c>
      <c r="O19" s="16">
        <f t="shared" si="18"/>
        <v>0</v>
      </c>
      <c r="P19" s="1038">
        <f t="shared" si="8"/>
        <v>27.488</v>
      </c>
      <c r="Q19" s="1038">
        <f t="shared" si="8"/>
        <v>583.99200000000008</v>
      </c>
      <c r="R19" s="8">
        <f t="shared" si="1"/>
        <v>191617.62400000004</v>
      </c>
      <c r="S19" s="370">
        <f t="shared" si="3"/>
        <v>36470.103999999999</v>
      </c>
      <c r="T19" s="370">
        <f t="shared" si="3"/>
        <v>25361.056</v>
      </c>
      <c r="U19" s="370">
        <f t="shared" si="3"/>
        <v>5721.8720000000003</v>
      </c>
      <c r="V19" s="370">
        <f t="shared" si="3"/>
        <v>5996.3600000000006</v>
      </c>
      <c r="W19" s="370">
        <f t="shared" si="4"/>
        <v>97386.239999999991</v>
      </c>
      <c r="X19" s="370">
        <f t="shared" si="5"/>
        <v>20681.991999999998</v>
      </c>
      <c r="Z19" s="363"/>
      <c r="AI19" s="363"/>
      <c r="AJ19" s="363"/>
      <c r="AK19" s="363"/>
      <c r="AL19" s="363"/>
      <c r="AM19" s="363"/>
      <c r="AN19" s="363"/>
    </row>
    <row r="20" spans="1:40">
      <c r="A20" s="2" t="s">
        <v>92</v>
      </c>
      <c r="B20" s="16">
        <f t="shared" ref="B20:Q20" si="19">B90*0.8</f>
        <v>82921.664000000004</v>
      </c>
      <c r="C20" s="16">
        <f t="shared" si="19"/>
        <v>37285.496000000006</v>
      </c>
      <c r="D20" s="16">
        <f t="shared" si="19"/>
        <v>37486.991999999998</v>
      </c>
      <c r="E20" s="16">
        <f t="shared" si="19"/>
        <v>12346.936000000005</v>
      </c>
      <c r="F20" s="16">
        <f t="shared" si="19"/>
        <v>544145.61600000004</v>
      </c>
      <c r="G20" s="16">
        <f t="shared" si="19"/>
        <v>6956.1600000000008</v>
      </c>
      <c r="H20" s="16">
        <f t="shared" si="19"/>
        <v>12329.12</v>
      </c>
      <c r="I20" s="16">
        <f t="shared" si="19"/>
        <v>7695.3040000000001</v>
      </c>
      <c r="J20" s="16">
        <f t="shared" si="19"/>
        <v>24440.832000000002</v>
      </c>
      <c r="K20" s="16">
        <f t="shared" si="19"/>
        <v>2434.6560000000004</v>
      </c>
      <c r="L20" s="16">
        <f t="shared" si="19"/>
        <v>347.80799999999999</v>
      </c>
      <c r="M20" s="16">
        <f t="shared" si="19"/>
        <v>0</v>
      </c>
      <c r="N20" s="16">
        <f t="shared" si="19"/>
        <v>304.32</v>
      </c>
      <c r="O20" s="16">
        <f t="shared" si="19"/>
        <v>0</v>
      </c>
      <c r="P20" s="1038">
        <f t="shared" si="8"/>
        <v>0</v>
      </c>
      <c r="Q20" s="1038">
        <f t="shared" si="8"/>
        <v>0</v>
      </c>
      <c r="R20" s="8">
        <f t="shared" si="1"/>
        <v>768694.90399999998</v>
      </c>
      <c r="S20" s="370">
        <f t="shared" si="3"/>
        <v>82921.664000000004</v>
      </c>
      <c r="T20" s="370">
        <f t="shared" si="3"/>
        <v>37285.496000000006</v>
      </c>
      <c r="U20" s="370">
        <f t="shared" si="3"/>
        <v>37486.991999999998</v>
      </c>
      <c r="V20" s="370">
        <f t="shared" si="3"/>
        <v>12346.936000000005</v>
      </c>
      <c r="W20" s="370">
        <f t="shared" si="4"/>
        <v>551101.77600000007</v>
      </c>
      <c r="X20" s="370">
        <f t="shared" si="5"/>
        <v>47552.04</v>
      </c>
      <c r="Z20" s="363"/>
      <c r="AI20" s="363"/>
      <c r="AJ20" s="363"/>
      <c r="AK20" s="363"/>
      <c r="AL20" s="363"/>
      <c r="AM20" s="363"/>
      <c r="AN20" s="363"/>
    </row>
    <row r="21" spans="1:40">
      <c r="A21" s="2" t="s">
        <v>93</v>
      </c>
      <c r="B21" s="16">
        <f t="shared" ref="B21:Q21" si="20">B91*0.8</f>
        <v>40429.815999999999</v>
      </c>
      <c r="C21" s="16">
        <f t="shared" si="20"/>
        <v>24480.936000000005</v>
      </c>
      <c r="D21" s="16">
        <f t="shared" si="20"/>
        <v>6709.4880000000012</v>
      </c>
      <c r="E21" s="16">
        <f t="shared" si="20"/>
        <v>1967.976000000001</v>
      </c>
      <c r="F21" s="16">
        <f t="shared" si="20"/>
        <v>163208.90400000001</v>
      </c>
      <c r="G21" s="16">
        <f t="shared" si="20"/>
        <v>7999.5839999999998</v>
      </c>
      <c r="H21" s="16">
        <f t="shared" si="20"/>
        <v>6129.0720000000001</v>
      </c>
      <c r="I21" s="16">
        <f t="shared" si="20"/>
        <v>1144.8720000000001</v>
      </c>
      <c r="J21" s="16">
        <f t="shared" si="20"/>
        <v>12082.288</v>
      </c>
      <c r="K21" s="16">
        <f t="shared" si="20"/>
        <v>173.904</v>
      </c>
      <c r="L21" s="16">
        <f t="shared" si="20"/>
        <v>173.904</v>
      </c>
      <c r="M21" s="16">
        <f t="shared" si="20"/>
        <v>0</v>
      </c>
      <c r="N21" s="16">
        <f t="shared" si="20"/>
        <v>202.88</v>
      </c>
      <c r="O21" s="16">
        <f t="shared" si="20"/>
        <v>0</v>
      </c>
      <c r="P21" s="1038">
        <f t="shared" si="8"/>
        <v>0</v>
      </c>
      <c r="Q21" s="1038">
        <f t="shared" si="8"/>
        <v>0</v>
      </c>
      <c r="R21" s="8">
        <f t="shared" si="1"/>
        <v>264703.62399999995</v>
      </c>
      <c r="S21" s="370">
        <f t="shared" si="3"/>
        <v>40429.815999999999</v>
      </c>
      <c r="T21" s="370">
        <f t="shared" si="3"/>
        <v>24480.936000000005</v>
      </c>
      <c r="U21" s="370">
        <f t="shared" si="3"/>
        <v>6709.4880000000012</v>
      </c>
      <c r="V21" s="370">
        <f t="shared" si="3"/>
        <v>1967.976000000001</v>
      </c>
      <c r="W21" s="370">
        <f t="shared" si="4"/>
        <v>171208.48800000001</v>
      </c>
      <c r="X21" s="370">
        <f t="shared" si="5"/>
        <v>19906.919999999998</v>
      </c>
      <c r="Z21" s="363"/>
      <c r="AI21" s="363"/>
      <c r="AJ21" s="363"/>
      <c r="AK21" s="363"/>
      <c r="AL21" s="363"/>
      <c r="AM21" s="363"/>
      <c r="AN21" s="363"/>
    </row>
    <row r="22" spans="1:40">
      <c r="A22" s="2" t="s">
        <v>94</v>
      </c>
      <c r="B22" s="16">
        <f t="shared" ref="B22:Q22" si="21">B92*0.8</f>
        <v>12298.232000000002</v>
      </c>
      <c r="C22" s="16">
        <f t="shared" si="21"/>
        <v>4252.7440000000006</v>
      </c>
      <c r="D22" s="16">
        <f t="shared" si="21"/>
        <v>3753.52</v>
      </c>
      <c r="E22" s="16">
        <f t="shared" si="21"/>
        <v>835.86400000000003</v>
      </c>
      <c r="F22" s="16">
        <f t="shared" si="21"/>
        <v>40519.632000000005</v>
      </c>
      <c r="G22" s="16">
        <f t="shared" si="21"/>
        <v>1304.28</v>
      </c>
      <c r="H22" s="16">
        <f t="shared" si="21"/>
        <v>1015.3360000000001</v>
      </c>
      <c r="I22" s="16">
        <f t="shared" si="21"/>
        <v>0</v>
      </c>
      <c r="J22" s="16">
        <f t="shared" si="21"/>
        <v>2979.1440000000002</v>
      </c>
      <c r="K22" s="16">
        <f t="shared" si="21"/>
        <v>347.80799999999999</v>
      </c>
      <c r="L22" s="16">
        <f t="shared" si="21"/>
        <v>0</v>
      </c>
      <c r="M22" s="16">
        <f t="shared" si="21"/>
        <v>0</v>
      </c>
      <c r="N22" s="16">
        <f t="shared" si="21"/>
        <v>0</v>
      </c>
      <c r="O22" s="16">
        <f t="shared" si="21"/>
        <v>0</v>
      </c>
      <c r="P22" s="1038">
        <f>P92</f>
        <v>0</v>
      </c>
      <c r="Q22" s="1038">
        <f>Q92</f>
        <v>0</v>
      </c>
      <c r="R22" s="8">
        <f t="shared" si="1"/>
        <v>67306.560000000012</v>
      </c>
      <c r="S22" s="370">
        <f t="shared" si="3"/>
        <v>12298.232000000002</v>
      </c>
      <c r="T22" s="370">
        <f t="shared" si="3"/>
        <v>4252.7440000000006</v>
      </c>
      <c r="U22" s="370">
        <f t="shared" si="3"/>
        <v>3753.52</v>
      </c>
      <c r="V22" s="370">
        <f t="shared" si="3"/>
        <v>835.86400000000003</v>
      </c>
      <c r="W22" s="370">
        <f t="shared" si="4"/>
        <v>41823.912000000004</v>
      </c>
      <c r="X22" s="370">
        <f t="shared" si="5"/>
        <v>4342.2880000000005</v>
      </c>
      <c r="Z22" s="363"/>
      <c r="AI22" s="363"/>
      <c r="AJ22" s="363"/>
      <c r="AK22" s="363"/>
      <c r="AL22" s="363"/>
      <c r="AM22" s="363"/>
      <c r="AN22" s="363"/>
    </row>
    <row r="23" spans="1:40">
      <c r="A23" s="2" t="s">
        <v>95</v>
      </c>
      <c r="B23" s="16">
        <f t="shared" ref="B23:Q25" si="22">B93*0.8</f>
        <v>142814.704</v>
      </c>
      <c r="C23" s="16">
        <f t="shared" si="22"/>
        <v>56911.304000000004</v>
      </c>
      <c r="D23" s="16">
        <f t="shared" si="22"/>
        <v>37508.184000000001</v>
      </c>
      <c r="E23" s="16">
        <f t="shared" si="22"/>
        <v>9473.5200000000023</v>
      </c>
      <c r="F23" s="16">
        <f t="shared" si="22"/>
        <v>505451.97600000002</v>
      </c>
      <c r="G23" s="16">
        <f t="shared" si="22"/>
        <v>13912.32</v>
      </c>
      <c r="H23" s="16">
        <f t="shared" si="22"/>
        <v>16594.503999999997</v>
      </c>
      <c r="I23" s="16">
        <f t="shared" si="22"/>
        <v>235.08000000000004</v>
      </c>
      <c r="J23" s="16">
        <f t="shared" si="22"/>
        <v>39602.36</v>
      </c>
      <c r="K23" s="16">
        <f t="shared" si="22"/>
        <v>2260.752</v>
      </c>
      <c r="L23" s="16">
        <f t="shared" si="22"/>
        <v>173.904</v>
      </c>
      <c r="M23" s="16">
        <f t="shared" si="22"/>
        <v>0</v>
      </c>
      <c r="N23" s="16">
        <f t="shared" si="22"/>
        <v>710.08</v>
      </c>
      <c r="O23" s="16">
        <f t="shared" si="22"/>
        <v>0</v>
      </c>
      <c r="P23" s="1038">
        <f t="shared" si="22"/>
        <v>0</v>
      </c>
      <c r="Q23" s="1038">
        <f t="shared" si="22"/>
        <v>0</v>
      </c>
      <c r="R23" s="8">
        <f t="shared" si="1"/>
        <v>825648.68799999985</v>
      </c>
      <c r="S23" s="370">
        <f t="shared" si="3"/>
        <v>142814.704</v>
      </c>
      <c r="T23" s="370">
        <f t="shared" si="3"/>
        <v>56911.304000000004</v>
      </c>
      <c r="U23" s="370">
        <f t="shared" si="3"/>
        <v>37508.184000000001</v>
      </c>
      <c r="V23" s="370">
        <f t="shared" si="3"/>
        <v>9473.5200000000023</v>
      </c>
      <c r="W23" s="370">
        <f t="shared" si="4"/>
        <v>519364.29600000003</v>
      </c>
      <c r="X23" s="370">
        <f t="shared" si="5"/>
        <v>59576.680000000008</v>
      </c>
      <c r="Z23" s="363"/>
      <c r="AI23" s="363"/>
      <c r="AJ23" s="363"/>
      <c r="AK23" s="363"/>
      <c r="AL23" s="363"/>
      <c r="AM23" s="363"/>
      <c r="AN23" s="363"/>
    </row>
    <row r="24" spans="1:40">
      <c r="A24" s="2" t="s">
        <v>96</v>
      </c>
      <c r="B24" s="16">
        <f t="shared" ref="B24:Q24" si="23">B94*0.8</f>
        <v>12992.584000000001</v>
      </c>
      <c r="C24" s="16">
        <f t="shared" si="23"/>
        <v>10501.048000000003</v>
      </c>
      <c r="D24" s="16">
        <f t="shared" si="23"/>
        <v>3580.2160000000003</v>
      </c>
      <c r="E24" s="16">
        <f t="shared" si="23"/>
        <v>1074.2559999999999</v>
      </c>
      <c r="F24" s="16">
        <f t="shared" si="23"/>
        <v>75996.047999999995</v>
      </c>
      <c r="G24" s="16">
        <f t="shared" si="23"/>
        <v>3130.2720000000004</v>
      </c>
      <c r="H24" s="16">
        <f t="shared" si="23"/>
        <v>3640.752</v>
      </c>
      <c r="I24" s="16">
        <f t="shared" si="23"/>
        <v>253.61599999999999</v>
      </c>
      <c r="J24" s="16">
        <f t="shared" si="23"/>
        <v>4728.5200000000004</v>
      </c>
      <c r="K24" s="16">
        <f t="shared" si="23"/>
        <v>0</v>
      </c>
      <c r="L24" s="16">
        <f t="shared" si="23"/>
        <v>173.904</v>
      </c>
      <c r="M24" s="16">
        <f t="shared" si="23"/>
        <v>0</v>
      </c>
      <c r="N24" s="16">
        <f t="shared" si="23"/>
        <v>101.44</v>
      </c>
      <c r="O24" s="16">
        <f t="shared" si="23"/>
        <v>0</v>
      </c>
      <c r="P24" s="1038">
        <f t="shared" si="22"/>
        <v>0</v>
      </c>
      <c r="Q24" s="1038">
        <f t="shared" si="22"/>
        <v>0</v>
      </c>
      <c r="R24" s="8">
        <f t="shared" si="1"/>
        <v>116172.65599999999</v>
      </c>
      <c r="S24" s="370">
        <f t="shared" si="3"/>
        <v>12992.584000000001</v>
      </c>
      <c r="T24" s="370">
        <f t="shared" si="3"/>
        <v>10501.048000000003</v>
      </c>
      <c r="U24" s="370">
        <f t="shared" si="3"/>
        <v>3580.2160000000003</v>
      </c>
      <c r="V24" s="370">
        <f t="shared" si="3"/>
        <v>1074.2559999999999</v>
      </c>
      <c r="W24" s="370">
        <f t="shared" si="4"/>
        <v>79126.319999999992</v>
      </c>
      <c r="X24" s="370">
        <f t="shared" si="5"/>
        <v>8898.2320000000018</v>
      </c>
      <c r="Z24" s="363"/>
      <c r="AI24" s="363"/>
      <c r="AJ24" s="363"/>
      <c r="AK24" s="363"/>
      <c r="AL24" s="363"/>
      <c r="AM24" s="363"/>
      <c r="AN24" s="363"/>
    </row>
    <row r="25" spans="1:40">
      <c r="A25" s="2" t="s">
        <v>97</v>
      </c>
      <c r="B25" s="16">
        <f t="shared" ref="B25:Q25" si="24">B95*0.8</f>
        <v>88909.256000000008</v>
      </c>
      <c r="C25" s="16">
        <f t="shared" si="24"/>
        <v>81375.695999999996</v>
      </c>
      <c r="D25" s="16">
        <f t="shared" si="24"/>
        <v>41676.880000000005</v>
      </c>
      <c r="E25" s="16">
        <f t="shared" si="24"/>
        <v>10738.72800000001</v>
      </c>
      <c r="F25" s="16">
        <f t="shared" si="24"/>
        <v>724397.11200000008</v>
      </c>
      <c r="G25" s="16">
        <f t="shared" si="24"/>
        <v>12521.088</v>
      </c>
      <c r="H25" s="16">
        <f t="shared" si="24"/>
        <v>23819.928</v>
      </c>
      <c r="I25" s="16">
        <f t="shared" si="24"/>
        <v>1578.3040000000001</v>
      </c>
      <c r="J25" s="16">
        <f t="shared" si="24"/>
        <v>34216.384000000005</v>
      </c>
      <c r="K25" s="16">
        <f t="shared" si="24"/>
        <v>2260.752</v>
      </c>
      <c r="L25" s="16">
        <f t="shared" si="24"/>
        <v>0</v>
      </c>
      <c r="M25" s="16">
        <f t="shared" si="24"/>
        <v>564.91200000000003</v>
      </c>
      <c r="N25" s="16">
        <f t="shared" si="24"/>
        <v>304.32</v>
      </c>
      <c r="O25" s="16">
        <f t="shared" si="24"/>
        <v>0</v>
      </c>
      <c r="P25" s="1038">
        <f t="shared" si="22"/>
        <v>0</v>
      </c>
      <c r="Q25" s="1038">
        <f t="shared" si="22"/>
        <v>0</v>
      </c>
      <c r="R25" s="8">
        <f t="shared" si="1"/>
        <v>1022363.3599999999</v>
      </c>
      <c r="S25" s="370">
        <f t="shared" si="3"/>
        <v>88909.256000000008</v>
      </c>
      <c r="T25" s="370">
        <f t="shared" si="3"/>
        <v>81375.695999999996</v>
      </c>
      <c r="U25" s="370">
        <f t="shared" si="3"/>
        <v>41676.880000000005</v>
      </c>
      <c r="V25" s="370">
        <f t="shared" si="3"/>
        <v>10738.72800000001</v>
      </c>
      <c r="W25" s="370">
        <f t="shared" si="4"/>
        <v>736918.20000000007</v>
      </c>
      <c r="X25" s="370">
        <f t="shared" si="5"/>
        <v>62744.600000000006</v>
      </c>
      <c r="Z25" s="363"/>
      <c r="AI25" s="363"/>
      <c r="AJ25" s="363"/>
      <c r="AK25" s="363"/>
      <c r="AL25" s="363"/>
      <c r="AM25" s="363"/>
      <c r="AN25" s="363"/>
    </row>
    <row r="26" spans="1:40">
      <c r="A26" s="2" t="s">
        <v>98</v>
      </c>
      <c r="B26" s="16">
        <f t="shared" ref="B26:Q26" si="25">B96*0.8</f>
        <v>28683.847999999998</v>
      </c>
      <c r="C26" s="16">
        <f t="shared" si="25"/>
        <v>17595.128000000004</v>
      </c>
      <c r="D26" s="16">
        <f t="shared" si="25"/>
        <v>4335.424</v>
      </c>
      <c r="E26" s="16">
        <f t="shared" si="25"/>
        <v>3253.0080000000012</v>
      </c>
      <c r="F26" s="16">
        <f t="shared" si="25"/>
        <v>67909.512000000002</v>
      </c>
      <c r="G26" s="16">
        <f t="shared" si="25"/>
        <v>1565.1360000000002</v>
      </c>
      <c r="H26" s="16">
        <f t="shared" si="25"/>
        <v>4145.4480000000003</v>
      </c>
      <c r="I26" s="16">
        <f t="shared" si="25"/>
        <v>0</v>
      </c>
      <c r="J26" s="16">
        <f t="shared" si="25"/>
        <v>9989.0560000000023</v>
      </c>
      <c r="K26" s="16">
        <f t="shared" si="25"/>
        <v>260.85599999999999</v>
      </c>
      <c r="L26" s="16">
        <f t="shared" si="25"/>
        <v>0</v>
      </c>
      <c r="M26" s="16">
        <f t="shared" si="25"/>
        <v>0</v>
      </c>
      <c r="N26" s="16">
        <f t="shared" si="25"/>
        <v>76.08</v>
      </c>
      <c r="O26" s="16">
        <f t="shared" si="25"/>
        <v>0</v>
      </c>
      <c r="P26" s="1038">
        <f>P96</f>
        <v>23.12</v>
      </c>
      <c r="Q26" s="1038">
        <f>Q96</f>
        <v>486.48</v>
      </c>
      <c r="R26" s="8">
        <f t="shared" si="1"/>
        <v>138323.09600000002</v>
      </c>
      <c r="S26" s="370">
        <f t="shared" si="3"/>
        <v>28683.847999999998</v>
      </c>
      <c r="T26" s="370">
        <f t="shared" si="3"/>
        <v>17595.128000000004</v>
      </c>
      <c r="U26" s="370">
        <f t="shared" si="3"/>
        <v>4335.424</v>
      </c>
      <c r="V26" s="370">
        <f t="shared" si="3"/>
        <v>3253.0080000000012</v>
      </c>
      <c r="W26" s="370">
        <f t="shared" si="4"/>
        <v>69474.648000000001</v>
      </c>
      <c r="X26" s="370">
        <f t="shared" si="5"/>
        <v>14981.040000000003</v>
      </c>
      <c r="Z26" s="363"/>
      <c r="AI26" s="363"/>
      <c r="AJ26" s="363"/>
      <c r="AK26" s="363"/>
      <c r="AL26" s="363"/>
      <c r="AM26" s="363"/>
      <c r="AN26" s="363"/>
    </row>
    <row r="27" spans="1:40">
      <c r="A27" s="2" t="s">
        <v>99</v>
      </c>
      <c r="B27" s="16">
        <f t="shared" ref="B27:Q28" si="26">B97*0.8</f>
        <v>1145.5040000000001</v>
      </c>
      <c r="C27" s="16">
        <f t="shared" si="26"/>
        <v>1154.9279999999999</v>
      </c>
      <c r="D27" s="16">
        <f t="shared" si="26"/>
        <v>211.34400000000002</v>
      </c>
      <c r="E27" s="16">
        <f t="shared" si="26"/>
        <v>0</v>
      </c>
      <c r="F27" s="16">
        <f t="shared" si="26"/>
        <v>11477.664000000001</v>
      </c>
      <c r="G27" s="16">
        <f t="shared" si="26"/>
        <v>173.904</v>
      </c>
      <c r="H27" s="16">
        <f t="shared" si="26"/>
        <v>228.15200000000002</v>
      </c>
      <c r="I27" s="16">
        <f t="shared" si="26"/>
        <v>0</v>
      </c>
      <c r="J27" s="16">
        <f t="shared" si="26"/>
        <v>478.33600000000001</v>
      </c>
      <c r="K27" s="16">
        <f t="shared" si="26"/>
        <v>0</v>
      </c>
      <c r="L27" s="16">
        <f t="shared" si="26"/>
        <v>0</v>
      </c>
      <c r="M27" s="16">
        <f t="shared" si="26"/>
        <v>0</v>
      </c>
      <c r="N27" s="16">
        <f t="shared" si="26"/>
        <v>25.36</v>
      </c>
      <c r="O27" s="16">
        <f t="shared" si="26"/>
        <v>0</v>
      </c>
      <c r="P27" s="1038">
        <f t="shared" si="26"/>
        <v>0</v>
      </c>
      <c r="Q27" s="1038">
        <f t="shared" si="26"/>
        <v>0</v>
      </c>
      <c r="R27" s="8">
        <f t="shared" si="1"/>
        <v>14895.192000000001</v>
      </c>
      <c r="S27" s="370">
        <f t="shared" si="3"/>
        <v>1145.5040000000001</v>
      </c>
      <c r="T27" s="370">
        <f t="shared" si="3"/>
        <v>1154.9279999999999</v>
      </c>
      <c r="U27" s="370">
        <f t="shared" si="3"/>
        <v>211.34400000000002</v>
      </c>
      <c r="V27" s="370">
        <f t="shared" si="3"/>
        <v>0</v>
      </c>
      <c r="W27" s="370">
        <f t="shared" si="4"/>
        <v>11651.568000000001</v>
      </c>
      <c r="X27" s="370">
        <f t="shared" si="5"/>
        <v>731.84800000000007</v>
      </c>
      <c r="Z27" s="363"/>
      <c r="AI27" s="363"/>
      <c r="AJ27" s="363"/>
      <c r="AK27" s="363"/>
      <c r="AL27" s="363"/>
      <c r="AM27" s="363"/>
      <c r="AN27" s="363"/>
    </row>
    <row r="28" spans="1:40">
      <c r="A28" s="2" t="s">
        <v>100</v>
      </c>
      <c r="B28" s="16">
        <f t="shared" ref="B28:Q28" si="27">B98*0.8</f>
        <v>70843.888000000006</v>
      </c>
      <c r="C28" s="16">
        <f t="shared" si="27"/>
        <v>65683.823999999993</v>
      </c>
      <c r="D28" s="16">
        <f t="shared" si="27"/>
        <v>42756.72</v>
      </c>
      <c r="E28" s="16">
        <f t="shared" si="27"/>
        <v>25799.43199999999</v>
      </c>
      <c r="F28" s="16">
        <f t="shared" si="27"/>
        <v>465541.00800000003</v>
      </c>
      <c r="G28" s="16">
        <f t="shared" si="27"/>
        <v>6086.6399999999994</v>
      </c>
      <c r="H28" s="16">
        <f t="shared" si="27"/>
        <v>19883.408000000003</v>
      </c>
      <c r="I28" s="16">
        <f t="shared" si="27"/>
        <v>0</v>
      </c>
      <c r="J28" s="16">
        <f t="shared" si="27"/>
        <v>32250.296000000002</v>
      </c>
      <c r="K28" s="16">
        <f t="shared" si="27"/>
        <v>956.47199999999998</v>
      </c>
      <c r="L28" s="16">
        <f t="shared" si="27"/>
        <v>173.904</v>
      </c>
      <c r="M28" s="16">
        <f t="shared" si="27"/>
        <v>3550.6239999999998</v>
      </c>
      <c r="N28" s="16">
        <f t="shared" si="27"/>
        <v>481.84</v>
      </c>
      <c r="O28" s="16">
        <f t="shared" si="27"/>
        <v>0</v>
      </c>
      <c r="P28" s="1038">
        <f t="shared" si="26"/>
        <v>0</v>
      </c>
      <c r="Q28" s="1038">
        <f t="shared" si="26"/>
        <v>0</v>
      </c>
      <c r="R28" s="8">
        <f t="shared" si="1"/>
        <v>734008.05599999987</v>
      </c>
      <c r="S28" s="370">
        <f t="shared" si="3"/>
        <v>70843.888000000006</v>
      </c>
      <c r="T28" s="370">
        <f t="shared" si="3"/>
        <v>65683.823999999993</v>
      </c>
      <c r="U28" s="370">
        <f t="shared" si="3"/>
        <v>42756.72</v>
      </c>
      <c r="V28" s="370">
        <f t="shared" si="3"/>
        <v>25799.43199999999</v>
      </c>
      <c r="W28" s="370">
        <f t="shared" si="4"/>
        <v>471627.64800000004</v>
      </c>
      <c r="X28" s="370">
        <f t="shared" si="5"/>
        <v>57296.544000000009</v>
      </c>
      <c r="Z28" s="363"/>
      <c r="AI28" s="363"/>
      <c r="AJ28" s="363"/>
      <c r="AK28" s="363"/>
      <c r="AL28" s="363"/>
      <c r="AM28" s="363"/>
      <c r="AN28" s="363"/>
    </row>
    <row r="29" spans="1:40">
      <c r="A29" s="2" t="s">
        <v>101</v>
      </c>
      <c r="B29" s="16">
        <f t="shared" ref="B29:Q29" si="28">B99*0.8</f>
        <v>408236.39199999999</v>
      </c>
      <c r="C29" s="16">
        <f t="shared" si="28"/>
        <v>263065.52</v>
      </c>
      <c r="D29" s="16">
        <f t="shared" si="28"/>
        <v>152503.47200000001</v>
      </c>
      <c r="E29" s="16">
        <f t="shared" si="28"/>
        <v>181900.568</v>
      </c>
      <c r="F29" s="16">
        <f t="shared" si="28"/>
        <v>2561779.824</v>
      </c>
      <c r="G29" s="16">
        <f t="shared" si="28"/>
        <v>42171.72</v>
      </c>
      <c r="H29" s="16">
        <f t="shared" si="28"/>
        <v>127354.87199999997</v>
      </c>
      <c r="I29" s="16">
        <f t="shared" si="28"/>
        <v>4200.576</v>
      </c>
      <c r="J29" s="16">
        <f t="shared" si="28"/>
        <v>171654.84</v>
      </c>
      <c r="K29" s="16">
        <f t="shared" si="28"/>
        <v>7390.92</v>
      </c>
      <c r="L29" s="16">
        <f t="shared" si="28"/>
        <v>1043.424</v>
      </c>
      <c r="M29" s="16">
        <f t="shared" si="28"/>
        <v>0</v>
      </c>
      <c r="N29" s="16">
        <f t="shared" si="28"/>
        <v>2459.92</v>
      </c>
      <c r="O29" s="16">
        <f t="shared" si="28"/>
        <v>0</v>
      </c>
      <c r="P29" s="1038">
        <f>P99</f>
        <v>747.69</v>
      </c>
      <c r="Q29" s="1038">
        <f>Q99</f>
        <v>13263.22</v>
      </c>
      <c r="R29" s="8">
        <f t="shared" si="1"/>
        <v>3937772.9580000001</v>
      </c>
      <c r="S29" s="370">
        <f t="shared" si="3"/>
        <v>408236.39199999999</v>
      </c>
      <c r="T29" s="370">
        <f t="shared" si="3"/>
        <v>263065.52</v>
      </c>
      <c r="U29" s="370">
        <f t="shared" si="3"/>
        <v>152503.47200000001</v>
      </c>
      <c r="V29" s="370">
        <f t="shared" si="3"/>
        <v>181900.568</v>
      </c>
      <c r="W29" s="370">
        <f t="shared" si="4"/>
        <v>2603951.5440000002</v>
      </c>
      <c r="X29" s="370">
        <f t="shared" si="5"/>
        <v>328115.46199999988</v>
      </c>
      <c r="Z29" s="363"/>
      <c r="AI29" s="363"/>
      <c r="AJ29" s="363"/>
      <c r="AK29" s="363"/>
      <c r="AL29" s="363"/>
      <c r="AM29" s="363"/>
      <c r="AN29" s="363"/>
    </row>
    <row r="30" spans="1:40">
      <c r="A30" s="2" t="s">
        <v>102</v>
      </c>
      <c r="B30" s="16">
        <f t="shared" ref="B30:Q31" si="29">B100*0.8</f>
        <v>11831.24</v>
      </c>
      <c r="C30" s="16">
        <f t="shared" si="29"/>
        <v>6730.3919999999989</v>
      </c>
      <c r="D30" s="16">
        <f t="shared" si="29"/>
        <v>941.18400000000008</v>
      </c>
      <c r="E30" s="16">
        <f t="shared" si="29"/>
        <v>1642.7200000000003</v>
      </c>
      <c r="F30" s="16">
        <f t="shared" si="29"/>
        <v>72083.207999999999</v>
      </c>
      <c r="G30" s="16">
        <f t="shared" si="29"/>
        <v>1912.944</v>
      </c>
      <c r="H30" s="16">
        <f t="shared" si="29"/>
        <v>2179.0879999999997</v>
      </c>
      <c r="I30" s="16">
        <f t="shared" si="29"/>
        <v>507.23199999999997</v>
      </c>
      <c r="J30" s="16">
        <f t="shared" si="29"/>
        <v>3982.8160000000007</v>
      </c>
      <c r="K30" s="16">
        <f t="shared" si="29"/>
        <v>173.904</v>
      </c>
      <c r="L30" s="16">
        <f t="shared" si="29"/>
        <v>0</v>
      </c>
      <c r="M30" s="16">
        <f t="shared" si="29"/>
        <v>0</v>
      </c>
      <c r="N30" s="16">
        <f t="shared" si="29"/>
        <v>50.72</v>
      </c>
      <c r="O30" s="16">
        <f t="shared" si="29"/>
        <v>0</v>
      </c>
      <c r="P30" s="1038">
        <f t="shared" si="29"/>
        <v>0</v>
      </c>
      <c r="Q30" s="1038">
        <f t="shared" si="29"/>
        <v>0</v>
      </c>
      <c r="R30" s="8">
        <f t="shared" si="1"/>
        <v>102035.44800000002</v>
      </c>
      <c r="S30" s="370">
        <f t="shared" si="3"/>
        <v>11831.24</v>
      </c>
      <c r="T30" s="370">
        <f t="shared" si="3"/>
        <v>6730.3919999999989</v>
      </c>
      <c r="U30" s="370">
        <f t="shared" si="3"/>
        <v>941.18400000000008</v>
      </c>
      <c r="V30" s="370">
        <f t="shared" si="3"/>
        <v>1642.7200000000003</v>
      </c>
      <c r="W30" s="370">
        <f t="shared" si="4"/>
        <v>73996.152000000002</v>
      </c>
      <c r="X30" s="370">
        <f t="shared" si="5"/>
        <v>6893.7600000000011</v>
      </c>
      <c r="Z30" s="363"/>
      <c r="AI30" s="363"/>
      <c r="AJ30" s="363"/>
      <c r="AK30" s="363"/>
      <c r="AL30" s="363"/>
      <c r="AM30" s="363"/>
      <c r="AN30" s="363"/>
    </row>
    <row r="31" spans="1:40">
      <c r="A31" s="2" t="s">
        <v>103</v>
      </c>
      <c r="B31" s="16">
        <f t="shared" ref="B31:Q31" si="30">B101*0.8</f>
        <v>7976.9440000000004</v>
      </c>
      <c r="C31" s="16">
        <f t="shared" si="30"/>
        <v>1447.1520000000005</v>
      </c>
      <c r="D31" s="16">
        <f t="shared" si="30"/>
        <v>1090.5520000000001</v>
      </c>
      <c r="E31" s="16">
        <f t="shared" si="30"/>
        <v>1201.864</v>
      </c>
      <c r="F31" s="16">
        <f t="shared" si="30"/>
        <v>36345.936000000002</v>
      </c>
      <c r="G31" s="16">
        <f t="shared" si="30"/>
        <v>1391.2320000000002</v>
      </c>
      <c r="H31" s="16">
        <f t="shared" si="30"/>
        <v>842.19200000000001</v>
      </c>
      <c r="I31" s="16">
        <f t="shared" si="30"/>
        <v>0</v>
      </c>
      <c r="J31" s="16">
        <f t="shared" si="30"/>
        <v>1670.2080000000003</v>
      </c>
      <c r="K31" s="16">
        <f t="shared" si="30"/>
        <v>0</v>
      </c>
      <c r="L31" s="16">
        <f t="shared" si="30"/>
        <v>0</v>
      </c>
      <c r="M31" s="16">
        <f t="shared" si="30"/>
        <v>0</v>
      </c>
      <c r="N31" s="16">
        <f t="shared" si="30"/>
        <v>0</v>
      </c>
      <c r="O31" s="16">
        <f t="shared" si="30"/>
        <v>0</v>
      </c>
      <c r="P31" s="1038">
        <f t="shared" si="29"/>
        <v>0</v>
      </c>
      <c r="Q31" s="1038">
        <f t="shared" si="29"/>
        <v>0</v>
      </c>
      <c r="R31" s="8">
        <f t="shared" si="1"/>
        <v>51966.080000000009</v>
      </c>
      <c r="S31" s="370">
        <f t="shared" si="3"/>
        <v>7976.9440000000004</v>
      </c>
      <c r="T31" s="370">
        <f t="shared" si="3"/>
        <v>1447.1520000000005</v>
      </c>
      <c r="U31" s="370">
        <f t="shared" si="3"/>
        <v>1090.5520000000001</v>
      </c>
      <c r="V31" s="370">
        <f t="shared" si="3"/>
        <v>1201.864</v>
      </c>
      <c r="W31" s="370">
        <f t="shared" si="4"/>
        <v>37737.168000000005</v>
      </c>
      <c r="X31" s="370">
        <f t="shared" si="5"/>
        <v>2512.4000000000005</v>
      </c>
      <c r="Z31" s="363"/>
      <c r="AI31" s="363"/>
      <c r="AJ31" s="363"/>
      <c r="AK31" s="363"/>
      <c r="AL31" s="363"/>
      <c r="AM31" s="363"/>
      <c r="AN31" s="363"/>
    </row>
    <row r="32" spans="1:40">
      <c r="A32" s="4" t="s">
        <v>37</v>
      </c>
      <c r="B32" s="5">
        <f t="shared" ref="B32:R32" si="31">SUM(B5:B31)</f>
        <v>1439839.3279999997</v>
      </c>
      <c r="C32" s="5">
        <f t="shared" si="31"/>
        <v>921158.92</v>
      </c>
      <c r="D32" s="5">
        <f t="shared" si="31"/>
        <v>435632.75200000009</v>
      </c>
      <c r="E32" s="5">
        <f t="shared" si="31"/>
        <v>302424.77599999995</v>
      </c>
      <c r="F32" s="5">
        <f t="shared" si="31"/>
        <v>7405788.7920000004</v>
      </c>
      <c r="G32" s="5">
        <f t="shared" si="31"/>
        <v>157643.97599999997</v>
      </c>
      <c r="H32" s="5">
        <f t="shared" si="31"/>
        <v>320436.24799999996</v>
      </c>
      <c r="I32" s="5">
        <f t="shared" si="31"/>
        <v>29608.384000000005</v>
      </c>
      <c r="J32" s="5">
        <f t="shared" si="31"/>
        <v>510925.32799999986</v>
      </c>
      <c r="K32" s="5">
        <f t="shared" si="31"/>
        <v>24520.464000000004</v>
      </c>
      <c r="L32" s="5">
        <f t="shared" si="31"/>
        <v>2956.3679999999999</v>
      </c>
      <c r="M32" s="5">
        <f t="shared" si="31"/>
        <v>6010.5519999999997</v>
      </c>
      <c r="N32" s="5">
        <f t="shared" si="31"/>
        <v>7354.4000000000005</v>
      </c>
      <c r="O32" s="5">
        <f t="shared" si="31"/>
        <v>42.264000000000003</v>
      </c>
      <c r="P32" s="5">
        <f t="shared" si="31"/>
        <v>947.1880000000001</v>
      </c>
      <c r="Q32" s="5">
        <f t="shared" si="31"/>
        <v>16691.444</v>
      </c>
      <c r="R32" s="5">
        <f t="shared" si="31"/>
        <v>11581981.184</v>
      </c>
      <c r="S32" s="370">
        <f t="shared" ref="S32:X32" si="32">SUM(S5:S31)</f>
        <v>1439839.3279999997</v>
      </c>
      <c r="T32" s="370">
        <f t="shared" si="32"/>
        <v>921158.92</v>
      </c>
      <c r="U32" s="370">
        <f t="shared" si="32"/>
        <v>435632.75200000009</v>
      </c>
      <c r="V32" s="370">
        <f t="shared" si="32"/>
        <v>302424.77599999995</v>
      </c>
      <c r="W32" s="370">
        <f t="shared" si="32"/>
        <v>7563432.7680000002</v>
      </c>
      <c r="X32" s="370">
        <f t="shared" si="32"/>
        <v>919492.64</v>
      </c>
      <c r="Z32" s="363"/>
      <c r="AI32" s="363"/>
      <c r="AJ32" s="363"/>
      <c r="AK32" s="363"/>
      <c r="AL32" s="363"/>
      <c r="AM32" s="363"/>
      <c r="AN32" s="363"/>
    </row>
    <row r="33" spans="1:40">
      <c r="A33" s="351" t="s">
        <v>48</v>
      </c>
      <c r="B33" s="352"/>
      <c r="C33" s="353"/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3"/>
      <c r="Q33" s="353"/>
      <c r="R33" s="352"/>
    </row>
    <row r="34" spans="1:40">
      <c r="A34" s="364"/>
      <c r="B34" s="364"/>
      <c r="C34" s="365"/>
      <c r="D34" s="365"/>
      <c r="E34" s="365"/>
      <c r="F34" s="365"/>
      <c r="G34" s="365"/>
      <c r="H34" s="365"/>
      <c r="I34" s="365"/>
      <c r="J34" s="365"/>
      <c r="K34" s="365"/>
      <c r="L34" s="365"/>
      <c r="M34" s="365"/>
      <c r="N34" s="365"/>
      <c r="O34" s="365"/>
      <c r="P34" s="365"/>
      <c r="Q34" s="365"/>
      <c r="R34" s="366"/>
    </row>
    <row r="35" spans="1:40">
      <c r="A35" s="358"/>
      <c r="B35" s="358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60"/>
    </row>
    <row r="36" spans="1:40">
      <c r="A36" s="367"/>
      <c r="B36" s="367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9"/>
    </row>
    <row r="37" spans="1:40" ht="46.5">
      <c r="A37" s="837" t="s">
        <v>70</v>
      </c>
      <c r="B37" s="838"/>
      <c r="C37" s="838"/>
      <c r="D37" s="838"/>
      <c r="E37" s="838"/>
      <c r="F37" s="838"/>
      <c r="G37" s="838"/>
      <c r="H37" s="838"/>
      <c r="I37" s="838"/>
      <c r="J37" s="838"/>
      <c r="K37" s="838"/>
      <c r="L37" s="838"/>
      <c r="M37" s="838"/>
      <c r="N37" s="838"/>
      <c r="O37" s="838"/>
      <c r="P37" s="838"/>
      <c r="Q37" s="838"/>
      <c r="R37" s="839"/>
    </row>
    <row r="38" spans="1:40" s="372" customFormat="1" ht="35.1" customHeight="1">
      <c r="A38" s="835" t="s">
        <v>33</v>
      </c>
      <c r="B38" s="833" t="s">
        <v>27</v>
      </c>
      <c r="C38" s="834"/>
      <c r="D38" s="833" t="s">
        <v>29</v>
      </c>
      <c r="E38" s="834"/>
      <c r="F38" s="835" t="s">
        <v>28</v>
      </c>
      <c r="G38" s="835" t="s">
        <v>36</v>
      </c>
      <c r="H38" s="835" t="s">
        <v>30</v>
      </c>
      <c r="I38" s="835" t="s">
        <v>31</v>
      </c>
      <c r="J38" s="835" t="s">
        <v>41</v>
      </c>
      <c r="K38" s="835" t="s">
        <v>35</v>
      </c>
      <c r="L38" s="835" t="s">
        <v>40</v>
      </c>
      <c r="M38" s="835" t="s">
        <v>42</v>
      </c>
      <c r="N38" s="835" t="s">
        <v>45</v>
      </c>
      <c r="O38" s="835" t="s">
        <v>279</v>
      </c>
      <c r="P38" s="833" t="s">
        <v>49</v>
      </c>
      <c r="Q38" s="834"/>
      <c r="R38" s="835" t="s">
        <v>34</v>
      </c>
      <c r="S38" s="370"/>
      <c r="T38" s="370"/>
      <c r="U38" s="370"/>
      <c r="V38" s="370"/>
      <c r="W38" s="370"/>
      <c r="X38" s="370"/>
      <c r="Y38" s="370"/>
      <c r="AI38" s="357"/>
      <c r="AJ38" s="357"/>
      <c r="AK38" s="357"/>
      <c r="AL38" s="357"/>
      <c r="AM38" s="357"/>
      <c r="AN38" s="357"/>
    </row>
    <row r="39" spans="1:40" s="372" customFormat="1" ht="35.1" customHeight="1">
      <c r="A39" s="836"/>
      <c r="B39" s="361" t="s">
        <v>43</v>
      </c>
      <c r="C39" s="361" t="s">
        <v>44</v>
      </c>
      <c r="D39" s="361" t="s">
        <v>43</v>
      </c>
      <c r="E39" s="361" t="s">
        <v>44</v>
      </c>
      <c r="F39" s="836"/>
      <c r="G39" s="836"/>
      <c r="H39" s="836"/>
      <c r="I39" s="836"/>
      <c r="J39" s="836"/>
      <c r="K39" s="836"/>
      <c r="L39" s="836"/>
      <c r="M39" s="836"/>
      <c r="N39" s="836"/>
      <c r="O39" s="836"/>
      <c r="P39" s="362" t="s">
        <v>50</v>
      </c>
      <c r="Q39" s="362" t="s">
        <v>51</v>
      </c>
      <c r="R39" s="836"/>
      <c r="S39" s="711" t="s">
        <v>173</v>
      </c>
      <c r="T39" s="711" t="s">
        <v>291</v>
      </c>
      <c r="U39" s="711" t="s">
        <v>174</v>
      </c>
      <c r="V39" s="711" t="s">
        <v>292</v>
      </c>
      <c r="W39" s="711" t="s">
        <v>28</v>
      </c>
      <c r="X39" s="711" t="s">
        <v>175</v>
      </c>
      <c r="Y39" s="727"/>
    </row>
    <row r="40" spans="1:40">
      <c r="A40" s="2" t="s">
        <v>77</v>
      </c>
      <c r="B40" s="16">
        <f t="shared" ref="B40:Q42" si="33">B75*0.2</f>
        <v>1614.4120000000003</v>
      </c>
      <c r="C40" s="16">
        <f t="shared" si="33"/>
        <v>816.29999999999984</v>
      </c>
      <c r="D40" s="16">
        <f t="shared" si="33"/>
        <v>491.37799999999999</v>
      </c>
      <c r="E40" s="16">
        <f t="shared" si="33"/>
        <v>165.82600000000002</v>
      </c>
      <c r="F40" s="16">
        <f t="shared" si="33"/>
        <v>5564.9279999999999</v>
      </c>
      <c r="G40" s="16">
        <f t="shared" si="33"/>
        <v>413.02200000000005</v>
      </c>
      <c r="H40" s="16">
        <f t="shared" si="33"/>
        <v>191.57600000000002</v>
      </c>
      <c r="I40" s="16">
        <f t="shared" si="33"/>
        <v>0</v>
      </c>
      <c r="J40" s="16">
        <f t="shared" si="33"/>
        <v>464.916</v>
      </c>
      <c r="K40" s="16">
        <f t="shared" si="33"/>
        <v>108.69000000000001</v>
      </c>
      <c r="L40" s="16">
        <f t="shared" si="33"/>
        <v>0</v>
      </c>
      <c r="M40" s="16">
        <f t="shared" si="33"/>
        <v>0</v>
      </c>
      <c r="N40" s="16">
        <f t="shared" si="33"/>
        <v>0</v>
      </c>
      <c r="O40" s="16">
        <f t="shared" si="33"/>
        <v>0</v>
      </c>
      <c r="P40" s="1038">
        <f t="shared" si="33"/>
        <v>0</v>
      </c>
      <c r="Q40" s="1038">
        <f t="shared" si="33"/>
        <v>0</v>
      </c>
      <c r="R40" s="8">
        <f t="shared" ref="R40:R66" si="34">SUM(B40:Q40)</f>
        <v>9831.0480000000025</v>
      </c>
      <c r="S40" s="370">
        <f>B40</f>
        <v>1614.4120000000003</v>
      </c>
      <c r="T40" s="370">
        <f>C40</f>
        <v>816.29999999999984</v>
      </c>
      <c r="U40" s="370">
        <f>D40</f>
        <v>491.37799999999999</v>
      </c>
      <c r="V40" s="370">
        <f>E40</f>
        <v>165.82600000000002</v>
      </c>
      <c r="W40" s="370">
        <f>F40+G40</f>
        <v>5977.95</v>
      </c>
      <c r="X40" s="370">
        <f>SUM(H40:Q40)</f>
        <v>765.18200000000002</v>
      </c>
      <c r="AI40" s="363"/>
      <c r="AJ40" s="363"/>
      <c r="AK40" s="363"/>
      <c r="AL40" s="363"/>
      <c r="AM40" s="363"/>
      <c r="AN40" s="363"/>
    </row>
    <row r="41" spans="1:40">
      <c r="A41" s="2" t="s">
        <v>78</v>
      </c>
      <c r="B41" s="16">
        <f t="shared" ref="B41:Q41" si="35">B76*0.2</f>
        <v>3170.482</v>
      </c>
      <c r="C41" s="16">
        <f t="shared" si="35"/>
        <v>2203.2059999999997</v>
      </c>
      <c r="D41" s="16">
        <f t="shared" si="35"/>
        <v>156.39600000000002</v>
      </c>
      <c r="E41" s="16">
        <f t="shared" si="35"/>
        <v>137.06199999999998</v>
      </c>
      <c r="F41" s="16">
        <f t="shared" si="35"/>
        <v>18064.278000000002</v>
      </c>
      <c r="G41" s="16">
        <f t="shared" si="35"/>
        <v>782.5680000000001</v>
      </c>
      <c r="H41" s="16">
        <f t="shared" si="35"/>
        <v>567.726</v>
      </c>
      <c r="I41" s="16">
        <f t="shared" si="35"/>
        <v>0</v>
      </c>
      <c r="J41" s="16">
        <f t="shared" si="35"/>
        <v>1071.2300000000002</v>
      </c>
      <c r="K41" s="16">
        <f t="shared" si="35"/>
        <v>0</v>
      </c>
      <c r="L41" s="16">
        <f t="shared" si="35"/>
        <v>43.475999999999999</v>
      </c>
      <c r="M41" s="16">
        <f t="shared" si="35"/>
        <v>0</v>
      </c>
      <c r="N41" s="16">
        <f t="shared" si="35"/>
        <v>12.68</v>
      </c>
      <c r="O41" s="16">
        <f t="shared" si="35"/>
        <v>0</v>
      </c>
      <c r="P41" s="1038">
        <f t="shared" si="33"/>
        <v>0</v>
      </c>
      <c r="Q41" s="1038">
        <f t="shared" si="33"/>
        <v>0</v>
      </c>
      <c r="R41" s="8">
        <f t="shared" si="34"/>
        <v>26209.103999999999</v>
      </c>
      <c r="S41" s="370">
        <f t="shared" ref="S41:V66" si="36">B41</f>
        <v>3170.482</v>
      </c>
      <c r="T41" s="370">
        <f t="shared" si="36"/>
        <v>2203.2059999999997</v>
      </c>
      <c r="U41" s="370">
        <f t="shared" si="36"/>
        <v>156.39600000000002</v>
      </c>
      <c r="V41" s="370">
        <f t="shared" si="36"/>
        <v>137.06199999999998</v>
      </c>
      <c r="W41" s="370">
        <f t="shared" ref="W41:W66" si="37">F41+G41</f>
        <v>18846.846000000001</v>
      </c>
      <c r="X41" s="370">
        <f t="shared" ref="X41:X66" si="38">SUM(H41:Q41)</f>
        <v>1695.1120000000003</v>
      </c>
      <c r="AI41" s="363"/>
      <c r="AJ41" s="363"/>
      <c r="AK41" s="363"/>
      <c r="AL41" s="363"/>
      <c r="AM41" s="363"/>
      <c r="AN41" s="363"/>
    </row>
    <row r="42" spans="1:40">
      <c r="A42" s="2" t="s">
        <v>79</v>
      </c>
      <c r="B42" s="16">
        <f t="shared" ref="B42:Q42" si="39">B77*0.2</f>
        <v>1945.7759999999998</v>
      </c>
      <c r="C42" s="16">
        <f t="shared" si="39"/>
        <v>1586.0600000000004</v>
      </c>
      <c r="D42" s="16">
        <f t="shared" si="39"/>
        <v>708.01200000000006</v>
      </c>
      <c r="E42" s="16">
        <f t="shared" si="39"/>
        <v>194.85400000000001</v>
      </c>
      <c r="F42" s="16">
        <f t="shared" si="39"/>
        <v>8803.89</v>
      </c>
      <c r="G42" s="16">
        <f t="shared" si="39"/>
        <v>695.61599999999999</v>
      </c>
      <c r="H42" s="16">
        <f t="shared" si="39"/>
        <v>323.38600000000002</v>
      </c>
      <c r="I42" s="16">
        <f t="shared" si="39"/>
        <v>58.768000000000001</v>
      </c>
      <c r="J42" s="16">
        <f t="shared" si="39"/>
        <v>737.74000000000012</v>
      </c>
      <c r="K42" s="16">
        <f t="shared" si="39"/>
        <v>108.69000000000001</v>
      </c>
      <c r="L42" s="16">
        <f t="shared" si="39"/>
        <v>0</v>
      </c>
      <c r="M42" s="16">
        <f t="shared" si="39"/>
        <v>0</v>
      </c>
      <c r="N42" s="16">
        <f t="shared" si="39"/>
        <v>6.34</v>
      </c>
      <c r="O42" s="16">
        <f t="shared" si="39"/>
        <v>0</v>
      </c>
      <c r="P42" s="1038">
        <f t="shared" si="33"/>
        <v>0</v>
      </c>
      <c r="Q42" s="1038">
        <f t="shared" si="33"/>
        <v>0</v>
      </c>
      <c r="R42" s="8">
        <f t="shared" si="34"/>
        <v>15169.132000000001</v>
      </c>
      <c r="S42" s="370">
        <f t="shared" si="36"/>
        <v>1945.7759999999998</v>
      </c>
      <c r="T42" s="370">
        <f t="shared" si="36"/>
        <v>1586.0600000000004</v>
      </c>
      <c r="U42" s="370">
        <f t="shared" si="36"/>
        <v>708.01200000000006</v>
      </c>
      <c r="V42" s="370">
        <f t="shared" si="36"/>
        <v>194.85400000000001</v>
      </c>
      <c r="W42" s="370">
        <f t="shared" si="37"/>
        <v>9499.5059999999994</v>
      </c>
      <c r="X42" s="370">
        <f t="shared" si="38"/>
        <v>1234.9240000000002</v>
      </c>
      <c r="AI42" s="363"/>
      <c r="AJ42" s="363"/>
      <c r="AK42" s="363"/>
      <c r="AL42" s="363"/>
      <c r="AM42" s="363"/>
      <c r="AN42" s="363"/>
    </row>
    <row r="43" spans="1:40">
      <c r="A43" s="2" t="s">
        <v>80</v>
      </c>
      <c r="B43" s="16">
        <f t="shared" ref="B43:Q43" si="40">B78*0.2</f>
        <v>3175.8060000000005</v>
      </c>
      <c r="C43" s="16">
        <f t="shared" si="40"/>
        <v>1740.2999999999997</v>
      </c>
      <c r="D43" s="16">
        <f t="shared" si="40"/>
        <v>507.93400000000003</v>
      </c>
      <c r="E43" s="16">
        <f t="shared" si="40"/>
        <v>167.65199999999996</v>
      </c>
      <c r="F43" s="16">
        <f t="shared" si="40"/>
        <v>14129.7</v>
      </c>
      <c r="G43" s="16">
        <f t="shared" si="40"/>
        <v>260.85599999999999</v>
      </c>
      <c r="H43" s="16">
        <f t="shared" si="40"/>
        <v>458.21600000000012</v>
      </c>
      <c r="I43" s="16">
        <f t="shared" si="40"/>
        <v>0</v>
      </c>
      <c r="J43" s="16">
        <f t="shared" si="40"/>
        <v>876.63600000000008</v>
      </c>
      <c r="K43" s="16">
        <f t="shared" si="40"/>
        <v>65.213999999999999</v>
      </c>
      <c r="L43" s="16">
        <f t="shared" si="40"/>
        <v>0</v>
      </c>
      <c r="M43" s="16">
        <f t="shared" si="40"/>
        <v>158.64000000000001</v>
      </c>
      <c r="N43" s="16">
        <f t="shared" si="40"/>
        <v>12.68</v>
      </c>
      <c r="O43" s="16">
        <f t="shared" si="40"/>
        <v>0</v>
      </c>
      <c r="P43" s="1038">
        <v>0</v>
      </c>
      <c r="Q43" s="1038">
        <v>0</v>
      </c>
      <c r="R43" s="8">
        <f t="shared" si="34"/>
        <v>21553.633999999998</v>
      </c>
      <c r="S43" s="370">
        <f t="shared" si="36"/>
        <v>3175.8060000000005</v>
      </c>
      <c r="T43" s="370">
        <f t="shared" si="36"/>
        <v>1740.2999999999997</v>
      </c>
      <c r="U43" s="370">
        <f t="shared" si="36"/>
        <v>507.93400000000003</v>
      </c>
      <c r="V43" s="370">
        <f t="shared" si="36"/>
        <v>167.65199999999996</v>
      </c>
      <c r="W43" s="370">
        <f t="shared" si="37"/>
        <v>14390.556</v>
      </c>
      <c r="X43" s="370">
        <f t="shared" si="38"/>
        <v>1571.3860000000004</v>
      </c>
      <c r="AI43" s="363"/>
      <c r="AJ43" s="363"/>
      <c r="AK43" s="363"/>
      <c r="AL43" s="363"/>
      <c r="AM43" s="363"/>
      <c r="AN43" s="363"/>
    </row>
    <row r="44" spans="1:40">
      <c r="A44" s="2" t="s">
        <v>81</v>
      </c>
      <c r="B44" s="16">
        <f t="shared" ref="B44:Q56" si="41">B79*0.2</f>
        <v>14973.292000000001</v>
      </c>
      <c r="C44" s="16">
        <f t="shared" si="41"/>
        <v>5825.4559999999974</v>
      </c>
      <c r="D44" s="16">
        <f t="shared" si="41"/>
        <v>2376.2280000000001</v>
      </c>
      <c r="E44" s="16">
        <f t="shared" si="41"/>
        <v>785.05600000000015</v>
      </c>
      <c r="F44" s="16">
        <f t="shared" si="41"/>
        <v>47475.792000000001</v>
      </c>
      <c r="G44" s="16">
        <f t="shared" si="41"/>
        <v>1456.4459999999999</v>
      </c>
      <c r="H44" s="16">
        <f t="shared" si="41"/>
        <v>1807.9899999999998</v>
      </c>
      <c r="I44" s="16">
        <f t="shared" si="41"/>
        <v>0</v>
      </c>
      <c r="J44" s="16">
        <f t="shared" si="41"/>
        <v>3799.5680000000002</v>
      </c>
      <c r="K44" s="16">
        <f t="shared" si="41"/>
        <v>391.28400000000005</v>
      </c>
      <c r="L44" s="16">
        <f t="shared" si="41"/>
        <v>0</v>
      </c>
      <c r="M44" s="16">
        <f t="shared" si="41"/>
        <v>0</v>
      </c>
      <c r="N44" s="16">
        <f t="shared" si="41"/>
        <v>57.06</v>
      </c>
      <c r="O44" s="16">
        <f t="shared" si="41"/>
        <v>0</v>
      </c>
      <c r="P44" s="1038">
        <f t="shared" si="41"/>
        <v>0</v>
      </c>
      <c r="Q44" s="1038">
        <f t="shared" si="41"/>
        <v>0</v>
      </c>
      <c r="R44" s="8">
        <f t="shared" si="34"/>
        <v>78948.171999999991</v>
      </c>
      <c r="S44" s="370">
        <f t="shared" si="36"/>
        <v>14973.292000000001</v>
      </c>
      <c r="T44" s="370">
        <f t="shared" si="36"/>
        <v>5825.4559999999974</v>
      </c>
      <c r="U44" s="370">
        <f t="shared" si="36"/>
        <v>2376.2280000000001</v>
      </c>
      <c r="V44" s="370">
        <f t="shared" si="36"/>
        <v>785.05600000000015</v>
      </c>
      <c r="W44" s="370">
        <f t="shared" si="37"/>
        <v>48932.237999999998</v>
      </c>
      <c r="X44" s="370">
        <f t="shared" si="38"/>
        <v>6055.902</v>
      </c>
      <c r="AI44" s="363"/>
      <c r="AJ44" s="363"/>
      <c r="AK44" s="363"/>
      <c r="AL44" s="363"/>
      <c r="AM44" s="363"/>
      <c r="AN44" s="363"/>
    </row>
    <row r="45" spans="1:40">
      <c r="A45" s="2" t="s">
        <v>82</v>
      </c>
      <c r="B45" s="16">
        <f t="shared" ref="B45:Q45" si="42">B80*0.2</f>
        <v>11367.853999999999</v>
      </c>
      <c r="C45" s="16">
        <f t="shared" si="42"/>
        <v>9605.246000000001</v>
      </c>
      <c r="D45" s="16">
        <f t="shared" si="42"/>
        <v>1020.6280000000002</v>
      </c>
      <c r="E45" s="16">
        <f t="shared" si="42"/>
        <v>550.86199999999997</v>
      </c>
      <c r="F45" s="16">
        <f t="shared" si="42"/>
        <v>33693.9</v>
      </c>
      <c r="G45" s="16">
        <f t="shared" si="42"/>
        <v>673.87800000000016</v>
      </c>
      <c r="H45" s="16">
        <f t="shared" si="42"/>
        <v>2220.0800000000004</v>
      </c>
      <c r="I45" s="16">
        <f t="shared" si="42"/>
        <v>0</v>
      </c>
      <c r="J45" s="16">
        <f t="shared" si="42"/>
        <v>4110.232</v>
      </c>
      <c r="K45" s="16">
        <f t="shared" si="42"/>
        <v>130.428</v>
      </c>
      <c r="L45" s="16">
        <f t="shared" si="42"/>
        <v>0</v>
      </c>
      <c r="M45" s="16">
        <f t="shared" si="42"/>
        <v>88.766000000000005</v>
      </c>
      <c r="N45" s="16">
        <f t="shared" si="42"/>
        <v>76.08</v>
      </c>
      <c r="O45" s="16">
        <f t="shared" si="42"/>
        <v>0</v>
      </c>
      <c r="P45" s="1038">
        <f t="shared" si="41"/>
        <v>13.656000000000001</v>
      </c>
      <c r="Q45" s="1038">
        <f t="shared" si="41"/>
        <v>504.81800000000004</v>
      </c>
      <c r="R45" s="8">
        <f t="shared" si="34"/>
        <v>64056.428000000014</v>
      </c>
      <c r="S45" s="370">
        <f t="shared" si="36"/>
        <v>11367.853999999999</v>
      </c>
      <c r="T45" s="370">
        <f t="shared" si="36"/>
        <v>9605.246000000001</v>
      </c>
      <c r="U45" s="370">
        <f t="shared" si="36"/>
        <v>1020.6280000000002</v>
      </c>
      <c r="V45" s="370">
        <f t="shared" si="36"/>
        <v>550.86199999999997</v>
      </c>
      <c r="W45" s="370">
        <f t="shared" si="37"/>
        <v>34367.777999999998</v>
      </c>
      <c r="X45" s="370">
        <f t="shared" si="38"/>
        <v>7144.0599999999995</v>
      </c>
      <c r="AI45" s="363"/>
      <c r="AJ45" s="363"/>
      <c r="AK45" s="363"/>
      <c r="AL45" s="363"/>
      <c r="AM45" s="363"/>
      <c r="AN45" s="363"/>
    </row>
    <row r="46" spans="1:40">
      <c r="A46" s="2" t="s">
        <v>83</v>
      </c>
      <c r="B46" s="16">
        <f t="shared" ref="B46:Q46" si="43">B81*0.2</f>
        <v>17064.812000000002</v>
      </c>
      <c r="C46" s="16">
        <f t="shared" si="43"/>
        <v>13442.215999999999</v>
      </c>
      <c r="D46" s="16">
        <f t="shared" si="43"/>
        <v>2608.73</v>
      </c>
      <c r="E46" s="16">
        <f t="shared" si="43"/>
        <v>1259.5180000000005</v>
      </c>
      <c r="F46" s="16">
        <f t="shared" si="43"/>
        <v>31172.292000000001</v>
      </c>
      <c r="G46" s="16">
        <f t="shared" si="43"/>
        <v>1217.3280000000002</v>
      </c>
      <c r="H46" s="16">
        <f t="shared" si="43"/>
        <v>3195.1280000000002</v>
      </c>
      <c r="I46" s="16">
        <f t="shared" si="43"/>
        <v>0</v>
      </c>
      <c r="J46" s="16">
        <f t="shared" si="43"/>
        <v>6262.442</v>
      </c>
      <c r="K46" s="16">
        <f t="shared" si="43"/>
        <v>86.951999999999998</v>
      </c>
      <c r="L46" s="16">
        <f t="shared" si="43"/>
        <v>43.475999999999999</v>
      </c>
      <c r="M46" s="16">
        <f t="shared" si="43"/>
        <v>226.34800000000001</v>
      </c>
      <c r="N46" s="16">
        <f t="shared" si="43"/>
        <v>145.82000000000002</v>
      </c>
      <c r="O46" s="16">
        <f t="shared" si="43"/>
        <v>0</v>
      </c>
      <c r="P46" s="1038">
        <f t="shared" si="41"/>
        <v>0</v>
      </c>
      <c r="Q46" s="1038">
        <f t="shared" si="41"/>
        <v>0</v>
      </c>
      <c r="R46" s="8">
        <f t="shared" si="34"/>
        <v>76725.061999999991</v>
      </c>
      <c r="S46" s="370">
        <f t="shared" si="36"/>
        <v>17064.812000000002</v>
      </c>
      <c r="T46" s="370">
        <f t="shared" si="36"/>
        <v>13442.215999999999</v>
      </c>
      <c r="U46" s="370">
        <f t="shared" si="36"/>
        <v>2608.73</v>
      </c>
      <c r="V46" s="370">
        <f t="shared" si="36"/>
        <v>1259.5180000000005</v>
      </c>
      <c r="W46" s="370">
        <f t="shared" si="37"/>
        <v>32389.620000000003</v>
      </c>
      <c r="X46" s="370">
        <f t="shared" si="38"/>
        <v>9960.1659999999993</v>
      </c>
      <c r="AI46" s="363"/>
      <c r="AJ46" s="363"/>
      <c r="AK46" s="363"/>
      <c r="AL46" s="363"/>
      <c r="AM46" s="363"/>
      <c r="AN46" s="363"/>
    </row>
    <row r="47" spans="1:40">
      <c r="A47" s="2" t="s">
        <v>84</v>
      </c>
      <c r="B47" s="16">
        <f t="shared" ref="B47:Q47" si="44">B82*0.2</f>
        <v>13411.074000000001</v>
      </c>
      <c r="C47" s="16">
        <f t="shared" si="44"/>
        <v>4110.9640000000018</v>
      </c>
      <c r="D47" s="16">
        <f t="shared" si="44"/>
        <v>1394.3440000000001</v>
      </c>
      <c r="E47" s="16">
        <f t="shared" si="44"/>
        <v>599.74</v>
      </c>
      <c r="F47" s="16">
        <f t="shared" si="44"/>
        <v>34215.612000000001</v>
      </c>
      <c r="G47" s="16">
        <f t="shared" si="44"/>
        <v>739.0920000000001</v>
      </c>
      <c r="H47" s="16">
        <f t="shared" si="44"/>
        <v>1331.5619999999999</v>
      </c>
      <c r="I47" s="16">
        <f t="shared" si="44"/>
        <v>72.462000000000003</v>
      </c>
      <c r="J47" s="16">
        <f t="shared" si="44"/>
        <v>3332.1480000000006</v>
      </c>
      <c r="K47" s="16">
        <f t="shared" si="44"/>
        <v>108.69000000000001</v>
      </c>
      <c r="L47" s="16">
        <f t="shared" si="44"/>
        <v>43.475999999999999</v>
      </c>
      <c r="M47" s="16">
        <f t="shared" si="44"/>
        <v>0</v>
      </c>
      <c r="N47" s="16">
        <f t="shared" si="44"/>
        <v>69.739999999999995</v>
      </c>
      <c r="O47" s="16">
        <f t="shared" si="44"/>
        <v>0</v>
      </c>
      <c r="P47" s="1038">
        <f t="shared" si="41"/>
        <v>0</v>
      </c>
      <c r="Q47" s="1038">
        <f t="shared" si="41"/>
        <v>0</v>
      </c>
      <c r="R47" s="8">
        <f t="shared" si="34"/>
        <v>59428.904000000002</v>
      </c>
      <c r="S47" s="370">
        <f t="shared" si="36"/>
        <v>13411.074000000001</v>
      </c>
      <c r="T47" s="370">
        <f t="shared" si="36"/>
        <v>4110.9640000000018</v>
      </c>
      <c r="U47" s="370">
        <f t="shared" si="36"/>
        <v>1394.3440000000001</v>
      </c>
      <c r="V47" s="370">
        <f t="shared" si="36"/>
        <v>599.74</v>
      </c>
      <c r="W47" s="370">
        <f t="shared" si="37"/>
        <v>34954.703999999998</v>
      </c>
      <c r="X47" s="370">
        <f t="shared" si="38"/>
        <v>4958.0779999999995</v>
      </c>
      <c r="AI47" s="363"/>
      <c r="AJ47" s="363"/>
      <c r="AK47" s="363"/>
      <c r="AL47" s="363"/>
      <c r="AM47" s="363"/>
      <c r="AN47" s="363"/>
    </row>
    <row r="48" spans="1:40">
      <c r="A48" s="2" t="s">
        <v>85</v>
      </c>
      <c r="B48" s="16">
        <f t="shared" ref="B48:Q48" si="45">B83*0.2</f>
        <v>14169.034</v>
      </c>
      <c r="C48" s="16">
        <f t="shared" si="45"/>
        <v>14375.148000000001</v>
      </c>
      <c r="D48" s="16">
        <f t="shared" si="45"/>
        <v>1652.7240000000002</v>
      </c>
      <c r="E48" s="16">
        <f t="shared" si="45"/>
        <v>1220.6719999999998</v>
      </c>
      <c r="F48" s="16">
        <f t="shared" si="45"/>
        <v>60105.57</v>
      </c>
      <c r="G48" s="16">
        <f t="shared" si="45"/>
        <v>1217.328</v>
      </c>
      <c r="H48" s="16">
        <f t="shared" si="45"/>
        <v>3431.2480000000005</v>
      </c>
      <c r="I48" s="16">
        <f t="shared" si="45"/>
        <v>259.08200000000005</v>
      </c>
      <c r="J48" s="16">
        <f t="shared" si="45"/>
        <v>5111.1920000000009</v>
      </c>
      <c r="K48" s="16">
        <f t="shared" si="45"/>
        <v>152.16600000000003</v>
      </c>
      <c r="L48" s="16">
        <f t="shared" si="45"/>
        <v>0</v>
      </c>
      <c r="M48" s="16">
        <f t="shared" si="45"/>
        <v>0</v>
      </c>
      <c r="N48" s="16">
        <f t="shared" si="45"/>
        <v>63.400000000000006</v>
      </c>
      <c r="O48" s="16">
        <f t="shared" si="45"/>
        <v>0</v>
      </c>
      <c r="P48" s="1038">
        <f t="shared" si="41"/>
        <v>0</v>
      </c>
      <c r="Q48" s="1038">
        <f t="shared" si="41"/>
        <v>0</v>
      </c>
      <c r="R48" s="8">
        <f t="shared" si="34"/>
        <v>101757.56399999998</v>
      </c>
      <c r="S48" s="370">
        <f t="shared" si="36"/>
        <v>14169.034</v>
      </c>
      <c r="T48" s="370">
        <f t="shared" si="36"/>
        <v>14375.148000000001</v>
      </c>
      <c r="U48" s="370">
        <f t="shared" si="36"/>
        <v>1652.7240000000002</v>
      </c>
      <c r="V48" s="370">
        <f t="shared" si="36"/>
        <v>1220.6719999999998</v>
      </c>
      <c r="W48" s="370">
        <f t="shared" si="37"/>
        <v>61322.898000000001</v>
      </c>
      <c r="X48" s="370">
        <f t="shared" si="38"/>
        <v>9017.0879999999997</v>
      </c>
      <c r="AI48" s="363"/>
      <c r="AJ48" s="363"/>
      <c r="AK48" s="363"/>
      <c r="AL48" s="363"/>
      <c r="AM48" s="363"/>
      <c r="AN48" s="363"/>
    </row>
    <row r="49" spans="1:40">
      <c r="A49" s="2" t="s">
        <v>86</v>
      </c>
      <c r="B49" s="16">
        <f t="shared" ref="B49:Q49" si="46">B84*0.2</f>
        <v>3524.9360000000001</v>
      </c>
      <c r="C49" s="16">
        <f t="shared" si="46"/>
        <v>1693.8180000000002</v>
      </c>
      <c r="D49" s="16">
        <f t="shared" si="46"/>
        <v>435.904</v>
      </c>
      <c r="E49" s="16">
        <f t="shared" si="46"/>
        <v>304.27200000000005</v>
      </c>
      <c r="F49" s="16">
        <f t="shared" si="46"/>
        <v>14564.460000000001</v>
      </c>
      <c r="G49" s="16">
        <f t="shared" si="46"/>
        <v>608.6640000000001</v>
      </c>
      <c r="H49" s="16">
        <f t="shared" si="46"/>
        <v>455.19799999999998</v>
      </c>
      <c r="I49" s="16">
        <f t="shared" si="46"/>
        <v>318.83000000000004</v>
      </c>
      <c r="J49" s="16">
        <f t="shared" si="46"/>
        <v>1040.3420000000001</v>
      </c>
      <c r="K49" s="16">
        <f t="shared" si="46"/>
        <v>130.428</v>
      </c>
      <c r="L49" s="16">
        <f t="shared" si="46"/>
        <v>0</v>
      </c>
      <c r="M49" s="16">
        <f t="shared" si="46"/>
        <v>0</v>
      </c>
      <c r="N49" s="16">
        <f t="shared" si="46"/>
        <v>12.68</v>
      </c>
      <c r="O49" s="16">
        <f t="shared" si="46"/>
        <v>0</v>
      </c>
      <c r="P49" s="1038">
        <f t="shared" si="41"/>
        <v>0</v>
      </c>
      <c r="Q49" s="1038">
        <f t="shared" si="41"/>
        <v>0</v>
      </c>
      <c r="R49" s="8">
        <f t="shared" si="34"/>
        <v>23089.532000000007</v>
      </c>
      <c r="S49" s="370">
        <f t="shared" si="36"/>
        <v>3524.9360000000001</v>
      </c>
      <c r="T49" s="370">
        <f t="shared" si="36"/>
        <v>1693.8180000000002</v>
      </c>
      <c r="U49" s="370">
        <f t="shared" si="36"/>
        <v>435.904</v>
      </c>
      <c r="V49" s="370">
        <f t="shared" si="36"/>
        <v>304.27200000000005</v>
      </c>
      <c r="W49" s="370">
        <f t="shared" si="37"/>
        <v>15173.124000000002</v>
      </c>
      <c r="X49" s="370">
        <f t="shared" si="38"/>
        <v>1957.4780000000003</v>
      </c>
      <c r="AI49" s="363"/>
      <c r="AJ49" s="363"/>
      <c r="AK49" s="363"/>
      <c r="AL49" s="363"/>
      <c r="AM49" s="363"/>
      <c r="AN49" s="363"/>
    </row>
    <row r="50" spans="1:40">
      <c r="A50" s="2" t="s">
        <v>87</v>
      </c>
      <c r="B50" s="16">
        <f t="shared" ref="B50:Q50" si="47">B85*0.2</f>
        <v>6516.6160000000009</v>
      </c>
      <c r="C50" s="16">
        <f t="shared" si="47"/>
        <v>3346.7160000000003</v>
      </c>
      <c r="D50" s="16">
        <f t="shared" si="47"/>
        <v>4371.4400000000005</v>
      </c>
      <c r="E50" s="16">
        <f t="shared" si="47"/>
        <v>431.40399999999937</v>
      </c>
      <c r="F50" s="16">
        <f t="shared" si="47"/>
        <v>61757.657999999996</v>
      </c>
      <c r="G50" s="16">
        <f t="shared" si="47"/>
        <v>847.78200000000004</v>
      </c>
      <c r="H50" s="16">
        <f t="shared" si="47"/>
        <v>1120.972</v>
      </c>
      <c r="I50" s="16">
        <f t="shared" si="47"/>
        <v>413.21000000000004</v>
      </c>
      <c r="J50" s="16">
        <f t="shared" si="47"/>
        <v>1860.1539999999998</v>
      </c>
      <c r="K50" s="16">
        <f t="shared" si="47"/>
        <v>108.69000000000001</v>
      </c>
      <c r="L50" s="16">
        <f t="shared" si="47"/>
        <v>0</v>
      </c>
      <c r="M50" s="16">
        <f t="shared" si="47"/>
        <v>0</v>
      </c>
      <c r="N50" s="16">
        <f t="shared" si="47"/>
        <v>0</v>
      </c>
      <c r="O50" s="16">
        <f t="shared" si="47"/>
        <v>10.566000000000001</v>
      </c>
      <c r="P50" s="1038">
        <f t="shared" si="41"/>
        <v>0</v>
      </c>
      <c r="Q50" s="1038">
        <f t="shared" si="41"/>
        <v>0</v>
      </c>
      <c r="R50" s="8">
        <f t="shared" si="34"/>
        <v>80785.208000000013</v>
      </c>
      <c r="S50" s="370">
        <f t="shared" si="36"/>
        <v>6516.6160000000009</v>
      </c>
      <c r="T50" s="370">
        <f t="shared" si="36"/>
        <v>3346.7160000000003</v>
      </c>
      <c r="U50" s="370">
        <f t="shared" si="36"/>
        <v>4371.4400000000005</v>
      </c>
      <c r="V50" s="370">
        <f t="shared" si="36"/>
        <v>431.40399999999937</v>
      </c>
      <c r="W50" s="370">
        <f t="shared" si="37"/>
        <v>62605.439999999995</v>
      </c>
      <c r="X50" s="370">
        <f t="shared" si="38"/>
        <v>3513.5919999999996</v>
      </c>
      <c r="AI50" s="363"/>
      <c r="AJ50" s="363"/>
      <c r="AK50" s="363"/>
      <c r="AL50" s="363"/>
      <c r="AM50" s="363"/>
      <c r="AN50" s="363"/>
    </row>
    <row r="51" spans="1:40">
      <c r="A51" s="2" t="s">
        <v>88</v>
      </c>
      <c r="B51" s="16">
        <f t="shared" ref="B51:Q51" si="48">B86*0.2</f>
        <v>4866.6660000000002</v>
      </c>
      <c r="C51" s="16">
        <f t="shared" si="48"/>
        <v>4471.8179999999993</v>
      </c>
      <c r="D51" s="16">
        <f t="shared" si="48"/>
        <v>2022.5880000000002</v>
      </c>
      <c r="E51" s="16">
        <f t="shared" si="48"/>
        <v>2362.7440000000001</v>
      </c>
      <c r="F51" s="16">
        <f t="shared" si="48"/>
        <v>39280.565999999999</v>
      </c>
      <c r="G51" s="16">
        <f t="shared" si="48"/>
        <v>673.87800000000004</v>
      </c>
      <c r="H51" s="16">
        <f t="shared" si="48"/>
        <v>3295.8980000000006</v>
      </c>
      <c r="I51" s="16">
        <f t="shared" si="48"/>
        <v>2180.3560000000002</v>
      </c>
      <c r="J51" s="16">
        <f t="shared" si="48"/>
        <v>2089.44</v>
      </c>
      <c r="K51" s="16">
        <f t="shared" si="48"/>
        <v>173.904</v>
      </c>
      <c r="L51" s="16">
        <f t="shared" si="48"/>
        <v>0</v>
      </c>
      <c r="M51" s="16">
        <f t="shared" si="48"/>
        <v>0</v>
      </c>
      <c r="N51" s="16">
        <f t="shared" si="48"/>
        <v>12.68</v>
      </c>
      <c r="O51" s="16">
        <f t="shared" si="48"/>
        <v>0</v>
      </c>
      <c r="P51" s="1038">
        <f t="shared" si="41"/>
        <v>15.103999999999999</v>
      </c>
      <c r="Q51" s="1038">
        <f t="shared" si="41"/>
        <v>0</v>
      </c>
      <c r="R51" s="8">
        <f t="shared" si="34"/>
        <v>61445.642</v>
      </c>
      <c r="S51" s="370">
        <f t="shared" si="36"/>
        <v>4866.6660000000002</v>
      </c>
      <c r="T51" s="370">
        <f t="shared" si="36"/>
        <v>4471.8179999999993</v>
      </c>
      <c r="U51" s="370">
        <f t="shared" si="36"/>
        <v>2022.5880000000002</v>
      </c>
      <c r="V51" s="370">
        <f t="shared" si="36"/>
        <v>2362.7440000000001</v>
      </c>
      <c r="W51" s="370">
        <f t="shared" si="37"/>
        <v>39954.443999999996</v>
      </c>
      <c r="X51" s="370">
        <f t="shared" si="38"/>
        <v>7767.3820000000023</v>
      </c>
      <c r="AI51" s="363"/>
      <c r="AJ51" s="363"/>
      <c r="AK51" s="363"/>
      <c r="AL51" s="363"/>
      <c r="AM51" s="363"/>
      <c r="AN51" s="363"/>
    </row>
    <row r="52" spans="1:40">
      <c r="A52" s="2" t="s">
        <v>89</v>
      </c>
      <c r="B52" s="16">
        <f t="shared" ref="B52:Q52" si="49">B87*0.2</f>
        <v>22984.835999999999</v>
      </c>
      <c r="C52" s="16">
        <f t="shared" si="49"/>
        <v>14914.272000000004</v>
      </c>
      <c r="D52" s="16">
        <f t="shared" si="49"/>
        <v>5285.8760000000002</v>
      </c>
      <c r="E52" s="16">
        <f t="shared" si="49"/>
        <v>3182.9719999999998</v>
      </c>
      <c r="F52" s="16">
        <f t="shared" si="49"/>
        <v>120906.75600000001</v>
      </c>
      <c r="G52" s="16">
        <f t="shared" si="49"/>
        <v>3260.7000000000003</v>
      </c>
      <c r="H52" s="16">
        <f t="shared" si="49"/>
        <v>4628.3900000000003</v>
      </c>
      <c r="I52" s="16">
        <f t="shared" si="49"/>
        <v>195.64200000000002</v>
      </c>
      <c r="J52" s="16">
        <f t="shared" si="49"/>
        <v>7667.398000000001</v>
      </c>
      <c r="K52" s="16">
        <f t="shared" si="49"/>
        <v>391.28400000000005</v>
      </c>
      <c r="L52" s="16">
        <f t="shared" si="49"/>
        <v>43.475999999999999</v>
      </c>
      <c r="M52" s="16">
        <f t="shared" si="49"/>
        <v>0</v>
      </c>
      <c r="N52" s="16">
        <f t="shared" si="49"/>
        <v>152.16</v>
      </c>
      <c r="O52" s="16">
        <f t="shared" si="49"/>
        <v>0</v>
      </c>
      <c r="P52" s="1038">
        <f t="shared" si="41"/>
        <v>0</v>
      </c>
      <c r="Q52" s="1038">
        <f t="shared" si="41"/>
        <v>0</v>
      </c>
      <c r="R52" s="8">
        <f t="shared" si="34"/>
        <v>183613.76200000008</v>
      </c>
      <c r="S52" s="370">
        <f t="shared" si="36"/>
        <v>22984.835999999999</v>
      </c>
      <c r="T52" s="370">
        <f t="shared" si="36"/>
        <v>14914.272000000004</v>
      </c>
      <c r="U52" s="370">
        <f t="shared" si="36"/>
        <v>5285.8760000000002</v>
      </c>
      <c r="V52" s="370">
        <f t="shared" si="36"/>
        <v>3182.9719999999998</v>
      </c>
      <c r="W52" s="370">
        <f t="shared" si="37"/>
        <v>124167.45600000001</v>
      </c>
      <c r="X52" s="370">
        <f t="shared" si="38"/>
        <v>13078.35</v>
      </c>
      <c r="AI52" s="363"/>
      <c r="AJ52" s="363"/>
      <c r="AK52" s="363"/>
      <c r="AL52" s="363"/>
      <c r="AM52" s="363"/>
      <c r="AN52" s="363"/>
    </row>
    <row r="53" spans="1:40">
      <c r="A53" s="2" t="s">
        <v>90</v>
      </c>
      <c r="B53" s="16">
        <f t="shared" ref="B53:Q53" si="50">B88*0.2</f>
        <v>4785.692</v>
      </c>
      <c r="C53" s="16">
        <f t="shared" si="50"/>
        <v>3196.9040000000009</v>
      </c>
      <c r="D53" s="16">
        <f t="shared" si="50"/>
        <v>1307.0440000000001</v>
      </c>
      <c r="E53" s="16">
        <f t="shared" si="50"/>
        <v>185.75199999999987</v>
      </c>
      <c r="F53" s="16">
        <f t="shared" si="50"/>
        <v>20651.100000000002</v>
      </c>
      <c r="G53" s="16">
        <f t="shared" si="50"/>
        <v>1282.5419999999999</v>
      </c>
      <c r="H53" s="16">
        <f t="shared" si="50"/>
        <v>865.67200000000014</v>
      </c>
      <c r="I53" s="16">
        <f t="shared" si="50"/>
        <v>0</v>
      </c>
      <c r="J53" s="16">
        <f t="shared" si="50"/>
        <v>1574.758</v>
      </c>
      <c r="K53" s="16">
        <f t="shared" si="50"/>
        <v>43.475999999999999</v>
      </c>
      <c r="L53" s="16">
        <f t="shared" si="50"/>
        <v>0</v>
      </c>
      <c r="M53" s="16">
        <f t="shared" si="50"/>
        <v>0</v>
      </c>
      <c r="N53" s="16">
        <f t="shared" si="50"/>
        <v>19.02</v>
      </c>
      <c r="O53" s="16">
        <f t="shared" si="50"/>
        <v>0</v>
      </c>
      <c r="P53" s="1038">
        <f t="shared" si="41"/>
        <v>0</v>
      </c>
      <c r="Q53" s="1038">
        <f t="shared" si="41"/>
        <v>0</v>
      </c>
      <c r="R53" s="8">
        <f t="shared" si="34"/>
        <v>33911.960000000006</v>
      </c>
      <c r="S53" s="370">
        <f t="shared" si="36"/>
        <v>4785.692</v>
      </c>
      <c r="T53" s="370">
        <f t="shared" si="36"/>
        <v>3196.9040000000009</v>
      </c>
      <c r="U53" s="370">
        <f t="shared" si="36"/>
        <v>1307.0440000000001</v>
      </c>
      <c r="V53" s="370">
        <f t="shared" si="36"/>
        <v>185.75199999999987</v>
      </c>
      <c r="W53" s="370">
        <f t="shared" si="37"/>
        <v>21933.642000000003</v>
      </c>
      <c r="X53" s="370">
        <f t="shared" si="38"/>
        <v>2502.9260000000004</v>
      </c>
      <c r="AI53" s="363"/>
      <c r="AJ53" s="363"/>
      <c r="AK53" s="363"/>
      <c r="AL53" s="363"/>
      <c r="AM53" s="363"/>
      <c r="AN53" s="363"/>
    </row>
    <row r="54" spans="1:40">
      <c r="A54" s="2" t="s">
        <v>91</v>
      </c>
      <c r="B54" s="16">
        <f t="shared" ref="B54:Q54" si="51">B89*0.2</f>
        <v>9117.5259999999998</v>
      </c>
      <c r="C54" s="16">
        <f t="shared" si="51"/>
        <v>6340.2640000000001</v>
      </c>
      <c r="D54" s="16">
        <f t="shared" si="51"/>
        <v>1430.4680000000001</v>
      </c>
      <c r="E54" s="16">
        <f t="shared" si="51"/>
        <v>1499.0900000000001</v>
      </c>
      <c r="F54" s="16">
        <f t="shared" si="51"/>
        <v>23846.585999999999</v>
      </c>
      <c r="G54" s="16">
        <f t="shared" si="51"/>
        <v>499.97399999999999</v>
      </c>
      <c r="H54" s="16">
        <f t="shared" si="51"/>
        <v>1675.5520000000001</v>
      </c>
      <c r="I54" s="16">
        <f t="shared" si="51"/>
        <v>0</v>
      </c>
      <c r="J54" s="16">
        <f t="shared" si="51"/>
        <v>3214.366</v>
      </c>
      <c r="K54" s="16">
        <f t="shared" si="51"/>
        <v>65.213999999999999</v>
      </c>
      <c r="L54" s="16">
        <f t="shared" si="51"/>
        <v>43.475999999999999</v>
      </c>
      <c r="M54" s="16">
        <f t="shared" si="51"/>
        <v>0</v>
      </c>
      <c r="N54" s="16">
        <f t="shared" si="51"/>
        <v>19.02</v>
      </c>
      <c r="O54" s="16">
        <f t="shared" si="51"/>
        <v>0</v>
      </c>
      <c r="P54" s="1038">
        <f t="shared" si="41"/>
        <v>6.8719999999999999</v>
      </c>
      <c r="Q54" s="1038">
        <f t="shared" si="41"/>
        <v>145.99800000000002</v>
      </c>
      <c r="R54" s="8">
        <f t="shared" si="34"/>
        <v>47904.40600000001</v>
      </c>
      <c r="S54" s="370">
        <f t="shared" si="36"/>
        <v>9117.5259999999998</v>
      </c>
      <c r="T54" s="370">
        <f t="shared" si="36"/>
        <v>6340.2640000000001</v>
      </c>
      <c r="U54" s="370">
        <f t="shared" si="36"/>
        <v>1430.4680000000001</v>
      </c>
      <c r="V54" s="370">
        <f t="shared" si="36"/>
        <v>1499.0900000000001</v>
      </c>
      <c r="W54" s="370">
        <f t="shared" si="37"/>
        <v>24346.559999999998</v>
      </c>
      <c r="X54" s="370">
        <f t="shared" si="38"/>
        <v>5170.4979999999996</v>
      </c>
      <c r="AI54" s="363"/>
      <c r="AJ54" s="363"/>
      <c r="AK54" s="363"/>
      <c r="AL54" s="363"/>
      <c r="AM54" s="363"/>
      <c r="AN54" s="363"/>
    </row>
    <row r="55" spans="1:40">
      <c r="A55" s="2" t="s">
        <v>92</v>
      </c>
      <c r="B55" s="16">
        <f t="shared" ref="B55:Q55" si="52">B90*0.2</f>
        <v>20730.416000000001</v>
      </c>
      <c r="C55" s="16">
        <f t="shared" si="52"/>
        <v>9321.3740000000016</v>
      </c>
      <c r="D55" s="16">
        <f t="shared" si="52"/>
        <v>9371.7479999999996</v>
      </c>
      <c r="E55" s="16">
        <f t="shared" si="52"/>
        <v>3086.7340000000013</v>
      </c>
      <c r="F55" s="16">
        <f t="shared" si="52"/>
        <v>136036.40400000001</v>
      </c>
      <c r="G55" s="16">
        <f t="shared" si="52"/>
        <v>1739.0400000000002</v>
      </c>
      <c r="H55" s="16">
        <f t="shared" si="52"/>
        <v>3082.28</v>
      </c>
      <c r="I55" s="16">
        <f t="shared" si="52"/>
        <v>1923.826</v>
      </c>
      <c r="J55" s="16">
        <f t="shared" si="52"/>
        <v>6110.2080000000005</v>
      </c>
      <c r="K55" s="16">
        <f t="shared" si="52"/>
        <v>608.6640000000001</v>
      </c>
      <c r="L55" s="16">
        <f t="shared" si="52"/>
        <v>86.951999999999998</v>
      </c>
      <c r="M55" s="16">
        <f t="shared" si="52"/>
        <v>0</v>
      </c>
      <c r="N55" s="16">
        <f t="shared" si="52"/>
        <v>76.08</v>
      </c>
      <c r="O55" s="16">
        <f t="shared" si="52"/>
        <v>0</v>
      </c>
      <c r="P55" s="1038">
        <f t="shared" si="41"/>
        <v>0</v>
      </c>
      <c r="Q55" s="1038">
        <f t="shared" si="41"/>
        <v>0</v>
      </c>
      <c r="R55" s="8">
        <f t="shared" si="34"/>
        <v>192173.726</v>
      </c>
      <c r="S55" s="370">
        <f t="shared" si="36"/>
        <v>20730.416000000001</v>
      </c>
      <c r="T55" s="370">
        <f t="shared" si="36"/>
        <v>9321.3740000000016</v>
      </c>
      <c r="U55" s="370">
        <f t="shared" si="36"/>
        <v>9371.7479999999996</v>
      </c>
      <c r="V55" s="370">
        <f t="shared" si="36"/>
        <v>3086.7340000000013</v>
      </c>
      <c r="W55" s="370">
        <f t="shared" si="37"/>
        <v>137775.44400000002</v>
      </c>
      <c r="X55" s="370">
        <f t="shared" si="38"/>
        <v>11888.01</v>
      </c>
      <c r="AI55" s="363"/>
      <c r="AJ55" s="363"/>
      <c r="AK55" s="363"/>
      <c r="AL55" s="363"/>
      <c r="AM55" s="363"/>
      <c r="AN55" s="363"/>
    </row>
    <row r="56" spans="1:40">
      <c r="A56" s="2" t="s">
        <v>93</v>
      </c>
      <c r="B56" s="16">
        <f t="shared" ref="B56:Q56" si="53">B91*0.2</f>
        <v>10107.454</v>
      </c>
      <c r="C56" s="16">
        <f t="shared" si="53"/>
        <v>6120.2340000000013</v>
      </c>
      <c r="D56" s="16">
        <f t="shared" si="53"/>
        <v>1677.3720000000003</v>
      </c>
      <c r="E56" s="16">
        <f t="shared" si="53"/>
        <v>491.99400000000026</v>
      </c>
      <c r="F56" s="16">
        <f t="shared" si="53"/>
        <v>40802.226000000002</v>
      </c>
      <c r="G56" s="16">
        <f t="shared" si="53"/>
        <v>1999.896</v>
      </c>
      <c r="H56" s="16">
        <f t="shared" si="53"/>
        <v>1532.268</v>
      </c>
      <c r="I56" s="16">
        <f t="shared" si="53"/>
        <v>286.21800000000002</v>
      </c>
      <c r="J56" s="16">
        <f t="shared" si="53"/>
        <v>3020.5720000000001</v>
      </c>
      <c r="K56" s="16">
        <f t="shared" si="53"/>
        <v>43.475999999999999</v>
      </c>
      <c r="L56" s="16">
        <f t="shared" si="53"/>
        <v>43.475999999999999</v>
      </c>
      <c r="M56" s="16">
        <f t="shared" si="53"/>
        <v>0</v>
      </c>
      <c r="N56" s="16">
        <f t="shared" si="53"/>
        <v>50.72</v>
      </c>
      <c r="O56" s="16">
        <f t="shared" si="53"/>
        <v>0</v>
      </c>
      <c r="P56" s="1038">
        <f t="shared" si="41"/>
        <v>0</v>
      </c>
      <c r="Q56" s="1038">
        <f t="shared" si="41"/>
        <v>0</v>
      </c>
      <c r="R56" s="8">
        <f t="shared" si="34"/>
        <v>66175.905999999988</v>
      </c>
      <c r="S56" s="370">
        <f t="shared" si="36"/>
        <v>10107.454</v>
      </c>
      <c r="T56" s="370">
        <f t="shared" si="36"/>
        <v>6120.2340000000013</v>
      </c>
      <c r="U56" s="370">
        <f t="shared" si="36"/>
        <v>1677.3720000000003</v>
      </c>
      <c r="V56" s="370">
        <f t="shared" si="36"/>
        <v>491.99400000000026</v>
      </c>
      <c r="W56" s="370">
        <f t="shared" si="37"/>
        <v>42802.122000000003</v>
      </c>
      <c r="X56" s="370">
        <f t="shared" si="38"/>
        <v>4976.7299999999996</v>
      </c>
      <c r="AI56" s="363"/>
      <c r="AJ56" s="363"/>
      <c r="AK56" s="363"/>
      <c r="AL56" s="363"/>
      <c r="AM56" s="363"/>
      <c r="AN56" s="363"/>
    </row>
    <row r="57" spans="1:40">
      <c r="A57" s="2" t="s">
        <v>94</v>
      </c>
      <c r="B57" s="16">
        <f t="shared" ref="B57:Q57" si="54">B92*0.2</f>
        <v>3074.5580000000004</v>
      </c>
      <c r="C57" s="16">
        <f t="shared" si="54"/>
        <v>1063.1860000000001</v>
      </c>
      <c r="D57" s="16">
        <f t="shared" si="54"/>
        <v>938.38</v>
      </c>
      <c r="E57" s="16">
        <f t="shared" si="54"/>
        <v>208.96600000000001</v>
      </c>
      <c r="F57" s="16">
        <f t="shared" si="54"/>
        <v>10129.908000000001</v>
      </c>
      <c r="G57" s="16">
        <f t="shared" si="54"/>
        <v>326.07</v>
      </c>
      <c r="H57" s="16">
        <f t="shared" si="54"/>
        <v>253.83400000000003</v>
      </c>
      <c r="I57" s="16">
        <f t="shared" si="54"/>
        <v>0</v>
      </c>
      <c r="J57" s="16">
        <f t="shared" si="54"/>
        <v>744.78600000000006</v>
      </c>
      <c r="K57" s="16">
        <f t="shared" si="54"/>
        <v>86.951999999999998</v>
      </c>
      <c r="L57" s="16">
        <f t="shared" si="54"/>
        <v>0</v>
      </c>
      <c r="M57" s="16">
        <f t="shared" si="54"/>
        <v>0</v>
      </c>
      <c r="N57" s="16">
        <f t="shared" si="54"/>
        <v>0</v>
      </c>
      <c r="O57" s="16">
        <f t="shared" si="54"/>
        <v>0</v>
      </c>
      <c r="P57" s="1038">
        <v>0</v>
      </c>
      <c r="Q57" s="1038">
        <v>0</v>
      </c>
      <c r="R57" s="8">
        <f t="shared" si="34"/>
        <v>16826.640000000003</v>
      </c>
      <c r="S57" s="370">
        <f t="shared" si="36"/>
        <v>3074.5580000000004</v>
      </c>
      <c r="T57" s="370">
        <f t="shared" si="36"/>
        <v>1063.1860000000001</v>
      </c>
      <c r="U57" s="370">
        <f t="shared" si="36"/>
        <v>938.38</v>
      </c>
      <c r="V57" s="370">
        <f t="shared" si="36"/>
        <v>208.96600000000001</v>
      </c>
      <c r="W57" s="370">
        <f t="shared" si="37"/>
        <v>10455.978000000001</v>
      </c>
      <c r="X57" s="370">
        <f t="shared" si="38"/>
        <v>1085.5720000000001</v>
      </c>
      <c r="AI57" s="363"/>
      <c r="AJ57" s="363"/>
      <c r="AK57" s="363"/>
      <c r="AL57" s="363"/>
      <c r="AM57" s="363"/>
      <c r="AN57" s="363"/>
    </row>
    <row r="58" spans="1:40">
      <c r="A58" s="2" t="s">
        <v>95</v>
      </c>
      <c r="B58" s="16">
        <f t="shared" ref="B58:Q60" si="55">B93*0.2</f>
        <v>35703.675999999999</v>
      </c>
      <c r="C58" s="16">
        <f t="shared" si="55"/>
        <v>14227.826000000001</v>
      </c>
      <c r="D58" s="16">
        <f t="shared" si="55"/>
        <v>9377.0460000000003</v>
      </c>
      <c r="E58" s="16">
        <f t="shared" si="55"/>
        <v>2368.3800000000006</v>
      </c>
      <c r="F58" s="16">
        <f t="shared" si="55"/>
        <v>126362.99400000001</v>
      </c>
      <c r="G58" s="16">
        <f t="shared" si="55"/>
        <v>3478.08</v>
      </c>
      <c r="H58" s="16">
        <f t="shared" si="55"/>
        <v>4148.6259999999993</v>
      </c>
      <c r="I58" s="16">
        <f t="shared" si="55"/>
        <v>58.77000000000001</v>
      </c>
      <c r="J58" s="16">
        <f t="shared" si="55"/>
        <v>9900.59</v>
      </c>
      <c r="K58" s="16">
        <f t="shared" si="55"/>
        <v>565.18799999999999</v>
      </c>
      <c r="L58" s="16">
        <f t="shared" si="55"/>
        <v>43.475999999999999</v>
      </c>
      <c r="M58" s="16">
        <f t="shared" si="55"/>
        <v>0</v>
      </c>
      <c r="N58" s="16">
        <f t="shared" si="55"/>
        <v>177.52</v>
      </c>
      <c r="O58" s="16">
        <f t="shared" si="55"/>
        <v>0</v>
      </c>
      <c r="P58" s="1038">
        <f t="shared" si="55"/>
        <v>0</v>
      </c>
      <c r="Q58" s="1038">
        <f t="shared" si="55"/>
        <v>0</v>
      </c>
      <c r="R58" s="8">
        <f t="shared" si="34"/>
        <v>206412.17199999996</v>
      </c>
      <c r="S58" s="370">
        <f t="shared" si="36"/>
        <v>35703.675999999999</v>
      </c>
      <c r="T58" s="370">
        <f t="shared" si="36"/>
        <v>14227.826000000001</v>
      </c>
      <c r="U58" s="370">
        <f t="shared" si="36"/>
        <v>9377.0460000000003</v>
      </c>
      <c r="V58" s="370">
        <f t="shared" si="36"/>
        <v>2368.3800000000006</v>
      </c>
      <c r="W58" s="370">
        <f t="shared" si="37"/>
        <v>129841.07400000001</v>
      </c>
      <c r="X58" s="370">
        <f t="shared" si="38"/>
        <v>14894.170000000002</v>
      </c>
      <c r="AI58" s="363"/>
      <c r="AJ58" s="363"/>
      <c r="AK58" s="363"/>
      <c r="AL58" s="363"/>
      <c r="AM58" s="363"/>
      <c r="AN58" s="363"/>
    </row>
    <row r="59" spans="1:40">
      <c r="A59" s="2" t="s">
        <v>96</v>
      </c>
      <c r="B59" s="16">
        <f t="shared" ref="B59:Q59" si="56">B94*0.2</f>
        <v>3248.1460000000002</v>
      </c>
      <c r="C59" s="16">
        <f t="shared" si="56"/>
        <v>2625.2620000000006</v>
      </c>
      <c r="D59" s="16">
        <f t="shared" si="56"/>
        <v>895.05400000000009</v>
      </c>
      <c r="E59" s="16">
        <f t="shared" si="56"/>
        <v>268.56399999999996</v>
      </c>
      <c r="F59" s="16">
        <f t="shared" si="56"/>
        <v>18999.011999999999</v>
      </c>
      <c r="G59" s="16">
        <f t="shared" si="56"/>
        <v>782.5680000000001</v>
      </c>
      <c r="H59" s="16">
        <f t="shared" si="56"/>
        <v>910.18799999999999</v>
      </c>
      <c r="I59" s="16">
        <f t="shared" si="56"/>
        <v>63.403999999999996</v>
      </c>
      <c r="J59" s="16">
        <f t="shared" si="56"/>
        <v>1182.1300000000001</v>
      </c>
      <c r="K59" s="16">
        <f t="shared" si="56"/>
        <v>0</v>
      </c>
      <c r="L59" s="16">
        <f t="shared" si="56"/>
        <v>43.475999999999999</v>
      </c>
      <c r="M59" s="16">
        <f t="shared" si="56"/>
        <v>0</v>
      </c>
      <c r="N59" s="16">
        <f t="shared" si="56"/>
        <v>25.36</v>
      </c>
      <c r="O59" s="16">
        <f t="shared" si="56"/>
        <v>0</v>
      </c>
      <c r="P59" s="1038">
        <f t="shared" si="55"/>
        <v>0</v>
      </c>
      <c r="Q59" s="1038">
        <f t="shared" si="55"/>
        <v>0</v>
      </c>
      <c r="R59" s="8">
        <f t="shared" si="34"/>
        <v>29043.163999999997</v>
      </c>
      <c r="S59" s="370">
        <f t="shared" si="36"/>
        <v>3248.1460000000002</v>
      </c>
      <c r="T59" s="370">
        <f t="shared" si="36"/>
        <v>2625.2620000000006</v>
      </c>
      <c r="U59" s="370">
        <f t="shared" si="36"/>
        <v>895.05400000000009</v>
      </c>
      <c r="V59" s="370">
        <f t="shared" si="36"/>
        <v>268.56399999999996</v>
      </c>
      <c r="W59" s="370">
        <f t="shared" si="37"/>
        <v>19781.579999999998</v>
      </c>
      <c r="X59" s="370">
        <f t="shared" si="38"/>
        <v>2224.5580000000004</v>
      </c>
      <c r="AI59" s="363"/>
      <c r="AJ59" s="363"/>
      <c r="AK59" s="363"/>
      <c r="AL59" s="363"/>
      <c r="AM59" s="363"/>
      <c r="AN59" s="363"/>
    </row>
    <row r="60" spans="1:40">
      <c r="A60" s="2" t="s">
        <v>97</v>
      </c>
      <c r="B60" s="16">
        <f t="shared" ref="B60:Q60" si="57">B95*0.2</f>
        <v>22227.314000000002</v>
      </c>
      <c r="C60" s="16">
        <f t="shared" si="57"/>
        <v>20343.923999999999</v>
      </c>
      <c r="D60" s="16">
        <f t="shared" si="57"/>
        <v>10419.220000000001</v>
      </c>
      <c r="E60" s="16">
        <f t="shared" si="57"/>
        <v>2684.6820000000025</v>
      </c>
      <c r="F60" s="16">
        <f t="shared" si="57"/>
        <v>181099.27800000002</v>
      </c>
      <c r="G60" s="16">
        <f t="shared" si="57"/>
        <v>3130.2719999999999</v>
      </c>
      <c r="H60" s="16">
        <f t="shared" si="57"/>
        <v>5954.982</v>
      </c>
      <c r="I60" s="16">
        <f t="shared" si="57"/>
        <v>394.57600000000002</v>
      </c>
      <c r="J60" s="16">
        <f t="shared" si="57"/>
        <v>8554.0960000000014</v>
      </c>
      <c r="K60" s="16">
        <f t="shared" si="57"/>
        <v>565.18799999999999</v>
      </c>
      <c r="L60" s="16">
        <f t="shared" si="57"/>
        <v>0</v>
      </c>
      <c r="M60" s="16">
        <f t="shared" si="57"/>
        <v>141.22800000000001</v>
      </c>
      <c r="N60" s="16">
        <f t="shared" si="57"/>
        <v>76.08</v>
      </c>
      <c r="O60" s="16">
        <f t="shared" si="57"/>
        <v>0</v>
      </c>
      <c r="P60" s="1038">
        <f t="shared" si="55"/>
        <v>0</v>
      </c>
      <c r="Q60" s="1038">
        <f t="shared" si="55"/>
        <v>0</v>
      </c>
      <c r="R60" s="8">
        <f t="shared" si="34"/>
        <v>255590.83999999997</v>
      </c>
      <c r="S60" s="370">
        <f t="shared" si="36"/>
        <v>22227.314000000002</v>
      </c>
      <c r="T60" s="370">
        <f t="shared" si="36"/>
        <v>20343.923999999999</v>
      </c>
      <c r="U60" s="370">
        <f t="shared" si="36"/>
        <v>10419.220000000001</v>
      </c>
      <c r="V60" s="370">
        <f t="shared" si="36"/>
        <v>2684.6820000000025</v>
      </c>
      <c r="W60" s="370">
        <f t="shared" si="37"/>
        <v>184229.55000000002</v>
      </c>
      <c r="X60" s="370">
        <f t="shared" si="38"/>
        <v>15686.150000000001</v>
      </c>
      <c r="AI60" s="363"/>
      <c r="AJ60" s="363"/>
      <c r="AK60" s="363"/>
      <c r="AL60" s="363"/>
      <c r="AM60" s="363"/>
      <c r="AN60" s="363"/>
    </row>
    <row r="61" spans="1:40">
      <c r="A61" s="2" t="s">
        <v>98</v>
      </c>
      <c r="B61" s="16">
        <f t="shared" ref="B61:Q61" si="58">B96*0.2</f>
        <v>7170.9619999999995</v>
      </c>
      <c r="C61" s="16">
        <f t="shared" si="58"/>
        <v>4398.7820000000011</v>
      </c>
      <c r="D61" s="16">
        <f t="shared" si="58"/>
        <v>1083.856</v>
      </c>
      <c r="E61" s="16">
        <f t="shared" si="58"/>
        <v>813.25200000000029</v>
      </c>
      <c r="F61" s="16">
        <f t="shared" si="58"/>
        <v>16977.378000000001</v>
      </c>
      <c r="G61" s="16">
        <f t="shared" si="58"/>
        <v>391.28400000000005</v>
      </c>
      <c r="H61" s="16">
        <f t="shared" si="58"/>
        <v>1036.3620000000001</v>
      </c>
      <c r="I61" s="16">
        <f t="shared" si="58"/>
        <v>0</v>
      </c>
      <c r="J61" s="16">
        <f t="shared" si="58"/>
        <v>2497.2640000000006</v>
      </c>
      <c r="K61" s="16">
        <f t="shared" si="58"/>
        <v>65.213999999999999</v>
      </c>
      <c r="L61" s="16">
        <f t="shared" si="58"/>
        <v>0</v>
      </c>
      <c r="M61" s="16">
        <f t="shared" si="58"/>
        <v>0</v>
      </c>
      <c r="N61" s="16">
        <f t="shared" si="58"/>
        <v>19.02</v>
      </c>
      <c r="O61" s="16">
        <f t="shared" si="58"/>
        <v>0</v>
      </c>
      <c r="P61" s="1038">
        <v>0</v>
      </c>
      <c r="Q61" s="1038">
        <v>0</v>
      </c>
      <c r="R61" s="8">
        <f t="shared" si="34"/>
        <v>34453.374000000003</v>
      </c>
      <c r="S61" s="370">
        <f t="shared" si="36"/>
        <v>7170.9619999999995</v>
      </c>
      <c r="T61" s="370">
        <f t="shared" si="36"/>
        <v>4398.7820000000011</v>
      </c>
      <c r="U61" s="370">
        <f t="shared" si="36"/>
        <v>1083.856</v>
      </c>
      <c r="V61" s="370">
        <f t="shared" si="36"/>
        <v>813.25200000000029</v>
      </c>
      <c r="W61" s="370">
        <f t="shared" si="37"/>
        <v>17368.662</v>
      </c>
      <c r="X61" s="370">
        <f t="shared" si="38"/>
        <v>3617.8600000000006</v>
      </c>
      <c r="AI61" s="363"/>
      <c r="AJ61" s="363"/>
      <c r="AK61" s="363"/>
      <c r="AL61" s="363"/>
      <c r="AM61" s="363"/>
      <c r="AN61" s="363"/>
    </row>
    <row r="62" spans="1:40">
      <c r="A62" s="2" t="s">
        <v>99</v>
      </c>
      <c r="B62" s="16">
        <f t="shared" ref="B62:Q63" si="59">B97*0.2</f>
        <v>286.37600000000003</v>
      </c>
      <c r="C62" s="16">
        <f t="shared" si="59"/>
        <v>288.73199999999997</v>
      </c>
      <c r="D62" s="16">
        <f t="shared" si="59"/>
        <v>52.836000000000006</v>
      </c>
      <c r="E62" s="16">
        <f t="shared" si="59"/>
        <v>0</v>
      </c>
      <c r="F62" s="16">
        <f t="shared" si="59"/>
        <v>2869.4160000000002</v>
      </c>
      <c r="G62" s="16">
        <f t="shared" si="59"/>
        <v>43.475999999999999</v>
      </c>
      <c r="H62" s="16">
        <f t="shared" si="59"/>
        <v>57.038000000000004</v>
      </c>
      <c r="I62" s="16">
        <f t="shared" si="59"/>
        <v>0</v>
      </c>
      <c r="J62" s="16">
        <f t="shared" si="59"/>
        <v>119.584</v>
      </c>
      <c r="K62" s="16">
        <f t="shared" si="59"/>
        <v>0</v>
      </c>
      <c r="L62" s="16">
        <f t="shared" si="59"/>
        <v>0</v>
      </c>
      <c r="M62" s="16">
        <f t="shared" si="59"/>
        <v>0</v>
      </c>
      <c r="N62" s="16">
        <f t="shared" si="59"/>
        <v>6.34</v>
      </c>
      <c r="O62" s="16">
        <f t="shared" si="59"/>
        <v>0</v>
      </c>
      <c r="P62" s="1038">
        <f t="shared" si="59"/>
        <v>0</v>
      </c>
      <c r="Q62" s="1038">
        <f t="shared" si="59"/>
        <v>0</v>
      </c>
      <c r="R62" s="8">
        <f t="shared" si="34"/>
        <v>3723.7980000000002</v>
      </c>
      <c r="S62" s="370">
        <f t="shared" si="36"/>
        <v>286.37600000000003</v>
      </c>
      <c r="T62" s="370">
        <f t="shared" si="36"/>
        <v>288.73199999999997</v>
      </c>
      <c r="U62" s="370">
        <f t="shared" si="36"/>
        <v>52.836000000000006</v>
      </c>
      <c r="V62" s="370">
        <f t="shared" si="36"/>
        <v>0</v>
      </c>
      <c r="W62" s="370">
        <f t="shared" si="37"/>
        <v>2912.8920000000003</v>
      </c>
      <c r="X62" s="370">
        <f t="shared" si="38"/>
        <v>182.96200000000002</v>
      </c>
      <c r="AI62" s="363"/>
      <c r="AJ62" s="363"/>
      <c r="AK62" s="363"/>
      <c r="AL62" s="363"/>
      <c r="AM62" s="363"/>
      <c r="AN62" s="363"/>
    </row>
    <row r="63" spans="1:40">
      <c r="A63" s="2" t="s">
        <v>100</v>
      </c>
      <c r="B63" s="16">
        <f t="shared" ref="B63:Q63" si="60">B98*0.2</f>
        <v>17710.972000000002</v>
      </c>
      <c r="C63" s="16">
        <f t="shared" si="60"/>
        <v>16420.955999999998</v>
      </c>
      <c r="D63" s="16">
        <f t="shared" si="60"/>
        <v>10689.18</v>
      </c>
      <c r="E63" s="16">
        <f t="shared" si="60"/>
        <v>6449.8579999999974</v>
      </c>
      <c r="F63" s="16">
        <f t="shared" si="60"/>
        <v>116385.25200000001</v>
      </c>
      <c r="G63" s="16">
        <f t="shared" si="60"/>
        <v>1521.6599999999999</v>
      </c>
      <c r="H63" s="16">
        <f t="shared" si="60"/>
        <v>4970.8520000000008</v>
      </c>
      <c r="I63" s="16">
        <f t="shared" si="60"/>
        <v>0</v>
      </c>
      <c r="J63" s="16">
        <f t="shared" si="60"/>
        <v>8062.5740000000005</v>
      </c>
      <c r="K63" s="16">
        <f t="shared" si="60"/>
        <v>239.11799999999999</v>
      </c>
      <c r="L63" s="16">
        <f t="shared" si="60"/>
        <v>43.475999999999999</v>
      </c>
      <c r="M63" s="16">
        <f t="shared" si="60"/>
        <v>887.65599999999995</v>
      </c>
      <c r="N63" s="16">
        <f t="shared" si="60"/>
        <v>120.46</v>
      </c>
      <c r="O63" s="16">
        <f t="shared" si="60"/>
        <v>0</v>
      </c>
      <c r="P63" s="1038">
        <f t="shared" si="59"/>
        <v>0</v>
      </c>
      <c r="Q63" s="1038">
        <f t="shared" si="59"/>
        <v>0</v>
      </c>
      <c r="R63" s="8">
        <f t="shared" si="34"/>
        <v>183502.01399999997</v>
      </c>
      <c r="S63" s="370">
        <f t="shared" si="36"/>
        <v>17710.972000000002</v>
      </c>
      <c r="T63" s="370">
        <f t="shared" si="36"/>
        <v>16420.955999999998</v>
      </c>
      <c r="U63" s="370">
        <f t="shared" si="36"/>
        <v>10689.18</v>
      </c>
      <c r="V63" s="370">
        <f t="shared" si="36"/>
        <v>6449.8579999999974</v>
      </c>
      <c r="W63" s="370">
        <f t="shared" si="37"/>
        <v>117906.91200000001</v>
      </c>
      <c r="X63" s="370">
        <f t="shared" si="38"/>
        <v>14324.136000000002</v>
      </c>
      <c r="AI63" s="363"/>
      <c r="AJ63" s="363"/>
      <c r="AK63" s="363"/>
      <c r="AL63" s="363"/>
      <c r="AM63" s="363"/>
      <c r="AN63" s="363"/>
    </row>
    <row r="64" spans="1:40">
      <c r="A64" s="2" t="s">
        <v>101</v>
      </c>
      <c r="B64" s="16">
        <f t="shared" ref="B64:Q64" si="61">B99*0.2</f>
        <v>102059.098</v>
      </c>
      <c r="C64" s="16">
        <f t="shared" si="61"/>
        <v>65766.38</v>
      </c>
      <c r="D64" s="16">
        <f t="shared" si="61"/>
        <v>38125.868000000002</v>
      </c>
      <c r="E64" s="16">
        <f t="shared" si="61"/>
        <v>45475.142</v>
      </c>
      <c r="F64" s="16">
        <f t="shared" si="61"/>
        <v>640444.95600000001</v>
      </c>
      <c r="G64" s="16">
        <f t="shared" si="61"/>
        <v>10542.93</v>
      </c>
      <c r="H64" s="16">
        <f t="shared" si="61"/>
        <v>31838.717999999993</v>
      </c>
      <c r="I64" s="16">
        <f t="shared" si="61"/>
        <v>1050.144</v>
      </c>
      <c r="J64" s="16">
        <f t="shared" si="61"/>
        <v>42913.71</v>
      </c>
      <c r="K64" s="16">
        <f t="shared" si="61"/>
        <v>1847.73</v>
      </c>
      <c r="L64" s="16">
        <f t="shared" si="61"/>
        <v>260.85599999999999</v>
      </c>
      <c r="M64" s="16">
        <f t="shared" si="61"/>
        <v>0</v>
      </c>
      <c r="N64" s="16">
        <f t="shared" si="61"/>
        <v>614.98</v>
      </c>
      <c r="O64" s="16">
        <f t="shared" si="61"/>
        <v>0</v>
      </c>
      <c r="P64" s="1038">
        <v>0</v>
      </c>
      <c r="Q64" s="1038">
        <v>0</v>
      </c>
      <c r="R64" s="8">
        <f t="shared" si="34"/>
        <v>980940.51199999999</v>
      </c>
      <c r="S64" s="370">
        <f t="shared" si="36"/>
        <v>102059.098</v>
      </c>
      <c r="T64" s="370">
        <f t="shared" si="36"/>
        <v>65766.38</v>
      </c>
      <c r="U64" s="370">
        <f t="shared" si="36"/>
        <v>38125.868000000002</v>
      </c>
      <c r="V64" s="370">
        <f t="shared" si="36"/>
        <v>45475.142</v>
      </c>
      <c r="W64" s="370">
        <f t="shared" si="37"/>
        <v>650987.88600000006</v>
      </c>
      <c r="X64" s="370">
        <f t="shared" si="38"/>
        <v>78526.137999999977</v>
      </c>
      <c r="AI64" s="363"/>
      <c r="AJ64" s="363"/>
      <c r="AK64" s="363"/>
      <c r="AL64" s="363"/>
      <c r="AM64" s="363"/>
      <c r="AN64" s="363"/>
    </row>
    <row r="65" spans="1:40">
      <c r="A65" s="2" t="s">
        <v>102</v>
      </c>
      <c r="B65" s="16">
        <f t="shared" ref="B65:Q66" si="62">B100*0.2</f>
        <v>2957.81</v>
      </c>
      <c r="C65" s="16">
        <f t="shared" si="62"/>
        <v>1682.5979999999997</v>
      </c>
      <c r="D65" s="16">
        <f t="shared" si="62"/>
        <v>235.29600000000002</v>
      </c>
      <c r="E65" s="16">
        <f t="shared" si="62"/>
        <v>410.68000000000006</v>
      </c>
      <c r="F65" s="16">
        <f t="shared" si="62"/>
        <v>18020.802</v>
      </c>
      <c r="G65" s="16">
        <f t="shared" si="62"/>
        <v>478.23599999999999</v>
      </c>
      <c r="H65" s="16">
        <f t="shared" si="62"/>
        <v>544.77199999999993</v>
      </c>
      <c r="I65" s="16">
        <f t="shared" si="62"/>
        <v>126.80799999999999</v>
      </c>
      <c r="J65" s="16">
        <f t="shared" si="62"/>
        <v>995.70400000000018</v>
      </c>
      <c r="K65" s="16">
        <f t="shared" si="62"/>
        <v>43.475999999999999</v>
      </c>
      <c r="L65" s="16">
        <f t="shared" si="62"/>
        <v>0</v>
      </c>
      <c r="M65" s="16">
        <f t="shared" si="62"/>
        <v>0</v>
      </c>
      <c r="N65" s="16">
        <f t="shared" si="62"/>
        <v>12.68</v>
      </c>
      <c r="O65" s="16">
        <f t="shared" si="62"/>
        <v>0</v>
      </c>
      <c r="P65" s="1038">
        <f t="shared" si="62"/>
        <v>0</v>
      </c>
      <c r="Q65" s="1038">
        <f t="shared" si="62"/>
        <v>0</v>
      </c>
      <c r="R65" s="8">
        <f t="shared" si="34"/>
        <v>25508.862000000005</v>
      </c>
      <c r="S65" s="370">
        <f t="shared" si="36"/>
        <v>2957.81</v>
      </c>
      <c r="T65" s="370">
        <f t="shared" si="36"/>
        <v>1682.5979999999997</v>
      </c>
      <c r="U65" s="370">
        <f t="shared" si="36"/>
        <v>235.29600000000002</v>
      </c>
      <c r="V65" s="370">
        <f t="shared" si="36"/>
        <v>410.68000000000006</v>
      </c>
      <c r="W65" s="370">
        <f t="shared" si="37"/>
        <v>18499.038</v>
      </c>
      <c r="X65" s="370">
        <f t="shared" si="38"/>
        <v>1723.4400000000003</v>
      </c>
      <c r="AI65" s="363"/>
      <c r="AJ65" s="363"/>
      <c r="AK65" s="363"/>
      <c r="AL65" s="363"/>
      <c r="AM65" s="363"/>
      <c r="AN65" s="363"/>
    </row>
    <row r="66" spans="1:40">
      <c r="A66" s="2" t="s">
        <v>103</v>
      </c>
      <c r="B66" s="16">
        <f t="shared" ref="B66:Q66" si="63">B101*0.2</f>
        <v>1994.2360000000001</v>
      </c>
      <c r="C66" s="16">
        <f t="shared" si="63"/>
        <v>361.78800000000012</v>
      </c>
      <c r="D66" s="16">
        <f t="shared" si="63"/>
        <v>272.63800000000003</v>
      </c>
      <c r="E66" s="16">
        <f t="shared" si="63"/>
        <v>300.46600000000001</v>
      </c>
      <c r="F66" s="16">
        <f t="shared" si="63"/>
        <v>9086.4840000000004</v>
      </c>
      <c r="G66" s="16">
        <f t="shared" si="63"/>
        <v>347.80800000000005</v>
      </c>
      <c r="H66" s="16">
        <f t="shared" si="63"/>
        <v>210.548</v>
      </c>
      <c r="I66" s="16">
        <f t="shared" si="63"/>
        <v>0</v>
      </c>
      <c r="J66" s="16">
        <f t="shared" si="63"/>
        <v>417.55200000000008</v>
      </c>
      <c r="K66" s="16">
        <f t="shared" si="63"/>
        <v>0</v>
      </c>
      <c r="L66" s="16">
        <f t="shared" si="63"/>
        <v>0</v>
      </c>
      <c r="M66" s="16">
        <f t="shared" si="63"/>
        <v>0</v>
      </c>
      <c r="N66" s="16">
        <f t="shared" si="63"/>
        <v>0</v>
      </c>
      <c r="O66" s="16">
        <f t="shared" si="63"/>
        <v>0</v>
      </c>
      <c r="P66" s="1038">
        <f t="shared" si="62"/>
        <v>0</v>
      </c>
      <c r="Q66" s="1038">
        <f t="shared" si="62"/>
        <v>0</v>
      </c>
      <c r="R66" s="8">
        <f t="shared" si="34"/>
        <v>12991.520000000002</v>
      </c>
      <c r="S66" s="370">
        <f t="shared" si="36"/>
        <v>1994.2360000000001</v>
      </c>
      <c r="T66" s="370">
        <f t="shared" si="36"/>
        <v>361.78800000000012</v>
      </c>
      <c r="U66" s="370">
        <f t="shared" si="36"/>
        <v>272.63800000000003</v>
      </c>
      <c r="V66" s="370">
        <f t="shared" si="36"/>
        <v>300.46600000000001</v>
      </c>
      <c r="W66" s="370">
        <f t="shared" si="37"/>
        <v>9434.2920000000013</v>
      </c>
      <c r="X66" s="370">
        <f t="shared" si="38"/>
        <v>628.10000000000014</v>
      </c>
      <c r="AI66" s="363"/>
      <c r="AJ66" s="363"/>
      <c r="AK66" s="363"/>
      <c r="AL66" s="363"/>
      <c r="AM66" s="363"/>
      <c r="AN66" s="363"/>
    </row>
    <row r="67" spans="1:40">
      <c r="A67" s="6" t="s">
        <v>37</v>
      </c>
      <c r="B67" s="7">
        <f t="shared" ref="B67:R67" si="64">SUM(B40:B66)</f>
        <v>359959.83199999994</v>
      </c>
      <c r="C67" s="7">
        <f t="shared" si="64"/>
        <v>230289.73</v>
      </c>
      <c r="D67" s="7">
        <f t="shared" si="64"/>
        <v>108908.18800000002</v>
      </c>
      <c r="E67" s="7">
        <f t="shared" si="64"/>
        <v>75606.193999999989</v>
      </c>
      <c r="F67" s="7">
        <f t="shared" si="64"/>
        <v>1851447.1980000001</v>
      </c>
      <c r="G67" s="7">
        <f t="shared" si="64"/>
        <v>39410.993999999992</v>
      </c>
      <c r="H67" s="7">
        <f t="shared" si="64"/>
        <v>80109.061999999991</v>
      </c>
      <c r="I67" s="7">
        <f t="shared" si="64"/>
        <v>7402.0960000000014</v>
      </c>
      <c r="J67" s="7">
        <f t="shared" si="64"/>
        <v>127731.33199999997</v>
      </c>
      <c r="K67" s="7">
        <f t="shared" si="64"/>
        <v>6130.1160000000009</v>
      </c>
      <c r="L67" s="7">
        <f t="shared" si="64"/>
        <v>739.09199999999998</v>
      </c>
      <c r="M67" s="7">
        <f t="shared" si="64"/>
        <v>1502.6379999999999</v>
      </c>
      <c r="N67" s="7">
        <f t="shared" si="64"/>
        <v>1838.6000000000001</v>
      </c>
      <c r="O67" s="7">
        <f t="shared" si="64"/>
        <v>10.566000000000001</v>
      </c>
      <c r="P67" s="7">
        <f t="shared" si="64"/>
        <v>35.631999999999998</v>
      </c>
      <c r="Q67" s="7">
        <f t="shared" si="64"/>
        <v>650.81600000000003</v>
      </c>
      <c r="R67" s="9">
        <f t="shared" si="64"/>
        <v>2891772.0860000001</v>
      </c>
      <c r="S67" s="370">
        <f t="shared" ref="S67:X67" si="65">SUM(S40:S66)</f>
        <v>359959.83199999994</v>
      </c>
      <c r="T67" s="370">
        <f t="shared" si="65"/>
        <v>230289.73</v>
      </c>
      <c r="U67" s="370">
        <f t="shared" si="65"/>
        <v>108908.18800000002</v>
      </c>
      <c r="V67" s="370">
        <f t="shared" si="65"/>
        <v>75606.193999999989</v>
      </c>
      <c r="W67" s="370">
        <f t="shared" si="65"/>
        <v>1890858.192</v>
      </c>
      <c r="X67" s="370">
        <f t="shared" si="65"/>
        <v>226149.95</v>
      </c>
      <c r="AI67" s="363"/>
      <c r="AJ67" s="363"/>
      <c r="AK67" s="363"/>
      <c r="AL67" s="363"/>
      <c r="AM67" s="363"/>
      <c r="AN67" s="363"/>
    </row>
    <row r="68" spans="1:40">
      <c r="A68" s="351" t="s">
        <v>47</v>
      </c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6"/>
    </row>
    <row r="69" spans="1:40">
      <c r="A69" s="358"/>
      <c r="B69" s="358"/>
      <c r="C69" s="359"/>
      <c r="D69" s="359"/>
      <c r="E69" s="359"/>
      <c r="F69" s="359"/>
      <c r="G69" s="359"/>
      <c r="H69" s="359"/>
      <c r="I69" s="359"/>
      <c r="J69" s="359"/>
      <c r="K69" s="359"/>
      <c r="R69" s="360"/>
    </row>
    <row r="70" spans="1:40">
      <c r="A70" s="357"/>
      <c r="L70" s="253"/>
      <c r="M70" s="253"/>
      <c r="N70" s="253"/>
      <c r="O70" s="253"/>
      <c r="P70" s="253"/>
      <c r="Q70" s="253"/>
    </row>
    <row r="71" spans="1:40">
      <c r="A71" s="357"/>
    </row>
    <row r="72" spans="1:40" ht="46.5">
      <c r="A72" s="837" t="s">
        <v>46</v>
      </c>
      <c r="B72" s="838"/>
      <c r="C72" s="838"/>
      <c r="D72" s="838"/>
      <c r="E72" s="838"/>
      <c r="F72" s="838"/>
      <c r="G72" s="838"/>
      <c r="H72" s="838"/>
      <c r="I72" s="838"/>
      <c r="J72" s="838"/>
      <c r="K72" s="838"/>
      <c r="L72" s="838"/>
      <c r="M72" s="838"/>
      <c r="N72" s="838"/>
      <c r="O72" s="838"/>
      <c r="P72" s="838"/>
      <c r="Q72" s="838"/>
      <c r="R72" s="839"/>
    </row>
    <row r="73" spans="1:40" s="372" customFormat="1" ht="35.1" customHeight="1">
      <c r="A73" s="835" t="s">
        <v>33</v>
      </c>
      <c r="B73" s="833" t="s">
        <v>27</v>
      </c>
      <c r="C73" s="834"/>
      <c r="D73" s="833" t="s">
        <v>29</v>
      </c>
      <c r="E73" s="834"/>
      <c r="F73" s="835" t="s">
        <v>28</v>
      </c>
      <c r="G73" s="835" t="s">
        <v>36</v>
      </c>
      <c r="H73" s="835" t="s">
        <v>30</v>
      </c>
      <c r="I73" s="835" t="s">
        <v>31</v>
      </c>
      <c r="J73" s="835" t="s">
        <v>41</v>
      </c>
      <c r="K73" s="835" t="s">
        <v>35</v>
      </c>
      <c r="L73" s="835" t="s">
        <v>40</v>
      </c>
      <c r="M73" s="835" t="s">
        <v>42</v>
      </c>
      <c r="N73" s="835" t="s">
        <v>45</v>
      </c>
      <c r="O73" s="835" t="s">
        <v>279</v>
      </c>
      <c r="P73" s="833" t="s">
        <v>49</v>
      </c>
      <c r="Q73" s="834"/>
      <c r="R73" s="835" t="s">
        <v>34</v>
      </c>
      <c r="S73" s="370"/>
      <c r="T73" s="370"/>
      <c r="U73" s="370"/>
      <c r="V73" s="370"/>
      <c r="W73" s="370"/>
      <c r="X73" s="370"/>
      <c r="Y73" s="711"/>
      <c r="AI73" s="357"/>
      <c r="AJ73" s="357"/>
      <c r="AK73" s="357"/>
      <c r="AL73" s="357"/>
      <c r="AM73" s="357"/>
      <c r="AN73" s="357"/>
    </row>
    <row r="74" spans="1:40" s="372" customFormat="1" ht="35.1" customHeight="1">
      <c r="A74" s="836"/>
      <c r="B74" s="361" t="s">
        <v>43</v>
      </c>
      <c r="C74" s="361" t="s">
        <v>44</v>
      </c>
      <c r="D74" s="361" t="s">
        <v>43</v>
      </c>
      <c r="E74" s="361" t="s">
        <v>44</v>
      </c>
      <c r="F74" s="836"/>
      <c r="G74" s="836"/>
      <c r="H74" s="836"/>
      <c r="I74" s="836"/>
      <c r="J74" s="836"/>
      <c r="K74" s="836"/>
      <c r="L74" s="836"/>
      <c r="M74" s="836"/>
      <c r="N74" s="836"/>
      <c r="O74" s="836"/>
      <c r="P74" s="362" t="s">
        <v>50</v>
      </c>
      <c r="Q74" s="362" t="s">
        <v>51</v>
      </c>
      <c r="R74" s="836"/>
      <c r="S74" s="711" t="s">
        <v>173</v>
      </c>
      <c r="T74" s="711" t="s">
        <v>291</v>
      </c>
      <c r="U74" s="711" t="s">
        <v>174</v>
      </c>
      <c r="V74" s="711" t="s">
        <v>292</v>
      </c>
      <c r="W74" s="711" t="s">
        <v>28</v>
      </c>
      <c r="X74" s="711" t="s">
        <v>175</v>
      </c>
      <c r="Y74" s="727"/>
    </row>
    <row r="75" spans="1:40">
      <c r="A75" s="2" t="s">
        <v>77</v>
      </c>
      <c r="B75" s="393">
        <v>8072.06</v>
      </c>
      <c r="C75" s="393">
        <v>4081.4999999999991</v>
      </c>
      <c r="D75" s="393">
        <v>2456.89</v>
      </c>
      <c r="E75" s="393">
        <v>829.13000000000011</v>
      </c>
      <c r="F75" s="393">
        <v>27824.639999999999</v>
      </c>
      <c r="G75" s="393">
        <v>2065.11</v>
      </c>
      <c r="H75" s="393">
        <v>957.88</v>
      </c>
      <c r="I75" s="393">
        <v>0</v>
      </c>
      <c r="J75" s="393">
        <v>2324.58</v>
      </c>
      <c r="K75" s="393">
        <v>543.45000000000005</v>
      </c>
      <c r="L75" s="393">
        <v>0</v>
      </c>
      <c r="M75" s="393">
        <v>0</v>
      </c>
      <c r="N75" s="393">
        <v>0</v>
      </c>
      <c r="O75" s="393">
        <v>0</v>
      </c>
      <c r="P75" s="393">
        <v>0</v>
      </c>
      <c r="Q75" s="393">
        <v>0</v>
      </c>
      <c r="R75" s="8">
        <f t="shared" ref="R75:R101" si="66">SUM(B75:Q75)</f>
        <v>49155.24</v>
      </c>
      <c r="S75" s="370">
        <f>B75</f>
        <v>8072.06</v>
      </c>
      <c r="T75" s="370">
        <f>C75</f>
        <v>4081.4999999999991</v>
      </c>
      <c r="U75" s="370">
        <f>D75</f>
        <v>2456.89</v>
      </c>
      <c r="V75" s="370">
        <f>E75</f>
        <v>829.13000000000011</v>
      </c>
      <c r="W75" s="370">
        <f>F75+G75</f>
        <v>29889.75</v>
      </c>
      <c r="X75" s="370">
        <f>SUM(H75:Q75)</f>
        <v>3825.91</v>
      </c>
      <c r="Z75" s="390"/>
      <c r="AI75" s="363"/>
      <c r="AJ75" s="363"/>
      <c r="AK75" s="363"/>
      <c r="AL75" s="363"/>
      <c r="AM75" s="363"/>
      <c r="AN75" s="363"/>
    </row>
    <row r="76" spans="1:40">
      <c r="A76" s="2" t="s">
        <v>78</v>
      </c>
      <c r="B76" s="393">
        <v>15852.41</v>
      </c>
      <c r="C76" s="393">
        <v>11016.029999999999</v>
      </c>
      <c r="D76" s="393">
        <v>781.98</v>
      </c>
      <c r="E76" s="393">
        <v>685.31</v>
      </c>
      <c r="F76" s="393">
        <v>90321.39</v>
      </c>
      <c r="G76" s="393">
        <v>3912.84</v>
      </c>
      <c r="H76" s="393">
        <v>2838.6299999999997</v>
      </c>
      <c r="I76" s="393">
        <v>0</v>
      </c>
      <c r="J76" s="393">
        <v>5356.1500000000005</v>
      </c>
      <c r="K76" s="393">
        <v>0</v>
      </c>
      <c r="L76" s="393">
        <v>217.38</v>
      </c>
      <c r="M76" s="393">
        <v>0</v>
      </c>
      <c r="N76" s="393">
        <v>63.4</v>
      </c>
      <c r="O76" s="393">
        <v>0</v>
      </c>
      <c r="P76" s="393">
        <v>0</v>
      </c>
      <c r="Q76" s="393">
        <v>0</v>
      </c>
      <c r="R76" s="8">
        <f t="shared" si="66"/>
        <v>131045.51999999999</v>
      </c>
      <c r="S76" s="370">
        <f t="shared" ref="S76:V101" si="67">B76</f>
        <v>15852.41</v>
      </c>
      <c r="T76" s="370">
        <f t="shared" si="67"/>
        <v>11016.029999999999</v>
      </c>
      <c r="U76" s="370">
        <f t="shared" si="67"/>
        <v>781.98</v>
      </c>
      <c r="V76" s="370">
        <f t="shared" si="67"/>
        <v>685.31</v>
      </c>
      <c r="W76" s="370">
        <f t="shared" ref="W76:W101" si="68">F76+G76</f>
        <v>94234.23</v>
      </c>
      <c r="X76" s="370">
        <f t="shared" ref="X76:X101" si="69">SUM(H76:Q76)</f>
        <v>8475.56</v>
      </c>
      <c r="Z76" s="390"/>
      <c r="AI76" s="363"/>
      <c r="AJ76" s="363"/>
      <c r="AK76" s="363"/>
      <c r="AL76" s="363"/>
      <c r="AM76" s="363"/>
      <c r="AN76" s="363"/>
    </row>
    <row r="77" spans="1:40">
      <c r="A77" s="2" t="s">
        <v>79</v>
      </c>
      <c r="B77" s="393">
        <v>9728.8799999999992</v>
      </c>
      <c r="C77" s="393">
        <v>7930.3000000000011</v>
      </c>
      <c r="D77" s="393">
        <v>3540.06</v>
      </c>
      <c r="E77" s="393">
        <v>974.27</v>
      </c>
      <c r="F77" s="393">
        <v>44019.45</v>
      </c>
      <c r="G77" s="393">
        <v>3478.08</v>
      </c>
      <c r="H77" s="393">
        <v>1616.93</v>
      </c>
      <c r="I77" s="393">
        <v>293.83999999999997</v>
      </c>
      <c r="J77" s="393">
        <v>3688.7000000000003</v>
      </c>
      <c r="K77" s="393">
        <v>543.45000000000005</v>
      </c>
      <c r="L77" s="393">
        <v>0</v>
      </c>
      <c r="M77" s="393">
        <v>0</v>
      </c>
      <c r="N77" s="393">
        <v>31.7</v>
      </c>
      <c r="O77" s="393">
        <v>0</v>
      </c>
      <c r="P77" s="393">
        <v>0</v>
      </c>
      <c r="Q77" s="393">
        <v>0</v>
      </c>
      <c r="R77" s="8">
        <f t="shared" si="66"/>
        <v>75845.659999999974</v>
      </c>
      <c r="S77" s="370">
        <f t="shared" si="67"/>
        <v>9728.8799999999992</v>
      </c>
      <c r="T77" s="370">
        <f t="shared" si="67"/>
        <v>7930.3000000000011</v>
      </c>
      <c r="U77" s="370">
        <f t="shared" si="67"/>
        <v>3540.06</v>
      </c>
      <c r="V77" s="370">
        <f t="shared" si="67"/>
        <v>974.27</v>
      </c>
      <c r="W77" s="370">
        <f t="shared" si="68"/>
        <v>47497.53</v>
      </c>
      <c r="X77" s="370">
        <f t="shared" si="69"/>
        <v>6174.62</v>
      </c>
      <c r="Z77" s="390"/>
      <c r="AI77" s="363"/>
      <c r="AJ77" s="363"/>
      <c r="AK77" s="363"/>
      <c r="AL77" s="363"/>
      <c r="AM77" s="363"/>
      <c r="AN77" s="363"/>
    </row>
    <row r="78" spans="1:40">
      <c r="A78" s="2" t="s">
        <v>80</v>
      </c>
      <c r="B78" s="393">
        <v>15879.03</v>
      </c>
      <c r="C78" s="393">
        <v>8701.4999999999982</v>
      </c>
      <c r="D78" s="393">
        <v>2539.67</v>
      </c>
      <c r="E78" s="393">
        <v>838.25999999999976</v>
      </c>
      <c r="F78" s="393">
        <v>70648.5</v>
      </c>
      <c r="G78" s="393">
        <v>1304.28</v>
      </c>
      <c r="H78" s="393">
        <v>2291.0800000000004</v>
      </c>
      <c r="I78" s="393">
        <v>0</v>
      </c>
      <c r="J78" s="393">
        <v>4383.18</v>
      </c>
      <c r="K78" s="393">
        <v>326.07</v>
      </c>
      <c r="L78" s="393">
        <v>0</v>
      </c>
      <c r="M78" s="393">
        <v>793.2</v>
      </c>
      <c r="N78" s="393">
        <v>63.4</v>
      </c>
      <c r="O78" s="393">
        <v>0</v>
      </c>
      <c r="P78" s="393">
        <v>33.85</v>
      </c>
      <c r="Q78" s="393">
        <v>338.48</v>
      </c>
      <c r="R78" s="8">
        <f t="shared" si="66"/>
        <v>108140.5</v>
      </c>
      <c r="S78" s="370">
        <f t="shared" si="67"/>
        <v>15879.03</v>
      </c>
      <c r="T78" s="370">
        <f t="shared" si="67"/>
        <v>8701.4999999999982</v>
      </c>
      <c r="U78" s="370">
        <f t="shared" si="67"/>
        <v>2539.67</v>
      </c>
      <c r="V78" s="370">
        <f t="shared" si="67"/>
        <v>838.25999999999976</v>
      </c>
      <c r="W78" s="370">
        <f t="shared" si="68"/>
        <v>71952.78</v>
      </c>
      <c r="X78" s="370">
        <f t="shared" si="69"/>
        <v>8229.26</v>
      </c>
      <c r="Z78" s="390"/>
      <c r="AI78" s="363"/>
      <c r="AJ78" s="363"/>
      <c r="AK78" s="363"/>
      <c r="AL78" s="363"/>
      <c r="AM78" s="363"/>
      <c r="AN78" s="363"/>
    </row>
    <row r="79" spans="1:40">
      <c r="A79" s="2" t="s">
        <v>81</v>
      </c>
      <c r="B79" s="393">
        <v>74866.460000000006</v>
      </c>
      <c r="C79" s="393">
        <v>29127.279999999984</v>
      </c>
      <c r="D79" s="393">
        <v>11881.14</v>
      </c>
      <c r="E79" s="393">
        <v>3925.2800000000007</v>
      </c>
      <c r="F79" s="393">
        <v>237378.96</v>
      </c>
      <c r="G79" s="393">
        <v>7282.23</v>
      </c>
      <c r="H79" s="393">
        <v>9039.9499999999989</v>
      </c>
      <c r="I79" s="393">
        <v>0</v>
      </c>
      <c r="J79" s="393">
        <v>18997.84</v>
      </c>
      <c r="K79" s="393">
        <v>1956.42</v>
      </c>
      <c r="L79" s="393">
        <v>0</v>
      </c>
      <c r="M79" s="393">
        <v>0</v>
      </c>
      <c r="N79" s="393">
        <v>285.3</v>
      </c>
      <c r="O79" s="393">
        <v>0</v>
      </c>
      <c r="P79" s="393">
        <v>0</v>
      </c>
      <c r="Q79" s="393">
        <v>0</v>
      </c>
      <c r="R79" s="8">
        <f t="shared" si="66"/>
        <v>394740.86</v>
      </c>
      <c r="S79" s="370">
        <f t="shared" si="67"/>
        <v>74866.460000000006</v>
      </c>
      <c r="T79" s="370">
        <f t="shared" si="67"/>
        <v>29127.279999999984</v>
      </c>
      <c r="U79" s="370">
        <f t="shared" si="67"/>
        <v>11881.14</v>
      </c>
      <c r="V79" s="370">
        <f t="shared" si="67"/>
        <v>3925.2800000000007</v>
      </c>
      <c r="W79" s="370">
        <f t="shared" si="68"/>
        <v>244661.19</v>
      </c>
      <c r="X79" s="370">
        <f t="shared" si="69"/>
        <v>30279.51</v>
      </c>
      <c r="Z79" s="390"/>
      <c r="AI79" s="363"/>
      <c r="AJ79" s="363"/>
      <c r="AK79" s="363"/>
      <c r="AL79" s="363"/>
      <c r="AM79" s="363"/>
      <c r="AN79" s="363"/>
    </row>
    <row r="80" spans="1:40">
      <c r="A80" s="2" t="s">
        <v>82</v>
      </c>
      <c r="B80" s="393">
        <v>56839.27</v>
      </c>
      <c r="C80" s="393">
        <v>48026.23</v>
      </c>
      <c r="D80" s="393">
        <v>5103.1400000000003</v>
      </c>
      <c r="E80" s="393">
        <v>2754.3099999999995</v>
      </c>
      <c r="F80" s="393">
        <v>168469.5</v>
      </c>
      <c r="G80" s="393">
        <v>3369.3900000000003</v>
      </c>
      <c r="H80" s="393">
        <v>11100.400000000001</v>
      </c>
      <c r="I80" s="393">
        <v>0</v>
      </c>
      <c r="J80" s="393">
        <v>20551.16</v>
      </c>
      <c r="K80" s="393">
        <v>652.14</v>
      </c>
      <c r="L80" s="393">
        <v>0</v>
      </c>
      <c r="M80" s="393">
        <v>443.83</v>
      </c>
      <c r="N80" s="393">
        <v>380.4</v>
      </c>
      <c r="O80" s="393">
        <v>0</v>
      </c>
      <c r="P80" s="393">
        <v>68.28</v>
      </c>
      <c r="Q80" s="393">
        <v>2524.09</v>
      </c>
      <c r="R80" s="8">
        <f t="shared" si="66"/>
        <v>320282.14000000013</v>
      </c>
      <c r="S80" s="370">
        <f t="shared" si="67"/>
        <v>56839.27</v>
      </c>
      <c r="T80" s="370">
        <f t="shared" si="67"/>
        <v>48026.23</v>
      </c>
      <c r="U80" s="370">
        <f t="shared" si="67"/>
        <v>5103.1400000000003</v>
      </c>
      <c r="V80" s="370">
        <f t="shared" si="67"/>
        <v>2754.3099999999995</v>
      </c>
      <c r="W80" s="370">
        <f t="shared" si="68"/>
        <v>171838.89</v>
      </c>
      <c r="X80" s="370">
        <f t="shared" si="69"/>
        <v>35720.300000000003</v>
      </c>
      <c r="Z80" s="390"/>
      <c r="AI80" s="363"/>
      <c r="AJ80" s="363"/>
      <c r="AK80" s="363"/>
      <c r="AL80" s="363"/>
      <c r="AM80" s="363"/>
      <c r="AN80" s="363"/>
    </row>
    <row r="81" spans="1:40">
      <c r="A81" s="2" t="s">
        <v>83</v>
      </c>
      <c r="B81" s="393">
        <v>85324.06</v>
      </c>
      <c r="C81" s="393">
        <v>67211.079999999987</v>
      </c>
      <c r="D81" s="393">
        <v>13043.65</v>
      </c>
      <c r="E81" s="393">
        <v>6297.590000000002</v>
      </c>
      <c r="F81" s="393">
        <v>155861.46</v>
      </c>
      <c r="G81" s="393">
        <v>6086.64</v>
      </c>
      <c r="H81" s="393">
        <v>15975.64</v>
      </c>
      <c r="I81" s="393">
        <v>0</v>
      </c>
      <c r="J81" s="393">
        <v>31312.21</v>
      </c>
      <c r="K81" s="393">
        <v>434.76</v>
      </c>
      <c r="L81" s="393">
        <v>217.38</v>
      </c>
      <c r="M81" s="393">
        <v>1131.74</v>
      </c>
      <c r="N81" s="393">
        <v>729.1</v>
      </c>
      <c r="O81" s="393">
        <v>0</v>
      </c>
      <c r="P81" s="393">
        <v>0</v>
      </c>
      <c r="Q81" s="393">
        <v>0</v>
      </c>
      <c r="R81" s="8">
        <f t="shared" si="66"/>
        <v>383625.31</v>
      </c>
      <c r="S81" s="370">
        <f t="shared" si="67"/>
        <v>85324.06</v>
      </c>
      <c r="T81" s="370">
        <f t="shared" si="67"/>
        <v>67211.079999999987</v>
      </c>
      <c r="U81" s="370">
        <f t="shared" si="67"/>
        <v>13043.65</v>
      </c>
      <c r="V81" s="370">
        <f t="shared" si="67"/>
        <v>6297.590000000002</v>
      </c>
      <c r="W81" s="370">
        <f t="shared" si="68"/>
        <v>161948.1</v>
      </c>
      <c r="X81" s="370">
        <f t="shared" si="69"/>
        <v>49800.829999999994</v>
      </c>
      <c r="Z81" s="390"/>
      <c r="AI81" s="363"/>
      <c r="AJ81" s="363"/>
      <c r="AK81" s="363"/>
      <c r="AL81" s="363"/>
      <c r="AM81" s="363"/>
      <c r="AN81" s="363"/>
    </row>
    <row r="82" spans="1:40">
      <c r="A82" s="2" t="s">
        <v>84</v>
      </c>
      <c r="B82" s="393">
        <v>67055.37</v>
      </c>
      <c r="C82" s="393">
        <v>20554.820000000007</v>
      </c>
      <c r="D82" s="393">
        <v>6971.72</v>
      </c>
      <c r="E82" s="393">
        <v>2998.7</v>
      </c>
      <c r="F82" s="393">
        <v>171078.06</v>
      </c>
      <c r="G82" s="393">
        <v>3695.46</v>
      </c>
      <c r="H82" s="393">
        <v>6657.8099999999995</v>
      </c>
      <c r="I82" s="393">
        <v>362.31</v>
      </c>
      <c r="J82" s="393">
        <v>16660.740000000002</v>
      </c>
      <c r="K82" s="393">
        <v>543.45000000000005</v>
      </c>
      <c r="L82" s="393">
        <v>217.38</v>
      </c>
      <c r="M82" s="393">
        <v>0</v>
      </c>
      <c r="N82" s="393">
        <v>348.7</v>
      </c>
      <c r="O82" s="393">
        <v>0</v>
      </c>
      <c r="P82" s="393">
        <v>0</v>
      </c>
      <c r="Q82" s="393">
        <v>0</v>
      </c>
      <c r="R82" s="8">
        <f t="shared" si="66"/>
        <v>297144.52</v>
      </c>
      <c r="S82" s="370">
        <f t="shared" si="67"/>
        <v>67055.37</v>
      </c>
      <c r="T82" s="370">
        <f t="shared" si="67"/>
        <v>20554.820000000007</v>
      </c>
      <c r="U82" s="370">
        <f t="shared" si="67"/>
        <v>6971.72</v>
      </c>
      <c r="V82" s="370">
        <f t="shared" si="67"/>
        <v>2998.7</v>
      </c>
      <c r="W82" s="370">
        <f t="shared" si="68"/>
        <v>174773.52</v>
      </c>
      <c r="X82" s="370">
        <f t="shared" si="69"/>
        <v>24790.390000000003</v>
      </c>
      <c r="Z82" s="390"/>
      <c r="AI82" s="363"/>
      <c r="AJ82" s="363"/>
      <c r="AK82" s="363"/>
      <c r="AL82" s="363"/>
      <c r="AM82" s="363"/>
      <c r="AN82" s="363"/>
    </row>
    <row r="83" spans="1:40">
      <c r="A83" s="2" t="s">
        <v>85</v>
      </c>
      <c r="B83" s="393">
        <v>70845.17</v>
      </c>
      <c r="C83" s="393">
        <v>71875.740000000005</v>
      </c>
      <c r="D83" s="393">
        <v>8263.6200000000008</v>
      </c>
      <c r="E83" s="393">
        <v>6103.3599999999988</v>
      </c>
      <c r="F83" s="393">
        <v>300527.84999999998</v>
      </c>
      <c r="G83" s="393">
        <v>6086.6399999999994</v>
      </c>
      <c r="H83" s="393">
        <v>17156.240000000002</v>
      </c>
      <c r="I83" s="393">
        <v>1295.4100000000001</v>
      </c>
      <c r="J83" s="393">
        <v>25555.960000000003</v>
      </c>
      <c r="K83" s="393">
        <v>760.83</v>
      </c>
      <c r="L83" s="393">
        <v>0</v>
      </c>
      <c r="M83" s="393">
        <v>0</v>
      </c>
      <c r="N83" s="393">
        <v>317</v>
      </c>
      <c r="O83" s="393">
        <v>0</v>
      </c>
      <c r="P83" s="393">
        <v>0</v>
      </c>
      <c r="Q83" s="393">
        <v>0</v>
      </c>
      <c r="R83" s="8">
        <f t="shared" si="66"/>
        <v>508787.82</v>
      </c>
      <c r="S83" s="370">
        <f t="shared" si="67"/>
        <v>70845.17</v>
      </c>
      <c r="T83" s="370">
        <f t="shared" si="67"/>
        <v>71875.740000000005</v>
      </c>
      <c r="U83" s="370">
        <f t="shared" si="67"/>
        <v>8263.6200000000008</v>
      </c>
      <c r="V83" s="370">
        <f t="shared" si="67"/>
        <v>6103.3599999999988</v>
      </c>
      <c r="W83" s="370">
        <f t="shared" si="68"/>
        <v>306614.49</v>
      </c>
      <c r="X83" s="370">
        <f t="shared" si="69"/>
        <v>45085.440000000002</v>
      </c>
      <c r="Z83" s="390"/>
      <c r="AI83" s="363"/>
      <c r="AJ83" s="363"/>
      <c r="AK83" s="363"/>
      <c r="AL83" s="363"/>
      <c r="AM83" s="363"/>
      <c r="AN83" s="363"/>
    </row>
    <row r="84" spans="1:40">
      <c r="A84" s="2" t="s">
        <v>86</v>
      </c>
      <c r="B84" s="393">
        <v>17624.68</v>
      </c>
      <c r="C84" s="393">
        <v>8469.09</v>
      </c>
      <c r="D84" s="393">
        <v>2179.52</v>
      </c>
      <c r="E84" s="393">
        <v>1521.3600000000001</v>
      </c>
      <c r="F84" s="393">
        <v>72822.3</v>
      </c>
      <c r="G84" s="393">
        <v>3043.32</v>
      </c>
      <c r="H84" s="393">
        <v>2275.9899999999998</v>
      </c>
      <c r="I84" s="393">
        <v>1594.15</v>
      </c>
      <c r="J84" s="393">
        <v>5201.71</v>
      </c>
      <c r="K84" s="393">
        <v>652.14</v>
      </c>
      <c r="L84" s="393">
        <v>0</v>
      </c>
      <c r="M84" s="393">
        <v>0</v>
      </c>
      <c r="N84" s="393">
        <v>63.4</v>
      </c>
      <c r="O84" s="393">
        <v>0</v>
      </c>
      <c r="P84" s="393">
        <v>0</v>
      </c>
      <c r="Q84" s="393">
        <v>0</v>
      </c>
      <c r="R84" s="8">
        <f t="shared" si="66"/>
        <v>115447.66000000002</v>
      </c>
      <c r="S84" s="370">
        <f t="shared" si="67"/>
        <v>17624.68</v>
      </c>
      <c r="T84" s="370">
        <f t="shared" si="67"/>
        <v>8469.09</v>
      </c>
      <c r="U84" s="370">
        <f t="shared" si="67"/>
        <v>2179.52</v>
      </c>
      <c r="V84" s="370">
        <f t="shared" si="67"/>
        <v>1521.3600000000001</v>
      </c>
      <c r="W84" s="370">
        <f t="shared" si="68"/>
        <v>75865.62000000001</v>
      </c>
      <c r="X84" s="370">
        <f t="shared" si="69"/>
        <v>9787.39</v>
      </c>
      <c r="Z84" s="390"/>
      <c r="AI84" s="363"/>
      <c r="AJ84" s="363"/>
      <c r="AK84" s="363"/>
      <c r="AL84" s="363"/>
      <c r="AM84" s="363"/>
      <c r="AN84" s="363"/>
    </row>
    <row r="85" spans="1:40">
      <c r="A85" s="2" t="s">
        <v>87</v>
      </c>
      <c r="B85" s="393">
        <v>32583.08</v>
      </c>
      <c r="C85" s="393">
        <v>16733.580000000002</v>
      </c>
      <c r="D85" s="393">
        <v>21857.200000000001</v>
      </c>
      <c r="E85" s="393">
        <v>2157.0199999999968</v>
      </c>
      <c r="F85" s="393">
        <v>308788.28999999998</v>
      </c>
      <c r="G85" s="393">
        <v>4238.91</v>
      </c>
      <c r="H85" s="393">
        <v>5604.86</v>
      </c>
      <c r="I85" s="393">
        <v>2066.0500000000002</v>
      </c>
      <c r="J85" s="393">
        <v>9300.7699999999986</v>
      </c>
      <c r="K85" s="393">
        <v>543.45000000000005</v>
      </c>
      <c r="L85" s="393">
        <v>0</v>
      </c>
      <c r="M85" s="393">
        <v>0</v>
      </c>
      <c r="N85" s="393">
        <v>0</v>
      </c>
      <c r="O85" s="393">
        <v>52.83</v>
      </c>
      <c r="P85" s="393">
        <v>0</v>
      </c>
      <c r="Q85" s="393">
        <v>0</v>
      </c>
      <c r="R85" s="8">
        <f t="shared" si="66"/>
        <v>403926.04</v>
      </c>
      <c r="S85" s="370">
        <f t="shared" si="67"/>
        <v>32583.08</v>
      </c>
      <c r="T85" s="370">
        <f t="shared" si="67"/>
        <v>16733.580000000002</v>
      </c>
      <c r="U85" s="370">
        <f t="shared" si="67"/>
        <v>21857.200000000001</v>
      </c>
      <c r="V85" s="370">
        <f t="shared" si="67"/>
        <v>2157.0199999999968</v>
      </c>
      <c r="W85" s="370">
        <f t="shared" si="68"/>
        <v>313027.19999999995</v>
      </c>
      <c r="X85" s="370">
        <f t="shared" si="69"/>
        <v>17567.960000000003</v>
      </c>
      <c r="Z85" s="390"/>
      <c r="AI85" s="363"/>
      <c r="AJ85" s="363"/>
      <c r="AK85" s="363"/>
      <c r="AL85" s="363"/>
      <c r="AM85" s="363"/>
      <c r="AN85" s="363"/>
    </row>
    <row r="86" spans="1:40">
      <c r="A86" s="2" t="s">
        <v>88</v>
      </c>
      <c r="B86" s="393">
        <v>24333.33</v>
      </c>
      <c r="C86" s="393">
        <v>22359.089999999997</v>
      </c>
      <c r="D86" s="393">
        <v>10112.94</v>
      </c>
      <c r="E86" s="393">
        <v>11813.72</v>
      </c>
      <c r="F86" s="393">
        <v>196402.83</v>
      </c>
      <c r="G86" s="393">
        <v>3369.39</v>
      </c>
      <c r="H86" s="393">
        <v>16479.490000000002</v>
      </c>
      <c r="I86" s="393">
        <v>10901.78</v>
      </c>
      <c r="J86" s="393">
        <v>10447.200000000001</v>
      </c>
      <c r="K86" s="393">
        <v>869.52</v>
      </c>
      <c r="L86" s="393">
        <v>0</v>
      </c>
      <c r="M86" s="393">
        <v>0</v>
      </c>
      <c r="N86" s="393">
        <v>63.4</v>
      </c>
      <c r="O86" s="393">
        <v>0</v>
      </c>
      <c r="P86" s="393">
        <v>75.52</v>
      </c>
      <c r="Q86" s="393">
        <v>0</v>
      </c>
      <c r="R86" s="8">
        <f t="shared" si="66"/>
        <v>307228.21000000008</v>
      </c>
      <c r="S86" s="370">
        <f t="shared" si="67"/>
        <v>24333.33</v>
      </c>
      <c r="T86" s="370">
        <f t="shared" si="67"/>
        <v>22359.089999999997</v>
      </c>
      <c r="U86" s="370">
        <f t="shared" si="67"/>
        <v>10112.94</v>
      </c>
      <c r="V86" s="370">
        <f t="shared" si="67"/>
        <v>11813.72</v>
      </c>
      <c r="W86" s="370">
        <f t="shared" si="68"/>
        <v>199772.22</v>
      </c>
      <c r="X86" s="370">
        <f t="shared" si="69"/>
        <v>38836.909999999996</v>
      </c>
      <c r="Z86" s="390"/>
      <c r="AI86" s="363"/>
      <c r="AJ86" s="363"/>
      <c r="AK86" s="363"/>
      <c r="AL86" s="363"/>
      <c r="AM86" s="363"/>
      <c r="AN86" s="363"/>
    </row>
    <row r="87" spans="1:40">
      <c r="A87" s="2" t="s">
        <v>89</v>
      </c>
      <c r="B87" s="393">
        <v>114924.18</v>
      </c>
      <c r="C87" s="393">
        <v>74571.360000000015</v>
      </c>
      <c r="D87" s="393">
        <v>26429.38</v>
      </c>
      <c r="E87" s="393">
        <v>15914.859999999997</v>
      </c>
      <c r="F87" s="393">
        <v>604533.78</v>
      </c>
      <c r="G87" s="393">
        <v>16303.5</v>
      </c>
      <c r="H87" s="393">
        <v>23141.95</v>
      </c>
      <c r="I87" s="393">
        <v>978.21</v>
      </c>
      <c r="J87" s="393">
        <v>38336.990000000005</v>
      </c>
      <c r="K87" s="393">
        <v>1956.42</v>
      </c>
      <c r="L87" s="393">
        <v>217.38</v>
      </c>
      <c r="M87" s="393">
        <v>0</v>
      </c>
      <c r="N87" s="393">
        <v>760.8</v>
      </c>
      <c r="O87" s="393">
        <v>0</v>
      </c>
      <c r="P87" s="393">
        <v>0</v>
      </c>
      <c r="Q87" s="393">
        <v>0</v>
      </c>
      <c r="R87" s="8">
        <f t="shared" si="66"/>
        <v>918068.81</v>
      </c>
      <c r="S87" s="370">
        <f t="shared" si="67"/>
        <v>114924.18</v>
      </c>
      <c r="T87" s="370">
        <f t="shared" si="67"/>
        <v>74571.360000000015</v>
      </c>
      <c r="U87" s="370">
        <f t="shared" si="67"/>
        <v>26429.38</v>
      </c>
      <c r="V87" s="370">
        <f t="shared" si="67"/>
        <v>15914.859999999997</v>
      </c>
      <c r="W87" s="370">
        <f t="shared" si="68"/>
        <v>620837.28</v>
      </c>
      <c r="X87" s="370">
        <f t="shared" si="69"/>
        <v>65391.750000000007</v>
      </c>
      <c r="Z87" s="390"/>
      <c r="AI87" s="363"/>
      <c r="AJ87" s="363"/>
      <c r="AK87" s="363"/>
      <c r="AL87" s="363"/>
      <c r="AM87" s="363"/>
      <c r="AN87" s="363"/>
    </row>
    <row r="88" spans="1:40">
      <c r="A88" s="2" t="s">
        <v>90</v>
      </c>
      <c r="B88" s="393">
        <v>23928.46</v>
      </c>
      <c r="C88" s="393">
        <v>15984.520000000004</v>
      </c>
      <c r="D88" s="393">
        <v>6535.22</v>
      </c>
      <c r="E88" s="393">
        <v>928.75999999999931</v>
      </c>
      <c r="F88" s="393">
        <v>103255.5</v>
      </c>
      <c r="G88" s="393">
        <v>6412.7099999999991</v>
      </c>
      <c r="H88" s="393">
        <v>4328.3600000000006</v>
      </c>
      <c r="I88" s="393">
        <v>0</v>
      </c>
      <c r="J88" s="393">
        <v>7873.79</v>
      </c>
      <c r="K88" s="393">
        <v>217.38</v>
      </c>
      <c r="L88" s="393">
        <v>0</v>
      </c>
      <c r="M88" s="393">
        <v>0</v>
      </c>
      <c r="N88" s="393">
        <v>95.1</v>
      </c>
      <c r="O88" s="393">
        <v>0</v>
      </c>
      <c r="P88" s="393">
        <v>0</v>
      </c>
      <c r="Q88" s="393">
        <v>0</v>
      </c>
      <c r="R88" s="8">
        <f t="shared" si="66"/>
        <v>169559.80000000005</v>
      </c>
      <c r="S88" s="370">
        <f t="shared" si="67"/>
        <v>23928.46</v>
      </c>
      <c r="T88" s="370">
        <f t="shared" si="67"/>
        <v>15984.520000000004</v>
      </c>
      <c r="U88" s="370">
        <f t="shared" si="67"/>
        <v>6535.22</v>
      </c>
      <c r="V88" s="370">
        <f t="shared" si="67"/>
        <v>928.75999999999931</v>
      </c>
      <c r="W88" s="370">
        <f t="shared" si="68"/>
        <v>109668.20999999999</v>
      </c>
      <c r="X88" s="370">
        <f t="shared" si="69"/>
        <v>12514.630000000001</v>
      </c>
      <c r="Z88" s="390"/>
      <c r="AI88" s="363"/>
      <c r="AJ88" s="363"/>
      <c r="AK88" s="363"/>
      <c r="AL88" s="363"/>
      <c r="AM88" s="363"/>
      <c r="AN88" s="363"/>
    </row>
    <row r="89" spans="1:40">
      <c r="A89" s="2" t="s">
        <v>91</v>
      </c>
      <c r="B89" s="393">
        <v>45587.63</v>
      </c>
      <c r="C89" s="393">
        <v>31701.32</v>
      </c>
      <c r="D89" s="393">
        <v>7152.34</v>
      </c>
      <c r="E89" s="393">
        <v>7495.4500000000007</v>
      </c>
      <c r="F89" s="393">
        <v>119232.93</v>
      </c>
      <c r="G89" s="393">
        <v>2499.87</v>
      </c>
      <c r="H89" s="393">
        <v>8377.76</v>
      </c>
      <c r="I89" s="393">
        <v>0</v>
      </c>
      <c r="J89" s="393">
        <v>16071.83</v>
      </c>
      <c r="K89" s="393">
        <v>326.07</v>
      </c>
      <c r="L89" s="393">
        <v>217.38</v>
      </c>
      <c r="M89" s="393">
        <v>0</v>
      </c>
      <c r="N89" s="393">
        <v>95.1</v>
      </c>
      <c r="O89" s="393">
        <v>0</v>
      </c>
      <c r="P89" s="393">
        <v>34.36</v>
      </c>
      <c r="Q89" s="393">
        <v>729.99</v>
      </c>
      <c r="R89" s="8">
        <f t="shared" si="66"/>
        <v>239522.02999999997</v>
      </c>
      <c r="S89" s="370">
        <f t="shared" si="67"/>
        <v>45587.63</v>
      </c>
      <c r="T89" s="370">
        <f t="shared" si="67"/>
        <v>31701.32</v>
      </c>
      <c r="U89" s="370">
        <f t="shared" si="67"/>
        <v>7152.34</v>
      </c>
      <c r="V89" s="370">
        <f t="shared" si="67"/>
        <v>7495.4500000000007</v>
      </c>
      <c r="W89" s="370">
        <f t="shared" si="68"/>
        <v>121732.79999999999</v>
      </c>
      <c r="X89" s="370">
        <f t="shared" si="69"/>
        <v>25852.49</v>
      </c>
      <c r="Z89" s="390"/>
      <c r="AI89" s="363"/>
      <c r="AJ89" s="363"/>
      <c r="AK89" s="363"/>
      <c r="AL89" s="363"/>
      <c r="AM89" s="363"/>
      <c r="AN89" s="363"/>
    </row>
    <row r="90" spans="1:40">
      <c r="A90" s="2" t="s">
        <v>92</v>
      </c>
      <c r="B90" s="393">
        <v>103652.08</v>
      </c>
      <c r="C90" s="393">
        <v>46606.87000000001</v>
      </c>
      <c r="D90" s="393">
        <v>46858.74</v>
      </c>
      <c r="E90" s="393">
        <v>15433.670000000006</v>
      </c>
      <c r="F90" s="393">
        <v>680182.02</v>
      </c>
      <c r="G90" s="393">
        <v>8695.2000000000007</v>
      </c>
      <c r="H90" s="393">
        <v>15411.4</v>
      </c>
      <c r="I90" s="393">
        <v>9619.1299999999992</v>
      </c>
      <c r="J90" s="393">
        <v>30551.040000000001</v>
      </c>
      <c r="K90" s="393">
        <v>3043.32</v>
      </c>
      <c r="L90" s="393">
        <v>434.76</v>
      </c>
      <c r="M90" s="393">
        <v>0</v>
      </c>
      <c r="N90" s="393">
        <v>380.4</v>
      </c>
      <c r="O90" s="393">
        <v>0</v>
      </c>
      <c r="P90" s="393">
        <v>0</v>
      </c>
      <c r="Q90" s="393">
        <v>0</v>
      </c>
      <c r="R90" s="8">
        <f t="shared" si="66"/>
        <v>960868.63</v>
      </c>
      <c r="S90" s="370">
        <f t="shared" si="67"/>
        <v>103652.08</v>
      </c>
      <c r="T90" s="370">
        <f t="shared" si="67"/>
        <v>46606.87000000001</v>
      </c>
      <c r="U90" s="370">
        <f t="shared" si="67"/>
        <v>46858.74</v>
      </c>
      <c r="V90" s="370">
        <f t="shared" si="67"/>
        <v>15433.670000000006</v>
      </c>
      <c r="W90" s="370">
        <f t="shared" si="68"/>
        <v>688877.22</v>
      </c>
      <c r="X90" s="370">
        <f t="shared" si="69"/>
        <v>59440.05</v>
      </c>
      <c r="Z90" s="390"/>
      <c r="AI90" s="363"/>
      <c r="AJ90" s="363"/>
      <c r="AK90" s="363"/>
      <c r="AL90" s="363"/>
      <c r="AM90" s="363"/>
      <c r="AN90" s="363"/>
    </row>
    <row r="91" spans="1:40">
      <c r="A91" s="2" t="s">
        <v>93</v>
      </c>
      <c r="B91" s="393">
        <v>50537.27</v>
      </c>
      <c r="C91" s="393">
        <v>30601.170000000006</v>
      </c>
      <c r="D91" s="393">
        <v>8386.86</v>
      </c>
      <c r="E91" s="393">
        <v>2459.9700000000012</v>
      </c>
      <c r="F91" s="393">
        <v>204011.13</v>
      </c>
      <c r="G91" s="393">
        <v>9999.48</v>
      </c>
      <c r="H91" s="393">
        <v>7661.34</v>
      </c>
      <c r="I91" s="393">
        <v>1431.09</v>
      </c>
      <c r="J91" s="393">
        <v>15102.859999999999</v>
      </c>
      <c r="K91" s="393">
        <v>217.38</v>
      </c>
      <c r="L91" s="393">
        <v>217.38</v>
      </c>
      <c r="M91" s="393">
        <v>0</v>
      </c>
      <c r="N91" s="393">
        <v>253.6</v>
      </c>
      <c r="O91" s="393">
        <v>0</v>
      </c>
      <c r="P91" s="393">
        <v>0</v>
      </c>
      <c r="Q91" s="393">
        <v>0</v>
      </c>
      <c r="R91" s="8">
        <f t="shared" si="66"/>
        <v>330879.53000000003</v>
      </c>
      <c r="S91" s="370">
        <f t="shared" si="67"/>
        <v>50537.27</v>
      </c>
      <c r="T91" s="370">
        <f t="shared" si="67"/>
        <v>30601.170000000006</v>
      </c>
      <c r="U91" s="370">
        <f t="shared" si="67"/>
        <v>8386.86</v>
      </c>
      <c r="V91" s="370">
        <f t="shared" si="67"/>
        <v>2459.9700000000012</v>
      </c>
      <c r="W91" s="370">
        <f t="shared" si="68"/>
        <v>214010.61000000002</v>
      </c>
      <c r="X91" s="370">
        <f t="shared" si="69"/>
        <v>24883.65</v>
      </c>
      <c r="Z91" s="390"/>
      <c r="AI91" s="363"/>
      <c r="AJ91" s="363"/>
      <c r="AK91" s="363"/>
      <c r="AL91" s="363"/>
      <c r="AM91" s="363"/>
      <c r="AN91" s="363"/>
    </row>
    <row r="92" spans="1:40">
      <c r="A92" s="2" t="s">
        <v>94</v>
      </c>
      <c r="B92" s="393">
        <v>15372.79</v>
      </c>
      <c r="C92" s="393">
        <v>5315.93</v>
      </c>
      <c r="D92" s="393">
        <v>4691.8999999999996</v>
      </c>
      <c r="E92" s="393">
        <v>1044.83</v>
      </c>
      <c r="F92" s="393">
        <v>50649.54</v>
      </c>
      <c r="G92" s="393">
        <v>1630.35</v>
      </c>
      <c r="H92" s="393">
        <v>1269.17</v>
      </c>
      <c r="I92" s="393">
        <v>0</v>
      </c>
      <c r="J92" s="393">
        <v>3723.93</v>
      </c>
      <c r="K92" s="393">
        <v>434.76</v>
      </c>
      <c r="L92" s="393">
        <v>0</v>
      </c>
      <c r="M92" s="393">
        <v>0</v>
      </c>
      <c r="N92" s="393">
        <v>0</v>
      </c>
      <c r="O92" s="393">
        <v>0</v>
      </c>
      <c r="P92" s="393">
        <v>0</v>
      </c>
      <c r="Q92" s="393">
        <v>0</v>
      </c>
      <c r="R92" s="8">
        <f t="shared" si="66"/>
        <v>84133.2</v>
      </c>
      <c r="S92" s="370">
        <f t="shared" si="67"/>
        <v>15372.79</v>
      </c>
      <c r="T92" s="370">
        <f t="shared" si="67"/>
        <v>5315.93</v>
      </c>
      <c r="U92" s="370">
        <f t="shared" si="67"/>
        <v>4691.8999999999996</v>
      </c>
      <c r="V92" s="370">
        <f t="shared" si="67"/>
        <v>1044.83</v>
      </c>
      <c r="W92" s="370">
        <f t="shared" si="68"/>
        <v>52279.89</v>
      </c>
      <c r="X92" s="370">
        <f t="shared" si="69"/>
        <v>5427.8600000000006</v>
      </c>
      <c r="Z92" s="390"/>
      <c r="AI92" s="363"/>
      <c r="AJ92" s="363"/>
      <c r="AK92" s="363"/>
      <c r="AL92" s="363"/>
      <c r="AM92" s="363"/>
      <c r="AN92" s="363"/>
    </row>
    <row r="93" spans="1:40">
      <c r="A93" s="2" t="s">
        <v>95</v>
      </c>
      <c r="B93" s="393">
        <v>178518.38</v>
      </c>
      <c r="C93" s="393">
        <v>71139.13</v>
      </c>
      <c r="D93" s="393">
        <v>46885.23</v>
      </c>
      <c r="E93" s="393">
        <v>11841.900000000001</v>
      </c>
      <c r="F93" s="393">
        <v>631814.97</v>
      </c>
      <c r="G93" s="393">
        <v>17390.399999999998</v>
      </c>
      <c r="H93" s="393">
        <v>20743.129999999997</v>
      </c>
      <c r="I93" s="393">
        <v>293.85000000000002</v>
      </c>
      <c r="J93" s="393">
        <v>49502.95</v>
      </c>
      <c r="K93" s="393">
        <v>2825.94</v>
      </c>
      <c r="L93" s="393">
        <v>217.38</v>
      </c>
      <c r="M93" s="393">
        <v>0</v>
      </c>
      <c r="N93" s="393">
        <v>887.6</v>
      </c>
      <c r="O93" s="393">
        <v>0</v>
      </c>
      <c r="P93" s="393">
        <v>0</v>
      </c>
      <c r="Q93" s="393">
        <v>0</v>
      </c>
      <c r="R93" s="8">
        <f t="shared" si="66"/>
        <v>1032060.8599999999</v>
      </c>
      <c r="S93" s="370">
        <f t="shared" si="67"/>
        <v>178518.38</v>
      </c>
      <c r="T93" s="370">
        <f t="shared" si="67"/>
        <v>71139.13</v>
      </c>
      <c r="U93" s="370">
        <f t="shared" si="67"/>
        <v>46885.23</v>
      </c>
      <c r="V93" s="370">
        <f t="shared" si="67"/>
        <v>11841.900000000001</v>
      </c>
      <c r="W93" s="370">
        <f t="shared" si="68"/>
        <v>649205.37</v>
      </c>
      <c r="X93" s="370">
        <f t="shared" si="69"/>
        <v>74470.850000000006</v>
      </c>
      <c r="Z93" s="390"/>
      <c r="AI93" s="363"/>
      <c r="AJ93" s="363"/>
      <c r="AK93" s="363"/>
      <c r="AL93" s="363"/>
      <c r="AM93" s="363"/>
      <c r="AN93" s="363"/>
    </row>
    <row r="94" spans="1:40">
      <c r="A94" s="2" t="s">
        <v>96</v>
      </c>
      <c r="B94" s="393">
        <v>16240.73</v>
      </c>
      <c r="C94" s="393">
        <v>13126.310000000001</v>
      </c>
      <c r="D94" s="393">
        <v>4475.2700000000004</v>
      </c>
      <c r="E94" s="393">
        <v>1342.8199999999997</v>
      </c>
      <c r="F94" s="393">
        <v>94995.06</v>
      </c>
      <c r="G94" s="393">
        <v>3912.84</v>
      </c>
      <c r="H94" s="393">
        <v>4550.9399999999996</v>
      </c>
      <c r="I94" s="393">
        <v>317.02</v>
      </c>
      <c r="J94" s="393">
        <v>5910.6500000000005</v>
      </c>
      <c r="K94" s="393">
        <v>0</v>
      </c>
      <c r="L94" s="393">
        <v>217.38</v>
      </c>
      <c r="M94" s="393">
        <v>0</v>
      </c>
      <c r="N94" s="393">
        <v>126.8</v>
      </c>
      <c r="O94" s="393">
        <v>0</v>
      </c>
      <c r="P94" s="393">
        <v>0</v>
      </c>
      <c r="Q94" s="393">
        <v>0</v>
      </c>
      <c r="R94" s="8">
        <f t="shared" si="66"/>
        <v>145215.81999999998</v>
      </c>
      <c r="S94" s="370">
        <f t="shared" si="67"/>
        <v>16240.73</v>
      </c>
      <c r="T94" s="370">
        <f t="shared" si="67"/>
        <v>13126.310000000001</v>
      </c>
      <c r="U94" s="370">
        <f t="shared" si="67"/>
        <v>4475.2700000000004</v>
      </c>
      <c r="V94" s="370">
        <f t="shared" si="67"/>
        <v>1342.8199999999997</v>
      </c>
      <c r="W94" s="370">
        <f t="shared" si="68"/>
        <v>98907.9</v>
      </c>
      <c r="X94" s="370">
        <f t="shared" si="69"/>
        <v>11122.789999999999</v>
      </c>
      <c r="Z94" s="390"/>
      <c r="AI94" s="363"/>
      <c r="AJ94" s="363"/>
      <c r="AK94" s="363"/>
      <c r="AL94" s="363"/>
      <c r="AM94" s="363"/>
      <c r="AN94" s="363"/>
    </row>
    <row r="95" spans="1:40">
      <c r="A95" s="2" t="s">
        <v>97</v>
      </c>
      <c r="B95" s="393">
        <v>111136.57</v>
      </c>
      <c r="C95" s="393">
        <v>101719.62</v>
      </c>
      <c r="D95" s="393">
        <v>52096.1</v>
      </c>
      <c r="E95" s="393">
        <v>13423.410000000011</v>
      </c>
      <c r="F95" s="393">
        <v>905496.39</v>
      </c>
      <c r="G95" s="393">
        <v>15651.359999999999</v>
      </c>
      <c r="H95" s="393">
        <v>29774.91</v>
      </c>
      <c r="I95" s="393">
        <v>1972.88</v>
      </c>
      <c r="J95" s="393">
        <v>42770.48</v>
      </c>
      <c r="K95" s="393">
        <v>2825.94</v>
      </c>
      <c r="L95" s="393">
        <v>0</v>
      </c>
      <c r="M95" s="393">
        <v>706.14</v>
      </c>
      <c r="N95" s="393">
        <v>380.4</v>
      </c>
      <c r="O95" s="393">
        <v>0</v>
      </c>
      <c r="P95" s="393">
        <v>0</v>
      </c>
      <c r="Q95" s="393">
        <v>0</v>
      </c>
      <c r="R95" s="8">
        <f t="shared" si="66"/>
        <v>1277954.1999999997</v>
      </c>
      <c r="S95" s="370">
        <f t="shared" si="67"/>
        <v>111136.57</v>
      </c>
      <c r="T95" s="370">
        <f t="shared" si="67"/>
        <v>101719.62</v>
      </c>
      <c r="U95" s="370">
        <f t="shared" si="67"/>
        <v>52096.1</v>
      </c>
      <c r="V95" s="370">
        <f t="shared" si="67"/>
        <v>13423.410000000011</v>
      </c>
      <c r="W95" s="370">
        <f t="shared" si="68"/>
        <v>921147.75</v>
      </c>
      <c r="X95" s="370">
        <f t="shared" si="69"/>
        <v>78430.75</v>
      </c>
      <c r="Z95" s="390"/>
      <c r="AI95" s="363"/>
      <c r="AJ95" s="363"/>
      <c r="AK95" s="363"/>
      <c r="AL95" s="363"/>
      <c r="AM95" s="363"/>
      <c r="AN95" s="363"/>
    </row>
    <row r="96" spans="1:40">
      <c r="A96" s="2" t="s">
        <v>98</v>
      </c>
      <c r="B96" s="393">
        <v>35854.81</v>
      </c>
      <c r="C96" s="393">
        <v>21993.910000000003</v>
      </c>
      <c r="D96" s="393">
        <v>5419.28</v>
      </c>
      <c r="E96" s="393">
        <v>4066.2600000000011</v>
      </c>
      <c r="F96" s="393">
        <v>84886.89</v>
      </c>
      <c r="G96" s="393">
        <v>1956.42</v>
      </c>
      <c r="H96" s="393">
        <v>5181.8100000000004</v>
      </c>
      <c r="I96" s="393">
        <v>0</v>
      </c>
      <c r="J96" s="393">
        <v>12486.320000000002</v>
      </c>
      <c r="K96" s="393">
        <v>326.07</v>
      </c>
      <c r="L96" s="393">
        <v>0</v>
      </c>
      <c r="M96" s="393">
        <v>0</v>
      </c>
      <c r="N96" s="393">
        <v>95.1</v>
      </c>
      <c r="O96" s="393">
        <v>0</v>
      </c>
      <c r="P96" s="393">
        <v>23.12</v>
      </c>
      <c r="Q96" s="393">
        <v>486.48</v>
      </c>
      <c r="R96" s="8">
        <f t="shared" si="66"/>
        <v>172776.47000000003</v>
      </c>
      <c r="S96" s="370">
        <f t="shared" si="67"/>
        <v>35854.81</v>
      </c>
      <c r="T96" s="370">
        <f t="shared" si="67"/>
        <v>21993.910000000003</v>
      </c>
      <c r="U96" s="370">
        <f t="shared" si="67"/>
        <v>5419.28</v>
      </c>
      <c r="V96" s="370">
        <f t="shared" si="67"/>
        <v>4066.2600000000011</v>
      </c>
      <c r="W96" s="370">
        <f t="shared" si="68"/>
        <v>86843.31</v>
      </c>
      <c r="X96" s="370">
        <f t="shared" si="69"/>
        <v>18598.899999999998</v>
      </c>
      <c r="Z96" s="390"/>
      <c r="AI96" s="363"/>
      <c r="AJ96" s="363"/>
      <c r="AK96" s="363"/>
      <c r="AL96" s="363"/>
      <c r="AM96" s="363"/>
      <c r="AN96" s="363"/>
    </row>
    <row r="97" spans="1:40">
      <c r="A97" s="2" t="s">
        <v>99</v>
      </c>
      <c r="B97" s="393">
        <v>1431.88</v>
      </c>
      <c r="C97" s="393">
        <v>1443.6599999999999</v>
      </c>
      <c r="D97" s="393">
        <v>264.18</v>
      </c>
      <c r="E97" s="393">
        <v>0</v>
      </c>
      <c r="F97" s="393">
        <v>14347.08</v>
      </c>
      <c r="G97" s="393">
        <v>217.38</v>
      </c>
      <c r="H97" s="393">
        <v>285.19</v>
      </c>
      <c r="I97" s="393">
        <v>0</v>
      </c>
      <c r="J97" s="393">
        <v>597.91999999999996</v>
      </c>
      <c r="K97" s="393">
        <v>0</v>
      </c>
      <c r="L97" s="393">
        <v>0</v>
      </c>
      <c r="M97" s="393">
        <v>0</v>
      </c>
      <c r="N97" s="393">
        <v>31.7</v>
      </c>
      <c r="O97" s="393">
        <v>0</v>
      </c>
      <c r="P97" s="393">
        <v>0</v>
      </c>
      <c r="Q97" s="393">
        <v>0</v>
      </c>
      <c r="R97" s="8">
        <f t="shared" si="66"/>
        <v>18618.989999999998</v>
      </c>
      <c r="S97" s="370">
        <f t="shared" si="67"/>
        <v>1431.88</v>
      </c>
      <c r="T97" s="370">
        <f t="shared" si="67"/>
        <v>1443.6599999999999</v>
      </c>
      <c r="U97" s="370">
        <f t="shared" si="67"/>
        <v>264.18</v>
      </c>
      <c r="V97" s="370">
        <f t="shared" si="67"/>
        <v>0</v>
      </c>
      <c r="W97" s="370">
        <f t="shared" si="68"/>
        <v>14564.46</v>
      </c>
      <c r="X97" s="370">
        <f t="shared" si="69"/>
        <v>914.81</v>
      </c>
      <c r="Z97" s="390"/>
      <c r="AI97" s="363"/>
      <c r="AJ97" s="363"/>
      <c r="AK97" s="363"/>
      <c r="AL97" s="363"/>
      <c r="AM97" s="363"/>
      <c r="AN97" s="363"/>
    </row>
    <row r="98" spans="1:40">
      <c r="A98" s="2" t="s">
        <v>100</v>
      </c>
      <c r="B98" s="393">
        <v>88554.86</v>
      </c>
      <c r="C98" s="393">
        <v>82104.779999999984</v>
      </c>
      <c r="D98" s="393">
        <v>53445.9</v>
      </c>
      <c r="E98" s="393">
        <v>32249.289999999986</v>
      </c>
      <c r="F98" s="393">
        <v>581926.26</v>
      </c>
      <c r="G98" s="393">
        <v>7608.2999999999993</v>
      </c>
      <c r="H98" s="393">
        <v>24854.260000000002</v>
      </c>
      <c r="I98" s="393">
        <v>0</v>
      </c>
      <c r="J98" s="393">
        <v>40312.870000000003</v>
      </c>
      <c r="K98" s="393">
        <v>1195.5899999999999</v>
      </c>
      <c r="L98" s="393">
        <v>217.38</v>
      </c>
      <c r="M98" s="393">
        <v>4438.28</v>
      </c>
      <c r="N98" s="393">
        <v>602.29999999999995</v>
      </c>
      <c r="O98" s="393">
        <v>0</v>
      </c>
      <c r="P98" s="393">
        <v>0</v>
      </c>
      <c r="Q98" s="393">
        <v>0</v>
      </c>
      <c r="R98" s="8">
        <f t="shared" si="66"/>
        <v>917510.07000000007</v>
      </c>
      <c r="S98" s="370">
        <f t="shared" si="67"/>
        <v>88554.86</v>
      </c>
      <c r="T98" s="370">
        <f t="shared" si="67"/>
        <v>82104.779999999984</v>
      </c>
      <c r="U98" s="370">
        <f t="shared" si="67"/>
        <v>53445.9</v>
      </c>
      <c r="V98" s="370">
        <f t="shared" si="67"/>
        <v>32249.289999999986</v>
      </c>
      <c r="W98" s="370">
        <f t="shared" si="68"/>
        <v>589534.56000000006</v>
      </c>
      <c r="X98" s="370">
        <f t="shared" si="69"/>
        <v>71620.680000000008</v>
      </c>
      <c r="Z98" s="390"/>
      <c r="AI98" s="363"/>
      <c r="AJ98" s="363"/>
      <c r="AK98" s="363"/>
      <c r="AL98" s="363"/>
      <c r="AM98" s="363"/>
      <c r="AN98" s="363"/>
    </row>
    <row r="99" spans="1:40">
      <c r="A99" s="2" t="s">
        <v>101</v>
      </c>
      <c r="B99" s="393">
        <v>510295.49</v>
      </c>
      <c r="C99" s="393">
        <v>328831.90000000002</v>
      </c>
      <c r="D99" s="393">
        <v>190629.34</v>
      </c>
      <c r="E99" s="393">
        <v>227375.71</v>
      </c>
      <c r="F99" s="393">
        <v>3202224.78</v>
      </c>
      <c r="G99" s="393">
        <v>52714.649999999994</v>
      </c>
      <c r="H99" s="393">
        <v>159193.58999999997</v>
      </c>
      <c r="I99" s="393">
        <v>5250.72</v>
      </c>
      <c r="J99" s="393">
        <v>214568.55</v>
      </c>
      <c r="K99" s="393">
        <v>9238.65</v>
      </c>
      <c r="L99" s="393">
        <v>1304.28</v>
      </c>
      <c r="M99" s="393">
        <v>0</v>
      </c>
      <c r="N99" s="393">
        <v>3074.9</v>
      </c>
      <c r="O99" s="393">
        <v>0</v>
      </c>
      <c r="P99" s="393">
        <v>747.69</v>
      </c>
      <c r="Q99" s="393">
        <v>13263.22</v>
      </c>
      <c r="R99" s="8">
        <f t="shared" si="66"/>
        <v>4918713.4700000007</v>
      </c>
      <c r="S99" s="370">
        <f t="shared" si="67"/>
        <v>510295.49</v>
      </c>
      <c r="T99" s="370">
        <f t="shared" si="67"/>
        <v>328831.90000000002</v>
      </c>
      <c r="U99" s="370">
        <f t="shared" si="67"/>
        <v>190629.34</v>
      </c>
      <c r="V99" s="370">
        <f t="shared" si="67"/>
        <v>227375.71</v>
      </c>
      <c r="W99" s="370">
        <f t="shared" si="68"/>
        <v>3254939.4299999997</v>
      </c>
      <c r="X99" s="370">
        <f t="shared" si="69"/>
        <v>406641.60000000003</v>
      </c>
      <c r="Z99" s="390"/>
      <c r="AI99" s="363"/>
      <c r="AJ99" s="363"/>
      <c r="AK99" s="363"/>
      <c r="AL99" s="363"/>
      <c r="AM99" s="363"/>
      <c r="AN99" s="363"/>
    </row>
    <row r="100" spans="1:40">
      <c r="A100" s="2" t="s">
        <v>102</v>
      </c>
      <c r="B100" s="393">
        <v>14789.05</v>
      </c>
      <c r="C100" s="393">
        <v>8412.989999999998</v>
      </c>
      <c r="D100" s="393">
        <v>1176.48</v>
      </c>
      <c r="E100" s="393">
        <v>2053.4</v>
      </c>
      <c r="F100" s="393">
        <v>90104.01</v>
      </c>
      <c r="G100" s="393">
        <v>2391.1799999999998</v>
      </c>
      <c r="H100" s="393">
        <v>2723.8599999999997</v>
      </c>
      <c r="I100" s="393">
        <v>634.04</v>
      </c>
      <c r="J100" s="393">
        <v>4978.5200000000004</v>
      </c>
      <c r="K100" s="393">
        <v>217.38</v>
      </c>
      <c r="L100" s="393">
        <v>0</v>
      </c>
      <c r="M100" s="393">
        <v>0</v>
      </c>
      <c r="N100" s="393">
        <v>63.4</v>
      </c>
      <c r="O100" s="393">
        <v>0</v>
      </c>
      <c r="P100" s="393">
        <v>0</v>
      </c>
      <c r="Q100" s="393">
        <v>0</v>
      </c>
      <c r="R100" s="8">
        <f t="shared" si="66"/>
        <v>127544.30999999998</v>
      </c>
      <c r="S100" s="370">
        <f t="shared" si="67"/>
        <v>14789.05</v>
      </c>
      <c r="T100" s="370">
        <f t="shared" si="67"/>
        <v>8412.989999999998</v>
      </c>
      <c r="U100" s="370">
        <f t="shared" si="67"/>
        <v>1176.48</v>
      </c>
      <c r="V100" s="370">
        <f t="shared" si="67"/>
        <v>2053.4</v>
      </c>
      <c r="W100" s="370">
        <f t="shared" si="68"/>
        <v>92495.189999999988</v>
      </c>
      <c r="X100" s="370">
        <f t="shared" si="69"/>
        <v>8617.1999999999989</v>
      </c>
      <c r="Z100" s="390"/>
      <c r="AI100" s="363"/>
      <c r="AJ100" s="363"/>
      <c r="AK100" s="363"/>
      <c r="AL100" s="363"/>
      <c r="AM100" s="363"/>
      <c r="AN100" s="363"/>
    </row>
    <row r="101" spans="1:40">
      <c r="A101" s="2" t="s">
        <v>103</v>
      </c>
      <c r="B101" s="393">
        <v>9971.18</v>
      </c>
      <c r="C101" s="393">
        <v>1808.9400000000005</v>
      </c>
      <c r="D101" s="393">
        <v>1363.19</v>
      </c>
      <c r="E101" s="393">
        <v>1502.33</v>
      </c>
      <c r="F101" s="393">
        <v>45432.42</v>
      </c>
      <c r="G101" s="393">
        <v>1739.0400000000002</v>
      </c>
      <c r="H101" s="393">
        <v>1052.74</v>
      </c>
      <c r="I101" s="393">
        <v>0</v>
      </c>
      <c r="J101" s="393">
        <v>2087.7600000000002</v>
      </c>
      <c r="K101" s="393">
        <v>0</v>
      </c>
      <c r="L101" s="393">
        <v>0</v>
      </c>
      <c r="M101" s="393">
        <v>0</v>
      </c>
      <c r="N101" s="393">
        <v>0</v>
      </c>
      <c r="O101" s="393">
        <v>0</v>
      </c>
      <c r="P101" s="393">
        <v>0</v>
      </c>
      <c r="Q101" s="393">
        <v>0</v>
      </c>
      <c r="R101" s="8">
        <f t="shared" si="66"/>
        <v>64957.599999999999</v>
      </c>
      <c r="S101" s="370">
        <f t="shared" si="67"/>
        <v>9971.18</v>
      </c>
      <c r="T101" s="370">
        <f t="shared" si="67"/>
        <v>1808.9400000000005</v>
      </c>
      <c r="U101" s="370">
        <f t="shared" si="67"/>
        <v>1363.19</v>
      </c>
      <c r="V101" s="370">
        <f t="shared" si="67"/>
        <v>1502.33</v>
      </c>
      <c r="W101" s="370">
        <f t="shared" si="68"/>
        <v>47171.46</v>
      </c>
      <c r="X101" s="370">
        <f t="shared" si="69"/>
        <v>3140.5</v>
      </c>
      <c r="Z101" s="390"/>
      <c r="AI101" s="363"/>
      <c r="AJ101" s="363"/>
      <c r="AK101" s="363"/>
      <c r="AL101" s="363"/>
      <c r="AM101" s="363"/>
      <c r="AN101" s="363"/>
    </row>
    <row r="102" spans="1:40">
      <c r="A102" s="6" t="s">
        <v>37</v>
      </c>
      <c r="B102" s="5">
        <f t="shared" ref="B102:X102" si="70">SUM(B75:B101)</f>
        <v>1799799.16</v>
      </c>
      <c r="C102" s="5">
        <f t="shared" si="70"/>
        <v>1151448.6500000001</v>
      </c>
      <c r="D102" s="5">
        <f t="shared" si="70"/>
        <v>544540.93999999994</v>
      </c>
      <c r="E102" s="5">
        <f t="shared" si="70"/>
        <v>378030.97000000003</v>
      </c>
      <c r="F102" s="5">
        <f t="shared" si="70"/>
        <v>9257235.9899999984</v>
      </c>
      <c r="G102" s="5">
        <f t="shared" si="70"/>
        <v>197054.96999999997</v>
      </c>
      <c r="H102" s="5">
        <f t="shared" si="70"/>
        <v>400545.30999999994</v>
      </c>
      <c r="I102" s="5">
        <f t="shared" si="70"/>
        <v>37010.479999999996</v>
      </c>
      <c r="J102" s="5">
        <f t="shared" si="70"/>
        <v>638656.66</v>
      </c>
      <c r="K102" s="5">
        <f t="shared" si="70"/>
        <v>30650.579999999998</v>
      </c>
      <c r="L102" s="5">
        <f t="shared" si="70"/>
        <v>3695.46</v>
      </c>
      <c r="M102" s="5">
        <f t="shared" si="70"/>
        <v>7513.19</v>
      </c>
      <c r="N102" s="5">
        <f t="shared" si="70"/>
        <v>9193</v>
      </c>
      <c r="O102" s="5">
        <f t="shared" si="70"/>
        <v>52.83</v>
      </c>
      <c r="P102" s="5">
        <f t="shared" si="70"/>
        <v>982.82</v>
      </c>
      <c r="Q102" s="5">
        <f t="shared" si="70"/>
        <v>17342.259999999998</v>
      </c>
      <c r="R102" s="5">
        <f t="shared" si="70"/>
        <v>14473753.270000001</v>
      </c>
      <c r="S102" s="370">
        <f t="shared" si="70"/>
        <v>1799799.16</v>
      </c>
      <c r="T102" s="370">
        <f t="shared" si="70"/>
        <v>1151448.6500000001</v>
      </c>
      <c r="U102" s="370">
        <f t="shared" si="70"/>
        <v>544540.93999999994</v>
      </c>
      <c r="V102" s="370">
        <f t="shared" si="70"/>
        <v>378030.97000000003</v>
      </c>
      <c r="W102" s="370">
        <f t="shared" si="70"/>
        <v>9454290.959999999</v>
      </c>
      <c r="X102" s="370">
        <f t="shared" si="70"/>
        <v>1145642.5900000001</v>
      </c>
      <c r="AI102" s="363"/>
      <c r="AJ102" s="363"/>
      <c r="AK102" s="363"/>
      <c r="AL102" s="363"/>
      <c r="AM102" s="363"/>
      <c r="AN102" s="363"/>
    </row>
    <row r="103" spans="1:40">
      <c r="R103" s="363"/>
    </row>
    <row r="104" spans="1:40">
      <c r="R104" s="363"/>
    </row>
    <row r="105" spans="1:40">
      <c r="R105" s="363"/>
    </row>
  </sheetData>
  <mergeCells count="48">
    <mergeCell ref="A72:R72"/>
    <mergeCell ref="A73:A74"/>
    <mergeCell ref="B73:C73"/>
    <mergeCell ref="D73:E73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R73:R74"/>
    <mergeCell ref="P73:Q73"/>
    <mergeCell ref="O73:O74"/>
    <mergeCell ref="A37:R37"/>
    <mergeCell ref="A38:A39"/>
    <mergeCell ref="B38:C38"/>
    <mergeCell ref="D38:E38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R38:R39"/>
    <mergeCell ref="P38:Q38"/>
    <mergeCell ref="O38:O39"/>
    <mergeCell ref="A2:R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R3:R4"/>
    <mergeCell ref="P3:Q3"/>
    <mergeCell ref="O3:O4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pageSetUpPr fitToPage="1"/>
  </sheetPr>
  <dimension ref="A2:AN105"/>
  <sheetViews>
    <sheetView zoomScale="70" zoomScaleNormal="70" workbookViewId="0">
      <selection activeCell="EF33" sqref="EF33"/>
    </sheetView>
  </sheetViews>
  <sheetFormatPr defaultRowHeight="15"/>
  <cols>
    <col min="1" max="1" width="20.85546875" style="370" customWidth="1"/>
    <col min="2" max="12" width="20.85546875" style="357" customWidth="1"/>
    <col min="13" max="13" width="12.7109375" style="357" customWidth="1"/>
    <col min="14" max="14" width="18.42578125" style="357" customWidth="1"/>
    <col min="15" max="18" width="20.85546875" style="357" customWidth="1"/>
    <col min="19" max="24" width="15.5703125" style="357" customWidth="1"/>
    <col min="25" max="16384" width="9.140625" style="357"/>
  </cols>
  <sheetData>
    <row r="2" spans="1:40" ht="46.5">
      <c r="A2" s="837" t="s">
        <v>71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</row>
    <row r="3" spans="1:40" s="372" customFormat="1" ht="35.1" customHeight="1">
      <c r="A3" s="835" t="s">
        <v>33</v>
      </c>
      <c r="B3" s="833" t="s">
        <v>27</v>
      </c>
      <c r="C3" s="834"/>
      <c r="D3" s="833" t="s">
        <v>29</v>
      </c>
      <c r="E3" s="834"/>
      <c r="F3" s="835" t="s">
        <v>28</v>
      </c>
      <c r="G3" s="835" t="s">
        <v>36</v>
      </c>
      <c r="H3" s="835" t="s">
        <v>30</v>
      </c>
      <c r="I3" s="835" t="s">
        <v>31</v>
      </c>
      <c r="J3" s="835" t="s">
        <v>41</v>
      </c>
      <c r="K3" s="835" t="s">
        <v>35</v>
      </c>
      <c r="L3" s="835" t="s">
        <v>40</v>
      </c>
      <c r="M3" s="835" t="s">
        <v>42</v>
      </c>
      <c r="N3" s="835" t="s">
        <v>45</v>
      </c>
      <c r="O3" s="835" t="s">
        <v>279</v>
      </c>
      <c r="P3" s="833" t="s">
        <v>49</v>
      </c>
      <c r="Q3" s="834"/>
      <c r="R3" s="835" t="s">
        <v>34</v>
      </c>
    </row>
    <row r="4" spans="1:40" s="372" customFormat="1" ht="35.1" customHeight="1">
      <c r="A4" s="836"/>
      <c r="B4" s="361" t="s">
        <v>43</v>
      </c>
      <c r="C4" s="361" t="s">
        <v>44</v>
      </c>
      <c r="D4" s="361" t="s">
        <v>43</v>
      </c>
      <c r="E4" s="361" t="s">
        <v>44</v>
      </c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362" t="s">
        <v>50</v>
      </c>
      <c r="Q4" s="362" t="s">
        <v>51</v>
      </c>
      <c r="R4" s="836"/>
      <c r="S4" s="372" t="s">
        <v>173</v>
      </c>
      <c r="T4" s="372" t="s">
        <v>291</v>
      </c>
      <c r="U4" s="372" t="s">
        <v>174</v>
      </c>
      <c r="V4" s="372" t="s">
        <v>292</v>
      </c>
      <c r="W4" s="372" t="s">
        <v>28</v>
      </c>
      <c r="X4" s="372" t="s">
        <v>175</v>
      </c>
      <c r="Y4" s="727"/>
    </row>
    <row r="5" spans="1:40">
      <c r="A5" s="2" t="s">
        <v>77</v>
      </c>
      <c r="B5" s="16">
        <f t="shared" ref="B5:Q5" si="0">B75*0.8</f>
        <v>0</v>
      </c>
      <c r="C5" s="16">
        <f t="shared" si="0"/>
        <v>0</v>
      </c>
      <c r="D5" s="16">
        <f t="shared" si="0"/>
        <v>0</v>
      </c>
      <c r="E5" s="16">
        <f t="shared" si="0"/>
        <v>0</v>
      </c>
      <c r="F5" s="16">
        <f t="shared" si="0"/>
        <v>0</v>
      </c>
      <c r="G5" s="16">
        <f t="shared" si="0"/>
        <v>0</v>
      </c>
      <c r="H5" s="16">
        <f t="shared" si="0"/>
        <v>0</v>
      </c>
      <c r="I5" s="16">
        <f t="shared" si="0"/>
        <v>0</v>
      </c>
      <c r="J5" s="16">
        <f t="shared" si="0"/>
        <v>0</v>
      </c>
      <c r="K5" s="16">
        <f t="shared" si="0"/>
        <v>0</v>
      </c>
      <c r="L5" s="16">
        <f t="shared" si="0"/>
        <v>0</v>
      </c>
      <c r="M5" s="16">
        <f t="shared" si="0"/>
        <v>0</v>
      </c>
      <c r="N5" s="16">
        <f t="shared" si="0"/>
        <v>0</v>
      </c>
      <c r="O5" s="16">
        <f t="shared" si="0"/>
        <v>0</v>
      </c>
      <c r="P5" s="16">
        <f t="shared" si="0"/>
        <v>0</v>
      </c>
      <c r="Q5" s="16">
        <f t="shared" si="0"/>
        <v>0</v>
      </c>
      <c r="R5" s="8">
        <f t="shared" ref="R5:R31" si="1">SUM(B5:Q5)</f>
        <v>0</v>
      </c>
      <c r="S5" s="363">
        <f>B5</f>
        <v>0</v>
      </c>
      <c r="T5" s="363">
        <f>C5</f>
        <v>0</v>
      </c>
      <c r="U5" s="363">
        <f>D5</f>
        <v>0</v>
      </c>
      <c r="V5" s="363">
        <f>E5</f>
        <v>0</v>
      </c>
      <c r="W5" s="363">
        <f>F5+G5</f>
        <v>0</v>
      </c>
      <c r="X5" s="363">
        <f>SUM(H5:Q5)</f>
        <v>0</v>
      </c>
      <c r="Y5" s="370"/>
      <c r="AI5" s="363"/>
      <c r="AJ5" s="363"/>
      <c r="AK5" s="363"/>
      <c r="AL5" s="363"/>
      <c r="AM5" s="363"/>
      <c r="AN5" s="363"/>
    </row>
    <row r="6" spans="1:40">
      <c r="A6" s="2" t="s">
        <v>78</v>
      </c>
      <c r="B6" s="16">
        <f t="shared" ref="B6:Q6" si="2">B76*0.8</f>
        <v>0</v>
      </c>
      <c r="C6" s="16">
        <f t="shared" si="2"/>
        <v>0</v>
      </c>
      <c r="D6" s="16">
        <f t="shared" si="2"/>
        <v>0</v>
      </c>
      <c r="E6" s="16">
        <f t="shared" si="2"/>
        <v>0</v>
      </c>
      <c r="F6" s="16">
        <f t="shared" si="2"/>
        <v>0</v>
      </c>
      <c r="G6" s="16">
        <f t="shared" si="2"/>
        <v>0</v>
      </c>
      <c r="H6" s="16">
        <f t="shared" si="2"/>
        <v>0</v>
      </c>
      <c r="I6" s="16">
        <f t="shared" si="2"/>
        <v>0</v>
      </c>
      <c r="J6" s="16">
        <f t="shared" si="2"/>
        <v>0</v>
      </c>
      <c r="K6" s="16">
        <f t="shared" si="2"/>
        <v>0</v>
      </c>
      <c r="L6" s="16">
        <f t="shared" si="2"/>
        <v>0</v>
      </c>
      <c r="M6" s="16">
        <f t="shared" si="2"/>
        <v>0</v>
      </c>
      <c r="N6" s="16">
        <f t="shared" si="2"/>
        <v>0</v>
      </c>
      <c r="O6" s="16">
        <f t="shared" si="2"/>
        <v>0</v>
      </c>
      <c r="P6" s="16">
        <f t="shared" si="2"/>
        <v>0</v>
      </c>
      <c r="Q6" s="16">
        <f t="shared" si="2"/>
        <v>0</v>
      </c>
      <c r="R6" s="8">
        <f t="shared" si="1"/>
        <v>0</v>
      </c>
      <c r="S6" s="363">
        <f t="shared" ref="S6:V31" si="3">B6</f>
        <v>0</v>
      </c>
      <c r="T6" s="363">
        <f t="shared" si="3"/>
        <v>0</v>
      </c>
      <c r="U6" s="363">
        <f t="shared" si="3"/>
        <v>0</v>
      </c>
      <c r="V6" s="363">
        <f t="shared" si="3"/>
        <v>0</v>
      </c>
      <c r="W6" s="363">
        <f t="shared" ref="W6:W31" si="4">F6+G6</f>
        <v>0</v>
      </c>
      <c r="X6" s="363">
        <f t="shared" ref="X6:X31" si="5">SUM(H6:Q6)</f>
        <v>0</v>
      </c>
      <c r="Y6" s="370"/>
      <c r="AI6" s="363"/>
      <c r="AJ6" s="363"/>
      <c r="AK6" s="363"/>
      <c r="AL6" s="363"/>
      <c r="AM6" s="363"/>
      <c r="AN6" s="363"/>
    </row>
    <row r="7" spans="1:40">
      <c r="A7" s="2" t="s">
        <v>79</v>
      </c>
      <c r="B7" s="16">
        <f t="shared" ref="B7:Q7" si="6">B77*0.8</f>
        <v>0</v>
      </c>
      <c r="C7" s="16">
        <f t="shared" si="6"/>
        <v>0</v>
      </c>
      <c r="D7" s="16">
        <f t="shared" si="6"/>
        <v>0</v>
      </c>
      <c r="E7" s="16">
        <f t="shared" si="6"/>
        <v>0</v>
      </c>
      <c r="F7" s="16">
        <f t="shared" si="6"/>
        <v>0</v>
      </c>
      <c r="G7" s="16">
        <f t="shared" si="6"/>
        <v>0</v>
      </c>
      <c r="H7" s="16">
        <f t="shared" si="6"/>
        <v>0</v>
      </c>
      <c r="I7" s="16">
        <f t="shared" si="6"/>
        <v>0</v>
      </c>
      <c r="J7" s="16">
        <f t="shared" si="6"/>
        <v>0</v>
      </c>
      <c r="K7" s="16">
        <f t="shared" si="6"/>
        <v>0</v>
      </c>
      <c r="L7" s="16">
        <f t="shared" si="6"/>
        <v>0</v>
      </c>
      <c r="M7" s="16">
        <f t="shared" si="6"/>
        <v>0</v>
      </c>
      <c r="N7" s="16">
        <f t="shared" si="6"/>
        <v>0</v>
      </c>
      <c r="O7" s="16">
        <f t="shared" si="6"/>
        <v>0</v>
      </c>
      <c r="P7" s="16">
        <f t="shared" si="6"/>
        <v>0</v>
      </c>
      <c r="Q7" s="16">
        <f t="shared" si="6"/>
        <v>0</v>
      </c>
      <c r="R7" s="8">
        <f t="shared" si="1"/>
        <v>0</v>
      </c>
      <c r="S7" s="363">
        <f t="shared" si="3"/>
        <v>0</v>
      </c>
      <c r="T7" s="363">
        <f t="shared" si="3"/>
        <v>0</v>
      </c>
      <c r="U7" s="363">
        <f t="shared" si="3"/>
        <v>0</v>
      </c>
      <c r="V7" s="363">
        <f t="shared" si="3"/>
        <v>0</v>
      </c>
      <c r="W7" s="363">
        <f t="shared" si="4"/>
        <v>0</v>
      </c>
      <c r="X7" s="363">
        <f t="shared" si="5"/>
        <v>0</v>
      </c>
      <c r="Y7" s="370"/>
      <c r="AI7" s="363"/>
      <c r="AJ7" s="363"/>
      <c r="AK7" s="363"/>
      <c r="AL7" s="363"/>
      <c r="AM7" s="363"/>
      <c r="AN7" s="363"/>
    </row>
    <row r="8" spans="1:40">
      <c r="A8" s="2" t="s">
        <v>80</v>
      </c>
      <c r="B8" s="16">
        <f t="shared" ref="B8:Q8" si="7">B78*0.8</f>
        <v>0</v>
      </c>
      <c r="C8" s="16">
        <f t="shared" si="7"/>
        <v>0</v>
      </c>
      <c r="D8" s="16">
        <f t="shared" si="7"/>
        <v>0</v>
      </c>
      <c r="E8" s="16">
        <f t="shared" si="7"/>
        <v>0</v>
      </c>
      <c r="F8" s="16">
        <f t="shared" si="7"/>
        <v>0</v>
      </c>
      <c r="G8" s="16">
        <f t="shared" si="7"/>
        <v>0</v>
      </c>
      <c r="H8" s="16">
        <f t="shared" si="7"/>
        <v>0</v>
      </c>
      <c r="I8" s="16">
        <f t="shared" si="7"/>
        <v>0</v>
      </c>
      <c r="J8" s="16">
        <f t="shared" si="7"/>
        <v>0</v>
      </c>
      <c r="K8" s="16">
        <f t="shared" si="7"/>
        <v>0</v>
      </c>
      <c r="L8" s="16">
        <f t="shared" si="7"/>
        <v>0</v>
      </c>
      <c r="M8" s="16">
        <f t="shared" si="7"/>
        <v>0</v>
      </c>
      <c r="N8" s="16">
        <f t="shared" si="7"/>
        <v>0</v>
      </c>
      <c r="O8" s="16">
        <f t="shared" si="7"/>
        <v>0</v>
      </c>
      <c r="P8" s="16">
        <f t="shared" si="7"/>
        <v>0</v>
      </c>
      <c r="Q8" s="16">
        <f t="shared" si="7"/>
        <v>0</v>
      </c>
      <c r="R8" s="8">
        <f t="shared" si="1"/>
        <v>0</v>
      </c>
      <c r="S8" s="363">
        <f t="shared" si="3"/>
        <v>0</v>
      </c>
      <c r="T8" s="363">
        <f t="shared" si="3"/>
        <v>0</v>
      </c>
      <c r="U8" s="363">
        <f t="shared" si="3"/>
        <v>0</v>
      </c>
      <c r="V8" s="363">
        <f t="shared" si="3"/>
        <v>0</v>
      </c>
      <c r="W8" s="363">
        <f t="shared" si="4"/>
        <v>0</v>
      </c>
      <c r="X8" s="363">
        <f t="shared" si="5"/>
        <v>0</v>
      </c>
      <c r="Y8" s="370"/>
      <c r="AI8" s="363"/>
      <c r="AJ8" s="363"/>
      <c r="AK8" s="363"/>
      <c r="AL8" s="363"/>
      <c r="AM8" s="363"/>
      <c r="AN8" s="363"/>
    </row>
    <row r="9" spans="1:40">
      <c r="A9" s="2" t="s">
        <v>81</v>
      </c>
      <c r="B9" s="16">
        <f t="shared" ref="B9:Q9" si="8">B79*0.8</f>
        <v>0</v>
      </c>
      <c r="C9" s="16">
        <f t="shared" si="8"/>
        <v>0</v>
      </c>
      <c r="D9" s="16">
        <f t="shared" si="8"/>
        <v>0</v>
      </c>
      <c r="E9" s="16">
        <f t="shared" si="8"/>
        <v>0</v>
      </c>
      <c r="F9" s="16">
        <f t="shared" si="8"/>
        <v>0</v>
      </c>
      <c r="G9" s="16">
        <f t="shared" si="8"/>
        <v>0</v>
      </c>
      <c r="H9" s="16">
        <f t="shared" si="8"/>
        <v>0</v>
      </c>
      <c r="I9" s="16">
        <f t="shared" si="8"/>
        <v>0</v>
      </c>
      <c r="J9" s="16">
        <f t="shared" si="8"/>
        <v>0</v>
      </c>
      <c r="K9" s="16">
        <f t="shared" si="8"/>
        <v>0</v>
      </c>
      <c r="L9" s="16">
        <f t="shared" si="8"/>
        <v>0</v>
      </c>
      <c r="M9" s="16">
        <f t="shared" si="8"/>
        <v>0</v>
      </c>
      <c r="N9" s="16">
        <f t="shared" si="8"/>
        <v>0</v>
      </c>
      <c r="O9" s="16">
        <f t="shared" si="8"/>
        <v>0</v>
      </c>
      <c r="P9" s="16">
        <f t="shared" si="8"/>
        <v>0</v>
      </c>
      <c r="Q9" s="16">
        <f t="shared" si="8"/>
        <v>0</v>
      </c>
      <c r="R9" s="8">
        <f t="shared" si="1"/>
        <v>0</v>
      </c>
      <c r="S9" s="363">
        <f t="shared" si="3"/>
        <v>0</v>
      </c>
      <c r="T9" s="363">
        <f t="shared" si="3"/>
        <v>0</v>
      </c>
      <c r="U9" s="363">
        <f t="shared" si="3"/>
        <v>0</v>
      </c>
      <c r="V9" s="363">
        <f t="shared" si="3"/>
        <v>0</v>
      </c>
      <c r="W9" s="363">
        <f t="shared" si="4"/>
        <v>0</v>
      </c>
      <c r="X9" s="363">
        <f t="shared" si="5"/>
        <v>0</v>
      </c>
      <c r="Y9" s="370"/>
      <c r="AI9" s="363"/>
      <c r="AJ9" s="363"/>
      <c r="AK9" s="363"/>
      <c r="AL9" s="363"/>
      <c r="AM9" s="363"/>
      <c r="AN9" s="363"/>
    </row>
    <row r="10" spans="1:40">
      <c r="A10" s="2" t="s">
        <v>82</v>
      </c>
      <c r="B10" s="16">
        <f t="shared" ref="B10:Q10" si="9">B80*0.8</f>
        <v>0</v>
      </c>
      <c r="C10" s="16">
        <f t="shared" si="9"/>
        <v>0</v>
      </c>
      <c r="D10" s="16">
        <f t="shared" si="9"/>
        <v>0</v>
      </c>
      <c r="E10" s="16">
        <f t="shared" si="9"/>
        <v>0</v>
      </c>
      <c r="F10" s="16">
        <f t="shared" si="9"/>
        <v>0</v>
      </c>
      <c r="G10" s="16">
        <f t="shared" si="9"/>
        <v>0</v>
      </c>
      <c r="H10" s="16">
        <f t="shared" si="9"/>
        <v>0</v>
      </c>
      <c r="I10" s="16">
        <f t="shared" si="9"/>
        <v>0</v>
      </c>
      <c r="J10" s="16">
        <f t="shared" si="9"/>
        <v>0</v>
      </c>
      <c r="K10" s="16">
        <f t="shared" si="9"/>
        <v>0</v>
      </c>
      <c r="L10" s="16">
        <f t="shared" si="9"/>
        <v>0</v>
      </c>
      <c r="M10" s="16">
        <f t="shared" si="9"/>
        <v>0</v>
      </c>
      <c r="N10" s="16">
        <f t="shared" si="9"/>
        <v>0</v>
      </c>
      <c r="O10" s="16">
        <f t="shared" si="9"/>
        <v>0</v>
      </c>
      <c r="P10" s="16">
        <f t="shared" si="9"/>
        <v>0</v>
      </c>
      <c r="Q10" s="16">
        <f t="shared" si="9"/>
        <v>0</v>
      </c>
      <c r="R10" s="8">
        <f t="shared" si="1"/>
        <v>0</v>
      </c>
      <c r="S10" s="363">
        <f t="shared" si="3"/>
        <v>0</v>
      </c>
      <c r="T10" s="363">
        <f t="shared" si="3"/>
        <v>0</v>
      </c>
      <c r="U10" s="363">
        <f t="shared" si="3"/>
        <v>0</v>
      </c>
      <c r="V10" s="363">
        <f t="shared" si="3"/>
        <v>0</v>
      </c>
      <c r="W10" s="363">
        <f t="shared" si="4"/>
        <v>0</v>
      </c>
      <c r="X10" s="363">
        <f t="shared" si="5"/>
        <v>0</v>
      </c>
      <c r="Y10" s="370"/>
      <c r="AI10" s="363"/>
      <c r="AJ10" s="363"/>
      <c r="AK10" s="363"/>
      <c r="AL10" s="363"/>
      <c r="AM10" s="363"/>
      <c r="AN10" s="363"/>
    </row>
    <row r="11" spans="1:40">
      <c r="A11" s="2" t="s">
        <v>83</v>
      </c>
      <c r="B11" s="16">
        <f t="shared" ref="B11:Q11" si="10">B81*0.8</f>
        <v>0</v>
      </c>
      <c r="C11" s="16">
        <f t="shared" si="10"/>
        <v>0</v>
      </c>
      <c r="D11" s="16">
        <f t="shared" si="10"/>
        <v>0</v>
      </c>
      <c r="E11" s="16">
        <f t="shared" si="10"/>
        <v>0</v>
      </c>
      <c r="F11" s="16">
        <f t="shared" si="10"/>
        <v>0</v>
      </c>
      <c r="G11" s="16">
        <f t="shared" si="10"/>
        <v>0</v>
      </c>
      <c r="H11" s="16">
        <f t="shared" si="10"/>
        <v>0</v>
      </c>
      <c r="I11" s="16">
        <f t="shared" si="10"/>
        <v>0</v>
      </c>
      <c r="J11" s="16">
        <f t="shared" si="10"/>
        <v>0</v>
      </c>
      <c r="K11" s="16">
        <f t="shared" si="10"/>
        <v>0</v>
      </c>
      <c r="L11" s="16">
        <f t="shared" si="10"/>
        <v>0</v>
      </c>
      <c r="M11" s="16">
        <f t="shared" si="10"/>
        <v>0</v>
      </c>
      <c r="N11" s="16">
        <f t="shared" si="10"/>
        <v>0</v>
      </c>
      <c r="O11" s="16">
        <f t="shared" si="10"/>
        <v>0</v>
      </c>
      <c r="P11" s="16">
        <f t="shared" si="10"/>
        <v>0</v>
      </c>
      <c r="Q11" s="16">
        <f t="shared" si="10"/>
        <v>0</v>
      </c>
      <c r="R11" s="8">
        <f t="shared" si="1"/>
        <v>0</v>
      </c>
      <c r="S11" s="363">
        <f t="shared" si="3"/>
        <v>0</v>
      </c>
      <c r="T11" s="363">
        <f t="shared" si="3"/>
        <v>0</v>
      </c>
      <c r="U11" s="363">
        <f t="shared" si="3"/>
        <v>0</v>
      </c>
      <c r="V11" s="363">
        <f t="shared" si="3"/>
        <v>0</v>
      </c>
      <c r="W11" s="363">
        <f t="shared" si="4"/>
        <v>0</v>
      </c>
      <c r="X11" s="363">
        <f t="shared" si="5"/>
        <v>0</v>
      </c>
      <c r="Y11" s="370"/>
      <c r="AI11" s="363"/>
      <c r="AJ11" s="363"/>
      <c r="AK11" s="363"/>
      <c r="AL11" s="363"/>
      <c r="AM11" s="363"/>
      <c r="AN11" s="363"/>
    </row>
    <row r="12" spans="1:40">
      <c r="A12" s="2" t="s">
        <v>84</v>
      </c>
      <c r="B12" s="16">
        <f t="shared" ref="B12:Q12" si="11">B82*0.8</f>
        <v>0</v>
      </c>
      <c r="C12" s="16">
        <f t="shared" si="11"/>
        <v>0</v>
      </c>
      <c r="D12" s="16">
        <f t="shared" si="11"/>
        <v>0</v>
      </c>
      <c r="E12" s="16">
        <f t="shared" si="11"/>
        <v>0</v>
      </c>
      <c r="F12" s="16">
        <f t="shared" si="11"/>
        <v>0</v>
      </c>
      <c r="G12" s="16">
        <f t="shared" si="11"/>
        <v>0</v>
      </c>
      <c r="H12" s="16">
        <f t="shared" si="11"/>
        <v>0</v>
      </c>
      <c r="I12" s="16">
        <f t="shared" si="11"/>
        <v>0</v>
      </c>
      <c r="J12" s="16">
        <f t="shared" si="11"/>
        <v>0</v>
      </c>
      <c r="K12" s="16">
        <f t="shared" si="11"/>
        <v>0</v>
      </c>
      <c r="L12" s="16">
        <f t="shared" si="11"/>
        <v>0</v>
      </c>
      <c r="M12" s="16">
        <f t="shared" si="11"/>
        <v>0</v>
      </c>
      <c r="N12" s="16">
        <f t="shared" si="11"/>
        <v>0</v>
      </c>
      <c r="O12" s="16">
        <f t="shared" si="11"/>
        <v>0</v>
      </c>
      <c r="P12" s="16">
        <f t="shared" si="11"/>
        <v>0</v>
      </c>
      <c r="Q12" s="16">
        <f t="shared" si="11"/>
        <v>0</v>
      </c>
      <c r="R12" s="8">
        <f t="shared" si="1"/>
        <v>0</v>
      </c>
      <c r="S12" s="363">
        <f t="shared" si="3"/>
        <v>0</v>
      </c>
      <c r="T12" s="363">
        <f t="shared" si="3"/>
        <v>0</v>
      </c>
      <c r="U12" s="363">
        <f t="shared" si="3"/>
        <v>0</v>
      </c>
      <c r="V12" s="363">
        <f t="shared" si="3"/>
        <v>0</v>
      </c>
      <c r="W12" s="363">
        <f t="shared" si="4"/>
        <v>0</v>
      </c>
      <c r="X12" s="363">
        <f t="shared" si="5"/>
        <v>0</v>
      </c>
      <c r="Y12" s="370"/>
      <c r="AI12" s="363"/>
      <c r="AJ12" s="363"/>
      <c r="AK12" s="363"/>
      <c r="AL12" s="363"/>
      <c r="AM12" s="363"/>
      <c r="AN12" s="363"/>
    </row>
    <row r="13" spans="1:40">
      <c r="A13" s="2" t="s">
        <v>85</v>
      </c>
      <c r="B13" s="16">
        <f t="shared" ref="B13:Q13" si="12">B83*0.8</f>
        <v>0</v>
      </c>
      <c r="C13" s="16">
        <f t="shared" si="12"/>
        <v>0</v>
      </c>
      <c r="D13" s="16">
        <f t="shared" si="12"/>
        <v>0</v>
      </c>
      <c r="E13" s="16">
        <f t="shared" si="12"/>
        <v>0</v>
      </c>
      <c r="F13" s="16">
        <f t="shared" si="12"/>
        <v>0</v>
      </c>
      <c r="G13" s="16">
        <f t="shared" si="12"/>
        <v>0</v>
      </c>
      <c r="H13" s="16">
        <f t="shared" si="12"/>
        <v>0</v>
      </c>
      <c r="I13" s="16">
        <f t="shared" si="12"/>
        <v>0</v>
      </c>
      <c r="J13" s="16">
        <f t="shared" si="12"/>
        <v>0</v>
      </c>
      <c r="K13" s="16">
        <f t="shared" si="12"/>
        <v>0</v>
      </c>
      <c r="L13" s="16">
        <f t="shared" si="12"/>
        <v>0</v>
      </c>
      <c r="M13" s="16">
        <f t="shared" si="12"/>
        <v>0</v>
      </c>
      <c r="N13" s="16">
        <f t="shared" si="12"/>
        <v>0</v>
      </c>
      <c r="O13" s="16">
        <f t="shared" si="12"/>
        <v>0</v>
      </c>
      <c r="P13" s="16">
        <f t="shared" si="12"/>
        <v>0</v>
      </c>
      <c r="Q13" s="16">
        <f t="shared" si="12"/>
        <v>0</v>
      </c>
      <c r="R13" s="8">
        <f t="shared" si="1"/>
        <v>0</v>
      </c>
      <c r="S13" s="363">
        <f t="shared" si="3"/>
        <v>0</v>
      </c>
      <c r="T13" s="363">
        <f t="shared" si="3"/>
        <v>0</v>
      </c>
      <c r="U13" s="363">
        <f t="shared" si="3"/>
        <v>0</v>
      </c>
      <c r="V13" s="363">
        <f t="shared" si="3"/>
        <v>0</v>
      </c>
      <c r="W13" s="363">
        <f t="shared" si="4"/>
        <v>0</v>
      </c>
      <c r="X13" s="363">
        <f t="shared" si="5"/>
        <v>0</v>
      </c>
      <c r="Y13" s="370"/>
      <c r="AI13" s="363"/>
      <c r="AJ13" s="363"/>
      <c r="AK13" s="363"/>
      <c r="AL13" s="363"/>
      <c r="AM13" s="363"/>
      <c r="AN13" s="363"/>
    </row>
    <row r="14" spans="1:40">
      <c r="A14" s="2" t="s">
        <v>86</v>
      </c>
      <c r="B14" s="16">
        <f t="shared" ref="B14:Q14" si="13">B84*0.8</f>
        <v>0</v>
      </c>
      <c r="C14" s="16">
        <f t="shared" si="13"/>
        <v>0</v>
      </c>
      <c r="D14" s="16">
        <f t="shared" si="13"/>
        <v>0</v>
      </c>
      <c r="E14" s="16">
        <f t="shared" si="13"/>
        <v>0</v>
      </c>
      <c r="F14" s="16">
        <f t="shared" si="13"/>
        <v>0</v>
      </c>
      <c r="G14" s="16">
        <f t="shared" si="13"/>
        <v>0</v>
      </c>
      <c r="H14" s="16">
        <f t="shared" si="13"/>
        <v>0</v>
      </c>
      <c r="I14" s="16">
        <f t="shared" si="13"/>
        <v>0</v>
      </c>
      <c r="J14" s="16">
        <f t="shared" si="13"/>
        <v>0</v>
      </c>
      <c r="K14" s="16">
        <f t="shared" si="13"/>
        <v>0</v>
      </c>
      <c r="L14" s="16">
        <f t="shared" si="13"/>
        <v>0</v>
      </c>
      <c r="M14" s="16">
        <f t="shared" si="13"/>
        <v>0</v>
      </c>
      <c r="N14" s="16">
        <f t="shared" si="13"/>
        <v>0</v>
      </c>
      <c r="O14" s="16">
        <f t="shared" si="13"/>
        <v>0</v>
      </c>
      <c r="P14" s="16">
        <f t="shared" si="13"/>
        <v>0</v>
      </c>
      <c r="Q14" s="16">
        <f t="shared" si="13"/>
        <v>0</v>
      </c>
      <c r="R14" s="8">
        <f t="shared" si="1"/>
        <v>0</v>
      </c>
      <c r="S14" s="363">
        <f t="shared" si="3"/>
        <v>0</v>
      </c>
      <c r="T14" s="363">
        <f t="shared" si="3"/>
        <v>0</v>
      </c>
      <c r="U14" s="363">
        <f t="shared" si="3"/>
        <v>0</v>
      </c>
      <c r="V14" s="363">
        <f t="shared" si="3"/>
        <v>0</v>
      </c>
      <c r="W14" s="363">
        <f t="shared" si="4"/>
        <v>0</v>
      </c>
      <c r="X14" s="363">
        <f t="shared" si="5"/>
        <v>0</v>
      </c>
      <c r="Y14" s="370"/>
      <c r="AI14" s="363"/>
      <c r="AJ14" s="363"/>
      <c r="AK14" s="363"/>
      <c r="AL14" s="363"/>
      <c r="AM14" s="363"/>
      <c r="AN14" s="363"/>
    </row>
    <row r="15" spans="1:40">
      <c r="A15" s="2" t="s">
        <v>87</v>
      </c>
      <c r="B15" s="16">
        <f t="shared" ref="B15:Q15" si="14">B85*0.8</f>
        <v>0</v>
      </c>
      <c r="C15" s="16">
        <f t="shared" si="14"/>
        <v>0</v>
      </c>
      <c r="D15" s="16">
        <f t="shared" si="14"/>
        <v>0</v>
      </c>
      <c r="E15" s="16">
        <f t="shared" si="14"/>
        <v>0</v>
      </c>
      <c r="F15" s="16">
        <f t="shared" si="14"/>
        <v>0</v>
      </c>
      <c r="G15" s="16">
        <f t="shared" si="14"/>
        <v>0</v>
      </c>
      <c r="H15" s="16">
        <f t="shared" si="14"/>
        <v>0</v>
      </c>
      <c r="I15" s="16">
        <f t="shared" si="14"/>
        <v>0</v>
      </c>
      <c r="J15" s="16">
        <f t="shared" si="14"/>
        <v>0</v>
      </c>
      <c r="K15" s="16">
        <f t="shared" si="14"/>
        <v>0</v>
      </c>
      <c r="L15" s="16">
        <f t="shared" si="14"/>
        <v>0</v>
      </c>
      <c r="M15" s="16">
        <f t="shared" si="14"/>
        <v>0</v>
      </c>
      <c r="N15" s="16">
        <f t="shared" si="14"/>
        <v>0</v>
      </c>
      <c r="O15" s="16">
        <f t="shared" si="14"/>
        <v>0</v>
      </c>
      <c r="P15" s="16">
        <f t="shared" si="14"/>
        <v>0</v>
      </c>
      <c r="Q15" s="16">
        <f t="shared" si="14"/>
        <v>0</v>
      </c>
      <c r="R15" s="8">
        <f t="shared" si="1"/>
        <v>0</v>
      </c>
      <c r="S15" s="363">
        <f t="shared" si="3"/>
        <v>0</v>
      </c>
      <c r="T15" s="363">
        <f t="shared" si="3"/>
        <v>0</v>
      </c>
      <c r="U15" s="363">
        <f t="shared" si="3"/>
        <v>0</v>
      </c>
      <c r="V15" s="363">
        <f t="shared" si="3"/>
        <v>0</v>
      </c>
      <c r="W15" s="363">
        <f t="shared" si="4"/>
        <v>0</v>
      </c>
      <c r="X15" s="363">
        <f t="shared" si="5"/>
        <v>0</v>
      </c>
      <c r="Y15" s="370"/>
      <c r="AI15" s="363"/>
      <c r="AJ15" s="363"/>
      <c r="AK15" s="363"/>
      <c r="AL15" s="363"/>
      <c r="AM15" s="363"/>
      <c r="AN15" s="363"/>
    </row>
    <row r="16" spans="1:40">
      <c r="A16" s="2" t="s">
        <v>88</v>
      </c>
      <c r="B16" s="16">
        <f t="shared" ref="B16:Q16" si="15">B86*0.8</f>
        <v>0</v>
      </c>
      <c r="C16" s="16">
        <f t="shared" si="15"/>
        <v>0</v>
      </c>
      <c r="D16" s="16">
        <f t="shared" si="15"/>
        <v>0</v>
      </c>
      <c r="E16" s="16">
        <f t="shared" si="15"/>
        <v>0</v>
      </c>
      <c r="F16" s="16">
        <f t="shared" si="15"/>
        <v>0</v>
      </c>
      <c r="G16" s="16">
        <f t="shared" si="15"/>
        <v>0</v>
      </c>
      <c r="H16" s="16">
        <f t="shared" si="15"/>
        <v>0</v>
      </c>
      <c r="I16" s="16">
        <f t="shared" si="15"/>
        <v>0</v>
      </c>
      <c r="J16" s="16">
        <f t="shared" si="15"/>
        <v>0</v>
      </c>
      <c r="K16" s="16">
        <f t="shared" si="15"/>
        <v>0</v>
      </c>
      <c r="L16" s="16">
        <f t="shared" si="15"/>
        <v>0</v>
      </c>
      <c r="M16" s="16">
        <f t="shared" si="15"/>
        <v>0</v>
      </c>
      <c r="N16" s="16">
        <f t="shared" si="15"/>
        <v>0</v>
      </c>
      <c r="O16" s="16">
        <f t="shared" si="15"/>
        <v>0</v>
      </c>
      <c r="P16" s="16">
        <f t="shared" si="15"/>
        <v>0</v>
      </c>
      <c r="Q16" s="16">
        <f t="shared" si="15"/>
        <v>0</v>
      </c>
      <c r="R16" s="8">
        <f t="shared" si="1"/>
        <v>0</v>
      </c>
      <c r="S16" s="363">
        <f t="shared" si="3"/>
        <v>0</v>
      </c>
      <c r="T16" s="363">
        <f t="shared" si="3"/>
        <v>0</v>
      </c>
      <c r="U16" s="363">
        <f t="shared" si="3"/>
        <v>0</v>
      </c>
      <c r="V16" s="363">
        <f t="shared" si="3"/>
        <v>0</v>
      </c>
      <c r="W16" s="363">
        <f t="shared" si="4"/>
        <v>0</v>
      </c>
      <c r="X16" s="363">
        <f t="shared" si="5"/>
        <v>0</v>
      </c>
      <c r="Y16" s="370"/>
      <c r="AI16" s="363"/>
      <c r="AJ16" s="363"/>
      <c r="AK16" s="363"/>
      <c r="AL16" s="363"/>
      <c r="AM16" s="363"/>
      <c r="AN16" s="363"/>
    </row>
    <row r="17" spans="1:40">
      <c r="A17" s="2" t="s">
        <v>89</v>
      </c>
      <c r="B17" s="16">
        <f t="shared" ref="B17:Q17" si="16">B87*0.8</f>
        <v>0</v>
      </c>
      <c r="C17" s="16">
        <f t="shared" si="16"/>
        <v>0</v>
      </c>
      <c r="D17" s="16">
        <f t="shared" si="16"/>
        <v>0</v>
      </c>
      <c r="E17" s="16">
        <f t="shared" si="16"/>
        <v>0</v>
      </c>
      <c r="F17" s="16">
        <f t="shared" si="16"/>
        <v>0</v>
      </c>
      <c r="G17" s="16">
        <f t="shared" si="16"/>
        <v>0</v>
      </c>
      <c r="H17" s="16">
        <f t="shared" si="16"/>
        <v>0</v>
      </c>
      <c r="I17" s="16">
        <f t="shared" si="16"/>
        <v>0</v>
      </c>
      <c r="J17" s="16">
        <f t="shared" si="16"/>
        <v>0</v>
      </c>
      <c r="K17" s="16">
        <f t="shared" si="16"/>
        <v>0</v>
      </c>
      <c r="L17" s="16">
        <f t="shared" si="16"/>
        <v>0</v>
      </c>
      <c r="M17" s="16">
        <f t="shared" si="16"/>
        <v>0</v>
      </c>
      <c r="N17" s="16">
        <f t="shared" si="16"/>
        <v>0</v>
      </c>
      <c r="O17" s="16">
        <f t="shared" si="16"/>
        <v>0</v>
      </c>
      <c r="P17" s="16">
        <f t="shared" si="16"/>
        <v>0</v>
      </c>
      <c r="Q17" s="16">
        <f t="shared" si="16"/>
        <v>0</v>
      </c>
      <c r="R17" s="8">
        <f t="shared" si="1"/>
        <v>0</v>
      </c>
      <c r="S17" s="363">
        <f t="shared" si="3"/>
        <v>0</v>
      </c>
      <c r="T17" s="363">
        <f t="shared" si="3"/>
        <v>0</v>
      </c>
      <c r="U17" s="363">
        <f t="shared" si="3"/>
        <v>0</v>
      </c>
      <c r="V17" s="363">
        <f t="shared" si="3"/>
        <v>0</v>
      </c>
      <c r="W17" s="363">
        <f t="shared" si="4"/>
        <v>0</v>
      </c>
      <c r="X17" s="363">
        <f t="shared" si="5"/>
        <v>0</v>
      </c>
      <c r="Y17" s="370"/>
      <c r="AI17" s="363"/>
      <c r="AJ17" s="363"/>
      <c r="AK17" s="363"/>
      <c r="AL17" s="363"/>
      <c r="AM17" s="363"/>
      <c r="AN17" s="363"/>
    </row>
    <row r="18" spans="1:40">
      <c r="A18" s="2" t="s">
        <v>90</v>
      </c>
      <c r="B18" s="16">
        <f t="shared" ref="B18:Q18" si="17">B88*0.8</f>
        <v>0</v>
      </c>
      <c r="C18" s="16">
        <f t="shared" si="17"/>
        <v>0</v>
      </c>
      <c r="D18" s="16">
        <f t="shared" si="17"/>
        <v>0</v>
      </c>
      <c r="E18" s="16">
        <f t="shared" si="17"/>
        <v>0</v>
      </c>
      <c r="F18" s="16">
        <f t="shared" si="17"/>
        <v>0</v>
      </c>
      <c r="G18" s="16">
        <f t="shared" si="17"/>
        <v>0</v>
      </c>
      <c r="H18" s="16">
        <f t="shared" si="17"/>
        <v>0</v>
      </c>
      <c r="I18" s="16">
        <f t="shared" si="17"/>
        <v>0</v>
      </c>
      <c r="J18" s="16">
        <f t="shared" si="17"/>
        <v>0</v>
      </c>
      <c r="K18" s="16">
        <f t="shared" si="17"/>
        <v>0</v>
      </c>
      <c r="L18" s="16">
        <f t="shared" si="17"/>
        <v>0</v>
      </c>
      <c r="M18" s="16">
        <f t="shared" si="17"/>
        <v>0</v>
      </c>
      <c r="N18" s="16">
        <f t="shared" si="17"/>
        <v>0</v>
      </c>
      <c r="O18" s="16">
        <f t="shared" si="17"/>
        <v>0</v>
      </c>
      <c r="P18" s="16">
        <f t="shared" si="17"/>
        <v>0</v>
      </c>
      <c r="Q18" s="16">
        <f t="shared" si="17"/>
        <v>0</v>
      </c>
      <c r="R18" s="8">
        <f t="shared" si="1"/>
        <v>0</v>
      </c>
      <c r="S18" s="363">
        <f t="shared" si="3"/>
        <v>0</v>
      </c>
      <c r="T18" s="363">
        <f t="shared" si="3"/>
        <v>0</v>
      </c>
      <c r="U18" s="363">
        <f t="shared" si="3"/>
        <v>0</v>
      </c>
      <c r="V18" s="363">
        <f t="shared" si="3"/>
        <v>0</v>
      </c>
      <c r="W18" s="363">
        <f t="shared" si="4"/>
        <v>0</v>
      </c>
      <c r="X18" s="363">
        <f t="shared" si="5"/>
        <v>0</v>
      </c>
      <c r="Y18" s="370"/>
      <c r="AI18" s="363"/>
      <c r="AJ18" s="363"/>
      <c r="AK18" s="363"/>
      <c r="AL18" s="363"/>
      <c r="AM18" s="363"/>
      <c r="AN18" s="363"/>
    </row>
    <row r="19" spans="1:40">
      <c r="A19" s="2" t="s">
        <v>91</v>
      </c>
      <c r="B19" s="16">
        <f t="shared" ref="B19:Q19" si="18">B89*0.8</f>
        <v>0</v>
      </c>
      <c r="C19" s="16">
        <f t="shared" si="18"/>
        <v>0</v>
      </c>
      <c r="D19" s="16">
        <f t="shared" si="18"/>
        <v>0</v>
      </c>
      <c r="E19" s="16">
        <f t="shared" si="18"/>
        <v>0</v>
      </c>
      <c r="F19" s="16">
        <f t="shared" si="18"/>
        <v>0</v>
      </c>
      <c r="G19" s="16">
        <f t="shared" si="18"/>
        <v>0</v>
      </c>
      <c r="H19" s="16">
        <f t="shared" si="18"/>
        <v>0</v>
      </c>
      <c r="I19" s="16">
        <f t="shared" si="18"/>
        <v>0</v>
      </c>
      <c r="J19" s="16">
        <f t="shared" si="18"/>
        <v>0</v>
      </c>
      <c r="K19" s="16">
        <f t="shared" si="18"/>
        <v>0</v>
      </c>
      <c r="L19" s="16">
        <f t="shared" si="18"/>
        <v>0</v>
      </c>
      <c r="M19" s="16">
        <f t="shared" si="18"/>
        <v>0</v>
      </c>
      <c r="N19" s="16">
        <f t="shared" si="18"/>
        <v>0</v>
      </c>
      <c r="O19" s="16">
        <f t="shared" si="18"/>
        <v>0</v>
      </c>
      <c r="P19" s="16">
        <f t="shared" si="18"/>
        <v>0</v>
      </c>
      <c r="Q19" s="16">
        <f t="shared" si="18"/>
        <v>0</v>
      </c>
      <c r="R19" s="8">
        <f t="shared" si="1"/>
        <v>0</v>
      </c>
      <c r="S19" s="363">
        <f t="shared" si="3"/>
        <v>0</v>
      </c>
      <c r="T19" s="363">
        <f t="shared" si="3"/>
        <v>0</v>
      </c>
      <c r="U19" s="363">
        <f t="shared" si="3"/>
        <v>0</v>
      </c>
      <c r="V19" s="363">
        <f t="shared" si="3"/>
        <v>0</v>
      </c>
      <c r="W19" s="363">
        <f t="shared" si="4"/>
        <v>0</v>
      </c>
      <c r="X19" s="363">
        <f t="shared" si="5"/>
        <v>0</v>
      </c>
      <c r="Y19" s="370"/>
      <c r="AI19" s="363"/>
      <c r="AJ19" s="363"/>
      <c r="AK19" s="363"/>
      <c r="AL19" s="363"/>
      <c r="AM19" s="363"/>
      <c r="AN19" s="363"/>
    </row>
    <row r="20" spans="1:40">
      <c r="A20" s="2" t="s">
        <v>92</v>
      </c>
      <c r="B20" s="16">
        <f t="shared" ref="B20:Q20" si="19">B90*0.8</f>
        <v>0</v>
      </c>
      <c r="C20" s="16">
        <f t="shared" si="19"/>
        <v>0</v>
      </c>
      <c r="D20" s="16">
        <f t="shared" si="19"/>
        <v>0</v>
      </c>
      <c r="E20" s="16">
        <f t="shared" si="19"/>
        <v>0</v>
      </c>
      <c r="F20" s="16">
        <f t="shared" si="19"/>
        <v>0</v>
      </c>
      <c r="G20" s="16">
        <f t="shared" si="19"/>
        <v>0</v>
      </c>
      <c r="H20" s="16">
        <f t="shared" si="19"/>
        <v>0</v>
      </c>
      <c r="I20" s="16">
        <f t="shared" si="19"/>
        <v>0</v>
      </c>
      <c r="J20" s="16">
        <f t="shared" si="19"/>
        <v>0</v>
      </c>
      <c r="K20" s="16">
        <f t="shared" si="19"/>
        <v>0</v>
      </c>
      <c r="L20" s="16">
        <f t="shared" si="19"/>
        <v>0</v>
      </c>
      <c r="M20" s="16">
        <f t="shared" si="19"/>
        <v>0</v>
      </c>
      <c r="N20" s="16">
        <f t="shared" si="19"/>
        <v>0</v>
      </c>
      <c r="O20" s="16">
        <f t="shared" si="19"/>
        <v>0</v>
      </c>
      <c r="P20" s="16">
        <f t="shared" si="19"/>
        <v>0</v>
      </c>
      <c r="Q20" s="16">
        <f t="shared" si="19"/>
        <v>0</v>
      </c>
      <c r="R20" s="8">
        <f t="shared" si="1"/>
        <v>0</v>
      </c>
      <c r="S20" s="363">
        <f t="shared" si="3"/>
        <v>0</v>
      </c>
      <c r="T20" s="363">
        <f t="shared" si="3"/>
        <v>0</v>
      </c>
      <c r="U20" s="363">
        <f t="shared" si="3"/>
        <v>0</v>
      </c>
      <c r="V20" s="363">
        <f t="shared" si="3"/>
        <v>0</v>
      </c>
      <c r="W20" s="363">
        <f t="shared" si="4"/>
        <v>0</v>
      </c>
      <c r="X20" s="363">
        <f t="shared" si="5"/>
        <v>0</v>
      </c>
      <c r="Y20" s="370"/>
      <c r="AI20" s="363"/>
      <c r="AJ20" s="363"/>
      <c r="AK20" s="363"/>
      <c r="AL20" s="363"/>
      <c r="AM20" s="363"/>
      <c r="AN20" s="363"/>
    </row>
    <row r="21" spans="1:40">
      <c r="A21" s="2" t="s">
        <v>93</v>
      </c>
      <c r="B21" s="16">
        <f t="shared" ref="B21:Q21" si="20">B91*0.8</f>
        <v>0</v>
      </c>
      <c r="C21" s="16">
        <f t="shared" si="20"/>
        <v>0</v>
      </c>
      <c r="D21" s="16">
        <f t="shared" si="20"/>
        <v>0</v>
      </c>
      <c r="E21" s="16">
        <f t="shared" si="20"/>
        <v>0</v>
      </c>
      <c r="F21" s="16">
        <f t="shared" si="20"/>
        <v>0</v>
      </c>
      <c r="G21" s="16">
        <f t="shared" si="20"/>
        <v>0</v>
      </c>
      <c r="H21" s="16">
        <f t="shared" si="20"/>
        <v>0</v>
      </c>
      <c r="I21" s="16">
        <f t="shared" si="20"/>
        <v>0</v>
      </c>
      <c r="J21" s="16">
        <f t="shared" si="20"/>
        <v>0</v>
      </c>
      <c r="K21" s="16">
        <f t="shared" si="20"/>
        <v>0</v>
      </c>
      <c r="L21" s="16">
        <f t="shared" si="20"/>
        <v>0</v>
      </c>
      <c r="M21" s="16">
        <f t="shared" si="20"/>
        <v>0</v>
      </c>
      <c r="N21" s="16">
        <f t="shared" si="20"/>
        <v>0</v>
      </c>
      <c r="O21" s="16">
        <f t="shared" si="20"/>
        <v>0</v>
      </c>
      <c r="P21" s="16">
        <f t="shared" si="20"/>
        <v>0</v>
      </c>
      <c r="Q21" s="16">
        <f t="shared" si="20"/>
        <v>0</v>
      </c>
      <c r="R21" s="8">
        <f t="shared" si="1"/>
        <v>0</v>
      </c>
      <c r="S21" s="363">
        <f t="shared" si="3"/>
        <v>0</v>
      </c>
      <c r="T21" s="363">
        <f t="shared" si="3"/>
        <v>0</v>
      </c>
      <c r="U21" s="363">
        <f t="shared" si="3"/>
        <v>0</v>
      </c>
      <c r="V21" s="363">
        <f t="shared" si="3"/>
        <v>0</v>
      </c>
      <c r="W21" s="363">
        <f t="shared" si="4"/>
        <v>0</v>
      </c>
      <c r="X21" s="363">
        <f t="shared" si="5"/>
        <v>0</v>
      </c>
      <c r="Y21" s="370"/>
      <c r="AI21" s="363"/>
      <c r="AJ21" s="363"/>
      <c r="AK21" s="363"/>
      <c r="AL21" s="363"/>
      <c r="AM21" s="363"/>
      <c r="AN21" s="363"/>
    </row>
    <row r="22" spans="1:40">
      <c r="A22" s="2" t="s">
        <v>94</v>
      </c>
      <c r="B22" s="16">
        <f t="shared" ref="B22:Q22" si="21">B92*0.8</f>
        <v>0</v>
      </c>
      <c r="C22" s="16">
        <f t="shared" si="21"/>
        <v>0</v>
      </c>
      <c r="D22" s="16">
        <f t="shared" si="21"/>
        <v>0</v>
      </c>
      <c r="E22" s="16">
        <f t="shared" si="21"/>
        <v>0</v>
      </c>
      <c r="F22" s="16">
        <f t="shared" si="21"/>
        <v>0</v>
      </c>
      <c r="G22" s="16">
        <f t="shared" si="21"/>
        <v>0</v>
      </c>
      <c r="H22" s="16">
        <f t="shared" si="21"/>
        <v>0</v>
      </c>
      <c r="I22" s="16">
        <f t="shared" si="21"/>
        <v>0</v>
      </c>
      <c r="J22" s="16">
        <f t="shared" si="21"/>
        <v>0</v>
      </c>
      <c r="K22" s="16">
        <f t="shared" si="21"/>
        <v>0</v>
      </c>
      <c r="L22" s="16">
        <f t="shared" si="21"/>
        <v>0</v>
      </c>
      <c r="M22" s="16">
        <f t="shared" si="21"/>
        <v>0</v>
      </c>
      <c r="N22" s="16">
        <f t="shared" si="21"/>
        <v>0</v>
      </c>
      <c r="O22" s="16">
        <f t="shared" si="21"/>
        <v>0</v>
      </c>
      <c r="P22" s="16">
        <f t="shared" si="21"/>
        <v>0</v>
      </c>
      <c r="Q22" s="16">
        <f t="shared" si="21"/>
        <v>0</v>
      </c>
      <c r="R22" s="8">
        <f t="shared" si="1"/>
        <v>0</v>
      </c>
      <c r="S22" s="363">
        <f t="shared" si="3"/>
        <v>0</v>
      </c>
      <c r="T22" s="363">
        <f t="shared" si="3"/>
        <v>0</v>
      </c>
      <c r="U22" s="363">
        <f t="shared" si="3"/>
        <v>0</v>
      </c>
      <c r="V22" s="363">
        <f t="shared" si="3"/>
        <v>0</v>
      </c>
      <c r="W22" s="363">
        <f t="shared" si="4"/>
        <v>0</v>
      </c>
      <c r="X22" s="363">
        <f t="shared" si="5"/>
        <v>0</v>
      </c>
      <c r="Y22" s="370"/>
      <c r="AI22" s="363"/>
      <c r="AJ22" s="363"/>
      <c r="AK22" s="363"/>
      <c r="AL22" s="363"/>
      <c r="AM22" s="363"/>
      <c r="AN22" s="363"/>
    </row>
    <row r="23" spans="1:40">
      <c r="A23" s="2" t="s">
        <v>95</v>
      </c>
      <c r="B23" s="16">
        <f t="shared" ref="B23:Q23" si="22">B93*0.8</f>
        <v>0</v>
      </c>
      <c r="C23" s="16">
        <f t="shared" si="22"/>
        <v>0</v>
      </c>
      <c r="D23" s="16">
        <f t="shared" si="22"/>
        <v>0</v>
      </c>
      <c r="E23" s="16">
        <f t="shared" si="22"/>
        <v>0</v>
      </c>
      <c r="F23" s="16">
        <f t="shared" si="22"/>
        <v>0</v>
      </c>
      <c r="G23" s="16">
        <f t="shared" si="22"/>
        <v>0</v>
      </c>
      <c r="H23" s="16">
        <f t="shared" si="22"/>
        <v>0</v>
      </c>
      <c r="I23" s="16">
        <f t="shared" si="22"/>
        <v>0</v>
      </c>
      <c r="J23" s="16">
        <f t="shared" si="22"/>
        <v>0</v>
      </c>
      <c r="K23" s="16">
        <f t="shared" si="22"/>
        <v>0</v>
      </c>
      <c r="L23" s="16">
        <f t="shared" si="22"/>
        <v>0</v>
      </c>
      <c r="M23" s="16">
        <f t="shared" si="22"/>
        <v>0</v>
      </c>
      <c r="N23" s="16">
        <f t="shared" si="22"/>
        <v>0</v>
      </c>
      <c r="O23" s="16">
        <f t="shared" si="22"/>
        <v>0</v>
      </c>
      <c r="P23" s="16">
        <f t="shared" si="22"/>
        <v>0</v>
      </c>
      <c r="Q23" s="16">
        <f t="shared" si="22"/>
        <v>0</v>
      </c>
      <c r="R23" s="8">
        <f t="shared" si="1"/>
        <v>0</v>
      </c>
      <c r="S23" s="363">
        <f t="shared" si="3"/>
        <v>0</v>
      </c>
      <c r="T23" s="363">
        <f t="shared" si="3"/>
        <v>0</v>
      </c>
      <c r="U23" s="363">
        <f t="shared" si="3"/>
        <v>0</v>
      </c>
      <c r="V23" s="363">
        <f t="shared" si="3"/>
        <v>0</v>
      </c>
      <c r="W23" s="363">
        <f t="shared" si="4"/>
        <v>0</v>
      </c>
      <c r="X23" s="363">
        <f t="shared" si="5"/>
        <v>0</v>
      </c>
      <c r="Y23" s="370"/>
      <c r="AI23" s="363"/>
      <c r="AJ23" s="363"/>
      <c r="AK23" s="363"/>
      <c r="AL23" s="363"/>
      <c r="AM23" s="363"/>
      <c r="AN23" s="363"/>
    </row>
    <row r="24" spans="1:40">
      <c r="A24" s="2" t="s">
        <v>96</v>
      </c>
      <c r="B24" s="16">
        <f t="shared" ref="B24:Q24" si="23">B94*0.8</f>
        <v>0</v>
      </c>
      <c r="C24" s="16">
        <f t="shared" si="23"/>
        <v>0</v>
      </c>
      <c r="D24" s="16">
        <f t="shared" si="23"/>
        <v>0</v>
      </c>
      <c r="E24" s="16">
        <f t="shared" si="23"/>
        <v>0</v>
      </c>
      <c r="F24" s="16">
        <f t="shared" si="23"/>
        <v>0</v>
      </c>
      <c r="G24" s="16">
        <f t="shared" si="23"/>
        <v>0</v>
      </c>
      <c r="H24" s="16">
        <f t="shared" si="23"/>
        <v>0</v>
      </c>
      <c r="I24" s="16">
        <f t="shared" si="23"/>
        <v>0</v>
      </c>
      <c r="J24" s="16">
        <f t="shared" si="23"/>
        <v>0</v>
      </c>
      <c r="K24" s="16">
        <f t="shared" si="23"/>
        <v>0</v>
      </c>
      <c r="L24" s="16">
        <f t="shared" si="23"/>
        <v>0</v>
      </c>
      <c r="M24" s="16">
        <f t="shared" si="23"/>
        <v>0</v>
      </c>
      <c r="N24" s="16">
        <f t="shared" si="23"/>
        <v>0</v>
      </c>
      <c r="O24" s="16">
        <f t="shared" si="23"/>
        <v>0</v>
      </c>
      <c r="P24" s="16">
        <f t="shared" si="23"/>
        <v>0</v>
      </c>
      <c r="Q24" s="16">
        <f t="shared" si="23"/>
        <v>0</v>
      </c>
      <c r="R24" s="8">
        <f t="shared" si="1"/>
        <v>0</v>
      </c>
      <c r="S24" s="363">
        <f t="shared" si="3"/>
        <v>0</v>
      </c>
      <c r="T24" s="363">
        <f t="shared" si="3"/>
        <v>0</v>
      </c>
      <c r="U24" s="363">
        <f t="shared" si="3"/>
        <v>0</v>
      </c>
      <c r="V24" s="363">
        <f t="shared" si="3"/>
        <v>0</v>
      </c>
      <c r="W24" s="363">
        <f t="shared" si="4"/>
        <v>0</v>
      </c>
      <c r="X24" s="363">
        <f t="shared" si="5"/>
        <v>0</v>
      </c>
      <c r="Y24" s="370"/>
      <c r="AI24" s="363"/>
      <c r="AJ24" s="363"/>
      <c r="AK24" s="363"/>
      <c r="AL24" s="363"/>
      <c r="AM24" s="363"/>
      <c r="AN24" s="363"/>
    </row>
    <row r="25" spans="1:40">
      <c r="A25" s="2" t="s">
        <v>97</v>
      </c>
      <c r="B25" s="16">
        <f t="shared" ref="B25:Q25" si="24">B95*0.8</f>
        <v>0</v>
      </c>
      <c r="C25" s="16">
        <f t="shared" si="24"/>
        <v>0</v>
      </c>
      <c r="D25" s="16">
        <f t="shared" si="24"/>
        <v>0</v>
      </c>
      <c r="E25" s="16">
        <f t="shared" si="24"/>
        <v>0</v>
      </c>
      <c r="F25" s="16">
        <f t="shared" si="24"/>
        <v>0</v>
      </c>
      <c r="G25" s="16">
        <f t="shared" si="24"/>
        <v>0</v>
      </c>
      <c r="H25" s="16">
        <f t="shared" si="24"/>
        <v>0</v>
      </c>
      <c r="I25" s="16">
        <f t="shared" si="24"/>
        <v>0</v>
      </c>
      <c r="J25" s="16">
        <f t="shared" si="24"/>
        <v>0</v>
      </c>
      <c r="K25" s="16">
        <f t="shared" si="24"/>
        <v>0</v>
      </c>
      <c r="L25" s="16">
        <f t="shared" si="24"/>
        <v>0</v>
      </c>
      <c r="M25" s="16">
        <f t="shared" si="24"/>
        <v>0</v>
      </c>
      <c r="N25" s="16">
        <f t="shared" si="24"/>
        <v>0</v>
      </c>
      <c r="O25" s="16">
        <f t="shared" si="24"/>
        <v>0</v>
      </c>
      <c r="P25" s="16">
        <f t="shared" si="24"/>
        <v>0</v>
      </c>
      <c r="Q25" s="16">
        <f t="shared" si="24"/>
        <v>0</v>
      </c>
      <c r="R25" s="8">
        <f t="shared" si="1"/>
        <v>0</v>
      </c>
      <c r="S25" s="363">
        <f t="shared" si="3"/>
        <v>0</v>
      </c>
      <c r="T25" s="363">
        <f t="shared" si="3"/>
        <v>0</v>
      </c>
      <c r="U25" s="363">
        <f t="shared" si="3"/>
        <v>0</v>
      </c>
      <c r="V25" s="363">
        <f t="shared" si="3"/>
        <v>0</v>
      </c>
      <c r="W25" s="363">
        <f t="shared" si="4"/>
        <v>0</v>
      </c>
      <c r="X25" s="363">
        <f t="shared" si="5"/>
        <v>0</v>
      </c>
      <c r="Y25" s="370"/>
      <c r="AI25" s="363"/>
      <c r="AJ25" s="363"/>
      <c r="AK25" s="363"/>
      <c r="AL25" s="363"/>
      <c r="AM25" s="363"/>
      <c r="AN25" s="363"/>
    </row>
    <row r="26" spans="1:40">
      <c r="A26" s="2" t="s">
        <v>98</v>
      </c>
      <c r="B26" s="16">
        <f t="shared" ref="B26:Q26" si="25">B96*0.8</f>
        <v>0</v>
      </c>
      <c r="C26" s="16">
        <f t="shared" si="25"/>
        <v>0</v>
      </c>
      <c r="D26" s="16">
        <f t="shared" si="25"/>
        <v>0</v>
      </c>
      <c r="E26" s="16">
        <f t="shared" si="25"/>
        <v>0</v>
      </c>
      <c r="F26" s="16">
        <f t="shared" si="25"/>
        <v>0</v>
      </c>
      <c r="G26" s="16">
        <f t="shared" si="25"/>
        <v>0</v>
      </c>
      <c r="H26" s="16">
        <f t="shared" si="25"/>
        <v>0</v>
      </c>
      <c r="I26" s="16">
        <f t="shared" si="25"/>
        <v>0</v>
      </c>
      <c r="J26" s="16">
        <f t="shared" si="25"/>
        <v>0</v>
      </c>
      <c r="K26" s="16">
        <f t="shared" si="25"/>
        <v>0</v>
      </c>
      <c r="L26" s="16">
        <f t="shared" si="25"/>
        <v>0</v>
      </c>
      <c r="M26" s="16">
        <f t="shared" si="25"/>
        <v>0</v>
      </c>
      <c r="N26" s="16">
        <f t="shared" si="25"/>
        <v>0</v>
      </c>
      <c r="O26" s="16">
        <f t="shared" si="25"/>
        <v>0</v>
      </c>
      <c r="P26" s="16">
        <f t="shared" si="25"/>
        <v>0</v>
      </c>
      <c r="Q26" s="16">
        <f t="shared" si="25"/>
        <v>0</v>
      </c>
      <c r="R26" s="8">
        <f t="shared" si="1"/>
        <v>0</v>
      </c>
      <c r="S26" s="363">
        <f t="shared" si="3"/>
        <v>0</v>
      </c>
      <c r="T26" s="363">
        <f t="shared" si="3"/>
        <v>0</v>
      </c>
      <c r="U26" s="363">
        <f t="shared" si="3"/>
        <v>0</v>
      </c>
      <c r="V26" s="363">
        <f t="shared" si="3"/>
        <v>0</v>
      </c>
      <c r="W26" s="363">
        <f t="shared" si="4"/>
        <v>0</v>
      </c>
      <c r="X26" s="363">
        <f t="shared" si="5"/>
        <v>0</v>
      </c>
      <c r="Y26" s="370"/>
      <c r="AI26" s="363"/>
      <c r="AJ26" s="363"/>
      <c r="AK26" s="363"/>
      <c r="AL26" s="363"/>
      <c r="AM26" s="363"/>
      <c r="AN26" s="363"/>
    </row>
    <row r="27" spans="1:40">
      <c r="A27" s="2" t="s">
        <v>99</v>
      </c>
      <c r="B27" s="16">
        <f t="shared" ref="B27:Q27" si="26">B97*0.8</f>
        <v>0</v>
      </c>
      <c r="C27" s="16">
        <f t="shared" si="26"/>
        <v>0</v>
      </c>
      <c r="D27" s="16">
        <f t="shared" si="26"/>
        <v>0</v>
      </c>
      <c r="E27" s="16">
        <f t="shared" si="26"/>
        <v>0</v>
      </c>
      <c r="F27" s="16">
        <f t="shared" si="26"/>
        <v>0</v>
      </c>
      <c r="G27" s="16">
        <f t="shared" si="26"/>
        <v>0</v>
      </c>
      <c r="H27" s="16">
        <f t="shared" si="26"/>
        <v>0</v>
      </c>
      <c r="I27" s="16">
        <f t="shared" si="26"/>
        <v>0</v>
      </c>
      <c r="J27" s="16">
        <f t="shared" si="26"/>
        <v>0</v>
      </c>
      <c r="K27" s="16">
        <f t="shared" si="26"/>
        <v>0</v>
      </c>
      <c r="L27" s="16">
        <f t="shared" si="26"/>
        <v>0</v>
      </c>
      <c r="M27" s="16">
        <f t="shared" si="26"/>
        <v>0</v>
      </c>
      <c r="N27" s="16">
        <f t="shared" si="26"/>
        <v>0</v>
      </c>
      <c r="O27" s="16">
        <f t="shared" si="26"/>
        <v>0</v>
      </c>
      <c r="P27" s="16">
        <f t="shared" si="26"/>
        <v>0</v>
      </c>
      <c r="Q27" s="16">
        <f t="shared" si="26"/>
        <v>0</v>
      </c>
      <c r="R27" s="8">
        <f t="shared" si="1"/>
        <v>0</v>
      </c>
      <c r="S27" s="363">
        <f t="shared" si="3"/>
        <v>0</v>
      </c>
      <c r="T27" s="363">
        <f t="shared" si="3"/>
        <v>0</v>
      </c>
      <c r="U27" s="363">
        <f t="shared" si="3"/>
        <v>0</v>
      </c>
      <c r="V27" s="363">
        <f t="shared" si="3"/>
        <v>0</v>
      </c>
      <c r="W27" s="363">
        <f t="shared" si="4"/>
        <v>0</v>
      </c>
      <c r="X27" s="363">
        <f t="shared" si="5"/>
        <v>0</v>
      </c>
      <c r="Y27" s="370"/>
      <c r="AI27" s="363"/>
      <c r="AJ27" s="363"/>
      <c r="AK27" s="363"/>
      <c r="AL27" s="363"/>
      <c r="AM27" s="363"/>
      <c r="AN27" s="363"/>
    </row>
    <row r="28" spans="1:40">
      <c r="A28" s="2" t="s">
        <v>100</v>
      </c>
      <c r="B28" s="16">
        <f t="shared" ref="B28:Q28" si="27">B98*0.8</f>
        <v>0</v>
      </c>
      <c r="C28" s="16">
        <f t="shared" si="27"/>
        <v>0</v>
      </c>
      <c r="D28" s="16">
        <f t="shared" si="27"/>
        <v>0</v>
      </c>
      <c r="E28" s="16">
        <f t="shared" si="27"/>
        <v>0</v>
      </c>
      <c r="F28" s="16">
        <f t="shared" si="27"/>
        <v>0</v>
      </c>
      <c r="G28" s="16">
        <f t="shared" si="27"/>
        <v>0</v>
      </c>
      <c r="H28" s="16">
        <f t="shared" si="27"/>
        <v>0</v>
      </c>
      <c r="I28" s="16">
        <f t="shared" si="27"/>
        <v>0</v>
      </c>
      <c r="J28" s="16">
        <f t="shared" si="27"/>
        <v>0</v>
      </c>
      <c r="K28" s="16">
        <f t="shared" si="27"/>
        <v>0</v>
      </c>
      <c r="L28" s="16">
        <f t="shared" si="27"/>
        <v>0</v>
      </c>
      <c r="M28" s="16">
        <f t="shared" si="27"/>
        <v>0</v>
      </c>
      <c r="N28" s="16">
        <f t="shared" si="27"/>
        <v>0</v>
      </c>
      <c r="O28" s="16">
        <f t="shared" si="27"/>
        <v>0</v>
      </c>
      <c r="P28" s="16">
        <f t="shared" si="27"/>
        <v>0</v>
      </c>
      <c r="Q28" s="16">
        <f t="shared" si="27"/>
        <v>0</v>
      </c>
      <c r="R28" s="8">
        <f t="shared" si="1"/>
        <v>0</v>
      </c>
      <c r="S28" s="363">
        <f t="shared" si="3"/>
        <v>0</v>
      </c>
      <c r="T28" s="363">
        <f t="shared" si="3"/>
        <v>0</v>
      </c>
      <c r="U28" s="363">
        <f t="shared" si="3"/>
        <v>0</v>
      </c>
      <c r="V28" s="363">
        <f t="shared" si="3"/>
        <v>0</v>
      </c>
      <c r="W28" s="363">
        <f t="shared" si="4"/>
        <v>0</v>
      </c>
      <c r="X28" s="363">
        <f t="shared" si="5"/>
        <v>0</v>
      </c>
      <c r="Y28" s="370"/>
      <c r="AI28" s="363"/>
      <c r="AJ28" s="363"/>
      <c r="AK28" s="363"/>
      <c r="AL28" s="363"/>
      <c r="AM28" s="363"/>
      <c r="AN28" s="363"/>
    </row>
    <row r="29" spans="1:40">
      <c r="A29" s="2" t="s">
        <v>101</v>
      </c>
      <c r="B29" s="16">
        <f t="shared" ref="B29:O29" si="28">B99*0.8</f>
        <v>0</v>
      </c>
      <c r="C29" s="16">
        <f t="shared" si="28"/>
        <v>0</v>
      </c>
      <c r="D29" s="16">
        <f t="shared" si="28"/>
        <v>0</v>
      </c>
      <c r="E29" s="16">
        <f t="shared" si="28"/>
        <v>0</v>
      </c>
      <c r="F29" s="16">
        <f t="shared" si="28"/>
        <v>0</v>
      </c>
      <c r="G29" s="16">
        <f t="shared" si="28"/>
        <v>0</v>
      </c>
      <c r="H29" s="16">
        <f t="shared" si="28"/>
        <v>0</v>
      </c>
      <c r="I29" s="16">
        <f t="shared" si="28"/>
        <v>0</v>
      </c>
      <c r="J29" s="16">
        <f t="shared" si="28"/>
        <v>0</v>
      </c>
      <c r="K29" s="16">
        <f t="shared" si="28"/>
        <v>0</v>
      </c>
      <c r="L29" s="16">
        <f t="shared" si="28"/>
        <v>0</v>
      </c>
      <c r="M29" s="16">
        <f t="shared" si="28"/>
        <v>0</v>
      </c>
      <c r="N29" s="16">
        <f t="shared" si="28"/>
        <v>0</v>
      </c>
      <c r="O29" s="16">
        <f t="shared" si="28"/>
        <v>0</v>
      </c>
      <c r="P29" s="16">
        <f>P99</f>
        <v>0</v>
      </c>
      <c r="Q29" s="16">
        <f>Q99</f>
        <v>0</v>
      </c>
      <c r="R29" s="8">
        <f t="shared" si="1"/>
        <v>0</v>
      </c>
      <c r="S29" s="363">
        <f t="shared" si="3"/>
        <v>0</v>
      </c>
      <c r="T29" s="363">
        <f t="shared" si="3"/>
        <v>0</v>
      </c>
      <c r="U29" s="363">
        <f t="shared" si="3"/>
        <v>0</v>
      </c>
      <c r="V29" s="363">
        <f t="shared" si="3"/>
        <v>0</v>
      </c>
      <c r="W29" s="363">
        <f t="shared" si="4"/>
        <v>0</v>
      </c>
      <c r="X29" s="363">
        <f t="shared" si="5"/>
        <v>0</v>
      </c>
      <c r="Y29" s="370"/>
      <c r="AI29" s="363"/>
      <c r="AJ29" s="363"/>
      <c r="AK29" s="363"/>
      <c r="AL29" s="363"/>
      <c r="AM29" s="363"/>
      <c r="AN29" s="363"/>
    </row>
    <row r="30" spans="1:40">
      <c r="A30" s="2" t="s">
        <v>102</v>
      </c>
      <c r="B30" s="16">
        <f t="shared" ref="B30:O30" si="29">B100*0.8</f>
        <v>0</v>
      </c>
      <c r="C30" s="16">
        <f t="shared" si="29"/>
        <v>0</v>
      </c>
      <c r="D30" s="16">
        <f t="shared" si="29"/>
        <v>0</v>
      </c>
      <c r="E30" s="16">
        <f t="shared" si="29"/>
        <v>0</v>
      </c>
      <c r="F30" s="16">
        <f t="shared" si="29"/>
        <v>0</v>
      </c>
      <c r="G30" s="16">
        <f t="shared" si="29"/>
        <v>0</v>
      </c>
      <c r="H30" s="16">
        <f t="shared" si="29"/>
        <v>0</v>
      </c>
      <c r="I30" s="16">
        <f t="shared" si="29"/>
        <v>0</v>
      </c>
      <c r="J30" s="16">
        <f t="shared" si="29"/>
        <v>0</v>
      </c>
      <c r="K30" s="16">
        <f t="shared" si="29"/>
        <v>0</v>
      </c>
      <c r="L30" s="16">
        <f t="shared" si="29"/>
        <v>0</v>
      </c>
      <c r="M30" s="16">
        <f t="shared" si="29"/>
        <v>0</v>
      </c>
      <c r="N30" s="16">
        <f t="shared" si="29"/>
        <v>0</v>
      </c>
      <c r="O30" s="16">
        <f t="shared" si="29"/>
        <v>0</v>
      </c>
      <c r="P30" s="16">
        <f>P100*0.8</f>
        <v>0</v>
      </c>
      <c r="Q30" s="16">
        <f>Q100*0.8</f>
        <v>0</v>
      </c>
      <c r="R30" s="8">
        <f t="shared" si="1"/>
        <v>0</v>
      </c>
      <c r="S30" s="363">
        <f t="shared" si="3"/>
        <v>0</v>
      </c>
      <c r="T30" s="363">
        <f t="shared" si="3"/>
        <v>0</v>
      </c>
      <c r="U30" s="363">
        <f t="shared" si="3"/>
        <v>0</v>
      </c>
      <c r="V30" s="363">
        <f t="shared" si="3"/>
        <v>0</v>
      </c>
      <c r="W30" s="363">
        <f t="shared" si="4"/>
        <v>0</v>
      </c>
      <c r="X30" s="363">
        <f t="shared" si="5"/>
        <v>0</v>
      </c>
      <c r="Y30" s="370"/>
      <c r="AI30" s="363"/>
      <c r="AJ30" s="363"/>
      <c r="AK30" s="363"/>
      <c r="AL30" s="363"/>
      <c r="AM30" s="363"/>
      <c r="AN30" s="363"/>
    </row>
    <row r="31" spans="1:40">
      <c r="A31" s="2" t="s">
        <v>103</v>
      </c>
      <c r="B31" s="16">
        <f t="shared" ref="B31:O31" si="30">B101*0.8</f>
        <v>0</v>
      </c>
      <c r="C31" s="16">
        <f t="shared" si="30"/>
        <v>0</v>
      </c>
      <c r="D31" s="16">
        <f t="shared" si="30"/>
        <v>0</v>
      </c>
      <c r="E31" s="16">
        <f t="shared" si="30"/>
        <v>0</v>
      </c>
      <c r="F31" s="16">
        <f t="shared" si="30"/>
        <v>0</v>
      </c>
      <c r="G31" s="16">
        <f t="shared" si="30"/>
        <v>0</v>
      </c>
      <c r="H31" s="16">
        <f t="shared" si="30"/>
        <v>0</v>
      </c>
      <c r="I31" s="16">
        <f t="shared" si="30"/>
        <v>0</v>
      </c>
      <c r="J31" s="16">
        <f t="shared" si="30"/>
        <v>0</v>
      </c>
      <c r="K31" s="16">
        <f t="shared" si="30"/>
        <v>0</v>
      </c>
      <c r="L31" s="16">
        <f t="shared" si="30"/>
        <v>0</v>
      </c>
      <c r="M31" s="16">
        <f t="shared" si="30"/>
        <v>0</v>
      </c>
      <c r="N31" s="16">
        <f t="shared" si="30"/>
        <v>0</v>
      </c>
      <c r="O31" s="16">
        <f t="shared" si="30"/>
        <v>0</v>
      </c>
      <c r="P31" s="16">
        <f>P101*0.8</f>
        <v>0</v>
      </c>
      <c r="Q31" s="16">
        <f>Q101*0.8</f>
        <v>0</v>
      </c>
      <c r="R31" s="8">
        <f t="shared" si="1"/>
        <v>0</v>
      </c>
      <c r="S31" s="363">
        <f t="shared" si="3"/>
        <v>0</v>
      </c>
      <c r="T31" s="363">
        <f t="shared" si="3"/>
        <v>0</v>
      </c>
      <c r="U31" s="363">
        <f t="shared" si="3"/>
        <v>0</v>
      </c>
      <c r="V31" s="363">
        <f t="shared" si="3"/>
        <v>0</v>
      </c>
      <c r="W31" s="363">
        <f t="shared" si="4"/>
        <v>0</v>
      </c>
      <c r="X31" s="363">
        <f t="shared" si="5"/>
        <v>0</v>
      </c>
      <c r="Y31" s="370"/>
      <c r="AI31" s="363"/>
      <c r="AJ31" s="363"/>
      <c r="AK31" s="363"/>
      <c r="AL31" s="363"/>
      <c r="AM31" s="363"/>
      <c r="AN31" s="363"/>
    </row>
    <row r="32" spans="1:40">
      <c r="A32" s="4" t="s">
        <v>37</v>
      </c>
      <c r="B32" s="5">
        <f t="shared" ref="B32:R32" si="31">SUM(B5:B31)</f>
        <v>0</v>
      </c>
      <c r="C32" s="5">
        <f t="shared" si="31"/>
        <v>0</v>
      </c>
      <c r="D32" s="5">
        <f t="shared" si="31"/>
        <v>0</v>
      </c>
      <c r="E32" s="5">
        <f t="shared" si="31"/>
        <v>0</v>
      </c>
      <c r="F32" s="5">
        <f t="shared" si="31"/>
        <v>0</v>
      </c>
      <c r="G32" s="5">
        <f t="shared" si="31"/>
        <v>0</v>
      </c>
      <c r="H32" s="5">
        <f t="shared" si="31"/>
        <v>0</v>
      </c>
      <c r="I32" s="5">
        <f t="shared" si="31"/>
        <v>0</v>
      </c>
      <c r="J32" s="5">
        <f t="shared" si="31"/>
        <v>0</v>
      </c>
      <c r="K32" s="5">
        <f t="shared" si="31"/>
        <v>0</v>
      </c>
      <c r="L32" s="5">
        <f t="shared" si="31"/>
        <v>0</v>
      </c>
      <c r="M32" s="5">
        <f t="shared" si="31"/>
        <v>0</v>
      </c>
      <c r="N32" s="5">
        <f t="shared" si="31"/>
        <v>0</v>
      </c>
      <c r="O32" s="5">
        <f t="shared" si="31"/>
        <v>0</v>
      </c>
      <c r="P32" s="5">
        <f t="shared" si="31"/>
        <v>0</v>
      </c>
      <c r="Q32" s="5">
        <f t="shared" si="31"/>
        <v>0</v>
      </c>
      <c r="R32" s="5">
        <f t="shared" si="31"/>
        <v>0</v>
      </c>
      <c r="S32" s="363">
        <f t="shared" ref="S32:X32" si="32">SUM(S5:S31)</f>
        <v>0</v>
      </c>
      <c r="T32" s="363">
        <f t="shared" si="32"/>
        <v>0</v>
      </c>
      <c r="U32" s="363">
        <f t="shared" si="32"/>
        <v>0</v>
      </c>
      <c r="V32" s="363">
        <f t="shared" si="32"/>
        <v>0</v>
      </c>
      <c r="W32" s="363">
        <f t="shared" si="32"/>
        <v>0</v>
      </c>
      <c r="X32" s="363">
        <f t="shared" si="32"/>
        <v>0</v>
      </c>
      <c r="Y32" s="370"/>
      <c r="AI32" s="363"/>
      <c r="AJ32" s="363"/>
      <c r="AK32" s="363"/>
      <c r="AL32" s="363"/>
      <c r="AM32" s="363"/>
      <c r="AN32" s="363"/>
    </row>
    <row r="33" spans="1:40">
      <c r="A33" s="351" t="s">
        <v>48</v>
      </c>
      <c r="B33" s="352"/>
      <c r="C33" s="353"/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3"/>
      <c r="Q33" s="353"/>
      <c r="R33" s="352"/>
      <c r="Y33" s="370"/>
    </row>
    <row r="34" spans="1:40">
      <c r="A34" s="364"/>
      <c r="B34" s="364"/>
      <c r="C34" s="365"/>
      <c r="D34" s="365"/>
      <c r="E34" s="365"/>
      <c r="F34" s="365"/>
      <c r="G34" s="365"/>
      <c r="H34" s="365"/>
      <c r="I34" s="365"/>
      <c r="J34" s="365"/>
      <c r="K34" s="365"/>
      <c r="L34" s="365"/>
      <c r="M34" s="365"/>
      <c r="N34" s="365"/>
      <c r="O34" s="365"/>
      <c r="P34" s="365"/>
      <c r="Q34" s="365"/>
      <c r="R34" s="366"/>
      <c r="Y34" s="370"/>
    </row>
    <row r="35" spans="1:40">
      <c r="A35" s="358"/>
      <c r="B35" s="358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60"/>
      <c r="Y35" s="370"/>
    </row>
    <row r="36" spans="1:40">
      <c r="A36" s="367"/>
      <c r="B36" s="367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9"/>
      <c r="Y36" s="370"/>
    </row>
    <row r="37" spans="1:40" ht="46.5">
      <c r="A37" s="837" t="s">
        <v>72</v>
      </c>
      <c r="B37" s="838"/>
      <c r="C37" s="838"/>
      <c r="D37" s="838"/>
      <c r="E37" s="838"/>
      <c r="F37" s="838"/>
      <c r="G37" s="838"/>
      <c r="H37" s="838"/>
      <c r="I37" s="838"/>
      <c r="J37" s="838"/>
      <c r="K37" s="838"/>
      <c r="L37" s="838"/>
      <c r="M37" s="838"/>
      <c r="N37" s="838"/>
      <c r="O37" s="838"/>
      <c r="P37" s="838"/>
      <c r="Q37" s="838"/>
      <c r="R37" s="839"/>
      <c r="Y37" s="370"/>
    </row>
    <row r="38" spans="1:40" s="372" customFormat="1" ht="35.1" customHeight="1">
      <c r="A38" s="835" t="s">
        <v>33</v>
      </c>
      <c r="B38" s="833" t="s">
        <v>27</v>
      </c>
      <c r="C38" s="834"/>
      <c r="D38" s="833" t="s">
        <v>29</v>
      </c>
      <c r="E38" s="834"/>
      <c r="F38" s="835" t="s">
        <v>28</v>
      </c>
      <c r="G38" s="835" t="s">
        <v>36</v>
      </c>
      <c r="H38" s="835" t="s">
        <v>30</v>
      </c>
      <c r="I38" s="835" t="s">
        <v>31</v>
      </c>
      <c r="J38" s="835" t="s">
        <v>41</v>
      </c>
      <c r="K38" s="835" t="s">
        <v>35</v>
      </c>
      <c r="L38" s="835" t="s">
        <v>40</v>
      </c>
      <c r="M38" s="835" t="s">
        <v>42</v>
      </c>
      <c r="N38" s="835" t="s">
        <v>45</v>
      </c>
      <c r="O38" s="835" t="s">
        <v>279</v>
      </c>
      <c r="P38" s="833" t="s">
        <v>49</v>
      </c>
      <c r="Q38" s="834"/>
      <c r="R38" s="835" t="s">
        <v>34</v>
      </c>
      <c r="S38" s="357"/>
      <c r="T38" s="357"/>
      <c r="U38" s="357"/>
      <c r="V38" s="357"/>
      <c r="W38" s="357"/>
      <c r="X38" s="357"/>
      <c r="Y38" s="370"/>
      <c r="AI38" s="357"/>
      <c r="AJ38" s="357"/>
      <c r="AK38" s="357"/>
      <c r="AL38" s="357"/>
      <c r="AM38" s="357"/>
      <c r="AN38" s="357"/>
    </row>
    <row r="39" spans="1:40" s="372" customFormat="1" ht="35.1" customHeight="1">
      <c r="A39" s="836"/>
      <c r="B39" s="361" t="s">
        <v>43</v>
      </c>
      <c r="C39" s="361" t="s">
        <v>44</v>
      </c>
      <c r="D39" s="361" t="s">
        <v>43</v>
      </c>
      <c r="E39" s="361" t="s">
        <v>44</v>
      </c>
      <c r="F39" s="836"/>
      <c r="G39" s="836"/>
      <c r="H39" s="836"/>
      <c r="I39" s="836"/>
      <c r="J39" s="836"/>
      <c r="K39" s="836"/>
      <c r="L39" s="836"/>
      <c r="M39" s="836"/>
      <c r="N39" s="836"/>
      <c r="O39" s="836"/>
      <c r="P39" s="362" t="s">
        <v>50</v>
      </c>
      <c r="Q39" s="362" t="s">
        <v>51</v>
      </c>
      <c r="R39" s="836"/>
      <c r="S39" s="372" t="s">
        <v>173</v>
      </c>
      <c r="T39" s="372" t="s">
        <v>291</v>
      </c>
      <c r="U39" s="372" t="s">
        <v>174</v>
      </c>
      <c r="V39" s="372" t="s">
        <v>292</v>
      </c>
      <c r="W39" s="372" t="s">
        <v>28</v>
      </c>
      <c r="X39" s="372" t="s">
        <v>175</v>
      </c>
      <c r="Y39" s="727"/>
    </row>
    <row r="40" spans="1:40">
      <c r="A40" s="2" t="s">
        <v>77</v>
      </c>
      <c r="B40" s="16">
        <f t="shared" ref="B40:Q40" si="33">B75*0.2</f>
        <v>0</v>
      </c>
      <c r="C40" s="16">
        <f t="shared" si="33"/>
        <v>0</v>
      </c>
      <c r="D40" s="16">
        <f t="shared" si="33"/>
        <v>0</v>
      </c>
      <c r="E40" s="16">
        <f t="shared" si="33"/>
        <v>0</v>
      </c>
      <c r="F40" s="16">
        <f t="shared" si="33"/>
        <v>0</v>
      </c>
      <c r="G40" s="16">
        <f t="shared" si="33"/>
        <v>0</v>
      </c>
      <c r="H40" s="16">
        <f t="shared" si="33"/>
        <v>0</v>
      </c>
      <c r="I40" s="16">
        <f t="shared" si="33"/>
        <v>0</v>
      </c>
      <c r="J40" s="16">
        <f t="shared" si="33"/>
        <v>0</v>
      </c>
      <c r="K40" s="16">
        <f t="shared" si="33"/>
        <v>0</v>
      </c>
      <c r="L40" s="16">
        <f t="shared" si="33"/>
        <v>0</v>
      </c>
      <c r="M40" s="16">
        <f t="shared" si="33"/>
        <v>0</v>
      </c>
      <c r="N40" s="16">
        <f t="shared" si="33"/>
        <v>0</v>
      </c>
      <c r="O40" s="16">
        <f t="shared" si="33"/>
        <v>0</v>
      </c>
      <c r="P40" s="16">
        <f t="shared" si="33"/>
        <v>0</v>
      </c>
      <c r="Q40" s="16">
        <f t="shared" si="33"/>
        <v>0</v>
      </c>
      <c r="R40" s="8">
        <f t="shared" ref="R40:R66" si="34">SUM(B40:Q40)</f>
        <v>0</v>
      </c>
      <c r="S40" s="363">
        <f>B40</f>
        <v>0</v>
      </c>
      <c r="T40" s="363">
        <f>C40</f>
        <v>0</v>
      </c>
      <c r="U40" s="363">
        <f>D40</f>
        <v>0</v>
      </c>
      <c r="V40" s="363">
        <f>E40</f>
        <v>0</v>
      </c>
      <c r="W40" s="363">
        <f>F40+G40</f>
        <v>0</v>
      </c>
      <c r="X40" s="363">
        <f>SUM(H40:Q40)</f>
        <v>0</v>
      </c>
      <c r="Y40" s="370"/>
      <c r="AI40" s="363"/>
      <c r="AJ40" s="363"/>
      <c r="AK40" s="363"/>
      <c r="AL40" s="363"/>
      <c r="AM40" s="363"/>
      <c r="AN40" s="363"/>
    </row>
    <row r="41" spans="1:40">
      <c r="A41" s="2" t="s">
        <v>78</v>
      </c>
      <c r="B41" s="16">
        <f t="shared" ref="B41:Q41" si="35">B76*0.2</f>
        <v>0</v>
      </c>
      <c r="C41" s="16">
        <f t="shared" si="35"/>
        <v>0</v>
      </c>
      <c r="D41" s="16">
        <f t="shared" si="35"/>
        <v>0</v>
      </c>
      <c r="E41" s="16">
        <f t="shared" si="35"/>
        <v>0</v>
      </c>
      <c r="F41" s="16">
        <f t="shared" si="35"/>
        <v>0</v>
      </c>
      <c r="G41" s="16">
        <f t="shared" si="35"/>
        <v>0</v>
      </c>
      <c r="H41" s="16">
        <f t="shared" si="35"/>
        <v>0</v>
      </c>
      <c r="I41" s="16">
        <f t="shared" si="35"/>
        <v>0</v>
      </c>
      <c r="J41" s="16">
        <f t="shared" si="35"/>
        <v>0</v>
      </c>
      <c r="K41" s="16">
        <f t="shared" si="35"/>
        <v>0</v>
      </c>
      <c r="L41" s="16">
        <f t="shared" si="35"/>
        <v>0</v>
      </c>
      <c r="M41" s="16">
        <f t="shared" si="35"/>
        <v>0</v>
      </c>
      <c r="N41" s="16">
        <f t="shared" si="35"/>
        <v>0</v>
      </c>
      <c r="O41" s="16">
        <f t="shared" si="35"/>
        <v>0</v>
      </c>
      <c r="P41" s="16">
        <f t="shared" si="35"/>
        <v>0</v>
      </c>
      <c r="Q41" s="16">
        <f t="shared" si="35"/>
        <v>0</v>
      </c>
      <c r="R41" s="8">
        <f t="shared" si="34"/>
        <v>0</v>
      </c>
      <c r="S41" s="363">
        <f t="shared" ref="S41:V66" si="36">B41</f>
        <v>0</v>
      </c>
      <c r="T41" s="363">
        <f t="shared" si="36"/>
        <v>0</v>
      </c>
      <c r="U41" s="363">
        <f t="shared" si="36"/>
        <v>0</v>
      </c>
      <c r="V41" s="363">
        <f t="shared" si="36"/>
        <v>0</v>
      </c>
      <c r="W41" s="363">
        <f t="shared" ref="W41:W66" si="37">F41+G41</f>
        <v>0</v>
      </c>
      <c r="X41" s="363">
        <f t="shared" ref="X41:X66" si="38">SUM(H41:Q41)</f>
        <v>0</v>
      </c>
      <c r="Y41" s="370"/>
      <c r="AI41" s="363"/>
      <c r="AJ41" s="363"/>
      <c r="AK41" s="363"/>
      <c r="AL41" s="363"/>
      <c r="AM41" s="363"/>
      <c r="AN41" s="363"/>
    </row>
    <row r="42" spans="1:40">
      <c r="A42" s="2" t="s">
        <v>79</v>
      </c>
      <c r="B42" s="16">
        <f t="shared" ref="B42:Q42" si="39">B77*0.2</f>
        <v>0</v>
      </c>
      <c r="C42" s="16">
        <f t="shared" si="39"/>
        <v>0</v>
      </c>
      <c r="D42" s="16">
        <f t="shared" si="39"/>
        <v>0</v>
      </c>
      <c r="E42" s="16">
        <f t="shared" si="39"/>
        <v>0</v>
      </c>
      <c r="F42" s="16">
        <f t="shared" si="39"/>
        <v>0</v>
      </c>
      <c r="G42" s="16">
        <f t="shared" si="39"/>
        <v>0</v>
      </c>
      <c r="H42" s="16">
        <f t="shared" si="39"/>
        <v>0</v>
      </c>
      <c r="I42" s="16">
        <f t="shared" si="39"/>
        <v>0</v>
      </c>
      <c r="J42" s="16">
        <f t="shared" si="39"/>
        <v>0</v>
      </c>
      <c r="K42" s="16">
        <f t="shared" si="39"/>
        <v>0</v>
      </c>
      <c r="L42" s="16">
        <f t="shared" si="39"/>
        <v>0</v>
      </c>
      <c r="M42" s="16">
        <f t="shared" si="39"/>
        <v>0</v>
      </c>
      <c r="N42" s="16">
        <f t="shared" si="39"/>
        <v>0</v>
      </c>
      <c r="O42" s="16">
        <f t="shared" si="39"/>
        <v>0</v>
      </c>
      <c r="P42" s="16">
        <f t="shared" si="39"/>
        <v>0</v>
      </c>
      <c r="Q42" s="16">
        <f t="shared" si="39"/>
        <v>0</v>
      </c>
      <c r="R42" s="8">
        <f t="shared" si="34"/>
        <v>0</v>
      </c>
      <c r="S42" s="363">
        <f t="shared" si="36"/>
        <v>0</v>
      </c>
      <c r="T42" s="363">
        <f t="shared" si="36"/>
        <v>0</v>
      </c>
      <c r="U42" s="363">
        <f t="shared" si="36"/>
        <v>0</v>
      </c>
      <c r="V42" s="363">
        <f t="shared" si="36"/>
        <v>0</v>
      </c>
      <c r="W42" s="363">
        <f t="shared" si="37"/>
        <v>0</v>
      </c>
      <c r="X42" s="363">
        <f t="shared" si="38"/>
        <v>0</v>
      </c>
      <c r="Y42" s="370"/>
      <c r="AI42" s="363"/>
      <c r="AJ42" s="363"/>
      <c r="AK42" s="363"/>
      <c r="AL42" s="363"/>
      <c r="AM42" s="363"/>
      <c r="AN42" s="363"/>
    </row>
    <row r="43" spans="1:40">
      <c r="A43" s="2" t="s">
        <v>80</v>
      </c>
      <c r="B43" s="16">
        <f t="shared" ref="B43:Q43" si="40">B78*0.2</f>
        <v>0</v>
      </c>
      <c r="C43" s="16">
        <f t="shared" si="40"/>
        <v>0</v>
      </c>
      <c r="D43" s="16">
        <f t="shared" si="40"/>
        <v>0</v>
      </c>
      <c r="E43" s="16">
        <f t="shared" si="40"/>
        <v>0</v>
      </c>
      <c r="F43" s="16">
        <f t="shared" si="40"/>
        <v>0</v>
      </c>
      <c r="G43" s="16">
        <f t="shared" si="40"/>
        <v>0</v>
      </c>
      <c r="H43" s="16">
        <f t="shared" si="40"/>
        <v>0</v>
      </c>
      <c r="I43" s="16">
        <f t="shared" si="40"/>
        <v>0</v>
      </c>
      <c r="J43" s="16">
        <f t="shared" si="40"/>
        <v>0</v>
      </c>
      <c r="K43" s="16">
        <f t="shared" si="40"/>
        <v>0</v>
      </c>
      <c r="L43" s="16">
        <f t="shared" si="40"/>
        <v>0</v>
      </c>
      <c r="M43" s="16">
        <f t="shared" si="40"/>
        <v>0</v>
      </c>
      <c r="N43" s="16">
        <f t="shared" si="40"/>
        <v>0</v>
      </c>
      <c r="O43" s="16">
        <f t="shared" si="40"/>
        <v>0</v>
      </c>
      <c r="P43" s="16">
        <f t="shared" si="40"/>
        <v>0</v>
      </c>
      <c r="Q43" s="16">
        <f t="shared" si="40"/>
        <v>0</v>
      </c>
      <c r="R43" s="8">
        <f t="shared" si="34"/>
        <v>0</v>
      </c>
      <c r="S43" s="363">
        <f t="shared" si="36"/>
        <v>0</v>
      </c>
      <c r="T43" s="363">
        <f t="shared" si="36"/>
        <v>0</v>
      </c>
      <c r="U43" s="363">
        <f t="shared" si="36"/>
        <v>0</v>
      </c>
      <c r="V43" s="363">
        <f t="shared" si="36"/>
        <v>0</v>
      </c>
      <c r="W43" s="363">
        <f t="shared" si="37"/>
        <v>0</v>
      </c>
      <c r="X43" s="363">
        <f t="shared" si="38"/>
        <v>0</v>
      </c>
      <c r="Y43" s="370"/>
      <c r="AI43" s="363"/>
      <c r="AJ43" s="363"/>
      <c r="AK43" s="363"/>
      <c r="AL43" s="363"/>
      <c r="AM43" s="363"/>
      <c r="AN43" s="363"/>
    </row>
    <row r="44" spans="1:40">
      <c r="A44" s="2" t="s">
        <v>81</v>
      </c>
      <c r="B44" s="16">
        <f t="shared" ref="B44:Q44" si="41">B79*0.2</f>
        <v>0</v>
      </c>
      <c r="C44" s="16">
        <f t="shared" si="41"/>
        <v>0</v>
      </c>
      <c r="D44" s="16">
        <f t="shared" si="41"/>
        <v>0</v>
      </c>
      <c r="E44" s="16">
        <f t="shared" si="41"/>
        <v>0</v>
      </c>
      <c r="F44" s="16">
        <f t="shared" si="41"/>
        <v>0</v>
      </c>
      <c r="G44" s="16">
        <f t="shared" si="41"/>
        <v>0</v>
      </c>
      <c r="H44" s="16">
        <f t="shared" si="41"/>
        <v>0</v>
      </c>
      <c r="I44" s="16">
        <f t="shared" si="41"/>
        <v>0</v>
      </c>
      <c r="J44" s="16">
        <f t="shared" si="41"/>
        <v>0</v>
      </c>
      <c r="K44" s="16">
        <f t="shared" si="41"/>
        <v>0</v>
      </c>
      <c r="L44" s="16">
        <f t="shared" si="41"/>
        <v>0</v>
      </c>
      <c r="M44" s="16">
        <f t="shared" si="41"/>
        <v>0</v>
      </c>
      <c r="N44" s="16">
        <f t="shared" si="41"/>
        <v>0</v>
      </c>
      <c r="O44" s="16">
        <f t="shared" si="41"/>
        <v>0</v>
      </c>
      <c r="P44" s="16">
        <f t="shared" si="41"/>
        <v>0</v>
      </c>
      <c r="Q44" s="16">
        <f t="shared" si="41"/>
        <v>0</v>
      </c>
      <c r="R44" s="8">
        <f t="shared" si="34"/>
        <v>0</v>
      </c>
      <c r="S44" s="363">
        <f t="shared" si="36"/>
        <v>0</v>
      </c>
      <c r="T44" s="363">
        <f t="shared" si="36"/>
        <v>0</v>
      </c>
      <c r="U44" s="363">
        <f t="shared" si="36"/>
        <v>0</v>
      </c>
      <c r="V44" s="363">
        <f t="shared" si="36"/>
        <v>0</v>
      </c>
      <c r="W44" s="363">
        <f t="shared" si="37"/>
        <v>0</v>
      </c>
      <c r="X44" s="363">
        <f t="shared" si="38"/>
        <v>0</v>
      </c>
      <c r="Y44" s="370"/>
      <c r="AI44" s="363"/>
      <c r="AJ44" s="363"/>
      <c r="AK44" s="363"/>
      <c r="AL44" s="363"/>
      <c r="AM44" s="363"/>
      <c r="AN44" s="363"/>
    </row>
    <row r="45" spans="1:40">
      <c r="A45" s="2" t="s">
        <v>82</v>
      </c>
      <c r="B45" s="16">
        <f t="shared" ref="B45:Q45" si="42">B80*0.2</f>
        <v>0</v>
      </c>
      <c r="C45" s="16">
        <f t="shared" si="42"/>
        <v>0</v>
      </c>
      <c r="D45" s="16">
        <f t="shared" si="42"/>
        <v>0</v>
      </c>
      <c r="E45" s="16">
        <f t="shared" si="42"/>
        <v>0</v>
      </c>
      <c r="F45" s="16">
        <f t="shared" si="42"/>
        <v>0</v>
      </c>
      <c r="G45" s="16">
        <f t="shared" si="42"/>
        <v>0</v>
      </c>
      <c r="H45" s="16">
        <f t="shared" si="42"/>
        <v>0</v>
      </c>
      <c r="I45" s="16">
        <f t="shared" si="42"/>
        <v>0</v>
      </c>
      <c r="J45" s="16">
        <f t="shared" si="42"/>
        <v>0</v>
      </c>
      <c r="K45" s="16">
        <f t="shared" si="42"/>
        <v>0</v>
      </c>
      <c r="L45" s="16">
        <f t="shared" si="42"/>
        <v>0</v>
      </c>
      <c r="M45" s="16">
        <f t="shared" si="42"/>
        <v>0</v>
      </c>
      <c r="N45" s="16">
        <f t="shared" si="42"/>
        <v>0</v>
      </c>
      <c r="O45" s="16">
        <f t="shared" si="42"/>
        <v>0</v>
      </c>
      <c r="P45" s="16">
        <f t="shared" si="42"/>
        <v>0</v>
      </c>
      <c r="Q45" s="16">
        <f t="shared" si="42"/>
        <v>0</v>
      </c>
      <c r="R45" s="8">
        <f t="shared" si="34"/>
        <v>0</v>
      </c>
      <c r="S45" s="363">
        <f t="shared" si="36"/>
        <v>0</v>
      </c>
      <c r="T45" s="363">
        <f t="shared" si="36"/>
        <v>0</v>
      </c>
      <c r="U45" s="363">
        <f t="shared" si="36"/>
        <v>0</v>
      </c>
      <c r="V45" s="363">
        <f t="shared" si="36"/>
        <v>0</v>
      </c>
      <c r="W45" s="363">
        <f t="shared" si="37"/>
        <v>0</v>
      </c>
      <c r="X45" s="363">
        <f t="shared" si="38"/>
        <v>0</v>
      </c>
      <c r="Y45" s="370"/>
      <c r="AI45" s="363"/>
      <c r="AJ45" s="363"/>
      <c r="AK45" s="363"/>
      <c r="AL45" s="363"/>
      <c r="AM45" s="363"/>
      <c r="AN45" s="363"/>
    </row>
    <row r="46" spans="1:40">
      <c r="A46" s="2" t="s">
        <v>83</v>
      </c>
      <c r="B46" s="16">
        <f t="shared" ref="B46:Q46" si="43">B81*0.2</f>
        <v>0</v>
      </c>
      <c r="C46" s="16">
        <f t="shared" si="43"/>
        <v>0</v>
      </c>
      <c r="D46" s="16">
        <f t="shared" si="43"/>
        <v>0</v>
      </c>
      <c r="E46" s="16">
        <f t="shared" si="43"/>
        <v>0</v>
      </c>
      <c r="F46" s="16">
        <f t="shared" si="43"/>
        <v>0</v>
      </c>
      <c r="G46" s="16">
        <f t="shared" si="43"/>
        <v>0</v>
      </c>
      <c r="H46" s="16">
        <f t="shared" si="43"/>
        <v>0</v>
      </c>
      <c r="I46" s="16">
        <f t="shared" si="43"/>
        <v>0</v>
      </c>
      <c r="J46" s="16">
        <f t="shared" si="43"/>
        <v>0</v>
      </c>
      <c r="K46" s="16">
        <f t="shared" si="43"/>
        <v>0</v>
      </c>
      <c r="L46" s="16">
        <f t="shared" si="43"/>
        <v>0</v>
      </c>
      <c r="M46" s="16">
        <f t="shared" si="43"/>
        <v>0</v>
      </c>
      <c r="N46" s="16">
        <f t="shared" si="43"/>
        <v>0</v>
      </c>
      <c r="O46" s="16">
        <f t="shared" si="43"/>
        <v>0</v>
      </c>
      <c r="P46" s="16">
        <f t="shared" si="43"/>
        <v>0</v>
      </c>
      <c r="Q46" s="16">
        <f t="shared" si="43"/>
        <v>0</v>
      </c>
      <c r="R46" s="8">
        <f t="shared" si="34"/>
        <v>0</v>
      </c>
      <c r="S46" s="363">
        <f t="shared" si="36"/>
        <v>0</v>
      </c>
      <c r="T46" s="363">
        <f t="shared" si="36"/>
        <v>0</v>
      </c>
      <c r="U46" s="363">
        <f t="shared" si="36"/>
        <v>0</v>
      </c>
      <c r="V46" s="363">
        <f t="shared" si="36"/>
        <v>0</v>
      </c>
      <c r="W46" s="363">
        <f t="shared" si="37"/>
        <v>0</v>
      </c>
      <c r="X46" s="363">
        <f t="shared" si="38"/>
        <v>0</v>
      </c>
      <c r="Y46" s="370"/>
      <c r="AI46" s="363"/>
      <c r="AJ46" s="363"/>
      <c r="AK46" s="363"/>
      <c r="AL46" s="363"/>
      <c r="AM46" s="363"/>
      <c r="AN46" s="363"/>
    </row>
    <row r="47" spans="1:40">
      <c r="A47" s="2" t="s">
        <v>84</v>
      </c>
      <c r="B47" s="16">
        <f t="shared" ref="B47:Q47" si="44">B82*0.2</f>
        <v>0</v>
      </c>
      <c r="C47" s="16">
        <f t="shared" si="44"/>
        <v>0</v>
      </c>
      <c r="D47" s="16">
        <f t="shared" si="44"/>
        <v>0</v>
      </c>
      <c r="E47" s="16">
        <f t="shared" si="44"/>
        <v>0</v>
      </c>
      <c r="F47" s="16">
        <f t="shared" si="44"/>
        <v>0</v>
      </c>
      <c r="G47" s="16">
        <f t="shared" si="44"/>
        <v>0</v>
      </c>
      <c r="H47" s="16">
        <f t="shared" si="44"/>
        <v>0</v>
      </c>
      <c r="I47" s="16">
        <f t="shared" si="44"/>
        <v>0</v>
      </c>
      <c r="J47" s="16">
        <f t="shared" si="44"/>
        <v>0</v>
      </c>
      <c r="K47" s="16">
        <f t="shared" si="44"/>
        <v>0</v>
      </c>
      <c r="L47" s="16">
        <f t="shared" si="44"/>
        <v>0</v>
      </c>
      <c r="M47" s="16">
        <f t="shared" si="44"/>
        <v>0</v>
      </c>
      <c r="N47" s="16">
        <f t="shared" si="44"/>
        <v>0</v>
      </c>
      <c r="O47" s="16">
        <f t="shared" si="44"/>
        <v>0</v>
      </c>
      <c r="P47" s="16">
        <f t="shared" si="44"/>
        <v>0</v>
      </c>
      <c r="Q47" s="16">
        <f t="shared" si="44"/>
        <v>0</v>
      </c>
      <c r="R47" s="8">
        <f t="shared" si="34"/>
        <v>0</v>
      </c>
      <c r="S47" s="363">
        <f t="shared" si="36"/>
        <v>0</v>
      </c>
      <c r="T47" s="363">
        <f t="shared" si="36"/>
        <v>0</v>
      </c>
      <c r="U47" s="363">
        <f t="shared" si="36"/>
        <v>0</v>
      </c>
      <c r="V47" s="363">
        <f t="shared" si="36"/>
        <v>0</v>
      </c>
      <c r="W47" s="363">
        <f t="shared" si="37"/>
        <v>0</v>
      </c>
      <c r="X47" s="363">
        <f t="shared" si="38"/>
        <v>0</v>
      </c>
      <c r="Y47" s="370"/>
      <c r="AI47" s="363"/>
      <c r="AJ47" s="363"/>
      <c r="AK47" s="363"/>
      <c r="AL47" s="363"/>
      <c r="AM47" s="363"/>
      <c r="AN47" s="363"/>
    </row>
    <row r="48" spans="1:40">
      <c r="A48" s="2" t="s">
        <v>85</v>
      </c>
      <c r="B48" s="16">
        <f t="shared" ref="B48:Q48" si="45">B83*0.2</f>
        <v>0</v>
      </c>
      <c r="C48" s="16">
        <f t="shared" si="45"/>
        <v>0</v>
      </c>
      <c r="D48" s="16">
        <f t="shared" si="45"/>
        <v>0</v>
      </c>
      <c r="E48" s="16">
        <f t="shared" si="45"/>
        <v>0</v>
      </c>
      <c r="F48" s="16">
        <f t="shared" si="45"/>
        <v>0</v>
      </c>
      <c r="G48" s="16">
        <f t="shared" si="45"/>
        <v>0</v>
      </c>
      <c r="H48" s="16">
        <f t="shared" si="45"/>
        <v>0</v>
      </c>
      <c r="I48" s="16">
        <f t="shared" si="45"/>
        <v>0</v>
      </c>
      <c r="J48" s="16">
        <f t="shared" si="45"/>
        <v>0</v>
      </c>
      <c r="K48" s="16">
        <f t="shared" si="45"/>
        <v>0</v>
      </c>
      <c r="L48" s="16">
        <f t="shared" si="45"/>
        <v>0</v>
      </c>
      <c r="M48" s="16">
        <f t="shared" si="45"/>
        <v>0</v>
      </c>
      <c r="N48" s="16">
        <f t="shared" si="45"/>
        <v>0</v>
      </c>
      <c r="O48" s="16">
        <f t="shared" si="45"/>
        <v>0</v>
      </c>
      <c r="P48" s="16">
        <f t="shared" si="45"/>
        <v>0</v>
      </c>
      <c r="Q48" s="16">
        <f t="shared" si="45"/>
        <v>0</v>
      </c>
      <c r="R48" s="8">
        <f t="shared" si="34"/>
        <v>0</v>
      </c>
      <c r="S48" s="363">
        <f t="shared" si="36"/>
        <v>0</v>
      </c>
      <c r="T48" s="363">
        <f t="shared" si="36"/>
        <v>0</v>
      </c>
      <c r="U48" s="363">
        <f t="shared" si="36"/>
        <v>0</v>
      </c>
      <c r="V48" s="363">
        <f t="shared" si="36"/>
        <v>0</v>
      </c>
      <c r="W48" s="363">
        <f t="shared" si="37"/>
        <v>0</v>
      </c>
      <c r="X48" s="363">
        <f t="shared" si="38"/>
        <v>0</v>
      </c>
      <c r="Y48" s="370"/>
      <c r="AI48" s="363"/>
      <c r="AJ48" s="363"/>
      <c r="AK48" s="363"/>
      <c r="AL48" s="363"/>
      <c r="AM48" s="363"/>
      <c r="AN48" s="363"/>
    </row>
    <row r="49" spans="1:40">
      <c r="A49" s="2" t="s">
        <v>86</v>
      </c>
      <c r="B49" s="16">
        <f t="shared" ref="B49:Q49" si="46">B84*0.2</f>
        <v>0</v>
      </c>
      <c r="C49" s="16">
        <f t="shared" si="46"/>
        <v>0</v>
      </c>
      <c r="D49" s="16">
        <f t="shared" si="46"/>
        <v>0</v>
      </c>
      <c r="E49" s="16">
        <f t="shared" si="46"/>
        <v>0</v>
      </c>
      <c r="F49" s="16">
        <f t="shared" si="46"/>
        <v>0</v>
      </c>
      <c r="G49" s="16">
        <f t="shared" si="46"/>
        <v>0</v>
      </c>
      <c r="H49" s="16">
        <f t="shared" si="46"/>
        <v>0</v>
      </c>
      <c r="I49" s="16">
        <f t="shared" si="46"/>
        <v>0</v>
      </c>
      <c r="J49" s="16">
        <f t="shared" si="46"/>
        <v>0</v>
      </c>
      <c r="K49" s="16">
        <f t="shared" si="46"/>
        <v>0</v>
      </c>
      <c r="L49" s="16">
        <f t="shared" si="46"/>
        <v>0</v>
      </c>
      <c r="M49" s="16">
        <f t="shared" si="46"/>
        <v>0</v>
      </c>
      <c r="N49" s="16">
        <f t="shared" si="46"/>
        <v>0</v>
      </c>
      <c r="O49" s="16">
        <f t="shared" si="46"/>
        <v>0</v>
      </c>
      <c r="P49" s="16">
        <f t="shared" si="46"/>
        <v>0</v>
      </c>
      <c r="Q49" s="16">
        <f t="shared" si="46"/>
        <v>0</v>
      </c>
      <c r="R49" s="8">
        <f t="shared" si="34"/>
        <v>0</v>
      </c>
      <c r="S49" s="363">
        <f t="shared" si="36"/>
        <v>0</v>
      </c>
      <c r="T49" s="363">
        <f t="shared" si="36"/>
        <v>0</v>
      </c>
      <c r="U49" s="363">
        <f t="shared" si="36"/>
        <v>0</v>
      </c>
      <c r="V49" s="363">
        <f t="shared" si="36"/>
        <v>0</v>
      </c>
      <c r="W49" s="363">
        <f t="shared" si="37"/>
        <v>0</v>
      </c>
      <c r="X49" s="363">
        <f t="shared" si="38"/>
        <v>0</v>
      </c>
      <c r="Y49" s="370"/>
      <c r="AI49" s="363"/>
      <c r="AJ49" s="363"/>
      <c r="AK49" s="363"/>
      <c r="AL49" s="363"/>
      <c r="AM49" s="363"/>
      <c r="AN49" s="363"/>
    </row>
    <row r="50" spans="1:40">
      <c r="A50" s="2" t="s">
        <v>87</v>
      </c>
      <c r="B50" s="16">
        <f t="shared" ref="B50:Q50" si="47">B85*0.2</f>
        <v>0</v>
      </c>
      <c r="C50" s="16">
        <f t="shared" si="47"/>
        <v>0</v>
      </c>
      <c r="D50" s="16">
        <f t="shared" si="47"/>
        <v>0</v>
      </c>
      <c r="E50" s="16">
        <f t="shared" si="47"/>
        <v>0</v>
      </c>
      <c r="F50" s="16">
        <f t="shared" si="47"/>
        <v>0</v>
      </c>
      <c r="G50" s="16">
        <f t="shared" si="47"/>
        <v>0</v>
      </c>
      <c r="H50" s="16">
        <f t="shared" si="47"/>
        <v>0</v>
      </c>
      <c r="I50" s="16">
        <f t="shared" si="47"/>
        <v>0</v>
      </c>
      <c r="J50" s="16">
        <f t="shared" si="47"/>
        <v>0</v>
      </c>
      <c r="K50" s="16">
        <f t="shared" si="47"/>
        <v>0</v>
      </c>
      <c r="L50" s="16">
        <f t="shared" si="47"/>
        <v>0</v>
      </c>
      <c r="M50" s="16">
        <f t="shared" si="47"/>
        <v>0</v>
      </c>
      <c r="N50" s="16">
        <f t="shared" si="47"/>
        <v>0</v>
      </c>
      <c r="O50" s="16">
        <f t="shared" si="47"/>
        <v>0</v>
      </c>
      <c r="P50" s="16">
        <f t="shared" si="47"/>
        <v>0</v>
      </c>
      <c r="Q50" s="16">
        <f t="shared" si="47"/>
        <v>0</v>
      </c>
      <c r="R50" s="8">
        <f t="shared" si="34"/>
        <v>0</v>
      </c>
      <c r="S50" s="363">
        <f t="shared" si="36"/>
        <v>0</v>
      </c>
      <c r="T50" s="363">
        <f t="shared" si="36"/>
        <v>0</v>
      </c>
      <c r="U50" s="363">
        <f t="shared" si="36"/>
        <v>0</v>
      </c>
      <c r="V50" s="363">
        <f t="shared" si="36"/>
        <v>0</v>
      </c>
      <c r="W50" s="363">
        <f t="shared" si="37"/>
        <v>0</v>
      </c>
      <c r="X50" s="363">
        <f t="shared" si="38"/>
        <v>0</v>
      </c>
      <c r="Y50" s="370"/>
      <c r="AI50" s="363"/>
      <c r="AJ50" s="363"/>
      <c r="AK50" s="363"/>
      <c r="AL50" s="363"/>
      <c r="AM50" s="363"/>
      <c r="AN50" s="363"/>
    </row>
    <row r="51" spans="1:40">
      <c r="A51" s="2" t="s">
        <v>88</v>
      </c>
      <c r="B51" s="16">
        <f t="shared" ref="B51:Q51" si="48">B86*0.2</f>
        <v>0</v>
      </c>
      <c r="C51" s="16">
        <f t="shared" si="48"/>
        <v>0</v>
      </c>
      <c r="D51" s="16">
        <f t="shared" si="48"/>
        <v>0</v>
      </c>
      <c r="E51" s="16">
        <f t="shared" si="48"/>
        <v>0</v>
      </c>
      <c r="F51" s="16">
        <f t="shared" si="48"/>
        <v>0</v>
      </c>
      <c r="G51" s="16">
        <f t="shared" si="48"/>
        <v>0</v>
      </c>
      <c r="H51" s="16">
        <f t="shared" si="48"/>
        <v>0</v>
      </c>
      <c r="I51" s="16">
        <f t="shared" si="48"/>
        <v>0</v>
      </c>
      <c r="J51" s="16">
        <f t="shared" si="48"/>
        <v>0</v>
      </c>
      <c r="K51" s="16">
        <f t="shared" si="48"/>
        <v>0</v>
      </c>
      <c r="L51" s="16">
        <f t="shared" si="48"/>
        <v>0</v>
      </c>
      <c r="M51" s="16">
        <f t="shared" si="48"/>
        <v>0</v>
      </c>
      <c r="N51" s="16">
        <f t="shared" si="48"/>
        <v>0</v>
      </c>
      <c r="O51" s="16">
        <f t="shared" si="48"/>
        <v>0</v>
      </c>
      <c r="P51" s="16">
        <f t="shared" si="48"/>
        <v>0</v>
      </c>
      <c r="Q51" s="16">
        <f t="shared" si="48"/>
        <v>0</v>
      </c>
      <c r="R51" s="8">
        <f t="shared" si="34"/>
        <v>0</v>
      </c>
      <c r="S51" s="363">
        <f t="shared" si="36"/>
        <v>0</v>
      </c>
      <c r="T51" s="363">
        <f t="shared" si="36"/>
        <v>0</v>
      </c>
      <c r="U51" s="363">
        <f t="shared" si="36"/>
        <v>0</v>
      </c>
      <c r="V51" s="363">
        <f t="shared" si="36"/>
        <v>0</v>
      </c>
      <c r="W51" s="363">
        <f t="shared" si="37"/>
        <v>0</v>
      </c>
      <c r="X51" s="363">
        <f t="shared" si="38"/>
        <v>0</v>
      </c>
      <c r="Y51" s="370"/>
      <c r="AI51" s="363"/>
      <c r="AJ51" s="363"/>
      <c r="AK51" s="363"/>
      <c r="AL51" s="363"/>
      <c r="AM51" s="363"/>
      <c r="AN51" s="363"/>
    </row>
    <row r="52" spans="1:40">
      <c r="A52" s="2" t="s">
        <v>89</v>
      </c>
      <c r="B52" s="16">
        <f t="shared" ref="B52:Q52" si="49">B87*0.2</f>
        <v>0</v>
      </c>
      <c r="C52" s="16">
        <f t="shared" si="49"/>
        <v>0</v>
      </c>
      <c r="D52" s="16">
        <f t="shared" si="49"/>
        <v>0</v>
      </c>
      <c r="E52" s="16">
        <f t="shared" si="49"/>
        <v>0</v>
      </c>
      <c r="F52" s="16">
        <f t="shared" si="49"/>
        <v>0</v>
      </c>
      <c r="G52" s="16">
        <f t="shared" si="49"/>
        <v>0</v>
      </c>
      <c r="H52" s="16">
        <f t="shared" si="49"/>
        <v>0</v>
      </c>
      <c r="I52" s="16">
        <f t="shared" si="49"/>
        <v>0</v>
      </c>
      <c r="J52" s="16">
        <f t="shared" si="49"/>
        <v>0</v>
      </c>
      <c r="K52" s="16">
        <f t="shared" si="49"/>
        <v>0</v>
      </c>
      <c r="L52" s="16">
        <f t="shared" si="49"/>
        <v>0</v>
      </c>
      <c r="M52" s="16">
        <f t="shared" si="49"/>
        <v>0</v>
      </c>
      <c r="N52" s="16">
        <f t="shared" si="49"/>
        <v>0</v>
      </c>
      <c r="O52" s="16">
        <f t="shared" si="49"/>
        <v>0</v>
      </c>
      <c r="P52" s="16">
        <f t="shared" si="49"/>
        <v>0</v>
      </c>
      <c r="Q52" s="16">
        <f t="shared" si="49"/>
        <v>0</v>
      </c>
      <c r="R52" s="8">
        <f t="shared" si="34"/>
        <v>0</v>
      </c>
      <c r="S52" s="363">
        <f t="shared" si="36"/>
        <v>0</v>
      </c>
      <c r="T52" s="363">
        <f t="shared" si="36"/>
        <v>0</v>
      </c>
      <c r="U52" s="363">
        <f t="shared" si="36"/>
        <v>0</v>
      </c>
      <c r="V52" s="363">
        <f t="shared" si="36"/>
        <v>0</v>
      </c>
      <c r="W52" s="363">
        <f t="shared" si="37"/>
        <v>0</v>
      </c>
      <c r="X52" s="363">
        <f t="shared" si="38"/>
        <v>0</v>
      </c>
      <c r="Y52" s="370"/>
      <c r="AI52" s="363"/>
      <c r="AJ52" s="363"/>
      <c r="AK52" s="363"/>
      <c r="AL52" s="363"/>
      <c r="AM52" s="363"/>
      <c r="AN52" s="363"/>
    </row>
    <row r="53" spans="1:40">
      <c r="A53" s="2" t="s">
        <v>90</v>
      </c>
      <c r="B53" s="16">
        <f t="shared" ref="B53:Q53" si="50">B88*0.2</f>
        <v>0</v>
      </c>
      <c r="C53" s="16">
        <f t="shared" si="50"/>
        <v>0</v>
      </c>
      <c r="D53" s="16">
        <f t="shared" si="50"/>
        <v>0</v>
      </c>
      <c r="E53" s="16">
        <f t="shared" si="50"/>
        <v>0</v>
      </c>
      <c r="F53" s="16">
        <f t="shared" si="50"/>
        <v>0</v>
      </c>
      <c r="G53" s="16">
        <f t="shared" si="50"/>
        <v>0</v>
      </c>
      <c r="H53" s="16">
        <f t="shared" si="50"/>
        <v>0</v>
      </c>
      <c r="I53" s="16">
        <f t="shared" si="50"/>
        <v>0</v>
      </c>
      <c r="J53" s="16">
        <f t="shared" si="50"/>
        <v>0</v>
      </c>
      <c r="K53" s="16">
        <f t="shared" si="50"/>
        <v>0</v>
      </c>
      <c r="L53" s="16">
        <f t="shared" si="50"/>
        <v>0</v>
      </c>
      <c r="M53" s="16">
        <f t="shared" si="50"/>
        <v>0</v>
      </c>
      <c r="N53" s="16">
        <f t="shared" si="50"/>
        <v>0</v>
      </c>
      <c r="O53" s="16">
        <f t="shared" si="50"/>
        <v>0</v>
      </c>
      <c r="P53" s="16">
        <f t="shared" si="50"/>
        <v>0</v>
      </c>
      <c r="Q53" s="16">
        <f t="shared" si="50"/>
        <v>0</v>
      </c>
      <c r="R53" s="8">
        <f t="shared" si="34"/>
        <v>0</v>
      </c>
      <c r="S53" s="363">
        <f t="shared" si="36"/>
        <v>0</v>
      </c>
      <c r="T53" s="363">
        <f t="shared" si="36"/>
        <v>0</v>
      </c>
      <c r="U53" s="363">
        <f t="shared" si="36"/>
        <v>0</v>
      </c>
      <c r="V53" s="363">
        <f t="shared" si="36"/>
        <v>0</v>
      </c>
      <c r="W53" s="363">
        <f t="shared" si="37"/>
        <v>0</v>
      </c>
      <c r="X53" s="363">
        <f t="shared" si="38"/>
        <v>0</v>
      </c>
      <c r="Y53" s="370"/>
      <c r="AI53" s="363"/>
      <c r="AJ53" s="363"/>
      <c r="AK53" s="363"/>
      <c r="AL53" s="363"/>
      <c r="AM53" s="363"/>
      <c r="AN53" s="363"/>
    </row>
    <row r="54" spans="1:40">
      <c r="A54" s="2" t="s">
        <v>91</v>
      </c>
      <c r="B54" s="16">
        <f t="shared" ref="B54:Q54" si="51">B89*0.2</f>
        <v>0</v>
      </c>
      <c r="C54" s="16">
        <f t="shared" si="51"/>
        <v>0</v>
      </c>
      <c r="D54" s="16">
        <f t="shared" si="51"/>
        <v>0</v>
      </c>
      <c r="E54" s="16">
        <f t="shared" si="51"/>
        <v>0</v>
      </c>
      <c r="F54" s="16">
        <f t="shared" si="51"/>
        <v>0</v>
      </c>
      <c r="G54" s="16">
        <f t="shared" si="51"/>
        <v>0</v>
      </c>
      <c r="H54" s="16">
        <f t="shared" si="51"/>
        <v>0</v>
      </c>
      <c r="I54" s="16">
        <f t="shared" si="51"/>
        <v>0</v>
      </c>
      <c r="J54" s="16">
        <f t="shared" si="51"/>
        <v>0</v>
      </c>
      <c r="K54" s="16">
        <f t="shared" si="51"/>
        <v>0</v>
      </c>
      <c r="L54" s="16">
        <f t="shared" si="51"/>
        <v>0</v>
      </c>
      <c r="M54" s="16">
        <f t="shared" si="51"/>
        <v>0</v>
      </c>
      <c r="N54" s="16">
        <f t="shared" si="51"/>
        <v>0</v>
      </c>
      <c r="O54" s="16">
        <f t="shared" si="51"/>
        <v>0</v>
      </c>
      <c r="P54" s="16">
        <f t="shared" si="51"/>
        <v>0</v>
      </c>
      <c r="Q54" s="16">
        <f t="shared" si="51"/>
        <v>0</v>
      </c>
      <c r="R54" s="8">
        <f t="shared" si="34"/>
        <v>0</v>
      </c>
      <c r="S54" s="363">
        <f t="shared" si="36"/>
        <v>0</v>
      </c>
      <c r="T54" s="363">
        <f t="shared" si="36"/>
        <v>0</v>
      </c>
      <c r="U54" s="363">
        <f t="shared" si="36"/>
        <v>0</v>
      </c>
      <c r="V54" s="363">
        <f t="shared" si="36"/>
        <v>0</v>
      </c>
      <c r="W54" s="363">
        <f t="shared" si="37"/>
        <v>0</v>
      </c>
      <c r="X54" s="363">
        <f t="shared" si="38"/>
        <v>0</v>
      </c>
      <c r="Y54" s="370"/>
      <c r="AI54" s="363"/>
      <c r="AJ54" s="363"/>
      <c r="AK54" s="363"/>
      <c r="AL54" s="363"/>
      <c r="AM54" s="363"/>
      <c r="AN54" s="363"/>
    </row>
    <row r="55" spans="1:40">
      <c r="A55" s="2" t="s">
        <v>92</v>
      </c>
      <c r="B55" s="16">
        <f t="shared" ref="B55:Q55" si="52">B90*0.2</f>
        <v>0</v>
      </c>
      <c r="C55" s="16">
        <f t="shared" si="52"/>
        <v>0</v>
      </c>
      <c r="D55" s="16">
        <f t="shared" si="52"/>
        <v>0</v>
      </c>
      <c r="E55" s="16">
        <f t="shared" si="52"/>
        <v>0</v>
      </c>
      <c r="F55" s="16">
        <f t="shared" si="52"/>
        <v>0</v>
      </c>
      <c r="G55" s="16">
        <f t="shared" si="52"/>
        <v>0</v>
      </c>
      <c r="H55" s="16">
        <f t="shared" si="52"/>
        <v>0</v>
      </c>
      <c r="I55" s="16">
        <f t="shared" si="52"/>
        <v>0</v>
      </c>
      <c r="J55" s="16">
        <f t="shared" si="52"/>
        <v>0</v>
      </c>
      <c r="K55" s="16">
        <f t="shared" si="52"/>
        <v>0</v>
      </c>
      <c r="L55" s="16">
        <f t="shared" si="52"/>
        <v>0</v>
      </c>
      <c r="M55" s="16">
        <f t="shared" si="52"/>
        <v>0</v>
      </c>
      <c r="N55" s="16">
        <f t="shared" si="52"/>
        <v>0</v>
      </c>
      <c r="O55" s="16">
        <f t="shared" si="52"/>
        <v>0</v>
      </c>
      <c r="P55" s="16">
        <f t="shared" si="52"/>
        <v>0</v>
      </c>
      <c r="Q55" s="16">
        <f t="shared" si="52"/>
        <v>0</v>
      </c>
      <c r="R55" s="8">
        <f t="shared" si="34"/>
        <v>0</v>
      </c>
      <c r="S55" s="363">
        <f t="shared" si="36"/>
        <v>0</v>
      </c>
      <c r="T55" s="363">
        <f t="shared" si="36"/>
        <v>0</v>
      </c>
      <c r="U55" s="363">
        <f t="shared" si="36"/>
        <v>0</v>
      </c>
      <c r="V55" s="363">
        <f t="shared" si="36"/>
        <v>0</v>
      </c>
      <c r="W55" s="363">
        <f t="shared" si="37"/>
        <v>0</v>
      </c>
      <c r="X55" s="363">
        <f t="shared" si="38"/>
        <v>0</v>
      </c>
      <c r="Y55" s="370"/>
      <c r="AI55" s="363"/>
      <c r="AJ55" s="363"/>
      <c r="AK55" s="363"/>
      <c r="AL55" s="363"/>
      <c r="AM55" s="363"/>
      <c r="AN55" s="363"/>
    </row>
    <row r="56" spans="1:40">
      <c r="A56" s="2" t="s">
        <v>93</v>
      </c>
      <c r="B56" s="16">
        <f t="shared" ref="B56:Q56" si="53">B91*0.2</f>
        <v>0</v>
      </c>
      <c r="C56" s="16">
        <f t="shared" si="53"/>
        <v>0</v>
      </c>
      <c r="D56" s="16">
        <f t="shared" si="53"/>
        <v>0</v>
      </c>
      <c r="E56" s="16">
        <f t="shared" si="53"/>
        <v>0</v>
      </c>
      <c r="F56" s="16">
        <f t="shared" si="53"/>
        <v>0</v>
      </c>
      <c r="G56" s="16">
        <f t="shared" si="53"/>
        <v>0</v>
      </c>
      <c r="H56" s="16">
        <f t="shared" si="53"/>
        <v>0</v>
      </c>
      <c r="I56" s="16">
        <f t="shared" si="53"/>
        <v>0</v>
      </c>
      <c r="J56" s="16">
        <f t="shared" si="53"/>
        <v>0</v>
      </c>
      <c r="K56" s="16">
        <f t="shared" si="53"/>
        <v>0</v>
      </c>
      <c r="L56" s="16">
        <f t="shared" si="53"/>
        <v>0</v>
      </c>
      <c r="M56" s="16">
        <f t="shared" si="53"/>
        <v>0</v>
      </c>
      <c r="N56" s="16">
        <f t="shared" si="53"/>
        <v>0</v>
      </c>
      <c r="O56" s="16">
        <f t="shared" si="53"/>
        <v>0</v>
      </c>
      <c r="P56" s="16">
        <f t="shared" si="53"/>
        <v>0</v>
      </c>
      <c r="Q56" s="16">
        <f t="shared" si="53"/>
        <v>0</v>
      </c>
      <c r="R56" s="8">
        <f t="shared" si="34"/>
        <v>0</v>
      </c>
      <c r="S56" s="363">
        <f t="shared" si="36"/>
        <v>0</v>
      </c>
      <c r="T56" s="363">
        <f t="shared" si="36"/>
        <v>0</v>
      </c>
      <c r="U56" s="363">
        <f t="shared" si="36"/>
        <v>0</v>
      </c>
      <c r="V56" s="363">
        <f t="shared" si="36"/>
        <v>0</v>
      </c>
      <c r="W56" s="363">
        <f t="shared" si="37"/>
        <v>0</v>
      </c>
      <c r="X56" s="363">
        <f t="shared" si="38"/>
        <v>0</v>
      </c>
      <c r="Y56" s="370"/>
      <c r="AI56" s="363"/>
      <c r="AJ56" s="363"/>
      <c r="AK56" s="363"/>
      <c r="AL56" s="363"/>
      <c r="AM56" s="363"/>
      <c r="AN56" s="363"/>
    </row>
    <row r="57" spans="1:40">
      <c r="A57" s="2" t="s">
        <v>94</v>
      </c>
      <c r="B57" s="16">
        <f t="shared" ref="B57:Q57" si="54">B92*0.2</f>
        <v>0</v>
      </c>
      <c r="C57" s="16">
        <f t="shared" si="54"/>
        <v>0</v>
      </c>
      <c r="D57" s="16">
        <f t="shared" si="54"/>
        <v>0</v>
      </c>
      <c r="E57" s="16">
        <f t="shared" si="54"/>
        <v>0</v>
      </c>
      <c r="F57" s="16">
        <f t="shared" si="54"/>
        <v>0</v>
      </c>
      <c r="G57" s="16">
        <f t="shared" si="54"/>
        <v>0</v>
      </c>
      <c r="H57" s="16">
        <f t="shared" si="54"/>
        <v>0</v>
      </c>
      <c r="I57" s="16">
        <f t="shared" si="54"/>
        <v>0</v>
      </c>
      <c r="J57" s="16">
        <f t="shared" si="54"/>
        <v>0</v>
      </c>
      <c r="K57" s="16">
        <f t="shared" si="54"/>
        <v>0</v>
      </c>
      <c r="L57" s="16">
        <f t="shared" si="54"/>
        <v>0</v>
      </c>
      <c r="M57" s="16">
        <f t="shared" si="54"/>
        <v>0</v>
      </c>
      <c r="N57" s="16">
        <f t="shared" si="54"/>
        <v>0</v>
      </c>
      <c r="O57" s="16">
        <f t="shared" si="54"/>
        <v>0</v>
      </c>
      <c r="P57" s="16">
        <f t="shared" si="54"/>
        <v>0</v>
      </c>
      <c r="Q57" s="16">
        <f t="shared" si="54"/>
        <v>0</v>
      </c>
      <c r="R57" s="8">
        <f t="shared" si="34"/>
        <v>0</v>
      </c>
      <c r="S57" s="363">
        <f t="shared" si="36"/>
        <v>0</v>
      </c>
      <c r="T57" s="363">
        <f t="shared" si="36"/>
        <v>0</v>
      </c>
      <c r="U57" s="363">
        <f t="shared" si="36"/>
        <v>0</v>
      </c>
      <c r="V57" s="363">
        <f t="shared" si="36"/>
        <v>0</v>
      </c>
      <c r="W57" s="363">
        <f t="shared" si="37"/>
        <v>0</v>
      </c>
      <c r="X57" s="363">
        <f t="shared" si="38"/>
        <v>0</v>
      </c>
      <c r="Y57" s="370"/>
      <c r="AI57" s="363"/>
      <c r="AJ57" s="363"/>
      <c r="AK57" s="363"/>
      <c r="AL57" s="363"/>
      <c r="AM57" s="363"/>
      <c r="AN57" s="363"/>
    </row>
    <row r="58" spans="1:40">
      <c r="A58" s="2" t="s">
        <v>95</v>
      </c>
      <c r="B58" s="16">
        <f t="shared" ref="B58:Q58" si="55">B93*0.2</f>
        <v>0</v>
      </c>
      <c r="C58" s="16">
        <f t="shared" si="55"/>
        <v>0</v>
      </c>
      <c r="D58" s="16">
        <f t="shared" si="55"/>
        <v>0</v>
      </c>
      <c r="E58" s="16">
        <f t="shared" si="55"/>
        <v>0</v>
      </c>
      <c r="F58" s="16">
        <f t="shared" si="55"/>
        <v>0</v>
      </c>
      <c r="G58" s="16">
        <f t="shared" si="55"/>
        <v>0</v>
      </c>
      <c r="H58" s="16">
        <f t="shared" si="55"/>
        <v>0</v>
      </c>
      <c r="I58" s="16">
        <f t="shared" si="55"/>
        <v>0</v>
      </c>
      <c r="J58" s="16">
        <f t="shared" si="55"/>
        <v>0</v>
      </c>
      <c r="K58" s="16">
        <f t="shared" si="55"/>
        <v>0</v>
      </c>
      <c r="L58" s="16">
        <f t="shared" si="55"/>
        <v>0</v>
      </c>
      <c r="M58" s="16">
        <f t="shared" si="55"/>
        <v>0</v>
      </c>
      <c r="N58" s="16">
        <f t="shared" si="55"/>
        <v>0</v>
      </c>
      <c r="O58" s="16">
        <f t="shared" si="55"/>
        <v>0</v>
      </c>
      <c r="P58" s="16">
        <f t="shared" si="55"/>
        <v>0</v>
      </c>
      <c r="Q58" s="16">
        <f t="shared" si="55"/>
        <v>0</v>
      </c>
      <c r="R58" s="8">
        <f t="shared" si="34"/>
        <v>0</v>
      </c>
      <c r="S58" s="363">
        <f t="shared" si="36"/>
        <v>0</v>
      </c>
      <c r="T58" s="363">
        <f t="shared" si="36"/>
        <v>0</v>
      </c>
      <c r="U58" s="363">
        <f t="shared" si="36"/>
        <v>0</v>
      </c>
      <c r="V58" s="363">
        <f t="shared" si="36"/>
        <v>0</v>
      </c>
      <c r="W58" s="363">
        <f t="shared" si="37"/>
        <v>0</v>
      </c>
      <c r="X58" s="363">
        <f t="shared" si="38"/>
        <v>0</v>
      </c>
      <c r="Y58" s="370"/>
      <c r="AI58" s="363"/>
      <c r="AJ58" s="363"/>
      <c r="AK58" s="363"/>
      <c r="AL58" s="363"/>
      <c r="AM58" s="363"/>
      <c r="AN58" s="363"/>
    </row>
    <row r="59" spans="1:40">
      <c r="A59" s="2" t="s">
        <v>96</v>
      </c>
      <c r="B59" s="16">
        <f t="shared" ref="B59:Q59" si="56">B94*0.2</f>
        <v>0</v>
      </c>
      <c r="C59" s="16">
        <f t="shared" si="56"/>
        <v>0</v>
      </c>
      <c r="D59" s="16">
        <f t="shared" si="56"/>
        <v>0</v>
      </c>
      <c r="E59" s="16">
        <f t="shared" si="56"/>
        <v>0</v>
      </c>
      <c r="F59" s="16">
        <f t="shared" si="56"/>
        <v>0</v>
      </c>
      <c r="G59" s="16">
        <f t="shared" si="56"/>
        <v>0</v>
      </c>
      <c r="H59" s="16">
        <f t="shared" si="56"/>
        <v>0</v>
      </c>
      <c r="I59" s="16">
        <f t="shared" si="56"/>
        <v>0</v>
      </c>
      <c r="J59" s="16">
        <f t="shared" si="56"/>
        <v>0</v>
      </c>
      <c r="K59" s="16">
        <f t="shared" si="56"/>
        <v>0</v>
      </c>
      <c r="L59" s="16">
        <f t="shared" si="56"/>
        <v>0</v>
      </c>
      <c r="M59" s="16">
        <f t="shared" si="56"/>
        <v>0</v>
      </c>
      <c r="N59" s="16">
        <f t="shared" si="56"/>
        <v>0</v>
      </c>
      <c r="O59" s="16">
        <f t="shared" si="56"/>
        <v>0</v>
      </c>
      <c r="P59" s="16">
        <f t="shared" si="56"/>
        <v>0</v>
      </c>
      <c r="Q59" s="16">
        <f t="shared" si="56"/>
        <v>0</v>
      </c>
      <c r="R59" s="8">
        <f t="shared" si="34"/>
        <v>0</v>
      </c>
      <c r="S59" s="363">
        <f t="shared" si="36"/>
        <v>0</v>
      </c>
      <c r="T59" s="363">
        <f t="shared" si="36"/>
        <v>0</v>
      </c>
      <c r="U59" s="363">
        <f t="shared" si="36"/>
        <v>0</v>
      </c>
      <c r="V59" s="363">
        <f t="shared" si="36"/>
        <v>0</v>
      </c>
      <c r="W59" s="363">
        <f t="shared" si="37"/>
        <v>0</v>
      </c>
      <c r="X59" s="363">
        <f t="shared" si="38"/>
        <v>0</v>
      </c>
      <c r="Y59" s="370"/>
      <c r="AI59" s="363"/>
      <c r="AJ59" s="363"/>
      <c r="AK59" s="363"/>
      <c r="AL59" s="363"/>
      <c r="AM59" s="363"/>
      <c r="AN59" s="363"/>
    </row>
    <row r="60" spans="1:40">
      <c r="A60" s="2" t="s">
        <v>97</v>
      </c>
      <c r="B60" s="16">
        <f t="shared" ref="B60:Q60" si="57">B95*0.2</f>
        <v>0</v>
      </c>
      <c r="C60" s="16">
        <f t="shared" si="57"/>
        <v>0</v>
      </c>
      <c r="D60" s="16">
        <f t="shared" si="57"/>
        <v>0</v>
      </c>
      <c r="E60" s="16">
        <f t="shared" si="57"/>
        <v>0</v>
      </c>
      <c r="F60" s="16">
        <f t="shared" si="57"/>
        <v>0</v>
      </c>
      <c r="G60" s="16">
        <f t="shared" si="57"/>
        <v>0</v>
      </c>
      <c r="H60" s="16">
        <f t="shared" si="57"/>
        <v>0</v>
      </c>
      <c r="I60" s="16">
        <f t="shared" si="57"/>
        <v>0</v>
      </c>
      <c r="J60" s="16">
        <f t="shared" si="57"/>
        <v>0</v>
      </c>
      <c r="K60" s="16">
        <f t="shared" si="57"/>
        <v>0</v>
      </c>
      <c r="L60" s="16">
        <f t="shared" si="57"/>
        <v>0</v>
      </c>
      <c r="M60" s="16">
        <f t="shared" si="57"/>
        <v>0</v>
      </c>
      <c r="N60" s="16">
        <f t="shared" si="57"/>
        <v>0</v>
      </c>
      <c r="O60" s="16">
        <f t="shared" si="57"/>
        <v>0</v>
      </c>
      <c r="P60" s="16">
        <f t="shared" si="57"/>
        <v>0</v>
      </c>
      <c r="Q60" s="16">
        <f t="shared" si="57"/>
        <v>0</v>
      </c>
      <c r="R60" s="8">
        <f t="shared" si="34"/>
        <v>0</v>
      </c>
      <c r="S60" s="363">
        <f t="shared" si="36"/>
        <v>0</v>
      </c>
      <c r="T60" s="363">
        <f t="shared" si="36"/>
        <v>0</v>
      </c>
      <c r="U60" s="363">
        <f t="shared" si="36"/>
        <v>0</v>
      </c>
      <c r="V60" s="363">
        <f t="shared" si="36"/>
        <v>0</v>
      </c>
      <c r="W60" s="363">
        <f t="shared" si="37"/>
        <v>0</v>
      </c>
      <c r="X60" s="363">
        <f t="shared" si="38"/>
        <v>0</v>
      </c>
      <c r="Y60" s="370"/>
      <c r="AI60" s="363"/>
      <c r="AJ60" s="363"/>
      <c r="AK60" s="363"/>
      <c r="AL60" s="363"/>
      <c r="AM60" s="363"/>
      <c r="AN60" s="363"/>
    </row>
    <row r="61" spans="1:40">
      <c r="A61" s="2" t="s">
        <v>98</v>
      </c>
      <c r="B61" s="16">
        <f t="shared" ref="B61:Q61" si="58">B96*0.2</f>
        <v>0</v>
      </c>
      <c r="C61" s="16">
        <f t="shared" si="58"/>
        <v>0</v>
      </c>
      <c r="D61" s="16">
        <f t="shared" si="58"/>
        <v>0</v>
      </c>
      <c r="E61" s="16">
        <f t="shared" si="58"/>
        <v>0</v>
      </c>
      <c r="F61" s="16">
        <f t="shared" si="58"/>
        <v>0</v>
      </c>
      <c r="G61" s="16">
        <f t="shared" si="58"/>
        <v>0</v>
      </c>
      <c r="H61" s="16">
        <f t="shared" si="58"/>
        <v>0</v>
      </c>
      <c r="I61" s="16">
        <f t="shared" si="58"/>
        <v>0</v>
      </c>
      <c r="J61" s="16">
        <f t="shared" si="58"/>
        <v>0</v>
      </c>
      <c r="K61" s="16">
        <f t="shared" si="58"/>
        <v>0</v>
      </c>
      <c r="L61" s="16">
        <f t="shared" si="58"/>
        <v>0</v>
      </c>
      <c r="M61" s="16">
        <f t="shared" si="58"/>
        <v>0</v>
      </c>
      <c r="N61" s="16">
        <f t="shared" si="58"/>
        <v>0</v>
      </c>
      <c r="O61" s="16">
        <f t="shared" si="58"/>
        <v>0</v>
      </c>
      <c r="P61" s="16">
        <f t="shared" si="58"/>
        <v>0</v>
      </c>
      <c r="Q61" s="16">
        <f t="shared" si="58"/>
        <v>0</v>
      </c>
      <c r="R61" s="8">
        <f t="shared" si="34"/>
        <v>0</v>
      </c>
      <c r="S61" s="363">
        <f t="shared" si="36"/>
        <v>0</v>
      </c>
      <c r="T61" s="363">
        <f t="shared" si="36"/>
        <v>0</v>
      </c>
      <c r="U61" s="363">
        <f t="shared" si="36"/>
        <v>0</v>
      </c>
      <c r="V61" s="363">
        <f t="shared" si="36"/>
        <v>0</v>
      </c>
      <c r="W61" s="363">
        <f t="shared" si="37"/>
        <v>0</v>
      </c>
      <c r="X61" s="363">
        <f t="shared" si="38"/>
        <v>0</v>
      </c>
      <c r="Y61" s="370"/>
      <c r="AI61" s="363"/>
      <c r="AJ61" s="363"/>
      <c r="AK61" s="363"/>
      <c r="AL61" s="363"/>
      <c r="AM61" s="363"/>
      <c r="AN61" s="363"/>
    </row>
    <row r="62" spans="1:40">
      <c r="A62" s="2" t="s">
        <v>99</v>
      </c>
      <c r="B62" s="16">
        <f t="shared" ref="B62:Q62" si="59">B97*0.2</f>
        <v>0</v>
      </c>
      <c r="C62" s="16">
        <f t="shared" si="59"/>
        <v>0</v>
      </c>
      <c r="D62" s="16">
        <f t="shared" si="59"/>
        <v>0</v>
      </c>
      <c r="E62" s="16">
        <f t="shared" si="59"/>
        <v>0</v>
      </c>
      <c r="F62" s="16">
        <f t="shared" si="59"/>
        <v>0</v>
      </c>
      <c r="G62" s="16">
        <f t="shared" si="59"/>
        <v>0</v>
      </c>
      <c r="H62" s="16">
        <f t="shared" si="59"/>
        <v>0</v>
      </c>
      <c r="I62" s="16">
        <f t="shared" si="59"/>
        <v>0</v>
      </c>
      <c r="J62" s="16">
        <f t="shared" si="59"/>
        <v>0</v>
      </c>
      <c r="K62" s="16">
        <f t="shared" si="59"/>
        <v>0</v>
      </c>
      <c r="L62" s="16">
        <f t="shared" si="59"/>
        <v>0</v>
      </c>
      <c r="M62" s="16">
        <f t="shared" si="59"/>
        <v>0</v>
      </c>
      <c r="N62" s="16">
        <f t="shared" si="59"/>
        <v>0</v>
      </c>
      <c r="O62" s="16">
        <f t="shared" si="59"/>
        <v>0</v>
      </c>
      <c r="P62" s="16">
        <f t="shared" si="59"/>
        <v>0</v>
      </c>
      <c r="Q62" s="16">
        <f t="shared" si="59"/>
        <v>0</v>
      </c>
      <c r="R62" s="8">
        <f t="shared" si="34"/>
        <v>0</v>
      </c>
      <c r="S62" s="363">
        <f t="shared" si="36"/>
        <v>0</v>
      </c>
      <c r="T62" s="363">
        <f t="shared" si="36"/>
        <v>0</v>
      </c>
      <c r="U62" s="363">
        <f t="shared" si="36"/>
        <v>0</v>
      </c>
      <c r="V62" s="363">
        <f t="shared" si="36"/>
        <v>0</v>
      </c>
      <c r="W62" s="363">
        <f t="shared" si="37"/>
        <v>0</v>
      </c>
      <c r="X62" s="363">
        <f t="shared" si="38"/>
        <v>0</v>
      </c>
      <c r="Y62" s="370"/>
      <c r="AI62" s="363"/>
      <c r="AJ62" s="363"/>
      <c r="AK62" s="363"/>
      <c r="AL62" s="363"/>
      <c r="AM62" s="363"/>
      <c r="AN62" s="363"/>
    </row>
    <row r="63" spans="1:40">
      <c r="A63" s="2" t="s">
        <v>100</v>
      </c>
      <c r="B63" s="16">
        <f t="shared" ref="B63:Q63" si="60">B98*0.2</f>
        <v>0</v>
      </c>
      <c r="C63" s="16">
        <f t="shared" si="60"/>
        <v>0</v>
      </c>
      <c r="D63" s="16">
        <f t="shared" si="60"/>
        <v>0</v>
      </c>
      <c r="E63" s="16">
        <f t="shared" si="60"/>
        <v>0</v>
      </c>
      <c r="F63" s="16">
        <f t="shared" si="60"/>
        <v>0</v>
      </c>
      <c r="G63" s="16">
        <f t="shared" si="60"/>
        <v>0</v>
      </c>
      <c r="H63" s="16">
        <f t="shared" si="60"/>
        <v>0</v>
      </c>
      <c r="I63" s="16">
        <f t="shared" si="60"/>
        <v>0</v>
      </c>
      <c r="J63" s="16">
        <f t="shared" si="60"/>
        <v>0</v>
      </c>
      <c r="K63" s="16">
        <f t="shared" si="60"/>
        <v>0</v>
      </c>
      <c r="L63" s="16">
        <f t="shared" si="60"/>
        <v>0</v>
      </c>
      <c r="M63" s="16">
        <f t="shared" si="60"/>
        <v>0</v>
      </c>
      <c r="N63" s="16">
        <f t="shared" si="60"/>
        <v>0</v>
      </c>
      <c r="O63" s="16">
        <f t="shared" si="60"/>
        <v>0</v>
      </c>
      <c r="P63" s="16">
        <f t="shared" si="60"/>
        <v>0</v>
      </c>
      <c r="Q63" s="16">
        <f t="shared" si="60"/>
        <v>0</v>
      </c>
      <c r="R63" s="8">
        <f t="shared" si="34"/>
        <v>0</v>
      </c>
      <c r="S63" s="363">
        <f t="shared" si="36"/>
        <v>0</v>
      </c>
      <c r="T63" s="363">
        <f t="shared" si="36"/>
        <v>0</v>
      </c>
      <c r="U63" s="363">
        <f t="shared" si="36"/>
        <v>0</v>
      </c>
      <c r="V63" s="363">
        <f t="shared" si="36"/>
        <v>0</v>
      </c>
      <c r="W63" s="363">
        <f t="shared" si="37"/>
        <v>0</v>
      </c>
      <c r="X63" s="363">
        <f t="shared" si="38"/>
        <v>0</v>
      </c>
      <c r="Y63" s="370"/>
      <c r="AI63" s="363"/>
      <c r="AJ63" s="363"/>
      <c r="AK63" s="363"/>
      <c r="AL63" s="363"/>
      <c r="AM63" s="363"/>
      <c r="AN63" s="363"/>
    </row>
    <row r="64" spans="1:40">
      <c r="A64" s="2" t="s">
        <v>101</v>
      </c>
      <c r="B64" s="16">
        <f t="shared" ref="B64:O64" si="61">B99*0.2</f>
        <v>0</v>
      </c>
      <c r="C64" s="16">
        <f t="shared" si="61"/>
        <v>0</v>
      </c>
      <c r="D64" s="16">
        <f t="shared" si="61"/>
        <v>0</v>
      </c>
      <c r="E64" s="16">
        <f t="shared" si="61"/>
        <v>0</v>
      </c>
      <c r="F64" s="16">
        <f t="shared" si="61"/>
        <v>0</v>
      </c>
      <c r="G64" s="16">
        <f t="shared" si="61"/>
        <v>0</v>
      </c>
      <c r="H64" s="16">
        <f t="shared" si="61"/>
        <v>0</v>
      </c>
      <c r="I64" s="16">
        <f t="shared" si="61"/>
        <v>0</v>
      </c>
      <c r="J64" s="16">
        <f t="shared" si="61"/>
        <v>0</v>
      </c>
      <c r="K64" s="16">
        <f t="shared" si="61"/>
        <v>0</v>
      </c>
      <c r="L64" s="16">
        <f t="shared" si="61"/>
        <v>0</v>
      </c>
      <c r="M64" s="16">
        <f t="shared" si="61"/>
        <v>0</v>
      </c>
      <c r="N64" s="16">
        <f t="shared" si="61"/>
        <v>0</v>
      </c>
      <c r="O64" s="16">
        <f t="shared" si="61"/>
        <v>0</v>
      </c>
      <c r="P64" s="16">
        <v>0</v>
      </c>
      <c r="Q64" s="16">
        <v>0</v>
      </c>
      <c r="R64" s="8">
        <f t="shared" si="34"/>
        <v>0</v>
      </c>
      <c r="S64" s="363">
        <f t="shared" si="36"/>
        <v>0</v>
      </c>
      <c r="T64" s="363">
        <f t="shared" si="36"/>
        <v>0</v>
      </c>
      <c r="U64" s="363">
        <f t="shared" si="36"/>
        <v>0</v>
      </c>
      <c r="V64" s="363">
        <f t="shared" si="36"/>
        <v>0</v>
      </c>
      <c r="W64" s="363">
        <f t="shared" si="37"/>
        <v>0</v>
      </c>
      <c r="X64" s="363">
        <f t="shared" si="38"/>
        <v>0</v>
      </c>
      <c r="Y64" s="370"/>
      <c r="AI64" s="363"/>
      <c r="AJ64" s="363"/>
      <c r="AK64" s="363"/>
      <c r="AL64" s="363"/>
      <c r="AM64" s="363"/>
      <c r="AN64" s="363"/>
    </row>
    <row r="65" spans="1:40">
      <c r="A65" s="2" t="s">
        <v>102</v>
      </c>
      <c r="B65" s="16">
        <f t="shared" ref="B65:O65" si="62">B100*0.2</f>
        <v>0</v>
      </c>
      <c r="C65" s="16">
        <f t="shared" si="62"/>
        <v>0</v>
      </c>
      <c r="D65" s="16">
        <f t="shared" si="62"/>
        <v>0</v>
      </c>
      <c r="E65" s="16">
        <f t="shared" si="62"/>
        <v>0</v>
      </c>
      <c r="F65" s="16">
        <f t="shared" si="62"/>
        <v>0</v>
      </c>
      <c r="G65" s="16">
        <f t="shared" si="62"/>
        <v>0</v>
      </c>
      <c r="H65" s="16">
        <f t="shared" si="62"/>
        <v>0</v>
      </c>
      <c r="I65" s="16">
        <f t="shared" si="62"/>
        <v>0</v>
      </c>
      <c r="J65" s="16">
        <f t="shared" si="62"/>
        <v>0</v>
      </c>
      <c r="K65" s="16">
        <f t="shared" si="62"/>
        <v>0</v>
      </c>
      <c r="L65" s="16">
        <f t="shared" si="62"/>
        <v>0</v>
      </c>
      <c r="M65" s="16">
        <f t="shared" si="62"/>
        <v>0</v>
      </c>
      <c r="N65" s="16">
        <f t="shared" si="62"/>
        <v>0</v>
      </c>
      <c r="O65" s="16">
        <f t="shared" si="62"/>
        <v>0</v>
      </c>
      <c r="P65" s="16">
        <f>P100*0.2</f>
        <v>0</v>
      </c>
      <c r="Q65" s="16">
        <f>Q100*0.2</f>
        <v>0</v>
      </c>
      <c r="R65" s="8">
        <f t="shared" si="34"/>
        <v>0</v>
      </c>
      <c r="S65" s="363">
        <f t="shared" si="36"/>
        <v>0</v>
      </c>
      <c r="T65" s="363">
        <f t="shared" si="36"/>
        <v>0</v>
      </c>
      <c r="U65" s="363">
        <f t="shared" si="36"/>
        <v>0</v>
      </c>
      <c r="V65" s="363">
        <f t="shared" si="36"/>
        <v>0</v>
      </c>
      <c r="W65" s="363">
        <f t="shared" si="37"/>
        <v>0</v>
      </c>
      <c r="X65" s="363">
        <f t="shared" si="38"/>
        <v>0</v>
      </c>
      <c r="Y65" s="370"/>
      <c r="AI65" s="363"/>
      <c r="AJ65" s="363"/>
      <c r="AK65" s="363"/>
      <c r="AL65" s="363"/>
      <c r="AM65" s="363"/>
      <c r="AN65" s="363"/>
    </row>
    <row r="66" spans="1:40">
      <c r="A66" s="2" t="s">
        <v>103</v>
      </c>
      <c r="B66" s="16">
        <f t="shared" ref="B66:O66" si="63">B101*0.2</f>
        <v>0</v>
      </c>
      <c r="C66" s="16">
        <f t="shared" si="63"/>
        <v>0</v>
      </c>
      <c r="D66" s="16">
        <f t="shared" si="63"/>
        <v>0</v>
      </c>
      <c r="E66" s="16">
        <f t="shared" si="63"/>
        <v>0</v>
      </c>
      <c r="F66" s="16">
        <f t="shared" si="63"/>
        <v>0</v>
      </c>
      <c r="G66" s="16">
        <f t="shared" si="63"/>
        <v>0</v>
      </c>
      <c r="H66" s="16">
        <f t="shared" si="63"/>
        <v>0</v>
      </c>
      <c r="I66" s="16">
        <f t="shared" si="63"/>
        <v>0</v>
      </c>
      <c r="J66" s="16">
        <f t="shared" si="63"/>
        <v>0</v>
      </c>
      <c r="K66" s="16">
        <f t="shared" si="63"/>
        <v>0</v>
      </c>
      <c r="L66" s="16">
        <f t="shared" si="63"/>
        <v>0</v>
      </c>
      <c r="M66" s="16">
        <f t="shared" si="63"/>
        <v>0</v>
      </c>
      <c r="N66" s="16">
        <f t="shared" si="63"/>
        <v>0</v>
      </c>
      <c r="O66" s="16">
        <f t="shared" si="63"/>
        <v>0</v>
      </c>
      <c r="P66" s="16">
        <f>P101*0.2</f>
        <v>0</v>
      </c>
      <c r="Q66" s="16">
        <f>Q101*0.2</f>
        <v>0</v>
      </c>
      <c r="R66" s="8">
        <f t="shared" si="34"/>
        <v>0</v>
      </c>
      <c r="S66" s="363">
        <f t="shared" si="36"/>
        <v>0</v>
      </c>
      <c r="T66" s="363">
        <f t="shared" si="36"/>
        <v>0</v>
      </c>
      <c r="U66" s="363">
        <f t="shared" si="36"/>
        <v>0</v>
      </c>
      <c r="V66" s="363">
        <f t="shared" si="36"/>
        <v>0</v>
      </c>
      <c r="W66" s="363">
        <f t="shared" si="37"/>
        <v>0</v>
      </c>
      <c r="X66" s="363">
        <f t="shared" si="38"/>
        <v>0</v>
      </c>
      <c r="Y66" s="370"/>
      <c r="AI66" s="363"/>
      <c r="AJ66" s="363"/>
      <c r="AK66" s="363"/>
      <c r="AL66" s="363"/>
      <c r="AM66" s="363"/>
      <c r="AN66" s="363"/>
    </row>
    <row r="67" spans="1:40">
      <c r="A67" s="6" t="s">
        <v>37</v>
      </c>
      <c r="B67" s="7">
        <f t="shared" ref="B67:R67" si="64">SUM(B40:B66)</f>
        <v>0</v>
      </c>
      <c r="C67" s="7">
        <f t="shared" si="64"/>
        <v>0</v>
      </c>
      <c r="D67" s="7">
        <f t="shared" si="64"/>
        <v>0</v>
      </c>
      <c r="E67" s="7">
        <f t="shared" si="64"/>
        <v>0</v>
      </c>
      <c r="F67" s="7">
        <f t="shared" si="64"/>
        <v>0</v>
      </c>
      <c r="G67" s="7">
        <f t="shared" si="64"/>
        <v>0</v>
      </c>
      <c r="H67" s="7">
        <f t="shared" si="64"/>
        <v>0</v>
      </c>
      <c r="I67" s="7">
        <f t="shared" si="64"/>
        <v>0</v>
      </c>
      <c r="J67" s="7">
        <f t="shared" si="64"/>
        <v>0</v>
      </c>
      <c r="K67" s="7">
        <f t="shared" si="64"/>
        <v>0</v>
      </c>
      <c r="L67" s="7">
        <f t="shared" si="64"/>
        <v>0</v>
      </c>
      <c r="M67" s="7">
        <f t="shared" si="64"/>
        <v>0</v>
      </c>
      <c r="N67" s="7">
        <f t="shared" si="64"/>
        <v>0</v>
      </c>
      <c r="O67" s="7">
        <f t="shared" si="64"/>
        <v>0</v>
      </c>
      <c r="P67" s="7">
        <f t="shared" si="64"/>
        <v>0</v>
      </c>
      <c r="Q67" s="7">
        <f t="shared" si="64"/>
        <v>0</v>
      </c>
      <c r="R67" s="9">
        <f t="shared" si="64"/>
        <v>0</v>
      </c>
      <c r="S67" s="363">
        <f t="shared" ref="S67:X67" si="65">SUM(S40:S66)</f>
        <v>0</v>
      </c>
      <c r="T67" s="363">
        <f t="shared" si="65"/>
        <v>0</v>
      </c>
      <c r="U67" s="363">
        <f t="shared" si="65"/>
        <v>0</v>
      </c>
      <c r="V67" s="363">
        <f t="shared" si="65"/>
        <v>0</v>
      </c>
      <c r="W67" s="363">
        <f t="shared" si="65"/>
        <v>0</v>
      </c>
      <c r="X67" s="363">
        <f t="shared" si="65"/>
        <v>0</v>
      </c>
      <c r="Y67" s="370"/>
      <c r="AI67" s="363"/>
      <c r="AJ67" s="363"/>
      <c r="AK67" s="363"/>
      <c r="AL67" s="363"/>
      <c r="AM67" s="363"/>
      <c r="AN67" s="363"/>
    </row>
    <row r="68" spans="1:40">
      <c r="A68" s="351" t="s">
        <v>47</v>
      </c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6"/>
      <c r="Y68" s="370"/>
    </row>
    <row r="69" spans="1:40">
      <c r="A69" s="358"/>
      <c r="B69" s="358"/>
      <c r="C69" s="359"/>
      <c r="D69" s="359"/>
      <c r="E69" s="359"/>
      <c r="F69" s="359"/>
      <c r="G69" s="359"/>
      <c r="H69" s="359"/>
      <c r="I69" s="359"/>
      <c r="J69" s="359"/>
      <c r="K69" s="359"/>
      <c r="R69" s="360"/>
      <c r="Y69" s="370"/>
    </row>
    <row r="70" spans="1:40">
      <c r="A70" s="357"/>
      <c r="L70" s="253"/>
      <c r="M70" s="253"/>
      <c r="N70" s="253"/>
      <c r="O70" s="253"/>
      <c r="P70" s="253"/>
      <c r="Q70" s="253"/>
      <c r="Y70" s="370"/>
    </row>
    <row r="71" spans="1:40">
      <c r="A71" s="357"/>
      <c r="Y71" s="370"/>
    </row>
    <row r="72" spans="1:40" ht="46.5">
      <c r="A72" s="837" t="s">
        <v>46</v>
      </c>
      <c r="B72" s="838"/>
      <c r="C72" s="838"/>
      <c r="D72" s="838"/>
      <c r="E72" s="838"/>
      <c r="F72" s="838"/>
      <c r="G72" s="838"/>
      <c r="H72" s="838"/>
      <c r="I72" s="838"/>
      <c r="J72" s="838"/>
      <c r="K72" s="838"/>
      <c r="L72" s="838"/>
      <c r="M72" s="838"/>
      <c r="N72" s="838"/>
      <c r="O72" s="838"/>
      <c r="P72" s="838"/>
      <c r="Q72" s="838"/>
      <c r="R72" s="839"/>
      <c r="Y72" s="370"/>
    </row>
    <row r="73" spans="1:40" s="372" customFormat="1" ht="35.1" customHeight="1">
      <c r="A73" s="835" t="s">
        <v>33</v>
      </c>
      <c r="B73" s="833" t="s">
        <v>27</v>
      </c>
      <c r="C73" s="834"/>
      <c r="D73" s="833" t="s">
        <v>29</v>
      </c>
      <c r="E73" s="834"/>
      <c r="F73" s="835" t="s">
        <v>28</v>
      </c>
      <c r="G73" s="835" t="s">
        <v>36</v>
      </c>
      <c r="H73" s="835" t="s">
        <v>30</v>
      </c>
      <c r="I73" s="835" t="s">
        <v>31</v>
      </c>
      <c r="J73" s="835" t="s">
        <v>41</v>
      </c>
      <c r="K73" s="835" t="s">
        <v>35</v>
      </c>
      <c r="L73" s="835" t="s">
        <v>40</v>
      </c>
      <c r="M73" s="835" t="s">
        <v>42</v>
      </c>
      <c r="N73" s="835" t="s">
        <v>45</v>
      </c>
      <c r="O73" s="835" t="s">
        <v>279</v>
      </c>
      <c r="P73" s="833" t="s">
        <v>49</v>
      </c>
      <c r="Q73" s="834"/>
      <c r="R73" s="835" t="s">
        <v>34</v>
      </c>
      <c r="S73" s="357"/>
      <c r="T73" s="357"/>
      <c r="U73" s="357"/>
      <c r="V73" s="357"/>
      <c r="W73" s="357"/>
      <c r="X73" s="357"/>
      <c r="Y73" s="711"/>
      <c r="AI73" s="357"/>
      <c r="AJ73" s="357"/>
      <c r="AK73" s="357"/>
      <c r="AL73" s="357"/>
      <c r="AM73" s="357"/>
      <c r="AN73" s="357"/>
    </row>
    <row r="74" spans="1:40" s="372" customFormat="1" ht="35.1" customHeight="1">
      <c r="A74" s="836"/>
      <c r="B74" s="361" t="s">
        <v>43</v>
      </c>
      <c r="C74" s="361" t="s">
        <v>44</v>
      </c>
      <c r="D74" s="361" t="s">
        <v>43</v>
      </c>
      <c r="E74" s="361" t="s">
        <v>44</v>
      </c>
      <c r="F74" s="836"/>
      <c r="G74" s="836"/>
      <c r="H74" s="836"/>
      <c r="I74" s="836"/>
      <c r="J74" s="836"/>
      <c r="K74" s="836"/>
      <c r="L74" s="836"/>
      <c r="M74" s="836"/>
      <c r="N74" s="836"/>
      <c r="O74" s="836"/>
      <c r="P74" s="362" t="s">
        <v>50</v>
      </c>
      <c r="Q74" s="362" t="s">
        <v>51</v>
      </c>
      <c r="R74" s="836"/>
      <c r="S74" s="372" t="s">
        <v>173</v>
      </c>
      <c r="T74" s="372" t="s">
        <v>291</v>
      </c>
      <c r="U74" s="372" t="s">
        <v>174</v>
      </c>
      <c r="V74" s="372" t="s">
        <v>292</v>
      </c>
      <c r="W74" s="372" t="s">
        <v>28</v>
      </c>
      <c r="X74" s="372" t="s">
        <v>175</v>
      </c>
      <c r="Y74" s="727"/>
    </row>
    <row r="75" spans="1:40">
      <c r="A75" s="2" t="s">
        <v>77</v>
      </c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8">
        <f t="shared" ref="R75:R101" si="66">SUM(B75:Q75)</f>
        <v>0</v>
      </c>
      <c r="S75" s="363">
        <f>B75</f>
        <v>0</v>
      </c>
      <c r="T75" s="363">
        <f>C75</f>
        <v>0</v>
      </c>
      <c r="U75" s="363">
        <f>D75</f>
        <v>0</v>
      </c>
      <c r="V75" s="363">
        <f>E75</f>
        <v>0</v>
      </c>
      <c r="W75" s="363">
        <f>F75+G75</f>
        <v>0</v>
      </c>
      <c r="X75" s="363">
        <f>SUM(H75:Q75)</f>
        <v>0</v>
      </c>
      <c r="Y75" s="370"/>
      <c r="AI75" s="363"/>
      <c r="AJ75" s="363"/>
      <c r="AK75" s="363"/>
      <c r="AL75" s="363"/>
      <c r="AM75" s="363"/>
      <c r="AN75" s="363"/>
    </row>
    <row r="76" spans="1:40">
      <c r="A76" s="2" t="s">
        <v>78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8">
        <f t="shared" si="66"/>
        <v>0</v>
      </c>
      <c r="S76" s="363">
        <f t="shared" ref="S76:V101" si="67">B76</f>
        <v>0</v>
      </c>
      <c r="T76" s="363">
        <f t="shared" si="67"/>
        <v>0</v>
      </c>
      <c r="U76" s="363">
        <f t="shared" si="67"/>
        <v>0</v>
      </c>
      <c r="V76" s="363">
        <f t="shared" si="67"/>
        <v>0</v>
      </c>
      <c r="W76" s="363">
        <f t="shared" ref="W76:W101" si="68">F76+G76</f>
        <v>0</v>
      </c>
      <c r="X76" s="363">
        <f t="shared" ref="X76:X101" si="69">SUM(H76:Q76)</f>
        <v>0</v>
      </c>
      <c r="Y76" s="370"/>
      <c r="AI76" s="363"/>
      <c r="AJ76" s="363"/>
      <c r="AK76" s="363"/>
      <c r="AL76" s="363"/>
      <c r="AM76" s="363"/>
      <c r="AN76" s="363"/>
    </row>
    <row r="77" spans="1:40">
      <c r="A77" s="2" t="s">
        <v>79</v>
      </c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8">
        <f t="shared" si="66"/>
        <v>0</v>
      </c>
      <c r="S77" s="363">
        <f t="shared" si="67"/>
        <v>0</v>
      </c>
      <c r="T77" s="363">
        <f t="shared" si="67"/>
        <v>0</v>
      </c>
      <c r="U77" s="363">
        <f t="shared" si="67"/>
        <v>0</v>
      </c>
      <c r="V77" s="363">
        <f t="shared" si="67"/>
        <v>0</v>
      </c>
      <c r="W77" s="363">
        <f t="shared" si="68"/>
        <v>0</v>
      </c>
      <c r="X77" s="363">
        <f t="shared" si="69"/>
        <v>0</v>
      </c>
      <c r="Y77" s="370"/>
      <c r="AI77" s="363"/>
      <c r="AJ77" s="363"/>
      <c r="AK77" s="363"/>
      <c r="AL77" s="363"/>
      <c r="AM77" s="363"/>
      <c r="AN77" s="363"/>
    </row>
    <row r="78" spans="1:40">
      <c r="A78" s="2" t="s">
        <v>80</v>
      </c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8">
        <f t="shared" si="66"/>
        <v>0</v>
      </c>
      <c r="S78" s="363">
        <f t="shared" si="67"/>
        <v>0</v>
      </c>
      <c r="T78" s="363">
        <f t="shared" si="67"/>
        <v>0</v>
      </c>
      <c r="U78" s="363">
        <f t="shared" si="67"/>
        <v>0</v>
      </c>
      <c r="V78" s="363">
        <f t="shared" si="67"/>
        <v>0</v>
      </c>
      <c r="W78" s="363">
        <f t="shared" si="68"/>
        <v>0</v>
      </c>
      <c r="X78" s="363">
        <f t="shared" si="69"/>
        <v>0</v>
      </c>
      <c r="Y78" s="370"/>
      <c r="AI78" s="363"/>
      <c r="AJ78" s="363"/>
      <c r="AK78" s="363"/>
      <c r="AL78" s="363"/>
      <c r="AM78" s="363"/>
      <c r="AN78" s="363"/>
    </row>
    <row r="79" spans="1:40">
      <c r="A79" s="2" t="s">
        <v>81</v>
      </c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8">
        <f t="shared" si="66"/>
        <v>0</v>
      </c>
      <c r="S79" s="363">
        <f t="shared" si="67"/>
        <v>0</v>
      </c>
      <c r="T79" s="363">
        <f t="shared" si="67"/>
        <v>0</v>
      </c>
      <c r="U79" s="363">
        <f t="shared" si="67"/>
        <v>0</v>
      </c>
      <c r="V79" s="363">
        <f t="shared" si="67"/>
        <v>0</v>
      </c>
      <c r="W79" s="363">
        <f t="shared" si="68"/>
        <v>0</v>
      </c>
      <c r="X79" s="363">
        <f t="shared" si="69"/>
        <v>0</v>
      </c>
      <c r="Y79" s="370"/>
      <c r="AI79" s="363"/>
      <c r="AJ79" s="363"/>
      <c r="AK79" s="363"/>
      <c r="AL79" s="363"/>
      <c r="AM79" s="363"/>
      <c r="AN79" s="363"/>
    </row>
    <row r="80" spans="1:40">
      <c r="A80" s="2" t="s">
        <v>82</v>
      </c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8">
        <f t="shared" si="66"/>
        <v>0</v>
      </c>
      <c r="S80" s="363">
        <f t="shared" si="67"/>
        <v>0</v>
      </c>
      <c r="T80" s="363">
        <f t="shared" si="67"/>
        <v>0</v>
      </c>
      <c r="U80" s="363">
        <f t="shared" si="67"/>
        <v>0</v>
      </c>
      <c r="V80" s="363">
        <f t="shared" si="67"/>
        <v>0</v>
      </c>
      <c r="W80" s="363">
        <f t="shared" si="68"/>
        <v>0</v>
      </c>
      <c r="X80" s="363">
        <f t="shared" si="69"/>
        <v>0</v>
      </c>
      <c r="Y80" s="370"/>
      <c r="AI80" s="363"/>
      <c r="AJ80" s="363"/>
      <c r="AK80" s="363"/>
      <c r="AL80" s="363"/>
      <c r="AM80" s="363"/>
      <c r="AN80" s="363"/>
    </row>
    <row r="81" spans="1:40">
      <c r="A81" s="2" t="s">
        <v>83</v>
      </c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8">
        <f t="shared" si="66"/>
        <v>0</v>
      </c>
      <c r="S81" s="363">
        <f t="shared" si="67"/>
        <v>0</v>
      </c>
      <c r="T81" s="363">
        <f t="shared" si="67"/>
        <v>0</v>
      </c>
      <c r="U81" s="363">
        <f t="shared" si="67"/>
        <v>0</v>
      </c>
      <c r="V81" s="363">
        <f t="shared" si="67"/>
        <v>0</v>
      </c>
      <c r="W81" s="363">
        <f t="shared" si="68"/>
        <v>0</v>
      </c>
      <c r="X81" s="363">
        <f t="shared" si="69"/>
        <v>0</v>
      </c>
      <c r="Y81" s="370"/>
      <c r="AI81" s="363"/>
      <c r="AJ81" s="363"/>
      <c r="AK81" s="363"/>
      <c r="AL81" s="363"/>
      <c r="AM81" s="363"/>
      <c r="AN81" s="363"/>
    </row>
    <row r="82" spans="1:40">
      <c r="A82" s="2" t="s">
        <v>84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8">
        <f t="shared" si="66"/>
        <v>0</v>
      </c>
      <c r="S82" s="363">
        <f t="shared" si="67"/>
        <v>0</v>
      </c>
      <c r="T82" s="363">
        <f t="shared" si="67"/>
        <v>0</v>
      </c>
      <c r="U82" s="363">
        <f t="shared" si="67"/>
        <v>0</v>
      </c>
      <c r="V82" s="363">
        <f t="shared" si="67"/>
        <v>0</v>
      </c>
      <c r="W82" s="363">
        <f t="shared" si="68"/>
        <v>0</v>
      </c>
      <c r="X82" s="363">
        <f t="shared" si="69"/>
        <v>0</v>
      </c>
      <c r="Y82" s="370"/>
      <c r="AI82" s="363"/>
      <c r="AJ82" s="363"/>
      <c r="AK82" s="363"/>
      <c r="AL82" s="363"/>
      <c r="AM82" s="363"/>
      <c r="AN82" s="363"/>
    </row>
    <row r="83" spans="1:40">
      <c r="A83" s="2" t="s">
        <v>85</v>
      </c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8">
        <f t="shared" si="66"/>
        <v>0</v>
      </c>
      <c r="S83" s="363">
        <f t="shared" si="67"/>
        <v>0</v>
      </c>
      <c r="T83" s="363">
        <f t="shared" si="67"/>
        <v>0</v>
      </c>
      <c r="U83" s="363">
        <f t="shared" si="67"/>
        <v>0</v>
      </c>
      <c r="V83" s="363">
        <f t="shared" si="67"/>
        <v>0</v>
      </c>
      <c r="W83" s="363">
        <f t="shared" si="68"/>
        <v>0</v>
      </c>
      <c r="X83" s="363">
        <f t="shared" si="69"/>
        <v>0</v>
      </c>
      <c r="Y83" s="370"/>
      <c r="AI83" s="363"/>
      <c r="AJ83" s="363"/>
      <c r="AK83" s="363"/>
      <c r="AL83" s="363"/>
      <c r="AM83" s="363"/>
      <c r="AN83" s="363"/>
    </row>
    <row r="84" spans="1:40">
      <c r="A84" s="2" t="s">
        <v>86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8">
        <f t="shared" si="66"/>
        <v>0</v>
      </c>
      <c r="S84" s="363">
        <f t="shared" si="67"/>
        <v>0</v>
      </c>
      <c r="T84" s="363">
        <f t="shared" si="67"/>
        <v>0</v>
      </c>
      <c r="U84" s="363">
        <f t="shared" si="67"/>
        <v>0</v>
      </c>
      <c r="V84" s="363">
        <f t="shared" si="67"/>
        <v>0</v>
      </c>
      <c r="W84" s="363">
        <f t="shared" si="68"/>
        <v>0</v>
      </c>
      <c r="X84" s="363">
        <f t="shared" si="69"/>
        <v>0</v>
      </c>
      <c r="Y84" s="370"/>
      <c r="AI84" s="363"/>
      <c r="AJ84" s="363"/>
      <c r="AK84" s="363"/>
      <c r="AL84" s="363"/>
      <c r="AM84" s="363"/>
      <c r="AN84" s="363"/>
    </row>
    <row r="85" spans="1:40">
      <c r="A85" s="2" t="s">
        <v>87</v>
      </c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8">
        <f t="shared" si="66"/>
        <v>0</v>
      </c>
      <c r="S85" s="363">
        <f t="shared" si="67"/>
        <v>0</v>
      </c>
      <c r="T85" s="363">
        <f t="shared" si="67"/>
        <v>0</v>
      </c>
      <c r="U85" s="363">
        <f t="shared" si="67"/>
        <v>0</v>
      </c>
      <c r="V85" s="363">
        <f t="shared" si="67"/>
        <v>0</v>
      </c>
      <c r="W85" s="363">
        <f t="shared" si="68"/>
        <v>0</v>
      </c>
      <c r="X85" s="363">
        <f t="shared" si="69"/>
        <v>0</v>
      </c>
      <c r="Y85" s="370"/>
      <c r="AI85" s="363"/>
      <c r="AJ85" s="363"/>
      <c r="AK85" s="363"/>
      <c r="AL85" s="363"/>
      <c r="AM85" s="363"/>
      <c r="AN85" s="363"/>
    </row>
    <row r="86" spans="1:40">
      <c r="A86" s="2" t="s">
        <v>88</v>
      </c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8">
        <f t="shared" si="66"/>
        <v>0</v>
      </c>
      <c r="S86" s="363">
        <f t="shared" si="67"/>
        <v>0</v>
      </c>
      <c r="T86" s="363">
        <f t="shared" si="67"/>
        <v>0</v>
      </c>
      <c r="U86" s="363">
        <f t="shared" si="67"/>
        <v>0</v>
      </c>
      <c r="V86" s="363">
        <f t="shared" si="67"/>
        <v>0</v>
      </c>
      <c r="W86" s="363">
        <f t="shared" si="68"/>
        <v>0</v>
      </c>
      <c r="X86" s="363">
        <f t="shared" si="69"/>
        <v>0</v>
      </c>
      <c r="Y86" s="370"/>
      <c r="AI86" s="363"/>
      <c r="AJ86" s="363"/>
      <c r="AK86" s="363"/>
      <c r="AL86" s="363"/>
      <c r="AM86" s="363"/>
      <c r="AN86" s="363"/>
    </row>
    <row r="87" spans="1:40">
      <c r="A87" s="2" t="s">
        <v>89</v>
      </c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8">
        <f t="shared" si="66"/>
        <v>0</v>
      </c>
      <c r="S87" s="363">
        <f t="shared" si="67"/>
        <v>0</v>
      </c>
      <c r="T87" s="363">
        <f t="shared" si="67"/>
        <v>0</v>
      </c>
      <c r="U87" s="363">
        <f t="shared" si="67"/>
        <v>0</v>
      </c>
      <c r="V87" s="363">
        <f t="shared" si="67"/>
        <v>0</v>
      </c>
      <c r="W87" s="363">
        <f t="shared" si="68"/>
        <v>0</v>
      </c>
      <c r="X87" s="363">
        <f t="shared" si="69"/>
        <v>0</v>
      </c>
      <c r="Y87" s="370"/>
      <c r="AI87" s="363"/>
      <c r="AJ87" s="363"/>
      <c r="AK87" s="363"/>
      <c r="AL87" s="363"/>
      <c r="AM87" s="363"/>
      <c r="AN87" s="363"/>
    </row>
    <row r="88" spans="1:40">
      <c r="A88" s="2" t="s">
        <v>90</v>
      </c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8">
        <f t="shared" si="66"/>
        <v>0</v>
      </c>
      <c r="S88" s="363">
        <f t="shared" si="67"/>
        <v>0</v>
      </c>
      <c r="T88" s="363">
        <f t="shared" si="67"/>
        <v>0</v>
      </c>
      <c r="U88" s="363">
        <f t="shared" si="67"/>
        <v>0</v>
      </c>
      <c r="V88" s="363">
        <f t="shared" si="67"/>
        <v>0</v>
      </c>
      <c r="W88" s="363">
        <f t="shared" si="68"/>
        <v>0</v>
      </c>
      <c r="X88" s="363">
        <f t="shared" si="69"/>
        <v>0</v>
      </c>
      <c r="Y88" s="370"/>
      <c r="AI88" s="363"/>
      <c r="AJ88" s="363"/>
      <c r="AK88" s="363"/>
      <c r="AL88" s="363"/>
      <c r="AM88" s="363"/>
      <c r="AN88" s="363"/>
    </row>
    <row r="89" spans="1:40">
      <c r="A89" s="2" t="s">
        <v>91</v>
      </c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8">
        <f t="shared" si="66"/>
        <v>0</v>
      </c>
      <c r="S89" s="363">
        <f t="shared" si="67"/>
        <v>0</v>
      </c>
      <c r="T89" s="363">
        <f t="shared" si="67"/>
        <v>0</v>
      </c>
      <c r="U89" s="363">
        <f t="shared" si="67"/>
        <v>0</v>
      </c>
      <c r="V89" s="363">
        <f t="shared" si="67"/>
        <v>0</v>
      </c>
      <c r="W89" s="363">
        <f t="shared" si="68"/>
        <v>0</v>
      </c>
      <c r="X89" s="363">
        <f t="shared" si="69"/>
        <v>0</v>
      </c>
      <c r="Y89" s="370"/>
      <c r="AI89" s="363"/>
      <c r="AJ89" s="363"/>
      <c r="AK89" s="363"/>
      <c r="AL89" s="363"/>
      <c r="AM89" s="363"/>
      <c r="AN89" s="363"/>
    </row>
    <row r="90" spans="1:40">
      <c r="A90" s="2" t="s">
        <v>92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8">
        <f t="shared" si="66"/>
        <v>0</v>
      </c>
      <c r="S90" s="363">
        <f t="shared" si="67"/>
        <v>0</v>
      </c>
      <c r="T90" s="363">
        <f t="shared" si="67"/>
        <v>0</v>
      </c>
      <c r="U90" s="363">
        <f t="shared" si="67"/>
        <v>0</v>
      </c>
      <c r="V90" s="363">
        <f t="shared" si="67"/>
        <v>0</v>
      </c>
      <c r="W90" s="363">
        <f t="shared" si="68"/>
        <v>0</v>
      </c>
      <c r="X90" s="363">
        <f t="shared" si="69"/>
        <v>0</v>
      </c>
      <c r="Y90" s="370"/>
      <c r="AI90" s="363"/>
      <c r="AJ90" s="363"/>
      <c r="AK90" s="363"/>
      <c r="AL90" s="363"/>
      <c r="AM90" s="363"/>
      <c r="AN90" s="363"/>
    </row>
    <row r="91" spans="1:40">
      <c r="A91" s="2" t="s">
        <v>93</v>
      </c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8">
        <f t="shared" si="66"/>
        <v>0</v>
      </c>
      <c r="S91" s="363">
        <f t="shared" si="67"/>
        <v>0</v>
      </c>
      <c r="T91" s="363">
        <f t="shared" si="67"/>
        <v>0</v>
      </c>
      <c r="U91" s="363">
        <f t="shared" si="67"/>
        <v>0</v>
      </c>
      <c r="V91" s="363">
        <f t="shared" si="67"/>
        <v>0</v>
      </c>
      <c r="W91" s="363">
        <f t="shared" si="68"/>
        <v>0</v>
      </c>
      <c r="X91" s="363">
        <f t="shared" si="69"/>
        <v>0</v>
      </c>
      <c r="Y91" s="370"/>
      <c r="AI91" s="363"/>
      <c r="AJ91" s="363"/>
      <c r="AK91" s="363"/>
      <c r="AL91" s="363"/>
      <c r="AM91" s="363"/>
      <c r="AN91" s="363"/>
    </row>
    <row r="92" spans="1:40">
      <c r="A92" s="2" t="s">
        <v>94</v>
      </c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8">
        <f t="shared" si="66"/>
        <v>0</v>
      </c>
      <c r="S92" s="363">
        <f t="shared" si="67"/>
        <v>0</v>
      </c>
      <c r="T92" s="363">
        <f t="shared" si="67"/>
        <v>0</v>
      </c>
      <c r="U92" s="363">
        <f t="shared" si="67"/>
        <v>0</v>
      </c>
      <c r="V92" s="363">
        <f t="shared" si="67"/>
        <v>0</v>
      </c>
      <c r="W92" s="363">
        <f t="shared" si="68"/>
        <v>0</v>
      </c>
      <c r="X92" s="363">
        <f t="shared" si="69"/>
        <v>0</v>
      </c>
      <c r="Y92" s="370"/>
      <c r="AI92" s="363"/>
      <c r="AJ92" s="363"/>
      <c r="AK92" s="363"/>
      <c r="AL92" s="363"/>
      <c r="AM92" s="363"/>
      <c r="AN92" s="363"/>
    </row>
    <row r="93" spans="1:40">
      <c r="A93" s="2" t="s">
        <v>95</v>
      </c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8">
        <f t="shared" si="66"/>
        <v>0</v>
      </c>
      <c r="S93" s="363">
        <f t="shared" si="67"/>
        <v>0</v>
      </c>
      <c r="T93" s="363">
        <f t="shared" si="67"/>
        <v>0</v>
      </c>
      <c r="U93" s="363">
        <f t="shared" si="67"/>
        <v>0</v>
      </c>
      <c r="V93" s="363">
        <f t="shared" si="67"/>
        <v>0</v>
      </c>
      <c r="W93" s="363">
        <f t="shared" si="68"/>
        <v>0</v>
      </c>
      <c r="X93" s="363">
        <f t="shared" si="69"/>
        <v>0</v>
      </c>
      <c r="Y93" s="370"/>
      <c r="AI93" s="363"/>
      <c r="AJ93" s="363"/>
      <c r="AK93" s="363"/>
      <c r="AL93" s="363"/>
      <c r="AM93" s="363"/>
      <c r="AN93" s="363"/>
    </row>
    <row r="94" spans="1:40">
      <c r="A94" s="2" t="s">
        <v>96</v>
      </c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8">
        <f t="shared" si="66"/>
        <v>0</v>
      </c>
      <c r="S94" s="363">
        <f t="shared" si="67"/>
        <v>0</v>
      </c>
      <c r="T94" s="363">
        <f t="shared" si="67"/>
        <v>0</v>
      </c>
      <c r="U94" s="363">
        <f t="shared" si="67"/>
        <v>0</v>
      </c>
      <c r="V94" s="363">
        <f t="shared" si="67"/>
        <v>0</v>
      </c>
      <c r="W94" s="363">
        <f t="shared" si="68"/>
        <v>0</v>
      </c>
      <c r="X94" s="363">
        <f t="shared" si="69"/>
        <v>0</v>
      </c>
      <c r="Y94" s="370"/>
      <c r="AI94" s="363"/>
      <c r="AJ94" s="363"/>
      <c r="AK94" s="363"/>
      <c r="AL94" s="363"/>
      <c r="AM94" s="363"/>
      <c r="AN94" s="363"/>
    </row>
    <row r="95" spans="1:40">
      <c r="A95" s="2" t="s">
        <v>97</v>
      </c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8">
        <f t="shared" si="66"/>
        <v>0</v>
      </c>
      <c r="S95" s="363">
        <f t="shared" si="67"/>
        <v>0</v>
      </c>
      <c r="T95" s="363">
        <f t="shared" si="67"/>
        <v>0</v>
      </c>
      <c r="U95" s="363">
        <f t="shared" si="67"/>
        <v>0</v>
      </c>
      <c r="V95" s="363">
        <f t="shared" si="67"/>
        <v>0</v>
      </c>
      <c r="W95" s="363">
        <f t="shared" si="68"/>
        <v>0</v>
      </c>
      <c r="X95" s="363">
        <f t="shared" si="69"/>
        <v>0</v>
      </c>
      <c r="Y95" s="370"/>
      <c r="AI95" s="363"/>
      <c r="AJ95" s="363"/>
      <c r="AK95" s="363"/>
      <c r="AL95" s="363"/>
      <c r="AM95" s="363"/>
      <c r="AN95" s="363"/>
    </row>
    <row r="96" spans="1:40">
      <c r="A96" s="2" t="s">
        <v>98</v>
      </c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8">
        <f t="shared" si="66"/>
        <v>0</v>
      </c>
      <c r="S96" s="363">
        <f t="shared" si="67"/>
        <v>0</v>
      </c>
      <c r="T96" s="363">
        <f t="shared" si="67"/>
        <v>0</v>
      </c>
      <c r="U96" s="363">
        <f t="shared" si="67"/>
        <v>0</v>
      </c>
      <c r="V96" s="363">
        <f t="shared" si="67"/>
        <v>0</v>
      </c>
      <c r="W96" s="363">
        <f t="shared" si="68"/>
        <v>0</v>
      </c>
      <c r="X96" s="363">
        <f t="shared" si="69"/>
        <v>0</v>
      </c>
      <c r="Y96" s="370"/>
      <c r="AI96" s="363"/>
      <c r="AJ96" s="363"/>
      <c r="AK96" s="363"/>
      <c r="AL96" s="363"/>
      <c r="AM96" s="363"/>
      <c r="AN96" s="363"/>
    </row>
    <row r="97" spans="1:40">
      <c r="A97" s="2" t="s">
        <v>99</v>
      </c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8">
        <f t="shared" si="66"/>
        <v>0</v>
      </c>
      <c r="S97" s="363">
        <f t="shared" si="67"/>
        <v>0</v>
      </c>
      <c r="T97" s="363">
        <f t="shared" si="67"/>
        <v>0</v>
      </c>
      <c r="U97" s="363">
        <f t="shared" si="67"/>
        <v>0</v>
      </c>
      <c r="V97" s="363">
        <f t="shared" si="67"/>
        <v>0</v>
      </c>
      <c r="W97" s="363">
        <f t="shared" si="68"/>
        <v>0</v>
      </c>
      <c r="X97" s="363">
        <f t="shared" si="69"/>
        <v>0</v>
      </c>
      <c r="Y97" s="370"/>
      <c r="AI97" s="363"/>
      <c r="AJ97" s="363"/>
      <c r="AK97" s="363"/>
      <c r="AL97" s="363"/>
      <c r="AM97" s="363"/>
      <c r="AN97" s="363"/>
    </row>
    <row r="98" spans="1:40">
      <c r="A98" s="2" t="s">
        <v>100</v>
      </c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8">
        <f t="shared" si="66"/>
        <v>0</v>
      </c>
      <c r="S98" s="363">
        <f t="shared" si="67"/>
        <v>0</v>
      </c>
      <c r="T98" s="363">
        <f t="shared" si="67"/>
        <v>0</v>
      </c>
      <c r="U98" s="363">
        <f t="shared" si="67"/>
        <v>0</v>
      </c>
      <c r="V98" s="363">
        <f t="shared" si="67"/>
        <v>0</v>
      </c>
      <c r="W98" s="363">
        <f t="shared" si="68"/>
        <v>0</v>
      </c>
      <c r="X98" s="363">
        <f t="shared" si="69"/>
        <v>0</v>
      </c>
      <c r="Y98" s="370"/>
      <c r="AI98" s="363"/>
      <c r="AJ98" s="363"/>
      <c r="AK98" s="363"/>
      <c r="AL98" s="363"/>
      <c r="AM98" s="363"/>
      <c r="AN98" s="363"/>
    </row>
    <row r="99" spans="1:40">
      <c r="A99" s="2" t="s">
        <v>101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8">
        <f t="shared" si="66"/>
        <v>0</v>
      </c>
      <c r="S99" s="363">
        <f t="shared" si="67"/>
        <v>0</v>
      </c>
      <c r="T99" s="363">
        <f t="shared" si="67"/>
        <v>0</v>
      </c>
      <c r="U99" s="363">
        <f t="shared" si="67"/>
        <v>0</v>
      </c>
      <c r="V99" s="363">
        <f t="shared" si="67"/>
        <v>0</v>
      </c>
      <c r="W99" s="363">
        <f t="shared" si="68"/>
        <v>0</v>
      </c>
      <c r="X99" s="363">
        <f t="shared" si="69"/>
        <v>0</v>
      </c>
      <c r="Y99" s="370"/>
      <c r="AI99" s="363"/>
      <c r="AJ99" s="363"/>
      <c r="AK99" s="363"/>
      <c r="AL99" s="363"/>
      <c r="AM99" s="363"/>
      <c r="AN99" s="363"/>
    </row>
    <row r="100" spans="1:40">
      <c r="A100" s="2" t="s">
        <v>102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8">
        <f t="shared" si="66"/>
        <v>0</v>
      </c>
      <c r="S100" s="363">
        <f t="shared" si="67"/>
        <v>0</v>
      </c>
      <c r="T100" s="363">
        <f t="shared" si="67"/>
        <v>0</v>
      </c>
      <c r="U100" s="363">
        <f t="shared" si="67"/>
        <v>0</v>
      </c>
      <c r="V100" s="363">
        <f t="shared" si="67"/>
        <v>0</v>
      </c>
      <c r="W100" s="363">
        <f t="shared" si="68"/>
        <v>0</v>
      </c>
      <c r="X100" s="363">
        <f t="shared" si="69"/>
        <v>0</v>
      </c>
      <c r="Y100" s="370"/>
      <c r="AI100" s="363"/>
      <c r="AJ100" s="363"/>
      <c r="AK100" s="363"/>
      <c r="AL100" s="363"/>
      <c r="AM100" s="363"/>
      <c r="AN100" s="363"/>
    </row>
    <row r="101" spans="1:40">
      <c r="A101" s="2" t="s">
        <v>103</v>
      </c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8">
        <f t="shared" si="66"/>
        <v>0</v>
      </c>
      <c r="S101" s="363">
        <f t="shared" si="67"/>
        <v>0</v>
      </c>
      <c r="T101" s="363">
        <f t="shared" si="67"/>
        <v>0</v>
      </c>
      <c r="U101" s="363">
        <f t="shared" si="67"/>
        <v>0</v>
      </c>
      <c r="V101" s="363">
        <f t="shared" si="67"/>
        <v>0</v>
      </c>
      <c r="W101" s="363">
        <f t="shared" si="68"/>
        <v>0</v>
      </c>
      <c r="X101" s="363">
        <f t="shared" si="69"/>
        <v>0</v>
      </c>
      <c r="Y101" s="370"/>
      <c r="AI101" s="363"/>
      <c r="AJ101" s="363"/>
      <c r="AK101" s="363"/>
      <c r="AL101" s="363"/>
      <c r="AM101" s="363"/>
      <c r="AN101" s="363"/>
    </row>
    <row r="102" spans="1:40">
      <c r="A102" s="6" t="s">
        <v>37</v>
      </c>
      <c r="B102" s="5">
        <f t="shared" ref="B102:X102" si="70">SUM(B75:B101)</f>
        <v>0</v>
      </c>
      <c r="C102" s="5">
        <f t="shared" si="70"/>
        <v>0</v>
      </c>
      <c r="D102" s="5">
        <f t="shared" si="70"/>
        <v>0</v>
      </c>
      <c r="E102" s="5">
        <f t="shared" si="70"/>
        <v>0</v>
      </c>
      <c r="F102" s="5">
        <f t="shared" si="70"/>
        <v>0</v>
      </c>
      <c r="G102" s="5">
        <f t="shared" si="70"/>
        <v>0</v>
      </c>
      <c r="H102" s="5">
        <f t="shared" si="70"/>
        <v>0</v>
      </c>
      <c r="I102" s="5">
        <f t="shared" si="70"/>
        <v>0</v>
      </c>
      <c r="J102" s="5">
        <f t="shared" si="70"/>
        <v>0</v>
      </c>
      <c r="K102" s="5">
        <f t="shared" si="70"/>
        <v>0</v>
      </c>
      <c r="L102" s="5">
        <f t="shared" si="70"/>
        <v>0</v>
      </c>
      <c r="M102" s="5">
        <f t="shared" si="70"/>
        <v>0</v>
      </c>
      <c r="N102" s="5">
        <f t="shared" si="70"/>
        <v>0</v>
      </c>
      <c r="O102" s="5">
        <f t="shared" si="70"/>
        <v>0</v>
      </c>
      <c r="P102" s="5">
        <f t="shared" si="70"/>
        <v>0</v>
      </c>
      <c r="Q102" s="5">
        <f t="shared" si="70"/>
        <v>0</v>
      </c>
      <c r="R102" s="5">
        <f t="shared" si="70"/>
        <v>0</v>
      </c>
      <c r="S102" s="363">
        <f t="shared" si="70"/>
        <v>0</v>
      </c>
      <c r="T102" s="363">
        <f t="shared" si="70"/>
        <v>0</v>
      </c>
      <c r="U102" s="363">
        <f t="shared" si="70"/>
        <v>0</v>
      </c>
      <c r="V102" s="363">
        <f t="shared" si="70"/>
        <v>0</v>
      </c>
      <c r="W102" s="363">
        <f t="shared" si="70"/>
        <v>0</v>
      </c>
      <c r="X102" s="363">
        <f t="shared" si="70"/>
        <v>0</v>
      </c>
      <c r="Y102" s="370"/>
      <c r="AI102" s="363"/>
      <c r="AJ102" s="363"/>
      <c r="AK102" s="363"/>
      <c r="AL102" s="363"/>
      <c r="AM102" s="363"/>
      <c r="AN102" s="363"/>
    </row>
    <row r="103" spans="1:40">
      <c r="R103" s="363"/>
    </row>
    <row r="104" spans="1:40">
      <c r="R104" s="363"/>
    </row>
    <row r="105" spans="1:40">
      <c r="R105" s="363"/>
    </row>
  </sheetData>
  <mergeCells count="48">
    <mergeCell ref="J73:J74"/>
    <mergeCell ref="K73:K74"/>
    <mergeCell ref="L73:L74"/>
    <mergeCell ref="M73:M74"/>
    <mergeCell ref="A2:R2"/>
    <mergeCell ref="P3:Q3"/>
    <mergeCell ref="P73:Q73"/>
    <mergeCell ref="H38:H39"/>
    <mergeCell ref="I38:I39"/>
    <mergeCell ref="J38:J39"/>
    <mergeCell ref="K38:K39"/>
    <mergeCell ref="L38:L39"/>
    <mergeCell ref="M38:M39"/>
    <mergeCell ref="N38:N39"/>
    <mergeCell ref="N73:N74"/>
    <mergeCell ref="G73:G74"/>
    <mergeCell ref="H73:H74"/>
    <mergeCell ref="I73:I74"/>
    <mergeCell ref="H3:H4"/>
    <mergeCell ref="I3:I4"/>
    <mergeCell ref="A73:A74"/>
    <mergeCell ref="B73:C73"/>
    <mergeCell ref="D73:E73"/>
    <mergeCell ref="F73:F74"/>
    <mergeCell ref="B3:C3"/>
    <mergeCell ref="D3:E3"/>
    <mergeCell ref="F3:F4"/>
    <mergeCell ref="G3:G4"/>
    <mergeCell ref="A38:A39"/>
    <mergeCell ref="B38:C38"/>
    <mergeCell ref="F38:F39"/>
    <mergeCell ref="G38:G39"/>
    <mergeCell ref="O3:O4"/>
    <mergeCell ref="O38:O39"/>
    <mergeCell ref="O73:O74"/>
    <mergeCell ref="R73:R74"/>
    <mergeCell ref="R3:R4"/>
    <mergeCell ref="A37:R37"/>
    <mergeCell ref="P38:Q38"/>
    <mergeCell ref="R38:R39"/>
    <mergeCell ref="A72:R72"/>
    <mergeCell ref="A3:A4"/>
    <mergeCell ref="J3:J4"/>
    <mergeCell ref="K3:K4"/>
    <mergeCell ref="L3:L4"/>
    <mergeCell ref="M3:M4"/>
    <mergeCell ref="N3:N4"/>
    <mergeCell ref="D38:E38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>
    <pageSetUpPr fitToPage="1"/>
  </sheetPr>
  <dimension ref="A2:AN105"/>
  <sheetViews>
    <sheetView topLeftCell="A56" zoomScale="70" zoomScaleNormal="70" workbookViewId="0">
      <selection activeCell="EF33" sqref="EF33"/>
    </sheetView>
  </sheetViews>
  <sheetFormatPr defaultRowHeight="15"/>
  <cols>
    <col min="1" max="1" width="20.85546875" style="370" customWidth="1"/>
    <col min="2" max="12" width="20.85546875" style="357" customWidth="1"/>
    <col min="13" max="13" width="12.7109375" style="357" customWidth="1"/>
    <col min="14" max="14" width="18.42578125" style="357" customWidth="1"/>
    <col min="15" max="18" width="20.85546875" style="357" customWidth="1"/>
    <col min="19" max="24" width="15.5703125" style="357" customWidth="1"/>
    <col min="25" max="16384" width="9.140625" style="357"/>
  </cols>
  <sheetData>
    <row r="2" spans="1:40" ht="46.5">
      <c r="A2" s="837" t="s">
        <v>73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</row>
    <row r="3" spans="1:40" s="372" customFormat="1" ht="35.1" customHeight="1">
      <c r="A3" s="835" t="s">
        <v>33</v>
      </c>
      <c r="B3" s="833" t="s">
        <v>27</v>
      </c>
      <c r="C3" s="834"/>
      <c r="D3" s="833" t="s">
        <v>29</v>
      </c>
      <c r="E3" s="834"/>
      <c r="F3" s="835" t="s">
        <v>28</v>
      </c>
      <c r="G3" s="835" t="s">
        <v>36</v>
      </c>
      <c r="H3" s="835" t="s">
        <v>30</v>
      </c>
      <c r="I3" s="835" t="s">
        <v>31</v>
      </c>
      <c r="J3" s="835" t="s">
        <v>41</v>
      </c>
      <c r="K3" s="835" t="s">
        <v>35</v>
      </c>
      <c r="L3" s="835" t="s">
        <v>40</v>
      </c>
      <c r="M3" s="835" t="s">
        <v>42</v>
      </c>
      <c r="N3" s="835" t="s">
        <v>45</v>
      </c>
      <c r="O3" s="835" t="s">
        <v>279</v>
      </c>
      <c r="P3" s="833" t="s">
        <v>49</v>
      </c>
      <c r="Q3" s="834"/>
      <c r="R3" s="835" t="s">
        <v>34</v>
      </c>
    </row>
    <row r="4" spans="1:40" s="372" customFormat="1" ht="35.1" customHeight="1">
      <c r="A4" s="836"/>
      <c r="B4" s="361" t="s">
        <v>43</v>
      </c>
      <c r="C4" s="361" t="s">
        <v>44</v>
      </c>
      <c r="D4" s="361" t="s">
        <v>43</v>
      </c>
      <c r="E4" s="361" t="s">
        <v>44</v>
      </c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362" t="s">
        <v>50</v>
      </c>
      <c r="Q4" s="362" t="s">
        <v>51</v>
      </c>
      <c r="R4" s="836"/>
      <c r="S4" s="372" t="s">
        <v>173</v>
      </c>
      <c r="T4" s="372" t="s">
        <v>291</v>
      </c>
      <c r="U4" s="372" t="s">
        <v>174</v>
      </c>
      <c r="V4" s="372" t="s">
        <v>292</v>
      </c>
      <c r="W4" s="372" t="s">
        <v>28</v>
      </c>
      <c r="X4" s="372" t="s">
        <v>175</v>
      </c>
      <c r="Y4" s="727"/>
    </row>
    <row r="5" spans="1:40">
      <c r="A5" s="2" t="s">
        <v>77</v>
      </c>
      <c r="B5" s="16">
        <f t="shared" ref="B5:Q5" si="0">B75*0.8</f>
        <v>0</v>
      </c>
      <c r="C5" s="16">
        <f t="shared" si="0"/>
        <v>0</v>
      </c>
      <c r="D5" s="16">
        <f t="shared" si="0"/>
        <v>0</v>
      </c>
      <c r="E5" s="16">
        <f t="shared" si="0"/>
        <v>0</v>
      </c>
      <c r="F5" s="16">
        <f t="shared" si="0"/>
        <v>0</v>
      </c>
      <c r="G5" s="16">
        <f t="shared" si="0"/>
        <v>0</v>
      </c>
      <c r="H5" s="16">
        <f t="shared" si="0"/>
        <v>0</v>
      </c>
      <c r="I5" s="16">
        <f t="shared" si="0"/>
        <v>0</v>
      </c>
      <c r="J5" s="16">
        <f t="shared" si="0"/>
        <v>0</v>
      </c>
      <c r="K5" s="16">
        <f t="shared" si="0"/>
        <v>0</v>
      </c>
      <c r="L5" s="16">
        <f t="shared" si="0"/>
        <v>0</v>
      </c>
      <c r="M5" s="16">
        <f t="shared" si="0"/>
        <v>0</v>
      </c>
      <c r="N5" s="16">
        <f t="shared" si="0"/>
        <v>0</v>
      </c>
      <c r="O5" s="16">
        <f t="shared" si="0"/>
        <v>0</v>
      </c>
      <c r="P5" s="16">
        <f t="shared" si="0"/>
        <v>0</v>
      </c>
      <c r="Q5" s="16">
        <f t="shared" si="0"/>
        <v>0</v>
      </c>
      <c r="R5" s="8">
        <f t="shared" ref="R5:R31" si="1">SUM(B5:Q5)</f>
        <v>0</v>
      </c>
      <c r="S5" s="363">
        <f>B5</f>
        <v>0</v>
      </c>
      <c r="T5" s="363">
        <f>C5</f>
        <v>0</v>
      </c>
      <c r="U5" s="363">
        <f>D5</f>
        <v>0</v>
      </c>
      <c r="V5" s="363">
        <f>E5</f>
        <v>0</v>
      </c>
      <c r="W5" s="363">
        <f>F5+G5</f>
        <v>0</v>
      </c>
      <c r="X5" s="363">
        <f>SUM(H5:Q5)</f>
        <v>0</v>
      </c>
      <c r="Y5" s="370"/>
      <c r="AI5" s="363"/>
      <c r="AJ5" s="363"/>
      <c r="AK5" s="363"/>
      <c r="AL5" s="363"/>
      <c r="AM5" s="363"/>
      <c r="AN5" s="363"/>
    </row>
    <row r="6" spans="1:40">
      <c r="A6" s="2" t="s">
        <v>78</v>
      </c>
      <c r="B6" s="16">
        <f t="shared" ref="B6:Q6" si="2">B76*0.8</f>
        <v>0</v>
      </c>
      <c r="C6" s="16">
        <f t="shared" si="2"/>
        <v>0</v>
      </c>
      <c r="D6" s="16">
        <f t="shared" si="2"/>
        <v>0</v>
      </c>
      <c r="E6" s="16">
        <f t="shared" si="2"/>
        <v>0</v>
      </c>
      <c r="F6" s="16">
        <f t="shared" si="2"/>
        <v>0</v>
      </c>
      <c r="G6" s="16">
        <f t="shared" si="2"/>
        <v>0</v>
      </c>
      <c r="H6" s="16">
        <f t="shared" si="2"/>
        <v>0</v>
      </c>
      <c r="I6" s="16">
        <f t="shared" si="2"/>
        <v>0</v>
      </c>
      <c r="J6" s="16">
        <f t="shared" si="2"/>
        <v>0</v>
      </c>
      <c r="K6" s="16">
        <f t="shared" si="2"/>
        <v>0</v>
      </c>
      <c r="L6" s="16">
        <f t="shared" si="2"/>
        <v>0</v>
      </c>
      <c r="M6" s="16">
        <f t="shared" si="2"/>
        <v>0</v>
      </c>
      <c r="N6" s="16">
        <f t="shared" si="2"/>
        <v>0</v>
      </c>
      <c r="O6" s="16">
        <f t="shared" si="2"/>
        <v>0</v>
      </c>
      <c r="P6" s="16">
        <f t="shared" si="2"/>
        <v>0</v>
      </c>
      <c r="Q6" s="16">
        <f t="shared" si="2"/>
        <v>0</v>
      </c>
      <c r="R6" s="8">
        <f t="shared" si="1"/>
        <v>0</v>
      </c>
      <c r="S6" s="363">
        <f t="shared" ref="S6:V31" si="3">B6</f>
        <v>0</v>
      </c>
      <c r="T6" s="363">
        <f t="shared" si="3"/>
        <v>0</v>
      </c>
      <c r="U6" s="363">
        <f t="shared" si="3"/>
        <v>0</v>
      </c>
      <c r="V6" s="363">
        <f t="shared" si="3"/>
        <v>0</v>
      </c>
      <c r="W6" s="363">
        <f t="shared" ref="W6:W31" si="4">F6+G6</f>
        <v>0</v>
      </c>
      <c r="X6" s="363">
        <f t="shared" ref="X6:X31" si="5">SUM(H6:Q6)</f>
        <v>0</v>
      </c>
      <c r="Y6" s="370"/>
      <c r="AI6" s="363"/>
      <c r="AJ6" s="363"/>
      <c r="AK6" s="363"/>
      <c r="AL6" s="363"/>
      <c r="AM6" s="363"/>
      <c r="AN6" s="363"/>
    </row>
    <row r="7" spans="1:40">
      <c r="A7" s="2" t="s">
        <v>79</v>
      </c>
      <c r="B7" s="16">
        <f t="shared" ref="B7:Q7" si="6">B77*0.8</f>
        <v>0</v>
      </c>
      <c r="C7" s="16">
        <f t="shared" si="6"/>
        <v>0</v>
      </c>
      <c r="D7" s="16">
        <f t="shared" si="6"/>
        <v>0</v>
      </c>
      <c r="E7" s="16">
        <f t="shared" si="6"/>
        <v>0</v>
      </c>
      <c r="F7" s="16">
        <f t="shared" si="6"/>
        <v>0</v>
      </c>
      <c r="G7" s="16">
        <f t="shared" si="6"/>
        <v>0</v>
      </c>
      <c r="H7" s="16">
        <f t="shared" si="6"/>
        <v>0</v>
      </c>
      <c r="I7" s="16">
        <f t="shared" si="6"/>
        <v>0</v>
      </c>
      <c r="J7" s="16">
        <f t="shared" si="6"/>
        <v>0</v>
      </c>
      <c r="K7" s="16">
        <f t="shared" si="6"/>
        <v>0</v>
      </c>
      <c r="L7" s="16">
        <f t="shared" si="6"/>
        <v>0</v>
      </c>
      <c r="M7" s="16">
        <f t="shared" si="6"/>
        <v>0</v>
      </c>
      <c r="N7" s="16">
        <f t="shared" si="6"/>
        <v>0</v>
      </c>
      <c r="O7" s="16">
        <f t="shared" si="6"/>
        <v>0</v>
      </c>
      <c r="P7" s="16">
        <f t="shared" si="6"/>
        <v>0</v>
      </c>
      <c r="Q7" s="16">
        <f t="shared" si="6"/>
        <v>0</v>
      </c>
      <c r="R7" s="8">
        <f t="shared" si="1"/>
        <v>0</v>
      </c>
      <c r="S7" s="363">
        <f t="shared" si="3"/>
        <v>0</v>
      </c>
      <c r="T7" s="363">
        <f t="shared" si="3"/>
        <v>0</v>
      </c>
      <c r="U7" s="363">
        <f t="shared" si="3"/>
        <v>0</v>
      </c>
      <c r="V7" s="363">
        <f t="shared" si="3"/>
        <v>0</v>
      </c>
      <c r="W7" s="363">
        <f t="shared" si="4"/>
        <v>0</v>
      </c>
      <c r="X7" s="363">
        <f t="shared" si="5"/>
        <v>0</v>
      </c>
      <c r="Y7" s="370"/>
      <c r="AI7" s="363"/>
      <c r="AJ7" s="363"/>
      <c r="AK7" s="363"/>
      <c r="AL7" s="363"/>
      <c r="AM7" s="363"/>
      <c r="AN7" s="363"/>
    </row>
    <row r="8" spans="1:40">
      <c r="A8" s="2" t="s">
        <v>80</v>
      </c>
      <c r="B8" s="16">
        <f t="shared" ref="B8:O8" si="7">B78*0.8</f>
        <v>0</v>
      </c>
      <c r="C8" s="16">
        <f t="shared" si="7"/>
        <v>0</v>
      </c>
      <c r="D8" s="16">
        <f t="shared" si="7"/>
        <v>0</v>
      </c>
      <c r="E8" s="16">
        <f t="shared" si="7"/>
        <v>0</v>
      </c>
      <c r="F8" s="16">
        <f t="shared" si="7"/>
        <v>0</v>
      </c>
      <c r="G8" s="16">
        <f t="shared" si="7"/>
        <v>0</v>
      </c>
      <c r="H8" s="16">
        <f t="shared" si="7"/>
        <v>0</v>
      </c>
      <c r="I8" s="16">
        <f t="shared" si="7"/>
        <v>0</v>
      </c>
      <c r="J8" s="16">
        <f t="shared" si="7"/>
        <v>0</v>
      </c>
      <c r="K8" s="16">
        <f t="shared" si="7"/>
        <v>0</v>
      </c>
      <c r="L8" s="16">
        <f t="shared" si="7"/>
        <v>0</v>
      </c>
      <c r="M8" s="16">
        <f t="shared" si="7"/>
        <v>0</v>
      </c>
      <c r="N8" s="16">
        <f t="shared" si="7"/>
        <v>0</v>
      </c>
      <c r="O8" s="16">
        <f t="shared" si="7"/>
        <v>0</v>
      </c>
      <c r="P8" s="16">
        <f>P78</f>
        <v>0</v>
      </c>
      <c r="Q8" s="16">
        <f>Q78</f>
        <v>0</v>
      </c>
      <c r="R8" s="8">
        <f t="shared" si="1"/>
        <v>0</v>
      </c>
      <c r="S8" s="363">
        <f t="shared" si="3"/>
        <v>0</v>
      </c>
      <c r="T8" s="363">
        <f t="shared" si="3"/>
        <v>0</v>
      </c>
      <c r="U8" s="363">
        <f t="shared" si="3"/>
        <v>0</v>
      </c>
      <c r="V8" s="363">
        <f t="shared" si="3"/>
        <v>0</v>
      </c>
      <c r="W8" s="363">
        <f t="shared" si="4"/>
        <v>0</v>
      </c>
      <c r="X8" s="363">
        <f t="shared" si="5"/>
        <v>0</v>
      </c>
      <c r="Y8" s="370"/>
      <c r="AI8" s="363"/>
      <c r="AJ8" s="363"/>
      <c r="AK8" s="363"/>
      <c r="AL8" s="363"/>
      <c r="AM8" s="363"/>
      <c r="AN8" s="363"/>
    </row>
    <row r="9" spans="1:40">
      <c r="A9" s="2" t="s">
        <v>81</v>
      </c>
      <c r="B9" s="16">
        <f t="shared" ref="B9:O9" si="8">B79*0.8</f>
        <v>0</v>
      </c>
      <c r="C9" s="16">
        <f t="shared" si="8"/>
        <v>0</v>
      </c>
      <c r="D9" s="16">
        <f t="shared" si="8"/>
        <v>0</v>
      </c>
      <c r="E9" s="16">
        <f t="shared" si="8"/>
        <v>0</v>
      </c>
      <c r="F9" s="16">
        <f t="shared" si="8"/>
        <v>0</v>
      </c>
      <c r="G9" s="16">
        <f t="shared" si="8"/>
        <v>0</v>
      </c>
      <c r="H9" s="16">
        <f t="shared" si="8"/>
        <v>0</v>
      </c>
      <c r="I9" s="16">
        <f t="shared" si="8"/>
        <v>0</v>
      </c>
      <c r="J9" s="16">
        <f t="shared" si="8"/>
        <v>0</v>
      </c>
      <c r="K9" s="16">
        <f t="shared" si="8"/>
        <v>0</v>
      </c>
      <c r="L9" s="16">
        <f t="shared" si="8"/>
        <v>0</v>
      </c>
      <c r="M9" s="16">
        <f t="shared" si="8"/>
        <v>0</v>
      </c>
      <c r="N9" s="16">
        <f t="shared" si="8"/>
        <v>0</v>
      </c>
      <c r="O9" s="16">
        <f t="shared" si="8"/>
        <v>0</v>
      </c>
      <c r="P9" s="16">
        <f t="shared" ref="P9:Q28" si="9">P79*0.8</f>
        <v>0</v>
      </c>
      <c r="Q9" s="16">
        <f t="shared" si="9"/>
        <v>0</v>
      </c>
      <c r="R9" s="8">
        <f t="shared" si="1"/>
        <v>0</v>
      </c>
      <c r="S9" s="363">
        <f t="shared" si="3"/>
        <v>0</v>
      </c>
      <c r="T9" s="363">
        <f t="shared" si="3"/>
        <v>0</v>
      </c>
      <c r="U9" s="363">
        <f t="shared" si="3"/>
        <v>0</v>
      </c>
      <c r="V9" s="363">
        <f t="shared" si="3"/>
        <v>0</v>
      </c>
      <c r="W9" s="363">
        <f t="shared" si="4"/>
        <v>0</v>
      </c>
      <c r="X9" s="363">
        <f t="shared" si="5"/>
        <v>0</v>
      </c>
      <c r="Y9" s="370"/>
      <c r="AI9" s="363"/>
      <c r="AJ9" s="363"/>
      <c r="AK9" s="363"/>
      <c r="AL9" s="363"/>
      <c r="AM9" s="363"/>
      <c r="AN9" s="363"/>
    </row>
    <row r="10" spans="1:40">
      <c r="A10" s="2" t="s">
        <v>82</v>
      </c>
      <c r="B10" s="16">
        <f t="shared" ref="B10:O10" si="10">B80*0.8</f>
        <v>0</v>
      </c>
      <c r="C10" s="16">
        <f t="shared" si="10"/>
        <v>0</v>
      </c>
      <c r="D10" s="16">
        <f t="shared" si="10"/>
        <v>0</v>
      </c>
      <c r="E10" s="16">
        <f t="shared" si="10"/>
        <v>0</v>
      </c>
      <c r="F10" s="16">
        <f t="shared" si="10"/>
        <v>0</v>
      </c>
      <c r="G10" s="16">
        <f t="shared" si="10"/>
        <v>0</v>
      </c>
      <c r="H10" s="16">
        <f t="shared" si="10"/>
        <v>0</v>
      </c>
      <c r="I10" s="16">
        <f t="shared" si="10"/>
        <v>0</v>
      </c>
      <c r="J10" s="16">
        <f t="shared" si="10"/>
        <v>0</v>
      </c>
      <c r="K10" s="16">
        <f t="shared" si="10"/>
        <v>0</v>
      </c>
      <c r="L10" s="16">
        <f t="shared" si="10"/>
        <v>0</v>
      </c>
      <c r="M10" s="16">
        <f t="shared" si="10"/>
        <v>0</v>
      </c>
      <c r="N10" s="16">
        <f t="shared" si="10"/>
        <v>0</v>
      </c>
      <c r="O10" s="16">
        <f t="shared" si="10"/>
        <v>0</v>
      </c>
      <c r="P10" s="16">
        <f t="shared" si="9"/>
        <v>0</v>
      </c>
      <c r="Q10" s="16">
        <f t="shared" si="9"/>
        <v>0</v>
      </c>
      <c r="R10" s="8">
        <f t="shared" si="1"/>
        <v>0</v>
      </c>
      <c r="S10" s="363">
        <f t="shared" si="3"/>
        <v>0</v>
      </c>
      <c r="T10" s="363">
        <f t="shared" si="3"/>
        <v>0</v>
      </c>
      <c r="U10" s="363">
        <f t="shared" si="3"/>
        <v>0</v>
      </c>
      <c r="V10" s="363">
        <f t="shared" si="3"/>
        <v>0</v>
      </c>
      <c r="W10" s="363">
        <f t="shared" si="4"/>
        <v>0</v>
      </c>
      <c r="X10" s="363">
        <f t="shared" si="5"/>
        <v>0</v>
      </c>
      <c r="Y10" s="370"/>
      <c r="AI10" s="363"/>
      <c r="AJ10" s="363"/>
      <c r="AK10" s="363"/>
      <c r="AL10" s="363"/>
      <c r="AM10" s="363"/>
      <c r="AN10" s="363"/>
    </row>
    <row r="11" spans="1:40">
      <c r="A11" s="2" t="s">
        <v>83</v>
      </c>
      <c r="B11" s="16">
        <f t="shared" ref="B11:O11" si="11">B81*0.8</f>
        <v>0</v>
      </c>
      <c r="C11" s="16">
        <f t="shared" si="11"/>
        <v>0</v>
      </c>
      <c r="D11" s="16">
        <f t="shared" si="11"/>
        <v>0</v>
      </c>
      <c r="E11" s="16">
        <f t="shared" si="11"/>
        <v>0</v>
      </c>
      <c r="F11" s="16">
        <f t="shared" si="11"/>
        <v>0</v>
      </c>
      <c r="G11" s="16">
        <f t="shared" si="11"/>
        <v>0</v>
      </c>
      <c r="H11" s="16">
        <f t="shared" si="11"/>
        <v>0</v>
      </c>
      <c r="I11" s="16">
        <f t="shared" si="11"/>
        <v>0</v>
      </c>
      <c r="J11" s="16">
        <f t="shared" si="11"/>
        <v>0</v>
      </c>
      <c r="K11" s="16">
        <f t="shared" si="11"/>
        <v>0</v>
      </c>
      <c r="L11" s="16">
        <f t="shared" si="11"/>
        <v>0</v>
      </c>
      <c r="M11" s="16">
        <f t="shared" si="11"/>
        <v>0</v>
      </c>
      <c r="N11" s="16">
        <f t="shared" si="11"/>
        <v>0</v>
      </c>
      <c r="O11" s="16">
        <f t="shared" si="11"/>
        <v>0</v>
      </c>
      <c r="P11" s="16">
        <f t="shared" si="9"/>
        <v>0</v>
      </c>
      <c r="Q11" s="16">
        <f t="shared" si="9"/>
        <v>0</v>
      </c>
      <c r="R11" s="8">
        <f t="shared" si="1"/>
        <v>0</v>
      </c>
      <c r="S11" s="363">
        <f t="shared" si="3"/>
        <v>0</v>
      </c>
      <c r="T11" s="363">
        <f t="shared" si="3"/>
        <v>0</v>
      </c>
      <c r="U11" s="363">
        <f t="shared" si="3"/>
        <v>0</v>
      </c>
      <c r="V11" s="363">
        <f t="shared" si="3"/>
        <v>0</v>
      </c>
      <c r="W11" s="363">
        <f t="shared" si="4"/>
        <v>0</v>
      </c>
      <c r="X11" s="363">
        <f t="shared" si="5"/>
        <v>0</v>
      </c>
      <c r="Y11" s="370"/>
      <c r="AI11" s="363"/>
      <c r="AJ11" s="363"/>
      <c r="AK11" s="363"/>
      <c r="AL11" s="363"/>
      <c r="AM11" s="363"/>
      <c r="AN11" s="363"/>
    </row>
    <row r="12" spans="1:40">
      <c r="A12" s="2" t="s">
        <v>84</v>
      </c>
      <c r="B12" s="16">
        <f t="shared" ref="B12:O12" si="12">B82*0.8</f>
        <v>0</v>
      </c>
      <c r="C12" s="16">
        <f t="shared" si="12"/>
        <v>0</v>
      </c>
      <c r="D12" s="16">
        <f t="shared" si="12"/>
        <v>0</v>
      </c>
      <c r="E12" s="16">
        <f t="shared" si="12"/>
        <v>0</v>
      </c>
      <c r="F12" s="16">
        <f t="shared" si="12"/>
        <v>0</v>
      </c>
      <c r="G12" s="16">
        <f t="shared" si="12"/>
        <v>0</v>
      </c>
      <c r="H12" s="16">
        <f t="shared" si="12"/>
        <v>0</v>
      </c>
      <c r="I12" s="16">
        <f t="shared" si="12"/>
        <v>0</v>
      </c>
      <c r="J12" s="16">
        <f t="shared" si="12"/>
        <v>0</v>
      </c>
      <c r="K12" s="16">
        <f t="shared" si="12"/>
        <v>0</v>
      </c>
      <c r="L12" s="16">
        <f t="shared" si="12"/>
        <v>0</v>
      </c>
      <c r="M12" s="16">
        <f t="shared" si="12"/>
        <v>0</v>
      </c>
      <c r="N12" s="16">
        <f t="shared" si="12"/>
        <v>0</v>
      </c>
      <c r="O12" s="16">
        <f t="shared" si="12"/>
        <v>0</v>
      </c>
      <c r="P12" s="16">
        <f t="shared" si="9"/>
        <v>0</v>
      </c>
      <c r="Q12" s="16">
        <f t="shared" si="9"/>
        <v>0</v>
      </c>
      <c r="R12" s="8">
        <f t="shared" si="1"/>
        <v>0</v>
      </c>
      <c r="S12" s="363">
        <f t="shared" si="3"/>
        <v>0</v>
      </c>
      <c r="T12" s="363">
        <f t="shared" si="3"/>
        <v>0</v>
      </c>
      <c r="U12" s="363">
        <f t="shared" si="3"/>
        <v>0</v>
      </c>
      <c r="V12" s="363">
        <f t="shared" si="3"/>
        <v>0</v>
      </c>
      <c r="W12" s="363">
        <f t="shared" si="4"/>
        <v>0</v>
      </c>
      <c r="X12" s="363">
        <f t="shared" si="5"/>
        <v>0</v>
      </c>
      <c r="Y12" s="370"/>
      <c r="AI12" s="363"/>
      <c r="AJ12" s="363"/>
      <c r="AK12" s="363"/>
      <c r="AL12" s="363"/>
      <c r="AM12" s="363"/>
      <c r="AN12" s="363"/>
    </row>
    <row r="13" spans="1:40">
      <c r="A13" s="2" t="s">
        <v>85</v>
      </c>
      <c r="B13" s="16">
        <f t="shared" ref="B13:O13" si="13">B83*0.8</f>
        <v>0</v>
      </c>
      <c r="C13" s="16">
        <f t="shared" si="13"/>
        <v>0</v>
      </c>
      <c r="D13" s="16">
        <f t="shared" si="13"/>
        <v>0</v>
      </c>
      <c r="E13" s="16">
        <f t="shared" si="13"/>
        <v>0</v>
      </c>
      <c r="F13" s="16">
        <f t="shared" si="13"/>
        <v>0</v>
      </c>
      <c r="G13" s="16">
        <f t="shared" si="13"/>
        <v>0</v>
      </c>
      <c r="H13" s="16">
        <f t="shared" si="13"/>
        <v>0</v>
      </c>
      <c r="I13" s="16">
        <f t="shared" si="13"/>
        <v>0</v>
      </c>
      <c r="J13" s="16">
        <f t="shared" si="13"/>
        <v>0</v>
      </c>
      <c r="K13" s="16">
        <f t="shared" si="13"/>
        <v>0</v>
      </c>
      <c r="L13" s="16">
        <f t="shared" si="13"/>
        <v>0</v>
      </c>
      <c r="M13" s="16">
        <f t="shared" si="13"/>
        <v>0</v>
      </c>
      <c r="N13" s="16">
        <f t="shared" si="13"/>
        <v>0</v>
      </c>
      <c r="O13" s="16">
        <f t="shared" si="13"/>
        <v>0</v>
      </c>
      <c r="P13" s="16">
        <f t="shared" si="9"/>
        <v>0</v>
      </c>
      <c r="Q13" s="16">
        <f t="shared" si="9"/>
        <v>0</v>
      </c>
      <c r="R13" s="8">
        <f t="shared" si="1"/>
        <v>0</v>
      </c>
      <c r="S13" s="363">
        <f t="shared" si="3"/>
        <v>0</v>
      </c>
      <c r="T13" s="363">
        <f t="shared" si="3"/>
        <v>0</v>
      </c>
      <c r="U13" s="363">
        <f t="shared" si="3"/>
        <v>0</v>
      </c>
      <c r="V13" s="363">
        <f t="shared" si="3"/>
        <v>0</v>
      </c>
      <c r="W13" s="363">
        <f t="shared" si="4"/>
        <v>0</v>
      </c>
      <c r="X13" s="363">
        <f t="shared" si="5"/>
        <v>0</v>
      </c>
      <c r="Y13" s="370"/>
      <c r="AI13" s="363"/>
      <c r="AJ13" s="363"/>
      <c r="AK13" s="363"/>
      <c r="AL13" s="363"/>
      <c r="AM13" s="363"/>
      <c r="AN13" s="363"/>
    </row>
    <row r="14" spans="1:40">
      <c r="A14" s="2" t="s">
        <v>86</v>
      </c>
      <c r="B14" s="16">
        <f t="shared" ref="B14:O14" si="14">B84*0.8</f>
        <v>0</v>
      </c>
      <c r="C14" s="16">
        <f t="shared" si="14"/>
        <v>0</v>
      </c>
      <c r="D14" s="16">
        <f t="shared" si="14"/>
        <v>0</v>
      </c>
      <c r="E14" s="16">
        <f t="shared" si="14"/>
        <v>0</v>
      </c>
      <c r="F14" s="16">
        <f t="shared" si="14"/>
        <v>0</v>
      </c>
      <c r="G14" s="16">
        <f t="shared" si="14"/>
        <v>0</v>
      </c>
      <c r="H14" s="16">
        <f t="shared" si="14"/>
        <v>0</v>
      </c>
      <c r="I14" s="16">
        <f t="shared" si="14"/>
        <v>0</v>
      </c>
      <c r="J14" s="16">
        <f t="shared" si="14"/>
        <v>0</v>
      </c>
      <c r="K14" s="16">
        <f t="shared" si="14"/>
        <v>0</v>
      </c>
      <c r="L14" s="16">
        <f t="shared" si="14"/>
        <v>0</v>
      </c>
      <c r="M14" s="16">
        <f t="shared" si="14"/>
        <v>0</v>
      </c>
      <c r="N14" s="16">
        <f t="shared" si="14"/>
        <v>0</v>
      </c>
      <c r="O14" s="16">
        <f t="shared" si="14"/>
        <v>0</v>
      </c>
      <c r="P14" s="16">
        <f t="shared" si="9"/>
        <v>0</v>
      </c>
      <c r="Q14" s="16">
        <f t="shared" si="9"/>
        <v>0</v>
      </c>
      <c r="R14" s="8">
        <f t="shared" si="1"/>
        <v>0</v>
      </c>
      <c r="S14" s="363">
        <f t="shared" si="3"/>
        <v>0</v>
      </c>
      <c r="T14" s="363">
        <f t="shared" si="3"/>
        <v>0</v>
      </c>
      <c r="U14" s="363">
        <f t="shared" si="3"/>
        <v>0</v>
      </c>
      <c r="V14" s="363">
        <f t="shared" si="3"/>
        <v>0</v>
      </c>
      <c r="W14" s="363">
        <f t="shared" si="4"/>
        <v>0</v>
      </c>
      <c r="X14" s="363">
        <f t="shared" si="5"/>
        <v>0</v>
      </c>
      <c r="Y14" s="370"/>
      <c r="AI14" s="363"/>
      <c r="AJ14" s="363"/>
      <c r="AK14" s="363"/>
      <c r="AL14" s="363"/>
      <c r="AM14" s="363"/>
      <c r="AN14" s="363"/>
    </row>
    <row r="15" spans="1:40">
      <c r="A15" s="2" t="s">
        <v>87</v>
      </c>
      <c r="B15" s="16">
        <f t="shared" ref="B15:O15" si="15">B85*0.8</f>
        <v>0</v>
      </c>
      <c r="C15" s="16">
        <f t="shared" si="15"/>
        <v>0</v>
      </c>
      <c r="D15" s="16">
        <f t="shared" si="15"/>
        <v>0</v>
      </c>
      <c r="E15" s="16">
        <f t="shared" si="15"/>
        <v>0</v>
      </c>
      <c r="F15" s="16">
        <f t="shared" si="15"/>
        <v>0</v>
      </c>
      <c r="G15" s="16">
        <f t="shared" si="15"/>
        <v>0</v>
      </c>
      <c r="H15" s="16">
        <f t="shared" si="15"/>
        <v>0</v>
      </c>
      <c r="I15" s="16">
        <f t="shared" si="15"/>
        <v>0</v>
      </c>
      <c r="J15" s="16">
        <f t="shared" si="15"/>
        <v>0</v>
      </c>
      <c r="K15" s="16">
        <f t="shared" si="15"/>
        <v>0</v>
      </c>
      <c r="L15" s="16">
        <f t="shared" si="15"/>
        <v>0</v>
      </c>
      <c r="M15" s="16">
        <f t="shared" si="15"/>
        <v>0</v>
      </c>
      <c r="N15" s="16">
        <f t="shared" si="15"/>
        <v>0</v>
      </c>
      <c r="O15" s="16">
        <f t="shared" si="15"/>
        <v>0</v>
      </c>
      <c r="P15" s="16">
        <f t="shared" si="9"/>
        <v>0</v>
      </c>
      <c r="Q15" s="16">
        <f t="shared" si="9"/>
        <v>0</v>
      </c>
      <c r="R15" s="8">
        <f t="shared" si="1"/>
        <v>0</v>
      </c>
      <c r="S15" s="363">
        <f t="shared" si="3"/>
        <v>0</v>
      </c>
      <c r="T15" s="363">
        <f t="shared" si="3"/>
        <v>0</v>
      </c>
      <c r="U15" s="363">
        <f t="shared" si="3"/>
        <v>0</v>
      </c>
      <c r="V15" s="363">
        <f t="shared" si="3"/>
        <v>0</v>
      </c>
      <c r="W15" s="363">
        <f t="shared" si="4"/>
        <v>0</v>
      </c>
      <c r="X15" s="363">
        <f t="shared" si="5"/>
        <v>0</v>
      </c>
      <c r="Y15" s="370"/>
      <c r="AI15" s="363"/>
      <c r="AJ15" s="363"/>
      <c r="AK15" s="363"/>
      <c r="AL15" s="363"/>
      <c r="AM15" s="363"/>
      <c r="AN15" s="363"/>
    </row>
    <row r="16" spans="1:40">
      <c r="A16" s="2" t="s">
        <v>88</v>
      </c>
      <c r="B16" s="16">
        <f t="shared" ref="B16:O16" si="16">B86*0.8</f>
        <v>0</v>
      </c>
      <c r="C16" s="16">
        <f t="shared" si="16"/>
        <v>0</v>
      </c>
      <c r="D16" s="16">
        <f t="shared" si="16"/>
        <v>0</v>
      </c>
      <c r="E16" s="16">
        <f t="shared" si="16"/>
        <v>0</v>
      </c>
      <c r="F16" s="16">
        <f t="shared" si="16"/>
        <v>0</v>
      </c>
      <c r="G16" s="16">
        <f t="shared" si="16"/>
        <v>0</v>
      </c>
      <c r="H16" s="16">
        <f t="shared" si="16"/>
        <v>0</v>
      </c>
      <c r="I16" s="16">
        <f t="shared" si="16"/>
        <v>0</v>
      </c>
      <c r="J16" s="16">
        <f t="shared" si="16"/>
        <v>0</v>
      </c>
      <c r="K16" s="16">
        <f t="shared" si="16"/>
        <v>0</v>
      </c>
      <c r="L16" s="16">
        <f t="shared" si="16"/>
        <v>0</v>
      </c>
      <c r="M16" s="16">
        <f t="shared" si="16"/>
        <v>0</v>
      </c>
      <c r="N16" s="16">
        <f t="shared" si="16"/>
        <v>0</v>
      </c>
      <c r="O16" s="16">
        <f t="shared" si="16"/>
        <v>0</v>
      </c>
      <c r="P16" s="16">
        <f t="shared" si="9"/>
        <v>0</v>
      </c>
      <c r="Q16" s="16">
        <f t="shared" si="9"/>
        <v>0</v>
      </c>
      <c r="R16" s="8">
        <f t="shared" si="1"/>
        <v>0</v>
      </c>
      <c r="S16" s="363">
        <f t="shared" si="3"/>
        <v>0</v>
      </c>
      <c r="T16" s="363">
        <f t="shared" si="3"/>
        <v>0</v>
      </c>
      <c r="U16" s="363">
        <f t="shared" si="3"/>
        <v>0</v>
      </c>
      <c r="V16" s="363">
        <f t="shared" si="3"/>
        <v>0</v>
      </c>
      <c r="W16" s="363">
        <f t="shared" si="4"/>
        <v>0</v>
      </c>
      <c r="X16" s="363">
        <f t="shared" si="5"/>
        <v>0</v>
      </c>
      <c r="Y16" s="370"/>
      <c r="AI16" s="363"/>
      <c r="AJ16" s="363"/>
      <c r="AK16" s="363"/>
      <c r="AL16" s="363"/>
      <c r="AM16" s="363"/>
      <c r="AN16" s="363"/>
    </row>
    <row r="17" spans="1:40">
      <c r="A17" s="2" t="s">
        <v>89</v>
      </c>
      <c r="B17" s="16">
        <f t="shared" ref="B17:O17" si="17">B87*0.8</f>
        <v>0</v>
      </c>
      <c r="C17" s="16">
        <f t="shared" si="17"/>
        <v>0</v>
      </c>
      <c r="D17" s="16">
        <f t="shared" si="17"/>
        <v>0</v>
      </c>
      <c r="E17" s="16">
        <f t="shared" si="17"/>
        <v>0</v>
      </c>
      <c r="F17" s="16">
        <f t="shared" si="17"/>
        <v>0</v>
      </c>
      <c r="G17" s="16">
        <f t="shared" si="17"/>
        <v>0</v>
      </c>
      <c r="H17" s="16">
        <f t="shared" si="17"/>
        <v>0</v>
      </c>
      <c r="I17" s="16">
        <f t="shared" si="17"/>
        <v>0</v>
      </c>
      <c r="J17" s="16">
        <f t="shared" si="17"/>
        <v>0</v>
      </c>
      <c r="K17" s="16">
        <f t="shared" si="17"/>
        <v>0</v>
      </c>
      <c r="L17" s="16">
        <f t="shared" si="17"/>
        <v>0</v>
      </c>
      <c r="M17" s="16">
        <f t="shared" si="17"/>
        <v>0</v>
      </c>
      <c r="N17" s="16">
        <f t="shared" si="17"/>
        <v>0</v>
      </c>
      <c r="O17" s="16">
        <f t="shared" si="17"/>
        <v>0</v>
      </c>
      <c r="P17" s="16">
        <f t="shared" si="9"/>
        <v>0</v>
      </c>
      <c r="Q17" s="16">
        <f t="shared" si="9"/>
        <v>0</v>
      </c>
      <c r="R17" s="8">
        <f t="shared" si="1"/>
        <v>0</v>
      </c>
      <c r="S17" s="363">
        <f t="shared" si="3"/>
        <v>0</v>
      </c>
      <c r="T17" s="363">
        <f t="shared" si="3"/>
        <v>0</v>
      </c>
      <c r="U17" s="363">
        <f t="shared" si="3"/>
        <v>0</v>
      </c>
      <c r="V17" s="363">
        <f t="shared" si="3"/>
        <v>0</v>
      </c>
      <c r="W17" s="363">
        <f t="shared" si="4"/>
        <v>0</v>
      </c>
      <c r="X17" s="363">
        <f t="shared" si="5"/>
        <v>0</v>
      </c>
      <c r="Y17" s="370"/>
      <c r="AI17" s="363"/>
      <c r="AJ17" s="363"/>
      <c r="AK17" s="363"/>
      <c r="AL17" s="363"/>
      <c r="AM17" s="363"/>
      <c r="AN17" s="363"/>
    </row>
    <row r="18" spans="1:40">
      <c r="A18" s="2" t="s">
        <v>90</v>
      </c>
      <c r="B18" s="16">
        <f t="shared" ref="B18:O18" si="18">B88*0.8</f>
        <v>0</v>
      </c>
      <c r="C18" s="16">
        <f t="shared" si="18"/>
        <v>0</v>
      </c>
      <c r="D18" s="16">
        <f t="shared" si="18"/>
        <v>0</v>
      </c>
      <c r="E18" s="16">
        <f t="shared" si="18"/>
        <v>0</v>
      </c>
      <c r="F18" s="16">
        <f t="shared" si="18"/>
        <v>0</v>
      </c>
      <c r="G18" s="16">
        <f t="shared" si="18"/>
        <v>0</v>
      </c>
      <c r="H18" s="16">
        <f t="shared" si="18"/>
        <v>0</v>
      </c>
      <c r="I18" s="16">
        <f t="shared" si="18"/>
        <v>0</v>
      </c>
      <c r="J18" s="16">
        <f t="shared" si="18"/>
        <v>0</v>
      </c>
      <c r="K18" s="16">
        <f t="shared" si="18"/>
        <v>0</v>
      </c>
      <c r="L18" s="16">
        <f t="shared" si="18"/>
        <v>0</v>
      </c>
      <c r="M18" s="16">
        <f t="shared" si="18"/>
        <v>0</v>
      </c>
      <c r="N18" s="16">
        <f t="shared" si="18"/>
        <v>0</v>
      </c>
      <c r="O18" s="16">
        <f t="shared" si="18"/>
        <v>0</v>
      </c>
      <c r="P18" s="16">
        <f t="shared" si="9"/>
        <v>0</v>
      </c>
      <c r="Q18" s="16">
        <f t="shared" si="9"/>
        <v>0</v>
      </c>
      <c r="R18" s="8">
        <f t="shared" si="1"/>
        <v>0</v>
      </c>
      <c r="S18" s="363">
        <f t="shared" si="3"/>
        <v>0</v>
      </c>
      <c r="T18" s="363">
        <f t="shared" si="3"/>
        <v>0</v>
      </c>
      <c r="U18" s="363">
        <f t="shared" si="3"/>
        <v>0</v>
      </c>
      <c r="V18" s="363">
        <f t="shared" si="3"/>
        <v>0</v>
      </c>
      <c r="W18" s="363">
        <f t="shared" si="4"/>
        <v>0</v>
      </c>
      <c r="X18" s="363">
        <f t="shared" si="5"/>
        <v>0</v>
      </c>
      <c r="Y18" s="370"/>
      <c r="AI18" s="363"/>
      <c r="AJ18" s="363"/>
      <c r="AK18" s="363"/>
      <c r="AL18" s="363"/>
      <c r="AM18" s="363"/>
      <c r="AN18" s="363"/>
    </row>
    <row r="19" spans="1:40">
      <c r="A19" s="2" t="s">
        <v>91</v>
      </c>
      <c r="B19" s="16">
        <f t="shared" ref="B19:O19" si="19">B89*0.8</f>
        <v>0</v>
      </c>
      <c r="C19" s="16">
        <f t="shared" si="19"/>
        <v>0</v>
      </c>
      <c r="D19" s="16">
        <f t="shared" si="19"/>
        <v>0</v>
      </c>
      <c r="E19" s="16">
        <f t="shared" si="19"/>
        <v>0</v>
      </c>
      <c r="F19" s="16">
        <f t="shared" si="19"/>
        <v>0</v>
      </c>
      <c r="G19" s="16">
        <f t="shared" si="19"/>
        <v>0</v>
      </c>
      <c r="H19" s="16">
        <f t="shared" si="19"/>
        <v>0</v>
      </c>
      <c r="I19" s="16">
        <f t="shared" si="19"/>
        <v>0</v>
      </c>
      <c r="J19" s="16">
        <f t="shared" si="19"/>
        <v>0</v>
      </c>
      <c r="K19" s="16">
        <f t="shared" si="19"/>
        <v>0</v>
      </c>
      <c r="L19" s="16">
        <f t="shared" si="19"/>
        <v>0</v>
      </c>
      <c r="M19" s="16">
        <f t="shared" si="19"/>
        <v>0</v>
      </c>
      <c r="N19" s="16">
        <f t="shared" si="19"/>
        <v>0</v>
      </c>
      <c r="O19" s="16">
        <f t="shared" si="19"/>
        <v>0</v>
      </c>
      <c r="P19" s="16">
        <f t="shared" si="9"/>
        <v>0</v>
      </c>
      <c r="Q19" s="16">
        <f t="shared" si="9"/>
        <v>0</v>
      </c>
      <c r="R19" s="8">
        <f t="shared" si="1"/>
        <v>0</v>
      </c>
      <c r="S19" s="363">
        <f t="shared" si="3"/>
        <v>0</v>
      </c>
      <c r="T19" s="363">
        <f t="shared" si="3"/>
        <v>0</v>
      </c>
      <c r="U19" s="363">
        <f t="shared" si="3"/>
        <v>0</v>
      </c>
      <c r="V19" s="363">
        <f t="shared" si="3"/>
        <v>0</v>
      </c>
      <c r="W19" s="363">
        <f t="shared" si="4"/>
        <v>0</v>
      </c>
      <c r="X19" s="363">
        <f t="shared" si="5"/>
        <v>0</v>
      </c>
      <c r="Y19" s="370"/>
      <c r="AI19" s="363"/>
      <c r="AJ19" s="363"/>
      <c r="AK19" s="363"/>
      <c r="AL19" s="363"/>
      <c r="AM19" s="363"/>
      <c r="AN19" s="363"/>
    </row>
    <row r="20" spans="1:40">
      <c r="A20" s="2" t="s">
        <v>92</v>
      </c>
      <c r="B20" s="16">
        <f t="shared" ref="B20:O20" si="20">B90*0.8</f>
        <v>0</v>
      </c>
      <c r="C20" s="16">
        <f t="shared" si="20"/>
        <v>0</v>
      </c>
      <c r="D20" s="16">
        <f t="shared" si="20"/>
        <v>0</v>
      </c>
      <c r="E20" s="16">
        <f t="shared" si="20"/>
        <v>0</v>
      </c>
      <c r="F20" s="16">
        <f t="shared" si="20"/>
        <v>0</v>
      </c>
      <c r="G20" s="16">
        <f t="shared" si="20"/>
        <v>0</v>
      </c>
      <c r="H20" s="16">
        <f t="shared" si="20"/>
        <v>0</v>
      </c>
      <c r="I20" s="16">
        <f t="shared" si="20"/>
        <v>0</v>
      </c>
      <c r="J20" s="16">
        <f t="shared" si="20"/>
        <v>0</v>
      </c>
      <c r="K20" s="16">
        <f t="shared" si="20"/>
        <v>0</v>
      </c>
      <c r="L20" s="16">
        <f t="shared" si="20"/>
        <v>0</v>
      </c>
      <c r="M20" s="16">
        <f t="shared" si="20"/>
        <v>0</v>
      </c>
      <c r="N20" s="16">
        <f t="shared" si="20"/>
        <v>0</v>
      </c>
      <c r="O20" s="16">
        <f t="shared" si="20"/>
        <v>0</v>
      </c>
      <c r="P20" s="16">
        <f t="shared" si="9"/>
        <v>0</v>
      </c>
      <c r="Q20" s="16">
        <f t="shared" si="9"/>
        <v>0</v>
      </c>
      <c r="R20" s="8">
        <f t="shared" si="1"/>
        <v>0</v>
      </c>
      <c r="S20" s="363">
        <f t="shared" si="3"/>
        <v>0</v>
      </c>
      <c r="T20" s="363">
        <f t="shared" si="3"/>
        <v>0</v>
      </c>
      <c r="U20" s="363">
        <f t="shared" si="3"/>
        <v>0</v>
      </c>
      <c r="V20" s="363">
        <f t="shared" si="3"/>
        <v>0</v>
      </c>
      <c r="W20" s="363">
        <f t="shared" si="4"/>
        <v>0</v>
      </c>
      <c r="X20" s="363">
        <f t="shared" si="5"/>
        <v>0</v>
      </c>
      <c r="Y20" s="370"/>
      <c r="AI20" s="363"/>
      <c r="AJ20" s="363"/>
      <c r="AK20" s="363"/>
      <c r="AL20" s="363"/>
      <c r="AM20" s="363"/>
      <c r="AN20" s="363"/>
    </row>
    <row r="21" spans="1:40">
      <c r="A21" s="2" t="s">
        <v>93</v>
      </c>
      <c r="B21" s="16">
        <f t="shared" ref="B21:O21" si="21">B91*0.8</f>
        <v>0</v>
      </c>
      <c r="C21" s="16">
        <f t="shared" si="21"/>
        <v>0</v>
      </c>
      <c r="D21" s="16">
        <f t="shared" si="21"/>
        <v>0</v>
      </c>
      <c r="E21" s="16">
        <f t="shared" si="21"/>
        <v>0</v>
      </c>
      <c r="F21" s="16">
        <f t="shared" si="21"/>
        <v>0</v>
      </c>
      <c r="G21" s="16">
        <f t="shared" si="21"/>
        <v>0</v>
      </c>
      <c r="H21" s="16">
        <f t="shared" si="21"/>
        <v>0</v>
      </c>
      <c r="I21" s="16">
        <f t="shared" si="21"/>
        <v>0</v>
      </c>
      <c r="J21" s="16">
        <f t="shared" si="21"/>
        <v>0</v>
      </c>
      <c r="K21" s="16">
        <f t="shared" si="21"/>
        <v>0</v>
      </c>
      <c r="L21" s="16">
        <f t="shared" si="21"/>
        <v>0</v>
      </c>
      <c r="M21" s="16">
        <f t="shared" si="21"/>
        <v>0</v>
      </c>
      <c r="N21" s="16">
        <f t="shared" si="21"/>
        <v>0</v>
      </c>
      <c r="O21" s="16">
        <f t="shared" si="21"/>
        <v>0</v>
      </c>
      <c r="P21" s="16">
        <f t="shared" si="9"/>
        <v>0</v>
      </c>
      <c r="Q21" s="16">
        <f t="shared" si="9"/>
        <v>0</v>
      </c>
      <c r="R21" s="8">
        <f t="shared" si="1"/>
        <v>0</v>
      </c>
      <c r="S21" s="363">
        <f t="shared" si="3"/>
        <v>0</v>
      </c>
      <c r="T21" s="363">
        <f t="shared" si="3"/>
        <v>0</v>
      </c>
      <c r="U21" s="363">
        <f t="shared" si="3"/>
        <v>0</v>
      </c>
      <c r="V21" s="363">
        <f t="shared" si="3"/>
        <v>0</v>
      </c>
      <c r="W21" s="363">
        <f t="shared" si="4"/>
        <v>0</v>
      </c>
      <c r="X21" s="363">
        <f t="shared" si="5"/>
        <v>0</v>
      </c>
      <c r="Y21" s="370"/>
      <c r="AI21" s="363"/>
      <c r="AJ21" s="363"/>
      <c r="AK21" s="363"/>
      <c r="AL21" s="363"/>
      <c r="AM21" s="363"/>
      <c r="AN21" s="363"/>
    </row>
    <row r="22" spans="1:40">
      <c r="A22" s="2" t="s">
        <v>94</v>
      </c>
      <c r="B22" s="16">
        <f t="shared" ref="B22:O22" si="22">B92*0.8</f>
        <v>0</v>
      </c>
      <c r="C22" s="16">
        <f t="shared" si="22"/>
        <v>0</v>
      </c>
      <c r="D22" s="16">
        <f t="shared" si="22"/>
        <v>0</v>
      </c>
      <c r="E22" s="16">
        <f t="shared" si="22"/>
        <v>0</v>
      </c>
      <c r="F22" s="16">
        <f t="shared" si="22"/>
        <v>0</v>
      </c>
      <c r="G22" s="16">
        <f t="shared" si="22"/>
        <v>0</v>
      </c>
      <c r="H22" s="16">
        <f t="shared" si="22"/>
        <v>0</v>
      </c>
      <c r="I22" s="16">
        <f t="shared" si="22"/>
        <v>0</v>
      </c>
      <c r="J22" s="16">
        <f t="shared" si="22"/>
        <v>0</v>
      </c>
      <c r="K22" s="16">
        <f t="shared" si="22"/>
        <v>0</v>
      </c>
      <c r="L22" s="16">
        <f t="shared" si="22"/>
        <v>0</v>
      </c>
      <c r="M22" s="16">
        <f t="shared" si="22"/>
        <v>0</v>
      </c>
      <c r="N22" s="16">
        <f t="shared" si="22"/>
        <v>0</v>
      </c>
      <c r="O22" s="16">
        <f t="shared" si="22"/>
        <v>0</v>
      </c>
      <c r="P22" s="16">
        <f t="shared" si="9"/>
        <v>0</v>
      </c>
      <c r="Q22" s="16">
        <f t="shared" si="9"/>
        <v>0</v>
      </c>
      <c r="R22" s="8">
        <f t="shared" si="1"/>
        <v>0</v>
      </c>
      <c r="S22" s="363">
        <f t="shared" si="3"/>
        <v>0</v>
      </c>
      <c r="T22" s="363">
        <f t="shared" si="3"/>
        <v>0</v>
      </c>
      <c r="U22" s="363">
        <f t="shared" si="3"/>
        <v>0</v>
      </c>
      <c r="V22" s="363">
        <f t="shared" si="3"/>
        <v>0</v>
      </c>
      <c r="W22" s="363">
        <f t="shared" si="4"/>
        <v>0</v>
      </c>
      <c r="X22" s="363">
        <f t="shared" si="5"/>
        <v>0</v>
      </c>
      <c r="Y22" s="370"/>
      <c r="AI22" s="363"/>
      <c r="AJ22" s="363"/>
      <c r="AK22" s="363"/>
      <c r="AL22" s="363"/>
      <c r="AM22" s="363"/>
      <c r="AN22" s="363"/>
    </row>
    <row r="23" spans="1:40">
      <c r="A23" s="2" t="s">
        <v>95</v>
      </c>
      <c r="B23" s="16">
        <f t="shared" ref="B23:O23" si="23">B93*0.8</f>
        <v>0</v>
      </c>
      <c r="C23" s="16">
        <f t="shared" si="23"/>
        <v>0</v>
      </c>
      <c r="D23" s="16">
        <f t="shared" si="23"/>
        <v>0</v>
      </c>
      <c r="E23" s="16">
        <f t="shared" si="23"/>
        <v>0</v>
      </c>
      <c r="F23" s="16">
        <f t="shared" si="23"/>
        <v>0</v>
      </c>
      <c r="G23" s="16">
        <f t="shared" si="23"/>
        <v>0</v>
      </c>
      <c r="H23" s="16">
        <f t="shared" si="23"/>
        <v>0</v>
      </c>
      <c r="I23" s="16">
        <f t="shared" si="23"/>
        <v>0</v>
      </c>
      <c r="J23" s="16">
        <f t="shared" si="23"/>
        <v>0</v>
      </c>
      <c r="K23" s="16">
        <f t="shared" si="23"/>
        <v>0</v>
      </c>
      <c r="L23" s="16">
        <f t="shared" si="23"/>
        <v>0</v>
      </c>
      <c r="M23" s="16">
        <f t="shared" si="23"/>
        <v>0</v>
      </c>
      <c r="N23" s="16">
        <f t="shared" si="23"/>
        <v>0</v>
      </c>
      <c r="O23" s="16">
        <f t="shared" si="23"/>
        <v>0</v>
      </c>
      <c r="P23" s="16">
        <f t="shared" si="9"/>
        <v>0</v>
      </c>
      <c r="Q23" s="16">
        <f t="shared" si="9"/>
        <v>0</v>
      </c>
      <c r="R23" s="8">
        <f t="shared" si="1"/>
        <v>0</v>
      </c>
      <c r="S23" s="363">
        <f t="shared" si="3"/>
        <v>0</v>
      </c>
      <c r="T23" s="363">
        <f t="shared" si="3"/>
        <v>0</v>
      </c>
      <c r="U23" s="363">
        <f t="shared" si="3"/>
        <v>0</v>
      </c>
      <c r="V23" s="363">
        <f t="shared" si="3"/>
        <v>0</v>
      </c>
      <c r="W23" s="363">
        <f t="shared" si="4"/>
        <v>0</v>
      </c>
      <c r="X23" s="363">
        <f t="shared" si="5"/>
        <v>0</v>
      </c>
      <c r="Y23" s="370"/>
      <c r="AI23" s="363"/>
      <c r="AJ23" s="363"/>
      <c r="AK23" s="363"/>
      <c r="AL23" s="363"/>
      <c r="AM23" s="363"/>
      <c r="AN23" s="363"/>
    </row>
    <row r="24" spans="1:40">
      <c r="A24" s="2" t="s">
        <v>96</v>
      </c>
      <c r="B24" s="16">
        <f t="shared" ref="B24:O24" si="24">B94*0.8</f>
        <v>0</v>
      </c>
      <c r="C24" s="16">
        <f t="shared" si="24"/>
        <v>0</v>
      </c>
      <c r="D24" s="16">
        <f t="shared" si="24"/>
        <v>0</v>
      </c>
      <c r="E24" s="16">
        <f t="shared" si="24"/>
        <v>0</v>
      </c>
      <c r="F24" s="16">
        <f t="shared" si="24"/>
        <v>0</v>
      </c>
      <c r="G24" s="16">
        <f t="shared" si="24"/>
        <v>0</v>
      </c>
      <c r="H24" s="16">
        <f t="shared" si="24"/>
        <v>0</v>
      </c>
      <c r="I24" s="16">
        <f t="shared" si="24"/>
        <v>0</v>
      </c>
      <c r="J24" s="16">
        <f t="shared" si="24"/>
        <v>0</v>
      </c>
      <c r="K24" s="16">
        <f t="shared" si="24"/>
        <v>0</v>
      </c>
      <c r="L24" s="16">
        <f t="shared" si="24"/>
        <v>0</v>
      </c>
      <c r="M24" s="16">
        <f t="shared" si="24"/>
        <v>0</v>
      </c>
      <c r="N24" s="16">
        <f t="shared" si="24"/>
        <v>0</v>
      </c>
      <c r="O24" s="16">
        <f t="shared" si="24"/>
        <v>0</v>
      </c>
      <c r="P24" s="16">
        <f t="shared" si="9"/>
        <v>0</v>
      </c>
      <c r="Q24" s="16">
        <f t="shared" si="9"/>
        <v>0</v>
      </c>
      <c r="R24" s="8">
        <f t="shared" si="1"/>
        <v>0</v>
      </c>
      <c r="S24" s="363">
        <f t="shared" si="3"/>
        <v>0</v>
      </c>
      <c r="T24" s="363">
        <f t="shared" si="3"/>
        <v>0</v>
      </c>
      <c r="U24" s="363">
        <f t="shared" si="3"/>
        <v>0</v>
      </c>
      <c r="V24" s="363">
        <f t="shared" si="3"/>
        <v>0</v>
      </c>
      <c r="W24" s="363">
        <f t="shared" si="4"/>
        <v>0</v>
      </c>
      <c r="X24" s="363">
        <f t="shared" si="5"/>
        <v>0</v>
      </c>
      <c r="Y24" s="370"/>
      <c r="AI24" s="363"/>
      <c r="AJ24" s="363"/>
      <c r="AK24" s="363"/>
      <c r="AL24" s="363"/>
      <c r="AM24" s="363"/>
      <c r="AN24" s="363"/>
    </row>
    <row r="25" spans="1:40">
      <c r="A25" s="2" t="s">
        <v>97</v>
      </c>
      <c r="B25" s="16">
        <f t="shared" ref="B25:O25" si="25">B95*0.8</f>
        <v>0</v>
      </c>
      <c r="C25" s="16">
        <f t="shared" si="25"/>
        <v>0</v>
      </c>
      <c r="D25" s="16">
        <f t="shared" si="25"/>
        <v>0</v>
      </c>
      <c r="E25" s="16">
        <f t="shared" si="25"/>
        <v>0</v>
      </c>
      <c r="F25" s="16">
        <f t="shared" si="25"/>
        <v>0</v>
      </c>
      <c r="G25" s="16">
        <f t="shared" si="25"/>
        <v>0</v>
      </c>
      <c r="H25" s="16">
        <f t="shared" si="25"/>
        <v>0</v>
      </c>
      <c r="I25" s="16">
        <f t="shared" si="25"/>
        <v>0</v>
      </c>
      <c r="J25" s="16">
        <f t="shared" si="25"/>
        <v>0</v>
      </c>
      <c r="K25" s="16">
        <f t="shared" si="25"/>
        <v>0</v>
      </c>
      <c r="L25" s="16">
        <f t="shared" si="25"/>
        <v>0</v>
      </c>
      <c r="M25" s="16">
        <f t="shared" si="25"/>
        <v>0</v>
      </c>
      <c r="N25" s="16">
        <f t="shared" si="25"/>
        <v>0</v>
      </c>
      <c r="O25" s="16">
        <f t="shared" si="25"/>
        <v>0</v>
      </c>
      <c r="P25" s="16">
        <f t="shared" si="9"/>
        <v>0</v>
      </c>
      <c r="Q25" s="16">
        <f t="shared" si="9"/>
        <v>0</v>
      </c>
      <c r="R25" s="8">
        <f t="shared" si="1"/>
        <v>0</v>
      </c>
      <c r="S25" s="363">
        <f t="shared" si="3"/>
        <v>0</v>
      </c>
      <c r="T25" s="363">
        <f t="shared" si="3"/>
        <v>0</v>
      </c>
      <c r="U25" s="363">
        <f t="shared" si="3"/>
        <v>0</v>
      </c>
      <c r="V25" s="363">
        <f t="shared" si="3"/>
        <v>0</v>
      </c>
      <c r="W25" s="363">
        <f t="shared" si="4"/>
        <v>0</v>
      </c>
      <c r="X25" s="363">
        <f t="shared" si="5"/>
        <v>0</v>
      </c>
      <c r="Y25" s="370"/>
      <c r="AI25" s="363"/>
      <c r="AJ25" s="363"/>
      <c r="AK25" s="363"/>
      <c r="AL25" s="363"/>
      <c r="AM25" s="363"/>
      <c r="AN25" s="363"/>
    </row>
    <row r="26" spans="1:40">
      <c r="A26" s="2" t="s">
        <v>98</v>
      </c>
      <c r="B26" s="16">
        <f t="shared" ref="B26:O26" si="26">B96*0.8</f>
        <v>0</v>
      </c>
      <c r="C26" s="16">
        <f t="shared" si="26"/>
        <v>0</v>
      </c>
      <c r="D26" s="16">
        <f t="shared" si="26"/>
        <v>0</v>
      </c>
      <c r="E26" s="16">
        <f t="shared" si="26"/>
        <v>0</v>
      </c>
      <c r="F26" s="16">
        <f t="shared" si="26"/>
        <v>0</v>
      </c>
      <c r="G26" s="16">
        <f t="shared" si="26"/>
        <v>0</v>
      </c>
      <c r="H26" s="16">
        <f t="shared" si="26"/>
        <v>0</v>
      </c>
      <c r="I26" s="16">
        <f t="shared" si="26"/>
        <v>0</v>
      </c>
      <c r="J26" s="16">
        <f t="shared" si="26"/>
        <v>0</v>
      </c>
      <c r="K26" s="16">
        <f t="shared" si="26"/>
        <v>0</v>
      </c>
      <c r="L26" s="16">
        <f t="shared" si="26"/>
        <v>0</v>
      </c>
      <c r="M26" s="16">
        <f t="shared" si="26"/>
        <v>0</v>
      </c>
      <c r="N26" s="16">
        <f t="shared" si="26"/>
        <v>0</v>
      </c>
      <c r="O26" s="16">
        <f t="shared" si="26"/>
        <v>0</v>
      </c>
      <c r="P26" s="16">
        <f t="shared" si="9"/>
        <v>0</v>
      </c>
      <c r="Q26" s="16">
        <f t="shared" si="9"/>
        <v>0</v>
      </c>
      <c r="R26" s="8">
        <f t="shared" si="1"/>
        <v>0</v>
      </c>
      <c r="S26" s="363">
        <f t="shared" si="3"/>
        <v>0</v>
      </c>
      <c r="T26" s="363">
        <f t="shared" si="3"/>
        <v>0</v>
      </c>
      <c r="U26" s="363">
        <f t="shared" si="3"/>
        <v>0</v>
      </c>
      <c r="V26" s="363">
        <f t="shared" si="3"/>
        <v>0</v>
      </c>
      <c r="W26" s="363">
        <f t="shared" si="4"/>
        <v>0</v>
      </c>
      <c r="X26" s="363">
        <f t="shared" si="5"/>
        <v>0</v>
      </c>
      <c r="Y26" s="370"/>
      <c r="AI26" s="363"/>
      <c r="AJ26" s="363"/>
      <c r="AK26" s="363"/>
      <c r="AL26" s="363"/>
      <c r="AM26" s="363"/>
      <c r="AN26" s="363"/>
    </row>
    <row r="27" spans="1:40">
      <c r="A27" s="2" t="s">
        <v>99</v>
      </c>
      <c r="B27" s="16">
        <f t="shared" ref="B27:O27" si="27">B97*0.8</f>
        <v>0</v>
      </c>
      <c r="C27" s="16">
        <f t="shared" si="27"/>
        <v>0</v>
      </c>
      <c r="D27" s="16">
        <f t="shared" si="27"/>
        <v>0</v>
      </c>
      <c r="E27" s="16">
        <f t="shared" si="27"/>
        <v>0</v>
      </c>
      <c r="F27" s="16">
        <f t="shared" si="27"/>
        <v>0</v>
      </c>
      <c r="G27" s="16">
        <f t="shared" si="27"/>
        <v>0</v>
      </c>
      <c r="H27" s="16">
        <f t="shared" si="27"/>
        <v>0</v>
      </c>
      <c r="I27" s="16">
        <f t="shared" si="27"/>
        <v>0</v>
      </c>
      <c r="J27" s="16">
        <f t="shared" si="27"/>
        <v>0</v>
      </c>
      <c r="K27" s="16">
        <f t="shared" si="27"/>
        <v>0</v>
      </c>
      <c r="L27" s="16">
        <f t="shared" si="27"/>
        <v>0</v>
      </c>
      <c r="M27" s="16">
        <f t="shared" si="27"/>
        <v>0</v>
      </c>
      <c r="N27" s="16">
        <f t="shared" si="27"/>
        <v>0</v>
      </c>
      <c r="O27" s="16">
        <f t="shared" si="27"/>
        <v>0</v>
      </c>
      <c r="P27" s="16">
        <f t="shared" si="9"/>
        <v>0</v>
      </c>
      <c r="Q27" s="16">
        <f t="shared" si="9"/>
        <v>0</v>
      </c>
      <c r="R27" s="8">
        <f t="shared" si="1"/>
        <v>0</v>
      </c>
      <c r="S27" s="363">
        <f t="shared" si="3"/>
        <v>0</v>
      </c>
      <c r="T27" s="363">
        <f t="shared" si="3"/>
        <v>0</v>
      </c>
      <c r="U27" s="363">
        <f t="shared" si="3"/>
        <v>0</v>
      </c>
      <c r="V27" s="363">
        <f t="shared" si="3"/>
        <v>0</v>
      </c>
      <c r="W27" s="363">
        <f t="shared" si="4"/>
        <v>0</v>
      </c>
      <c r="X27" s="363">
        <f t="shared" si="5"/>
        <v>0</v>
      </c>
      <c r="Y27" s="370"/>
      <c r="AI27" s="363"/>
      <c r="AJ27" s="363"/>
      <c r="AK27" s="363"/>
      <c r="AL27" s="363"/>
      <c r="AM27" s="363"/>
      <c r="AN27" s="363"/>
    </row>
    <row r="28" spans="1:40">
      <c r="A28" s="2" t="s">
        <v>100</v>
      </c>
      <c r="B28" s="16">
        <f t="shared" ref="B28:O28" si="28">B98*0.8</f>
        <v>0</v>
      </c>
      <c r="C28" s="16">
        <f t="shared" si="28"/>
        <v>0</v>
      </c>
      <c r="D28" s="16">
        <f t="shared" si="28"/>
        <v>0</v>
      </c>
      <c r="E28" s="16">
        <f t="shared" si="28"/>
        <v>0</v>
      </c>
      <c r="F28" s="16">
        <f t="shared" si="28"/>
        <v>0</v>
      </c>
      <c r="G28" s="16">
        <f t="shared" si="28"/>
        <v>0</v>
      </c>
      <c r="H28" s="16">
        <f t="shared" si="28"/>
        <v>0</v>
      </c>
      <c r="I28" s="16">
        <f t="shared" si="28"/>
        <v>0</v>
      </c>
      <c r="J28" s="16">
        <f t="shared" si="28"/>
        <v>0</v>
      </c>
      <c r="K28" s="16">
        <f t="shared" si="28"/>
        <v>0</v>
      </c>
      <c r="L28" s="16">
        <f t="shared" si="28"/>
        <v>0</v>
      </c>
      <c r="M28" s="16">
        <f t="shared" si="28"/>
        <v>0</v>
      </c>
      <c r="N28" s="16">
        <f t="shared" si="28"/>
        <v>0</v>
      </c>
      <c r="O28" s="16">
        <f t="shared" si="28"/>
        <v>0</v>
      </c>
      <c r="P28" s="16">
        <f t="shared" si="9"/>
        <v>0</v>
      </c>
      <c r="Q28" s="16">
        <f t="shared" si="9"/>
        <v>0</v>
      </c>
      <c r="R28" s="8">
        <f t="shared" si="1"/>
        <v>0</v>
      </c>
      <c r="S28" s="363">
        <f t="shared" si="3"/>
        <v>0</v>
      </c>
      <c r="T28" s="363">
        <f t="shared" si="3"/>
        <v>0</v>
      </c>
      <c r="U28" s="363">
        <f t="shared" si="3"/>
        <v>0</v>
      </c>
      <c r="V28" s="363">
        <f t="shared" si="3"/>
        <v>0</v>
      </c>
      <c r="W28" s="363">
        <f t="shared" si="4"/>
        <v>0</v>
      </c>
      <c r="X28" s="363">
        <f t="shared" si="5"/>
        <v>0</v>
      </c>
      <c r="Y28" s="370"/>
      <c r="AI28" s="363"/>
      <c r="AJ28" s="363"/>
      <c r="AK28" s="363"/>
      <c r="AL28" s="363"/>
      <c r="AM28" s="363"/>
      <c r="AN28" s="363"/>
    </row>
    <row r="29" spans="1:40">
      <c r="A29" s="2" t="s">
        <v>101</v>
      </c>
      <c r="B29" s="16">
        <f t="shared" ref="B29:O29" si="29">B99*0.8</f>
        <v>0</v>
      </c>
      <c r="C29" s="16">
        <f t="shared" si="29"/>
        <v>0</v>
      </c>
      <c r="D29" s="16">
        <f t="shared" si="29"/>
        <v>0</v>
      </c>
      <c r="E29" s="16">
        <f t="shared" si="29"/>
        <v>0</v>
      </c>
      <c r="F29" s="16">
        <f t="shared" si="29"/>
        <v>0</v>
      </c>
      <c r="G29" s="16">
        <f t="shared" si="29"/>
        <v>0</v>
      </c>
      <c r="H29" s="16">
        <f t="shared" si="29"/>
        <v>0</v>
      </c>
      <c r="I29" s="16">
        <f t="shared" si="29"/>
        <v>0</v>
      </c>
      <c r="J29" s="16">
        <f t="shared" si="29"/>
        <v>0</v>
      </c>
      <c r="K29" s="16">
        <f t="shared" si="29"/>
        <v>0</v>
      </c>
      <c r="L29" s="16">
        <f t="shared" si="29"/>
        <v>0</v>
      </c>
      <c r="M29" s="16">
        <f t="shared" si="29"/>
        <v>0</v>
      </c>
      <c r="N29" s="16">
        <f t="shared" si="29"/>
        <v>0</v>
      </c>
      <c r="O29" s="16">
        <f t="shared" si="29"/>
        <v>0</v>
      </c>
      <c r="P29" s="16">
        <f>P99</f>
        <v>0</v>
      </c>
      <c r="Q29" s="16">
        <f>Q99</f>
        <v>0</v>
      </c>
      <c r="R29" s="8">
        <f t="shared" si="1"/>
        <v>0</v>
      </c>
      <c r="S29" s="363">
        <f t="shared" si="3"/>
        <v>0</v>
      </c>
      <c r="T29" s="363">
        <f t="shared" si="3"/>
        <v>0</v>
      </c>
      <c r="U29" s="363">
        <f t="shared" si="3"/>
        <v>0</v>
      </c>
      <c r="V29" s="363">
        <f t="shared" si="3"/>
        <v>0</v>
      </c>
      <c r="W29" s="363">
        <f t="shared" si="4"/>
        <v>0</v>
      </c>
      <c r="X29" s="363">
        <f t="shared" si="5"/>
        <v>0</v>
      </c>
      <c r="Y29" s="370"/>
      <c r="AI29" s="363"/>
      <c r="AJ29" s="363"/>
      <c r="AK29" s="363"/>
      <c r="AL29" s="363"/>
      <c r="AM29" s="363"/>
      <c r="AN29" s="363"/>
    </row>
    <row r="30" spans="1:40">
      <c r="A30" s="2" t="s">
        <v>102</v>
      </c>
      <c r="B30" s="16">
        <f t="shared" ref="B30:O30" si="30">B100*0.8</f>
        <v>0</v>
      </c>
      <c r="C30" s="16">
        <f t="shared" si="30"/>
        <v>0</v>
      </c>
      <c r="D30" s="16">
        <f t="shared" si="30"/>
        <v>0</v>
      </c>
      <c r="E30" s="16">
        <f t="shared" si="30"/>
        <v>0</v>
      </c>
      <c r="F30" s="16">
        <f t="shared" si="30"/>
        <v>0</v>
      </c>
      <c r="G30" s="16">
        <f t="shared" si="30"/>
        <v>0</v>
      </c>
      <c r="H30" s="16">
        <f t="shared" si="30"/>
        <v>0</v>
      </c>
      <c r="I30" s="16">
        <f t="shared" si="30"/>
        <v>0</v>
      </c>
      <c r="J30" s="16">
        <f t="shared" si="30"/>
        <v>0</v>
      </c>
      <c r="K30" s="16">
        <f t="shared" si="30"/>
        <v>0</v>
      </c>
      <c r="L30" s="16">
        <f t="shared" si="30"/>
        <v>0</v>
      </c>
      <c r="M30" s="16">
        <f t="shared" si="30"/>
        <v>0</v>
      </c>
      <c r="N30" s="16">
        <f t="shared" si="30"/>
        <v>0</v>
      </c>
      <c r="O30" s="16">
        <f t="shared" si="30"/>
        <v>0</v>
      </c>
      <c r="P30" s="16">
        <f>P100*0.8</f>
        <v>0</v>
      </c>
      <c r="Q30" s="16">
        <f>Q100*0.8</f>
        <v>0</v>
      </c>
      <c r="R30" s="8">
        <f t="shared" si="1"/>
        <v>0</v>
      </c>
      <c r="S30" s="363">
        <f t="shared" si="3"/>
        <v>0</v>
      </c>
      <c r="T30" s="363">
        <f t="shared" si="3"/>
        <v>0</v>
      </c>
      <c r="U30" s="363">
        <f t="shared" si="3"/>
        <v>0</v>
      </c>
      <c r="V30" s="363">
        <f t="shared" si="3"/>
        <v>0</v>
      </c>
      <c r="W30" s="363">
        <f t="shared" si="4"/>
        <v>0</v>
      </c>
      <c r="X30" s="363">
        <f t="shared" si="5"/>
        <v>0</v>
      </c>
      <c r="Y30" s="370"/>
      <c r="AI30" s="363"/>
      <c r="AJ30" s="363"/>
      <c r="AK30" s="363"/>
      <c r="AL30" s="363"/>
      <c r="AM30" s="363"/>
      <c r="AN30" s="363"/>
    </row>
    <row r="31" spans="1:40">
      <c r="A31" s="2" t="s">
        <v>103</v>
      </c>
      <c r="B31" s="16">
        <f t="shared" ref="B31:O31" si="31">B101*0.8</f>
        <v>0</v>
      </c>
      <c r="C31" s="16">
        <f t="shared" si="31"/>
        <v>0</v>
      </c>
      <c r="D31" s="16">
        <f t="shared" si="31"/>
        <v>0</v>
      </c>
      <c r="E31" s="16">
        <f t="shared" si="31"/>
        <v>0</v>
      </c>
      <c r="F31" s="16">
        <f t="shared" si="31"/>
        <v>0</v>
      </c>
      <c r="G31" s="16">
        <f t="shared" si="31"/>
        <v>0</v>
      </c>
      <c r="H31" s="16">
        <f t="shared" si="31"/>
        <v>0</v>
      </c>
      <c r="I31" s="16">
        <f t="shared" si="31"/>
        <v>0</v>
      </c>
      <c r="J31" s="16">
        <f t="shared" si="31"/>
        <v>0</v>
      </c>
      <c r="K31" s="16">
        <f t="shared" si="31"/>
        <v>0</v>
      </c>
      <c r="L31" s="16">
        <f t="shared" si="31"/>
        <v>0</v>
      </c>
      <c r="M31" s="16">
        <f t="shared" si="31"/>
        <v>0</v>
      </c>
      <c r="N31" s="16">
        <f t="shared" si="31"/>
        <v>0</v>
      </c>
      <c r="O31" s="16">
        <f t="shared" si="31"/>
        <v>0</v>
      </c>
      <c r="P31" s="16">
        <f>P101*0.8</f>
        <v>0</v>
      </c>
      <c r="Q31" s="16">
        <f>Q101*0.8</f>
        <v>0</v>
      </c>
      <c r="R31" s="8">
        <f t="shared" si="1"/>
        <v>0</v>
      </c>
      <c r="S31" s="363">
        <f t="shared" si="3"/>
        <v>0</v>
      </c>
      <c r="T31" s="363">
        <f t="shared" si="3"/>
        <v>0</v>
      </c>
      <c r="U31" s="363">
        <f t="shared" si="3"/>
        <v>0</v>
      </c>
      <c r="V31" s="363">
        <f t="shared" si="3"/>
        <v>0</v>
      </c>
      <c r="W31" s="363">
        <f t="shared" si="4"/>
        <v>0</v>
      </c>
      <c r="X31" s="363">
        <f t="shared" si="5"/>
        <v>0</v>
      </c>
      <c r="Y31" s="370"/>
      <c r="AI31" s="363"/>
      <c r="AJ31" s="363"/>
      <c r="AK31" s="363"/>
      <c r="AL31" s="363"/>
      <c r="AM31" s="363"/>
      <c r="AN31" s="363"/>
    </row>
    <row r="32" spans="1:40">
      <c r="A32" s="4" t="s">
        <v>37</v>
      </c>
      <c r="B32" s="5">
        <f t="shared" ref="B32:R32" si="32">SUM(B5:B31)</f>
        <v>0</v>
      </c>
      <c r="C32" s="5">
        <f t="shared" si="32"/>
        <v>0</v>
      </c>
      <c r="D32" s="5">
        <f t="shared" si="32"/>
        <v>0</v>
      </c>
      <c r="E32" s="5">
        <f t="shared" si="32"/>
        <v>0</v>
      </c>
      <c r="F32" s="5">
        <f t="shared" si="32"/>
        <v>0</v>
      </c>
      <c r="G32" s="5">
        <f t="shared" si="32"/>
        <v>0</v>
      </c>
      <c r="H32" s="5">
        <f t="shared" si="32"/>
        <v>0</v>
      </c>
      <c r="I32" s="5">
        <f t="shared" si="32"/>
        <v>0</v>
      </c>
      <c r="J32" s="5">
        <f t="shared" si="32"/>
        <v>0</v>
      </c>
      <c r="K32" s="5">
        <f t="shared" si="32"/>
        <v>0</v>
      </c>
      <c r="L32" s="5">
        <f t="shared" si="32"/>
        <v>0</v>
      </c>
      <c r="M32" s="5">
        <f t="shared" si="32"/>
        <v>0</v>
      </c>
      <c r="N32" s="5">
        <f t="shared" si="32"/>
        <v>0</v>
      </c>
      <c r="O32" s="5">
        <f t="shared" si="32"/>
        <v>0</v>
      </c>
      <c r="P32" s="5">
        <f t="shared" si="32"/>
        <v>0</v>
      </c>
      <c r="Q32" s="5">
        <f t="shared" si="32"/>
        <v>0</v>
      </c>
      <c r="R32" s="5">
        <f t="shared" si="32"/>
        <v>0</v>
      </c>
      <c r="S32" s="363">
        <f t="shared" ref="S32:X32" si="33">SUM(S5:S31)</f>
        <v>0</v>
      </c>
      <c r="T32" s="363">
        <f t="shared" si="33"/>
        <v>0</v>
      </c>
      <c r="U32" s="363">
        <f t="shared" si="33"/>
        <v>0</v>
      </c>
      <c r="V32" s="363">
        <f t="shared" si="33"/>
        <v>0</v>
      </c>
      <c r="W32" s="363">
        <f t="shared" si="33"/>
        <v>0</v>
      </c>
      <c r="X32" s="363">
        <f t="shared" si="33"/>
        <v>0</v>
      </c>
      <c r="Y32" s="370"/>
      <c r="AI32" s="363"/>
      <c r="AJ32" s="363"/>
      <c r="AK32" s="363"/>
      <c r="AL32" s="363"/>
      <c r="AM32" s="363"/>
      <c r="AN32" s="363"/>
    </row>
    <row r="33" spans="1:40">
      <c r="A33" s="351" t="s">
        <v>48</v>
      </c>
      <c r="B33" s="352"/>
      <c r="C33" s="353"/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3"/>
      <c r="Q33" s="353"/>
      <c r="R33" s="352"/>
      <c r="Y33" s="370"/>
    </row>
    <row r="34" spans="1:40">
      <c r="A34" s="364"/>
      <c r="B34" s="364"/>
      <c r="C34" s="365"/>
      <c r="D34" s="365"/>
      <c r="E34" s="365"/>
      <c r="F34" s="365"/>
      <c r="G34" s="365"/>
      <c r="H34" s="365"/>
      <c r="I34" s="365"/>
      <c r="J34" s="365"/>
      <c r="K34" s="365"/>
      <c r="L34" s="365"/>
      <c r="M34" s="365"/>
      <c r="N34" s="365"/>
      <c r="O34" s="365"/>
      <c r="P34" s="365"/>
      <c r="Q34" s="365"/>
      <c r="R34" s="366"/>
      <c r="Y34" s="370"/>
    </row>
    <row r="35" spans="1:40">
      <c r="A35" s="358"/>
      <c r="B35" s="358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60"/>
      <c r="Y35" s="370"/>
    </row>
    <row r="36" spans="1:40">
      <c r="A36" s="367"/>
      <c r="B36" s="367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9"/>
      <c r="Y36" s="370"/>
    </row>
    <row r="37" spans="1:40" ht="46.5">
      <c r="A37" s="837" t="s">
        <v>74</v>
      </c>
      <c r="B37" s="838"/>
      <c r="C37" s="838"/>
      <c r="D37" s="838"/>
      <c r="E37" s="838"/>
      <c r="F37" s="838"/>
      <c r="G37" s="838"/>
      <c r="H37" s="838"/>
      <c r="I37" s="838"/>
      <c r="J37" s="838"/>
      <c r="K37" s="838"/>
      <c r="L37" s="838"/>
      <c r="M37" s="838"/>
      <c r="N37" s="838"/>
      <c r="O37" s="838"/>
      <c r="P37" s="838"/>
      <c r="Q37" s="838"/>
      <c r="R37" s="839"/>
      <c r="Y37" s="370"/>
    </row>
    <row r="38" spans="1:40" s="372" customFormat="1" ht="35.1" customHeight="1">
      <c r="A38" s="835" t="s">
        <v>33</v>
      </c>
      <c r="B38" s="833" t="s">
        <v>27</v>
      </c>
      <c r="C38" s="834"/>
      <c r="D38" s="833" t="s">
        <v>29</v>
      </c>
      <c r="E38" s="834"/>
      <c r="F38" s="835" t="s">
        <v>28</v>
      </c>
      <c r="G38" s="835" t="s">
        <v>36</v>
      </c>
      <c r="H38" s="835" t="s">
        <v>30</v>
      </c>
      <c r="I38" s="835" t="s">
        <v>31</v>
      </c>
      <c r="J38" s="835" t="s">
        <v>41</v>
      </c>
      <c r="K38" s="835" t="s">
        <v>35</v>
      </c>
      <c r="L38" s="835" t="s">
        <v>40</v>
      </c>
      <c r="M38" s="835" t="s">
        <v>42</v>
      </c>
      <c r="N38" s="835" t="s">
        <v>45</v>
      </c>
      <c r="O38" s="835" t="s">
        <v>279</v>
      </c>
      <c r="P38" s="833" t="s">
        <v>49</v>
      </c>
      <c r="Q38" s="834"/>
      <c r="R38" s="835" t="s">
        <v>34</v>
      </c>
      <c r="S38" s="357"/>
      <c r="T38" s="357"/>
      <c r="U38" s="357"/>
      <c r="V38" s="357"/>
      <c r="W38" s="357"/>
      <c r="X38" s="357"/>
      <c r="Y38" s="370"/>
      <c r="AI38" s="357"/>
      <c r="AJ38" s="357"/>
      <c r="AK38" s="357"/>
      <c r="AL38" s="357"/>
      <c r="AM38" s="357"/>
      <c r="AN38" s="357"/>
    </row>
    <row r="39" spans="1:40" s="372" customFormat="1" ht="35.1" customHeight="1">
      <c r="A39" s="836"/>
      <c r="B39" s="361" t="s">
        <v>43</v>
      </c>
      <c r="C39" s="361" t="s">
        <v>44</v>
      </c>
      <c r="D39" s="361" t="s">
        <v>43</v>
      </c>
      <c r="E39" s="361" t="s">
        <v>44</v>
      </c>
      <c r="F39" s="836"/>
      <c r="G39" s="836"/>
      <c r="H39" s="836"/>
      <c r="I39" s="836"/>
      <c r="J39" s="836"/>
      <c r="K39" s="836"/>
      <c r="L39" s="836"/>
      <c r="M39" s="836"/>
      <c r="N39" s="836"/>
      <c r="O39" s="836"/>
      <c r="P39" s="362" t="s">
        <v>50</v>
      </c>
      <c r="Q39" s="362" t="s">
        <v>51</v>
      </c>
      <c r="R39" s="836"/>
      <c r="S39" s="372" t="s">
        <v>173</v>
      </c>
      <c r="T39" s="372" t="s">
        <v>291</v>
      </c>
      <c r="U39" s="372" t="s">
        <v>174</v>
      </c>
      <c r="V39" s="372" t="s">
        <v>292</v>
      </c>
      <c r="W39" s="372" t="s">
        <v>28</v>
      </c>
      <c r="X39" s="372" t="s">
        <v>175</v>
      </c>
      <c r="Y39" s="727"/>
    </row>
    <row r="40" spans="1:40">
      <c r="A40" s="2" t="s">
        <v>77</v>
      </c>
      <c r="B40" s="16">
        <f t="shared" ref="B40:Q40" si="34">B75*0.2</f>
        <v>0</v>
      </c>
      <c r="C40" s="16">
        <f t="shared" si="34"/>
        <v>0</v>
      </c>
      <c r="D40" s="16">
        <f t="shared" si="34"/>
        <v>0</v>
      </c>
      <c r="E40" s="16">
        <f t="shared" si="34"/>
        <v>0</v>
      </c>
      <c r="F40" s="16">
        <f t="shared" si="34"/>
        <v>0</v>
      </c>
      <c r="G40" s="16">
        <f t="shared" si="34"/>
        <v>0</v>
      </c>
      <c r="H40" s="16">
        <f t="shared" si="34"/>
        <v>0</v>
      </c>
      <c r="I40" s="16">
        <f t="shared" si="34"/>
        <v>0</v>
      </c>
      <c r="J40" s="16">
        <f t="shared" si="34"/>
        <v>0</v>
      </c>
      <c r="K40" s="16">
        <f t="shared" si="34"/>
        <v>0</v>
      </c>
      <c r="L40" s="16">
        <f t="shared" si="34"/>
        <v>0</v>
      </c>
      <c r="M40" s="16">
        <f t="shared" si="34"/>
        <v>0</v>
      </c>
      <c r="N40" s="16">
        <f t="shared" si="34"/>
        <v>0</v>
      </c>
      <c r="O40" s="16">
        <f t="shared" si="34"/>
        <v>0</v>
      </c>
      <c r="P40" s="16">
        <f t="shared" si="34"/>
        <v>0</v>
      </c>
      <c r="Q40" s="16">
        <f t="shared" si="34"/>
        <v>0</v>
      </c>
      <c r="R40" s="8">
        <f t="shared" ref="R40:R66" si="35">SUM(B40:Q40)</f>
        <v>0</v>
      </c>
      <c r="S40" s="363">
        <f>B40</f>
        <v>0</v>
      </c>
      <c r="T40" s="363">
        <f>C40</f>
        <v>0</v>
      </c>
      <c r="U40" s="363">
        <f>D40</f>
        <v>0</v>
      </c>
      <c r="V40" s="363">
        <f>E40</f>
        <v>0</v>
      </c>
      <c r="W40" s="363">
        <f>F40+G40</f>
        <v>0</v>
      </c>
      <c r="X40" s="363">
        <f>SUM(H40:Q40)</f>
        <v>0</v>
      </c>
      <c r="Y40" s="370"/>
      <c r="AI40" s="363"/>
      <c r="AJ40" s="363"/>
      <c r="AK40" s="363"/>
      <c r="AL40" s="363"/>
      <c r="AM40" s="363"/>
      <c r="AN40" s="363"/>
    </row>
    <row r="41" spans="1:40">
      <c r="A41" s="2" t="s">
        <v>78</v>
      </c>
      <c r="B41" s="16">
        <f t="shared" ref="B41:Q41" si="36">B76*0.2</f>
        <v>0</v>
      </c>
      <c r="C41" s="16">
        <f t="shared" si="36"/>
        <v>0</v>
      </c>
      <c r="D41" s="16">
        <f t="shared" si="36"/>
        <v>0</v>
      </c>
      <c r="E41" s="16">
        <f t="shared" si="36"/>
        <v>0</v>
      </c>
      <c r="F41" s="16">
        <f t="shared" si="36"/>
        <v>0</v>
      </c>
      <c r="G41" s="16">
        <f t="shared" si="36"/>
        <v>0</v>
      </c>
      <c r="H41" s="16">
        <f t="shared" si="36"/>
        <v>0</v>
      </c>
      <c r="I41" s="16">
        <f t="shared" si="36"/>
        <v>0</v>
      </c>
      <c r="J41" s="16">
        <f t="shared" si="36"/>
        <v>0</v>
      </c>
      <c r="K41" s="16">
        <f t="shared" si="36"/>
        <v>0</v>
      </c>
      <c r="L41" s="16">
        <f t="shared" si="36"/>
        <v>0</v>
      </c>
      <c r="M41" s="16">
        <f t="shared" si="36"/>
        <v>0</v>
      </c>
      <c r="N41" s="16">
        <f t="shared" si="36"/>
        <v>0</v>
      </c>
      <c r="O41" s="16">
        <f t="shared" si="36"/>
        <v>0</v>
      </c>
      <c r="P41" s="16">
        <f t="shared" si="36"/>
        <v>0</v>
      </c>
      <c r="Q41" s="16">
        <f t="shared" si="36"/>
        <v>0</v>
      </c>
      <c r="R41" s="8">
        <f t="shared" si="35"/>
        <v>0</v>
      </c>
      <c r="S41" s="363">
        <f t="shared" ref="S41:V66" si="37">B41</f>
        <v>0</v>
      </c>
      <c r="T41" s="363">
        <f t="shared" si="37"/>
        <v>0</v>
      </c>
      <c r="U41" s="363">
        <f t="shared" si="37"/>
        <v>0</v>
      </c>
      <c r="V41" s="363">
        <f t="shared" si="37"/>
        <v>0</v>
      </c>
      <c r="W41" s="363">
        <f t="shared" ref="W41:W66" si="38">F41+G41</f>
        <v>0</v>
      </c>
      <c r="X41" s="363">
        <f t="shared" ref="X41:X66" si="39">SUM(H41:Q41)</f>
        <v>0</v>
      </c>
      <c r="Y41" s="370"/>
      <c r="AI41" s="363"/>
      <c r="AJ41" s="363"/>
      <c r="AK41" s="363"/>
      <c r="AL41" s="363"/>
      <c r="AM41" s="363"/>
      <c r="AN41" s="363"/>
    </row>
    <row r="42" spans="1:40">
      <c r="A42" s="2" t="s">
        <v>79</v>
      </c>
      <c r="B42" s="16">
        <f t="shared" ref="B42:Q42" si="40">B77*0.2</f>
        <v>0</v>
      </c>
      <c r="C42" s="16">
        <f t="shared" si="40"/>
        <v>0</v>
      </c>
      <c r="D42" s="16">
        <f t="shared" si="40"/>
        <v>0</v>
      </c>
      <c r="E42" s="16">
        <f t="shared" si="40"/>
        <v>0</v>
      </c>
      <c r="F42" s="16">
        <f t="shared" si="40"/>
        <v>0</v>
      </c>
      <c r="G42" s="16">
        <f t="shared" si="40"/>
        <v>0</v>
      </c>
      <c r="H42" s="16">
        <f t="shared" si="40"/>
        <v>0</v>
      </c>
      <c r="I42" s="16">
        <f t="shared" si="40"/>
        <v>0</v>
      </c>
      <c r="J42" s="16">
        <f t="shared" si="40"/>
        <v>0</v>
      </c>
      <c r="K42" s="16">
        <f t="shared" si="40"/>
        <v>0</v>
      </c>
      <c r="L42" s="16">
        <f t="shared" si="40"/>
        <v>0</v>
      </c>
      <c r="M42" s="16">
        <f t="shared" si="40"/>
        <v>0</v>
      </c>
      <c r="N42" s="16">
        <f t="shared" si="40"/>
        <v>0</v>
      </c>
      <c r="O42" s="16">
        <f t="shared" si="40"/>
        <v>0</v>
      </c>
      <c r="P42" s="16">
        <f t="shared" si="40"/>
        <v>0</v>
      </c>
      <c r="Q42" s="16">
        <f t="shared" si="40"/>
        <v>0</v>
      </c>
      <c r="R42" s="8">
        <f t="shared" si="35"/>
        <v>0</v>
      </c>
      <c r="S42" s="363">
        <f t="shared" si="37"/>
        <v>0</v>
      </c>
      <c r="T42" s="363">
        <f t="shared" si="37"/>
        <v>0</v>
      </c>
      <c r="U42" s="363">
        <f t="shared" si="37"/>
        <v>0</v>
      </c>
      <c r="V42" s="363">
        <f t="shared" si="37"/>
        <v>0</v>
      </c>
      <c r="W42" s="363">
        <f t="shared" si="38"/>
        <v>0</v>
      </c>
      <c r="X42" s="363">
        <f t="shared" si="39"/>
        <v>0</v>
      </c>
      <c r="Y42" s="370"/>
      <c r="AI42" s="363"/>
      <c r="AJ42" s="363"/>
      <c r="AK42" s="363"/>
      <c r="AL42" s="363"/>
      <c r="AM42" s="363"/>
      <c r="AN42" s="363"/>
    </row>
    <row r="43" spans="1:40">
      <c r="A43" s="2" t="s">
        <v>80</v>
      </c>
      <c r="B43" s="16">
        <f t="shared" ref="B43:O43" si="41">B78*0.2</f>
        <v>0</v>
      </c>
      <c r="C43" s="16">
        <f t="shared" si="41"/>
        <v>0</v>
      </c>
      <c r="D43" s="16">
        <f t="shared" si="41"/>
        <v>0</v>
      </c>
      <c r="E43" s="16">
        <f t="shared" si="41"/>
        <v>0</v>
      </c>
      <c r="F43" s="16">
        <f t="shared" si="41"/>
        <v>0</v>
      </c>
      <c r="G43" s="16">
        <f t="shared" si="41"/>
        <v>0</v>
      </c>
      <c r="H43" s="16">
        <f t="shared" si="41"/>
        <v>0</v>
      </c>
      <c r="I43" s="16">
        <f t="shared" si="41"/>
        <v>0</v>
      </c>
      <c r="J43" s="16">
        <f t="shared" si="41"/>
        <v>0</v>
      </c>
      <c r="K43" s="16">
        <f t="shared" si="41"/>
        <v>0</v>
      </c>
      <c r="L43" s="16">
        <f t="shared" si="41"/>
        <v>0</v>
      </c>
      <c r="M43" s="16">
        <f t="shared" si="41"/>
        <v>0</v>
      </c>
      <c r="N43" s="16">
        <f t="shared" si="41"/>
        <v>0</v>
      </c>
      <c r="O43" s="16">
        <f t="shared" si="41"/>
        <v>0</v>
      </c>
      <c r="P43" s="16">
        <v>0</v>
      </c>
      <c r="Q43" s="16">
        <v>0</v>
      </c>
      <c r="R43" s="8">
        <f t="shared" si="35"/>
        <v>0</v>
      </c>
      <c r="S43" s="363">
        <f t="shared" si="37"/>
        <v>0</v>
      </c>
      <c r="T43" s="363">
        <f t="shared" si="37"/>
        <v>0</v>
      </c>
      <c r="U43" s="363">
        <f t="shared" si="37"/>
        <v>0</v>
      </c>
      <c r="V43" s="363">
        <f t="shared" si="37"/>
        <v>0</v>
      </c>
      <c r="W43" s="363">
        <f t="shared" si="38"/>
        <v>0</v>
      </c>
      <c r="X43" s="363">
        <f t="shared" si="39"/>
        <v>0</v>
      </c>
      <c r="Y43" s="370"/>
      <c r="AI43" s="363"/>
      <c r="AJ43" s="363"/>
      <c r="AK43" s="363"/>
      <c r="AL43" s="363"/>
      <c r="AM43" s="363"/>
      <c r="AN43" s="363"/>
    </row>
    <row r="44" spans="1:40">
      <c r="A44" s="2" t="s">
        <v>81</v>
      </c>
      <c r="B44" s="16">
        <f t="shared" ref="B44:O44" si="42">B79*0.2</f>
        <v>0</v>
      </c>
      <c r="C44" s="16">
        <f t="shared" si="42"/>
        <v>0</v>
      </c>
      <c r="D44" s="16">
        <f t="shared" si="42"/>
        <v>0</v>
      </c>
      <c r="E44" s="16">
        <f t="shared" si="42"/>
        <v>0</v>
      </c>
      <c r="F44" s="16">
        <f t="shared" si="42"/>
        <v>0</v>
      </c>
      <c r="G44" s="16">
        <f t="shared" si="42"/>
        <v>0</v>
      </c>
      <c r="H44" s="16">
        <f t="shared" si="42"/>
        <v>0</v>
      </c>
      <c r="I44" s="16">
        <f t="shared" si="42"/>
        <v>0</v>
      </c>
      <c r="J44" s="16">
        <f t="shared" si="42"/>
        <v>0</v>
      </c>
      <c r="K44" s="16">
        <f t="shared" si="42"/>
        <v>0</v>
      </c>
      <c r="L44" s="16">
        <f t="shared" si="42"/>
        <v>0</v>
      </c>
      <c r="M44" s="16">
        <f t="shared" si="42"/>
        <v>0</v>
      </c>
      <c r="N44" s="16">
        <f t="shared" si="42"/>
        <v>0</v>
      </c>
      <c r="O44" s="16">
        <f t="shared" si="42"/>
        <v>0</v>
      </c>
      <c r="P44" s="16">
        <f t="shared" ref="P44:Q63" si="43">P79*0.2</f>
        <v>0</v>
      </c>
      <c r="Q44" s="16">
        <f t="shared" si="43"/>
        <v>0</v>
      </c>
      <c r="R44" s="8">
        <f t="shared" si="35"/>
        <v>0</v>
      </c>
      <c r="S44" s="363">
        <f t="shared" si="37"/>
        <v>0</v>
      </c>
      <c r="T44" s="363">
        <f t="shared" si="37"/>
        <v>0</v>
      </c>
      <c r="U44" s="363">
        <f t="shared" si="37"/>
        <v>0</v>
      </c>
      <c r="V44" s="363">
        <f t="shared" si="37"/>
        <v>0</v>
      </c>
      <c r="W44" s="363">
        <f t="shared" si="38"/>
        <v>0</v>
      </c>
      <c r="X44" s="363">
        <f t="shared" si="39"/>
        <v>0</v>
      </c>
      <c r="Y44" s="370"/>
      <c r="AI44" s="363"/>
      <c r="AJ44" s="363"/>
      <c r="AK44" s="363"/>
      <c r="AL44" s="363"/>
      <c r="AM44" s="363"/>
      <c r="AN44" s="363"/>
    </row>
    <row r="45" spans="1:40">
      <c r="A45" s="2" t="s">
        <v>82</v>
      </c>
      <c r="B45" s="16">
        <f t="shared" ref="B45:O45" si="44">B80*0.2</f>
        <v>0</v>
      </c>
      <c r="C45" s="16">
        <f t="shared" si="44"/>
        <v>0</v>
      </c>
      <c r="D45" s="16">
        <f t="shared" si="44"/>
        <v>0</v>
      </c>
      <c r="E45" s="16">
        <f t="shared" si="44"/>
        <v>0</v>
      </c>
      <c r="F45" s="16">
        <f t="shared" si="44"/>
        <v>0</v>
      </c>
      <c r="G45" s="16">
        <f t="shared" si="44"/>
        <v>0</v>
      </c>
      <c r="H45" s="16">
        <f t="shared" si="44"/>
        <v>0</v>
      </c>
      <c r="I45" s="16">
        <f t="shared" si="44"/>
        <v>0</v>
      </c>
      <c r="J45" s="16">
        <f t="shared" si="44"/>
        <v>0</v>
      </c>
      <c r="K45" s="16">
        <f t="shared" si="44"/>
        <v>0</v>
      </c>
      <c r="L45" s="16">
        <f t="shared" si="44"/>
        <v>0</v>
      </c>
      <c r="M45" s="16">
        <f t="shared" si="44"/>
        <v>0</v>
      </c>
      <c r="N45" s="16">
        <f t="shared" si="44"/>
        <v>0</v>
      </c>
      <c r="O45" s="16">
        <f t="shared" si="44"/>
        <v>0</v>
      </c>
      <c r="P45" s="16">
        <f t="shared" si="43"/>
        <v>0</v>
      </c>
      <c r="Q45" s="16">
        <f t="shared" si="43"/>
        <v>0</v>
      </c>
      <c r="R45" s="8">
        <f t="shared" si="35"/>
        <v>0</v>
      </c>
      <c r="S45" s="363">
        <f t="shared" si="37"/>
        <v>0</v>
      </c>
      <c r="T45" s="363">
        <f t="shared" si="37"/>
        <v>0</v>
      </c>
      <c r="U45" s="363">
        <f t="shared" si="37"/>
        <v>0</v>
      </c>
      <c r="V45" s="363">
        <f t="shared" si="37"/>
        <v>0</v>
      </c>
      <c r="W45" s="363">
        <f t="shared" si="38"/>
        <v>0</v>
      </c>
      <c r="X45" s="363">
        <f t="shared" si="39"/>
        <v>0</v>
      </c>
      <c r="Y45" s="370"/>
      <c r="AI45" s="363"/>
      <c r="AJ45" s="363"/>
      <c r="AK45" s="363"/>
      <c r="AL45" s="363"/>
      <c r="AM45" s="363"/>
      <c r="AN45" s="363"/>
    </row>
    <row r="46" spans="1:40">
      <c r="A46" s="2" t="s">
        <v>83</v>
      </c>
      <c r="B46" s="16">
        <f t="shared" ref="B46:O46" si="45">B81*0.2</f>
        <v>0</v>
      </c>
      <c r="C46" s="16">
        <f t="shared" si="45"/>
        <v>0</v>
      </c>
      <c r="D46" s="16">
        <f t="shared" si="45"/>
        <v>0</v>
      </c>
      <c r="E46" s="16">
        <f t="shared" si="45"/>
        <v>0</v>
      </c>
      <c r="F46" s="16">
        <f t="shared" si="45"/>
        <v>0</v>
      </c>
      <c r="G46" s="16">
        <f t="shared" si="45"/>
        <v>0</v>
      </c>
      <c r="H46" s="16">
        <f t="shared" si="45"/>
        <v>0</v>
      </c>
      <c r="I46" s="16">
        <f t="shared" si="45"/>
        <v>0</v>
      </c>
      <c r="J46" s="16">
        <f t="shared" si="45"/>
        <v>0</v>
      </c>
      <c r="K46" s="16">
        <f t="shared" si="45"/>
        <v>0</v>
      </c>
      <c r="L46" s="16">
        <f t="shared" si="45"/>
        <v>0</v>
      </c>
      <c r="M46" s="16">
        <f t="shared" si="45"/>
        <v>0</v>
      </c>
      <c r="N46" s="16">
        <f t="shared" si="45"/>
        <v>0</v>
      </c>
      <c r="O46" s="16">
        <f t="shared" si="45"/>
        <v>0</v>
      </c>
      <c r="P46" s="16">
        <f t="shared" si="43"/>
        <v>0</v>
      </c>
      <c r="Q46" s="16">
        <f t="shared" si="43"/>
        <v>0</v>
      </c>
      <c r="R46" s="8">
        <f t="shared" si="35"/>
        <v>0</v>
      </c>
      <c r="S46" s="363">
        <f t="shared" si="37"/>
        <v>0</v>
      </c>
      <c r="T46" s="363">
        <f t="shared" si="37"/>
        <v>0</v>
      </c>
      <c r="U46" s="363">
        <f t="shared" si="37"/>
        <v>0</v>
      </c>
      <c r="V46" s="363">
        <f t="shared" si="37"/>
        <v>0</v>
      </c>
      <c r="W46" s="363">
        <f t="shared" si="38"/>
        <v>0</v>
      </c>
      <c r="X46" s="363">
        <f t="shared" si="39"/>
        <v>0</v>
      </c>
      <c r="Y46" s="370"/>
      <c r="AI46" s="363"/>
      <c r="AJ46" s="363"/>
      <c r="AK46" s="363"/>
      <c r="AL46" s="363"/>
      <c r="AM46" s="363"/>
      <c r="AN46" s="363"/>
    </row>
    <row r="47" spans="1:40">
      <c r="A47" s="2" t="s">
        <v>84</v>
      </c>
      <c r="B47" s="16">
        <f t="shared" ref="B47:O47" si="46">B82*0.2</f>
        <v>0</v>
      </c>
      <c r="C47" s="16">
        <f t="shared" si="46"/>
        <v>0</v>
      </c>
      <c r="D47" s="16">
        <f t="shared" si="46"/>
        <v>0</v>
      </c>
      <c r="E47" s="16">
        <f t="shared" si="46"/>
        <v>0</v>
      </c>
      <c r="F47" s="16">
        <f t="shared" si="46"/>
        <v>0</v>
      </c>
      <c r="G47" s="16">
        <f t="shared" si="46"/>
        <v>0</v>
      </c>
      <c r="H47" s="16">
        <f t="shared" si="46"/>
        <v>0</v>
      </c>
      <c r="I47" s="16">
        <f t="shared" si="46"/>
        <v>0</v>
      </c>
      <c r="J47" s="16">
        <f t="shared" si="46"/>
        <v>0</v>
      </c>
      <c r="K47" s="16">
        <f t="shared" si="46"/>
        <v>0</v>
      </c>
      <c r="L47" s="16">
        <f t="shared" si="46"/>
        <v>0</v>
      </c>
      <c r="M47" s="16">
        <f t="shared" si="46"/>
        <v>0</v>
      </c>
      <c r="N47" s="16">
        <f t="shared" si="46"/>
        <v>0</v>
      </c>
      <c r="O47" s="16">
        <f t="shared" si="46"/>
        <v>0</v>
      </c>
      <c r="P47" s="16">
        <f t="shared" si="43"/>
        <v>0</v>
      </c>
      <c r="Q47" s="16">
        <f t="shared" si="43"/>
        <v>0</v>
      </c>
      <c r="R47" s="8">
        <f t="shared" si="35"/>
        <v>0</v>
      </c>
      <c r="S47" s="363">
        <f t="shared" si="37"/>
        <v>0</v>
      </c>
      <c r="T47" s="363">
        <f t="shared" si="37"/>
        <v>0</v>
      </c>
      <c r="U47" s="363">
        <f t="shared" si="37"/>
        <v>0</v>
      </c>
      <c r="V47" s="363">
        <f t="shared" si="37"/>
        <v>0</v>
      </c>
      <c r="W47" s="363">
        <f t="shared" si="38"/>
        <v>0</v>
      </c>
      <c r="X47" s="363">
        <f t="shared" si="39"/>
        <v>0</v>
      </c>
      <c r="Y47" s="370"/>
      <c r="AI47" s="363"/>
      <c r="AJ47" s="363"/>
      <c r="AK47" s="363"/>
      <c r="AL47" s="363"/>
      <c r="AM47" s="363"/>
      <c r="AN47" s="363"/>
    </row>
    <row r="48" spans="1:40">
      <c r="A48" s="2" t="s">
        <v>85</v>
      </c>
      <c r="B48" s="16">
        <f t="shared" ref="B48:O48" si="47">B83*0.2</f>
        <v>0</v>
      </c>
      <c r="C48" s="16">
        <f t="shared" si="47"/>
        <v>0</v>
      </c>
      <c r="D48" s="16">
        <f t="shared" si="47"/>
        <v>0</v>
      </c>
      <c r="E48" s="16">
        <f t="shared" si="47"/>
        <v>0</v>
      </c>
      <c r="F48" s="16">
        <f t="shared" si="47"/>
        <v>0</v>
      </c>
      <c r="G48" s="16">
        <f t="shared" si="47"/>
        <v>0</v>
      </c>
      <c r="H48" s="16">
        <f t="shared" si="47"/>
        <v>0</v>
      </c>
      <c r="I48" s="16">
        <f t="shared" si="47"/>
        <v>0</v>
      </c>
      <c r="J48" s="16">
        <f t="shared" si="47"/>
        <v>0</v>
      </c>
      <c r="K48" s="16">
        <f t="shared" si="47"/>
        <v>0</v>
      </c>
      <c r="L48" s="16">
        <f t="shared" si="47"/>
        <v>0</v>
      </c>
      <c r="M48" s="16">
        <f t="shared" si="47"/>
        <v>0</v>
      </c>
      <c r="N48" s="16">
        <f t="shared" si="47"/>
        <v>0</v>
      </c>
      <c r="O48" s="16">
        <f t="shared" si="47"/>
        <v>0</v>
      </c>
      <c r="P48" s="16">
        <f t="shared" si="43"/>
        <v>0</v>
      </c>
      <c r="Q48" s="16">
        <f t="shared" si="43"/>
        <v>0</v>
      </c>
      <c r="R48" s="8">
        <f t="shared" si="35"/>
        <v>0</v>
      </c>
      <c r="S48" s="363">
        <f t="shared" si="37"/>
        <v>0</v>
      </c>
      <c r="T48" s="363">
        <f t="shared" si="37"/>
        <v>0</v>
      </c>
      <c r="U48" s="363">
        <f t="shared" si="37"/>
        <v>0</v>
      </c>
      <c r="V48" s="363">
        <f t="shared" si="37"/>
        <v>0</v>
      </c>
      <c r="W48" s="363">
        <f t="shared" si="38"/>
        <v>0</v>
      </c>
      <c r="X48" s="363">
        <f t="shared" si="39"/>
        <v>0</v>
      </c>
      <c r="Y48" s="370"/>
      <c r="AI48" s="363"/>
      <c r="AJ48" s="363"/>
      <c r="AK48" s="363"/>
      <c r="AL48" s="363"/>
      <c r="AM48" s="363"/>
      <c r="AN48" s="363"/>
    </row>
    <row r="49" spans="1:40">
      <c r="A49" s="2" t="s">
        <v>86</v>
      </c>
      <c r="B49" s="16">
        <f t="shared" ref="B49:O49" si="48">B84*0.2</f>
        <v>0</v>
      </c>
      <c r="C49" s="16">
        <f t="shared" si="48"/>
        <v>0</v>
      </c>
      <c r="D49" s="16">
        <f t="shared" si="48"/>
        <v>0</v>
      </c>
      <c r="E49" s="16">
        <f t="shared" si="48"/>
        <v>0</v>
      </c>
      <c r="F49" s="16">
        <f t="shared" si="48"/>
        <v>0</v>
      </c>
      <c r="G49" s="16">
        <f t="shared" si="48"/>
        <v>0</v>
      </c>
      <c r="H49" s="16">
        <f t="shared" si="48"/>
        <v>0</v>
      </c>
      <c r="I49" s="16">
        <f t="shared" si="48"/>
        <v>0</v>
      </c>
      <c r="J49" s="16">
        <f t="shared" si="48"/>
        <v>0</v>
      </c>
      <c r="K49" s="16">
        <f t="shared" si="48"/>
        <v>0</v>
      </c>
      <c r="L49" s="16">
        <f t="shared" si="48"/>
        <v>0</v>
      </c>
      <c r="M49" s="16">
        <f t="shared" si="48"/>
        <v>0</v>
      </c>
      <c r="N49" s="16">
        <f t="shared" si="48"/>
        <v>0</v>
      </c>
      <c r="O49" s="16">
        <f t="shared" si="48"/>
        <v>0</v>
      </c>
      <c r="P49" s="16">
        <f t="shared" si="43"/>
        <v>0</v>
      </c>
      <c r="Q49" s="16">
        <f t="shared" si="43"/>
        <v>0</v>
      </c>
      <c r="R49" s="8">
        <f t="shared" si="35"/>
        <v>0</v>
      </c>
      <c r="S49" s="363">
        <f t="shared" si="37"/>
        <v>0</v>
      </c>
      <c r="T49" s="363">
        <f t="shared" si="37"/>
        <v>0</v>
      </c>
      <c r="U49" s="363">
        <f t="shared" si="37"/>
        <v>0</v>
      </c>
      <c r="V49" s="363">
        <f t="shared" si="37"/>
        <v>0</v>
      </c>
      <c r="W49" s="363">
        <f t="shared" si="38"/>
        <v>0</v>
      </c>
      <c r="X49" s="363">
        <f t="shared" si="39"/>
        <v>0</v>
      </c>
      <c r="Y49" s="370"/>
      <c r="AI49" s="363"/>
      <c r="AJ49" s="363"/>
      <c r="AK49" s="363"/>
      <c r="AL49" s="363"/>
      <c r="AM49" s="363"/>
      <c r="AN49" s="363"/>
    </row>
    <row r="50" spans="1:40">
      <c r="A50" s="2" t="s">
        <v>87</v>
      </c>
      <c r="B50" s="16">
        <f t="shared" ref="B50:O50" si="49">B85*0.2</f>
        <v>0</v>
      </c>
      <c r="C50" s="16">
        <f t="shared" si="49"/>
        <v>0</v>
      </c>
      <c r="D50" s="16">
        <f t="shared" si="49"/>
        <v>0</v>
      </c>
      <c r="E50" s="16">
        <f t="shared" si="49"/>
        <v>0</v>
      </c>
      <c r="F50" s="16">
        <f t="shared" si="49"/>
        <v>0</v>
      </c>
      <c r="G50" s="16">
        <f t="shared" si="49"/>
        <v>0</v>
      </c>
      <c r="H50" s="16">
        <f t="shared" si="49"/>
        <v>0</v>
      </c>
      <c r="I50" s="16">
        <f t="shared" si="49"/>
        <v>0</v>
      </c>
      <c r="J50" s="16">
        <f t="shared" si="49"/>
        <v>0</v>
      </c>
      <c r="K50" s="16">
        <f t="shared" si="49"/>
        <v>0</v>
      </c>
      <c r="L50" s="16">
        <f t="shared" si="49"/>
        <v>0</v>
      </c>
      <c r="M50" s="16">
        <f t="shared" si="49"/>
        <v>0</v>
      </c>
      <c r="N50" s="16">
        <f t="shared" si="49"/>
        <v>0</v>
      </c>
      <c r="O50" s="16">
        <f t="shared" si="49"/>
        <v>0</v>
      </c>
      <c r="P50" s="16">
        <f t="shared" si="43"/>
        <v>0</v>
      </c>
      <c r="Q50" s="16">
        <f t="shared" si="43"/>
        <v>0</v>
      </c>
      <c r="R50" s="8">
        <f t="shared" si="35"/>
        <v>0</v>
      </c>
      <c r="S50" s="363">
        <f t="shared" si="37"/>
        <v>0</v>
      </c>
      <c r="T50" s="363">
        <f t="shared" si="37"/>
        <v>0</v>
      </c>
      <c r="U50" s="363">
        <f t="shared" si="37"/>
        <v>0</v>
      </c>
      <c r="V50" s="363">
        <f t="shared" si="37"/>
        <v>0</v>
      </c>
      <c r="W50" s="363">
        <f t="shared" si="38"/>
        <v>0</v>
      </c>
      <c r="X50" s="363">
        <f t="shared" si="39"/>
        <v>0</v>
      </c>
      <c r="Y50" s="370"/>
      <c r="AI50" s="363"/>
      <c r="AJ50" s="363"/>
      <c r="AK50" s="363"/>
      <c r="AL50" s="363"/>
      <c r="AM50" s="363"/>
      <c r="AN50" s="363"/>
    </row>
    <row r="51" spans="1:40">
      <c r="A51" s="2" t="s">
        <v>88</v>
      </c>
      <c r="B51" s="16">
        <f t="shared" ref="B51:O51" si="50">B86*0.2</f>
        <v>0</v>
      </c>
      <c r="C51" s="16">
        <f t="shared" si="50"/>
        <v>0</v>
      </c>
      <c r="D51" s="16">
        <f t="shared" si="50"/>
        <v>0</v>
      </c>
      <c r="E51" s="16">
        <f t="shared" si="50"/>
        <v>0</v>
      </c>
      <c r="F51" s="16">
        <f t="shared" si="50"/>
        <v>0</v>
      </c>
      <c r="G51" s="16">
        <f t="shared" si="50"/>
        <v>0</v>
      </c>
      <c r="H51" s="16">
        <f t="shared" si="50"/>
        <v>0</v>
      </c>
      <c r="I51" s="16">
        <f t="shared" si="50"/>
        <v>0</v>
      </c>
      <c r="J51" s="16">
        <f t="shared" si="50"/>
        <v>0</v>
      </c>
      <c r="K51" s="16">
        <f t="shared" si="50"/>
        <v>0</v>
      </c>
      <c r="L51" s="16">
        <f t="shared" si="50"/>
        <v>0</v>
      </c>
      <c r="M51" s="16">
        <f t="shared" si="50"/>
        <v>0</v>
      </c>
      <c r="N51" s="16">
        <f t="shared" si="50"/>
        <v>0</v>
      </c>
      <c r="O51" s="16">
        <f t="shared" si="50"/>
        <v>0</v>
      </c>
      <c r="P51" s="16">
        <f t="shared" si="43"/>
        <v>0</v>
      </c>
      <c r="Q51" s="16">
        <f t="shared" si="43"/>
        <v>0</v>
      </c>
      <c r="R51" s="8">
        <f t="shared" si="35"/>
        <v>0</v>
      </c>
      <c r="S51" s="363">
        <f t="shared" si="37"/>
        <v>0</v>
      </c>
      <c r="T51" s="363">
        <f t="shared" si="37"/>
        <v>0</v>
      </c>
      <c r="U51" s="363">
        <f t="shared" si="37"/>
        <v>0</v>
      </c>
      <c r="V51" s="363">
        <f t="shared" si="37"/>
        <v>0</v>
      </c>
      <c r="W51" s="363">
        <f t="shared" si="38"/>
        <v>0</v>
      </c>
      <c r="X51" s="363">
        <f t="shared" si="39"/>
        <v>0</v>
      </c>
      <c r="Y51" s="370"/>
      <c r="AI51" s="363"/>
      <c r="AJ51" s="363"/>
      <c r="AK51" s="363"/>
      <c r="AL51" s="363"/>
      <c r="AM51" s="363"/>
      <c r="AN51" s="363"/>
    </row>
    <row r="52" spans="1:40">
      <c r="A52" s="2" t="s">
        <v>89</v>
      </c>
      <c r="B52" s="16">
        <f t="shared" ref="B52:O52" si="51">B87*0.2</f>
        <v>0</v>
      </c>
      <c r="C52" s="16">
        <f t="shared" si="51"/>
        <v>0</v>
      </c>
      <c r="D52" s="16">
        <f t="shared" si="51"/>
        <v>0</v>
      </c>
      <c r="E52" s="16">
        <f t="shared" si="51"/>
        <v>0</v>
      </c>
      <c r="F52" s="16">
        <f t="shared" si="51"/>
        <v>0</v>
      </c>
      <c r="G52" s="16">
        <f t="shared" si="51"/>
        <v>0</v>
      </c>
      <c r="H52" s="16">
        <f t="shared" si="51"/>
        <v>0</v>
      </c>
      <c r="I52" s="16">
        <f t="shared" si="51"/>
        <v>0</v>
      </c>
      <c r="J52" s="16">
        <f t="shared" si="51"/>
        <v>0</v>
      </c>
      <c r="K52" s="16">
        <f t="shared" si="51"/>
        <v>0</v>
      </c>
      <c r="L52" s="16">
        <f t="shared" si="51"/>
        <v>0</v>
      </c>
      <c r="M52" s="16">
        <f t="shared" si="51"/>
        <v>0</v>
      </c>
      <c r="N52" s="16">
        <f t="shared" si="51"/>
        <v>0</v>
      </c>
      <c r="O52" s="16">
        <f t="shared" si="51"/>
        <v>0</v>
      </c>
      <c r="P52" s="16">
        <f t="shared" si="43"/>
        <v>0</v>
      </c>
      <c r="Q52" s="16">
        <f t="shared" si="43"/>
        <v>0</v>
      </c>
      <c r="R52" s="8">
        <f t="shared" si="35"/>
        <v>0</v>
      </c>
      <c r="S52" s="363">
        <f t="shared" si="37"/>
        <v>0</v>
      </c>
      <c r="T52" s="363">
        <f t="shared" si="37"/>
        <v>0</v>
      </c>
      <c r="U52" s="363">
        <f t="shared" si="37"/>
        <v>0</v>
      </c>
      <c r="V52" s="363">
        <f t="shared" si="37"/>
        <v>0</v>
      </c>
      <c r="W52" s="363">
        <f t="shared" si="38"/>
        <v>0</v>
      </c>
      <c r="X52" s="363">
        <f t="shared" si="39"/>
        <v>0</v>
      </c>
      <c r="Y52" s="370"/>
      <c r="AI52" s="363"/>
      <c r="AJ52" s="363"/>
      <c r="AK52" s="363"/>
      <c r="AL52" s="363"/>
      <c r="AM52" s="363"/>
      <c r="AN52" s="363"/>
    </row>
    <row r="53" spans="1:40">
      <c r="A53" s="2" t="s">
        <v>90</v>
      </c>
      <c r="B53" s="16">
        <f t="shared" ref="B53:O53" si="52">B88*0.2</f>
        <v>0</v>
      </c>
      <c r="C53" s="16">
        <f t="shared" si="52"/>
        <v>0</v>
      </c>
      <c r="D53" s="16">
        <f t="shared" si="52"/>
        <v>0</v>
      </c>
      <c r="E53" s="16">
        <f t="shared" si="52"/>
        <v>0</v>
      </c>
      <c r="F53" s="16">
        <f t="shared" si="52"/>
        <v>0</v>
      </c>
      <c r="G53" s="16">
        <f t="shared" si="52"/>
        <v>0</v>
      </c>
      <c r="H53" s="16">
        <f t="shared" si="52"/>
        <v>0</v>
      </c>
      <c r="I53" s="16">
        <f t="shared" si="52"/>
        <v>0</v>
      </c>
      <c r="J53" s="16">
        <f t="shared" si="52"/>
        <v>0</v>
      </c>
      <c r="K53" s="16">
        <f t="shared" si="52"/>
        <v>0</v>
      </c>
      <c r="L53" s="16">
        <f t="shared" si="52"/>
        <v>0</v>
      </c>
      <c r="M53" s="16">
        <f t="shared" si="52"/>
        <v>0</v>
      </c>
      <c r="N53" s="16">
        <f t="shared" si="52"/>
        <v>0</v>
      </c>
      <c r="O53" s="16">
        <f t="shared" si="52"/>
        <v>0</v>
      </c>
      <c r="P53" s="16">
        <f t="shared" si="43"/>
        <v>0</v>
      </c>
      <c r="Q53" s="16">
        <f t="shared" si="43"/>
        <v>0</v>
      </c>
      <c r="R53" s="8">
        <f t="shared" si="35"/>
        <v>0</v>
      </c>
      <c r="S53" s="363">
        <f t="shared" si="37"/>
        <v>0</v>
      </c>
      <c r="T53" s="363">
        <f t="shared" si="37"/>
        <v>0</v>
      </c>
      <c r="U53" s="363">
        <f t="shared" si="37"/>
        <v>0</v>
      </c>
      <c r="V53" s="363">
        <f t="shared" si="37"/>
        <v>0</v>
      </c>
      <c r="W53" s="363">
        <f t="shared" si="38"/>
        <v>0</v>
      </c>
      <c r="X53" s="363">
        <f t="shared" si="39"/>
        <v>0</v>
      </c>
      <c r="Y53" s="370"/>
      <c r="AI53" s="363"/>
      <c r="AJ53" s="363"/>
      <c r="AK53" s="363"/>
      <c r="AL53" s="363"/>
      <c r="AM53" s="363"/>
      <c r="AN53" s="363"/>
    </row>
    <row r="54" spans="1:40">
      <c r="A54" s="2" t="s">
        <v>91</v>
      </c>
      <c r="B54" s="16">
        <f t="shared" ref="B54:O54" si="53">B89*0.2</f>
        <v>0</v>
      </c>
      <c r="C54" s="16">
        <f t="shared" si="53"/>
        <v>0</v>
      </c>
      <c r="D54" s="16">
        <f t="shared" si="53"/>
        <v>0</v>
      </c>
      <c r="E54" s="16">
        <f t="shared" si="53"/>
        <v>0</v>
      </c>
      <c r="F54" s="16">
        <f t="shared" si="53"/>
        <v>0</v>
      </c>
      <c r="G54" s="16">
        <f t="shared" si="53"/>
        <v>0</v>
      </c>
      <c r="H54" s="16">
        <f t="shared" si="53"/>
        <v>0</v>
      </c>
      <c r="I54" s="16">
        <f t="shared" si="53"/>
        <v>0</v>
      </c>
      <c r="J54" s="16">
        <f t="shared" si="53"/>
        <v>0</v>
      </c>
      <c r="K54" s="16">
        <f t="shared" si="53"/>
        <v>0</v>
      </c>
      <c r="L54" s="16">
        <f t="shared" si="53"/>
        <v>0</v>
      </c>
      <c r="M54" s="16">
        <f t="shared" si="53"/>
        <v>0</v>
      </c>
      <c r="N54" s="16">
        <f t="shared" si="53"/>
        <v>0</v>
      </c>
      <c r="O54" s="16">
        <f t="shared" si="53"/>
        <v>0</v>
      </c>
      <c r="P54" s="16">
        <f t="shared" si="43"/>
        <v>0</v>
      </c>
      <c r="Q54" s="16">
        <f t="shared" si="43"/>
        <v>0</v>
      </c>
      <c r="R54" s="8">
        <f t="shared" si="35"/>
        <v>0</v>
      </c>
      <c r="S54" s="363">
        <f t="shared" si="37"/>
        <v>0</v>
      </c>
      <c r="T54" s="363">
        <f t="shared" si="37"/>
        <v>0</v>
      </c>
      <c r="U54" s="363">
        <f t="shared" si="37"/>
        <v>0</v>
      </c>
      <c r="V54" s="363">
        <f t="shared" si="37"/>
        <v>0</v>
      </c>
      <c r="W54" s="363">
        <f t="shared" si="38"/>
        <v>0</v>
      </c>
      <c r="X54" s="363">
        <f t="shared" si="39"/>
        <v>0</v>
      </c>
      <c r="Y54" s="370"/>
      <c r="AI54" s="363"/>
      <c r="AJ54" s="363"/>
      <c r="AK54" s="363"/>
      <c r="AL54" s="363"/>
      <c r="AM54" s="363"/>
      <c r="AN54" s="363"/>
    </row>
    <row r="55" spans="1:40">
      <c r="A55" s="2" t="s">
        <v>92</v>
      </c>
      <c r="B55" s="16">
        <f t="shared" ref="B55:O55" si="54">B90*0.2</f>
        <v>0</v>
      </c>
      <c r="C55" s="16">
        <f t="shared" si="54"/>
        <v>0</v>
      </c>
      <c r="D55" s="16">
        <f t="shared" si="54"/>
        <v>0</v>
      </c>
      <c r="E55" s="16">
        <f t="shared" si="54"/>
        <v>0</v>
      </c>
      <c r="F55" s="16">
        <f t="shared" si="54"/>
        <v>0</v>
      </c>
      <c r="G55" s="16">
        <f t="shared" si="54"/>
        <v>0</v>
      </c>
      <c r="H55" s="16">
        <f t="shared" si="54"/>
        <v>0</v>
      </c>
      <c r="I55" s="16">
        <f t="shared" si="54"/>
        <v>0</v>
      </c>
      <c r="J55" s="16">
        <f t="shared" si="54"/>
        <v>0</v>
      </c>
      <c r="K55" s="16">
        <f t="shared" si="54"/>
        <v>0</v>
      </c>
      <c r="L55" s="16">
        <f t="shared" si="54"/>
        <v>0</v>
      </c>
      <c r="M55" s="16">
        <f t="shared" si="54"/>
        <v>0</v>
      </c>
      <c r="N55" s="16">
        <f t="shared" si="54"/>
        <v>0</v>
      </c>
      <c r="O55" s="16">
        <f t="shared" si="54"/>
        <v>0</v>
      </c>
      <c r="P55" s="16">
        <f t="shared" si="43"/>
        <v>0</v>
      </c>
      <c r="Q55" s="16">
        <f t="shared" si="43"/>
        <v>0</v>
      </c>
      <c r="R55" s="8">
        <f t="shared" si="35"/>
        <v>0</v>
      </c>
      <c r="S55" s="363">
        <f t="shared" si="37"/>
        <v>0</v>
      </c>
      <c r="T55" s="363">
        <f t="shared" si="37"/>
        <v>0</v>
      </c>
      <c r="U55" s="363">
        <f t="shared" si="37"/>
        <v>0</v>
      </c>
      <c r="V55" s="363">
        <f t="shared" si="37"/>
        <v>0</v>
      </c>
      <c r="W55" s="363">
        <f t="shared" si="38"/>
        <v>0</v>
      </c>
      <c r="X55" s="363">
        <f t="shared" si="39"/>
        <v>0</v>
      </c>
      <c r="Y55" s="370"/>
      <c r="AI55" s="363"/>
      <c r="AJ55" s="363"/>
      <c r="AK55" s="363"/>
      <c r="AL55" s="363"/>
      <c r="AM55" s="363"/>
      <c r="AN55" s="363"/>
    </row>
    <row r="56" spans="1:40">
      <c r="A56" s="2" t="s">
        <v>93</v>
      </c>
      <c r="B56" s="16">
        <f t="shared" ref="B56:O56" si="55">B91*0.2</f>
        <v>0</v>
      </c>
      <c r="C56" s="16">
        <f t="shared" si="55"/>
        <v>0</v>
      </c>
      <c r="D56" s="16">
        <f t="shared" si="55"/>
        <v>0</v>
      </c>
      <c r="E56" s="16">
        <f t="shared" si="55"/>
        <v>0</v>
      </c>
      <c r="F56" s="16">
        <f t="shared" si="55"/>
        <v>0</v>
      </c>
      <c r="G56" s="16">
        <f t="shared" si="55"/>
        <v>0</v>
      </c>
      <c r="H56" s="16">
        <f t="shared" si="55"/>
        <v>0</v>
      </c>
      <c r="I56" s="16">
        <f t="shared" si="55"/>
        <v>0</v>
      </c>
      <c r="J56" s="16">
        <f t="shared" si="55"/>
        <v>0</v>
      </c>
      <c r="K56" s="16">
        <f t="shared" si="55"/>
        <v>0</v>
      </c>
      <c r="L56" s="16">
        <f t="shared" si="55"/>
        <v>0</v>
      </c>
      <c r="M56" s="16">
        <f t="shared" si="55"/>
        <v>0</v>
      </c>
      <c r="N56" s="16">
        <f t="shared" si="55"/>
        <v>0</v>
      </c>
      <c r="O56" s="16">
        <f t="shared" si="55"/>
        <v>0</v>
      </c>
      <c r="P56" s="16">
        <f t="shared" si="43"/>
        <v>0</v>
      </c>
      <c r="Q56" s="16">
        <f t="shared" si="43"/>
        <v>0</v>
      </c>
      <c r="R56" s="8">
        <f t="shared" si="35"/>
        <v>0</v>
      </c>
      <c r="S56" s="363">
        <f t="shared" si="37"/>
        <v>0</v>
      </c>
      <c r="T56" s="363">
        <f t="shared" si="37"/>
        <v>0</v>
      </c>
      <c r="U56" s="363">
        <f t="shared" si="37"/>
        <v>0</v>
      </c>
      <c r="V56" s="363">
        <f t="shared" si="37"/>
        <v>0</v>
      </c>
      <c r="W56" s="363">
        <f t="shared" si="38"/>
        <v>0</v>
      </c>
      <c r="X56" s="363">
        <f t="shared" si="39"/>
        <v>0</v>
      </c>
      <c r="Y56" s="370"/>
      <c r="AI56" s="363"/>
      <c r="AJ56" s="363"/>
      <c r="AK56" s="363"/>
      <c r="AL56" s="363"/>
      <c r="AM56" s="363"/>
      <c r="AN56" s="363"/>
    </row>
    <row r="57" spans="1:40">
      <c r="A57" s="2" t="s">
        <v>94</v>
      </c>
      <c r="B57" s="16">
        <f t="shared" ref="B57:O57" si="56">B92*0.2</f>
        <v>0</v>
      </c>
      <c r="C57" s="16">
        <f t="shared" si="56"/>
        <v>0</v>
      </c>
      <c r="D57" s="16">
        <f t="shared" si="56"/>
        <v>0</v>
      </c>
      <c r="E57" s="16">
        <f t="shared" si="56"/>
        <v>0</v>
      </c>
      <c r="F57" s="16">
        <f t="shared" si="56"/>
        <v>0</v>
      </c>
      <c r="G57" s="16">
        <f t="shared" si="56"/>
        <v>0</v>
      </c>
      <c r="H57" s="16">
        <f t="shared" si="56"/>
        <v>0</v>
      </c>
      <c r="I57" s="16">
        <f t="shared" si="56"/>
        <v>0</v>
      </c>
      <c r="J57" s="16">
        <f t="shared" si="56"/>
        <v>0</v>
      </c>
      <c r="K57" s="16">
        <f t="shared" si="56"/>
        <v>0</v>
      </c>
      <c r="L57" s="16">
        <f t="shared" si="56"/>
        <v>0</v>
      </c>
      <c r="M57" s="16">
        <f t="shared" si="56"/>
        <v>0</v>
      </c>
      <c r="N57" s="16">
        <f t="shared" si="56"/>
        <v>0</v>
      </c>
      <c r="O57" s="16">
        <f t="shared" si="56"/>
        <v>0</v>
      </c>
      <c r="P57" s="16">
        <f t="shared" si="43"/>
        <v>0</v>
      </c>
      <c r="Q57" s="16">
        <f t="shared" si="43"/>
        <v>0</v>
      </c>
      <c r="R57" s="8">
        <f t="shared" si="35"/>
        <v>0</v>
      </c>
      <c r="S57" s="363">
        <f t="shared" si="37"/>
        <v>0</v>
      </c>
      <c r="T57" s="363">
        <f t="shared" si="37"/>
        <v>0</v>
      </c>
      <c r="U57" s="363">
        <f t="shared" si="37"/>
        <v>0</v>
      </c>
      <c r="V57" s="363">
        <f t="shared" si="37"/>
        <v>0</v>
      </c>
      <c r="W57" s="363">
        <f t="shared" si="38"/>
        <v>0</v>
      </c>
      <c r="X57" s="363">
        <f t="shared" si="39"/>
        <v>0</v>
      </c>
      <c r="Y57" s="370"/>
      <c r="AI57" s="363"/>
      <c r="AJ57" s="363"/>
      <c r="AK57" s="363"/>
      <c r="AL57" s="363"/>
      <c r="AM57" s="363"/>
      <c r="AN57" s="363"/>
    </row>
    <row r="58" spans="1:40">
      <c r="A58" s="2" t="s">
        <v>95</v>
      </c>
      <c r="B58" s="16">
        <f t="shared" ref="B58:O58" si="57">B93*0.2</f>
        <v>0</v>
      </c>
      <c r="C58" s="16">
        <f t="shared" si="57"/>
        <v>0</v>
      </c>
      <c r="D58" s="16">
        <f t="shared" si="57"/>
        <v>0</v>
      </c>
      <c r="E58" s="16">
        <f t="shared" si="57"/>
        <v>0</v>
      </c>
      <c r="F58" s="16">
        <f t="shared" si="57"/>
        <v>0</v>
      </c>
      <c r="G58" s="16">
        <f t="shared" si="57"/>
        <v>0</v>
      </c>
      <c r="H58" s="16">
        <f t="shared" si="57"/>
        <v>0</v>
      </c>
      <c r="I58" s="16">
        <f t="shared" si="57"/>
        <v>0</v>
      </c>
      <c r="J58" s="16">
        <f t="shared" si="57"/>
        <v>0</v>
      </c>
      <c r="K58" s="16">
        <f t="shared" si="57"/>
        <v>0</v>
      </c>
      <c r="L58" s="16">
        <f t="shared" si="57"/>
        <v>0</v>
      </c>
      <c r="M58" s="16">
        <f t="shared" si="57"/>
        <v>0</v>
      </c>
      <c r="N58" s="16">
        <f t="shared" si="57"/>
        <v>0</v>
      </c>
      <c r="O58" s="16">
        <f t="shared" si="57"/>
        <v>0</v>
      </c>
      <c r="P58" s="16">
        <f t="shared" si="43"/>
        <v>0</v>
      </c>
      <c r="Q58" s="16">
        <f t="shared" si="43"/>
        <v>0</v>
      </c>
      <c r="R58" s="8">
        <f t="shared" si="35"/>
        <v>0</v>
      </c>
      <c r="S58" s="363">
        <f t="shared" si="37"/>
        <v>0</v>
      </c>
      <c r="T58" s="363">
        <f t="shared" si="37"/>
        <v>0</v>
      </c>
      <c r="U58" s="363">
        <f t="shared" si="37"/>
        <v>0</v>
      </c>
      <c r="V58" s="363">
        <f t="shared" si="37"/>
        <v>0</v>
      </c>
      <c r="W58" s="363">
        <f t="shared" si="38"/>
        <v>0</v>
      </c>
      <c r="X58" s="363">
        <f t="shared" si="39"/>
        <v>0</v>
      </c>
      <c r="Y58" s="370"/>
      <c r="AI58" s="363"/>
      <c r="AJ58" s="363"/>
      <c r="AK58" s="363"/>
      <c r="AL58" s="363"/>
      <c r="AM58" s="363"/>
      <c r="AN58" s="363"/>
    </row>
    <row r="59" spans="1:40">
      <c r="A59" s="2" t="s">
        <v>96</v>
      </c>
      <c r="B59" s="16">
        <f t="shared" ref="B59:O59" si="58">B94*0.2</f>
        <v>0</v>
      </c>
      <c r="C59" s="16">
        <f t="shared" si="58"/>
        <v>0</v>
      </c>
      <c r="D59" s="16">
        <f t="shared" si="58"/>
        <v>0</v>
      </c>
      <c r="E59" s="16">
        <f t="shared" si="58"/>
        <v>0</v>
      </c>
      <c r="F59" s="16">
        <f t="shared" si="58"/>
        <v>0</v>
      </c>
      <c r="G59" s="16">
        <f t="shared" si="58"/>
        <v>0</v>
      </c>
      <c r="H59" s="16">
        <f t="shared" si="58"/>
        <v>0</v>
      </c>
      <c r="I59" s="16">
        <f t="shared" si="58"/>
        <v>0</v>
      </c>
      <c r="J59" s="16">
        <f t="shared" si="58"/>
        <v>0</v>
      </c>
      <c r="K59" s="16">
        <f t="shared" si="58"/>
        <v>0</v>
      </c>
      <c r="L59" s="16">
        <f t="shared" si="58"/>
        <v>0</v>
      </c>
      <c r="M59" s="16">
        <f t="shared" si="58"/>
        <v>0</v>
      </c>
      <c r="N59" s="16">
        <f t="shared" si="58"/>
        <v>0</v>
      </c>
      <c r="O59" s="16">
        <f t="shared" si="58"/>
        <v>0</v>
      </c>
      <c r="P59" s="16">
        <f t="shared" si="43"/>
        <v>0</v>
      </c>
      <c r="Q59" s="16">
        <f t="shared" si="43"/>
        <v>0</v>
      </c>
      <c r="R59" s="8">
        <f t="shared" si="35"/>
        <v>0</v>
      </c>
      <c r="S59" s="363">
        <f t="shared" si="37"/>
        <v>0</v>
      </c>
      <c r="T59" s="363">
        <f t="shared" si="37"/>
        <v>0</v>
      </c>
      <c r="U59" s="363">
        <f t="shared" si="37"/>
        <v>0</v>
      </c>
      <c r="V59" s="363">
        <f t="shared" si="37"/>
        <v>0</v>
      </c>
      <c r="W59" s="363">
        <f t="shared" si="38"/>
        <v>0</v>
      </c>
      <c r="X59" s="363">
        <f t="shared" si="39"/>
        <v>0</v>
      </c>
      <c r="Y59" s="370"/>
      <c r="AI59" s="363"/>
      <c r="AJ59" s="363"/>
      <c r="AK59" s="363"/>
      <c r="AL59" s="363"/>
      <c r="AM59" s="363"/>
      <c r="AN59" s="363"/>
    </row>
    <row r="60" spans="1:40">
      <c r="A60" s="2" t="s">
        <v>97</v>
      </c>
      <c r="B60" s="16">
        <f t="shared" ref="B60:O60" si="59">B95*0.2</f>
        <v>0</v>
      </c>
      <c r="C60" s="16">
        <f t="shared" si="59"/>
        <v>0</v>
      </c>
      <c r="D60" s="16">
        <f t="shared" si="59"/>
        <v>0</v>
      </c>
      <c r="E60" s="16">
        <f t="shared" si="59"/>
        <v>0</v>
      </c>
      <c r="F60" s="16">
        <f t="shared" si="59"/>
        <v>0</v>
      </c>
      <c r="G60" s="16">
        <f t="shared" si="59"/>
        <v>0</v>
      </c>
      <c r="H60" s="16">
        <f t="shared" si="59"/>
        <v>0</v>
      </c>
      <c r="I60" s="16">
        <f t="shared" si="59"/>
        <v>0</v>
      </c>
      <c r="J60" s="16">
        <f t="shared" si="59"/>
        <v>0</v>
      </c>
      <c r="K60" s="16">
        <f t="shared" si="59"/>
        <v>0</v>
      </c>
      <c r="L60" s="16">
        <f t="shared" si="59"/>
        <v>0</v>
      </c>
      <c r="M60" s="16">
        <f t="shared" si="59"/>
        <v>0</v>
      </c>
      <c r="N60" s="16">
        <f t="shared" si="59"/>
        <v>0</v>
      </c>
      <c r="O60" s="16">
        <f t="shared" si="59"/>
        <v>0</v>
      </c>
      <c r="P60" s="16">
        <f t="shared" si="43"/>
        <v>0</v>
      </c>
      <c r="Q60" s="16">
        <f t="shared" si="43"/>
        <v>0</v>
      </c>
      <c r="R60" s="8">
        <f t="shared" si="35"/>
        <v>0</v>
      </c>
      <c r="S60" s="363">
        <f t="shared" si="37"/>
        <v>0</v>
      </c>
      <c r="T60" s="363">
        <f t="shared" si="37"/>
        <v>0</v>
      </c>
      <c r="U60" s="363">
        <f t="shared" si="37"/>
        <v>0</v>
      </c>
      <c r="V60" s="363">
        <f t="shared" si="37"/>
        <v>0</v>
      </c>
      <c r="W60" s="363">
        <f t="shared" si="38"/>
        <v>0</v>
      </c>
      <c r="X60" s="363">
        <f t="shared" si="39"/>
        <v>0</v>
      </c>
      <c r="Y60" s="370"/>
      <c r="AI60" s="363"/>
      <c r="AJ60" s="363"/>
      <c r="AK60" s="363"/>
      <c r="AL60" s="363"/>
      <c r="AM60" s="363"/>
      <c r="AN60" s="363"/>
    </row>
    <row r="61" spans="1:40">
      <c r="A61" s="2" t="s">
        <v>98</v>
      </c>
      <c r="B61" s="16">
        <f t="shared" ref="B61:O61" si="60">B96*0.2</f>
        <v>0</v>
      </c>
      <c r="C61" s="16">
        <f t="shared" si="60"/>
        <v>0</v>
      </c>
      <c r="D61" s="16">
        <f t="shared" si="60"/>
        <v>0</v>
      </c>
      <c r="E61" s="16">
        <f t="shared" si="60"/>
        <v>0</v>
      </c>
      <c r="F61" s="16">
        <f t="shared" si="60"/>
        <v>0</v>
      </c>
      <c r="G61" s="16">
        <f t="shared" si="60"/>
        <v>0</v>
      </c>
      <c r="H61" s="16">
        <f t="shared" si="60"/>
        <v>0</v>
      </c>
      <c r="I61" s="16">
        <f t="shared" si="60"/>
        <v>0</v>
      </c>
      <c r="J61" s="16">
        <f t="shared" si="60"/>
        <v>0</v>
      </c>
      <c r="K61" s="16">
        <f t="shared" si="60"/>
        <v>0</v>
      </c>
      <c r="L61" s="16">
        <f t="shared" si="60"/>
        <v>0</v>
      </c>
      <c r="M61" s="16">
        <f t="shared" si="60"/>
        <v>0</v>
      </c>
      <c r="N61" s="16">
        <f t="shared" si="60"/>
        <v>0</v>
      </c>
      <c r="O61" s="16">
        <f t="shared" si="60"/>
        <v>0</v>
      </c>
      <c r="P61" s="16">
        <f t="shared" si="43"/>
        <v>0</v>
      </c>
      <c r="Q61" s="16">
        <f t="shared" si="43"/>
        <v>0</v>
      </c>
      <c r="R61" s="8">
        <f t="shared" si="35"/>
        <v>0</v>
      </c>
      <c r="S61" s="363">
        <f t="shared" si="37"/>
        <v>0</v>
      </c>
      <c r="T61" s="363">
        <f t="shared" si="37"/>
        <v>0</v>
      </c>
      <c r="U61" s="363">
        <f t="shared" si="37"/>
        <v>0</v>
      </c>
      <c r="V61" s="363">
        <f t="shared" si="37"/>
        <v>0</v>
      </c>
      <c r="W61" s="363">
        <f t="shared" si="38"/>
        <v>0</v>
      </c>
      <c r="X61" s="363">
        <f t="shared" si="39"/>
        <v>0</v>
      </c>
      <c r="Y61" s="370"/>
      <c r="AI61" s="363"/>
      <c r="AJ61" s="363"/>
      <c r="AK61" s="363"/>
      <c r="AL61" s="363"/>
      <c r="AM61" s="363"/>
      <c r="AN61" s="363"/>
    </row>
    <row r="62" spans="1:40">
      <c r="A62" s="2" t="s">
        <v>99</v>
      </c>
      <c r="B62" s="16">
        <f t="shared" ref="B62:O62" si="61">B97*0.2</f>
        <v>0</v>
      </c>
      <c r="C62" s="16">
        <f t="shared" si="61"/>
        <v>0</v>
      </c>
      <c r="D62" s="16">
        <f t="shared" si="61"/>
        <v>0</v>
      </c>
      <c r="E62" s="16">
        <f t="shared" si="61"/>
        <v>0</v>
      </c>
      <c r="F62" s="16">
        <f t="shared" si="61"/>
        <v>0</v>
      </c>
      <c r="G62" s="16">
        <f t="shared" si="61"/>
        <v>0</v>
      </c>
      <c r="H62" s="16">
        <f t="shared" si="61"/>
        <v>0</v>
      </c>
      <c r="I62" s="16">
        <f t="shared" si="61"/>
        <v>0</v>
      </c>
      <c r="J62" s="16">
        <f t="shared" si="61"/>
        <v>0</v>
      </c>
      <c r="K62" s="16">
        <f t="shared" si="61"/>
        <v>0</v>
      </c>
      <c r="L62" s="16">
        <f t="shared" si="61"/>
        <v>0</v>
      </c>
      <c r="M62" s="16">
        <f t="shared" si="61"/>
        <v>0</v>
      </c>
      <c r="N62" s="16">
        <f t="shared" si="61"/>
        <v>0</v>
      </c>
      <c r="O62" s="16">
        <f t="shared" si="61"/>
        <v>0</v>
      </c>
      <c r="P62" s="16">
        <f t="shared" si="43"/>
        <v>0</v>
      </c>
      <c r="Q62" s="16">
        <f t="shared" si="43"/>
        <v>0</v>
      </c>
      <c r="R62" s="8">
        <f t="shared" si="35"/>
        <v>0</v>
      </c>
      <c r="S62" s="363">
        <f t="shared" si="37"/>
        <v>0</v>
      </c>
      <c r="T62" s="363">
        <f t="shared" si="37"/>
        <v>0</v>
      </c>
      <c r="U62" s="363">
        <f t="shared" si="37"/>
        <v>0</v>
      </c>
      <c r="V62" s="363">
        <f t="shared" si="37"/>
        <v>0</v>
      </c>
      <c r="W62" s="363">
        <f t="shared" si="38"/>
        <v>0</v>
      </c>
      <c r="X62" s="363">
        <f t="shared" si="39"/>
        <v>0</v>
      </c>
      <c r="Y62" s="370"/>
      <c r="AI62" s="363"/>
      <c r="AJ62" s="363"/>
      <c r="AK62" s="363"/>
      <c r="AL62" s="363"/>
      <c r="AM62" s="363"/>
      <c r="AN62" s="363"/>
    </row>
    <row r="63" spans="1:40">
      <c r="A63" s="2" t="s">
        <v>100</v>
      </c>
      <c r="B63" s="16">
        <f t="shared" ref="B63:O63" si="62">B98*0.2</f>
        <v>0</v>
      </c>
      <c r="C63" s="16">
        <f t="shared" si="62"/>
        <v>0</v>
      </c>
      <c r="D63" s="16">
        <f t="shared" si="62"/>
        <v>0</v>
      </c>
      <c r="E63" s="16">
        <f t="shared" si="62"/>
        <v>0</v>
      </c>
      <c r="F63" s="16">
        <f t="shared" si="62"/>
        <v>0</v>
      </c>
      <c r="G63" s="16">
        <f t="shared" si="62"/>
        <v>0</v>
      </c>
      <c r="H63" s="16">
        <f t="shared" si="62"/>
        <v>0</v>
      </c>
      <c r="I63" s="16">
        <f t="shared" si="62"/>
        <v>0</v>
      </c>
      <c r="J63" s="16">
        <f t="shared" si="62"/>
        <v>0</v>
      </c>
      <c r="K63" s="16">
        <f t="shared" si="62"/>
        <v>0</v>
      </c>
      <c r="L63" s="16">
        <f t="shared" si="62"/>
        <v>0</v>
      </c>
      <c r="M63" s="16">
        <f t="shared" si="62"/>
        <v>0</v>
      </c>
      <c r="N63" s="16">
        <f t="shared" si="62"/>
        <v>0</v>
      </c>
      <c r="O63" s="16">
        <f t="shared" si="62"/>
        <v>0</v>
      </c>
      <c r="P63" s="16">
        <f t="shared" si="43"/>
        <v>0</v>
      </c>
      <c r="Q63" s="16">
        <f t="shared" si="43"/>
        <v>0</v>
      </c>
      <c r="R63" s="8">
        <f t="shared" si="35"/>
        <v>0</v>
      </c>
      <c r="S63" s="363">
        <f t="shared" si="37"/>
        <v>0</v>
      </c>
      <c r="T63" s="363">
        <f t="shared" si="37"/>
        <v>0</v>
      </c>
      <c r="U63" s="363">
        <f t="shared" si="37"/>
        <v>0</v>
      </c>
      <c r="V63" s="363">
        <f t="shared" si="37"/>
        <v>0</v>
      </c>
      <c r="W63" s="363">
        <f t="shared" si="38"/>
        <v>0</v>
      </c>
      <c r="X63" s="363">
        <f t="shared" si="39"/>
        <v>0</v>
      </c>
      <c r="Y63" s="370"/>
      <c r="AI63" s="363"/>
      <c r="AJ63" s="363"/>
      <c r="AK63" s="363"/>
      <c r="AL63" s="363"/>
      <c r="AM63" s="363"/>
      <c r="AN63" s="363"/>
    </row>
    <row r="64" spans="1:40">
      <c r="A64" s="2" t="s">
        <v>101</v>
      </c>
      <c r="B64" s="16">
        <f t="shared" ref="B64:O64" si="63">B99*0.2</f>
        <v>0</v>
      </c>
      <c r="C64" s="16">
        <f t="shared" si="63"/>
        <v>0</v>
      </c>
      <c r="D64" s="16">
        <f t="shared" si="63"/>
        <v>0</v>
      </c>
      <c r="E64" s="16">
        <f t="shared" si="63"/>
        <v>0</v>
      </c>
      <c r="F64" s="16">
        <f t="shared" si="63"/>
        <v>0</v>
      </c>
      <c r="G64" s="16">
        <f t="shared" si="63"/>
        <v>0</v>
      </c>
      <c r="H64" s="16">
        <f t="shared" si="63"/>
        <v>0</v>
      </c>
      <c r="I64" s="16">
        <f t="shared" si="63"/>
        <v>0</v>
      </c>
      <c r="J64" s="16">
        <f t="shared" si="63"/>
        <v>0</v>
      </c>
      <c r="K64" s="16">
        <f t="shared" si="63"/>
        <v>0</v>
      </c>
      <c r="L64" s="16">
        <f t="shared" si="63"/>
        <v>0</v>
      </c>
      <c r="M64" s="16">
        <f t="shared" si="63"/>
        <v>0</v>
      </c>
      <c r="N64" s="16">
        <f t="shared" si="63"/>
        <v>0</v>
      </c>
      <c r="O64" s="16">
        <f t="shared" si="63"/>
        <v>0</v>
      </c>
      <c r="P64" s="16">
        <v>0</v>
      </c>
      <c r="Q64" s="16">
        <v>0</v>
      </c>
      <c r="R64" s="8">
        <f t="shared" si="35"/>
        <v>0</v>
      </c>
      <c r="S64" s="363">
        <f t="shared" si="37"/>
        <v>0</v>
      </c>
      <c r="T64" s="363">
        <f t="shared" si="37"/>
        <v>0</v>
      </c>
      <c r="U64" s="363">
        <f t="shared" si="37"/>
        <v>0</v>
      </c>
      <c r="V64" s="363">
        <f t="shared" si="37"/>
        <v>0</v>
      </c>
      <c r="W64" s="363">
        <f t="shared" si="38"/>
        <v>0</v>
      </c>
      <c r="X64" s="363">
        <f t="shared" si="39"/>
        <v>0</v>
      </c>
      <c r="Y64" s="370"/>
      <c r="AI64" s="363"/>
      <c r="AJ64" s="363"/>
      <c r="AK64" s="363"/>
      <c r="AL64" s="363"/>
      <c r="AM64" s="363"/>
      <c r="AN64" s="363"/>
    </row>
    <row r="65" spans="1:40">
      <c r="A65" s="2" t="s">
        <v>102</v>
      </c>
      <c r="B65" s="16">
        <f t="shared" ref="B65:O65" si="64">B100*0.2</f>
        <v>0</v>
      </c>
      <c r="C65" s="16">
        <f t="shared" si="64"/>
        <v>0</v>
      </c>
      <c r="D65" s="16">
        <f t="shared" si="64"/>
        <v>0</v>
      </c>
      <c r="E65" s="16">
        <f t="shared" si="64"/>
        <v>0</v>
      </c>
      <c r="F65" s="16">
        <f t="shared" si="64"/>
        <v>0</v>
      </c>
      <c r="G65" s="16">
        <f t="shared" si="64"/>
        <v>0</v>
      </c>
      <c r="H65" s="16">
        <f t="shared" si="64"/>
        <v>0</v>
      </c>
      <c r="I65" s="16">
        <f t="shared" si="64"/>
        <v>0</v>
      </c>
      <c r="J65" s="16">
        <f t="shared" si="64"/>
        <v>0</v>
      </c>
      <c r="K65" s="16">
        <f t="shared" si="64"/>
        <v>0</v>
      </c>
      <c r="L65" s="16">
        <f t="shared" si="64"/>
        <v>0</v>
      </c>
      <c r="M65" s="16">
        <f t="shared" si="64"/>
        <v>0</v>
      </c>
      <c r="N65" s="16">
        <f t="shared" si="64"/>
        <v>0</v>
      </c>
      <c r="O65" s="16">
        <f t="shared" si="64"/>
        <v>0</v>
      </c>
      <c r="P65" s="16">
        <f>P100*0.2</f>
        <v>0</v>
      </c>
      <c r="Q65" s="16">
        <f>Q100*0.2</f>
        <v>0</v>
      </c>
      <c r="R65" s="8">
        <f t="shared" si="35"/>
        <v>0</v>
      </c>
      <c r="S65" s="363">
        <f t="shared" si="37"/>
        <v>0</v>
      </c>
      <c r="T65" s="363">
        <f t="shared" si="37"/>
        <v>0</v>
      </c>
      <c r="U65" s="363">
        <f t="shared" si="37"/>
        <v>0</v>
      </c>
      <c r="V65" s="363">
        <f t="shared" si="37"/>
        <v>0</v>
      </c>
      <c r="W65" s="363">
        <f t="shared" si="38"/>
        <v>0</v>
      </c>
      <c r="X65" s="363">
        <f t="shared" si="39"/>
        <v>0</v>
      </c>
      <c r="Y65" s="370"/>
      <c r="AI65" s="363"/>
      <c r="AJ65" s="363"/>
      <c r="AK65" s="363"/>
      <c r="AL65" s="363"/>
      <c r="AM65" s="363"/>
      <c r="AN65" s="363"/>
    </row>
    <row r="66" spans="1:40">
      <c r="A66" s="2" t="s">
        <v>103</v>
      </c>
      <c r="B66" s="16">
        <f t="shared" ref="B66:O66" si="65">B101*0.2</f>
        <v>0</v>
      </c>
      <c r="C66" s="16">
        <f t="shared" si="65"/>
        <v>0</v>
      </c>
      <c r="D66" s="16">
        <f t="shared" si="65"/>
        <v>0</v>
      </c>
      <c r="E66" s="16">
        <f t="shared" si="65"/>
        <v>0</v>
      </c>
      <c r="F66" s="16">
        <f t="shared" si="65"/>
        <v>0</v>
      </c>
      <c r="G66" s="16">
        <f t="shared" si="65"/>
        <v>0</v>
      </c>
      <c r="H66" s="16">
        <f t="shared" si="65"/>
        <v>0</v>
      </c>
      <c r="I66" s="16">
        <f t="shared" si="65"/>
        <v>0</v>
      </c>
      <c r="J66" s="16">
        <f t="shared" si="65"/>
        <v>0</v>
      </c>
      <c r="K66" s="16">
        <f t="shared" si="65"/>
        <v>0</v>
      </c>
      <c r="L66" s="16">
        <f t="shared" si="65"/>
        <v>0</v>
      </c>
      <c r="M66" s="16">
        <f t="shared" si="65"/>
        <v>0</v>
      </c>
      <c r="N66" s="16">
        <f t="shared" si="65"/>
        <v>0</v>
      </c>
      <c r="O66" s="16">
        <f t="shared" si="65"/>
        <v>0</v>
      </c>
      <c r="P66" s="16">
        <f>P101*0.2</f>
        <v>0</v>
      </c>
      <c r="Q66" s="16">
        <f>Q101*0.2</f>
        <v>0</v>
      </c>
      <c r="R66" s="8">
        <f t="shared" si="35"/>
        <v>0</v>
      </c>
      <c r="S66" s="363">
        <f t="shared" si="37"/>
        <v>0</v>
      </c>
      <c r="T66" s="363">
        <f t="shared" si="37"/>
        <v>0</v>
      </c>
      <c r="U66" s="363">
        <f t="shared" si="37"/>
        <v>0</v>
      </c>
      <c r="V66" s="363">
        <f t="shared" si="37"/>
        <v>0</v>
      </c>
      <c r="W66" s="363">
        <f t="shared" si="38"/>
        <v>0</v>
      </c>
      <c r="X66" s="363">
        <f t="shared" si="39"/>
        <v>0</v>
      </c>
      <c r="Y66" s="370"/>
      <c r="AI66" s="363"/>
      <c r="AJ66" s="363"/>
      <c r="AK66" s="363"/>
      <c r="AL66" s="363"/>
      <c r="AM66" s="363"/>
      <c r="AN66" s="363"/>
    </row>
    <row r="67" spans="1:40">
      <c r="A67" s="6" t="s">
        <v>37</v>
      </c>
      <c r="B67" s="7">
        <f t="shared" ref="B67:R67" si="66">SUM(B40:B66)</f>
        <v>0</v>
      </c>
      <c r="C67" s="7">
        <f t="shared" si="66"/>
        <v>0</v>
      </c>
      <c r="D67" s="7">
        <f t="shared" si="66"/>
        <v>0</v>
      </c>
      <c r="E67" s="7">
        <f t="shared" si="66"/>
        <v>0</v>
      </c>
      <c r="F67" s="7">
        <f t="shared" si="66"/>
        <v>0</v>
      </c>
      <c r="G67" s="7">
        <f t="shared" si="66"/>
        <v>0</v>
      </c>
      <c r="H67" s="7">
        <f t="shared" si="66"/>
        <v>0</v>
      </c>
      <c r="I67" s="7">
        <f t="shared" si="66"/>
        <v>0</v>
      </c>
      <c r="J67" s="7">
        <f t="shared" si="66"/>
        <v>0</v>
      </c>
      <c r="K67" s="7">
        <f t="shared" si="66"/>
        <v>0</v>
      </c>
      <c r="L67" s="7">
        <f t="shared" si="66"/>
        <v>0</v>
      </c>
      <c r="M67" s="7">
        <f t="shared" si="66"/>
        <v>0</v>
      </c>
      <c r="N67" s="7">
        <f t="shared" si="66"/>
        <v>0</v>
      </c>
      <c r="O67" s="7">
        <f t="shared" si="66"/>
        <v>0</v>
      </c>
      <c r="P67" s="7">
        <f t="shared" si="66"/>
        <v>0</v>
      </c>
      <c r="Q67" s="7">
        <f t="shared" si="66"/>
        <v>0</v>
      </c>
      <c r="R67" s="9">
        <f t="shared" si="66"/>
        <v>0</v>
      </c>
      <c r="S67" s="363">
        <f t="shared" ref="S67:X67" si="67">SUM(S40:S66)</f>
        <v>0</v>
      </c>
      <c r="T67" s="363">
        <f t="shared" si="67"/>
        <v>0</v>
      </c>
      <c r="U67" s="363">
        <f t="shared" si="67"/>
        <v>0</v>
      </c>
      <c r="V67" s="363">
        <f t="shared" si="67"/>
        <v>0</v>
      </c>
      <c r="W67" s="363">
        <f t="shared" si="67"/>
        <v>0</v>
      </c>
      <c r="X67" s="363">
        <f t="shared" si="67"/>
        <v>0</v>
      </c>
      <c r="Y67" s="370"/>
      <c r="AI67" s="363"/>
      <c r="AJ67" s="363"/>
      <c r="AK67" s="363"/>
      <c r="AL67" s="363"/>
      <c r="AM67" s="363"/>
      <c r="AN67" s="363"/>
    </row>
    <row r="68" spans="1:40">
      <c r="A68" s="351" t="s">
        <v>47</v>
      </c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6"/>
      <c r="Y68" s="370"/>
    </row>
    <row r="69" spans="1:40">
      <c r="A69" s="358"/>
      <c r="B69" s="358"/>
      <c r="C69" s="359"/>
      <c r="D69" s="359"/>
      <c r="E69" s="359"/>
      <c r="F69" s="359"/>
      <c r="G69" s="359"/>
      <c r="H69" s="359"/>
      <c r="I69" s="359"/>
      <c r="J69" s="359"/>
      <c r="K69" s="359"/>
      <c r="R69" s="360"/>
      <c r="Y69" s="370"/>
    </row>
    <row r="70" spans="1:40">
      <c r="A70" s="357"/>
      <c r="L70" s="253"/>
      <c r="M70" s="253"/>
      <c r="N70" s="253"/>
      <c r="O70" s="253"/>
      <c r="P70" s="253"/>
      <c r="Q70" s="253"/>
      <c r="Y70" s="370"/>
    </row>
    <row r="71" spans="1:40">
      <c r="A71" s="357"/>
      <c r="Y71" s="370"/>
    </row>
    <row r="72" spans="1:40" ht="46.5">
      <c r="A72" s="837" t="s">
        <v>46</v>
      </c>
      <c r="B72" s="838"/>
      <c r="C72" s="838"/>
      <c r="D72" s="838"/>
      <c r="E72" s="838"/>
      <c r="F72" s="838"/>
      <c r="G72" s="838"/>
      <c r="H72" s="838"/>
      <c r="I72" s="838"/>
      <c r="J72" s="838"/>
      <c r="K72" s="838"/>
      <c r="L72" s="838"/>
      <c r="M72" s="838"/>
      <c r="N72" s="838"/>
      <c r="O72" s="838"/>
      <c r="P72" s="838"/>
      <c r="Q72" s="838"/>
      <c r="R72" s="839"/>
      <c r="Y72" s="370"/>
    </row>
    <row r="73" spans="1:40" s="372" customFormat="1" ht="35.1" customHeight="1">
      <c r="A73" s="835" t="s">
        <v>33</v>
      </c>
      <c r="B73" s="833" t="s">
        <v>27</v>
      </c>
      <c r="C73" s="834"/>
      <c r="D73" s="833" t="s">
        <v>29</v>
      </c>
      <c r="E73" s="834"/>
      <c r="F73" s="835" t="s">
        <v>28</v>
      </c>
      <c r="G73" s="835" t="s">
        <v>36</v>
      </c>
      <c r="H73" s="835" t="s">
        <v>30</v>
      </c>
      <c r="I73" s="835" t="s">
        <v>31</v>
      </c>
      <c r="J73" s="835" t="s">
        <v>41</v>
      </c>
      <c r="K73" s="835" t="s">
        <v>35</v>
      </c>
      <c r="L73" s="835" t="s">
        <v>40</v>
      </c>
      <c r="M73" s="835" t="s">
        <v>42</v>
      </c>
      <c r="N73" s="835" t="s">
        <v>45</v>
      </c>
      <c r="O73" s="835" t="s">
        <v>279</v>
      </c>
      <c r="P73" s="833" t="s">
        <v>49</v>
      </c>
      <c r="Q73" s="834"/>
      <c r="R73" s="835" t="s">
        <v>34</v>
      </c>
      <c r="S73" s="357"/>
      <c r="T73" s="357"/>
      <c r="U73" s="357"/>
      <c r="V73" s="357"/>
      <c r="W73" s="357"/>
      <c r="X73" s="357"/>
      <c r="Y73" s="711"/>
      <c r="AI73" s="357"/>
      <c r="AJ73" s="357"/>
      <c r="AK73" s="357"/>
      <c r="AL73" s="357"/>
      <c r="AM73" s="357"/>
      <c r="AN73" s="357"/>
    </row>
    <row r="74" spans="1:40" s="372" customFormat="1" ht="35.1" customHeight="1">
      <c r="A74" s="836"/>
      <c r="B74" s="361" t="s">
        <v>43</v>
      </c>
      <c r="C74" s="361" t="s">
        <v>44</v>
      </c>
      <c r="D74" s="361" t="s">
        <v>43</v>
      </c>
      <c r="E74" s="361" t="s">
        <v>44</v>
      </c>
      <c r="F74" s="836"/>
      <c r="G74" s="836"/>
      <c r="H74" s="836"/>
      <c r="I74" s="836"/>
      <c r="J74" s="836"/>
      <c r="K74" s="836"/>
      <c r="L74" s="836"/>
      <c r="M74" s="836"/>
      <c r="N74" s="836"/>
      <c r="O74" s="836"/>
      <c r="P74" s="362" t="s">
        <v>50</v>
      </c>
      <c r="Q74" s="362" t="s">
        <v>51</v>
      </c>
      <c r="R74" s="836"/>
      <c r="S74" s="372" t="s">
        <v>173</v>
      </c>
      <c r="T74" s="372" t="s">
        <v>291</v>
      </c>
      <c r="U74" s="372" t="s">
        <v>174</v>
      </c>
      <c r="V74" s="372" t="s">
        <v>292</v>
      </c>
      <c r="W74" s="372" t="s">
        <v>28</v>
      </c>
      <c r="X74" s="372" t="s">
        <v>175</v>
      </c>
      <c r="Y74" s="727"/>
    </row>
    <row r="75" spans="1:40">
      <c r="A75" s="2" t="s">
        <v>77</v>
      </c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8">
        <f t="shared" ref="R75:R101" si="68">SUM(B75:Q75)</f>
        <v>0</v>
      </c>
      <c r="S75" s="363">
        <f>B75</f>
        <v>0</v>
      </c>
      <c r="T75" s="363">
        <f>C75</f>
        <v>0</v>
      </c>
      <c r="U75" s="363">
        <f>D75</f>
        <v>0</v>
      </c>
      <c r="V75" s="363">
        <f>E75</f>
        <v>0</v>
      </c>
      <c r="W75" s="363">
        <f>F75+G75</f>
        <v>0</v>
      </c>
      <c r="X75" s="363">
        <f>SUM(H75:Q75)</f>
        <v>0</v>
      </c>
      <c r="Y75" s="370"/>
      <c r="AI75" s="363"/>
      <c r="AJ75" s="363"/>
      <c r="AK75" s="363"/>
      <c r="AL75" s="363"/>
      <c r="AM75" s="363"/>
      <c r="AN75" s="363"/>
    </row>
    <row r="76" spans="1:40">
      <c r="A76" s="2" t="s">
        <v>78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8">
        <f t="shared" si="68"/>
        <v>0</v>
      </c>
      <c r="S76" s="363">
        <f t="shared" ref="S76:V101" si="69">B76</f>
        <v>0</v>
      </c>
      <c r="T76" s="363">
        <f t="shared" si="69"/>
        <v>0</v>
      </c>
      <c r="U76" s="363">
        <f t="shared" si="69"/>
        <v>0</v>
      </c>
      <c r="V76" s="363">
        <f t="shared" si="69"/>
        <v>0</v>
      </c>
      <c r="W76" s="363">
        <f t="shared" ref="W76:W101" si="70">F76+G76</f>
        <v>0</v>
      </c>
      <c r="X76" s="363">
        <f t="shared" ref="X76:X101" si="71">SUM(H76:Q76)</f>
        <v>0</v>
      </c>
      <c r="Y76" s="370"/>
      <c r="AI76" s="363"/>
      <c r="AJ76" s="363"/>
      <c r="AK76" s="363"/>
      <c r="AL76" s="363"/>
      <c r="AM76" s="363"/>
      <c r="AN76" s="363"/>
    </row>
    <row r="77" spans="1:40">
      <c r="A77" s="2" t="s">
        <v>79</v>
      </c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8">
        <f t="shared" si="68"/>
        <v>0</v>
      </c>
      <c r="S77" s="363">
        <f t="shared" si="69"/>
        <v>0</v>
      </c>
      <c r="T77" s="363">
        <f t="shared" si="69"/>
        <v>0</v>
      </c>
      <c r="U77" s="363">
        <f t="shared" si="69"/>
        <v>0</v>
      </c>
      <c r="V77" s="363">
        <f t="shared" si="69"/>
        <v>0</v>
      </c>
      <c r="W77" s="363">
        <f t="shared" si="70"/>
        <v>0</v>
      </c>
      <c r="X77" s="363">
        <f t="shared" si="71"/>
        <v>0</v>
      </c>
      <c r="Y77" s="370"/>
      <c r="AI77" s="363"/>
      <c r="AJ77" s="363"/>
      <c r="AK77" s="363"/>
      <c r="AL77" s="363"/>
      <c r="AM77" s="363"/>
      <c r="AN77" s="363"/>
    </row>
    <row r="78" spans="1:40">
      <c r="A78" s="2" t="s">
        <v>80</v>
      </c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8">
        <f t="shared" si="68"/>
        <v>0</v>
      </c>
      <c r="S78" s="363">
        <f t="shared" si="69"/>
        <v>0</v>
      </c>
      <c r="T78" s="363">
        <f t="shared" si="69"/>
        <v>0</v>
      </c>
      <c r="U78" s="363">
        <f t="shared" si="69"/>
        <v>0</v>
      </c>
      <c r="V78" s="363">
        <f t="shared" si="69"/>
        <v>0</v>
      </c>
      <c r="W78" s="363">
        <f t="shared" si="70"/>
        <v>0</v>
      </c>
      <c r="X78" s="363">
        <f t="shared" si="71"/>
        <v>0</v>
      </c>
      <c r="Y78" s="370"/>
      <c r="AI78" s="363"/>
      <c r="AJ78" s="363"/>
      <c r="AK78" s="363"/>
      <c r="AL78" s="363"/>
      <c r="AM78" s="363"/>
      <c r="AN78" s="363"/>
    </row>
    <row r="79" spans="1:40">
      <c r="A79" s="2" t="s">
        <v>81</v>
      </c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8">
        <f t="shared" si="68"/>
        <v>0</v>
      </c>
      <c r="S79" s="363">
        <f t="shared" si="69"/>
        <v>0</v>
      </c>
      <c r="T79" s="363">
        <f t="shared" si="69"/>
        <v>0</v>
      </c>
      <c r="U79" s="363">
        <f t="shared" si="69"/>
        <v>0</v>
      </c>
      <c r="V79" s="363">
        <f t="shared" si="69"/>
        <v>0</v>
      </c>
      <c r="W79" s="363">
        <f t="shared" si="70"/>
        <v>0</v>
      </c>
      <c r="X79" s="363">
        <f t="shared" si="71"/>
        <v>0</v>
      </c>
      <c r="Y79" s="370"/>
      <c r="AI79" s="363"/>
      <c r="AJ79" s="363"/>
      <c r="AK79" s="363"/>
      <c r="AL79" s="363"/>
      <c r="AM79" s="363"/>
      <c r="AN79" s="363"/>
    </row>
    <row r="80" spans="1:40">
      <c r="A80" s="2" t="s">
        <v>82</v>
      </c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8">
        <f t="shared" si="68"/>
        <v>0</v>
      </c>
      <c r="S80" s="363">
        <f t="shared" si="69"/>
        <v>0</v>
      </c>
      <c r="T80" s="363">
        <f t="shared" si="69"/>
        <v>0</v>
      </c>
      <c r="U80" s="363">
        <f t="shared" si="69"/>
        <v>0</v>
      </c>
      <c r="V80" s="363">
        <f t="shared" si="69"/>
        <v>0</v>
      </c>
      <c r="W80" s="363">
        <f t="shared" si="70"/>
        <v>0</v>
      </c>
      <c r="X80" s="363">
        <f t="shared" si="71"/>
        <v>0</v>
      </c>
      <c r="Y80" s="370"/>
      <c r="AI80" s="363"/>
      <c r="AJ80" s="363"/>
      <c r="AK80" s="363"/>
      <c r="AL80" s="363"/>
      <c r="AM80" s="363"/>
      <c r="AN80" s="363"/>
    </row>
    <row r="81" spans="1:40">
      <c r="A81" s="2" t="s">
        <v>83</v>
      </c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8">
        <f t="shared" si="68"/>
        <v>0</v>
      </c>
      <c r="S81" s="363">
        <f t="shared" si="69"/>
        <v>0</v>
      </c>
      <c r="T81" s="363">
        <f t="shared" si="69"/>
        <v>0</v>
      </c>
      <c r="U81" s="363">
        <f t="shared" si="69"/>
        <v>0</v>
      </c>
      <c r="V81" s="363">
        <f t="shared" si="69"/>
        <v>0</v>
      </c>
      <c r="W81" s="363">
        <f t="shared" si="70"/>
        <v>0</v>
      </c>
      <c r="X81" s="363">
        <f t="shared" si="71"/>
        <v>0</v>
      </c>
      <c r="Y81" s="370"/>
      <c r="AI81" s="363"/>
      <c r="AJ81" s="363"/>
      <c r="AK81" s="363"/>
      <c r="AL81" s="363"/>
      <c r="AM81" s="363"/>
      <c r="AN81" s="363"/>
    </row>
    <row r="82" spans="1:40">
      <c r="A82" s="2" t="s">
        <v>84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8">
        <f t="shared" si="68"/>
        <v>0</v>
      </c>
      <c r="S82" s="363">
        <f t="shared" si="69"/>
        <v>0</v>
      </c>
      <c r="T82" s="363">
        <f t="shared" si="69"/>
        <v>0</v>
      </c>
      <c r="U82" s="363">
        <f t="shared" si="69"/>
        <v>0</v>
      </c>
      <c r="V82" s="363">
        <f t="shared" si="69"/>
        <v>0</v>
      </c>
      <c r="W82" s="363">
        <f t="shared" si="70"/>
        <v>0</v>
      </c>
      <c r="X82" s="363">
        <f t="shared" si="71"/>
        <v>0</v>
      </c>
      <c r="Y82" s="370"/>
      <c r="AI82" s="363"/>
      <c r="AJ82" s="363"/>
      <c r="AK82" s="363"/>
      <c r="AL82" s="363"/>
      <c r="AM82" s="363"/>
      <c r="AN82" s="363"/>
    </row>
    <row r="83" spans="1:40">
      <c r="A83" s="2" t="s">
        <v>85</v>
      </c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8">
        <f t="shared" si="68"/>
        <v>0</v>
      </c>
      <c r="S83" s="363">
        <f t="shared" si="69"/>
        <v>0</v>
      </c>
      <c r="T83" s="363">
        <f t="shared" si="69"/>
        <v>0</v>
      </c>
      <c r="U83" s="363">
        <f t="shared" si="69"/>
        <v>0</v>
      </c>
      <c r="V83" s="363">
        <f t="shared" si="69"/>
        <v>0</v>
      </c>
      <c r="W83" s="363">
        <f t="shared" si="70"/>
        <v>0</v>
      </c>
      <c r="X83" s="363">
        <f t="shared" si="71"/>
        <v>0</v>
      </c>
      <c r="Y83" s="370"/>
      <c r="AI83" s="363"/>
      <c r="AJ83" s="363"/>
      <c r="AK83" s="363"/>
      <c r="AL83" s="363"/>
      <c r="AM83" s="363"/>
      <c r="AN83" s="363"/>
    </row>
    <row r="84" spans="1:40">
      <c r="A84" s="2" t="s">
        <v>86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8">
        <f t="shared" si="68"/>
        <v>0</v>
      </c>
      <c r="S84" s="363">
        <f t="shared" si="69"/>
        <v>0</v>
      </c>
      <c r="T84" s="363">
        <f t="shared" si="69"/>
        <v>0</v>
      </c>
      <c r="U84" s="363">
        <f t="shared" si="69"/>
        <v>0</v>
      </c>
      <c r="V84" s="363">
        <f t="shared" si="69"/>
        <v>0</v>
      </c>
      <c r="W84" s="363">
        <f t="shared" si="70"/>
        <v>0</v>
      </c>
      <c r="X84" s="363">
        <f t="shared" si="71"/>
        <v>0</v>
      </c>
      <c r="Y84" s="370"/>
      <c r="AI84" s="363"/>
      <c r="AJ84" s="363"/>
      <c r="AK84" s="363"/>
      <c r="AL84" s="363"/>
      <c r="AM84" s="363"/>
      <c r="AN84" s="363"/>
    </row>
    <row r="85" spans="1:40">
      <c r="A85" s="2" t="s">
        <v>87</v>
      </c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8">
        <f t="shared" si="68"/>
        <v>0</v>
      </c>
      <c r="S85" s="363">
        <f t="shared" si="69"/>
        <v>0</v>
      </c>
      <c r="T85" s="363">
        <f t="shared" si="69"/>
        <v>0</v>
      </c>
      <c r="U85" s="363">
        <f t="shared" si="69"/>
        <v>0</v>
      </c>
      <c r="V85" s="363">
        <f t="shared" si="69"/>
        <v>0</v>
      </c>
      <c r="W85" s="363">
        <f t="shared" si="70"/>
        <v>0</v>
      </c>
      <c r="X85" s="363">
        <f t="shared" si="71"/>
        <v>0</v>
      </c>
      <c r="Y85" s="370"/>
      <c r="AI85" s="363"/>
      <c r="AJ85" s="363"/>
      <c r="AK85" s="363"/>
      <c r="AL85" s="363"/>
      <c r="AM85" s="363"/>
      <c r="AN85" s="363"/>
    </row>
    <row r="86" spans="1:40">
      <c r="A86" s="2" t="s">
        <v>88</v>
      </c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8">
        <f t="shared" si="68"/>
        <v>0</v>
      </c>
      <c r="S86" s="363">
        <f t="shared" si="69"/>
        <v>0</v>
      </c>
      <c r="T86" s="363">
        <f t="shared" si="69"/>
        <v>0</v>
      </c>
      <c r="U86" s="363">
        <f t="shared" si="69"/>
        <v>0</v>
      </c>
      <c r="V86" s="363">
        <f t="shared" si="69"/>
        <v>0</v>
      </c>
      <c r="W86" s="363">
        <f t="shared" si="70"/>
        <v>0</v>
      </c>
      <c r="X86" s="363">
        <f t="shared" si="71"/>
        <v>0</v>
      </c>
      <c r="Y86" s="370"/>
      <c r="AI86" s="363"/>
      <c r="AJ86" s="363"/>
      <c r="AK86" s="363"/>
      <c r="AL86" s="363"/>
      <c r="AM86" s="363"/>
      <c r="AN86" s="363"/>
    </row>
    <row r="87" spans="1:40">
      <c r="A87" s="2" t="s">
        <v>89</v>
      </c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8">
        <f t="shared" si="68"/>
        <v>0</v>
      </c>
      <c r="S87" s="363">
        <f t="shared" si="69"/>
        <v>0</v>
      </c>
      <c r="T87" s="363">
        <f t="shared" si="69"/>
        <v>0</v>
      </c>
      <c r="U87" s="363">
        <f t="shared" si="69"/>
        <v>0</v>
      </c>
      <c r="V87" s="363">
        <f t="shared" si="69"/>
        <v>0</v>
      </c>
      <c r="W87" s="363">
        <f t="shared" si="70"/>
        <v>0</v>
      </c>
      <c r="X87" s="363">
        <f t="shared" si="71"/>
        <v>0</v>
      </c>
      <c r="Y87" s="370"/>
      <c r="AI87" s="363"/>
      <c r="AJ87" s="363"/>
      <c r="AK87" s="363"/>
      <c r="AL87" s="363"/>
      <c r="AM87" s="363"/>
      <c r="AN87" s="363"/>
    </row>
    <row r="88" spans="1:40">
      <c r="A88" s="2" t="s">
        <v>90</v>
      </c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8">
        <f t="shared" si="68"/>
        <v>0</v>
      </c>
      <c r="S88" s="363">
        <f t="shared" si="69"/>
        <v>0</v>
      </c>
      <c r="T88" s="363">
        <f t="shared" si="69"/>
        <v>0</v>
      </c>
      <c r="U88" s="363">
        <f t="shared" si="69"/>
        <v>0</v>
      </c>
      <c r="V88" s="363">
        <f t="shared" si="69"/>
        <v>0</v>
      </c>
      <c r="W88" s="363">
        <f t="shared" si="70"/>
        <v>0</v>
      </c>
      <c r="X88" s="363">
        <f t="shared" si="71"/>
        <v>0</v>
      </c>
      <c r="Y88" s="370"/>
      <c r="AI88" s="363"/>
      <c r="AJ88" s="363"/>
      <c r="AK88" s="363"/>
      <c r="AL88" s="363"/>
      <c r="AM88" s="363"/>
      <c r="AN88" s="363"/>
    </row>
    <row r="89" spans="1:40">
      <c r="A89" s="2" t="s">
        <v>91</v>
      </c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8">
        <f t="shared" si="68"/>
        <v>0</v>
      </c>
      <c r="S89" s="363">
        <f t="shared" si="69"/>
        <v>0</v>
      </c>
      <c r="T89" s="363">
        <f t="shared" si="69"/>
        <v>0</v>
      </c>
      <c r="U89" s="363">
        <f t="shared" si="69"/>
        <v>0</v>
      </c>
      <c r="V89" s="363">
        <f t="shared" si="69"/>
        <v>0</v>
      </c>
      <c r="W89" s="363">
        <f t="shared" si="70"/>
        <v>0</v>
      </c>
      <c r="X89" s="363">
        <f t="shared" si="71"/>
        <v>0</v>
      </c>
      <c r="Y89" s="370"/>
      <c r="AI89" s="363"/>
      <c r="AJ89" s="363"/>
      <c r="AK89" s="363"/>
      <c r="AL89" s="363"/>
      <c r="AM89" s="363"/>
      <c r="AN89" s="363"/>
    </row>
    <row r="90" spans="1:40">
      <c r="A90" s="2" t="s">
        <v>92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8">
        <f t="shared" si="68"/>
        <v>0</v>
      </c>
      <c r="S90" s="363">
        <f t="shared" si="69"/>
        <v>0</v>
      </c>
      <c r="T90" s="363">
        <f t="shared" si="69"/>
        <v>0</v>
      </c>
      <c r="U90" s="363">
        <f t="shared" si="69"/>
        <v>0</v>
      </c>
      <c r="V90" s="363">
        <f t="shared" si="69"/>
        <v>0</v>
      </c>
      <c r="W90" s="363">
        <f t="shared" si="70"/>
        <v>0</v>
      </c>
      <c r="X90" s="363">
        <f t="shared" si="71"/>
        <v>0</v>
      </c>
      <c r="Y90" s="370"/>
      <c r="AI90" s="363"/>
      <c r="AJ90" s="363"/>
      <c r="AK90" s="363"/>
      <c r="AL90" s="363"/>
      <c r="AM90" s="363"/>
      <c r="AN90" s="363"/>
    </row>
    <row r="91" spans="1:40">
      <c r="A91" s="2" t="s">
        <v>93</v>
      </c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8">
        <f t="shared" si="68"/>
        <v>0</v>
      </c>
      <c r="S91" s="363">
        <f t="shared" si="69"/>
        <v>0</v>
      </c>
      <c r="T91" s="363">
        <f t="shared" si="69"/>
        <v>0</v>
      </c>
      <c r="U91" s="363">
        <f t="shared" si="69"/>
        <v>0</v>
      </c>
      <c r="V91" s="363">
        <f t="shared" si="69"/>
        <v>0</v>
      </c>
      <c r="W91" s="363">
        <f t="shared" si="70"/>
        <v>0</v>
      </c>
      <c r="X91" s="363">
        <f t="shared" si="71"/>
        <v>0</v>
      </c>
      <c r="Y91" s="370"/>
      <c r="AI91" s="363"/>
      <c r="AJ91" s="363"/>
      <c r="AK91" s="363"/>
      <c r="AL91" s="363"/>
      <c r="AM91" s="363"/>
      <c r="AN91" s="363"/>
    </row>
    <row r="92" spans="1:40">
      <c r="A92" s="2" t="s">
        <v>94</v>
      </c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8">
        <f t="shared" si="68"/>
        <v>0</v>
      </c>
      <c r="S92" s="363">
        <f t="shared" si="69"/>
        <v>0</v>
      </c>
      <c r="T92" s="363">
        <f t="shared" si="69"/>
        <v>0</v>
      </c>
      <c r="U92" s="363">
        <f t="shared" si="69"/>
        <v>0</v>
      </c>
      <c r="V92" s="363">
        <f t="shared" si="69"/>
        <v>0</v>
      </c>
      <c r="W92" s="363">
        <f t="shared" si="70"/>
        <v>0</v>
      </c>
      <c r="X92" s="363">
        <f t="shared" si="71"/>
        <v>0</v>
      </c>
      <c r="Y92" s="370"/>
      <c r="AI92" s="363"/>
      <c r="AJ92" s="363"/>
      <c r="AK92" s="363"/>
      <c r="AL92" s="363"/>
      <c r="AM92" s="363"/>
      <c r="AN92" s="363"/>
    </row>
    <row r="93" spans="1:40">
      <c r="A93" s="2" t="s">
        <v>95</v>
      </c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8">
        <f t="shared" si="68"/>
        <v>0</v>
      </c>
      <c r="S93" s="363">
        <f t="shared" si="69"/>
        <v>0</v>
      </c>
      <c r="T93" s="363">
        <f t="shared" si="69"/>
        <v>0</v>
      </c>
      <c r="U93" s="363">
        <f t="shared" si="69"/>
        <v>0</v>
      </c>
      <c r="V93" s="363">
        <f t="shared" si="69"/>
        <v>0</v>
      </c>
      <c r="W93" s="363">
        <f t="shared" si="70"/>
        <v>0</v>
      </c>
      <c r="X93" s="363">
        <f t="shared" si="71"/>
        <v>0</v>
      </c>
      <c r="Y93" s="370"/>
      <c r="AI93" s="363"/>
      <c r="AJ93" s="363"/>
      <c r="AK93" s="363"/>
      <c r="AL93" s="363"/>
      <c r="AM93" s="363"/>
      <c r="AN93" s="363"/>
    </row>
    <row r="94" spans="1:40">
      <c r="A94" s="2" t="s">
        <v>96</v>
      </c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8">
        <f t="shared" si="68"/>
        <v>0</v>
      </c>
      <c r="S94" s="363">
        <f t="shared" si="69"/>
        <v>0</v>
      </c>
      <c r="T94" s="363">
        <f t="shared" si="69"/>
        <v>0</v>
      </c>
      <c r="U94" s="363">
        <f t="shared" si="69"/>
        <v>0</v>
      </c>
      <c r="V94" s="363">
        <f t="shared" si="69"/>
        <v>0</v>
      </c>
      <c r="W94" s="363">
        <f t="shared" si="70"/>
        <v>0</v>
      </c>
      <c r="X94" s="363">
        <f t="shared" si="71"/>
        <v>0</v>
      </c>
      <c r="Y94" s="370"/>
      <c r="AI94" s="363"/>
      <c r="AJ94" s="363"/>
      <c r="AK94" s="363"/>
      <c r="AL94" s="363"/>
      <c r="AM94" s="363"/>
      <c r="AN94" s="363"/>
    </row>
    <row r="95" spans="1:40">
      <c r="A95" s="2" t="s">
        <v>97</v>
      </c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8">
        <f t="shared" si="68"/>
        <v>0</v>
      </c>
      <c r="S95" s="363">
        <f t="shared" si="69"/>
        <v>0</v>
      </c>
      <c r="T95" s="363">
        <f t="shared" si="69"/>
        <v>0</v>
      </c>
      <c r="U95" s="363">
        <f t="shared" si="69"/>
        <v>0</v>
      </c>
      <c r="V95" s="363">
        <f t="shared" si="69"/>
        <v>0</v>
      </c>
      <c r="W95" s="363">
        <f t="shared" si="70"/>
        <v>0</v>
      </c>
      <c r="X95" s="363">
        <f t="shared" si="71"/>
        <v>0</v>
      </c>
      <c r="Y95" s="370"/>
      <c r="AI95" s="363"/>
      <c r="AJ95" s="363"/>
      <c r="AK95" s="363"/>
      <c r="AL95" s="363"/>
      <c r="AM95" s="363"/>
      <c r="AN95" s="363"/>
    </row>
    <row r="96" spans="1:40">
      <c r="A96" s="2" t="s">
        <v>98</v>
      </c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8">
        <f t="shared" si="68"/>
        <v>0</v>
      </c>
      <c r="S96" s="363">
        <f t="shared" si="69"/>
        <v>0</v>
      </c>
      <c r="T96" s="363">
        <f t="shared" si="69"/>
        <v>0</v>
      </c>
      <c r="U96" s="363">
        <f t="shared" si="69"/>
        <v>0</v>
      </c>
      <c r="V96" s="363">
        <f t="shared" si="69"/>
        <v>0</v>
      </c>
      <c r="W96" s="363">
        <f t="shared" si="70"/>
        <v>0</v>
      </c>
      <c r="X96" s="363">
        <f t="shared" si="71"/>
        <v>0</v>
      </c>
      <c r="Y96" s="370"/>
      <c r="AI96" s="363"/>
      <c r="AJ96" s="363"/>
      <c r="AK96" s="363"/>
      <c r="AL96" s="363"/>
      <c r="AM96" s="363"/>
      <c r="AN96" s="363"/>
    </row>
    <row r="97" spans="1:40">
      <c r="A97" s="2" t="s">
        <v>99</v>
      </c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8">
        <f t="shared" si="68"/>
        <v>0</v>
      </c>
      <c r="S97" s="363">
        <f t="shared" si="69"/>
        <v>0</v>
      </c>
      <c r="T97" s="363">
        <f t="shared" si="69"/>
        <v>0</v>
      </c>
      <c r="U97" s="363">
        <f t="shared" si="69"/>
        <v>0</v>
      </c>
      <c r="V97" s="363">
        <f t="shared" si="69"/>
        <v>0</v>
      </c>
      <c r="W97" s="363">
        <f t="shared" si="70"/>
        <v>0</v>
      </c>
      <c r="X97" s="363">
        <f t="shared" si="71"/>
        <v>0</v>
      </c>
      <c r="Y97" s="370"/>
      <c r="AI97" s="363"/>
      <c r="AJ97" s="363"/>
      <c r="AK97" s="363"/>
      <c r="AL97" s="363"/>
      <c r="AM97" s="363"/>
      <c r="AN97" s="363"/>
    </row>
    <row r="98" spans="1:40">
      <c r="A98" s="2" t="s">
        <v>100</v>
      </c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8">
        <f t="shared" si="68"/>
        <v>0</v>
      </c>
      <c r="S98" s="363">
        <f t="shared" si="69"/>
        <v>0</v>
      </c>
      <c r="T98" s="363">
        <f t="shared" si="69"/>
        <v>0</v>
      </c>
      <c r="U98" s="363">
        <f t="shared" si="69"/>
        <v>0</v>
      </c>
      <c r="V98" s="363">
        <f t="shared" si="69"/>
        <v>0</v>
      </c>
      <c r="W98" s="363">
        <f t="shared" si="70"/>
        <v>0</v>
      </c>
      <c r="X98" s="363">
        <f t="shared" si="71"/>
        <v>0</v>
      </c>
      <c r="Y98" s="370"/>
      <c r="AI98" s="363"/>
      <c r="AJ98" s="363"/>
      <c r="AK98" s="363"/>
      <c r="AL98" s="363"/>
      <c r="AM98" s="363"/>
      <c r="AN98" s="363"/>
    </row>
    <row r="99" spans="1:40">
      <c r="A99" s="2" t="s">
        <v>101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8">
        <f t="shared" si="68"/>
        <v>0</v>
      </c>
      <c r="S99" s="363">
        <f t="shared" si="69"/>
        <v>0</v>
      </c>
      <c r="T99" s="363">
        <f t="shared" si="69"/>
        <v>0</v>
      </c>
      <c r="U99" s="363">
        <f t="shared" si="69"/>
        <v>0</v>
      </c>
      <c r="V99" s="363">
        <f t="shared" si="69"/>
        <v>0</v>
      </c>
      <c r="W99" s="363">
        <f t="shared" si="70"/>
        <v>0</v>
      </c>
      <c r="X99" s="363">
        <f t="shared" si="71"/>
        <v>0</v>
      </c>
      <c r="Y99" s="370"/>
      <c r="AI99" s="363"/>
      <c r="AJ99" s="363"/>
      <c r="AK99" s="363"/>
      <c r="AL99" s="363"/>
      <c r="AM99" s="363"/>
      <c r="AN99" s="363"/>
    </row>
    <row r="100" spans="1:40">
      <c r="A100" s="2" t="s">
        <v>102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8">
        <f t="shared" si="68"/>
        <v>0</v>
      </c>
      <c r="S100" s="363">
        <f t="shared" si="69"/>
        <v>0</v>
      </c>
      <c r="T100" s="363">
        <f t="shared" si="69"/>
        <v>0</v>
      </c>
      <c r="U100" s="363">
        <f t="shared" si="69"/>
        <v>0</v>
      </c>
      <c r="V100" s="363">
        <f t="shared" si="69"/>
        <v>0</v>
      </c>
      <c r="W100" s="363">
        <f t="shared" si="70"/>
        <v>0</v>
      </c>
      <c r="X100" s="363">
        <f t="shared" si="71"/>
        <v>0</v>
      </c>
      <c r="Y100" s="370"/>
      <c r="AI100" s="363"/>
      <c r="AJ100" s="363"/>
      <c r="AK100" s="363"/>
      <c r="AL100" s="363"/>
      <c r="AM100" s="363"/>
      <c r="AN100" s="363"/>
    </row>
    <row r="101" spans="1:40">
      <c r="A101" s="2" t="s">
        <v>103</v>
      </c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8">
        <f t="shared" si="68"/>
        <v>0</v>
      </c>
      <c r="S101" s="363">
        <f t="shared" si="69"/>
        <v>0</v>
      </c>
      <c r="T101" s="363">
        <f t="shared" si="69"/>
        <v>0</v>
      </c>
      <c r="U101" s="363">
        <f t="shared" si="69"/>
        <v>0</v>
      </c>
      <c r="V101" s="363">
        <f t="shared" si="69"/>
        <v>0</v>
      </c>
      <c r="W101" s="363">
        <f t="shared" si="70"/>
        <v>0</v>
      </c>
      <c r="X101" s="363">
        <f t="shared" si="71"/>
        <v>0</v>
      </c>
      <c r="Y101" s="370"/>
      <c r="AI101" s="363"/>
      <c r="AJ101" s="363"/>
      <c r="AK101" s="363"/>
      <c r="AL101" s="363"/>
      <c r="AM101" s="363"/>
      <c r="AN101" s="363"/>
    </row>
    <row r="102" spans="1:40">
      <c r="A102" s="6" t="s">
        <v>37</v>
      </c>
      <c r="B102" s="5">
        <f t="shared" ref="B102:X102" si="72">SUM(B75:B101)</f>
        <v>0</v>
      </c>
      <c r="C102" s="5">
        <f t="shared" si="72"/>
        <v>0</v>
      </c>
      <c r="D102" s="5">
        <f t="shared" si="72"/>
        <v>0</v>
      </c>
      <c r="E102" s="5">
        <f t="shared" si="72"/>
        <v>0</v>
      </c>
      <c r="F102" s="5">
        <f t="shared" si="72"/>
        <v>0</v>
      </c>
      <c r="G102" s="5">
        <f t="shared" si="72"/>
        <v>0</v>
      </c>
      <c r="H102" s="5">
        <f t="shared" si="72"/>
        <v>0</v>
      </c>
      <c r="I102" s="5">
        <f t="shared" si="72"/>
        <v>0</v>
      </c>
      <c r="J102" s="5">
        <f t="shared" si="72"/>
        <v>0</v>
      </c>
      <c r="K102" s="5">
        <f t="shared" si="72"/>
        <v>0</v>
      </c>
      <c r="L102" s="5">
        <f t="shared" si="72"/>
        <v>0</v>
      </c>
      <c r="M102" s="5">
        <f t="shared" si="72"/>
        <v>0</v>
      </c>
      <c r="N102" s="5">
        <f t="shared" si="72"/>
        <v>0</v>
      </c>
      <c r="O102" s="5">
        <f t="shared" si="72"/>
        <v>0</v>
      </c>
      <c r="P102" s="5">
        <f t="shared" si="72"/>
        <v>0</v>
      </c>
      <c r="Q102" s="5">
        <f t="shared" si="72"/>
        <v>0</v>
      </c>
      <c r="R102" s="5">
        <f t="shared" si="72"/>
        <v>0</v>
      </c>
      <c r="S102" s="363">
        <f t="shared" si="72"/>
        <v>0</v>
      </c>
      <c r="T102" s="363">
        <f t="shared" si="72"/>
        <v>0</v>
      </c>
      <c r="U102" s="363">
        <f t="shared" si="72"/>
        <v>0</v>
      </c>
      <c r="V102" s="363">
        <f t="shared" si="72"/>
        <v>0</v>
      </c>
      <c r="W102" s="363">
        <f t="shared" si="72"/>
        <v>0</v>
      </c>
      <c r="X102" s="363">
        <f t="shared" si="72"/>
        <v>0</v>
      </c>
      <c r="Y102" s="370"/>
      <c r="AI102" s="363"/>
      <c r="AJ102" s="363"/>
      <c r="AK102" s="363"/>
      <c r="AL102" s="363"/>
      <c r="AM102" s="363"/>
      <c r="AN102" s="363"/>
    </row>
    <row r="103" spans="1:40">
      <c r="R103" s="363"/>
    </row>
    <row r="104" spans="1:40">
      <c r="R104" s="363"/>
    </row>
    <row r="105" spans="1:40">
      <c r="R105" s="363"/>
    </row>
  </sheetData>
  <mergeCells count="48">
    <mergeCell ref="A72:R72"/>
    <mergeCell ref="A73:A74"/>
    <mergeCell ref="B73:C73"/>
    <mergeCell ref="D73:E73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R73:R74"/>
    <mergeCell ref="P73:Q73"/>
    <mergeCell ref="O73:O74"/>
    <mergeCell ref="A2:R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R3:R4"/>
    <mergeCell ref="P3:Q3"/>
    <mergeCell ref="O3:O4"/>
    <mergeCell ref="O38:O39"/>
    <mergeCell ref="A37:R37"/>
    <mergeCell ref="A38:A39"/>
    <mergeCell ref="B38:C38"/>
    <mergeCell ref="K38:K39"/>
    <mergeCell ref="L38:L39"/>
    <mergeCell ref="R38:R39"/>
    <mergeCell ref="P38:Q38"/>
    <mergeCell ref="D38:E38"/>
    <mergeCell ref="F38:F39"/>
    <mergeCell ref="G38:G39"/>
    <mergeCell ref="H38:H39"/>
    <mergeCell ref="I38:I39"/>
    <mergeCell ref="J38:J39"/>
    <mergeCell ref="M38:M39"/>
    <mergeCell ref="N38:N39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>
    <pageSetUpPr fitToPage="1"/>
  </sheetPr>
  <dimension ref="A2:AN105"/>
  <sheetViews>
    <sheetView topLeftCell="A57" zoomScale="70" zoomScaleNormal="70" workbookViewId="0">
      <selection activeCell="EF33" sqref="EF33"/>
    </sheetView>
  </sheetViews>
  <sheetFormatPr defaultRowHeight="15"/>
  <cols>
    <col min="1" max="1" width="13.140625" style="370" customWidth="1"/>
    <col min="2" max="12" width="20.85546875" style="357" customWidth="1"/>
    <col min="13" max="13" width="17.140625" style="357" bestFit="1" customWidth="1"/>
    <col min="14" max="14" width="18.42578125" style="357" customWidth="1"/>
    <col min="15" max="18" width="20.85546875" style="357" customWidth="1"/>
    <col min="19" max="24" width="15.5703125" style="357" customWidth="1"/>
    <col min="25" max="16384" width="9.140625" style="357"/>
  </cols>
  <sheetData>
    <row r="2" spans="1:40" ht="46.5">
      <c r="A2" s="837" t="s">
        <v>75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</row>
    <row r="3" spans="1:40" s="372" customFormat="1" ht="35.1" customHeight="1">
      <c r="A3" s="835" t="s">
        <v>33</v>
      </c>
      <c r="B3" s="833" t="s">
        <v>27</v>
      </c>
      <c r="C3" s="834"/>
      <c r="D3" s="833" t="s">
        <v>29</v>
      </c>
      <c r="E3" s="834"/>
      <c r="F3" s="835" t="s">
        <v>28</v>
      </c>
      <c r="G3" s="835" t="s">
        <v>36</v>
      </c>
      <c r="H3" s="835" t="s">
        <v>30</v>
      </c>
      <c r="I3" s="835" t="s">
        <v>31</v>
      </c>
      <c r="J3" s="835" t="s">
        <v>41</v>
      </c>
      <c r="K3" s="835" t="s">
        <v>35</v>
      </c>
      <c r="L3" s="835" t="s">
        <v>40</v>
      </c>
      <c r="M3" s="835" t="s">
        <v>42</v>
      </c>
      <c r="N3" s="835" t="s">
        <v>45</v>
      </c>
      <c r="O3" s="835" t="s">
        <v>279</v>
      </c>
      <c r="P3" s="833" t="s">
        <v>49</v>
      </c>
      <c r="Q3" s="834"/>
      <c r="R3" s="835" t="s">
        <v>34</v>
      </c>
    </row>
    <row r="4" spans="1:40" s="372" customFormat="1" ht="35.1" customHeight="1">
      <c r="A4" s="836"/>
      <c r="B4" s="361" t="s">
        <v>43</v>
      </c>
      <c r="C4" s="361" t="s">
        <v>44</v>
      </c>
      <c r="D4" s="361" t="s">
        <v>43</v>
      </c>
      <c r="E4" s="361" t="s">
        <v>44</v>
      </c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362" t="s">
        <v>50</v>
      </c>
      <c r="Q4" s="362" t="s">
        <v>51</v>
      </c>
      <c r="R4" s="836"/>
      <c r="S4" s="372" t="s">
        <v>173</v>
      </c>
      <c r="T4" s="372" t="s">
        <v>291</v>
      </c>
      <c r="U4" s="372" t="s">
        <v>174</v>
      </c>
      <c r="V4" s="372" t="s">
        <v>292</v>
      </c>
      <c r="W4" s="372" t="s">
        <v>28</v>
      </c>
      <c r="X4" s="372" t="s">
        <v>175</v>
      </c>
    </row>
    <row r="5" spans="1:40">
      <c r="A5" s="2" t="s">
        <v>77</v>
      </c>
      <c r="B5" s="16">
        <f t="shared" ref="B5:Q5" si="0">B75*0.8</f>
        <v>0</v>
      </c>
      <c r="C5" s="16">
        <f t="shared" si="0"/>
        <v>0</v>
      </c>
      <c r="D5" s="16">
        <f t="shared" si="0"/>
        <v>0</v>
      </c>
      <c r="E5" s="16">
        <f t="shared" si="0"/>
        <v>0</v>
      </c>
      <c r="F5" s="16">
        <f t="shared" si="0"/>
        <v>0</v>
      </c>
      <c r="G5" s="16">
        <f t="shared" si="0"/>
        <v>0</v>
      </c>
      <c r="H5" s="16">
        <f t="shared" si="0"/>
        <v>0</v>
      </c>
      <c r="I5" s="16">
        <f t="shared" si="0"/>
        <v>0</v>
      </c>
      <c r="J5" s="16">
        <f t="shared" si="0"/>
        <v>0</v>
      </c>
      <c r="K5" s="16">
        <f t="shared" si="0"/>
        <v>0</v>
      </c>
      <c r="L5" s="16">
        <f t="shared" si="0"/>
        <v>0</v>
      </c>
      <c r="M5" s="16">
        <f t="shared" si="0"/>
        <v>0</v>
      </c>
      <c r="N5" s="16">
        <f t="shared" si="0"/>
        <v>0</v>
      </c>
      <c r="O5" s="16">
        <f t="shared" si="0"/>
        <v>0</v>
      </c>
      <c r="P5" s="16">
        <f t="shared" si="0"/>
        <v>0</v>
      </c>
      <c r="Q5" s="16">
        <f t="shared" si="0"/>
        <v>0</v>
      </c>
      <c r="R5" s="8">
        <f t="shared" ref="R5:R31" si="1">SUM(B5:Q5)</f>
        <v>0</v>
      </c>
      <c r="S5" s="363">
        <f>B5</f>
        <v>0</v>
      </c>
      <c r="T5" s="363">
        <f>C5</f>
        <v>0</v>
      </c>
      <c r="U5" s="363">
        <f>D5</f>
        <v>0</v>
      </c>
      <c r="V5" s="363">
        <f>E5</f>
        <v>0</v>
      </c>
      <c r="W5" s="363">
        <f>F5+G5</f>
        <v>0</v>
      </c>
      <c r="X5" s="363">
        <f>SUM(H5:Q5)</f>
        <v>0</v>
      </c>
      <c r="AI5" s="363"/>
      <c r="AJ5" s="363"/>
      <c r="AK5" s="363"/>
      <c r="AL5" s="363"/>
      <c r="AM5" s="363"/>
      <c r="AN5" s="363"/>
    </row>
    <row r="6" spans="1:40">
      <c r="A6" s="2" t="s">
        <v>78</v>
      </c>
      <c r="B6" s="16">
        <f t="shared" ref="B6:Q6" si="2">B76*0.8</f>
        <v>0</v>
      </c>
      <c r="C6" s="16">
        <f t="shared" si="2"/>
        <v>0</v>
      </c>
      <c r="D6" s="16">
        <f t="shared" si="2"/>
        <v>0</v>
      </c>
      <c r="E6" s="16">
        <f t="shared" si="2"/>
        <v>0</v>
      </c>
      <c r="F6" s="16">
        <f t="shared" si="2"/>
        <v>0</v>
      </c>
      <c r="G6" s="16">
        <f t="shared" si="2"/>
        <v>0</v>
      </c>
      <c r="H6" s="16">
        <f t="shared" si="2"/>
        <v>0</v>
      </c>
      <c r="I6" s="16">
        <f t="shared" si="2"/>
        <v>0</v>
      </c>
      <c r="J6" s="16">
        <f t="shared" si="2"/>
        <v>0</v>
      </c>
      <c r="K6" s="16">
        <f t="shared" si="2"/>
        <v>0</v>
      </c>
      <c r="L6" s="16">
        <f t="shared" si="2"/>
        <v>0</v>
      </c>
      <c r="M6" s="16">
        <f t="shared" si="2"/>
        <v>0</v>
      </c>
      <c r="N6" s="16">
        <f t="shared" si="2"/>
        <v>0</v>
      </c>
      <c r="O6" s="16">
        <f t="shared" si="2"/>
        <v>0</v>
      </c>
      <c r="P6" s="16">
        <f t="shared" si="2"/>
        <v>0</v>
      </c>
      <c r="Q6" s="16">
        <f t="shared" si="2"/>
        <v>0</v>
      </c>
      <c r="R6" s="8">
        <f t="shared" si="1"/>
        <v>0</v>
      </c>
      <c r="S6" s="363">
        <f t="shared" ref="S6:V31" si="3">B6</f>
        <v>0</v>
      </c>
      <c r="T6" s="363">
        <f t="shared" si="3"/>
        <v>0</v>
      </c>
      <c r="U6" s="363">
        <f t="shared" si="3"/>
        <v>0</v>
      </c>
      <c r="V6" s="363">
        <f t="shared" si="3"/>
        <v>0</v>
      </c>
      <c r="W6" s="363">
        <f t="shared" ref="W6:W31" si="4">F6+G6</f>
        <v>0</v>
      </c>
      <c r="X6" s="363">
        <f t="shared" ref="X6:X31" si="5">SUM(H6:Q6)</f>
        <v>0</v>
      </c>
      <c r="AI6" s="363"/>
      <c r="AJ6" s="363"/>
      <c r="AK6" s="363"/>
      <c r="AL6" s="363"/>
      <c r="AM6" s="363"/>
      <c r="AN6" s="363"/>
    </row>
    <row r="7" spans="1:40">
      <c r="A7" s="2" t="s">
        <v>79</v>
      </c>
      <c r="B7" s="16">
        <f t="shared" ref="B7:Q7" si="6">B77*0.8</f>
        <v>0</v>
      </c>
      <c r="C7" s="16">
        <f t="shared" si="6"/>
        <v>0</v>
      </c>
      <c r="D7" s="16">
        <f t="shared" si="6"/>
        <v>0</v>
      </c>
      <c r="E7" s="16">
        <f t="shared" si="6"/>
        <v>0</v>
      </c>
      <c r="F7" s="16">
        <f t="shared" si="6"/>
        <v>0</v>
      </c>
      <c r="G7" s="16">
        <f t="shared" si="6"/>
        <v>0</v>
      </c>
      <c r="H7" s="16">
        <f t="shared" si="6"/>
        <v>0</v>
      </c>
      <c r="I7" s="16">
        <f t="shared" si="6"/>
        <v>0</v>
      </c>
      <c r="J7" s="16">
        <f t="shared" si="6"/>
        <v>0</v>
      </c>
      <c r="K7" s="16">
        <f t="shared" si="6"/>
        <v>0</v>
      </c>
      <c r="L7" s="16">
        <f t="shared" si="6"/>
        <v>0</v>
      </c>
      <c r="M7" s="16">
        <f t="shared" si="6"/>
        <v>0</v>
      </c>
      <c r="N7" s="16">
        <f t="shared" si="6"/>
        <v>0</v>
      </c>
      <c r="O7" s="16">
        <f t="shared" si="6"/>
        <v>0</v>
      </c>
      <c r="P7" s="16">
        <f t="shared" si="6"/>
        <v>0</v>
      </c>
      <c r="Q7" s="16">
        <f t="shared" si="6"/>
        <v>0</v>
      </c>
      <c r="R7" s="8">
        <f t="shared" si="1"/>
        <v>0</v>
      </c>
      <c r="S7" s="363">
        <f t="shared" si="3"/>
        <v>0</v>
      </c>
      <c r="T7" s="363">
        <f t="shared" si="3"/>
        <v>0</v>
      </c>
      <c r="U7" s="363">
        <f t="shared" si="3"/>
        <v>0</v>
      </c>
      <c r="V7" s="363">
        <f t="shared" si="3"/>
        <v>0</v>
      </c>
      <c r="W7" s="363">
        <f t="shared" si="4"/>
        <v>0</v>
      </c>
      <c r="X7" s="363">
        <f t="shared" si="5"/>
        <v>0</v>
      </c>
      <c r="AI7" s="363"/>
      <c r="AJ7" s="363"/>
      <c r="AK7" s="363"/>
      <c r="AL7" s="363"/>
      <c r="AM7" s="363"/>
      <c r="AN7" s="363"/>
    </row>
    <row r="8" spans="1:40">
      <c r="A8" s="2" t="s">
        <v>80</v>
      </c>
      <c r="B8" s="16">
        <f t="shared" ref="B8:O8" si="7">B78*0.8</f>
        <v>0</v>
      </c>
      <c r="C8" s="16">
        <f t="shared" si="7"/>
        <v>0</v>
      </c>
      <c r="D8" s="16">
        <f t="shared" si="7"/>
        <v>0</v>
      </c>
      <c r="E8" s="16">
        <f t="shared" si="7"/>
        <v>0</v>
      </c>
      <c r="F8" s="16">
        <f t="shared" si="7"/>
        <v>0</v>
      </c>
      <c r="G8" s="16">
        <f t="shared" si="7"/>
        <v>0</v>
      </c>
      <c r="H8" s="16">
        <f t="shared" si="7"/>
        <v>0</v>
      </c>
      <c r="I8" s="16">
        <f t="shared" si="7"/>
        <v>0</v>
      </c>
      <c r="J8" s="16">
        <f t="shared" si="7"/>
        <v>0</v>
      </c>
      <c r="K8" s="16">
        <f t="shared" si="7"/>
        <v>0</v>
      </c>
      <c r="L8" s="16">
        <f t="shared" si="7"/>
        <v>0</v>
      </c>
      <c r="M8" s="16">
        <f t="shared" si="7"/>
        <v>0</v>
      </c>
      <c r="N8" s="16">
        <f t="shared" si="7"/>
        <v>0</v>
      </c>
      <c r="O8" s="16">
        <f t="shared" si="7"/>
        <v>0</v>
      </c>
      <c r="P8" s="16">
        <f>P78</f>
        <v>0</v>
      </c>
      <c r="Q8" s="16">
        <f>Q78</f>
        <v>0</v>
      </c>
      <c r="R8" s="8">
        <f t="shared" si="1"/>
        <v>0</v>
      </c>
      <c r="S8" s="363">
        <f t="shared" si="3"/>
        <v>0</v>
      </c>
      <c r="T8" s="363">
        <f t="shared" si="3"/>
        <v>0</v>
      </c>
      <c r="U8" s="363">
        <f t="shared" si="3"/>
        <v>0</v>
      </c>
      <c r="V8" s="363">
        <f t="shared" si="3"/>
        <v>0</v>
      </c>
      <c r="W8" s="363">
        <f t="shared" si="4"/>
        <v>0</v>
      </c>
      <c r="X8" s="363">
        <f t="shared" si="5"/>
        <v>0</v>
      </c>
      <c r="AI8" s="363"/>
      <c r="AJ8" s="363"/>
      <c r="AK8" s="363"/>
      <c r="AL8" s="363"/>
      <c r="AM8" s="363"/>
      <c r="AN8" s="363"/>
    </row>
    <row r="9" spans="1:40">
      <c r="A9" s="2" t="s">
        <v>81</v>
      </c>
      <c r="B9" s="16">
        <f t="shared" ref="B9:O9" si="8">B79*0.8</f>
        <v>0</v>
      </c>
      <c r="C9" s="16">
        <f t="shared" si="8"/>
        <v>0</v>
      </c>
      <c r="D9" s="16">
        <f t="shared" si="8"/>
        <v>0</v>
      </c>
      <c r="E9" s="16">
        <f t="shared" si="8"/>
        <v>0</v>
      </c>
      <c r="F9" s="16">
        <f t="shared" si="8"/>
        <v>0</v>
      </c>
      <c r="G9" s="16">
        <f t="shared" si="8"/>
        <v>0</v>
      </c>
      <c r="H9" s="16">
        <f t="shared" si="8"/>
        <v>0</v>
      </c>
      <c r="I9" s="16">
        <f t="shared" si="8"/>
        <v>0</v>
      </c>
      <c r="J9" s="16">
        <f t="shared" si="8"/>
        <v>0</v>
      </c>
      <c r="K9" s="16">
        <f t="shared" si="8"/>
        <v>0</v>
      </c>
      <c r="L9" s="16">
        <f t="shared" si="8"/>
        <v>0</v>
      </c>
      <c r="M9" s="16">
        <f t="shared" si="8"/>
        <v>0</v>
      </c>
      <c r="N9" s="16">
        <f t="shared" si="8"/>
        <v>0</v>
      </c>
      <c r="O9" s="16">
        <f t="shared" si="8"/>
        <v>0</v>
      </c>
      <c r="P9" s="16">
        <f t="shared" ref="P9:Q28" si="9">P79*0.8</f>
        <v>0</v>
      </c>
      <c r="Q9" s="16">
        <f t="shared" si="9"/>
        <v>0</v>
      </c>
      <c r="R9" s="8">
        <f t="shared" si="1"/>
        <v>0</v>
      </c>
      <c r="S9" s="363">
        <f t="shared" si="3"/>
        <v>0</v>
      </c>
      <c r="T9" s="363">
        <f t="shared" si="3"/>
        <v>0</v>
      </c>
      <c r="U9" s="363">
        <f t="shared" si="3"/>
        <v>0</v>
      </c>
      <c r="V9" s="363">
        <f t="shared" si="3"/>
        <v>0</v>
      </c>
      <c r="W9" s="363">
        <f t="shared" si="4"/>
        <v>0</v>
      </c>
      <c r="X9" s="363">
        <f t="shared" si="5"/>
        <v>0</v>
      </c>
      <c r="AI9" s="363"/>
      <c r="AJ9" s="363"/>
      <c r="AK9" s="363"/>
      <c r="AL9" s="363"/>
      <c r="AM9" s="363"/>
      <c r="AN9" s="363"/>
    </row>
    <row r="10" spans="1:40">
      <c r="A10" s="2" t="s">
        <v>82</v>
      </c>
      <c r="B10" s="16">
        <f t="shared" ref="B10:O10" si="10">B80*0.8</f>
        <v>0</v>
      </c>
      <c r="C10" s="16">
        <f t="shared" si="10"/>
        <v>0</v>
      </c>
      <c r="D10" s="16">
        <f t="shared" si="10"/>
        <v>0</v>
      </c>
      <c r="E10" s="16">
        <f t="shared" si="10"/>
        <v>0</v>
      </c>
      <c r="F10" s="16">
        <f t="shared" si="10"/>
        <v>0</v>
      </c>
      <c r="G10" s="16">
        <f t="shared" si="10"/>
        <v>0</v>
      </c>
      <c r="H10" s="16">
        <f t="shared" si="10"/>
        <v>0</v>
      </c>
      <c r="I10" s="16">
        <f t="shared" si="10"/>
        <v>0</v>
      </c>
      <c r="J10" s="16">
        <f t="shared" si="10"/>
        <v>0</v>
      </c>
      <c r="K10" s="16">
        <f t="shared" si="10"/>
        <v>0</v>
      </c>
      <c r="L10" s="16">
        <f t="shared" si="10"/>
        <v>0</v>
      </c>
      <c r="M10" s="16">
        <f t="shared" si="10"/>
        <v>0</v>
      </c>
      <c r="N10" s="16">
        <f t="shared" si="10"/>
        <v>0</v>
      </c>
      <c r="O10" s="16">
        <f t="shared" si="10"/>
        <v>0</v>
      </c>
      <c r="P10" s="16">
        <f t="shared" si="9"/>
        <v>0</v>
      </c>
      <c r="Q10" s="16">
        <f t="shared" si="9"/>
        <v>0</v>
      </c>
      <c r="R10" s="8">
        <f t="shared" si="1"/>
        <v>0</v>
      </c>
      <c r="S10" s="363">
        <f t="shared" si="3"/>
        <v>0</v>
      </c>
      <c r="T10" s="363">
        <f t="shared" si="3"/>
        <v>0</v>
      </c>
      <c r="U10" s="363">
        <f t="shared" si="3"/>
        <v>0</v>
      </c>
      <c r="V10" s="363">
        <f t="shared" si="3"/>
        <v>0</v>
      </c>
      <c r="W10" s="363">
        <f t="shared" si="4"/>
        <v>0</v>
      </c>
      <c r="X10" s="363">
        <f t="shared" si="5"/>
        <v>0</v>
      </c>
      <c r="AI10" s="363"/>
      <c r="AJ10" s="363"/>
      <c r="AK10" s="363"/>
      <c r="AL10" s="363"/>
      <c r="AM10" s="363"/>
      <c r="AN10" s="363"/>
    </row>
    <row r="11" spans="1:40">
      <c r="A11" s="2" t="s">
        <v>83</v>
      </c>
      <c r="B11" s="16">
        <f t="shared" ref="B11:O11" si="11">B81*0.8</f>
        <v>0</v>
      </c>
      <c r="C11" s="16">
        <f t="shared" si="11"/>
        <v>0</v>
      </c>
      <c r="D11" s="16">
        <f t="shared" si="11"/>
        <v>0</v>
      </c>
      <c r="E11" s="16">
        <f t="shared" si="11"/>
        <v>0</v>
      </c>
      <c r="F11" s="16">
        <f t="shared" si="11"/>
        <v>0</v>
      </c>
      <c r="G11" s="16">
        <f t="shared" si="11"/>
        <v>0</v>
      </c>
      <c r="H11" s="16">
        <f t="shared" si="11"/>
        <v>0</v>
      </c>
      <c r="I11" s="16">
        <f t="shared" si="11"/>
        <v>0</v>
      </c>
      <c r="J11" s="16">
        <f t="shared" si="11"/>
        <v>0</v>
      </c>
      <c r="K11" s="16">
        <f t="shared" si="11"/>
        <v>0</v>
      </c>
      <c r="L11" s="16">
        <f t="shared" si="11"/>
        <v>0</v>
      </c>
      <c r="M11" s="16">
        <f t="shared" si="11"/>
        <v>0</v>
      </c>
      <c r="N11" s="16">
        <f t="shared" si="11"/>
        <v>0</v>
      </c>
      <c r="O11" s="16">
        <f t="shared" si="11"/>
        <v>0</v>
      </c>
      <c r="P11" s="16">
        <f t="shared" si="9"/>
        <v>0</v>
      </c>
      <c r="Q11" s="16">
        <f t="shared" si="9"/>
        <v>0</v>
      </c>
      <c r="R11" s="8">
        <f t="shared" si="1"/>
        <v>0</v>
      </c>
      <c r="S11" s="363">
        <f t="shared" si="3"/>
        <v>0</v>
      </c>
      <c r="T11" s="363">
        <f t="shared" si="3"/>
        <v>0</v>
      </c>
      <c r="U11" s="363">
        <f t="shared" si="3"/>
        <v>0</v>
      </c>
      <c r="V11" s="363">
        <f t="shared" si="3"/>
        <v>0</v>
      </c>
      <c r="W11" s="363">
        <f t="shared" si="4"/>
        <v>0</v>
      </c>
      <c r="X11" s="363">
        <f t="shared" si="5"/>
        <v>0</v>
      </c>
      <c r="AI11" s="363"/>
      <c r="AJ11" s="363"/>
      <c r="AK11" s="363"/>
      <c r="AL11" s="363"/>
      <c r="AM11" s="363"/>
      <c r="AN11" s="363"/>
    </row>
    <row r="12" spans="1:40">
      <c r="A12" s="2" t="s">
        <v>84</v>
      </c>
      <c r="B12" s="16">
        <f t="shared" ref="B12:O12" si="12">B82*0.8</f>
        <v>0</v>
      </c>
      <c r="C12" s="16">
        <f t="shared" si="12"/>
        <v>0</v>
      </c>
      <c r="D12" s="16">
        <f t="shared" si="12"/>
        <v>0</v>
      </c>
      <c r="E12" s="16">
        <f t="shared" si="12"/>
        <v>0</v>
      </c>
      <c r="F12" s="16">
        <f t="shared" si="12"/>
        <v>0</v>
      </c>
      <c r="G12" s="16">
        <f t="shared" si="12"/>
        <v>0</v>
      </c>
      <c r="H12" s="16">
        <f t="shared" si="12"/>
        <v>0</v>
      </c>
      <c r="I12" s="16">
        <f t="shared" si="12"/>
        <v>0</v>
      </c>
      <c r="J12" s="16">
        <f t="shared" si="12"/>
        <v>0</v>
      </c>
      <c r="K12" s="16">
        <f t="shared" si="12"/>
        <v>0</v>
      </c>
      <c r="L12" s="16">
        <f t="shared" si="12"/>
        <v>0</v>
      </c>
      <c r="M12" s="16">
        <f t="shared" si="12"/>
        <v>0</v>
      </c>
      <c r="N12" s="16">
        <f t="shared" si="12"/>
        <v>0</v>
      </c>
      <c r="O12" s="16">
        <f t="shared" si="12"/>
        <v>0</v>
      </c>
      <c r="P12" s="16">
        <f t="shared" si="9"/>
        <v>0</v>
      </c>
      <c r="Q12" s="16">
        <f t="shared" si="9"/>
        <v>0</v>
      </c>
      <c r="R12" s="8">
        <f t="shared" si="1"/>
        <v>0</v>
      </c>
      <c r="S12" s="363">
        <f t="shared" si="3"/>
        <v>0</v>
      </c>
      <c r="T12" s="363">
        <f t="shared" si="3"/>
        <v>0</v>
      </c>
      <c r="U12" s="363">
        <f t="shared" si="3"/>
        <v>0</v>
      </c>
      <c r="V12" s="363">
        <f t="shared" si="3"/>
        <v>0</v>
      </c>
      <c r="W12" s="363">
        <f t="shared" si="4"/>
        <v>0</v>
      </c>
      <c r="X12" s="363">
        <f t="shared" si="5"/>
        <v>0</v>
      </c>
      <c r="AI12" s="363"/>
      <c r="AJ12" s="363"/>
      <c r="AK12" s="363"/>
      <c r="AL12" s="363"/>
      <c r="AM12" s="363"/>
      <c r="AN12" s="363"/>
    </row>
    <row r="13" spans="1:40">
      <c r="A13" s="2" t="s">
        <v>85</v>
      </c>
      <c r="B13" s="16">
        <f t="shared" ref="B13:O13" si="13">B83*0.8</f>
        <v>0</v>
      </c>
      <c r="C13" s="16">
        <f t="shared" si="13"/>
        <v>0</v>
      </c>
      <c r="D13" s="16">
        <f t="shared" si="13"/>
        <v>0</v>
      </c>
      <c r="E13" s="16">
        <f t="shared" si="13"/>
        <v>0</v>
      </c>
      <c r="F13" s="16">
        <f t="shared" si="13"/>
        <v>0</v>
      </c>
      <c r="G13" s="16">
        <f t="shared" si="13"/>
        <v>0</v>
      </c>
      <c r="H13" s="16">
        <f t="shared" si="13"/>
        <v>0</v>
      </c>
      <c r="I13" s="16">
        <f t="shared" si="13"/>
        <v>0</v>
      </c>
      <c r="J13" s="16">
        <f t="shared" si="13"/>
        <v>0</v>
      </c>
      <c r="K13" s="16">
        <f t="shared" si="13"/>
        <v>0</v>
      </c>
      <c r="L13" s="16">
        <f t="shared" si="13"/>
        <v>0</v>
      </c>
      <c r="M13" s="16">
        <f t="shared" si="13"/>
        <v>0</v>
      </c>
      <c r="N13" s="16">
        <f t="shared" si="13"/>
        <v>0</v>
      </c>
      <c r="O13" s="16">
        <f t="shared" si="13"/>
        <v>0</v>
      </c>
      <c r="P13" s="16">
        <f t="shared" si="9"/>
        <v>0</v>
      </c>
      <c r="Q13" s="16">
        <f t="shared" si="9"/>
        <v>0</v>
      </c>
      <c r="R13" s="8">
        <f t="shared" si="1"/>
        <v>0</v>
      </c>
      <c r="S13" s="363">
        <f t="shared" si="3"/>
        <v>0</v>
      </c>
      <c r="T13" s="363">
        <f t="shared" si="3"/>
        <v>0</v>
      </c>
      <c r="U13" s="363">
        <f t="shared" si="3"/>
        <v>0</v>
      </c>
      <c r="V13" s="363">
        <f t="shared" si="3"/>
        <v>0</v>
      </c>
      <c r="W13" s="363">
        <f t="shared" si="4"/>
        <v>0</v>
      </c>
      <c r="X13" s="363">
        <f t="shared" si="5"/>
        <v>0</v>
      </c>
      <c r="AI13" s="363"/>
      <c r="AJ13" s="363"/>
      <c r="AK13" s="363"/>
      <c r="AL13" s="363"/>
      <c r="AM13" s="363"/>
      <c r="AN13" s="363"/>
    </row>
    <row r="14" spans="1:40">
      <c r="A14" s="2" t="s">
        <v>86</v>
      </c>
      <c r="B14" s="16">
        <f t="shared" ref="B14:O14" si="14">B84*0.8</f>
        <v>0</v>
      </c>
      <c r="C14" s="16">
        <f t="shared" si="14"/>
        <v>0</v>
      </c>
      <c r="D14" s="16">
        <f t="shared" si="14"/>
        <v>0</v>
      </c>
      <c r="E14" s="16">
        <f t="shared" si="14"/>
        <v>0</v>
      </c>
      <c r="F14" s="16">
        <f t="shared" si="14"/>
        <v>0</v>
      </c>
      <c r="G14" s="16">
        <f t="shared" si="14"/>
        <v>0</v>
      </c>
      <c r="H14" s="16">
        <f t="shared" si="14"/>
        <v>0</v>
      </c>
      <c r="I14" s="16">
        <f t="shared" si="14"/>
        <v>0</v>
      </c>
      <c r="J14" s="16">
        <f t="shared" si="14"/>
        <v>0</v>
      </c>
      <c r="K14" s="16">
        <f t="shared" si="14"/>
        <v>0</v>
      </c>
      <c r="L14" s="16">
        <f t="shared" si="14"/>
        <v>0</v>
      </c>
      <c r="M14" s="16">
        <f t="shared" si="14"/>
        <v>0</v>
      </c>
      <c r="N14" s="16">
        <f t="shared" si="14"/>
        <v>0</v>
      </c>
      <c r="O14" s="16">
        <f t="shared" si="14"/>
        <v>0</v>
      </c>
      <c r="P14" s="16">
        <f t="shared" si="9"/>
        <v>0</v>
      </c>
      <c r="Q14" s="16">
        <f t="shared" si="9"/>
        <v>0</v>
      </c>
      <c r="R14" s="8">
        <f t="shared" si="1"/>
        <v>0</v>
      </c>
      <c r="S14" s="363">
        <f t="shared" si="3"/>
        <v>0</v>
      </c>
      <c r="T14" s="363">
        <f t="shared" si="3"/>
        <v>0</v>
      </c>
      <c r="U14" s="363">
        <f t="shared" si="3"/>
        <v>0</v>
      </c>
      <c r="V14" s="363">
        <f t="shared" si="3"/>
        <v>0</v>
      </c>
      <c r="W14" s="363">
        <f t="shared" si="4"/>
        <v>0</v>
      </c>
      <c r="X14" s="363">
        <f t="shared" si="5"/>
        <v>0</v>
      </c>
      <c r="AI14" s="363"/>
      <c r="AJ14" s="363"/>
      <c r="AK14" s="363"/>
      <c r="AL14" s="363"/>
      <c r="AM14" s="363"/>
      <c r="AN14" s="363"/>
    </row>
    <row r="15" spans="1:40">
      <c r="A15" s="2" t="s">
        <v>87</v>
      </c>
      <c r="B15" s="16">
        <f t="shared" ref="B15:O15" si="15">B85*0.8</f>
        <v>0</v>
      </c>
      <c r="C15" s="16">
        <f t="shared" si="15"/>
        <v>0</v>
      </c>
      <c r="D15" s="16">
        <f t="shared" si="15"/>
        <v>0</v>
      </c>
      <c r="E15" s="16">
        <f t="shared" si="15"/>
        <v>0</v>
      </c>
      <c r="F15" s="16">
        <f t="shared" si="15"/>
        <v>0</v>
      </c>
      <c r="G15" s="16">
        <f t="shared" si="15"/>
        <v>0</v>
      </c>
      <c r="H15" s="16">
        <f t="shared" si="15"/>
        <v>0</v>
      </c>
      <c r="I15" s="16">
        <f t="shared" si="15"/>
        <v>0</v>
      </c>
      <c r="J15" s="16">
        <f t="shared" si="15"/>
        <v>0</v>
      </c>
      <c r="K15" s="16">
        <f t="shared" si="15"/>
        <v>0</v>
      </c>
      <c r="L15" s="16">
        <f t="shared" si="15"/>
        <v>0</v>
      </c>
      <c r="M15" s="16">
        <f t="shared" si="15"/>
        <v>0</v>
      </c>
      <c r="N15" s="16">
        <f t="shared" si="15"/>
        <v>0</v>
      </c>
      <c r="O15" s="16">
        <f t="shared" si="15"/>
        <v>0</v>
      </c>
      <c r="P15" s="16">
        <f t="shared" si="9"/>
        <v>0</v>
      </c>
      <c r="Q15" s="16">
        <f t="shared" si="9"/>
        <v>0</v>
      </c>
      <c r="R15" s="8">
        <f t="shared" si="1"/>
        <v>0</v>
      </c>
      <c r="S15" s="363">
        <f t="shared" si="3"/>
        <v>0</v>
      </c>
      <c r="T15" s="363">
        <f t="shared" si="3"/>
        <v>0</v>
      </c>
      <c r="U15" s="363">
        <f t="shared" si="3"/>
        <v>0</v>
      </c>
      <c r="V15" s="363">
        <f t="shared" si="3"/>
        <v>0</v>
      </c>
      <c r="W15" s="363">
        <f t="shared" si="4"/>
        <v>0</v>
      </c>
      <c r="X15" s="363">
        <f t="shared" si="5"/>
        <v>0</v>
      </c>
      <c r="AI15" s="363"/>
      <c r="AJ15" s="363"/>
      <c r="AK15" s="363"/>
      <c r="AL15" s="363"/>
      <c r="AM15" s="363"/>
      <c r="AN15" s="363"/>
    </row>
    <row r="16" spans="1:40">
      <c r="A16" s="2" t="s">
        <v>88</v>
      </c>
      <c r="B16" s="16">
        <f t="shared" ref="B16:O16" si="16">B86*0.8</f>
        <v>0</v>
      </c>
      <c r="C16" s="16">
        <f t="shared" si="16"/>
        <v>0</v>
      </c>
      <c r="D16" s="16">
        <f t="shared" si="16"/>
        <v>0</v>
      </c>
      <c r="E16" s="16">
        <f t="shared" si="16"/>
        <v>0</v>
      </c>
      <c r="F16" s="16">
        <f t="shared" si="16"/>
        <v>0</v>
      </c>
      <c r="G16" s="16">
        <f t="shared" si="16"/>
        <v>0</v>
      </c>
      <c r="H16" s="16">
        <f t="shared" si="16"/>
        <v>0</v>
      </c>
      <c r="I16" s="16">
        <f t="shared" si="16"/>
        <v>0</v>
      </c>
      <c r="J16" s="16">
        <f t="shared" si="16"/>
        <v>0</v>
      </c>
      <c r="K16" s="16">
        <f t="shared" si="16"/>
        <v>0</v>
      </c>
      <c r="L16" s="16">
        <f t="shared" si="16"/>
        <v>0</v>
      </c>
      <c r="M16" s="16">
        <f t="shared" si="16"/>
        <v>0</v>
      </c>
      <c r="N16" s="16">
        <f t="shared" si="16"/>
        <v>0</v>
      </c>
      <c r="O16" s="16">
        <f t="shared" si="16"/>
        <v>0</v>
      </c>
      <c r="P16" s="16">
        <f t="shared" si="9"/>
        <v>0</v>
      </c>
      <c r="Q16" s="16">
        <f t="shared" si="9"/>
        <v>0</v>
      </c>
      <c r="R16" s="8">
        <f t="shared" si="1"/>
        <v>0</v>
      </c>
      <c r="S16" s="363">
        <f t="shared" si="3"/>
        <v>0</v>
      </c>
      <c r="T16" s="363">
        <f t="shared" si="3"/>
        <v>0</v>
      </c>
      <c r="U16" s="363">
        <f t="shared" si="3"/>
        <v>0</v>
      </c>
      <c r="V16" s="363">
        <f t="shared" si="3"/>
        <v>0</v>
      </c>
      <c r="W16" s="363">
        <f t="shared" si="4"/>
        <v>0</v>
      </c>
      <c r="X16" s="363">
        <f t="shared" si="5"/>
        <v>0</v>
      </c>
      <c r="AI16" s="363"/>
      <c r="AJ16" s="363"/>
      <c r="AK16" s="363"/>
      <c r="AL16" s="363"/>
      <c r="AM16" s="363"/>
      <c r="AN16" s="363"/>
    </row>
    <row r="17" spans="1:40">
      <c r="A17" s="2" t="s">
        <v>89</v>
      </c>
      <c r="B17" s="16">
        <f t="shared" ref="B17:O17" si="17">B87*0.8</f>
        <v>0</v>
      </c>
      <c r="C17" s="16">
        <f t="shared" si="17"/>
        <v>0</v>
      </c>
      <c r="D17" s="16">
        <f t="shared" si="17"/>
        <v>0</v>
      </c>
      <c r="E17" s="16">
        <f t="shared" si="17"/>
        <v>0</v>
      </c>
      <c r="F17" s="16">
        <f t="shared" si="17"/>
        <v>0</v>
      </c>
      <c r="G17" s="16">
        <f t="shared" si="17"/>
        <v>0</v>
      </c>
      <c r="H17" s="16">
        <f t="shared" si="17"/>
        <v>0</v>
      </c>
      <c r="I17" s="16">
        <f t="shared" si="17"/>
        <v>0</v>
      </c>
      <c r="J17" s="16">
        <f t="shared" si="17"/>
        <v>0</v>
      </c>
      <c r="K17" s="16">
        <f t="shared" si="17"/>
        <v>0</v>
      </c>
      <c r="L17" s="16">
        <f t="shared" si="17"/>
        <v>0</v>
      </c>
      <c r="M17" s="16">
        <f t="shared" si="17"/>
        <v>0</v>
      </c>
      <c r="N17" s="16">
        <f t="shared" si="17"/>
        <v>0</v>
      </c>
      <c r="O17" s="16">
        <f t="shared" si="17"/>
        <v>0</v>
      </c>
      <c r="P17" s="16">
        <f t="shared" si="9"/>
        <v>0</v>
      </c>
      <c r="Q17" s="16">
        <f t="shared" si="9"/>
        <v>0</v>
      </c>
      <c r="R17" s="8">
        <f t="shared" si="1"/>
        <v>0</v>
      </c>
      <c r="S17" s="363">
        <f t="shared" si="3"/>
        <v>0</v>
      </c>
      <c r="T17" s="363">
        <f t="shared" si="3"/>
        <v>0</v>
      </c>
      <c r="U17" s="363">
        <f t="shared" si="3"/>
        <v>0</v>
      </c>
      <c r="V17" s="363">
        <f t="shared" si="3"/>
        <v>0</v>
      </c>
      <c r="W17" s="363">
        <f t="shared" si="4"/>
        <v>0</v>
      </c>
      <c r="X17" s="363">
        <f t="shared" si="5"/>
        <v>0</v>
      </c>
      <c r="AI17" s="363"/>
      <c r="AJ17" s="363"/>
      <c r="AK17" s="363"/>
      <c r="AL17" s="363"/>
      <c r="AM17" s="363"/>
      <c r="AN17" s="363"/>
    </row>
    <row r="18" spans="1:40">
      <c r="A18" s="2" t="s">
        <v>90</v>
      </c>
      <c r="B18" s="16">
        <f t="shared" ref="B18:O18" si="18">B88*0.8</f>
        <v>0</v>
      </c>
      <c r="C18" s="16">
        <f t="shared" si="18"/>
        <v>0</v>
      </c>
      <c r="D18" s="16">
        <f t="shared" si="18"/>
        <v>0</v>
      </c>
      <c r="E18" s="16">
        <f t="shared" si="18"/>
        <v>0</v>
      </c>
      <c r="F18" s="16">
        <f t="shared" si="18"/>
        <v>0</v>
      </c>
      <c r="G18" s="16">
        <f t="shared" si="18"/>
        <v>0</v>
      </c>
      <c r="H18" s="16">
        <f t="shared" si="18"/>
        <v>0</v>
      </c>
      <c r="I18" s="16">
        <f t="shared" si="18"/>
        <v>0</v>
      </c>
      <c r="J18" s="16">
        <f t="shared" si="18"/>
        <v>0</v>
      </c>
      <c r="K18" s="16">
        <f t="shared" si="18"/>
        <v>0</v>
      </c>
      <c r="L18" s="16">
        <f t="shared" si="18"/>
        <v>0</v>
      </c>
      <c r="M18" s="16">
        <f t="shared" si="18"/>
        <v>0</v>
      </c>
      <c r="N18" s="16">
        <f t="shared" si="18"/>
        <v>0</v>
      </c>
      <c r="O18" s="16">
        <f t="shared" si="18"/>
        <v>0</v>
      </c>
      <c r="P18" s="16">
        <f t="shared" si="9"/>
        <v>0</v>
      </c>
      <c r="Q18" s="16">
        <f t="shared" si="9"/>
        <v>0</v>
      </c>
      <c r="R18" s="8">
        <f t="shared" si="1"/>
        <v>0</v>
      </c>
      <c r="S18" s="363">
        <f t="shared" si="3"/>
        <v>0</v>
      </c>
      <c r="T18" s="363">
        <f t="shared" si="3"/>
        <v>0</v>
      </c>
      <c r="U18" s="363">
        <f t="shared" si="3"/>
        <v>0</v>
      </c>
      <c r="V18" s="363">
        <f t="shared" si="3"/>
        <v>0</v>
      </c>
      <c r="W18" s="363">
        <f t="shared" si="4"/>
        <v>0</v>
      </c>
      <c r="X18" s="363">
        <f t="shared" si="5"/>
        <v>0</v>
      </c>
      <c r="AI18" s="363"/>
      <c r="AJ18" s="363"/>
      <c r="AK18" s="363"/>
      <c r="AL18" s="363"/>
      <c r="AM18" s="363"/>
      <c r="AN18" s="363"/>
    </row>
    <row r="19" spans="1:40">
      <c r="A19" s="2" t="s">
        <v>91</v>
      </c>
      <c r="B19" s="16">
        <f t="shared" ref="B19:O19" si="19">B89*0.8</f>
        <v>0</v>
      </c>
      <c r="C19" s="16">
        <f t="shared" si="19"/>
        <v>0</v>
      </c>
      <c r="D19" s="16">
        <f t="shared" si="19"/>
        <v>0</v>
      </c>
      <c r="E19" s="16">
        <f t="shared" si="19"/>
        <v>0</v>
      </c>
      <c r="F19" s="16">
        <f t="shared" si="19"/>
        <v>0</v>
      </c>
      <c r="G19" s="16">
        <f t="shared" si="19"/>
        <v>0</v>
      </c>
      <c r="H19" s="16">
        <f t="shared" si="19"/>
        <v>0</v>
      </c>
      <c r="I19" s="16">
        <f t="shared" si="19"/>
        <v>0</v>
      </c>
      <c r="J19" s="16">
        <f t="shared" si="19"/>
        <v>0</v>
      </c>
      <c r="K19" s="16">
        <f t="shared" si="19"/>
        <v>0</v>
      </c>
      <c r="L19" s="16">
        <f t="shared" si="19"/>
        <v>0</v>
      </c>
      <c r="M19" s="16">
        <f t="shared" si="19"/>
        <v>0</v>
      </c>
      <c r="N19" s="16">
        <f t="shared" si="19"/>
        <v>0</v>
      </c>
      <c r="O19" s="16">
        <f t="shared" si="19"/>
        <v>0</v>
      </c>
      <c r="P19" s="16">
        <f t="shared" si="9"/>
        <v>0</v>
      </c>
      <c r="Q19" s="16">
        <f t="shared" si="9"/>
        <v>0</v>
      </c>
      <c r="R19" s="8">
        <f t="shared" si="1"/>
        <v>0</v>
      </c>
      <c r="S19" s="363">
        <f t="shared" si="3"/>
        <v>0</v>
      </c>
      <c r="T19" s="363">
        <f t="shared" si="3"/>
        <v>0</v>
      </c>
      <c r="U19" s="363">
        <f t="shared" si="3"/>
        <v>0</v>
      </c>
      <c r="V19" s="363">
        <f t="shared" si="3"/>
        <v>0</v>
      </c>
      <c r="W19" s="363">
        <f t="shared" si="4"/>
        <v>0</v>
      </c>
      <c r="X19" s="363">
        <f t="shared" si="5"/>
        <v>0</v>
      </c>
      <c r="AI19" s="363"/>
      <c r="AJ19" s="363"/>
      <c r="AK19" s="363"/>
      <c r="AL19" s="363"/>
      <c r="AM19" s="363"/>
      <c r="AN19" s="363"/>
    </row>
    <row r="20" spans="1:40">
      <c r="A20" s="2" t="s">
        <v>92</v>
      </c>
      <c r="B20" s="16">
        <f t="shared" ref="B20:O20" si="20">B90*0.8</f>
        <v>0</v>
      </c>
      <c r="C20" s="16">
        <f t="shared" si="20"/>
        <v>0</v>
      </c>
      <c r="D20" s="16">
        <f t="shared" si="20"/>
        <v>0</v>
      </c>
      <c r="E20" s="16">
        <f t="shared" si="20"/>
        <v>0</v>
      </c>
      <c r="F20" s="16">
        <f t="shared" si="20"/>
        <v>0</v>
      </c>
      <c r="G20" s="16">
        <f t="shared" si="20"/>
        <v>0</v>
      </c>
      <c r="H20" s="16">
        <f t="shared" si="20"/>
        <v>0</v>
      </c>
      <c r="I20" s="16">
        <f t="shared" si="20"/>
        <v>0</v>
      </c>
      <c r="J20" s="16">
        <f t="shared" si="20"/>
        <v>0</v>
      </c>
      <c r="K20" s="16">
        <f t="shared" si="20"/>
        <v>0</v>
      </c>
      <c r="L20" s="16">
        <f t="shared" si="20"/>
        <v>0</v>
      </c>
      <c r="M20" s="16">
        <f t="shared" si="20"/>
        <v>0</v>
      </c>
      <c r="N20" s="16">
        <f t="shared" si="20"/>
        <v>0</v>
      </c>
      <c r="O20" s="16">
        <f t="shared" si="20"/>
        <v>0</v>
      </c>
      <c r="P20" s="16">
        <f t="shared" si="9"/>
        <v>0</v>
      </c>
      <c r="Q20" s="16">
        <f t="shared" si="9"/>
        <v>0</v>
      </c>
      <c r="R20" s="8">
        <f t="shared" si="1"/>
        <v>0</v>
      </c>
      <c r="S20" s="363">
        <f t="shared" si="3"/>
        <v>0</v>
      </c>
      <c r="T20" s="363">
        <f t="shared" si="3"/>
        <v>0</v>
      </c>
      <c r="U20" s="363">
        <f t="shared" si="3"/>
        <v>0</v>
      </c>
      <c r="V20" s="363">
        <f t="shared" si="3"/>
        <v>0</v>
      </c>
      <c r="W20" s="363">
        <f t="shared" si="4"/>
        <v>0</v>
      </c>
      <c r="X20" s="363">
        <f t="shared" si="5"/>
        <v>0</v>
      </c>
      <c r="AI20" s="363"/>
      <c r="AJ20" s="363"/>
      <c r="AK20" s="363"/>
      <c r="AL20" s="363"/>
      <c r="AM20" s="363"/>
      <c r="AN20" s="363"/>
    </row>
    <row r="21" spans="1:40">
      <c r="A21" s="2" t="s">
        <v>93</v>
      </c>
      <c r="B21" s="16">
        <f t="shared" ref="B21:O21" si="21">B91*0.8</f>
        <v>0</v>
      </c>
      <c r="C21" s="16">
        <f t="shared" si="21"/>
        <v>0</v>
      </c>
      <c r="D21" s="16">
        <f t="shared" si="21"/>
        <v>0</v>
      </c>
      <c r="E21" s="16">
        <f t="shared" si="21"/>
        <v>0</v>
      </c>
      <c r="F21" s="16">
        <f t="shared" si="21"/>
        <v>0</v>
      </c>
      <c r="G21" s="16">
        <f t="shared" si="21"/>
        <v>0</v>
      </c>
      <c r="H21" s="16">
        <f t="shared" si="21"/>
        <v>0</v>
      </c>
      <c r="I21" s="16">
        <f t="shared" si="21"/>
        <v>0</v>
      </c>
      <c r="J21" s="16">
        <f t="shared" si="21"/>
        <v>0</v>
      </c>
      <c r="K21" s="16">
        <f t="shared" si="21"/>
        <v>0</v>
      </c>
      <c r="L21" s="16">
        <f t="shared" si="21"/>
        <v>0</v>
      </c>
      <c r="M21" s="16">
        <f t="shared" si="21"/>
        <v>0</v>
      </c>
      <c r="N21" s="16">
        <f t="shared" si="21"/>
        <v>0</v>
      </c>
      <c r="O21" s="16">
        <f t="shared" si="21"/>
        <v>0</v>
      </c>
      <c r="P21" s="16">
        <f t="shared" si="9"/>
        <v>0</v>
      </c>
      <c r="Q21" s="16">
        <f t="shared" si="9"/>
        <v>0</v>
      </c>
      <c r="R21" s="8">
        <f t="shared" si="1"/>
        <v>0</v>
      </c>
      <c r="S21" s="363">
        <f t="shared" si="3"/>
        <v>0</v>
      </c>
      <c r="T21" s="363">
        <f t="shared" si="3"/>
        <v>0</v>
      </c>
      <c r="U21" s="363">
        <f t="shared" si="3"/>
        <v>0</v>
      </c>
      <c r="V21" s="363">
        <f t="shared" si="3"/>
        <v>0</v>
      </c>
      <c r="W21" s="363">
        <f t="shared" si="4"/>
        <v>0</v>
      </c>
      <c r="X21" s="363">
        <f t="shared" si="5"/>
        <v>0</v>
      </c>
      <c r="AI21" s="363"/>
      <c r="AJ21" s="363"/>
      <c r="AK21" s="363"/>
      <c r="AL21" s="363"/>
      <c r="AM21" s="363"/>
      <c r="AN21" s="363"/>
    </row>
    <row r="22" spans="1:40">
      <c r="A22" s="2" t="s">
        <v>94</v>
      </c>
      <c r="B22" s="16">
        <f t="shared" ref="B22:O22" si="22">B92*0.8</f>
        <v>0</v>
      </c>
      <c r="C22" s="16">
        <f t="shared" si="22"/>
        <v>0</v>
      </c>
      <c r="D22" s="16">
        <f t="shared" si="22"/>
        <v>0</v>
      </c>
      <c r="E22" s="16">
        <f t="shared" si="22"/>
        <v>0</v>
      </c>
      <c r="F22" s="16">
        <f t="shared" si="22"/>
        <v>0</v>
      </c>
      <c r="G22" s="16">
        <f t="shared" si="22"/>
        <v>0</v>
      </c>
      <c r="H22" s="16">
        <f t="shared" si="22"/>
        <v>0</v>
      </c>
      <c r="I22" s="16">
        <f t="shared" si="22"/>
        <v>0</v>
      </c>
      <c r="J22" s="16">
        <f t="shared" si="22"/>
        <v>0</v>
      </c>
      <c r="K22" s="16">
        <f t="shared" si="22"/>
        <v>0</v>
      </c>
      <c r="L22" s="16">
        <f t="shared" si="22"/>
        <v>0</v>
      </c>
      <c r="M22" s="16">
        <f t="shared" si="22"/>
        <v>0</v>
      </c>
      <c r="N22" s="16">
        <f t="shared" si="22"/>
        <v>0</v>
      </c>
      <c r="O22" s="16">
        <f t="shared" si="22"/>
        <v>0</v>
      </c>
      <c r="P22" s="16">
        <f t="shared" si="9"/>
        <v>0</v>
      </c>
      <c r="Q22" s="16">
        <f t="shared" si="9"/>
        <v>0</v>
      </c>
      <c r="R22" s="8">
        <f t="shared" si="1"/>
        <v>0</v>
      </c>
      <c r="S22" s="363">
        <f t="shared" si="3"/>
        <v>0</v>
      </c>
      <c r="T22" s="363">
        <f t="shared" si="3"/>
        <v>0</v>
      </c>
      <c r="U22" s="363">
        <f t="shared" si="3"/>
        <v>0</v>
      </c>
      <c r="V22" s="363">
        <f t="shared" si="3"/>
        <v>0</v>
      </c>
      <c r="W22" s="363">
        <f t="shared" si="4"/>
        <v>0</v>
      </c>
      <c r="X22" s="363">
        <f t="shared" si="5"/>
        <v>0</v>
      </c>
      <c r="AI22" s="363"/>
      <c r="AJ22" s="363"/>
      <c r="AK22" s="363"/>
      <c r="AL22" s="363"/>
      <c r="AM22" s="363"/>
      <c r="AN22" s="363"/>
    </row>
    <row r="23" spans="1:40">
      <c r="A23" s="2" t="s">
        <v>95</v>
      </c>
      <c r="B23" s="16">
        <f t="shared" ref="B23:O23" si="23">B93*0.8</f>
        <v>0</v>
      </c>
      <c r="C23" s="16">
        <f t="shared" si="23"/>
        <v>0</v>
      </c>
      <c r="D23" s="16">
        <f t="shared" si="23"/>
        <v>0</v>
      </c>
      <c r="E23" s="16">
        <f t="shared" si="23"/>
        <v>0</v>
      </c>
      <c r="F23" s="16">
        <f t="shared" si="23"/>
        <v>0</v>
      </c>
      <c r="G23" s="16">
        <f t="shared" si="23"/>
        <v>0</v>
      </c>
      <c r="H23" s="16">
        <f t="shared" si="23"/>
        <v>0</v>
      </c>
      <c r="I23" s="16">
        <f t="shared" si="23"/>
        <v>0</v>
      </c>
      <c r="J23" s="16">
        <f t="shared" si="23"/>
        <v>0</v>
      </c>
      <c r="K23" s="16">
        <f t="shared" si="23"/>
        <v>0</v>
      </c>
      <c r="L23" s="16">
        <f t="shared" si="23"/>
        <v>0</v>
      </c>
      <c r="M23" s="16">
        <f t="shared" si="23"/>
        <v>0</v>
      </c>
      <c r="N23" s="16">
        <f t="shared" si="23"/>
        <v>0</v>
      </c>
      <c r="O23" s="16">
        <f t="shared" si="23"/>
        <v>0</v>
      </c>
      <c r="P23" s="16">
        <f t="shared" si="9"/>
        <v>0</v>
      </c>
      <c r="Q23" s="16">
        <f t="shared" si="9"/>
        <v>0</v>
      </c>
      <c r="R23" s="8">
        <f t="shared" si="1"/>
        <v>0</v>
      </c>
      <c r="S23" s="363">
        <f t="shared" si="3"/>
        <v>0</v>
      </c>
      <c r="T23" s="363">
        <f t="shared" si="3"/>
        <v>0</v>
      </c>
      <c r="U23" s="363">
        <f t="shared" si="3"/>
        <v>0</v>
      </c>
      <c r="V23" s="363">
        <f t="shared" si="3"/>
        <v>0</v>
      </c>
      <c r="W23" s="363">
        <f t="shared" si="4"/>
        <v>0</v>
      </c>
      <c r="X23" s="363">
        <f t="shared" si="5"/>
        <v>0</v>
      </c>
      <c r="AI23" s="363"/>
      <c r="AJ23" s="363"/>
      <c r="AK23" s="363"/>
      <c r="AL23" s="363"/>
      <c r="AM23" s="363"/>
      <c r="AN23" s="363"/>
    </row>
    <row r="24" spans="1:40">
      <c r="A24" s="2" t="s">
        <v>96</v>
      </c>
      <c r="B24" s="16">
        <f t="shared" ref="B24:O24" si="24">B94*0.8</f>
        <v>0</v>
      </c>
      <c r="C24" s="16">
        <f t="shared" si="24"/>
        <v>0</v>
      </c>
      <c r="D24" s="16">
        <f t="shared" si="24"/>
        <v>0</v>
      </c>
      <c r="E24" s="16">
        <f t="shared" si="24"/>
        <v>0</v>
      </c>
      <c r="F24" s="16">
        <f t="shared" si="24"/>
        <v>0</v>
      </c>
      <c r="G24" s="16">
        <f t="shared" si="24"/>
        <v>0</v>
      </c>
      <c r="H24" s="16">
        <f t="shared" si="24"/>
        <v>0</v>
      </c>
      <c r="I24" s="16">
        <f t="shared" si="24"/>
        <v>0</v>
      </c>
      <c r="J24" s="16">
        <f t="shared" si="24"/>
        <v>0</v>
      </c>
      <c r="K24" s="16">
        <f t="shared" si="24"/>
        <v>0</v>
      </c>
      <c r="L24" s="16">
        <f t="shared" si="24"/>
        <v>0</v>
      </c>
      <c r="M24" s="16">
        <f t="shared" si="24"/>
        <v>0</v>
      </c>
      <c r="N24" s="16">
        <f t="shared" si="24"/>
        <v>0</v>
      </c>
      <c r="O24" s="16">
        <f t="shared" si="24"/>
        <v>0</v>
      </c>
      <c r="P24" s="16">
        <f t="shared" si="9"/>
        <v>0</v>
      </c>
      <c r="Q24" s="16">
        <f t="shared" si="9"/>
        <v>0</v>
      </c>
      <c r="R24" s="8">
        <f t="shared" si="1"/>
        <v>0</v>
      </c>
      <c r="S24" s="363">
        <f t="shared" si="3"/>
        <v>0</v>
      </c>
      <c r="T24" s="363">
        <f t="shared" si="3"/>
        <v>0</v>
      </c>
      <c r="U24" s="363">
        <f t="shared" si="3"/>
        <v>0</v>
      </c>
      <c r="V24" s="363">
        <f t="shared" si="3"/>
        <v>0</v>
      </c>
      <c r="W24" s="363">
        <f t="shared" si="4"/>
        <v>0</v>
      </c>
      <c r="X24" s="363">
        <f t="shared" si="5"/>
        <v>0</v>
      </c>
      <c r="AI24" s="363"/>
      <c r="AJ24" s="363"/>
      <c r="AK24" s="363"/>
      <c r="AL24" s="363"/>
      <c r="AM24" s="363"/>
      <c r="AN24" s="363"/>
    </row>
    <row r="25" spans="1:40">
      <c r="A25" s="2" t="s">
        <v>97</v>
      </c>
      <c r="B25" s="16">
        <f t="shared" ref="B25:O25" si="25">B95*0.8</f>
        <v>0</v>
      </c>
      <c r="C25" s="16">
        <f t="shared" si="25"/>
        <v>0</v>
      </c>
      <c r="D25" s="16">
        <f t="shared" si="25"/>
        <v>0</v>
      </c>
      <c r="E25" s="16">
        <f t="shared" si="25"/>
        <v>0</v>
      </c>
      <c r="F25" s="16">
        <f t="shared" si="25"/>
        <v>0</v>
      </c>
      <c r="G25" s="16">
        <f t="shared" si="25"/>
        <v>0</v>
      </c>
      <c r="H25" s="16">
        <f t="shared" si="25"/>
        <v>0</v>
      </c>
      <c r="I25" s="16">
        <f t="shared" si="25"/>
        <v>0</v>
      </c>
      <c r="J25" s="16">
        <f t="shared" si="25"/>
        <v>0</v>
      </c>
      <c r="K25" s="16">
        <f t="shared" si="25"/>
        <v>0</v>
      </c>
      <c r="L25" s="16">
        <f t="shared" si="25"/>
        <v>0</v>
      </c>
      <c r="M25" s="16">
        <f t="shared" si="25"/>
        <v>0</v>
      </c>
      <c r="N25" s="16">
        <f t="shared" si="25"/>
        <v>0</v>
      </c>
      <c r="O25" s="16">
        <f t="shared" si="25"/>
        <v>0</v>
      </c>
      <c r="P25" s="16">
        <f t="shared" si="9"/>
        <v>0</v>
      </c>
      <c r="Q25" s="16">
        <f t="shared" si="9"/>
        <v>0</v>
      </c>
      <c r="R25" s="8">
        <f t="shared" si="1"/>
        <v>0</v>
      </c>
      <c r="S25" s="363">
        <f t="shared" si="3"/>
        <v>0</v>
      </c>
      <c r="T25" s="363">
        <f t="shared" si="3"/>
        <v>0</v>
      </c>
      <c r="U25" s="363">
        <f t="shared" si="3"/>
        <v>0</v>
      </c>
      <c r="V25" s="363">
        <f t="shared" si="3"/>
        <v>0</v>
      </c>
      <c r="W25" s="363">
        <f t="shared" si="4"/>
        <v>0</v>
      </c>
      <c r="X25" s="363">
        <f t="shared" si="5"/>
        <v>0</v>
      </c>
      <c r="AI25" s="363"/>
      <c r="AJ25" s="363"/>
      <c r="AK25" s="363"/>
      <c r="AL25" s="363"/>
      <c r="AM25" s="363"/>
      <c r="AN25" s="363"/>
    </row>
    <row r="26" spans="1:40">
      <c r="A26" s="2" t="s">
        <v>98</v>
      </c>
      <c r="B26" s="16">
        <f t="shared" ref="B26:O26" si="26">B96*0.8</f>
        <v>0</v>
      </c>
      <c r="C26" s="16">
        <f t="shared" si="26"/>
        <v>0</v>
      </c>
      <c r="D26" s="16">
        <f t="shared" si="26"/>
        <v>0</v>
      </c>
      <c r="E26" s="16">
        <f t="shared" si="26"/>
        <v>0</v>
      </c>
      <c r="F26" s="16">
        <f t="shared" si="26"/>
        <v>0</v>
      </c>
      <c r="G26" s="16">
        <f t="shared" si="26"/>
        <v>0</v>
      </c>
      <c r="H26" s="16">
        <f t="shared" si="26"/>
        <v>0</v>
      </c>
      <c r="I26" s="16">
        <f t="shared" si="26"/>
        <v>0</v>
      </c>
      <c r="J26" s="16">
        <f t="shared" si="26"/>
        <v>0</v>
      </c>
      <c r="K26" s="16">
        <f t="shared" si="26"/>
        <v>0</v>
      </c>
      <c r="L26" s="16">
        <f t="shared" si="26"/>
        <v>0</v>
      </c>
      <c r="M26" s="16">
        <f t="shared" si="26"/>
        <v>0</v>
      </c>
      <c r="N26" s="16">
        <f t="shared" si="26"/>
        <v>0</v>
      </c>
      <c r="O26" s="16">
        <f t="shared" si="26"/>
        <v>0</v>
      </c>
      <c r="P26" s="16">
        <f t="shared" si="9"/>
        <v>0</v>
      </c>
      <c r="Q26" s="16">
        <f t="shared" si="9"/>
        <v>0</v>
      </c>
      <c r="R26" s="8">
        <f t="shared" si="1"/>
        <v>0</v>
      </c>
      <c r="S26" s="363">
        <f t="shared" si="3"/>
        <v>0</v>
      </c>
      <c r="T26" s="363">
        <f t="shared" si="3"/>
        <v>0</v>
      </c>
      <c r="U26" s="363">
        <f t="shared" si="3"/>
        <v>0</v>
      </c>
      <c r="V26" s="363">
        <f t="shared" si="3"/>
        <v>0</v>
      </c>
      <c r="W26" s="363">
        <f t="shared" si="4"/>
        <v>0</v>
      </c>
      <c r="X26" s="363">
        <f t="shared" si="5"/>
        <v>0</v>
      </c>
      <c r="AI26" s="363"/>
      <c r="AJ26" s="363"/>
      <c r="AK26" s="363"/>
      <c r="AL26" s="363"/>
      <c r="AM26" s="363"/>
      <c r="AN26" s="363"/>
    </row>
    <row r="27" spans="1:40">
      <c r="A27" s="2" t="s">
        <v>99</v>
      </c>
      <c r="B27" s="16">
        <f t="shared" ref="B27:O27" si="27">B97*0.8</f>
        <v>0</v>
      </c>
      <c r="C27" s="16">
        <f t="shared" si="27"/>
        <v>0</v>
      </c>
      <c r="D27" s="16">
        <f t="shared" si="27"/>
        <v>0</v>
      </c>
      <c r="E27" s="16">
        <f t="shared" si="27"/>
        <v>0</v>
      </c>
      <c r="F27" s="16">
        <f t="shared" si="27"/>
        <v>0</v>
      </c>
      <c r="G27" s="16">
        <f t="shared" si="27"/>
        <v>0</v>
      </c>
      <c r="H27" s="16">
        <f t="shared" si="27"/>
        <v>0</v>
      </c>
      <c r="I27" s="16">
        <f t="shared" si="27"/>
        <v>0</v>
      </c>
      <c r="J27" s="16">
        <f t="shared" si="27"/>
        <v>0</v>
      </c>
      <c r="K27" s="16">
        <f t="shared" si="27"/>
        <v>0</v>
      </c>
      <c r="L27" s="16">
        <f t="shared" si="27"/>
        <v>0</v>
      </c>
      <c r="M27" s="16">
        <f t="shared" si="27"/>
        <v>0</v>
      </c>
      <c r="N27" s="16">
        <f t="shared" si="27"/>
        <v>0</v>
      </c>
      <c r="O27" s="16">
        <f t="shared" si="27"/>
        <v>0</v>
      </c>
      <c r="P27" s="16">
        <f t="shared" si="9"/>
        <v>0</v>
      </c>
      <c r="Q27" s="16">
        <f t="shared" si="9"/>
        <v>0</v>
      </c>
      <c r="R27" s="8">
        <f t="shared" si="1"/>
        <v>0</v>
      </c>
      <c r="S27" s="363">
        <f t="shared" si="3"/>
        <v>0</v>
      </c>
      <c r="T27" s="363">
        <f t="shared" si="3"/>
        <v>0</v>
      </c>
      <c r="U27" s="363">
        <f t="shared" si="3"/>
        <v>0</v>
      </c>
      <c r="V27" s="363">
        <f t="shared" si="3"/>
        <v>0</v>
      </c>
      <c r="W27" s="363">
        <f t="shared" si="4"/>
        <v>0</v>
      </c>
      <c r="X27" s="363">
        <f t="shared" si="5"/>
        <v>0</v>
      </c>
      <c r="AI27" s="363"/>
      <c r="AJ27" s="363"/>
      <c r="AK27" s="363"/>
      <c r="AL27" s="363"/>
      <c r="AM27" s="363"/>
      <c r="AN27" s="363"/>
    </row>
    <row r="28" spans="1:40">
      <c r="A28" s="2" t="s">
        <v>100</v>
      </c>
      <c r="B28" s="16">
        <f t="shared" ref="B28:O28" si="28">B98*0.8</f>
        <v>0</v>
      </c>
      <c r="C28" s="16">
        <f t="shared" si="28"/>
        <v>0</v>
      </c>
      <c r="D28" s="16">
        <f t="shared" si="28"/>
        <v>0</v>
      </c>
      <c r="E28" s="16">
        <f t="shared" si="28"/>
        <v>0</v>
      </c>
      <c r="F28" s="16">
        <f t="shared" si="28"/>
        <v>0</v>
      </c>
      <c r="G28" s="16">
        <f t="shared" si="28"/>
        <v>0</v>
      </c>
      <c r="H28" s="16">
        <f t="shared" si="28"/>
        <v>0</v>
      </c>
      <c r="I28" s="16">
        <f t="shared" si="28"/>
        <v>0</v>
      </c>
      <c r="J28" s="16">
        <f t="shared" si="28"/>
        <v>0</v>
      </c>
      <c r="K28" s="16">
        <f t="shared" si="28"/>
        <v>0</v>
      </c>
      <c r="L28" s="16">
        <f t="shared" si="28"/>
        <v>0</v>
      </c>
      <c r="M28" s="16">
        <f t="shared" si="28"/>
        <v>0</v>
      </c>
      <c r="N28" s="16">
        <f t="shared" si="28"/>
        <v>0</v>
      </c>
      <c r="O28" s="16">
        <f t="shared" si="28"/>
        <v>0</v>
      </c>
      <c r="P28" s="16">
        <f t="shared" si="9"/>
        <v>0</v>
      </c>
      <c r="Q28" s="16">
        <f t="shared" si="9"/>
        <v>0</v>
      </c>
      <c r="R28" s="8">
        <f t="shared" si="1"/>
        <v>0</v>
      </c>
      <c r="S28" s="363">
        <f t="shared" si="3"/>
        <v>0</v>
      </c>
      <c r="T28" s="363">
        <f t="shared" si="3"/>
        <v>0</v>
      </c>
      <c r="U28" s="363">
        <f t="shared" si="3"/>
        <v>0</v>
      </c>
      <c r="V28" s="363">
        <f t="shared" si="3"/>
        <v>0</v>
      </c>
      <c r="W28" s="363">
        <f t="shared" si="4"/>
        <v>0</v>
      </c>
      <c r="X28" s="363">
        <f t="shared" si="5"/>
        <v>0</v>
      </c>
      <c r="AI28" s="363"/>
      <c r="AJ28" s="363"/>
      <c r="AK28" s="363"/>
      <c r="AL28" s="363"/>
      <c r="AM28" s="363"/>
      <c r="AN28" s="363"/>
    </row>
    <row r="29" spans="1:40">
      <c r="A29" s="2" t="s">
        <v>101</v>
      </c>
      <c r="B29" s="16">
        <f t="shared" ref="B29:O29" si="29">B99*0.8</f>
        <v>0</v>
      </c>
      <c r="C29" s="16">
        <f t="shared" si="29"/>
        <v>0</v>
      </c>
      <c r="D29" s="16">
        <f t="shared" si="29"/>
        <v>0</v>
      </c>
      <c r="E29" s="16">
        <f t="shared" si="29"/>
        <v>0</v>
      </c>
      <c r="F29" s="16">
        <f t="shared" si="29"/>
        <v>0</v>
      </c>
      <c r="G29" s="16">
        <f t="shared" si="29"/>
        <v>0</v>
      </c>
      <c r="H29" s="16">
        <f t="shared" si="29"/>
        <v>0</v>
      </c>
      <c r="I29" s="16">
        <f t="shared" si="29"/>
        <v>0</v>
      </c>
      <c r="J29" s="16">
        <f t="shared" si="29"/>
        <v>0</v>
      </c>
      <c r="K29" s="16">
        <f t="shared" si="29"/>
        <v>0</v>
      </c>
      <c r="L29" s="16">
        <f t="shared" si="29"/>
        <v>0</v>
      </c>
      <c r="M29" s="16">
        <f t="shared" si="29"/>
        <v>0</v>
      </c>
      <c r="N29" s="16">
        <f t="shared" si="29"/>
        <v>0</v>
      </c>
      <c r="O29" s="16">
        <f t="shared" si="29"/>
        <v>0</v>
      </c>
      <c r="P29" s="16">
        <f>P99</f>
        <v>0</v>
      </c>
      <c r="Q29" s="16">
        <f>Q99</f>
        <v>0</v>
      </c>
      <c r="R29" s="8">
        <f t="shared" si="1"/>
        <v>0</v>
      </c>
      <c r="S29" s="363">
        <f t="shared" si="3"/>
        <v>0</v>
      </c>
      <c r="T29" s="363">
        <f t="shared" si="3"/>
        <v>0</v>
      </c>
      <c r="U29" s="363">
        <f t="shared" si="3"/>
        <v>0</v>
      </c>
      <c r="V29" s="363">
        <f t="shared" si="3"/>
        <v>0</v>
      </c>
      <c r="W29" s="363">
        <f t="shared" si="4"/>
        <v>0</v>
      </c>
      <c r="X29" s="363">
        <f t="shared" si="5"/>
        <v>0</v>
      </c>
      <c r="AI29" s="363"/>
      <c r="AJ29" s="363"/>
      <c r="AK29" s="363"/>
      <c r="AL29" s="363"/>
      <c r="AM29" s="363"/>
      <c r="AN29" s="363"/>
    </row>
    <row r="30" spans="1:40">
      <c r="A30" s="2" t="s">
        <v>102</v>
      </c>
      <c r="B30" s="16">
        <f t="shared" ref="B30:O30" si="30">B100*0.8</f>
        <v>0</v>
      </c>
      <c r="C30" s="16">
        <f t="shared" si="30"/>
        <v>0</v>
      </c>
      <c r="D30" s="16">
        <f t="shared" si="30"/>
        <v>0</v>
      </c>
      <c r="E30" s="16">
        <f t="shared" si="30"/>
        <v>0</v>
      </c>
      <c r="F30" s="16">
        <f t="shared" si="30"/>
        <v>0</v>
      </c>
      <c r="G30" s="16">
        <f t="shared" si="30"/>
        <v>0</v>
      </c>
      <c r="H30" s="16">
        <f t="shared" si="30"/>
        <v>0</v>
      </c>
      <c r="I30" s="16">
        <f t="shared" si="30"/>
        <v>0</v>
      </c>
      <c r="J30" s="16">
        <f t="shared" si="30"/>
        <v>0</v>
      </c>
      <c r="K30" s="16">
        <f t="shared" si="30"/>
        <v>0</v>
      </c>
      <c r="L30" s="16">
        <f t="shared" si="30"/>
        <v>0</v>
      </c>
      <c r="M30" s="16">
        <f t="shared" si="30"/>
        <v>0</v>
      </c>
      <c r="N30" s="16">
        <f t="shared" si="30"/>
        <v>0</v>
      </c>
      <c r="O30" s="16">
        <f t="shared" si="30"/>
        <v>0</v>
      </c>
      <c r="P30" s="16">
        <f>P100*0.8</f>
        <v>0</v>
      </c>
      <c r="Q30" s="16">
        <f>Q100*0.8</f>
        <v>0</v>
      </c>
      <c r="R30" s="8">
        <f t="shared" si="1"/>
        <v>0</v>
      </c>
      <c r="S30" s="363">
        <f t="shared" si="3"/>
        <v>0</v>
      </c>
      <c r="T30" s="363">
        <f t="shared" si="3"/>
        <v>0</v>
      </c>
      <c r="U30" s="363">
        <f t="shared" si="3"/>
        <v>0</v>
      </c>
      <c r="V30" s="363">
        <f t="shared" si="3"/>
        <v>0</v>
      </c>
      <c r="W30" s="363">
        <f t="shared" si="4"/>
        <v>0</v>
      </c>
      <c r="X30" s="363">
        <f t="shared" si="5"/>
        <v>0</v>
      </c>
      <c r="AI30" s="363"/>
      <c r="AJ30" s="363"/>
      <c r="AK30" s="363"/>
      <c r="AL30" s="363"/>
      <c r="AM30" s="363"/>
      <c r="AN30" s="363"/>
    </row>
    <row r="31" spans="1:40">
      <c r="A31" s="2" t="s">
        <v>103</v>
      </c>
      <c r="B31" s="16">
        <f t="shared" ref="B31:O31" si="31">B101*0.8</f>
        <v>0</v>
      </c>
      <c r="C31" s="16">
        <f t="shared" si="31"/>
        <v>0</v>
      </c>
      <c r="D31" s="16">
        <f t="shared" si="31"/>
        <v>0</v>
      </c>
      <c r="E31" s="16">
        <f t="shared" si="31"/>
        <v>0</v>
      </c>
      <c r="F31" s="16">
        <f t="shared" si="31"/>
        <v>0</v>
      </c>
      <c r="G31" s="16">
        <f t="shared" si="31"/>
        <v>0</v>
      </c>
      <c r="H31" s="16">
        <f t="shared" si="31"/>
        <v>0</v>
      </c>
      <c r="I31" s="16">
        <f t="shared" si="31"/>
        <v>0</v>
      </c>
      <c r="J31" s="16">
        <f t="shared" si="31"/>
        <v>0</v>
      </c>
      <c r="K31" s="16">
        <f t="shared" si="31"/>
        <v>0</v>
      </c>
      <c r="L31" s="16">
        <f t="shared" si="31"/>
        <v>0</v>
      </c>
      <c r="M31" s="16">
        <f t="shared" si="31"/>
        <v>0</v>
      </c>
      <c r="N31" s="16">
        <f t="shared" si="31"/>
        <v>0</v>
      </c>
      <c r="O31" s="16">
        <f t="shared" si="31"/>
        <v>0</v>
      </c>
      <c r="P31" s="16">
        <f>P101*0.8</f>
        <v>0</v>
      </c>
      <c r="Q31" s="16">
        <f>Q101*0.8</f>
        <v>0</v>
      </c>
      <c r="R31" s="8">
        <f t="shared" si="1"/>
        <v>0</v>
      </c>
      <c r="S31" s="363">
        <f t="shared" si="3"/>
        <v>0</v>
      </c>
      <c r="T31" s="363">
        <f t="shared" si="3"/>
        <v>0</v>
      </c>
      <c r="U31" s="363">
        <f t="shared" si="3"/>
        <v>0</v>
      </c>
      <c r="V31" s="363">
        <f t="shared" si="3"/>
        <v>0</v>
      </c>
      <c r="W31" s="363">
        <f t="shared" si="4"/>
        <v>0</v>
      </c>
      <c r="X31" s="363">
        <f t="shared" si="5"/>
        <v>0</v>
      </c>
      <c r="AI31" s="363"/>
      <c r="AJ31" s="363"/>
      <c r="AK31" s="363"/>
      <c r="AL31" s="363"/>
      <c r="AM31" s="363"/>
      <c r="AN31" s="363"/>
    </row>
    <row r="32" spans="1:40">
      <c r="A32" s="4" t="s">
        <v>37</v>
      </c>
      <c r="B32" s="5">
        <f t="shared" ref="B32:R32" si="32">SUM(B5:B31)</f>
        <v>0</v>
      </c>
      <c r="C32" s="5">
        <f t="shared" si="32"/>
        <v>0</v>
      </c>
      <c r="D32" s="5">
        <f t="shared" si="32"/>
        <v>0</v>
      </c>
      <c r="E32" s="5">
        <f t="shared" si="32"/>
        <v>0</v>
      </c>
      <c r="F32" s="5">
        <f t="shared" si="32"/>
        <v>0</v>
      </c>
      <c r="G32" s="5">
        <f t="shared" si="32"/>
        <v>0</v>
      </c>
      <c r="H32" s="5">
        <f t="shared" si="32"/>
        <v>0</v>
      </c>
      <c r="I32" s="5">
        <f t="shared" si="32"/>
        <v>0</v>
      </c>
      <c r="J32" s="5">
        <f t="shared" si="32"/>
        <v>0</v>
      </c>
      <c r="K32" s="5">
        <f t="shared" si="32"/>
        <v>0</v>
      </c>
      <c r="L32" s="5">
        <f t="shared" si="32"/>
        <v>0</v>
      </c>
      <c r="M32" s="5">
        <f t="shared" si="32"/>
        <v>0</v>
      </c>
      <c r="N32" s="5">
        <f t="shared" si="32"/>
        <v>0</v>
      </c>
      <c r="O32" s="5">
        <f t="shared" si="32"/>
        <v>0</v>
      </c>
      <c r="P32" s="5">
        <f t="shared" si="32"/>
        <v>0</v>
      </c>
      <c r="Q32" s="5">
        <f t="shared" si="32"/>
        <v>0</v>
      </c>
      <c r="R32" s="5">
        <f t="shared" si="32"/>
        <v>0</v>
      </c>
      <c r="S32" s="363">
        <f t="shared" ref="S32:X32" si="33">SUM(S5:S31)</f>
        <v>0</v>
      </c>
      <c r="T32" s="363">
        <f t="shared" si="33"/>
        <v>0</v>
      </c>
      <c r="U32" s="363">
        <f t="shared" si="33"/>
        <v>0</v>
      </c>
      <c r="V32" s="363">
        <f t="shared" si="33"/>
        <v>0</v>
      </c>
      <c r="W32" s="363">
        <f t="shared" si="33"/>
        <v>0</v>
      </c>
      <c r="X32" s="363">
        <f t="shared" si="33"/>
        <v>0</v>
      </c>
      <c r="AI32" s="363"/>
      <c r="AJ32" s="363"/>
      <c r="AK32" s="363"/>
      <c r="AL32" s="363"/>
      <c r="AM32" s="363"/>
      <c r="AN32" s="363"/>
    </row>
    <row r="33" spans="1:40">
      <c r="A33" s="351" t="s">
        <v>48</v>
      </c>
      <c r="B33" s="352"/>
      <c r="C33" s="353"/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3"/>
      <c r="Q33" s="353"/>
      <c r="R33" s="352"/>
    </row>
    <row r="34" spans="1:40">
      <c r="A34" s="364"/>
      <c r="B34" s="364"/>
      <c r="C34" s="365"/>
      <c r="D34" s="365"/>
      <c r="E34" s="365"/>
      <c r="F34" s="365"/>
      <c r="G34" s="365"/>
      <c r="H34" s="365"/>
      <c r="I34" s="365"/>
      <c r="J34" s="365"/>
      <c r="K34" s="365"/>
      <c r="L34" s="365"/>
      <c r="M34" s="365"/>
      <c r="N34" s="365"/>
      <c r="O34" s="365"/>
      <c r="P34" s="365"/>
      <c r="Q34" s="365"/>
      <c r="R34" s="366"/>
    </row>
    <row r="35" spans="1:40">
      <c r="A35" s="358"/>
      <c r="B35" s="358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60"/>
    </row>
    <row r="36" spans="1:40">
      <c r="A36" s="367"/>
      <c r="B36" s="367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9"/>
    </row>
    <row r="37" spans="1:40" ht="46.5">
      <c r="A37" s="837" t="s">
        <v>76</v>
      </c>
      <c r="B37" s="838"/>
      <c r="C37" s="838"/>
      <c r="D37" s="838"/>
      <c r="E37" s="838"/>
      <c r="F37" s="838"/>
      <c r="G37" s="838"/>
      <c r="H37" s="838"/>
      <c r="I37" s="838"/>
      <c r="J37" s="838"/>
      <c r="K37" s="838"/>
      <c r="L37" s="838"/>
      <c r="M37" s="838"/>
      <c r="N37" s="838"/>
      <c r="O37" s="838"/>
      <c r="P37" s="838"/>
      <c r="Q37" s="838"/>
      <c r="R37" s="839"/>
    </row>
    <row r="38" spans="1:40" s="372" customFormat="1" ht="35.1" customHeight="1">
      <c r="A38" s="835" t="s">
        <v>33</v>
      </c>
      <c r="B38" s="833" t="s">
        <v>27</v>
      </c>
      <c r="C38" s="834"/>
      <c r="D38" s="833" t="s">
        <v>29</v>
      </c>
      <c r="E38" s="834"/>
      <c r="F38" s="835" t="s">
        <v>28</v>
      </c>
      <c r="G38" s="835" t="s">
        <v>36</v>
      </c>
      <c r="H38" s="835" t="s">
        <v>30</v>
      </c>
      <c r="I38" s="835" t="s">
        <v>31</v>
      </c>
      <c r="J38" s="835" t="s">
        <v>41</v>
      </c>
      <c r="K38" s="835" t="s">
        <v>35</v>
      </c>
      <c r="L38" s="835" t="s">
        <v>40</v>
      </c>
      <c r="M38" s="835" t="s">
        <v>42</v>
      </c>
      <c r="N38" s="835" t="s">
        <v>45</v>
      </c>
      <c r="O38" s="835" t="s">
        <v>279</v>
      </c>
      <c r="P38" s="833" t="s">
        <v>49</v>
      </c>
      <c r="Q38" s="834"/>
      <c r="R38" s="835" t="s">
        <v>34</v>
      </c>
      <c r="S38" s="357"/>
      <c r="T38" s="357"/>
      <c r="U38" s="357"/>
      <c r="V38" s="357"/>
      <c r="W38" s="357"/>
      <c r="X38" s="357"/>
      <c r="AI38" s="357"/>
      <c r="AJ38" s="357"/>
      <c r="AK38" s="357"/>
      <c r="AL38" s="357"/>
      <c r="AM38" s="357"/>
      <c r="AN38" s="357"/>
    </row>
    <row r="39" spans="1:40" s="372" customFormat="1" ht="35.1" customHeight="1">
      <c r="A39" s="836"/>
      <c r="B39" s="361" t="s">
        <v>43</v>
      </c>
      <c r="C39" s="361" t="s">
        <v>44</v>
      </c>
      <c r="D39" s="361" t="s">
        <v>43</v>
      </c>
      <c r="E39" s="361" t="s">
        <v>44</v>
      </c>
      <c r="F39" s="836"/>
      <c r="G39" s="836"/>
      <c r="H39" s="836"/>
      <c r="I39" s="836"/>
      <c r="J39" s="836"/>
      <c r="K39" s="836"/>
      <c r="L39" s="836"/>
      <c r="M39" s="836"/>
      <c r="N39" s="836"/>
      <c r="O39" s="836"/>
      <c r="P39" s="362" t="s">
        <v>50</v>
      </c>
      <c r="Q39" s="362" t="s">
        <v>51</v>
      </c>
      <c r="R39" s="836"/>
      <c r="S39" s="372" t="s">
        <v>173</v>
      </c>
      <c r="T39" s="372" t="s">
        <v>291</v>
      </c>
      <c r="U39" s="372" t="s">
        <v>174</v>
      </c>
      <c r="V39" s="372" t="s">
        <v>292</v>
      </c>
      <c r="W39" s="372" t="s">
        <v>28</v>
      </c>
      <c r="X39" s="372" t="s">
        <v>175</v>
      </c>
    </row>
    <row r="40" spans="1:40">
      <c r="A40" s="2" t="s">
        <v>77</v>
      </c>
      <c r="B40" s="16">
        <f t="shared" ref="B40:Q40" si="34">B75*0.2</f>
        <v>0</v>
      </c>
      <c r="C40" s="16">
        <f t="shared" si="34"/>
        <v>0</v>
      </c>
      <c r="D40" s="16">
        <f t="shared" si="34"/>
        <v>0</v>
      </c>
      <c r="E40" s="16">
        <f t="shared" si="34"/>
        <v>0</v>
      </c>
      <c r="F40" s="16">
        <f t="shared" si="34"/>
        <v>0</v>
      </c>
      <c r="G40" s="16">
        <f t="shared" si="34"/>
        <v>0</v>
      </c>
      <c r="H40" s="16">
        <f t="shared" si="34"/>
        <v>0</v>
      </c>
      <c r="I40" s="16">
        <f t="shared" si="34"/>
        <v>0</v>
      </c>
      <c r="J40" s="16">
        <f t="shared" si="34"/>
        <v>0</v>
      </c>
      <c r="K40" s="16">
        <f t="shared" si="34"/>
        <v>0</v>
      </c>
      <c r="L40" s="16">
        <f t="shared" si="34"/>
        <v>0</v>
      </c>
      <c r="M40" s="16">
        <f t="shared" si="34"/>
        <v>0</v>
      </c>
      <c r="N40" s="16">
        <f t="shared" si="34"/>
        <v>0</v>
      </c>
      <c r="O40" s="16">
        <f t="shared" si="34"/>
        <v>0</v>
      </c>
      <c r="P40" s="16">
        <f t="shared" si="34"/>
        <v>0</v>
      </c>
      <c r="Q40" s="16">
        <f t="shared" si="34"/>
        <v>0</v>
      </c>
      <c r="R40" s="8">
        <f t="shared" ref="R40:R66" si="35">SUM(B40:Q40)</f>
        <v>0</v>
      </c>
      <c r="S40" s="363">
        <f>B40</f>
        <v>0</v>
      </c>
      <c r="T40" s="363">
        <f>C40</f>
        <v>0</v>
      </c>
      <c r="U40" s="363">
        <f>D40</f>
        <v>0</v>
      </c>
      <c r="V40" s="363">
        <f>E40</f>
        <v>0</v>
      </c>
      <c r="W40" s="363">
        <f>F40+G40</f>
        <v>0</v>
      </c>
      <c r="X40" s="363">
        <f>SUM(H40:Q40)</f>
        <v>0</v>
      </c>
      <c r="AI40" s="363"/>
      <c r="AJ40" s="363"/>
      <c r="AK40" s="363"/>
      <c r="AL40" s="363"/>
      <c r="AM40" s="363"/>
      <c r="AN40" s="363"/>
    </row>
    <row r="41" spans="1:40">
      <c r="A41" s="2" t="s">
        <v>78</v>
      </c>
      <c r="B41" s="16">
        <f t="shared" ref="B41:Q41" si="36">B76*0.2</f>
        <v>0</v>
      </c>
      <c r="C41" s="16">
        <f t="shared" si="36"/>
        <v>0</v>
      </c>
      <c r="D41" s="16">
        <f t="shared" si="36"/>
        <v>0</v>
      </c>
      <c r="E41" s="16">
        <f t="shared" si="36"/>
        <v>0</v>
      </c>
      <c r="F41" s="16">
        <f t="shared" si="36"/>
        <v>0</v>
      </c>
      <c r="G41" s="16">
        <f t="shared" si="36"/>
        <v>0</v>
      </c>
      <c r="H41" s="16">
        <f t="shared" si="36"/>
        <v>0</v>
      </c>
      <c r="I41" s="16">
        <f t="shared" si="36"/>
        <v>0</v>
      </c>
      <c r="J41" s="16">
        <f t="shared" si="36"/>
        <v>0</v>
      </c>
      <c r="K41" s="16">
        <f t="shared" si="36"/>
        <v>0</v>
      </c>
      <c r="L41" s="16">
        <f t="shared" si="36"/>
        <v>0</v>
      </c>
      <c r="M41" s="16">
        <f t="shared" si="36"/>
        <v>0</v>
      </c>
      <c r="N41" s="16">
        <f t="shared" si="36"/>
        <v>0</v>
      </c>
      <c r="O41" s="16">
        <f t="shared" si="36"/>
        <v>0</v>
      </c>
      <c r="P41" s="16">
        <f t="shared" si="36"/>
        <v>0</v>
      </c>
      <c r="Q41" s="16">
        <f t="shared" si="36"/>
        <v>0</v>
      </c>
      <c r="R41" s="8">
        <f t="shared" si="35"/>
        <v>0</v>
      </c>
      <c r="S41" s="363">
        <f t="shared" ref="S41:V66" si="37">B41</f>
        <v>0</v>
      </c>
      <c r="T41" s="363">
        <f t="shared" si="37"/>
        <v>0</v>
      </c>
      <c r="U41" s="363">
        <f t="shared" si="37"/>
        <v>0</v>
      </c>
      <c r="V41" s="363">
        <f t="shared" si="37"/>
        <v>0</v>
      </c>
      <c r="W41" s="363">
        <f t="shared" ref="W41:W66" si="38">F41+G41</f>
        <v>0</v>
      </c>
      <c r="X41" s="363">
        <f t="shared" ref="X41:X66" si="39">SUM(H41:Q41)</f>
        <v>0</v>
      </c>
      <c r="AI41" s="363"/>
      <c r="AJ41" s="363"/>
      <c r="AK41" s="363"/>
      <c r="AL41" s="363"/>
      <c r="AM41" s="363"/>
      <c r="AN41" s="363"/>
    </row>
    <row r="42" spans="1:40">
      <c r="A42" s="2" t="s">
        <v>79</v>
      </c>
      <c r="B42" s="16">
        <f t="shared" ref="B42:Q42" si="40">B77*0.2</f>
        <v>0</v>
      </c>
      <c r="C42" s="16">
        <f t="shared" si="40"/>
        <v>0</v>
      </c>
      <c r="D42" s="16">
        <f t="shared" si="40"/>
        <v>0</v>
      </c>
      <c r="E42" s="16">
        <f t="shared" si="40"/>
        <v>0</v>
      </c>
      <c r="F42" s="16">
        <f t="shared" si="40"/>
        <v>0</v>
      </c>
      <c r="G42" s="16">
        <f t="shared" si="40"/>
        <v>0</v>
      </c>
      <c r="H42" s="16">
        <f t="shared" si="40"/>
        <v>0</v>
      </c>
      <c r="I42" s="16">
        <f t="shared" si="40"/>
        <v>0</v>
      </c>
      <c r="J42" s="16">
        <f t="shared" si="40"/>
        <v>0</v>
      </c>
      <c r="K42" s="16">
        <f t="shared" si="40"/>
        <v>0</v>
      </c>
      <c r="L42" s="16">
        <f t="shared" si="40"/>
        <v>0</v>
      </c>
      <c r="M42" s="16">
        <f t="shared" si="40"/>
        <v>0</v>
      </c>
      <c r="N42" s="16">
        <f t="shared" si="40"/>
        <v>0</v>
      </c>
      <c r="O42" s="16">
        <f t="shared" si="40"/>
        <v>0</v>
      </c>
      <c r="P42" s="16">
        <f t="shared" si="40"/>
        <v>0</v>
      </c>
      <c r="Q42" s="16">
        <f t="shared" si="40"/>
        <v>0</v>
      </c>
      <c r="R42" s="8">
        <f t="shared" si="35"/>
        <v>0</v>
      </c>
      <c r="S42" s="363">
        <f t="shared" si="37"/>
        <v>0</v>
      </c>
      <c r="T42" s="363">
        <f t="shared" si="37"/>
        <v>0</v>
      </c>
      <c r="U42" s="363">
        <f t="shared" si="37"/>
        <v>0</v>
      </c>
      <c r="V42" s="363">
        <f t="shared" si="37"/>
        <v>0</v>
      </c>
      <c r="W42" s="363">
        <f t="shared" si="38"/>
        <v>0</v>
      </c>
      <c r="X42" s="363">
        <f t="shared" si="39"/>
        <v>0</v>
      </c>
      <c r="AI42" s="363"/>
      <c r="AJ42" s="363"/>
      <c r="AK42" s="363"/>
      <c r="AL42" s="363"/>
      <c r="AM42" s="363"/>
      <c r="AN42" s="363"/>
    </row>
    <row r="43" spans="1:40">
      <c r="A43" s="2" t="s">
        <v>80</v>
      </c>
      <c r="B43" s="16">
        <f t="shared" ref="B43:O43" si="41">B78*0.2</f>
        <v>0</v>
      </c>
      <c r="C43" s="16">
        <f t="shared" si="41"/>
        <v>0</v>
      </c>
      <c r="D43" s="16">
        <f t="shared" si="41"/>
        <v>0</v>
      </c>
      <c r="E43" s="16">
        <f t="shared" si="41"/>
        <v>0</v>
      </c>
      <c r="F43" s="16">
        <f t="shared" si="41"/>
        <v>0</v>
      </c>
      <c r="G43" s="16">
        <f t="shared" si="41"/>
        <v>0</v>
      </c>
      <c r="H43" s="16">
        <f t="shared" si="41"/>
        <v>0</v>
      </c>
      <c r="I43" s="16">
        <f t="shared" si="41"/>
        <v>0</v>
      </c>
      <c r="J43" s="16">
        <f t="shared" si="41"/>
        <v>0</v>
      </c>
      <c r="K43" s="16">
        <f t="shared" si="41"/>
        <v>0</v>
      </c>
      <c r="L43" s="16">
        <f t="shared" si="41"/>
        <v>0</v>
      </c>
      <c r="M43" s="16">
        <f t="shared" si="41"/>
        <v>0</v>
      </c>
      <c r="N43" s="16">
        <f t="shared" si="41"/>
        <v>0</v>
      </c>
      <c r="O43" s="16">
        <f t="shared" si="41"/>
        <v>0</v>
      </c>
      <c r="P43" s="16">
        <v>0</v>
      </c>
      <c r="Q43" s="16">
        <v>0</v>
      </c>
      <c r="R43" s="8">
        <f t="shared" si="35"/>
        <v>0</v>
      </c>
      <c r="S43" s="363">
        <f t="shared" si="37"/>
        <v>0</v>
      </c>
      <c r="T43" s="363">
        <f t="shared" si="37"/>
        <v>0</v>
      </c>
      <c r="U43" s="363">
        <f t="shared" si="37"/>
        <v>0</v>
      </c>
      <c r="V43" s="363">
        <f t="shared" si="37"/>
        <v>0</v>
      </c>
      <c r="W43" s="363">
        <f t="shared" si="38"/>
        <v>0</v>
      </c>
      <c r="X43" s="363">
        <f t="shared" si="39"/>
        <v>0</v>
      </c>
      <c r="AI43" s="363"/>
      <c r="AJ43" s="363"/>
      <c r="AK43" s="363"/>
      <c r="AL43" s="363"/>
      <c r="AM43" s="363"/>
      <c r="AN43" s="363"/>
    </row>
    <row r="44" spans="1:40">
      <c r="A44" s="2" t="s">
        <v>81</v>
      </c>
      <c r="B44" s="16">
        <f t="shared" ref="B44:O44" si="42">B79*0.2</f>
        <v>0</v>
      </c>
      <c r="C44" s="16">
        <f t="shared" si="42"/>
        <v>0</v>
      </c>
      <c r="D44" s="16">
        <f t="shared" si="42"/>
        <v>0</v>
      </c>
      <c r="E44" s="16">
        <f t="shared" si="42"/>
        <v>0</v>
      </c>
      <c r="F44" s="16">
        <f t="shared" si="42"/>
        <v>0</v>
      </c>
      <c r="G44" s="16">
        <f t="shared" si="42"/>
        <v>0</v>
      </c>
      <c r="H44" s="16">
        <f t="shared" si="42"/>
        <v>0</v>
      </c>
      <c r="I44" s="16">
        <f t="shared" si="42"/>
        <v>0</v>
      </c>
      <c r="J44" s="16">
        <f t="shared" si="42"/>
        <v>0</v>
      </c>
      <c r="K44" s="16">
        <f t="shared" si="42"/>
        <v>0</v>
      </c>
      <c r="L44" s="16">
        <f t="shared" si="42"/>
        <v>0</v>
      </c>
      <c r="M44" s="16">
        <f t="shared" si="42"/>
        <v>0</v>
      </c>
      <c r="N44" s="16">
        <f t="shared" si="42"/>
        <v>0</v>
      </c>
      <c r="O44" s="16">
        <f t="shared" si="42"/>
        <v>0</v>
      </c>
      <c r="P44" s="16">
        <f t="shared" ref="P44:Q63" si="43">P79*0.2</f>
        <v>0</v>
      </c>
      <c r="Q44" s="16">
        <f t="shared" si="43"/>
        <v>0</v>
      </c>
      <c r="R44" s="8">
        <f t="shared" si="35"/>
        <v>0</v>
      </c>
      <c r="S44" s="363">
        <f t="shared" si="37"/>
        <v>0</v>
      </c>
      <c r="T44" s="363">
        <f t="shared" si="37"/>
        <v>0</v>
      </c>
      <c r="U44" s="363">
        <f t="shared" si="37"/>
        <v>0</v>
      </c>
      <c r="V44" s="363">
        <f t="shared" si="37"/>
        <v>0</v>
      </c>
      <c r="W44" s="363">
        <f t="shared" si="38"/>
        <v>0</v>
      </c>
      <c r="X44" s="363">
        <f t="shared" si="39"/>
        <v>0</v>
      </c>
      <c r="AI44" s="363"/>
      <c r="AJ44" s="363"/>
      <c r="AK44" s="363"/>
      <c r="AL44" s="363"/>
      <c r="AM44" s="363"/>
      <c r="AN44" s="363"/>
    </row>
    <row r="45" spans="1:40">
      <c r="A45" s="2" t="s">
        <v>82</v>
      </c>
      <c r="B45" s="16">
        <f t="shared" ref="B45:O45" si="44">B80*0.2</f>
        <v>0</v>
      </c>
      <c r="C45" s="16">
        <f t="shared" si="44"/>
        <v>0</v>
      </c>
      <c r="D45" s="16">
        <f t="shared" si="44"/>
        <v>0</v>
      </c>
      <c r="E45" s="16">
        <f t="shared" si="44"/>
        <v>0</v>
      </c>
      <c r="F45" s="16">
        <f t="shared" si="44"/>
        <v>0</v>
      </c>
      <c r="G45" s="16">
        <f t="shared" si="44"/>
        <v>0</v>
      </c>
      <c r="H45" s="16">
        <f t="shared" si="44"/>
        <v>0</v>
      </c>
      <c r="I45" s="16">
        <f t="shared" si="44"/>
        <v>0</v>
      </c>
      <c r="J45" s="16">
        <f t="shared" si="44"/>
        <v>0</v>
      </c>
      <c r="K45" s="16">
        <f t="shared" si="44"/>
        <v>0</v>
      </c>
      <c r="L45" s="16">
        <f t="shared" si="44"/>
        <v>0</v>
      </c>
      <c r="M45" s="16">
        <f t="shared" si="44"/>
        <v>0</v>
      </c>
      <c r="N45" s="16">
        <f t="shared" si="44"/>
        <v>0</v>
      </c>
      <c r="O45" s="16">
        <f t="shared" si="44"/>
        <v>0</v>
      </c>
      <c r="P45" s="16">
        <f t="shared" si="43"/>
        <v>0</v>
      </c>
      <c r="Q45" s="16">
        <f t="shared" si="43"/>
        <v>0</v>
      </c>
      <c r="R45" s="8">
        <f t="shared" si="35"/>
        <v>0</v>
      </c>
      <c r="S45" s="363">
        <f t="shared" si="37"/>
        <v>0</v>
      </c>
      <c r="T45" s="363">
        <f t="shared" si="37"/>
        <v>0</v>
      </c>
      <c r="U45" s="363">
        <f t="shared" si="37"/>
        <v>0</v>
      </c>
      <c r="V45" s="363">
        <f t="shared" si="37"/>
        <v>0</v>
      </c>
      <c r="W45" s="363">
        <f t="shared" si="38"/>
        <v>0</v>
      </c>
      <c r="X45" s="363">
        <f t="shared" si="39"/>
        <v>0</v>
      </c>
      <c r="AI45" s="363"/>
      <c r="AJ45" s="363"/>
      <c r="AK45" s="363"/>
      <c r="AL45" s="363"/>
      <c r="AM45" s="363"/>
      <c r="AN45" s="363"/>
    </row>
    <row r="46" spans="1:40">
      <c r="A46" s="2" t="s">
        <v>83</v>
      </c>
      <c r="B46" s="16">
        <f t="shared" ref="B46:O46" si="45">B81*0.2</f>
        <v>0</v>
      </c>
      <c r="C46" s="16">
        <f t="shared" si="45"/>
        <v>0</v>
      </c>
      <c r="D46" s="16">
        <f t="shared" si="45"/>
        <v>0</v>
      </c>
      <c r="E46" s="16">
        <f t="shared" si="45"/>
        <v>0</v>
      </c>
      <c r="F46" s="16">
        <f t="shared" si="45"/>
        <v>0</v>
      </c>
      <c r="G46" s="16">
        <f t="shared" si="45"/>
        <v>0</v>
      </c>
      <c r="H46" s="16">
        <f t="shared" si="45"/>
        <v>0</v>
      </c>
      <c r="I46" s="16">
        <f t="shared" si="45"/>
        <v>0</v>
      </c>
      <c r="J46" s="16">
        <f t="shared" si="45"/>
        <v>0</v>
      </c>
      <c r="K46" s="16">
        <f t="shared" si="45"/>
        <v>0</v>
      </c>
      <c r="L46" s="16">
        <f t="shared" si="45"/>
        <v>0</v>
      </c>
      <c r="M46" s="16">
        <f t="shared" si="45"/>
        <v>0</v>
      </c>
      <c r="N46" s="16">
        <f t="shared" si="45"/>
        <v>0</v>
      </c>
      <c r="O46" s="16">
        <f t="shared" si="45"/>
        <v>0</v>
      </c>
      <c r="P46" s="16">
        <f t="shared" si="43"/>
        <v>0</v>
      </c>
      <c r="Q46" s="16">
        <f t="shared" si="43"/>
        <v>0</v>
      </c>
      <c r="R46" s="8">
        <f t="shared" si="35"/>
        <v>0</v>
      </c>
      <c r="S46" s="363">
        <f t="shared" si="37"/>
        <v>0</v>
      </c>
      <c r="T46" s="363">
        <f t="shared" si="37"/>
        <v>0</v>
      </c>
      <c r="U46" s="363">
        <f t="shared" si="37"/>
        <v>0</v>
      </c>
      <c r="V46" s="363">
        <f t="shared" si="37"/>
        <v>0</v>
      </c>
      <c r="W46" s="363">
        <f t="shared" si="38"/>
        <v>0</v>
      </c>
      <c r="X46" s="363">
        <f t="shared" si="39"/>
        <v>0</v>
      </c>
      <c r="AI46" s="363"/>
      <c r="AJ46" s="363"/>
      <c r="AK46" s="363"/>
      <c r="AL46" s="363"/>
      <c r="AM46" s="363"/>
      <c r="AN46" s="363"/>
    </row>
    <row r="47" spans="1:40">
      <c r="A47" s="2" t="s">
        <v>84</v>
      </c>
      <c r="B47" s="16">
        <f t="shared" ref="B47:O47" si="46">B82*0.2</f>
        <v>0</v>
      </c>
      <c r="C47" s="16">
        <f t="shared" si="46"/>
        <v>0</v>
      </c>
      <c r="D47" s="16">
        <f t="shared" si="46"/>
        <v>0</v>
      </c>
      <c r="E47" s="16">
        <f t="shared" si="46"/>
        <v>0</v>
      </c>
      <c r="F47" s="16">
        <f t="shared" si="46"/>
        <v>0</v>
      </c>
      <c r="G47" s="16">
        <f t="shared" si="46"/>
        <v>0</v>
      </c>
      <c r="H47" s="16">
        <f t="shared" si="46"/>
        <v>0</v>
      </c>
      <c r="I47" s="16">
        <f t="shared" si="46"/>
        <v>0</v>
      </c>
      <c r="J47" s="16">
        <f t="shared" si="46"/>
        <v>0</v>
      </c>
      <c r="K47" s="16">
        <f t="shared" si="46"/>
        <v>0</v>
      </c>
      <c r="L47" s="16">
        <f t="shared" si="46"/>
        <v>0</v>
      </c>
      <c r="M47" s="16">
        <f t="shared" si="46"/>
        <v>0</v>
      </c>
      <c r="N47" s="16">
        <f t="shared" si="46"/>
        <v>0</v>
      </c>
      <c r="O47" s="16">
        <f t="shared" si="46"/>
        <v>0</v>
      </c>
      <c r="P47" s="16">
        <f t="shared" si="43"/>
        <v>0</v>
      </c>
      <c r="Q47" s="16">
        <f t="shared" si="43"/>
        <v>0</v>
      </c>
      <c r="R47" s="8">
        <f t="shared" si="35"/>
        <v>0</v>
      </c>
      <c r="S47" s="363">
        <f t="shared" si="37"/>
        <v>0</v>
      </c>
      <c r="T47" s="363">
        <f t="shared" si="37"/>
        <v>0</v>
      </c>
      <c r="U47" s="363">
        <f t="shared" si="37"/>
        <v>0</v>
      </c>
      <c r="V47" s="363">
        <f t="shared" si="37"/>
        <v>0</v>
      </c>
      <c r="W47" s="363">
        <f t="shared" si="38"/>
        <v>0</v>
      </c>
      <c r="X47" s="363">
        <f t="shared" si="39"/>
        <v>0</v>
      </c>
      <c r="AI47" s="363"/>
      <c r="AJ47" s="363"/>
      <c r="AK47" s="363"/>
      <c r="AL47" s="363"/>
      <c r="AM47" s="363"/>
      <c r="AN47" s="363"/>
    </row>
    <row r="48" spans="1:40">
      <c r="A48" s="2" t="s">
        <v>85</v>
      </c>
      <c r="B48" s="16">
        <f t="shared" ref="B48:O48" si="47">B83*0.2</f>
        <v>0</v>
      </c>
      <c r="C48" s="16">
        <f t="shared" si="47"/>
        <v>0</v>
      </c>
      <c r="D48" s="16">
        <f t="shared" si="47"/>
        <v>0</v>
      </c>
      <c r="E48" s="16">
        <f t="shared" si="47"/>
        <v>0</v>
      </c>
      <c r="F48" s="16">
        <f t="shared" si="47"/>
        <v>0</v>
      </c>
      <c r="G48" s="16">
        <f t="shared" si="47"/>
        <v>0</v>
      </c>
      <c r="H48" s="16">
        <f t="shared" si="47"/>
        <v>0</v>
      </c>
      <c r="I48" s="16">
        <f t="shared" si="47"/>
        <v>0</v>
      </c>
      <c r="J48" s="16">
        <f t="shared" si="47"/>
        <v>0</v>
      </c>
      <c r="K48" s="16">
        <f t="shared" si="47"/>
        <v>0</v>
      </c>
      <c r="L48" s="16">
        <f t="shared" si="47"/>
        <v>0</v>
      </c>
      <c r="M48" s="16">
        <f t="shared" si="47"/>
        <v>0</v>
      </c>
      <c r="N48" s="16">
        <f t="shared" si="47"/>
        <v>0</v>
      </c>
      <c r="O48" s="16">
        <f t="shared" si="47"/>
        <v>0</v>
      </c>
      <c r="P48" s="16">
        <f t="shared" si="43"/>
        <v>0</v>
      </c>
      <c r="Q48" s="16">
        <f t="shared" si="43"/>
        <v>0</v>
      </c>
      <c r="R48" s="8">
        <f t="shared" si="35"/>
        <v>0</v>
      </c>
      <c r="S48" s="363">
        <f t="shared" si="37"/>
        <v>0</v>
      </c>
      <c r="T48" s="363">
        <f t="shared" si="37"/>
        <v>0</v>
      </c>
      <c r="U48" s="363">
        <f t="shared" si="37"/>
        <v>0</v>
      </c>
      <c r="V48" s="363">
        <f t="shared" si="37"/>
        <v>0</v>
      </c>
      <c r="W48" s="363">
        <f t="shared" si="38"/>
        <v>0</v>
      </c>
      <c r="X48" s="363">
        <f t="shared" si="39"/>
        <v>0</v>
      </c>
      <c r="AI48" s="363"/>
      <c r="AJ48" s="363"/>
      <c r="AK48" s="363"/>
      <c r="AL48" s="363"/>
      <c r="AM48" s="363"/>
      <c r="AN48" s="363"/>
    </row>
    <row r="49" spans="1:40">
      <c r="A49" s="2" t="s">
        <v>86</v>
      </c>
      <c r="B49" s="16">
        <f t="shared" ref="B49:O49" si="48">B84*0.2</f>
        <v>0</v>
      </c>
      <c r="C49" s="16">
        <f t="shared" si="48"/>
        <v>0</v>
      </c>
      <c r="D49" s="16">
        <f t="shared" si="48"/>
        <v>0</v>
      </c>
      <c r="E49" s="16">
        <f t="shared" si="48"/>
        <v>0</v>
      </c>
      <c r="F49" s="16">
        <f t="shared" si="48"/>
        <v>0</v>
      </c>
      <c r="G49" s="16">
        <f t="shared" si="48"/>
        <v>0</v>
      </c>
      <c r="H49" s="16">
        <f t="shared" si="48"/>
        <v>0</v>
      </c>
      <c r="I49" s="16">
        <f t="shared" si="48"/>
        <v>0</v>
      </c>
      <c r="J49" s="16">
        <f t="shared" si="48"/>
        <v>0</v>
      </c>
      <c r="K49" s="16">
        <f t="shared" si="48"/>
        <v>0</v>
      </c>
      <c r="L49" s="16">
        <f t="shared" si="48"/>
        <v>0</v>
      </c>
      <c r="M49" s="16">
        <f t="shared" si="48"/>
        <v>0</v>
      </c>
      <c r="N49" s="16">
        <f t="shared" si="48"/>
        <v>0</v>
      </c>
      <c r="O49" s="16">
        <f t="shared" si="48"/>
        <v>0</v>
      </c>
      <c r="P49" s="16">
        <f t="shared" si="43"/>
        <v>0</v>
      </c>
      <c r="Q49" s="16">
        <f t="shared" si="43"/>
        <v>0</v>
      </c>
      <c r="R49" s="8">
        <f t="shared" si="35"/>
        <v>0</v>
      </c>
      <c r="S49" s="363">
        <f t="shared" si="37"/>
        <v>0</v>
      </c>
      <c r="T49" s="363">
        <f t="shared" si="37"/>
        <v>0</v>
      </c>
      <c r="U49" s="363">
        <f t="shared" si="37"/>
        <v>0</v>
      </c>
      <c r="V49" s="363">
        <f t="shared" si="37"/>
        <v>0</v>
      </c>
      <c r="W49" s="363">
        <f t="shared" si="38"/>
        <v>0</v>
      </c>
      <c r="X49" s="363">
        <f t="shared" si="39"/>
        <v>0</v>
      </c>
      <c r="AI49" s="363"/>
      <c r="AJ49" s="363"/>
      <c r="AK49" s="363"/>
      <c r="AL49" s="363"/>
      <c r="AM49" s="363"/>
      <c r="AN49" s="363"/>
    </row>
    <row r="50" spans="1:40">
      <c r="A50" s="2" t="s">
        <v>87</v>
      </c>
      <c r="B50" s="16">
        <f t="shared" ref="B50:O50" si="49">B85*0.2</f>
        <v>0</v>
      </c>
      <c r="C50" s="16">
        <f t="shared" si="49"/>
        <v>0</v>
      </c>
      <c r="D50" s="16">
        <f t="shared" si="49"/>
        <v>0</v>
      </c>
      <c r="E50" s="16">
        <f t="shared" si="49"/>
        <v>0</v>
      </c>
      <c r="F50" s="16">
        <f t="shared" si="49"/>
        <v>0</v>
      </c>
      <c r="G50" s="16">
        <f t="shared" si="49"/>
        <v>0</v>
      </c>
      <c r="H50" s="16">
        <f t="shared" si="49"/>
        <v>0</v>
      </c>
      <c r="I50" s="16">
        <f t="shared" si="49"/>
        <v>0</v>
      </c>
      <c r="J50" s="16">
        <f t="shared" si="49"/>
        <v>0</v>
      </c>
      <c r="K50" s="16">
        <f t="shared" si="49"/>
        <v>0</v>
      </c>
      <c r="L50" s="16">
        <f t="shared" si="49"/>
        <v>0</v>
      </c>
      <c r="M50" s="16">
        <f t="shared" si="49"/>
        <v>0</v>
      </c>
      <c r="N50" s="16">
        <f t="shared" si="49"/>
        <v>0</v>
      </c>
      <c r="O50" s="16">
        <f t="shared" si="49"/>
        <v>0</v>
      </c>
      <c r="P50" s="16">
        <f t="shared" si="43"/>
        <v>0</v>
      </c>
      <c r="Q50" s="16">
        <f t="shared" si="43"/>
        <v>0</v>
      </c>
      <c r="R50" s="8">
        <f t="shared" si="35"/>
        <v>0</v>
      </c>
      <c r="S50" s="363">
        <f t="shared" si="37"/>
        <v>0</v>
      </c>
      <c r="T50" s="363">
        <f t="shared" si="37"/>
        <v>0</v>
      </c>
      <c r="U50" s="363">
        <f t="shared" si="37"/>
        <v>0</v>
      </c>
      <c r="V50" s="363">
        <f t="shared" si="37"/>
        <v>0</v>
      </c>
      <c r="W50" s="363">
        <f t="shared" si="38"/>
        <v>0</v>
      </c>
      <c r="X50" s="363">
        <f t="shared" si="39"/>
        <v>0</v>
      </c>
      <c r="AI50" s="363"/>
      <c r="AJ50" s="363"/>
      <c r="AK50" s="363"/>
      <c r="AL50" s="363"/>
      <c r="AM50" s="363"/>
      <c r="AN50" s="363"/>
    </row>
    <row r="51" spans="1:40">
      <c r="A51" s="2" t="s">
        <v>88</v>
      </c>
      <c r="B51" s="16">
        <f t="shared" ref="B51:O51" si="50">B86*0.2</f>
        <v>0</v>
      </c>
      <c r="C51" s="16">
        <f t="shared" si="50"/>
        <v>0</v>
      </c>
      <c r="D51" s="16">
        <f t="shared" si="50"/>
        <v>0</v>
      </c>
      <c r="E51" s="16">
        <f t="shared" si="50"/>
        <v>0</v>
      </c>
      <c r="F51" s="16">
        <f t="shared" si="50"/>
        <v>0</v>
      </c>
      <c r="G51" s="16">
        <f t="shared" si="50"/>
        <v>0</v>
      </c>
      <c r="H51" s="16">
        <f t="shared" si="50"/>
        <v>0</v>
      </c>
      <c r="I51" s="16">
        <f t="shared" si="50"/>
        <v>0</v>
      </c>
      <c r="J51" s="16">
        <f t="shared" si="50"/>
        <v>0</v>
      </c>
      <c r="K51" s="16">
        <f t="shared" si="50"/>
        <v>0</v>
      </c>
      <c r="L51" s="16">
        <f t="shared" si="50"/>
        <v>0</v>
      </c>
      <c r="M51" s="16">
        <f t="shared" si="50"/>
        <v>0</v>
      </c>
      <c r="N51" s="16">
        <f t="shared" si="50"/>
        <v>0</v>
      </c>
      <c r="O51" s="16">
        <f t="shared" si="50"/>
        <v>0</v>
      </c>
      <c r="P51" s="16">
        <f t="shared" si="43"/>
        <v>0</v>
      </c>
      <c r="Q51" s="16">
        <f t="shared" si="43"/>
        <v>0</v>
      </c>
      <c r="R51" s="8">
        <f t="shared" si="35"/>
        <v>0</v>
      </c>
      <c r="S51" s="363">
        <f t="shared" si="37"/>
        <v>0</v>
      </c>
      <c r="T51" s="363">
        <f t="shared" si="37"/>
        <v>0</v>
      </c>
      <c r="U51" s="363">
        <f t="shared" si="37"/>
        <v>0</v>
      </c>
      <c r="V51" s="363">
        <f t="shared" si="37"/>
        <v>0</v>
      </c>
      <c r="W51" s="363">
        <f t="shared" si="38"/>
        <v>0</v>
      </c>
      <c r="X51" s="363">
        <f t="shared" si="39"/>
        <v>0</v>
      </c>
      <c r="AI51" s="363"/>
      <c r="AJ51" s="363"/>
      <c r="AK51" s="363"/>
      <c r="AL51" s="363"/>
      <c r="AM51" s="363"/>
      <c r="AN51" s="363"/>
    </row>
    <row r="52" spans="1:40">
      <c r="A52" s="2" t="s">
        <v>89</v>
      </c>
      <c r="B52" s="16">
        <f t="shared" ref="B52:O52" si="51">B87*0.2</f>
        <v>0</v>
      </c>
      <c r="C52" s="16">
        <f t="shared" si="51"/>
        <v>0</v>
      </c>
      <c r="D52" s="16">
        <f t="shared" si="51"/>
        <v>0</v>
      </c>
      <c r="E52" s="16">
        <f t="shared" si="51"/>
        <v>0</v>
      </c>
      <c r="F52" s="16">
        <f t="shared" si="51"/>
        <v>0</v>
      </c>
      <c r="G52" s="16">
        <f t="shared" si="51"/>
        <v>0</v>
      </c>
      <c r="H52" s="16">
        <f t="shared" si="51"/>
        <v>0</v>
      </c>
      <c r="I52" s="16">
        <f t="shared" si="51"/>
        <v>0</v>
      </c>
      <c r="J52" s="16">
        <f t="shared" si="51"/>
        <v>0</v>
      </c>
      <c r="K52" s="16">
        <f t="shared" si="51"/>
        <v>0</v>
      </c>
      <c r="L52" s="16">
        <f t="shared" si="51"/>
        <v>0</v>
      </c>
      <c r="M52" s="16">
        <f t="shared" si="51"/>
        <v>0</v>
      </c>
      <c r="N52" s="16">
        <f t="shared" si="51"/>
        <v>0</v>
      </c>
      <c r="O52" s="16">
        <f t="shared" si="51"/>
        <v>0</v>
      </c>
      <c r="P52" s="16">
        <f t="shared" si="43"/>
        <v>0</v>
      </c>
      <c r="Q52" s="16">
        <f t="shared" si="43"/>
        <v>0</v>
      </c>
      <c r="R52" s="8">
        <f t="shared" si="35"/>
        <v>0</v>
      </c>
      <c r="S52" s="363">
        <f t="shared" si="37"/>
        <v>0</v>
      </c>
      <c r="T52" s="363">
        <f t="shared" si="37"/>
        <v>0</v>
      </c>
      <c r="U52" s="363">
        <f t="shared" si="37"/>
        <v>0</v>
      </c>
      <c r="V52" s="363">
        <f t="shared" si="37"/>
        <v>0</v>
      </c>
      <c r="W52" s="363">
        <f t="shared" si="38"/>
        <v>0</v>
      </c>
      <c r="X52" s="363">
        <f t="shared" si="39"/>
        <v>0</v>
      </c>
      <c r="AI52" s="363"/>
      <c r="AJ52" s="363"/>
      <c r="AK52" s="363"/>
      <c r="AL52" s="363"/>
      <c r="AM52" s="363"/>
      <c r="AN52" s="363"/>
    </row>
    <row r="53" spans="1:40">
      <c r="A53" s="2" t="s">
        <v>90</v>
      </c>
      <c r="B53" s="16">
        <f t="shared" ref="B53:O53" si="52">B88*0.2</f>
        <v>0</v>
      </c>
      <c r="C53" s="16">
        <f t="shared" si="52"/>
        <v>0</v>
      </c>
      <c r="D53" s="16">
        <f t="shared" si="52"/>
        <v>0</v>
      </c>
      <c r="E53" s="16">
        <f t="shared" si="52"/>
        <v>0</v>
      </c>
      <c r="F53" s="16">
        <f t="shared" si="52"/>
        <v>0</v>
      </c>
      <c r="G53" s="16">
        <f t="shared" si="52"/>
        <v>0</v>
      </c>
      <c r="H53" s="16">
        <f t="shared" si="52"/>
        <v>0</v>
      </c>
      <c r="I53" s="16">
        <f t="shared" si="52"/>
        <v>0</v>
      </c>
      <c r="J53" s="16">
        <f t="shared" si="52"/>
        <v>0</v>
      </c>
      <c r="K53" s="16">
        <f t="shared" si="52"/>
        <v>0</v>
      </c>
      <c r="L53" s="16">
        <f t="shared" si="52"/>
        <v>0</v>
      </c>
      <c r="M53" s="16">
        <f t="shared" si="52"/>
        <v>0</v>
      </c>
      <c r="N53" s="16">
        <f t="shared" si="52"/>
        <v>0</v>
      </c>
      <c r="O53" s="16">
        <f t="shared" si="52"/>
        <v>0</v>
      </c>
      <c r="P53" s="16">
        <f t="shared" si="43"/>
        <v>0</v>
      </c>
      <c r="Q53" s="16">
        <f t="shared" si="43"/>
        <v>0</v>
      </c>
      <c r="R53" s="8">
        <f t="shared" si="35"/>
        <v>0</v>
      </c>
      <c r="S53" s="363">
        <f t="shared" si="37"/>
        <v>0</v>
      </c>
      <c r="T53" s="363">
        <f t="shared" si="37"/>
        <v>0</v>
      </c>
      <c r="U53" s="363">
        <f t="shared" si="37"/>
        <v>0</v>
      </c>
      <c r="V53" s="363">
        <f t="shared" si="37"/>
        <v>0</v>
      </c>
      <c r="W53" s="363">
        <f t="shared" si="38"/>
        <v>0</v>
      </c>
      <c r="X53" s="363">
        <f t="shared" si="39"/>
        <v>0</v>
      </c>
      <c r="AI53" s="363"/>
      <c r="AJ53" s="363"/>
      <c r="AK53" s="363"/>
      <c r="AL53" s="363"/>
      <c r="AM53" s="363"/>
      <c r="AN53" s="363"/>
    </row>
    <row r="54" spans="1:40">
      <c r="A54" s="2" t="s">
        <v>91</v>
      </c>
      <c r="B54" s="16">
        <f t="shared" ref="B54:O54" si="53">B89*0.2</f>
        <v>0</v>
      </c>
      <c r="C54" s="16">
        <f t="shared" si="53"/>
        <v>0</v>
      </c>
      <c r="D54" s="16">
        <f t="shared" si="53"/>
        <v>0</v>
      </c>
      <c r="E54" s="16">
        <f t="shared" si="53"/>
        <v>0</v>
      </c>
      <c r="F54" s="16">
        <f t="shared" si="53"/>
        <v>0</v>
      </c>
      <c r="G54" s="16">
        <f t="shared" si="53"/>
        <v>0</v>
      </c>
      <c r="H54" s="16">
        <f t="shared" si="53"/>
        <v>0</v>
      </c>
      <c r="I54" s="16">
        <f t="shared" si="53"/>
        <v>0</v>
      </c>
      <c r="J54" s="16">
        <f t="shared" si="53"/>
        <v>0</v>
      </c>
      <c r="K54" s="16">
        <f t="shared" si="53"/>
        <v>0</v>
      </c>
      <c r="L54" s="16">
        <f t="shared" si="53"/>
        <v>0</v>
      </c>
      <c r="M54" s="16">
        <f t="shared" si="53"/>
        <v>0</v>
      </c>
      <c r="N54" s="16">
        <f t="shared" si="53"/>
        <v>0</v>
      </c>
      <c r="O54" s="16">
        <f t="shared" si="53"/>
        <v>0</v>
      </c>
      <c r="P54" s="16">
        <f t="shared" si="43"/>
        <v>0</v>
      </c>
      <c r="Q54" s="16">
        <f t="shared" si="43"/>
        <v>0</v>
      </c>
      <c r="R54" s="8">
        <f t="shared" si="35"/>
        <v>0</v>
      </c>
      <c r="S54" s="363">
        <f t="shared" si="37"/>
        <v>0</v>
      </c>
      <c r="T54" s="363">
        <f t="shared" si="37"/>
        <v>0</v>
      </c>
      <c r="U54" s="363">
        <f t="shared" si="37"/>
        <v>0</v>
      </c>
      <c r="V54" s="363">
        <f t="shared" si="37"/>
        <v>0</v>
      </c>
      <c r="W54" s="363">
        <f t="shared" si="38"/>
        <v>0</v>
      </c>
      <c r="X54" s="363">
        <f t="shared" si="39"/>
        <v>0</v>
      </c>
      <c r="AI54" s="363"/>
      <c r="AJ54" s="363"/>
      <c r="AK54" s="363"/>
      <c r="AL54" s="363"/>
      <c r="AM54" s="363"/>
      <c r="AN54" s="363"/>
    </row>
    <row r="55" spans="1:40">
      <c r="A55" s="2" t="s">
        <v>92</v>
      </c>
      <c r="B55" s="16">
        <f t="shared" ref="B55:O55" si="54">B90*0.2</f>
        <v>0</v>
      </c>
      <c r="C55" s="16">
        <f t="shared" si="54"/>
        <v>0</v>
      </c>
      <c r="D55" s="16">
        <f t="shared" si="54"/>
        <v>0</v>
      </c>
      <c r="E55" s="16">
        <f t="shared" si="54"/>
        <v>0</v>
      </c>
      <c r="F55" s="16">
        <f t="shared" si="54"/>
        <v>0</v>
      </c>
      <c r="G55" s="16">
        <f t="shared" si="54"/>
        <v>0</v>
      </c>
      <c r="H55" s="16">
        <f t="shared" si="54"/>
        <v>0</v>
      </c>
      <c r="I55" s="16">
        <f t="shared" si="54"/>
        <v>0</v>
      </c>
      <c r="J55" s="16">
        <f t="shared" si="54"/>
        <v>0</v>
      </c>
      <c r="K55" s="16">
        <f t="shared" si="54"/>
        <v>0</v>
      </c>
      <c r="L55" s="16">
        <f t="shared" si="54"/>
        <v>0</v>
      </c>
      <c r="M55" s="16">
        <f t="shared" si="54"/>
        <v>0</v>
      </c>
      <c r="N55" s="16">
        <f t="shared" si="54"/>
        <v>0</v>
      </c>
      <c r="O55" s="16">
        <f t="shared" si="54"/>
        <v>0</v>
      </c>
      <c r="P55" s="16">
        <f t="shared" si="43"/>
        <v>0</v>
      </c>
      <c r="Q55" s="16">
        <f t="shared" si="43"/>
        <v>0</v>
      </c>
      <c r="R55" s="8">
        <f t="shared" si="35"/>
        <v>0</v>
      </c>
      <c r="S55" s="363">
        <f t="shared" si="37"/>
        <v>0</v>
      </c>
      <c r="T55" s="363">
        <f t="shared" si="37"/>
        <v>0</v>
      </c>
      <c r="U55" s="363">
        <f t="shared" si="37"/>
        <v>0</v>
      </c>
      <c r="V55" s="363">
        <f t="shared" si="37"/>
        <v>0</v>
      </c>
      <c r="W55" s="363">
        <f t="shared" si="38"/>
        <v>0</v>
      </c>
      <c r="X55" s="363">
        <f t="shared" si="39"/>
        <v>0</v>
      </c>
      <c r="AI55" s="363"/>
      <c r="AJ55" s="363"/>
      <c r="AK55" s="363"/>
      <c r="AL55" s="363"/>
      <c r="AM55" s="363"/>
      <c r="AN55" s="363"/>
    </row>
    <row r="56" spans="1:40">
      <c r="A56" s="2" t="s">
        <v>93</v>
      </c>
      <c r="B56" s="16">
        <f t="shared" ref="B56:O56" si="55">B91*0.2</f>
        <v>0</v>
      </c>
      <c r="C56" s="16">
        <f t="shared" si="55"/>
        <v>0</v>
      </c>
      <c r="D56" s="16">
        <f t="shared" si="55"/>
        <v>0</v>
      </c>
      <c r="E56" s="16">
        <f t="shared" si="55"/>
        <v>0</v>
      </c>
      <c r="F56" s="16">
        <f t="shared" si="55"/>
        <v>0</v>
      </c>
      <c r="G56" s="16">
        <f t="shared" si="55"/>
        <v>0</v>
      </c>
      <c r="H56" s="16">
        <f t="shared" si="55"/>
        <v>0</v>
      </c>
      <c r="I56" s="16">
        <f t="shared" si="55"/>
        <v>0</v>
      </c>
      <c r="J56" s="16">
        <f t="shared" si="55"/>
        <v>0</v>
      </c>
      <c r="K56" s="16">
        <f t="shared" si="55"/>
        <v>0</v>
      </c>
      <c r="L56" s="16">
        <f t="shared" si="55"/>
        <v>0</v>
      </c>
      <c r="M56" s="16">
        <f t="shared" si="55"/>
        <v>0</v>
      </c>
      <c r="N56" s="16">
        <f t="shared" si="55"/>
        <v>0</v>
      </c>
      <c r="O56" s="16">
        <f t="shared" si="55"/>
        <v>0</v>
      </c>
      <c r="P56" s="16">
        <f t="shared" si="43"/>
        <v>0</v>
      </c>
      <c r="Q56" s="16">
        <f t="shared" si="43"/>
        <v>0</v>
      </c>
      <c r="R56" s="8">
        <f t="shared" si="35"/>
        <v>0</v>
      </c>
      <c r="S56" s="363">
        <f t="shared" si="37"/>
        <v>0</v>
      </c>
      <c r="T56" s="363">
        <f t="shared" si="37"/>
        <v>0</v>
      </c>
      <c r="U56" s="363">
        <f t="shared" si="37"/>
        <v>0</v>
      </c>
      <c r="V56" s="363">
        <f t="shared" si="37"/>
        <v>0</v>
      </c>
      <c r="W56" s="363">
        <f t="shared" si="38"/>
        <v>0</v>
      </c>
      <c r="X56" s="363">
        <f t="shared" si="39"/>
        <v>0</v>
      </c>
      <c r="AI56" s="363"/>
      <c r="AJ56" s="363"/>
      <c r="AK56" s="363"/>
      <c r="AL56" s="363"/>
      <c r="AM56" s="363"/>
      <c r="AN56" s="363"/>
    </row>
    <row r="57" spans="1:40">
      <c r="A57" s="2" t="s">
        <v>94</v>
      </c>
      <c r="B57" s="16">
        <f t="shared" ref="B57:O57" si="56">B92*0.2</f>
        <v>0</v>
      </c>
      <c r="C57" s="16">
        <f t="shared" si="56"/>
        <v>0</v>
      </c>
      <c r="D57" s="16">
        <f t="shared" si="56"/>
        <v>0</v>
      </c>
      <c r="E57" s="16">
        <f t="shared" si="56"/>
        <v>0</v>
      </c>
      <c r="F57" s="16">
        <f t="shared" si="56"/>
        <v>0</v>
      </c>
      <c r="G57" s="16">
        <f t="shared" si="56"/>
        <v>0</v>
      </c>
      <c r="H57" s="16">
        <f t="shared" si="56"/>
        <v>0</v>
      </c>
      <c r="I57" s="16">
        <f t="shared" si="56"/>
        <v>0</v>
      </c>
      <c r="J57" s="16">
        <f t="shared" si="56"/>
        <v>0</v>
      </c>
      <c r="K57" s="16">
        <f t="shared" si="56"/>
        <v>0</v>
      </c>
      <c r="L57" s="16">
        <f t="shared" si="56"/>
        <v>0</v>
      </c>
      <c r="M57" s="16">
        <f t="shared" si="56"/>
        <v>0</v>
      </c>
      <c r="N57" s="16">
        <f t="shared" si="56"/>
        <v>0</v>
      </c>
      <c r="O57" s="16">
        <f t="shared" si="56"/>
        <v>0</v>
      </c>
      <c r="P57" s="16">
        <f t="shared" si="43"/>
        <v>0</v>
      </c>
      <c r="Q57" s="16">
        <f t="shared" si="43"/>
        <v>0</v>
      </c>
      <c r="R57" s="8">
        <f t="shared" si="35"/>
        <v>0</v>
      </c>
      <c r="S57" s="363">
        <f t="shared" si="37"/>
        <v>0</v>
      </c>
      <c r="T57" s="363">
        <f t="shared" si="37"/>
        <v>0</v>
      </c>
      <c r="U57" s="363">
        <f t="shared" si="37"/>
        <v>0</v>
      </c>
      <c r="V57" s="363">
        <f t="shared" si="37"/>
        <v>0</v>
      </c>
      <c r="W57" s="363">
        <f t="shared" si="38"/>
        <v>0</v>
      </c>
      <c r="X57" s="363">
        <f t="shared" si="39"/>
        <v>0</v>
      </c>
      <c r="AI57" s="363"/>
      <c r="AJ57" s="363"/>
      <c r="AK57" s="363"/>
      <c r="AL57" s="363"/>
      <c r="AM57" s="363"/>
      <c r="AN57" s="363"/>
    </row>
    <row r="58" spans="1:40">
      <c r="A58" s="2" t="s">
        <v>95</v>
      </c>
      <c r="B58" s="16">
        <f t="shared" ref="B58:O58" si="57">B93*0.2</f>
        <v>0</v>
      </c>
      <c r="C58" s="16">
        <f t="shared" si="57"/>
        <v>0</v>
      </c>
      <c r="D58" s="16">
        <f t="shared" si="57"/>
        <v>0</v>
      </c>
      <c r="E58" s="16">
        <f t="shared" si="57"/>
        <v>0</v>
      </c>
      <c r="F58" s="16">
        <f t="shared" si="57"/>
        <v>0</v>
      </c>
      <c r="G58" s="16">
        <f t="shared" si="57"/>
        <v>0</v>
      </c>
      <c r="H58" s="16">
        <f t="shared" si="57"/>
        <v>0</v>
      </c>
      <c r="I58" s="16">
        <f t="shared" si="57"/>
        <v>0</v>
      </c>
      <c r="J58" s="16">
        <f t="shared" si="57"/>
        <v>0</v>
      </c>
      <c r="K58" s="16">
        <f t="shared" si="57"/>
        <v>0</v>
      </c>
      <c r="L58" s="16">
        <f t="shared" si="57"/>
        <v>0</v>
      </c>
      <c r="M58" s="16">
        <f t="shared" si="57"/>
        <v>0</v>
      </c>
      <c r="N58" s="16">
        <f t="shared" si="57"/>
        <v>0</v>
      </c>
      <c r="O58" s="16">
        <f t="shared" si="57"/>
        <v>0</v>
      </c>
      <c r="P58" s="16">
        <f t="shared" si="43"/>
        <v>0</v>
      </c>
      <c r="Q58" s="16">
        <f t="shared" si="43"/>
        <v>0</v>
      </c>
      <c r="R58" s="8">
        <f t="shared" si="35"/>
        <v>0</v>
      </c>
      <c r="S58" s="363">
        <f t="shared" si="37"/>
        <v>0</v>
      </c>
      <c r="T58" s="363">
        <f t="shared" si="37"/>
        <v>0</v>
      </c>
      <c r="U58" s="363">
        <f t="shared" si="37"/>
        <v>0</v>
      </c>
      <c r="V58" s="363">
        <f t="shared" si="37"/>
        <v>0</v>
      </c>
      <c r="W58" s="363">
        <f t="shared" si="38"/>
        <v>0</v>
      </c>
      <c r="X58" s="363">
        <f t="shared" si="39"/>
        <v>0</v>
      </c>
      <c r="AI58" s="363"/>
      <c r="AJ58" s="363"/>
      <c r="AK58" s="363"/>
      <c r="AL58" s="363"/>
      <c r="AM58" s="363"/>
      <c r="AN58" s="363"/>
    </row>
    <row r="59" spans="1:40">
      <c r="A59" s="2" t="s">
        <v>96</v>
      </c>
      <c r="B59" s="16">
        <f t="shared" ref="B59:O59" si="58">B94*0.2</f>
        <v>0</v>
      </c>
      <c r="C59" s="16">
        <f t="shared" si="58"/>
        <v>0</v>
      </c>
      <c r="D59" s="16">
        <f t="shared" si="58"/>
        <v>0</v>
      </c>
      <c r="E59" s="16">
        <f t="shared" si="58"/>
        <v>0</v>
      </c>
      <c r="F59" s="16">
        <f t="shared" si="58"/>
        <v>0</v>
      </c>
      <c r="G59" s="16">
        <f t="shared" si="58"/>
        <v>0</v>
      </c>
      <c r="H59" s="16">
        <f t="shared" si="58"/>
        <v>0</v>
      </c>
      <c r="I59" s="16">
        <f t="shared" si="58"/>
        <v>0</v>
      </c>
      <c r="J59" s="16">
        <f t="shared" si="58"/>
        <v>0</v>
      </c>
      <c r="K59" s="16">
        <f t="shared" si="58"/>
        <v>0</v>
      </c>
      <c r="L59" s="16">
        <f t="shared" si="58"/>
        <v>0</v>
      </c>
      <c r="M59" s="16">
        <f t="shared" si="58"/>
        <v>0</v>
      </c>
      <c r="N59" s="16">
        <f t="shared" si="58"/>
        <v>0</v>
      </c>
      <c r="O59" s="16">
        <f t="shared" si="58"/>
        <v>0</v>
      </c>
      <c r="P59" s="16">
        <f t="shared" si="43"/>
        <v>0</v>
      </c>
      <c r="Q59" s="16">
        <f t="shared" si="43"/>
        <v>0</v>
      </c>
      <c r="R59" s="8">
        <f t="shared" si="35"/>
        <v>0</v>
      </c>
      <c r="S59" s="363">
        <f t="shared" si="37"/>
        <v>0</v>
      </c>
      <c r="T59" s="363">
        <f t="shared" si="37"/>
        <v>0</v>
      </c>
      <c r="U59" s="363">
        <f t="shared" si="37"/>
        <v>0</v>
      </c>
      <c r="V59" s="363">
        <f t="shared" si="37"/>
        <v>0</v>
      </c>
      <c r="W59" s="363">
        <f t="shared" si="38"/>
        <v>0</v>
      </c>
      <c r="X59" s="363">
        <f t="shared" si="39"/>
        <v>0</v>
      </c>
      <c r="AI59" s="363"/>
      <c r="AJ59" s="363"/>
      <c r="AK59" s="363"/>
      <c r="AL59" s="363"/>
      <c r="AM59" s="363"/>
      <c r="AN59" s="363"/>
    </row>
    <row r="60" spans="1:40">
      <c r="A60" s="2" t="s">
        <v>97</v>
      </c>
      <c r="B60" s="16">
        <f t="shared" ref="B60:O60" si="59">B95*0.2</f>
        <v>0</v>
      </c>
      <c r="C60" s="16">
        <f t="shared" si="59"/>
        <v>0</v>
      </c>
      <c r="D60" s="16">
        <f t="shared" si="59"/>
        <v>0</v>
      </c>
      <c r="E60" s="16">
        <f t="shared" si="59"/>
        <v>0</v>
      </c>
      <c r="F60" s="16">
        <f t="shared" si="59"/>
        <v>0</v>
      </c>
      <c r="G60" s="16">
        <f t="shared" si="59"/>
        <v>0</v>
      </c>
      <c r="H60" s="16">
        <f t="shared" si="59"/>
        <v>0</v>
      </c>
      <c r="I60" s="16">
        <f t="shared" si="59"/>
        <v>0</v>
      </c>
      <c r="J60" s="16">
        <f t="shared" si="59"/>
        <v>0</v>
      </c>
      <c r="K60" s="16">
        <f t="shared" si="59"/>
        <v>0</v>
      </c>
      <c r="L60" s="16">
        <f t="shared" si="59"/>
        <v>0</v>
      </c>
      <c r="M60" s="16">
        <f t="shared" si="59"/>
        <v>0</v>
      </c>
      <c r="N60" s="16">
        <f t="shared" si="59"/>
        <v>0</v>
      </c>
      <c r="O60" s="16">
        <f t="shared" si="59"/>
        <v>0</v>
      </c>
      <c r="P60" s="16">
        <f t="shared" si="43"/>
        <v>0</v>
      </c>
      <c r="Q60" s="16">
        <f t="shared" si="43"/>
        <v>0</v>
      </c>
      <c r="R60" s="8">
        <f t="shared" si="35"/>
        <v>0</v>
      </c>
      <c r="S60" s="363">
        <f t="shared" si="37"/>
        <v>0</v>
      </c>
      <c r="T60" s="363">
        <f t="shared" si="37"/>
        <v>0</v>
      </c>
      <c r="U60" s="363">
        <f t="shared" si="37"/>
        <v>0</v>
      </c>
      <c r="V60" s="363">
        <f t="shared" si="37"/>
        <v>0</v>
      </c>
      <c r="W60" s="363">
        <f t="shared" si="38"/>
        <v>0</v>
      </c>
      <c r="X60" s="363">
        <f t="shared" si="39"/>
        <v>0</v>
      </c>
      <c r="AI60" s="363"/>
      <c r="AJ60" s="363"/>
      <c r="AK60" s="363"/>
      <c r="AL60" s="363"/>
      <c r="AM60" s="363"/>
      <c r="AN60" s="363"/>
    </row>
    <row r="61" spans="1:40">
      <c r="A61" s="2" t="s">
        <v>98</v>
      </c>
      <c r="B61" s="16">
        <f t="shared" ref="B61:O61" si="60">B96*0.2</f>
        <v>0</v>
      </c>
      <c r="C61" s="16">
        <f t="shared" si="60"/>
        <v>0</v>
      </c>
      <c r="D61" s="16">
        <f t="shared" si="60"/>
        <v>0</v>
      </c>
      <c r="E61" s="16">
        <f t="shared" si="60"/>
        <v>0</v>
      </c>
      <c r="F61" s="16">
        <f t="shared" si="60"/>
        <v>0</v>
      </c>
      <c r="G61" s="16">
        <f t="shared" si="60"/>
        <v>0</v>
      </c>
      <c r="H61" s="16">
        <f t="shared" si="60"/>
        <v>0</v>
      </c>
      <c r="I61" s="16">
        <f t="shared" si="60"/>
        <v>0</v>
      </c>
      <c r="J61" s="16">
        <f t="shared" si="60"/>
        <v>0</v>
      </c>
      <c r="K61" s="16">
        <f t="shared" si="60"/>
        <v>0</v>
      </c>
      <c r="L61" s="16">
        <f t="shared" si="60"/>
        <v>0</v>
      </c>
      <c r="M61" s="16">
        <f t="shared" si="60"/>
        <v>0</v>
      </c>
      <c r="N61" s="16">
        <f t="shared" si="60"/>
        <v>0</v>
      </c>
      <c r="O61" s="16">
        <f t="shared" si="60"/>
        <v>0</v>
      </c>
      <c r="P61" s="16">
        <f t="shared" si="43"/>
        <v>0</v>
      </c>
      <c r="Q61" s="16">
        <f t="shared" si="43"/>
        <v>0</v>
      </c>
      <c r="R61" s="8">
        <f t="shared" si="35"/>
        <v>0</v>
      </c>
      <c r="S61" s="363">
        <f t="shared" si="37"/>
        <v>0</v>
      </c>
      <c r="T61" s="363">
        <f t="shared" si="37"/>
        <v>0</v>
      </c>
      <c r="U61" s="363">
        <f t="shared" si="37"/>
        <v>0</v>
      </c>
      <c r="V61" s="363">
        <f t="shared" si="37"/>
        <v>0</v>
      </c>
      <c r="W61" s="363">
        <f t="shared" si="38"/>
        <v>0</v>
      </c>
      <c r="X61" s="363">
        <f t="shared" si="39"/>
        <v>0</v>
      </c>
      <c r="AI61" s="363"/>
      <c r="AJ61" s="363"/>
      <c r="AK61" s="363"/>
      <c r="AL61" s="363"/>
      <c r="AM61" s="363"/>
      <c r="AN61" s="363"/>
    </row>
    <row r="62" spans="1:40">
      <c r="A62" s="2" t="s">
        <v>99</v>
      </c>
      <c r="B62" s="16">
        <f t="shared" ref="B62:O62" si="61">B97*0.2</f>
        <v>0</v>
      </c>
      <c r="C62" s="16">
        <f t="shared" si="61"/>
        <v>0</v>
      </c>
      <c r="D62" s="16">
        <f t="shared" si="61"/>
        <v>0</v>
      </c>
      <c r="E62" s="16">
        <f t="shared" si="61"/>
        <v>0</v>
      </c>
      <c r="F62" s="16">
        <f t="shared" si="61"/>
        <v>0</v>
      </c>
      <c r="G62" s="16">
        <f t="shared" si="61"/>
        <v>0</v>
      </c>
      <c r="H62" s="16">
        <f t="shared" si="61"/>
        <v>0</v>
      </c>
      <c r="I62" s="16">
        <f t="shared" si="61"/>
        <v>0</v>
      </c>
      <c r="J62" s="16">
        <f t="shared" si="61"/>
        <v>0</v>
      </c>
      <c r="K62" s="16">
        <f t="shared" si="61"/>
        <v>0</v>
      </c>
      <c r="L62" s="16">
        <f t="shared" si="61"/>
        <v>0</v>
      </c>
      <c r="M62" s="16">
        <f t="shared" si="61"/>
        <v>0</v>
      </c>
      <c r="N62" s="16">
        <f t="shared" si="61"/>
        <v>0</v>
      </c>
      <c r="O62" s="16">
        <f t="shared" si="61"/>
        <v>0</v>
      </c>
      <c r="P62" s="16">
        <f t="shared" si="43"/>
        <v>0</v>
      </c>
      <c r="Q62" s="16">
        <f t="shared" si="43"/>
        <v>0</v>
      </c>
      <c r="R62" s="8">
        <f t="shared" si="35"/>
        <v>0</v>
      </c>
      <c r="S62" s="363">
        <f t="shared" si="37"/>
        <v>0</v>
      </c>
      <c r="T62" s="363">
        <f t="shared" si="37"/>
        <v>0</v>
      </c>
      <c r="U62" s="363">
        <f t="shared" si="37"/>
        <v>0</v>
      </c>
      <c r="V62" s="363">
        <f t="shared" si="37"/>
        <v>0</v>
      </c>
      <c r="W62" s="363">
        <f t="shared" si="38"/>
        <v>0</v>
      </c>
      <c r="X62" s="363">
        <f t="shared" si="39"/>
        <v>0</v>
      </c>
      <c r="AI62" s="363"/>
      <c r="AJ62" s="363"/>
      <c r="AK62" s="363"/>
      <c r="AL62" s="363"/>
      <c r="AM62" s="363"/>
      <c r="AN62" s="363"/>
    </row>
    <row r="63" spans="1:40">
      <c r="A63" s="2" t="s">
        <v>100</v>
      </c>
      <c r="B63" s="16">
        <f t="shared" ref="B63:O63" si="62">B98*0.2</f>
        <v>0</v>
      </c>
      <c r="C63" s="16">
        <f t="shared" si="62"/>
        <v>0</v>
      </c>
      <c r="D63" s="16">
        <f t="shared" si="62"/>
        <v>0</v>
      </c>
      <c r="E63" s="16">
        <f t="shared" si="62"/>
        <v>0</v>
      </c>
      <c r="F63" s="16">
        <f t="shared" si="62"/>
        <v>0</v>
      </c>
      <c r="G63" s="16">
        <f t="shared" si="62"/>
        <v>0</v>
      </c>
      <c r="H63" s="16">
        <f t="shared" si="62"/>
        <v>0</v>
      </c>
      <c r="I63" s="16">
        <f t="shared" si="62"/>
        <v>0</v>
      </c>
      <c r="J63" s="16">
        <f t="shared" si="62"/>
        <v>0</v>
      </c>
      <c r="K63" s="16">
        <f t="shared" si="62"/>
        <v>0</v>
      </c>
      <c r="L63" s="16">
        <f t="shared" si="62"/>
        <v>0</v>
      </c>
      <c r="M63" s="16">
        <f t="shared" si="62"/>
        <v>0</v>
      </c>
      <c r="N63" s="16">
        <f t="shared" si="62"/>
        <v>0</v>
      </c>
      <c r="O63" s="16">
        <f t="shared" si="62"/>
        <v>0</v>
      </c>
      <c r="P63" s="16">
        <f t="shared" si="43"/>
        <v>0</v>
      </c>
      <c r="Q63" s="16">
        <f t="shared" si="43"/>
        <v>0</v>
      </c>
      <c r="R63" s="8">
        <f t="shared" si="35"/>
        <v>0</v>
      </c>
      <c r="S63" s="363">
        <f t="shared" si="37"/>
        <v>0</v>
      </c>
      <c r="T63" s="363">
        <f t="shared" si="37"/>
        <v>0</v>
      </c>
      <c r="U63" s="363">
        <f t="shared" si="37"/>
        <v>0</v>
      </c>
      <c r="V63" s="363">
        <f t="shared" si="37"/>
        <v>0</v>
      </c>
      <c r="W63" s="363">
        <f t="shared" si="38"/>
        <v>0</v>
      </c>
      <c r="X63" s="363">
        <f t="shared" si="39"/>
        <v>0</v>
      </c>
      <c r="AI63" s="363"/>
      <c r="AJ63" s="363"/>
      <c r="AK63" s="363"/>
      <c r="AL63" s="363"/>
      <c r="AM63" s="363"/>
      <c r="AN63" s="363"/>
    </row>
    <row r="64" spans="1:40">
      <c r="A64" s="2" t="s">
        <v>101</v>
      </c>
      <c r="B64" s="16">
        <f t="shared" ref="B64:O64" si="63">B99*0.2</f>
        <v>0</v>
      </c>
      <c r="C64" s="16">
        <f t="shared" si="63"/>
        <v>0</v>
      </c>
      <c r="D64" s="16">
        <f t="shared" si="63"/>
        <v>0</v>
      </c>
      <c r="E64" s="16">
        <f t="shared" si="63"/>
        <v>0</v>
      </c>
      <c r="F64" s="16">
        <f t="shared" si="63"/>
        <v>0</v>
      </c>
      <c r="G64" s="16">
        <f t="shared" si="63"/>
        <v>0</v>
      </c>
      <c r="H64" s="16">
        <f t="shared" si="63"/>
        <v>0</v>
      </c>
      <c r="I64" s="16">
        <f t="shared" si="63"/>
        <v>0</v>
      </c>
      <c r="J64" s="16">
        <f t="shared" si="63"/>
        <v>0</v>
      </c>
      <c r="K64" s="16">
        <f t="shared" si="63"/>
        <v>0</v>
      </c>
      <c r="L64" s="16">
        <f t="shared" si="63"/>
        <v>0</v>
      </c>
      <c r="M64" s="16">
        <f t="shared" si="63"/>
        <v>0</v>
      </c>
      <c r="N64" s="16">
        <f t="shared" si="63"/>
        <v>0</v>
      </c>
      <c r="O64" s="16">
        <f t="shared" si="63"/>
        <v>0</v>
      </c>
      <c r="P64" s="16">
        <v>0</v>
      </c>
      <c r="Q64" s="16">
        <v>0</v>
      </c>
      <c r="R64" s="8">
        <f t="shared" si="35"/>
        <v>0</v>
      </c>
      <c r="S64" s="363">
        <f t="shared" si="37"/>
        <v>0</v>
      </c>
      <c r="T64" s="363">
        <f t="shared" si="37"/>
        <v>0</v>
      </c>
      <c r="U64" s="363">
        <f t="shared" si="37"/>
        <v>0</v>
      </c>
      <c r="V64" s="363">
        <f t="shared" si="37"/>
        <v>0</v>
      </c>
      <c r="W64" s="363">
        <f t="shared" si="38"/>
        <v>0</v>
      </c>
      <c r="X64" s="363">
        <f t="shared" si="39"/>
        <v>0</v>
      </c>
      <c r="AI64" s="363"/>
      <c r="AJ64" s="363"/>
      <c r="AK64" s="363"/>
      <c r="AL64" s="363"/>
      <c r="AM64" s="363"/>
      <c r="AN64" s="363"/>
    </row>
    <row r="65" spans="1:40">
      <c r="A65" s="2" t="s">
        <v>102</v>
      </c>
      <c r="B65" s="16">
        <f t="shared" ref="B65:O65" si="64">B100*0.2</f>
        <v>0</v>
      </c>
      <c r="C65" s="16">
        <f t="shared" si="64"/>
        <v>0</v>
      </c>
      <c r="D65" s="16">
        <f t="shared" si="64"/>
        <v>0</v>
      </c>
      <c r="E65" s="16">
        <f t="shared" si="64"/>
        <v>0</v>
      </c>
      <c r="F65" s="16">
        <f t="shared" si="64"/>
        <v>0</v>
      </c>
      <c r="G65" s="16">
        <f t="shared" si="64"/>
        <v>0</v>
      </c>
      <c r="H65" s="16">
        <f t="shared" si="64"/>
        <v>0</v>
      </c>
      <c r="I65" s="16">
        <f t="shared" si="64"/>
        <v>0</v>
      </c>
      <c r="J65" s="16">
        <f t="shared" si="64"/>
        <v>0</v>
      </c>
      <c r="K65" s="16">
        <f t="shared" si="64"/>
        <v>0</v>
      </c>
      <c r="L65" s="16">
        <f t="shared" si="64"/>
        <v>0</v>
      </c>
      <c r="M65" s="16">
        <f t="shared" si="64"/>
        <v>0</v>
      </c>
      <c r="N65" s="16">
        <f t="shared" si="64"/>
        <v>0</v>
      </c>
      <c r="O65" s="16">
        <f t="shared" si="64"/>
        <v>0</v>
      </c>
      <c r="P65" s="16">
        <f>P100*0.2</f>
        <v>0</v>
      </c>
      <c r="Q65" s="16">
        <f>Q100*0.2</f>
        <v>0</v>
      </c>
      <c r="R65" s="8">
        <f t="shared" si="35"/>
        <v>0</v>
      </c>
      <c r="S65" s="363">
        <f t="shared" si="37"/>
        <v>0</v>
      </c>
      <c r="T65" s="363">
        <f t="shared" si="37"/>
        <v>0</v>
      </c>
      <c r="U65" s="363">
        <f t="shared" si="37"/>
        <v>0</v>
      </c>
      <c r="V65" s="363">
        <f t="shared" si="37"/>
        <v>0</v>
      </c>
      <c r="W65" s="363">
        <f t="shared" si="38"/>
        <v>0</v>
      </c>
      <c r="X65" s="363">
        <f t="shared" si="39"/>
        <v>0</v>
      </c>
      <c r="AI65" s="363"/>
      <c r="AJ65" s="363"/>
      <c r="AK65" s="363"/>
      <c r="AL65" s="363"/>
      <c r="AM65" s="363"/>
      <c r="AN65" s="363"/>
    </row>
    <row r="66" spans="1:40">
      <c r="A66" s="2" t="s">
        <v>103</v>
      </c>
      <c r="B66" s="16">
        <f t="shared" ref="B66:O66" si="65">B101*0.2</f>
        <v>0</v>
      </c>
      <c r="C66" s="16">
        <f t="shared" si="65"/>
        <v>0</v>
      </c>
      <c r="D66" s="16">
        <f t="shared" si="65"/>
        <v>0</v>
      </c>
      <c r="E66" s="16">
        <f t="shared" si="65"/>
        <v>0</v>
      </c>
      <c r="F66" s="16">
        <f t="shared" si="65"/>
        <v>0</v>
      </c>
      <c r="G66" s="16">
        <f t="shared" si="65"/>
        <v>0</v>
      </c>
      <c r="H66" s="16">
        <f t="shared" si="65"/>
        <v>0</v>
      </c>
      <c r="I66" s="16">
        <f t="shared" si="65"/>
        <v>0</v>
      </c>
      <c r="J66" s="16">
        <f t="shared" si="65"/>
        <v>0</v>
      </c>
      <c r="K66" s="16">
        <f t="shared" si="65"/>
        <v>0</v>
      </c>
      <c r="L66" s="16">
        <f t="shared" si="65"/>
        <v>0</v>
      </c>
      <c r="M66" s="16">
        <f t="shared" si="65"/>
        <v>0</v>
      </c>
      <c r="N66" s="16">
        <f t="shared" si="65"/>
        <v>0</v>
      </c>
      <c r="O66" s="16">
        <f t="shared" si="65"/>
        <v>0</v>
      </c>
      <c r="P66" s="16">
        <f>P101*0.2</f>
        <v>0</v>
      </c>
      <c r="Q66" s="16">
        <f>Q101*0.2</f>
        <v>0</v>
      </c>
      <c r="R66" s="8">
        <f t="shared" si="35"/>
        <v>0</v>
      </c>
      <c r="S66" s="363">
        <f t="shared" si="37"/>
        <v>0</v>
      </c>
      <c r="T66" s="363">
        <f t="shared" si="37"/>
        <v>0</v>
      </c>
      <c r="U66" s="363">
        <f t="shared" si="37"/>
        <v>0</v>
      </c>
      <c r="V66" s="363">
        <f t="shared" si="37"/>
        <v>0</v>
      </c>
      <c r="W66" s="363">
        <f t="shared" si="38"/>
        <v>0</v>
      </c>
      <c r="X66" s="363">
        <f t="shared" si="39"/>
        <v>0</v>
      </c>
      <c r="AI66" s="363"/>
      <c r="AJ66" s="363"/>
      <c r="AK66" s="363"/>
      <c r="AL66" s="363"/>
      <c r="AM66" s="363"/>
      <c r="AN66" s="363"/>
    </row>
    <row r="67" spans="1:40">
      <c r="A67" s="6" t="s">
        <v>37</v>
      </c>
      <c r="B67" s="7">
        <f t="shared" ref="B67:R67" si="66">SUM(B40:B66)</f>
        <v>0</v>
      </c>
      <c r="C67" s="7">
        <f t="shared" si="66"/>
        <v>0</v>
      </c>
      <c r="D67" s="7">
        <f t="shared" si="66"/>
        <v>0</v>
      </c>
      <c r="E67" s="7">
        <f t="shared" si="66"/>
        <v>0</v>
      </c>
      <c r="F67" s="7">
        <f t="shared" si="66"/>
        <v>0</v>
      </c>
      <c r="G67" s="7">
        <f t="shared" si="66"/>
        <v>0</v>
      </c>
      <c r="H67" s="7">
        <f t="shared" si="66"/>
        <v>0</v>
      </c>
      <c r="I67" s="7">
        <f t="shared" si="66"/>
        <v>0</v>
      </c>
      <c r="J67" s="7">
        <f t="shared" si="66"/>
        <v>0</v>
      </c>
      <c r="K67" s="7">
        <f t="shared" si="66"/>
        <v>0</v>
      </c>
      <c r="L67" s="7">
        <f t="shared" si="66"/>
        <v>0</v>
      </c>
      <c r="M67" s="7">
        <f t="shared" si="66"/>
        <v>0</v>
      </c>
      <c r="N67" s="7">
        <f t="shared" si="66"/>
        <v>0</v>
      </c>
      <c r="O67" s="7">
        <f t="shared" si="66"/>
        <v>0</v>
      </c>
      <c r="P67" s="7">
        <f t="shared" si="66"/>
        <v>0</v>
      </c>
      <c r="Q67" s="7">
        <f t="shared" si="66"/>
        <v>0</v>
      </c>
      <c r="R67" s="9">
        <f t="shared" si="66"/>
        <v>0</v>
      </c>
      <c r="S67" s="363">
        <f t="shared" ref="S67:X67" si="67">SUM(S40:S66)</f>
        <v>0</v>
      </c>
      <c r="T67" s="363">
        <f t="shared" si="67"/>
        <v>0</v>
      </c>
      <c r="U67" s="363">
        <f t="shared" si="67"/>
        <v>0</v>
      </c>
      <c r="V67" s="363">
        <f t="shared" si="67"/>
        <v>0</v>
      </c>
      <c r="W67" s="363">
        <f t="shared" si="67"/>
        <v>0</v>
      </c>
      <c r="X67" s="363">
        <f t="shared" si="67"/>
        <v>0</v>
      </c>
      <c r="AI67" s="363"/>
      <c r="AJ67" s="363"/>
      <c r="AK67" s="363"/>
      <c r="AL67" s="363"/>
      <c r="AM67" s="363"/>
      <c r="AN67" s="363"/>
    </row>
    <row r="68" spans="1:40">
      <c r="A68" s="351" t="s">
        <v>47</v>
      </c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6"/>
    </row>
    <row r="69" spans="1:40">
      <c r="A69" s="358"/>
      <c r="B69" s="358"/>
      <c r="C69" s="359"/>
      <c r="D69" s="359"/>
      <c r="E69" s="359"/>
      <c r="F69" s="359"/>
      <c r="G69" s="359"/>
      <c r="H69" s="359"/>
      <c r="I69" s="359"/>
      <c r="J69" s="359"/>
      <c r="K69" s="359"/>
      <c r="R69" s="360"/>
    </row>
    <row r="70" spans="1:40">
      <c r="A70" s="357"/>
      <c r="L70" s="253"/>
      <c r="M70" s="253"/>
      <c r="N70" s="253"/>
      <c r="O70" s="253"/>
      <c r="P70" s="253"/>
      <c r="Q70" s="253"/>
    </row>
    <row r="71" spans="1:40">
      <c r="A71" s="357"/>
    </row>
    <row r="72" spans="1:40" ht="46.5">
      <c r="A72" s="837" t="s">
        <v>46</v>
      </c>
      <c r="B72" s="838"/>
      <c r="C72" s="838"/>
      <c r="D72" s="838"/>
      <c r="E72" s="838"/>
      <c r="F72" s="838"/>
      <c r="G72" s="838"/>
      <c r="H72" s="838"/>
      <c r="I72" s="838"/>
      <c r="J72" s="838"/>
      <c r="K72" s="838"/>
      <c r="L72" s="838"/>
      <c r="M72" s="838"/>
      <c r="N72" s="838"/>
      <c r="O72" s="838"/>
      <c r="P72" s="838"/>
      <c r="Q72" s="838"/>
      <c r="R72" s="839"/>
    </row>
    <row r="73" spans="1:40" s="372" customFormat="1" ht="35.1" customHeight="1">
      <c r="A73" s="835" t="s">
        <v>33</v>
      </c>
      <c r="B73" s="833" t="s">
        <v>27</v>
      </c>
      <c r="C73" s="834"/>
      <c r="D73" s="833" t="s">
        <v>29</v>
      </c>
      <c r="E73" s="834"/>
      <c r="F73" s="835" t="s">
        <v>28</v>
      </c>
      <c r="G73" s="835" t="s">
        <v>36</v>
      </c>
      <c r="H73" s="835" t="s">
        <v>30</v>
      </c>
      <c r="I73" s="835" t="s">
        <v>31</v>
      </c>
      <c r="J73" s="835" t="s">
        <v>41</v>
      </c>
      <c r="K73" s="835" t="s">
        <v>35</v>
      </c>
      <c r="L73" s="835" t="s">
        <v>40</v>
      </c>
      <c r="M73" s="835" t="s">
        <v>42</v>
      </c>
      <c r="N73" s="835" t="s">
        <v>45</v>
      </c>
      <c r="O73" s="835" t="s">
        <v>279</v>
      </c>
      <c r="P73" s="833" t="s">
        <v>49</v>
      </c>
      <c r="Q73" s="834"/>
      <c r="R73" s="835" t="s">
        <v>34</v>
      </c>
      <c r="S73" s="357"/>
      <c r="T73" s="357"/>
      <c r="U73" s="357"/>
      <c r="V73" s="357"/>
      <c r="W73" s="357"/>
      <c r="X73" s="357"/>
      <c r="AI73" s="357"/>
      <c r="AJ73" s="357"/>
      <c r="AK73" s="357"/>
      <c r="AL73" s="357"/>
      <c r="AM73" s="357"/>
      <c r="AN73" s="357"/>
    </row>
    <row r="74" spans="1:40" s="372" customFormat="1" ht="35.1" customHeight="1">
      <c r="A74" s="836"/>
      <c r="B74" s="361" t="s">
        <v>43</v>
      </c>
      <c r="C74" s="361" t="s">
        <v>44</v>
      </c>
      <c r="D74" s="361" t="s">
        <v>43</v>
      </c>
      <c r="E74" s="361" t="s">
        <v>44</v>
      </c>
      <c r="F74" s="836"/>
      <c r="G74" s="836"/>
      <c r="H74" s="836"/>
      <c r="I74" s="836"/>
      <c r="J74" s="836"/>
      <c r="K74" s="836"/>
      <c r="L74" s="836"/>
      <c r="M74" s="836"/>
      <c r="N74" s="836"/>
      <c r="O74" s="836"/>
      <c r="P74" s="362" t="s">
        <v>50</v>
      </c>
      <c r="Q74" s="362" t="s">
        <v>51</v>
      </c>
      <c r="R74" s="836"/>
      <c r="S74" s="372" t="s">
        <v>173</v>
      </c>
      <c r="T74" s="372" t="s">
        <v>291</v>
      </c>
      <c r="U74" s="372" t="s">
        <v>174</v>
      </c>
      <c r="V74" s="372" t="s">
        <v>292</v>
      </c>
      <c r="W74" s="372" t="s">
        <v>28</v>
      </c>
      <c r="X74" s="372" t="s">
        <v>175</v>
      </c>
    </row>
    <row r="75" spans="1:40">
      <c r="A75" s="2" t="s">
        <v>77</v>
      </c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8">
        <f t="shared" ref="R75:R101" si="68">SUM(B75:Q75)</f>
        <v>0</v>
      </c>
      <c r="S75" s="363">
        <f>B75</f>
        <v>0</v>
      </c>
      <c r="T75" s="363">
        <f>C75</f>
        <v>0</v>
      </c>
      <c r="U75" s="363">
        <f>D75</f>
        <v>0</v>
      </c>
      <c r="V75" s="363">
        <f>E75</f>
        <v>0</v>
      </c>
      <c r="W75" s="363">
        <f>F75+G75</f>
        <v>0</v>
      </c>
      <c r="X75" s="363">
        <f>SUM(H75:Q75)</f>
        <v>0</v>
      </c>
      <c r="AI75" s="363"/>
      <c r="AJ75" s="363"/>
      <c r="AK75" s="363"/>
      <c r="AL75" s="363"/>
      <c r="AM75" s="363"/>
      <c r="AN75" s="363"/>
    </row>
    <row r="76" spans="1:40">
      <c r="A76" s="2" t="s">
        <v>78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8">
        <f t="shared" si="68"/>
        <v>0</v>
      </c>
      <c r="S76" s="363">
        <f t="shared" ref="S76:V101" si="69">B76</f>
        <v>0</v>
      </c>
      <c r="T76" s="363">
        <f t="shared" si="69"/>
        <v>0</v>
      </c>
      <c r="U76" s="363">
        <f t="shared" si="69"/>
        <v>0</v>
      </c>
      <c r="V76" s="363">
        <f t="shared" si="69"/>
        <v>0</v>
      </c>
      <c r="W76" s="363">
        <f t="shared" ref="W76:W101" si="70">F76+G76</f>
        <v>0</v>
      </c>
      <c r="X76" s="363">
        <f t="shared" ref="X76:X101" si="71">SUM(H76:Q76)</f>
        <v>0</v>
      </c>
      <c r="AI76" s="363"/>
      <c r="AJ76" s="363"/>
      <c r="AK76" s="363"/>
      <c r="AL76" s="363"/>
      <c r="AM76" s="363"/>
      <c r="AN76" s="363"/>
    </row>
    <row r="77" spans="1:40">
      <c r="A77" s="2" t="s">
        <v>79</v>
      </c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8">
        <f t="shared" si="68"/>
        <v>0</v>
      </c>
      <c r="S77" s="363">
        <f t="shared" si="69"/>
        <v>0</v>
      </c>
      <c r="T77" s="363">
        <f t="shared" si="69"/>
        <v>0</v>
      </c>
      <c r="U77" s="363">
        <f t="shared" si="69"/>
        <v>0</v>
      </c>
      <c r="V77" s="363">
        <f t="shared" si="69"/>
        <v>0</v>
      </c>
      <c r="W77" s="363">
        <f t="shared" si="70"/>
        <v>0</v>
      </c>
      <c r="X77" s="363">
        <f t="shared" si="71"/>
        <v>0</v>
      </c>
      <c r="AI77" s="363"/>
      <c r="AJ77" s="363"/>
      <c r="AK77" s="363"/>
      <c r="AL77" s="363"/>
      <c r="AM77" s="363"/>
      <c r="AN77" s="363"/>
    </row>
    <row r="78" spans="1:40">
      <c r="A78" s="2" t="s">
        <v>80</v>
      </c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8">
        <f t="shared" si="68"/>
        <v>0</v>
      </c>
      <c r="S78" s="363">
        <f t="shared" si="69"/>
        <v>0</v>
      </c>
      <c r="T78" s="363">
        <f t="shared" si="69"/>
        <v>0</v>
      </c>
      <c r="U78" s="363">
        <f t="shared" si="69"/>
        <v>0</v>
      </c>
      <c r="V78" s="363">
        <f t="shared" si="69"/>
        <v>0</v>
      </c>
      <c r="W78" s="363">
        <f t="shared" si="70"/>
        <v>0</v>
      </c>
      <c r="X78" s="363">
        <f t="shared" si="71"/>
        <v>0</v>
      </c>
      <c r="AI78" s="363"/>
      <c r="AJ78" s="363"/>
      <c r="AK78" s="363"/>
      <c r="AL78" s="363"/>
      <c r="AM78" s="363"/>
      <c r="AN78" s="363"/>
    </row>
    <row r="79" spans="1:40">
      <c r="A79" s="2" t="s">
        <v>81</v>
      </c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8">
        <f t="shared" si="68"/>
        <v>0</v>
      </c>
      <c r="S79" s="363">
        <f t="shared" si="69"/>
        <v>0</v>
      </c>
      <c r="T79" s="363">
        <f t="shared" si="69"/>
        <v>0</v>
      </c>
      <c r="U79" s="363">
        <f t="shared" si="69"/>
        <v>0</v>
      </c>
      <c r="V79" s="363">
        <f t="shared" si="69"/>
        <v>0</v>
      </c>
      <c r="W79" s="363">
        <f t="shared" si="70"/>
        <v>0</v>
      </c>
      <c r="X79" s="363">
        <f t="shared" si="71"/>
        <v>0</v>
      </c>
      <c r="AI79" s="363"/>
      <c r="AJ79" s="363"/>
      <c r="AK79" s="363"/>
      <c r="AL79" s="363"/>
      <c r="AM79" s="363"/>
      <c r="AN79" s="363"/>
    </row>
    <row r="80" spans="1:40">
      <c r="A80" s="2" t="s">
        <v>82</v>
      </c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8">
        <f t="shared" si="68"/>
        <v>0</v>
      </c>
      <c r="S80" s="363">
        <f t="shared" si="69"/>
        <v>0</v>
      </c>
      <c r="T80" s="363">
        <f t="shared" si="69"/>
        <v>0</v>
      </c>
      <c r="U80" s="363">
        <f t="shared" si="69"/>
        <v>0</v>
      </c>
      <c r="V80" s="363">
        <f t="shared" si="69"/>
        <v>0</v>
      </c>
      <c r="W80" s="363">
        <f t="shared" si="70"/>
        <v>0</v>
      </c>
      <c r="X80" s="363">
        <f t="shared" si="71"/>
        <v>0</v>
      </c>
      <c r="AI80" s="363"/>
      <c r="AJ80" s="363"/>
      <c r="AK80" s="363"/>
      <c r="AL80" s="363"/>
      <c r="AM80" s="363"/>
      <c r="AN80" s="363"/>
    </row>
    <row r="81" spans="1:40">
      <c r="A81" s="2" t="s">
        <v>83</v>
      </c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8">
        <f t="shared" si="68"/>
        <v>0</v>
      </c>
      <c r="S81" s="363">
        <f t="shared" si="69"/>
        <v>0</v>
      </c>
      <c r="T81" s="363">
        <f t="shared" si="69"/>
        <v>0</v>
      </c>
      <c r="U81" s="363">
        <f t="shared" si="69"/>
        <v>0</v>
      </c>
      <c r="V81" s="363">
        <f t="shared" si="69"/>
        <v>0</v>
      </c>
      <c r="W81" s="363">
        <f t="shared" si="70"/>
        <v>0</v>
      </c>
      <c r="X81" s="363">
        <f t="shared" si="71"/>
        <v>0</v>
      </c>
      <c r="AI81" s="363"/>
      <c r="AJ81" s="363"/>
      <c r="AK81" s="363"/>
      <c r="AL81" s="363"/>
      <c r="AM81" s="363"/>
      <c r="AN81" s="363"/>
    </row>
    <row r="82" spans="1:40">
      <c r="A82" s="2" t="s">
        <v>84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8">
        <f t="shared" si="68"/>
        <v>0</v>
      </c>
      <c r="S82" s="363">
        <f t="shared" si="69"/>
        <v>0</v>
      </c>
      <c r="T82" s="363">
        <f t="shared" si="69"/>
        <v>0</v>
      </c>
      <c r="U82" s="363">
        <f t="shared" si="69"/>
        <v>0</v>
      </c>
      <c r="V82" s="363">
        <f t="shared" si="69"/>
        <v>0</v>
      </c>
      <c r="W82" s="363">
        <f t="shared" si="70"/>
        <v>0</v>
      </c>
      <c r="X82" s="363">
        <f t="shared" si="71"/>
        <v>0</v>
      </c>
      <c r="AI82" s="363"/>
      <c r="AJ82" s="363"/>
      <c r="AK82" s="363"/>
      <c r="AL82" s="363"/>
      <c r="AM82" s="363"/>
      <c r="AN82" s="363"/>
    </row>
    <row r="83" spans="1:40">
      <c r="A83" s="2" t="s">
        <v>85</v>
      </c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8">
        <f t="shared" si="68"/>
        <v>0</v>
      </c>
      <c r="S83" s="363">
        <f t="shared" si="69"/>
        <v>0</v>
      </c>
      <c r="T83" s="363">
        <f t="shared" si="69"/>
        <v>0</v>
      </c>
      <c r="U83" s="363">
        <f t="shared" si="69"/>
        <v>0</v>
      </c>
      <c r="V83" s="363">
        <f t="shared" si="69"/>
        <v>0</v>
      </c>
      <c r="W83" s="363">
        <f t="shared" si="70"/>
        <v>0</v>
      </c>
      <c r="X83" s="363">
        <f t="shared" si="71"/>
        <v>0</v>
      </c>
      <c r="AI83" s="363"/>
      <c r="AJ83" s="363"/>
      <c r="AK83" s="363"/>
      <c r="AL83" s="363"/>
      <c r="AM83" s="363"/>
      <c r="AN83" s="363"/>
    </row>
    <row r="84" spans="1:40">
      <c r="A84" s="2" t="s">
        <v>86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8">
        <f t="shared" si="68"/>
        <v>0</v>
      </c>
      <c r="S84" s="363">
        <f t="shared" si="69"/>
        <v>0</v>
      </c>
      <c r="T84" s="363">
        <f t="shared" si="69"/>
        <v>0</v>
      </c>
      <c r="U84" s="363">
        <f t="shared" si="69"/>
        <v>0</v>
      </c>
      <c r="V84" s="363">
        <f t="shared" si="69"/>
        <v>0</v>
      </c>
      <c r="W84" s="363">
        <f t="shared" si="70"/>
        <v>0</v>
      </c>
      <c r="X84" s="363">
        <f t="shared" si="71"/>
        <v>0</v>
      </c>
      <c r="AI84" s="363"/>
      <c r="AJ84" s="363"/>
      <c r="AK84" s="363"/>
      <c r="AL84" s="363"/>
      <c r="AM84" s="363"/>
      <c r="AN84" s="363"/>
    </row>
    <row r="85" spans="1:40">
      <c r="A85" s="2" t="s">
        <v>87</v>
      </c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8">
        <f t="shared" si="68"/>
        <v>0</v>
      </c>
      <c r="S85" s="363">
        <f t="shared" si="69"/>
        <v>0</v>
      </c>
      <c r="T85" s="363">
        <f t="shared" si="69"/>
        <v>0</v>
      </c>
      <c r="U85" s="363">
        <f t="shared" si="69"/>
        <v>0</v>
      </c>
      <c r="V85" s="363">
        <f t="shared" si="69"/>
        <v>0</v>
      </c>
      <c r="W85" s="363">
        <f t="shared" si="70"/>
        <v>0</v>
      </c>
      <c r="X85" s="363">
        <f t="shared" si="71"/>
        <v>0</v>
      </c>
      <c r="AI85" s="363"/>
      <c r="AJ85" s="363"/>
      <c r="AK85" s="363"/>
      <c r="AL85" s="363"/>
      <c r="AM85" s="363"/>
      <c r="AN85" s="363"/>
    </row>
    <row r="86" spans="1:40">
      <c r="A86" s="2" t="s">
        <v>88</v>
      </c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8">
        <f t="shared" si="68"/>
        <v>0</v>
      </c>
      <c r="S86" s="363">
        <f t="shared" si="69"/>
        <v>0</v>
      </c>
      <c r="T86" s="363">
        <f t="shared" si="69"/>
        <v>0</v>
      </c>
      <c r="U86" s="363">
        <f t="shared" si="69"/>
        <v>0</v>
      </c>
      <c r="V86" s="363">
        <f t="shared" si="69"/>
        <v>0</v>
      </c>
      <c r="W86" s="363">
        <f t="shared" si="70"/>
        <v>0</v>
      </c>
      <c r="X86" s="363">
        <f t="shared" si="71"/>
        <v>0</v>
      </c>
      <c r="AI86" s="363"/>
      <c r="AJ86" s="363"/>
      <c r="AK86" s="363"/>
      <c r="AL86" s="363"/>
      <c r="AM86" s="363"/>
      <c r="AN86" s="363"/>
    </row>
    <row r="87" spans="1:40">
      <c r="A87" s="2" t="s">
        <v>89</v>
      </c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8">
        <f t="shared" si="68"/>
        <v>0</v>
      </c>
      <c r="S87" s="363">
        <f t="shared" si="69"/>
        <v>0</v>
      </c>
      <c r="T87" s="363">
        <f t="shared" si="69"/>
        <v>0</v>
      </c>
      <c r="U87" s="363">
        <f t="shared" si="69"/>
        <v>0</v>
      </c>
      <c r="V87" s="363">
        <f t="shared" si="69"/>
        <v>0</v>
      </c>
      <c r="W87" s="363">
        <f t="shared" si="70"/>
        <v>0</v>
      </c>
      <c r="X87" s="363">
        <f t="shared" si="71"/>
        <v>0</v>
      </c>
      <c r="AI87" s="363"/>
      <c r="AJ87" s="363"/>
      <c r="AK87" s="363"/>
      <c r="AL87" s="363"/>
      <c r="AM87" s="363"/>
      <c r="AN87" s="363"/>
    </row>
    <row r="88" spans="1:40">
      <c r="A88" s="2" t="s">
        <v>90</v>
      </c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8">
        <f t="shared" si="68"/>
        <v>0</v>
      </c>
      <c r="S88" s="363">
        <f t="shared" si="69"/>
        <v>0</v>
      </c>
      <c r="T88" s="363">
        <f t="shared" si="69"/>
        <v>0</v>
      </c>
      <c r="U88" s="363">
        <f t="shared" si="69"/>
        <v>0</v>
      </c>
      <c r="V88" s="363">
        <f t="shared" si="69"/>
        <v>0</v>
      </c>
      <c r="W88" s="363">
        <f t="shared" si="70"/>
        <v>0</v>
      </c>
      <c r="X88" s="363">
        <f t="shared" si="71"/>
        <v>0</v>
      </c>
      <c r="AI88" s="363"/>
      <c r="AJ88" s="363"/>
      <c r="AK88" s="363"/>
      <c r="AL88" s="363"/>
      <c r="AM88" s="363"/>
      <c r="AN88" s="363"/>
    </row>
    <row r="89" spans="1:40">
      <c r="A89" s="2" t="s">
        <v>91</v>
      </c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8">
        <f t="shared" si="68"/>
        <v>0</v>
      </c>
      <c r="S89" s="363">
        <f t="shared" si="69"/>
        <v>0</v>
      </c>
      <c r="T89" s="363">
        <f t="shared" si="69"/>
        <v>0</v>
      </c>
      <c r="U89" s="363">
        <f t="shared" si="69"/>
        <v>0</v>
      </c>
      <c r="V89" s="363">
        <f t="shared" si="69"/>
        <v>0</v>
      </c>
      <c r="W89" s="363">
        <f t="shared" si="70"/>
        <v>0</v>
      </c>
      <c r="X89" s="363">
        <f t="shared" si="71"/>
        <v>0</v>
      </c>
      <c r="AI89" s="363"/>
      <c r="AJ89" s="363"/>
      <c r="AK89" s="363"/>
      <c r="AL89" s="363"/>
      <c r="AM89" s="363"/>
      <c r="AN89" s="363"/>
    </row>
    <row r="90" spans="1:40">
      <c r="A90" s="2" t="s">
        <v>92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8">
        <f t="shared" si="68"/>
        <v>0</v>
      </c>
      <c r="S90" s="363">
        <f t="shared" si="69"/>
        <v>0</v>
      </c>
      <c r="T90" s="363">
        <f t="shared" si="69"/>
        <v>0</v>
      </c>
      <c r="U90" s="363">
        <f t="shared" si="69"/>
        <v>0</v>
      </c>
      <c r="V90" s="363">
        <f t="shared" si="69"/>
        <v>0</v>
      </c>
      <c r="W90" s="363">
        <f t="shared" si="70"/>
        <v>0</v>
      </c>
      <c r="X90" s="363">
        <f t="shared" si="71"/>
        <v>0</v>
      </c>
      <c r="AI90" s="363"/>
      <c r="AJ90" s="363"/>
      <c r="AK90" s="363"/>
      <c r="AL90" s="363"/>
      <c r="AM90" s="363"/>
      <c r="AN90" s="363"/>
    </row>
    <row r="91" spans="1:40">
      <c r="A91" s="2" t="s">
        <v>93</v>
      </c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8">
        <f t="shared" si="68"/>
        <v>0</v>
      </c>
      <c r="S91" s="363">
        <f t="shared" si="69"/>
        <v>0</v>
      </c>
      <c r="T91" s="363">
        <f t="shared" si="69"/>
        <v>0</v>
      </c>
      <c r="U91" s="363">
        <f t="shared" si="69"/>
        <v>0</v>
      </c>
      <c r="V91" s="363">
        <f t="shared" si="69"/>
        <v>0</v>
      </c>
      <c r="W91" s="363">
        <f t="shared" si="70"/>
        <v>0</v>
      </c>
      <c r="X91" s="363">
        <f t="shared" si="71"/>
        <v>0</v>
      </c>
      <c r="AI91" s="363"/>
      <c r="AJ91" s="363"/>
      <c r="AK91" s="363"/>
      <c r="AL91" s="363"/>
      <c r="AM91" s="363"/>
      <c r="AN91" s="363"/>
    </row>
    <row r="92" spans="1:40">
      <c r="A92" s="2" t="s">
        <v>94</v>
      </c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8">
        <f t="shared" si="68"/>
        <v>0</v>
      </c>
      <c r="S92" s="363">
        <f t="shared" si="69"/>
        <v>0</v>
      </c>
      <c r="T92" s="363">
        <f t="shared" si="69"/>
        <v>0</v>
      </c>
      <c r="U92" s="363">
        <f t="shared" si="69"/>
        <v>0</v>
      </c>
      <c r="V92" s="363">
        <f t="shared" si="69"/>
        <v>0</v>
      </c>
      <c r="W92" s="363">
        <f t="shared" si="70"/>
        <v>0</v>
      </c>
      <c r="X92" s="363">
        <f t="shared" si="71"/>
        <v>0</v>
      </c>
      <c r="AI92" s="363"/>
      <c r="AJ92" s="363"/>
      <c r="AK92" s="363"/>
      <c r="AL92" s="363"/>
      <c r="AM92" s="363"/>
      <c r="AN92" s="363"/>
    </row>
    <row r="93" spans="1:40">
      <c r="A93" s="2" t="s">
        <v>95</v>
      </c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8">
        <f t="shared" si="68"/>
        <v>0</v>
      </c>
      <c r="S93" s="363">
        <f t="shared" si="69"/>
        <v>0</v>
      </c>
      <c r="T93" s="363">
        <f t="shared" si="69"/>
        <v>0</v>
      </c>
      <c r="U93" s="363">
        <f t="shared" si="69"/>
        <v>0</v>
      </c>
      <c r="V93" s="363">
        <f t="shared" si="69"/>
        <v>0</v>
      </c>
      <c r="W93" s="363">
        <f t="shared" si="70"/>
        <v>0</v>
      </c>
      <c r="X93" s="363">
        <f t="shared" si="71"/>
        <v>0</v>
      </c>
      <c r="AI93" s="363"/>
      <c r="AJ93" s="363"/>
      <c r="AK93" s="363"/>
      <c r="AL93" s="363"/>
      <c r="AM93" s="363"/>
      <c r="AN93" s="363"/>
    </row>
    <row r="94" spans="1:40">
      <c r="A94" s="2" t="s">
        <v>96</v>
      </c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8">
        <f t="shared" si="68"/>
        <v>0</v>
      </c>
      <c r="S94" s="363">
        <f t="shared" si="69"/>
        <v>0</v>
      </c>
      <c r="T94" s="363">
        <f t="shared" si="69"/>
        <v>0</v>
      </c>
      <c r="U94" s="363">
        <f t="shared" si="69"/>
        <v>0</v>
      </c>
      <c r="V94" s="363">
        <f t="shared" si="69"/>
        <v>0</v>
      </c>
      <c r="W94" s="363">
        <f t="shared" si="70"/>
        <v>0</v>
      </c>
      <c r="X94" s="363">
        <f t="shared" si="71"/>
        <v>0</v>
      </c>
      <c r="AI94" s="363"/>
      <c r="AJ94" s="363"/>
      <c r="AK94" s="363"/>
      <c r="AL94" s="363"/>
      <c r="AM94" s="363"/>
      <c r="AN94" s="363"/>
    </row>
    <row r="95" spans="1:40">
      <c r="A95" s="2" t="s">
        <v>97</v>
      </c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8">
        <f t="shared" si="68"/>
        <v>0</v>
      </c>
      <c r="S95" s="363">
        <f t="shared" si="69"/>
        <v>0</v>
      </c>
      <c r="T95" s="363">
        <f t="shared" si="69"/>
        <v>0</v>
      </c>
      <c r="U95" s="363">
        <f t="shared" si="69"/>
        <v>0</v>
      </c>
      <c r="V95" s="363">
        <f t="shared" si="69"/>
        <v>0</v>
      </c>
      <c r="W95" s="363">
        <f t="shared" si="70"/>
        <v>0</v>
      </c>
      <c r="X95" s="363">
        <f t="shared" si="71"/>
        <v>0</v>
      </c>
      <c r="AI95" s="363"/>
      <c r="AJ95" s="363"/>
      <c r="AK95" s="363"/>
      <c r="AL95" s="363"/>
      <c r="AM95" s="363"/>
      <c r="AN95" s="363"/>
    </row>
    <row r="96" spans="1:40">
      <c r="A96" s="2" t="s">
        <v>98</v>
      </c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8">
        <f t="shared" si="68"/>
        <v>0</v>
      </c>
      <c r="S96" s="363">
        <f t="shared" si="69"/>
        <v>0</v>
      </c>
      <c r="T96" s="363">
        <f t="shared" si="69"/>
        <v>0</v>
      </c>
      <c r="U96" s="363">
        <f t="shared" si="69"/>
        <v>0</v>
      </c>
      <c r="V96" s="363">
        <f t="shared" si="69"/>
        <v>0</v>
      </c>
      <c r="W96" s="363">
        <f t="shared" si="70"/>
        <v>0</v>
      </c>
      <c r="X96" s="363">
        <f t="shared" si="71"/>
        <v>0</v>
      </c>
      <c r="AI96" s="363"/>
      <c r="AJ96" s="363"/>
      <c r="AK96" s="363"/>
      <c r="AL96" s="363"/>
      <c r="AM96" s="363"/>
      <c r="AN96" s="363"/>
    </row>
    <row r="97" spans="1:40">
      <c r="A97" s="2" t="s">
        <v>99</v>
      </c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8">
        <f t="shared" si="68"/>
        <v>0</v>
      </c>
      <c r="S97" s="363">
        <f t="shared" si="69"/>
        <v>0</v>
      </c>
      <c r="T97" s="363">
        <f t="shared" si="69"/>
        <v>0</v>
      </c>
      <c r="U97" s="363">
        <f t="shared" si="69"/>
        <v>0</v>
      </c>
      <c r="V97" s="363">
        <f t="shared" si="69"/>
        <v>0</v>
      </c>
      <c r="W97" s="363">
        <f t="shared" si="70"/>
        <v>0</v>
      </c>
      <c r="X97" s="363">
        <f t="shared" si="71"/>
        <v>0</v>
      </c>
      <c r="AI97" s="363"/>
      <c r="AJ97" s="363"/>
      <c r="AK97" s="363"/>
      <c r="AL97" s="363"/>
      <c r="AM97" s="363"/>
      <c r="AN97" s="363"/>
    </row>
    <row r="98" spans="1:40">
      <c r="A98" s="2" t="s">
        <v>100</v>
      </c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8">
        <f t="shared" si="68"/>
        <v>0</v>
      </c>
      <c r="S98" s="363">
        <f t="shared" si="69"/>
        <v>0</v>
      </c>
      <c r="T98" s="363">
        <f t="shared" si="69"/>
        <v>0</v>
      </c>
      <c r="U98" s="363">
        <f t="shared" si="69"/>
        <v>0</v>
      </c>
      <c r="V98" s="363">
        <f t="shared" si="69"/>
        <v>0</v>
      </c>
      <c r="W98" s="363">
        <f t="shared" si="70"/>
        <v>0</v>
      </c>
      <c r="X98" s="363">
        <f t="shared" si="71"/>
        <v>0</v>
      </c>
      <c r="AI98" s="363"/>
      <c r="AJ98" s="363"/>
      <c r="AK98" s="363"/>
      <c r="AL98" s="363"/>
      <c r="AM98" s="363"/>
      <c r="AN98" s="363"/>
    </row>
    <row r="99" spans="1:40">
      <c r="A99" s="2" t="s">
        <v>101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8">
        <f t="shared" si="68"/>
        <v>0</v>
      </c>
      <c r="S99" s="363">
        <f t="shared" si="69"/>
        <v>0</v>
      </c>
      <c r="T99" s="363">
        <f t="shared" si="69"/>
        <v>0</v>
      </c>
      <c r="U99" s="363">
        <f t="shared" si="69"/>
        <v>0</v>
      </c>
      <c r="V99" s="363">
        <f t="shared" si="69"/>
        <v>0</v>
      </c>
      <c r="W99" s="363">
        <f t="shared" si="70"/>
        <v>0</v>
      </c>
      <c r="X99" s="363">
        <f t="shared" si="71"/>
        <v>0</v>
      </c>
      <c r="AI99" s="363"/>
      <c r="AJ99" s="363"/>
      <c r="AK99" s="363"/>
      <c r="AL99" s="363"/>
      <c r="AM99" s="363"/>
      <c r="AN99" s="363"/>
    </row>
    <row r="100" spans="1:40">
      <c r="A100" s="2" t="s">
        <v>102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8">
        <f t="shared" si="68"/>
        <v>0</v>
      </c>
      <c r="S100" s="363">
        <f t="shared" si="69"/>
        <v>0</v>
      </c>
      <c r="T100" s="363">
        <f t="shared" si="69"/>
        <v>0</v>
      </c>
      <c r="U100" s="363">
        <f t="shared" si="69"/>
        <v>0</v>
      </c>
      <c r="V100" s="363">
        <f t="shared" si="69"/>
        <v>0</v>
      </c>
      <c r="W100" s="363">
        <f t="shared" si="70"/>
        <v>0</v>
      </c>
      <c r="X100" s="363">
        <f t="shared" si="71"/>
        <v>0</v>
      </c>
      <c r="AI100" s="363"/>
      <c r="AJ100" s="363"/>
      <c r="AK100" s="363"/>
      <c r="AL100" s="363"/>
      <c r="AM100" s="363"/>
      <c r="AN100" s="363"/>
    </row>
    <row r="101" spans="1:40">
      <c r="A101" s="2" t="s">
        <v>103</v>
      </c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8">
        <f t="shared" si="68"/>
        <v>0</v>
      </c>
      <c r="S101" s="363">
        <f t="shared" si="69"/>
        <v>0</v>
      </c>
      <c r="T101" s="363">
        <f t="shared" si="69"/>
        <v>0</v>
      </c>
      <c r="U101" s="363">
        <f t="shared" si="69"/>
        <v>0</v>
      </c>
      <c r="V101" s="363">
        <f t="shared" si="69"/>
        <v>0</v>
      </c>
      <c r="W101" s="363">
        <f t="shared" si="70"/>
        <v>0</v>
      </c>
      <c r="X101" s="363">
        <f t="shared" si="71"/>
        <v>0</v>
      </c>
      <c r="AI101" s="363"/>
      <c r="AJ101" s="363"/>
      <c r="AK101" s="363"/>
      <c r="AL101" s="363"/>
      <c r="AM101" s="363"/>
      <c r="AN101" s="363"/>
    </row>
    <row r="102" spans="1:40">
      <c r="A102" s="6" t="s">
        <v>37</v>
      </c>
      <c r="B102" s="5">
        <f t="shared" ref="B102:X102" si="72">SUM(B75:B101)</f>
        <v>0</v>
      </c>
      <c r="C102" s="5">
        <f t="shared" si="72"/>
        <v>0</v>
      </c>
      <c r="D102" s="5">
        <f t="shared" si="72"/>
        <v>0</v>
      </c>
      <c r="E102" s="5">
        <f t="shared" si="72"/>
        <v>0</v>
      </c>
      <c r="F102" s="5">
        <f t="shared" si="72"/>
        <v>0</v>
      </c>
      <c r="G102" s="5">
        <f t="shared" si="72"/>
        <v>0</v>
      </c>
      <c r="H102" s="5">
        <f t="shared" si="72"/>
        <v>0</v>
      </c>
      <c r="I102" s="5">
        <f t="shared" si="72"/>
        <v>0</v>
      </c>
      <c r="J102" s="5">
        <f t="shared" si="72"/>
        <v>0</v>
      </c>
      <c r="K102" s="5">
        <f t="shared" si="72"/>
        <v>0</v>
      </c>
      <c r="L102" s="5">
        <f t="shared" si="72"/>
        <v>0</v>
      </c>
      <c r="M102" s="5">
        <f t="shared" si="72"/>
        <v>0</v>
      </c>
      <c r="N102" s="5">
        <f t="shared" si="72"/>
        <v>0</v>
      </c>
      <c r="O102" s="5">
        <f t="shared" si="72"/>
        <v>0</v>
      </c>
      <c r="P102" s="5">
        <f t="shared" si="72"/>
        <v>0</v>
      </c>
      <c r="Q102" s="5">
        <f t="shared" si="72"/>
        <v>0</v>
      </c>
      <c r="R102" s="5">
        <f t="shared" si="72"/>
        <v>0</v>
      </c>
      <c r="S102" s="363">
        <f t="shared" si="72"/>
        <v>0</v>
      </c>
      <c r="T102" s="363">
        <f t="shared" si="72"/>
        <v>0</v>
      </c>
      <c r="U102" s="363">
        <f t="shared" si="72"/>
        <v>0</v>
      </c>
      <c r="V102" s="363">
        <f t="shared" si="72"/>
        <v>0</v>
      </c>
      <c r="W102" s="363">
        <f t="shared" si="72"/>
        <v>0</v>
      </c>
      <c r="X102" s="363">
        <f t="shared" si="72"/>
        <v>0</v>
      </c>
      <c r="AI102" s="363"/>
      <c r="AJ102" s="363"/>
      <c r="AK102" s="363"/>
      <c r="AL102" s="363"/>
      <c r="AM102" s="363"/>
      <c r="AN102" s="363"/>
    </row>
    <row r="103" spans="1:40">
      <c r="R103" s="363"/>
    </row>
    <row r="104" spans="1:40">
      <c r="R104" s="363"/>
    </row>
    <row r="105" spans="1:40">
      <c r="R105" s="363"/>
    </row>
  </sheetData>
  <mergeCells count="48">
    <mergeCell ref="A72:R72"/>
    <mergeCell ref="A73:A74"/>
    <mergeCell ref="B73:C73"/>
    <mergeCell ref="D73:E73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R73:R74"/>
    <mergeCell ref="P73:Q73"/>
    <mergeCell ref="O73:O74"/>
    <mergeCell ref="A37:R37"/>
    <mergeCell ref="A38:A39"/>
    <mergeCell ref="B38:C38"/>
    <mergeCell ref="D38:E38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R38:R39"/>
    <mergeCell ref="P38:Q38"/>
    <mergeCell ref="O38:O39"/>
    <mergeCell ref="A2:R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R3:R4"/>
    <mergeCell ref="P3:Q3"/>
    <mergeCell ref="O3:O4"/>
  </mergeCells>
  <pageMargins left="0.511811024" right="0.511811024" top="0.78740157499999996" bottom="0.78740157499999996" header="0.31496062000000002" footer="0.31496062000000002"/>
  <pageSetup paperSize="9" scale="2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theme="6"/>
    <pageSetUpPr fitToPage="1"/>
  </sheetPr>
  <dimension ref="A2:X109"/>
  <sheetViews>
    <sheetView topLeftCell="A52" zoomScale="70" zoomScaleNormal="70" zoomScaleSheetLayoutView="90" workbookViewId="0">
      <selection activeCell="DQ31" sqref="DQ31:DV31"/>
    </sheetView>
  </sheetViews>
  <sheetFormatPr defaultRowHeight="15"/>
  <cols>
    <col min="1" max="1" width="29.5703125" style="357" bestFit="1" customWidth="1"/>
    <col min="2" max="18" width="20.85546875" style="357" customWidth="1"/>
    <col min="19" max="24" width="19" style="357" customWidth="1"/>
    <col min="25" max="16384" width="9.140625" style="357"/>
  </cols>
  <sheetData>
    <row r="2" spans="1:24" ht="46.5">
      <c r="A2" s="840" t="s">
        <v>620</v>
      </c>
      <c r="B2" s="841"/>
      <c r="C2" s="841"/>
      <c r="D2" s="841"/>
      <c r="E2" s="841"/>
      <c r="F2" s="841"/>
      <c r="G2" s="841"/>
      <c r="H2" s="841"/>
      <c r="I2" s="841"/>
      <c r="J2" s="841"/>
      <c r="K2" s="841"/>
      <c r="L2" s="841"/>
      <c r="M2" s="841"/>
      <c r="N2" s="841"/>
      <c r="O2" s="841"/>
      <c r="P2" s="841"/>
      <c r="Q2" s="841"/>
      <c r="R2" s="842"/>
    </row>
    <row r="3" spans="1:24" ht="35.1" customHeight="1">
      <c r="A3" s="843" t="s">
        <v>33</v>
      </c>
      <c r="B3" s="845" t="s">
        <v>27</v>
      </c>
      <c r="C3" s="846"/>
      <c r="D3" s="845" t="s">
        <v>29</v>
      </c>
      <c r="E3" s="846"/>
      <c r="F3" s="843" t="s">
        <v>28</v>
      </c>
      <c r="G3" s="843" t="s">
        <v>36</v>
      </c>
      <c r="H3" s="843" t="s">
        <v>30</v>
      </c>
      <c r="I3" s="843" t="s">
        <v>31</v>
      </c>
      <c r="J3" s="843" t="s">
        <v>32</v>
      </c>
      <c r="K3" s="843" t="s">
        <v>35</v>
      </c>
      <c r="L3" s="843" t="s">
        <v>40</v>
      </c>
      <c r="M3" s="843" t="s">
        <v>42</v>
      </c>
      <c r="N3" s="843" t="s">
        <v>45</v>
      </c>
      <c r="O3" s="843" t="s">
        <v>279</v>
      </c>
      <c r="P3" s="845" t="s">
        <v>49</v>
      </c>
      <c r="Q3" s="846"/>
      <c r="R3" s="843" t="s">
        <v>34</v>
      </c>
    </row>
    <row r="4" spans="1:24" ht="35.1" customHeight="1">
      <c r="A4" s="844"/>
      <c r="B4" s="23" t="s">
        <v>43</v>
      </c>
      <c r="C4" s="350" t="s">
        <v>44</v>
      </c>
      <c r="D4" s="23" t="s">
        <v>43</v>
      </c>
      <c r="E4" s="350" t="s">
        <v>44</v>
      </c>
      <c r="F4" s="844"/>
      <c r="G4" s="844"/>
      <c r="H4" s="844"/>
      <c r="I4" s="844"/>
      <c r="J4" s="844"/>
      <c r="K4" s="844"/>
      <c r="L4" s="844"/>
      <c r="M4" s="844"/>
      <c r="N4" s="844"/>
      <c r="O4" s="844"/>
      <c r="P4" s="349" t="s">
        <v>50</v>
      </c>
      <c r="Q4" s="349" t="s">
        <v>51</v>
      </c>
      <c r="R4" s="844"/>
      <c r="S4" s="372" t="s">
        <v>173</v>
      </c>
      <c r="T4" s="372" t="s">
        <v>291</v>
      </c>
      <c r="U4" s="372" t="s">
        <v>174</v>
      </c>
      <c r="V4" s="372" t="s">
        <v>292</v>
      </c>
      <c r="W4" s="372" t="s">
        <v>28</v>
      </c>
      <c r="X4" s="372" t="s">
        <v>175</v>
      </c>
    </row>
    <row r="5" spans="1:24">
      <c r="A5" s="13" t="s">
        <v>0</v>
      </c>
      <c r="B5" s="21">
        <f>JAN!B5+FEV!B5+MAR!B5+ABR!B5+MAI!B5+JUN!B5+JUL!B5+AGO!B5+SET!B5+OUT!B5+NOV!B5+DEZ!B5</f>
        <v>145826.93599999999</v>
      </c>
      <c r="C5" s="21">
        <f>JAN!C5+FEV!C5+MAR!C5+ABR!C5+MAI!C5+JUN!C5+JUL!C5+AGO!C5+SET!C5+OUT!C5+NOV!C5+DEZ!C5</f>
        <v>65148.808000000005</v>
      </c>
      <c r="D5" s="21">
        <f>JAN!D5+FEV!D5+MAR!D5+ABR!D5+MAI!D5+JUN!D5+JUL!D5+AGO!D5+SET!D5+OUT!D5+NOV!D5+DEZ!D5</f>
        <v>11480.128000000001</v>
      </c>
      <c r="E5" s="21">
        <f>JAN!E5+FEV!E5+MAR!E5+ABR!E5+MAI!E5+JUN!E5+JUL!E5+AGO!E5+SET!E5+OUT!E5+NOV!E5+DEZ!E5</f>
        <v>6094.0479999999998</v>
      </c>
      <c r="F5" s="21">
        <f>JAN!F5+FEV!F5+MAR!F5+ABR!F5+MAI!F5+JUN!F5+JUL!F5+AGO!F5+SET!F5+OUT!F5+NOV!F5+DEZ!F5</f>
        <v>189212.64</v>
      </c>
      <c r="G5" s="21">
        <f>JAN!G5+FEV!G5+MAR!G5+ABR!G5+MAI!G5+JUN!G5+JUL!G5+AGO!G5+SET!G5+OUT!G5+NOV!G5+DEZ!G5</f>
        <v>9999.48</v>
      </c>
      <c r="H5" s="21">
        <f>JAN!H5+FEV!H5+MAR!H5+ABR!H5+MAI!H5+JUN!H5+JUL!H5+AGO!H5+SET!H5+OUT!H5+NOV!H5+DEZ!H5</f>
        <v>7766.9120000000003</v>
      </c>
      <c r="I5" s="21">
        <f>JAN!I5+FEV!I5+MAR!I5+ABR!I5+MAI!I5+JUN!I5+JUL!I5+AGO!I5+SET!I5+OUT!I5+NOV!I5+DEZ!I5</f>
        <v>0</v>
      </c>
      <c r="J5" s="21">
        <f>JAN!J5+FEV!J5+MAR!J5+ABR!J5+MAI!J5+JUN!J5+JUL!J5+AGO!J5+SET!J5+OUT!J5+NOV!J5+DEZ!J5</f>
        <v>18660.68</v>
      </c>
      <c r="K5" s="21">
        <f>JAN!K5+FEV!K5+MAR!K5+ABR!K5+MAI!K5+JUN!K5+JUL!K5+AGO!K5+SET!K5+OUT!K5+NOV!K5+DEZ!K5</f>
        <v>3999.7920000000004</v>
      </c>
      <c r="L5" s="21">
        <f>JAN!L5+FEV!L5+MAR!L5+ABR!L5+MAI!L5+JUN!L5+JUL!L5+AGO!L5+SET!L5+OUT!L5+NOV!L5+DEZ!L5</f>
        <v>0</v>
      </c>
      <c r="M5" s="21">
        <f>JAN!M5+FEV!M5+MAR!M5+ABR!M5+MAI!M5+JUN!M5+JUL!M5+AGO!M5+SET!M5+OUT!M5+NOV!M5+DEZ!M5</f>
        <v>0</v>
      </c>
      <c r="N5" s="21">
        <f>JAN!N5+FEV!N5+MAR!N5+ABR!N5+MAI!N5+JUN!N5+JUL!N5+AGO!N5+SET!N5+OUT!N5+NOV!N5+DEZ!N5</f>
        <v>352.536</v>
      </c>
      <c r="O5" s="21">
        <f>JAN!O5+FEV!O5+MAR!O5+ABR!O5+MAI!O5+JUN!O5+JUL!O5+AGO!O5+SET!O5+OUT!O5+NOV!O5+DEZ!O5</f>
        <v>0</v>
      </c>
      <c r="P5" s="21">
        <f>JAN!P5+FEV!P5+MAR!P5+ABR!P5+MAI!P5+JUN!P5+JUL!P5+AGO!P5+SET!P5+OUT!P5+NOV!P5+DEZ!P5</f>
        <v>0</v>
      </c>
      <c r="Q5" s="21">
        <f>JAN!Q5+FEV!Q5+MAR!Q5+ABR!Q5+MAI!Q5+JUN!Q5+JUL!Q5+AGO!Q5+SET!Q5+OUT!Q5+NOV!Q5+DEZ!Q5</f>
        <v>0</v>
      </c>
      <c r="R5" s="22">
        <f t="shared" ref="R5:R31" si="0">SUM(B5:Q5)</f>
        <v>458541.96000000008</v>
      </c>
      <c r="S5" s="363">
        <f>B5</f>
        <v>145826.93599999999</v>
      </c>
      <c r="T5" s="363">
        <f>C5</f>
        <v>65148.808000000005</v>
      </c>
      <c r="U5" s="363">
        <f>D5</f>
        <v>11480.128000000001</v>
      </c>
      <c r="V5" s="363">
        <f>E5</f>
        <v>6094.0479999999998</v>
      </c>
      <c r="W5" s="363">
        <f>F5+G5</f>
        <v>199212.12000000002</v>
      </c>
      <c r="X5" s="363">
        <f>SUM(H5:Q5)</f>
        <v>30779.920000000002</v>
      </c>
    </row>
    <row r="6" spans="1:24">
      <c r="A6" s="13" t="s">
        <v>1</v>
      </c>
      <c r="B6" s="21">
        <f>JAN!B6+FEV!B6+MAR!B6+ABR!B6+MAI!B6+JUN!B6+JUL!B6+AGO!B6+SET!B6+OUT!B6+NOV!B6+DEZ!B6</f>
        <v>495176.54400000005</v>
      </c>
      <c r="C6" s="21">
        <f>JAN!C6+FEV!C6+MAR!C6+ABR!C6+MAI!C6+JUN!C6+JUL!C6+AGO!C6+SET!C6+OUT!C6+NOV!C6+DEZ!C6</f>
        <v>121918.88799999999</v>
      </c>
      <c r="D6" s="21">
        <f>JAN!D6+FEV!D6+MAR!D6+ABR!D6+MAI!D6+JUN!D6+JUL!D6+AGO!D6+SET!D6+OUT!D6+NOV!D6+DEZ!D6</f>
        <v>11320.248000000001</v>
      </c>
      <c r="E6" s="21">
        <f>JAN!E6+FEV!E6+MAR!E6+ABR!E6+MAI!E6+JUN!E6+JUL!E6+AGO!E6+SET!E6+OUT!E6+NOV!E6+DEZ!E6</f>
        <v>6046.6240000000007</v>
      </c>
      <c r="F6" s="21">
        <f>JAN!F6+FEV!F6+MAR!F6+ABR!F6+MAI!F6+JUN!F6+JUL!F6+AGO!F6+SET!F6+OUT!F6+NOV!F6+DEZ!F6</f>
        <v>583652.76</v>
      </c>
      <c r="G6" s="21">
        <f>JAN!G6+FEV!G6+MAR!G6+ABR!G6+MAI!G6+JUN!G6+JUL!G6+AGO!G6+SET!G6+OUT!G6+NOV!G6+DEZ!G6</f>
        <v>22242.528000000006</v>
      </c>
      <c r="H6" s="21">
        <f>JAN!H6+FEV!H6+MAR!H6+ABR!H6+MAI!H6+JUN!H6+JUL!H6+AGO!H6+SET!H6+OUT!H6+NOV!H6+DEZ!H6</f>
        <v>21590.552</v>
      </c>
      <c r="I6" s="21">
        <f>JAN!I6+FEV!I6+MAR!I6+ABR!I6+MAI!I6+JUN!I6+JUL!I6+AGO!I6+SET!I6+OUT!I6+NOV!I6+DEZ!I6</f>
        <v>457.12799999999999</v>
      </c>
      <c r="J6" s="21">
        <f>JAN!J6+FEV!J6+MAR!J6+ABR!J6+MAI!J6+JUN!J6+JUL!J6+AGO!J6+SET!J6+OUT!J6+NOV!J6+DEZ!J6</f>
        <v>31298.768000000004</v>
      </c>
      <c r="K6" s="21">
        <f>JAN!K6+FEV!K6+MAR!K6+ABR!K6+MAI!K6+JUN!K6+JUL!K6+AGO!K6+SET!K6+OUT!K6+NOV!K6+DEZ!K6</f>
        <v>1739.04</v>
      </c>
      <c r="L6" s="21">
        <f>JAN!L6+FEV!L6+MAR!L6+ABR!L6+MAI!L6+JUN!L6+JUL!L6+AGO!L6+SET!L6+OUT!L6+NOV!L6+DEZ!L6</f>
        <v>347.80799999999999</v>
      </c>
      <c r="M6" s="21">
        <f>JAN!M6+FEV!M6+MAR!M6+ABR!M6+MAI!M6+JUN!M6+JUL!M6+AGO!M6+SET!M6+OUT!M6+NOV!M6+DEZ!M6</f>
        <v>0</v>
      </c>
      <c r="N6" s="21">
        <f>JAN!N6+FEV!N6+MAR!N6+ABR!N6+MAI!N6+JUN!N6+JUL!N6+AGO!N6+SET!N6+OUT!N6+NOV!N6+DEZ!N6</f>
        <v>606.13600000000008</v>
      </c>
      <c r="O6" s="21">
        <f>JAN!O6+FEV!O6+MAR!O6+ABR!O6+MAI!O6+JUN!O6+JUL!O6+AGO!O6+SET!O6+OUT!O6+NOV!O6+DEZ!O6</f>
        <v>0</v>
      </c>
      <c r="P6" s="21">
        <f>JAN!P6+FEV!P6+MAR!P6+ABR!P6+MAI!P6+JUN!P6+JUL!P6+AGO!P6+SET!P6+OUT!P6+NOV!P6+DEZ!P6</f>
        <v>0</v>
      </c>
      <c r="Q6" s="21">
        <f>JAN!Q6+FEV!Q6+MAR!Q6+ABR!Q6+MAI!Q6+JUN!Q6+JUL!Q6+AGO!Q6+SET!Q6+OUT!Q6+NOV!Q6+DEZ!Q6</f>
        <v>0</v>
      </c>
      <c r="R6" s="22">
        <f t="shared" si="0"/>
        <v>1296397.0239999997</v>
      </c>
      <c r="S6" s="363">
        <f t="shared" ref="S6:V31" si="1">B6</f>
        <v>495176.54400000005</v>
      </c>
      <c r="T6" s="363">
        <f t="shared" si="1"/>
        <v>121918.88799999999</v>
      </c>
      <c r="U6" s="363">
        <f t="shared" si="1"/>
        <v>11320.248000000001</v>
      </c>
      <c r="V6" s="363">
        <f t="shared" si="1"/>
        <v>6046.6240000000007</v>
      </c>
      <c r="W6" s="363">
        <f t="shared" ref="W6:W31" si="2">F6+G6</f>
        <v>605895.28800000006</v>
      </c>
      <c r="X6" s="363">
        <f t="shared" ref="X6:X31" si="3">SUM(H6:Q6)</f>
        <v>56039.432000000001</v>
      </c>
    </row>
    <row r="7" spans="1:24">
      <c r="A7" s="13" t="s">
        <v>2</v>
      </c>
      <c r="B7" s="21">
        <f>JAN!B7+FEV!B7+MAR!B7+ABR!B7+MAI!B7+JUN!B7+JUL!B7+AGO!B7+SET!B7+OUT!B7+NOV!B7+DEZ!B7</f>
        <v>158351.24799999999</v>
      </c>
      <c r="C7" s="21">
        <f>JAN!C7+FEV!C7+MAR!C7+ABR!C7+MAI!C7+JUN!C7+JUL!C7+AGO!C7+SET!C7+OUT!C7+NOV!C7+DEZ!C7</f>
        <v>56174.168000000005</v>
      </c>
      <c r="D7" s="21">
        <f>JAN!D7+FEV!D7+MAR!D7+ABR!D7+MAI!D7+JUN!D7+JUL!D7+AGO!D7+SET!D7+OUT!D7+NOV!D7+DEZ!D7</f>
        <v>15336.248</v>
      </c>
      <c r="E7" s="21">
        <f>JAN!E7+FEV!E7+MAR!E7+ABR!E7+MAI!E7+JUN!E7+JUL!E7+AGO!E7+SET!E7+OUT!E7+NOV!E7+DEZ!E7</f>
        <v>13836.183999999999</v>
      </c>
      <c r="F7" s="21">
        <f>JAN!F7+FEV!F7+MAR!F7+ABR!F7+MAI!F7+JUN!F7+JUL!F7+AGO!F7+SET!F7+OUT!F7+NOV!F7+DEZ!F7</f>
        <v>257045.44</v>
      </c>
      <c r="G7" s="21">
        <f>JAN!G7+FEV!G7+MAR!G7+ABR!G7+MAI!G7+JUN!G7+JUL!G7+AGO!G7+SET!G7+OUT!G7+NOV!G7+DEZ!G7</f>
        <v>23642.352000000003</v>
      </c>
      <c r="H7" s="21">
        <f>JAN!H7+FEV!H7+MAR!H7+ABR!H7+MAI!H7+JUN!H7+JUL!H7+AGO!H7+SET!H7+OUT!H7+NOV!H7+DEZ!H7</f>
        <v>8308.7999999999993</v>
      </c>
      <c r="I7" s="21">
        <f>JAN!I7+FEV!I7+MAR!I7+ABR!I7+MAI!I7+JUN!I7+JUL!I7+AGO!I7+SET!I7+OUT!I7+NOV!I7+DEZ!I7</f>
        <v>3300.232</v>
      </c>
      <c r="J7" s="21">
        <f>JAN!J7+FEV!J7+MAR!J7+ABR!J7+MAI!J7+JUN!J7+JUL!J7+AGO!J7+SET!J7+OUT!J7+NOV!J7+DEZ!J7</f>
        <v>19216.544000000002</v>
      </c>
      <c r="K7" s="21">
        <f>JAN!K7+FEV!K7+MAR!K7+ABR!K7+MAI!K7+JUN!K7+JUL!K7+AGO!K7+SET!K7+OUT!K7+NOV!K7+DEZ!K7</f>
        <v>6260.5440000000008</v>
      </c>
      <c r="L7" s="21">
        <f>JAN!L7+FEV!L7+MAR!L7+ABR!L7+MAI!L7+JUN!L7+JUL!L7+AGO!L7+SET!L7+OUT!L7+NOV!L7+DEZ!L7</f>
        <v>0</v>
      </c>
      <c r="M7" s="21">
        <f>JAN!M7+FEV!M7+MAR!M7+ABR!M7+MAI!M7+JUN!M7+JUL!M7+AGO!M7+SET!M7+OUT!M7+NOV!M7+DEZ!M7</f>
        <v>0</v>
      </c>
      <c r="N7" s="21">
        <f>JAN!N7+FEV!N7+MAR!N7+ABR!N7+MAI!N7+JUN!N7+JUL!N7+AGO!N7+SET!N7+OUT!N7+NOV!N7+DEZ!N7</f>
        <v>329.68000000000006</v>
      </c>
      <c r="O7" s="21">
        <f>JAN!O7+FEV!O7+MAR!O7+ABR!O7+MAI!O7+JUN!O7+JUL!O7+AGO!O7+SET!O7+OUT!O7+NOV!O7+DEZ!O7</f>
        <v>0</v>
      </c>
      <c r="P7" s="21">
        <f>JAN!P7+FEV!P7+MAR!P7+ABR!P7+MAI!P7+JUN!P7+JUL!P7+AGO!P7+SET!P7+OUT!P7+NOV!P7+DEZ!P7</f>
        <v>0</v>
      </c>
      <c r="Q7" s="21">
        <f>JAN!Q7+FEV!Q7+MAR!Q7+ABR!Q7+MAI!Q7+JUN!Q7+JUL!Q7+AGO!Q7+SET!Q7+OUT!Q7+NOV!Q7+DEZ!Q7</f>
        <v>0</v>
      </c>
      <c r="R7" s="22">
        <f t="shared" si="0"/>
        <v>561801.44000000006</v>
      </c>
      <c r="S7" s="363">
        <f t="shared" si="1"/>
        <v>158351.24799999999</v>
      </c>
      <c r="T7" s="363">
        <f t="shared" si="1"/>
        <v>56174.168000000005</v>
      </c>
      <c r="U7" s="363">
        <f t="shared" si="1"/>
        <v>15336.248</v>
      </c>
      <c r="V7" s="363">
        <f t="shared" si="1"/>
        <v>13836.183999999999</v>
      </c>
      <c r="W7" s="363">
        <f t="shared" si="2"/>
        <v>280687.79200000002</v>
      </c>
      <c r="X7" s="363">
        <f t="shared" si="3"/>
        <v>37415.800000000003</v>
      </c>
    </row>
    <row r="8" spans="1:24">
      <c r="A8" s="13" t="s">
        <v>3</v>
      </c>
      <c r="B8" s="21">
        <f>JAN!B8+FEV!B8+MAR!B8+ABR!B8+MAI!B8+JUN!B8+JUL!B8+AGO!B8+SET!B8+OUT!B8+NOV!B8+DEZ!B8</f>
        <v>422608.95200000005</v>
      </c>
      <c r="C8" s="21">
        <f>JAN!C8+FEV!C8+MAR!C8+ABR!C8+MAI!C8+JUN!C8+JUL!C8+AGO!C8+SET!C8+OUT!C8+NOV!C8+DEZ!C8</f>
        <v>98081.751999999993</v>
      </c>
      <c r="D8" s="21">
        <f>JAN!D8+FEV!D8+MAR!D8+ABR!D8+MAI!D8+JUN!D8+JUL!D8+AGO!D8+SET!D8+OUT!D8+NOV!D8+DEZ!D8</f>
        <v>15599.032000000003</v>
      </c>
      <c r="E8" s="21">
        <f>JAN!E8+FEV!E8+MAR!E8+ABR!E8+MAI!E8+JUN!E8+JUL!E8+AGO!E8+SET!E8+OUT!E8+NOV!E8+DEZ!E8</f>
        <v>13587.808000000003</v>
      </c>
      <c r="F8" s="21">
        <f>JAN!F8+FEV!F8+MAR!F8+ABR!F8+MAI!F8+JUN!F8+JUL!F8+AGO!F8+SET!F8+OUT!F8+NOV!F8+DEZ!F8</f>
        <v>529496.7840000001</v>
      </c>
      <c r="G8" s="21">
        <f>JAN!G8+FEV!G8+MAR!G8+ABR!G8+MAI!G8+JUN!G8+JUL!G8+AGO!G8+SET!G8+OUT!G8+NOV!G8+DEZ!G8</f>
        <v>14781.84</v>
      </c>
      <c r="H8" s="21">
        <f>JAN!H8+FEV!H8+MAR!H8+ABR!H8+MAI!H8+JUN!H8+JUL!H8+AGO!H8+SET!H8+OUT!H8+NOV!H8+DEZ!H8</f>
        <v>15661.000000000004</v>
      </c>
      <c r="I8" s="21">
        <f>JAN!I8+FEV!I8+MAR!I8+ABR!I8+MAI!I8+JUN!I8+JUL!I8+AGO!I8+SET!I8+OUT!I8+NOV!I8+DEZ!I8</f>
        <v>0</v>
      </c>
      <c r="J8" s="21">
        <f>JAN!J8+FEV!J8+MAR!J8+ABR!J8+MAI!J8+JUN!J8+JUL!J8+AGO!J8+SET!J8+OUT!J8+NOV!J8+DEZ!J8</f>
        <v>29503.416000000008</v>
      </c>
      <c r="K8" s="21">
        <f>JAN!K8+FEV!K8+MAR!K8+ABR!K8+MAI!K8+JUN!K8+JUL!K8+AGO!K8+SET!K8+OUT!K8+NOV!K8+DEZ!K8</f>
        <v>1652.088</v>
      </c>
      <c r="L8" s="21">
        <f>JAN!L8+FEV!L8+MAR!L8+ABR!L8+MAI!L8+JUN!L8+JUL!L8+AGO!L8+SET!L8+OUT!L8+NOV!L8+DEZ!L8</f>
        <v>173.904</v>
      </c>
      <c r="M8" s="21">
        <f>JAN!M8+FEV!M8+MAR!M8+ABR!M8+MAI!M8+JUN!M8+JUL!M8+AGO!M8+SET!M8+OUT!M8+NOV!M8+DEZ!M8</f>
        <v>7210.8080000000018</v>
      </c>
      <c r="N8" s="21">
        <f>JAN!N8+FEV!N8+MAR!N8+ABR!N8+MAI!N8+JUN!N8+JUL!N8+AGO!N8+SET!N8+OUT!N8+NOV!N8+DEZ!N8</f>
        <v>679.71200000000022</v>
      </c>
      <c r="O8" s="21">
        <f>JAN!O8+FEV!O8+MAR!O8+ABR!O8+MAI!O8+JUN!O8+JUL!O8+AGO!O8+SET!O8+OUT!O8+NOV!O8+DEZ!O8</f>
        <v>0</v>
      </c>
      <c r="P8" s="21">
        <f>JAN!P8+FEV!P8+MAR!P8+ABR!P8+MAI!P8+JUN!P8+JUL!P8+AGO!P8+SET!P8+OUT!P8+NOV!P8+DEZ!P8</f>
        <v>33.85</v>
      </c>
      <c r="Q8" s="21">
        <f>JAN!Q8+FEV!Q8+MAR!Q8+ABR!Q8+MAI!Q8+JUN!Q8+JUL!Q8+AGO!Q8+SET!Q8+OUT!Q8+NOV!Q8+DEZ!Q8</f>
        <v>338.48</v>
      </c>
      <c r="R8" s="22">
        <f t="shared" si="0"/>
        <v>1149409.4260000004</v>
      </c>
      <c r="S8" s="363">
        <f t="shared" si="1"/>
        <v>422608.95200000005</v>
      </c>
      <c r="T8" s="363">
        <f t="shared" si="1"/>
        <v>98081.751999999993</v>
      </c>
      <c r="U8" s="363">
        <f t="shared" si="1"/>
        <v>15599.032000000003</v>
      </c>
      <c r="V8" s="363">
        <f t="shared" si="1"/>
        <v>13587.808000000003</v>
      </c>
      <c r="W8" s="363">
        <f t="shared" si="2"/>
        <v>544278.62400000007</v>
      </c>
      <c r="X8" s="363">
        <f t="shared" si="3"/>
        <v>55253.258000000023</v>
      </c>
    </row>
    <row r="9" spans="1:24">
      <c r="A9" s="13" t="s">
        <v>4</v>
      </c>
      <c r="B9" s="21">
        <f>JAN!B9+FEV!B9+MAR!B9+ABR!B9+MAI!B9+JUN!B9+JUL!B9+AGO!B9+SET!B9+OUT!B9+NOV!B9+DEZ!B9</f>
        <v>1530239.888</v>
      </c>
      <c r="C9" s="21">
        <f>JAN!C9+FEV!C9+MAR!C9+ABR!C9+MAI!C9+JUN!C9+JUL!C9+AGO!C9+SET!C9+OUT!C9+NOV!C9+DEZ!C9</f>
        <v>289451.016</v>
      </c>
      <c r="D9" s="21">
        <f>JAN!D9+FEV!D9+MAR!D9+ABR!D9+MAI!D9+JUN!D9+JUL!D9+AGO!D9+SET!D9+OUT!D9+NOV!D9+DEZ!D9</f>
        <v>66782.296000000002</v>
      </c>
      <c r="E9" s="21">
        <f>JAN!E9+FEV!E9+MAR!E9+ABR!E9+MAI!E9+JUN!E9+JUL!E9+AGO!E9+SET!E9+OUT!E9+NOV!E9+DEZ!E9</f>
        <v>53345.688000000002</v>
      </c>
      <c r="F9" s="21">
        <f>JAN!F9+FEV!F9+MAR!F9+ABR!F9+MAI!F9+JUN!F9+JUL!F9+AGO!F9+SET!F9+OUT!F9+NOV!F9+DEZ!F9</f>
        <v>1729229.2080000001</v>
      </c>
      <c r="G9" s="21">
        <f>JAN!G9+FEV!G9+MAR!G9+ABR!G9+MAI!G9+JUN!G9+JUL!G9+AGO!G9+SET!G9+OUT!G9+NOV!G9+DEZ!G9</f>
        <v>47214.936000000009</v>
      </c>
      <c r="H9" s="21">
        <f>JAN!H9+FEV!H9+MAR!H9+ABR!H9+MAI!H9+JUN!H9+JUL!H9+AGO!H9+SET!H9+OUT!H9+NOV!H9+DEZ!H9</f>
        <v>56675.040000000001</v>
      </c>
      <c r="I9" s="21">
        <f>JAN!I9+FEV!I9+MAR!I9+ABR!I9+MAI!I9+JUN!I9+JUL!I9+AGO!I9+SET!I9+OUT!I9+NOV!I9+DEZ!I9</f>
        <v>0</v>
      </c>
      <c r="J9" s="21">
        <f>JAN!J9+FEV!J9+MAR!J9+ABR!J9+MAI!J9+JUN!J9+JUL!J9+AGO!J9+SET!J9+OUT!J9+NOV!J9+DEZ!J9</f>
        <v>96280.903999999995</v>
      </c>
      <c r="K9" s="21">
        <f>JAN!K9+FEV!K9+MAR!K9+ABR!K9+MAI!K9+JUN!K9+JUL!K9+AGO!K9+SET!K9+OUT!K9+NOV!K9+DEZ!K9</f>
        <v>7477.8720000000003</v>
      </c>
      <c r="L9" s="21">
        <f>JAN!L9+FEV!L9+MAR!L9+ABR!L9+MAI!L9+JUN!L9+JUL!L9+AGO!L9+SET!L9+OUT!L9+NOV!L9+DEZ!L9</f>
        <v>1043.424</v>
      </c>
      <c r="M9" s="21">
        <f>JAN!M9+FEV!M9+MAR!M9+ABR!M9+MAI!M9+JUN!M9+JUL!M9+AGO!M9+SET!M9+OUT!M9+NOV!M9+DEZ!M9</f>
        <v>2536.16</v>
      </c>
      <c r="N9" s="21">
        <f>JAN!N9+FEV!N9+MAR!N9+ABR!N9+MAI!N9+JUN!N9+JUL!N9+AGO!N9+SET!N9+OUT!N9+NOV!N9+DEZ!N9</f>
        <v>3915.7759999999998</v>
      </c>
      <c r="O9" s="21">
        <f>JAN!O9+FEV!O9+MAR!O9+ABR!O9+MAI!O9+JUN!O9+JUL!O9+AGO!O9+SET!O9+OUT!O9+NOV!O9+DEZ!O9</f>
        <v>0</v>
      </c>
      <c r="P9" s="21">
        <f>JAN!P9+FEV!P9+MAR!P9+ABR!P9+MAI!P9+JUN!P9+JUL!P9+AGO!P9+SET!P9+OUT!P9+NOV!P9+DEZ!P9</f>
        <v>103.408</v>
      </c>
      <c r="Q9" s="21">
        <f>JAN!Q9+FEV!Q9+MAR!Q9+ABR!Q9+MAI!Q9+JUN!Q9+JUL!Q9+AGO!Q9+SET!Q9+OUT!Q9+NOV!Q9+DEZ!Q9</f>
        <v>1034.1280000000002</v>
      </c>
      <c r="R9" s="22">
        <f t="shared" si="0"/>
        <v>3885329.7440000009</v>
      </c>
      <c r="S9" s="363">
        <f t="shared" si="1"/>
        <v>1530239.888</v>
      </c>
      <c r="T9" s="363">
        <f t="shared" si="1"/>
        <v>289451.016</v>
      </c>
      <c r="U9" s="363">
        <f t="shared" si="1"/>
        <v>66782.296000000002</v>
      </c>
      <c r="V9" s="363">
        <f t="shared" si="1"/>
        <v>53345.688000000002</v>
      </c>
      <c r="W9" s="363">
        <f t="shared" si="2"/>
        <v>1776444.1440000001</v>
      </c>
      <c r="X9" s="363">
        <f t="shared" si="3"/>
        <v>169066.712</v>
      </c>
    </row>
    <row r="10" spans="1:24">
      <c r="A10" s="13" t="s">
        <v>5</v>
      </c>
      <c r="B10" s="21">
        <f>JAN!B10+FEV!B10+MAR!B10+ABR!B10+MAI!B10+JUN!B10+JUL!B10+AGO!B10+SET!B10+OUT!B10+NOV!B10+DEZ!B10</f>
        <v>1083541.3440000003</v>
      </c>
      <c r="C10" s="21">
        <f>JAN!C10+FEV!C10+MAR!C10+ABR!C10+MAI!C10+JUN!C10+JUL!C10+AGO!C10+SET!C10+OUT!C10+NOV!C10+DEZ!C10</f>
        <v>298626.2</v>
      </c>
      <c r="D10" s="21">
        <f>JAN!D10+FEV!D10+MAR!D10+ABR!D10+MAI!D10+JUN!D10+JUL!D10+AGO!D10+SET!D10+OUT!D10+NOV!D10+DEZ!D10</f>
        <v>39283.168000000005</v>
      </c>
      <c r="E10" s="21">
        <f>JAN!E10+FEV!E10+MAR!E10+ABR!E10+MAI!E10+JUN!E10+JUL!E10+AGO!E10+SET!E10+OUT!E10+NOV!E10+DEZ!E10</f>
        <v>56357.911999999997</v>
      </c>
      <c r="F10" s="21">
        <f>JAN!F10+FEV!F10+MAR!F10+ABR!F10+MAI!F10+JUN!F10+JUL!F10+AGO!F10+SET!F10+OUT!F10+NOV!F10+DEZ!F10</f>
        <v>1085260.6320000002</v>
      </c>
      <c r="G10" s="21">
        <f>JAN!G10+FEV!G10+MAR!G10+ABR!G10+MAI!G10+JUN!G10+JUL!G10+AGO!G10+SET!G10+OUT!G10+NOV!G10+DEZ!G10</f>
        <v>32328.960000000006</v>
      </c>
      <c r="H10" s="21">
        <f>JAN!H10+FEV!H10+MAR!H10+ABR!H10+MAI!H10+JUN!H10+JUL!H10+AGO!H10+SET!H10+OUT!H10+NOV!H10+DEZ!H10</f>
        <v>55130.856000000007</v>
      </c>
      <c r="I10" s="21">
        <f>JAN!I10+FEV!I10+MAR!I10+ABR!I10+MAI!I10+JUN!I10+JUL!I10+AGO!I10+SET!I10+OUT!I10+NOV!I10+DEZ!I10</f>
        <v>5589.1040000000003</v>
      </c>
      <c r="J10" s="21">
        <f>JAN!J10+FEV!J10+MAR!J10+ABR!J10+MAI!J10+JUN!J10+JUL!J10+AGO!J10+SET!J10+OUT!J10+NOV!J10+DEZ!J10</f>
        <v>99650.063999999998</v>
      </c>
      <c r="K10" s="21">
        <f>JAN!K10+FEV!K10+MAR!K10+ABR!K10+MAI!K10+JUN!K10+JUL!K10+AGO!K10+SET!K10+OUT!K10+NOV!K10+DEZ!K10</f>
        <v>4782.3600000000006</v>
      </c>
      <c r="L10" s="21">
        <f>JAN!L10+FEV!L10+MAR!L10+ABR!L10+MAI!L10+JUN!L10+JUL!L10+AGO!L10+SET!L10+OUT!L10+NOV!L10+DEZ!L10</f>
        <v>173.904</v>
      </c>
      <c r="M10" s="21">
        <f>JAN!M10+FEV!M10+MAR!M10+ABR!M10+MAI!M10+JUN!M10+JUL!M10+AGO!M10+SET!M10+OUT!M10+NOV!M10+DEZ!M10</f>
        <v>2130.384</v>
      </c>
      <c r="N10" s="21">
        <f>JAN!N10+FEV!N10+MAR!N10+ABR!N10+MAI!N10+JUN!N10+JUL!N10+AGO!N10+SET!N10+OUT!N10+NOV!N10+DEZ!N10</f>
        <v>2224.1680000000001</v>
      </c>
      <c r="O10" s="21">
        <f>JAN!O10+FEV!O10+MAR!O10+ABR!O10+MAI!O10+JUN!O10+JUL!O10+AGO!O10+SET!O10+OUT!O10+NOV!O10+DEZ!O10</f>
        <v>0</v>
      </c>
      <c r="P10" s="21">
        <f>JAN!P10+FEV!P10+MAR!P10+ABR!P10+MAI!P10+JUN!P10+JUL!P10+AGO!P10+SET!P10+OUT!P10+NOV!P10+DEZ!P10</f>
        <v>548.76800000000003</v>
      </c>
      <c r="Q10" s="21">
        <f>JAN!Q10+FEV!Q10+MAR!Q10+ABR!Q10+MAI!Q10+JUN!Q10+JUL!Q10+AGO!Q10+SET!Q10+OUT!Q10+NOV!Q10+DEZ!Q10</f>
        <v>7246.6320000000005</v>
      </c>
      <c r="R10" s="22">
        <f t="shared" si="0"/>
        <v>2772874.4560000007</v>
      </c>
      <c r="S10" s="363">
        <f t="shared" si="1"/>
        <v>1083541.3440000003</v>
      </c>
      <c r="T10" s="363">
        <f t="shared" si="1"/>
        <v>298626.2</v>
      </c>
      <c r="U10" s="363">
        <f t="shared" si="1"/>
        <v>39283.168000000005</v>
      </c>
      <c r="V10" s="363">
        <f t="shared" si="1"/>
        <v>56357.911999999997</v>
      </c>
      <c r="W10" s="363">
        <f t="shared" si="2"/>
        <v>1117589.5920000002</v>
      </c>
      <c r="X10" s="363">
        <f t="shared" si="3"/>
        <v>177476.24000000005</v>
      </c>
    </row>
    <row r="11" spans="1:24">
      <c r="A11" s="13" t="s">
        <v>6</v>
      </c>
      <c r="B11" s="21">
        <f>JAN!B11+FEV!B11+MAR!B11+ABR!B11+MAI!B11+JUN!B11+JUL!B11+AGO!B11+SET!B11+OUT!B11+NOV!B11+DEZ!B11</f>
        <v>1684099.824</v>
      </c>
      <c r="C11" s="21">
        <f>JAN!C11+FEV!C11+MAR!C11+ABR!C11+MAI!C11+JUN!C11+JUL!C11+AGO!C11+SET!C11+OUT!C11+NOV!C11+DEZ!C11</f>
        <v>456786.24000000011</v>
      </c>
      <c r="D11" s="21">
        <f>JAN!D11+FEV!D11+MAR!D11+ABR!D11+MAI!D11+JUN!D11+JUL!D11+AGO!D11+SET!D11+OUT!D11+NOV!D11+DEZ!D11</f>
        <v>68091.248000000007</v>
      </c>
      <c r="E11" s="21">
        <f>JAN!E11+FEV!E11+MAR!E11+ABR!E11+MAI!E11+JUN!E11+JUL!E11+AGO!E11+SET!E11+OUT!E11+NOV!E11+DEZ!E11</f>
        <v>49406.168000000005</v>
      </c>
      <c r="F11" s="21">
        <f>JAN!F11+FEV!F11+MAR!F11+ABR!F11+MAI!F11+JUN!F11+JUL!F11+AGO!F11+SET!F11+OUT!F11+NOV!F11+DEZ!F11</f>
        <v>1158755.352</v>
      </c>
      <c r="G11" s="21">
        <f>JAN!G11+FEV!G11+MAR!G11+ABR!G11+MAI!G11+JUN!G11+JUL!G11+AGO!G11+SET!G11+OUT!G11+NOV!G11+DEZ!G11</f>
        <v>49015.152000000002</v>
      </c>
      <c r="H11" s="21">
        <f>JAN!H11+FEV!H11+MAR!H11+ABR!H11+MAI!H11+JUN!H11+JUL!H11+AGO!H11+SET!H11+OUT!H11+NOV!H11+DEZ!H11</f>
        <v>75383.664000000004</v>
      </c>
      <c r="I11" s="21">
        <f>JAN!I11+FEV!I11+MAR!I11+ABR!I11+MAI!I11+JUN!I11+JUL!I11+AGO!I11+SET!I11+OUT!I11+NOV!I11+DEZ!I11</f>
        <v>705.24000000000012</v>
      </c>
      <c r="J11" s="21">
        <f>JAN!J11+FEV!J11+MAR!J11+ABR!J11+MAI!J11+JUN!J11+JUL!J11+AGO!J11+SET!J11+OUT!J11+NOV!J11+DEZ!J11</f>
        <v>143325.87200000003</v>
      </c>
      <c r="K11" s="21">
        <f>JAN!K11+FEV!K11+MAR!K11+ABR!K11+MAI!K11+JUN!K11+JUL!K11+AGO!K11+SET!K11+OUT!K11+NOV!K11+DEZ!K11</f>
        <v>6695.3040000000001</v>
      </c>
      <c r="L11" s="21">
        <f>JAN!L11+FEV!L11+MAR!L11+ABR!L11+MAI!L11+JUN!L11+JUL!L11+AGO!L11+SET!L11+OUT!L11+NOV!L11+DEZ!L11</f>
        <v>1043.424</v>
      </c>
      <c r="M11" s="21">
        <f>JAN!M11+FEV!M11+MAR!M11+ABR!M11+MAI!M11+JUN!M11+JUL!M11+AGO!M11+SET!M11+OUT!M11+NOV!M11+DEZ!M11</f>
        <v>9126.7839999999997</v>
      </c>
      <c r="N11" s="21">
        <f>JAN!N11+FEV!N11+MAR!N11+ABR!N11+MAI!N11+JUN!N11+JUL!N11+AGO!N11+SET!N11+OUT!N11+NOV!N11+DEZ!N11</f>
        <v>5325.92</v>
      </c>
      <c r="O11" s="21">
        <f>JAN!O11+FEV!O11+MAR!O11+ABR!O11+MAI!O11+JUN!O11+JUL!O11+AGO!O11+SET!O11+OUT!O11+NOV!O11+DEZ!O11</f>
        <v>0</v>
      </c>
      <c r="P11" s="21">
        <f>JAN!P11+FEV!P11+MAR!P11+ABR!P11+MAI!P11+JUN!P11+JUL!P11+AGO!P11+SET!P11+OUT!P11+NOV!P11+DEZ!P11</f>
        <v>0</v>
      </c>
      <c r="Q11" s="21">
        <f>JAN!Q11+FEV!Q11+MAR!Q11+ABR!Q11+MAI!Q11+JUN!Q11+JUL!Q11+AGO!Q11+SET!Q11+OUT!Q11+NOV!Q11+DEZ!Q11</f>
        <v>0</v>
      </c>
      <c r="R11" s="22">
        <f t="shared" si="0"/>
        <v>3707760.1920000003</v>
      </c>
      <c r="S11" s="363">
        <f t="shared" si="1"/>
        <v>1684099.824</v>
      </c>
      <c r="T11" s="363">
        <f t="shared" si="1"/>
        <v>456786.24000000011</v>
      </c>
      <c r="U11" s="363">
        <f t="shared" si="1"/>
        <v>68091.248000000007</v>
      </c>
      <c r="V11" s="363">
        <f t="shared" si="1"/>
        <v>49406.168000000005</v>
      </c>
      <c r="W11" s="363">
        <f t="shared" si="2"/>
        <v>1207770.504</v>
      </c>
      <c r="X11" s="363">
        <f t="shared" si="3"/>
        <v>241606.20800000007</v>
      </c>
    </row>
    <row r="12" spans="1:24">
      <c r="A12" s="13" t="s">
        <v>7</v>
      </c>
      <c r="B12" s="21">
        <f>JAN!B12+FEV!B12+MAR!B12+ABR!B12+MAI!B12+JUN!B12+JUL!B12+AGO!B12+SET!B12+OUT!B12+NOV!B12+DEZ!B12</f>
        <v>1328322.0480000002</v>
      </c>
      <c r="C12" s="21">
        <f>JAN!C12+FEV!C12+MAR!C12+ABR!C12+MAI!C12+JUN!C12+JUL!C12+AGO!C12+SET!C12+OUT!C12+NOV!C12+DEZ!C12</f>
        <v>186104.20799999998</v>
      </c>
      <c r="D12" s="21">
        <f>JAN!D12+FEV!D12+MAR!D12+ABR!D12+MAI!D12+JUN!D12+JUL!D12+AGO!D12+SET!D12+OUT!D12+NOV!D12+DEZ!D12</f>
        <v>55261.768000000011</v>
      </c>
      <c r="E12" s="21">
        <f>JAN!E12+FEV!E12+MAR!E12+ABR!E12+MAI!E12+JUN!E12+JUL!E12+AGO!E12+SET!E12+OUT!E12+NOV!E12+DEZ!E12</f>
        <v>26724.248</v>
      </c>
      <c r="F12" s="21">
        <f>JAN!F12+FEV!F12+MAR!F12+ABR!F12+MAI!F12+JUN!F12+JUL!F12+AGO!F12+SET!F12+OUT!F12+NOV!F12+DEZ!F12</f>
        <v>1141842.672</v>
      </c>
      <c r="G12" s="21">
        <f>JAN!G12+FEV!G12+MAR!G12+ABR!G12+MAI!G12+JUN!G12+JUL!G12+AGO!G12+SET!G12+OUT!G12+NOV!G12+DEZ!G12</f>
        <v>41624.232000000004</v>
      </c>
      <c r="H12" s="21">
        <f>JAN!H12+FEV!H12+MAR!H12+ABR!H12+MAI!H12+JUN!H12+JUL!H12+AGO!H12+SET!H12+OUT!H12+NOV!H12+DEZ!H12</f>
        <v>32306.192000000003</v>
      </c>
      <c r="I12" s="21">
        <f>JAN!I12+FEV!I12+MAR!I12+ABR!I12+MAI!I12+JUN!I12+JUL!I12+AGO!I12+SET!I12+OUT!I12+NOV!I12+DEZ!I12</f>
        <v>4129.4240000000009</v>
      </c>
      <c r="J12" s="21">
        <f>JAN!J12+FEV!J12+MAR!J12+ABR!J12+MAI!J12+JUN!J12+JUL!J12+AGO!J12+SET!J12+OUT!J12+NOV!J12+DEZ!J12</f>
        <v>66191.623999999996</v>
      </c>
      <c r="K12" s="21">
        <f>JAN!K12+FEV!K12+MAR!K12+ABR!K12+MAI!K12+JUN!K12+JUL!K12+AGO!K12+SET!K12+OUT!K12+NOV!K12+DEZ!K12</f>
        <v>11216.808000000001</v>
      </c>
      <c r="L12" s="21">
        <f>JAN!L12+FEV!L12+MAR!L12+ABR!L12+MAI!L12+JUN!L12+JUL!L12+AGO!L12+SET!L12+OUT!L12+NOV!L12+DEZ!L12</f>
        <v>521.71199999999999</v>
      </c>
      <c r="M12" s="21">
        <f>JAN!M12+FEV!M12+MAR!M12+ABR!M12+MAI!M12+JUN!M12+JUL!M12+AGO!M12+SET!M12+OUT!M12+NOV!M12+DEZ!M12</f>
        <v>0</v>
      </c>
      <c r="N12" s="21">
        <f>JAN!N12+FEV!N12+MAR!N12+ABR!N12+MAI!N12+JUN!N12+JUL!N12+AGO!N12+SET!N12+OUT!N12+NOV!N12+DEZ!N12</f>
        <v>2072.0080000000003</v>
      </c>
      <c r="O12" s="21">
        <f>JAN!O12+FEV!O12+MAR!O12+ABR!O12+MAI!O12+JUN!O12+JUL!O12+AGO!O12+SET!O12+OUT!O12+NOV!O12+DEZ!O12</f>
        <v>0</v>
      </c>
      <c r="P12" s="21">
        <f>JAN!P12+FEV!P12+MAR!P12+ABR!P12+MAI!P12+JUN!P12+JUL!P12+AGO!P12+SET!P12+OUT!P12+NOV!P12+DEZ!P12</f>
        <v>0</v>
      </c>
      <c r="Q12" s="21">
        <f>JAN!Q12+FEV!Q12+MAR!Q12+ABR!Q12+MAI!Q12+JUN!Q12+JUL!Q12+AGO!Q12+SET!Q12+OUT!Q12+NOV!Q12+DEZ!Q12</f>
        <v>0</v>
      </c>
      <c r="R12" s="22">
        <f t="shared" si="0"/>
        <v>2896316.9439999997</v>
      </c>
      <c r="S12" s="363">
        <f t="shared" si="1"/>
        <v>1328322.0480000002</v>
      </c>
      <c r="T12" s="363">
        <f t="shared" si="1"/>
        <v>186104.20799999998</v>
      </c>
      <c r="U12" s="363">
        <f t="shared" si="1"/>
        <v>55261.768000000011</v>
      </c>
      <c r="V12" s="363">
        <f t="shared" si="1"/>
        <v>26724.248</v>
      </c>
      <c r="W12" s="363">
        <f t="shared" si="2"/>
        <v>1183466.9040000001</v>
      </c>
      <c r="X12" s="363">
        <f t="shared" si="3"/>
        <v>116437.768</v>
      </c>
    </row>
    <row r="13" spans="1:24">
      <c r="A13" s="13" t="s">
        <v>8</v>
      </c>
      <c r="B13" s="21">
        <f>JAN!B13+FEV!B13+MAR!B13+ABR!B13+MAI!B13+JUN!B13+JUL!B13+AGO!B13+SET!B13+OUT!B13+NOV!B13+DEZ!B13</f>
        <v>1257495.4879999999</v>
      </c>
      <c r="C13" s="21">
        <f>JAN!C13+FEV!C13+MAR!C13+ABR!C13+MAI!C13+JUN!C13+JUL!C13+AGO!C13+SET!C13+OUT!C13+NOV!C13+DEZ!C13</f>
        <v>367743.88</v>
      </c>
      <c r="D13" s="21">
        <f>JAN!D13+FEV!D13+MAR!D13+ABR!D13+MAI!D13+JUN!D13+JUL!D13+AGO!D13+SET!D13+OUT!D13+NOV!D13+DEZ!D13</f>
        <v>55147.136000000006</v>
      </c>
      <c r="E13" s="21">
        <f>JAN!E13+FEV!E13+MAR!E13+ABR!E13+MAI!E13+JUN!E13+JUL!E13+AGO!E13+SET!E13+OUT!E13+NOV!E13+DEZ!E13</f>
        <v>48030.840000000004</v>
      </c>
      <c r="F13" s="21">
        <f>JAN!F13+FEV!F13+MAR!F13+ABR!F13+MAI!F13+JUN!F13+JUL!F13+AGO!F13+SET!F13+OUT!F13+NOV!F13+DEZ!F13</f>
        <v>2174848.2480000001</v>
      </c>
      <c r="G13" s="21">
        <f>JAN!G13+FEV!G13+MAR!G13+ABR!G13+MAI!G13+JUN!G13+JUL!G13+AGO!G13+SET!G13+OUT!G13+NOV!G13+DEZ!G13</f>
        <v>40250.183999999994</v>
      </c>
      <c r="H13" s="21">
        <f>JAN!H13+FEV!H13+MAR!H13+ABR!H13+MAI!H13+JUN!H13+JUL!H13+AGO!H13+SET!H13+OUT!H13+NOV!H13+DEZ!H13</f>
        <v>67664.936000000002</v>
      </c>
      <c r="I13" s="21">
        <f>JAN!I13+FEV!I13+MAR!I13+ABR!I13+MAI!I13+JUN!I13+JUL!I13+AGO!I13+SET!I13+OUT!I13+NOV!I13+DEZ!I13</f>
        <v>6477.6080000000011</v>
      </c>
      <c r="J13" s="21">
        <f>JAN!J13+FEV!J13+MAR!J13+ABR!J13+MAI!J13+JUN!J13+JUL!J13+AGO!J13+SET!J13+OUT!J13+NOV!J13+DEZ!J13</f>
        <v>101515.84000000003</v>
      </c>
      <c r="K13" s="21">
        <f>JAN!K13+FEV!K13+MAR!K13+ABR!K13+MAI!K13+JUN!K13+JUL!K13+AGO!K13+SET!K13+OUT!K13+NOV!K13+DEZ!K13</f>
        <v>3912.84</v>
      </c>
      <c r="L13" s="21">
        <f>JAN!L13+FEV!L13+MAR!L13+ABR!L13+MAI!L13+JUN!L13+JUL!L13+AGO!L13+SET!L13+OUT!L13+NOV!L13+DEZ!L13</f>
        <v>173.904</v>
      </c>
      <c r="M13" s="21">
        <f>JAN!M13+FEV!M13+MAR!M13+ABR!M13+MAI!M13+JUN!M13+JUL!M13+AGO!M13+SET!M13+OUT!M13+NOV!M13+DEZ!M13</f>
        <v>3862.8320000000003</v>
      </c>
      <c r="N13" s="21">
        <f>JAN!N13+FEV!N13+MAR!N13+ABR!N13+MAI!N13+JUN!N13+JUL!N13+AGO!N13+SET!N13+OUT!N13+NOV!N13+DEZ!N13</f>
        <v>2835.3119999999999</v>
      </c>
      <c r="O13" s="21">
        <f>JAN!O13+FEV!O13+MAR!O13+ABR!O13+MAI!O13+JUN!O13+JUL!O13+AGO!O13+SET!O13+OUT!O13+NOV!O13+DEZ!O13</f>
        <v>0</v>
      </c>
      <c r="P13" s="21">
        <f>JAN!P13+FEV!P13+MAR!P13+ABR!P13+MAI!P13+JUN!P13+JUL!P13+AGO!P13+SET!P13+OUT!P13+NOV!P13+DEZ!P13</f>
        <v>0</v>
      </c>
      <c r="Q13" s="21">
        <f>JAN!Q13+FEV!Q13+MAR!Q13+ABR!Q13+MAI!Q13+JUN!Q13+JUL!Q13+AGO!Q13+SET!Q13+OUT!Q13+NOV!Q13+DEZ!Q13</f>
        <v>0</v>
      </c>
      <c r="R13" s="22">
        <f t="shared" si="0"/>
        <v>4129959.048</v>
      </c>
      <c r="S13" s="363">
        <f t="shared" si="1"/>
        <v>1257495.4879999999</v>
      </c>
      <c r="T13" s="363">
        <f t="shared" si="1"/>
        <v>367743.88</v>
      </c>
      <c r="U13" s="363">
        <f t="shared" si="1"/>
        <v>55147.136000000006</v>
      </c>
      <c r="V13" s="363">
        <f t="shared" si="1"/>
        <v>48030.840000000004</v>
      </c>
      <c r="W13" s="363">
        <f t="shared" si="2"/>
        <v>2215098.432</v>
      </c>
      <c r="X13" s="363">
        <f t="shared" si="3"/>
        <v>186443.27200000003</v>
      </c>
    </row>
    <row r="14" spans="1:24">
      <c r="A14" s="13" t="s">
        <v>9</v>
      </c>
      <c r="B14" s="21">
        <f>JAN!B14+FEV!B14+MAR!B14+ABR!B14+MAI!B14+JUN!B14+JUL!B14+AGO!B14+SET!B14+OUT!B14+NOV!B14+DEZ!B14</f>
        <v>419525.04</v>
      </c>
      <c r="C14" s="21">
        <f>JAN!C14+FEV!C14+MAR!C14+ABR!C14+MAI!C14+JUN!C14+JUL!C14+AGO!C14+SET!C14+OUT!C14+NOV!C14+DEZ!C14</f>
        <v>97415.056000000026</v>
      </c>
      <c r="D14" s="21">
        <f>JAN!D14+FEV!D14+MAR!D14+ABR!D14+MAI!D14+JUN!D14+JUL!D14+AGO!D14+SET!D14+OUT!D14+NOV!D14+DEZ!D14</f>
        <v>17735.112000000001</v>
      </c>
      <c r="E14" s="21">
        <f>JAN!E14+FEV!E14+MAR!E14+ABR!E14+MAI!E14+JUN!E14+JUL!E14+AGO!E14+SET!E14+OUT!E14+NOV!E14+DEZ!E14</f>
        <v>13639.152000000002</v>
      </c>
      <c r="F14" s="21">
        <f>JAN!F14+FEV!F14+MAR!F14+ABR!F14+MAI!F14+JUN!F14+JUL!F14+AGO!F14+SET!F14+OUT!F14+NOV!F14+DEZ!F14</f>
        <v>513915.19199999998</v>
      </c>
      <c r="G14" s="21">
        <f>JAN!G14+FEV!G14+MAR!G14+ABR!G14+MAI!G14+JUN!G14+JUL!G14+AGO!G14+SET!G14+OUT!G14+NOV!G14+DEZ!G14</f>
        <v>15895.032000000001</v>
      </c>
      <c r="H14" s="21">
        <f>JAN!H14+FEV!H14+MAR!H14+ABR!H14+MAI!H14+JUN!H14+JUL!H14+AGO!H14+SET!H14+OUT!H14+NOV!H14+DEZ!H14</f>
        <v>14805.840000000002</v>
      </c>
      <c r="I14" s="21">
        <f>JAN!I14+FEV!I14+MAR!I14+ABR!I14+MAI!I14+JUN!I14+JUL!I14+AGO!I14+SET!I14+OUT!I14+NOV!I14+DEZ!I14</f>
        <v>1536.1760000000002</v>
      </c>
      <c r="J14" s="21">
        <f>JAN!J14+FEV!J14+MAR!J14+ABR!J14+MAI!J14+JUN!J14+JUL!J14+AGO!J14+SET!J14+OUT!J14+NOV!J14+DEZ!J14</f>
        <v>30946.695999999996</v>
      </c>
      <c r="K14" s="21">
        <f>JAN!K14+FEV!K14+MAR!K14+ABR!K14+MAI!K14+JUN!K14+JUL!K14+AGO!K14+SET!K14+OUT!K14+NOV!K14+DEZ!K14</f>
        <v>4347.6000000000004</v>
      </c>
      <c r="L14" s="21">
        <f>JAN!L14+FEV!L14+MAR!L14+ABR!L14+MAI!L14+JUN!L14+JUL!L14+AGO!L14+SET!L14+OUT!L14+NOV!L14+DEZ!L14</f>
        <v>0</v>
      </c>
      <c r="M14" s="21">
        <f>JAN!M14+FEV!M14+MAR!M14+ABR!M14+MAI!M14+JUN!M14+JUL!M14+AGO!M14+SET!M14+OUT!M14+NOV!M14+DEZ!M14</f>
        <v>0</v>
      </c>
      <c r="N14" s="21">
        <f>JAN!N14+FEV!N14+MAR!N14+ABR!N14+MAI!N14+JUN!N14+JUL!N14+AGO!N14+SET!N14+OUT!N14+NOV!N14+DEZ!N14</f>
        <v>836.88000000000011</v>
      </c>
      <c r="O14" s="21">
        <f>JAN!O14+FEV!O14+MAR!O14+ABR!O14+MAI!O14+JUN!O14+JUL!O14+AGO!O14+SET!O14+OUT!O14+NOV!O14+DEZ!O14</f>
        <v>0</v>
      </c>
      <c r="P14" s="21">
        <f>JAN!P14+FEV!P14+MAR!P14+ABR!P14+MAI!P14+JUN!P14+JUL!P14+AGO!P14+SET!P14+OUT!P14+NOV!P14+DEZ!P14</f>
        <v>0</v>
      </c>
      <c r="Q14" s="21">
        <f>JAN!Q14+FEV!Q14+MAR!Q14+ABR!Q14+MAI!Q14+JUN!Q14+JUL!Q14+AGO!Q14+SET!Q14+OUT!Q14+NOV!Q14+DEZ!Q14</f>
        <v>0</v>
      </c>
      <c r="R14" s="22">
        <f t="shared" si="0"/>
        <v>1130597.7759999998</v>
      </c>
      <c r="S14" s="363">
        <f t="shared" si="1"/>
        <v>419525.04</v>
      </c>
      <c r="T14" s="363">
        <f t="shared" si="1"/>
        <v>97415.056000000026</v>
      </c>
      <c r="U14" s="363">
        <f t="shared" si="1"/>
        <v>17735.112000000001</v>
      </c>
      <c r="V14" s="363">
        <f t="shared" si="1"/>
        <v>13639.152000000002</v>
      </c>
      <c r="W14" s="363">
        <f t="shared" si="2"/>
        <v>529810.22399999993</v>
      </c>
      <c r="X14" s="363">
        <f t="shared" si="3"/>
        <v>52473.191999999995</v>
      </c>
    </row>
    <row r="15" spans="1:24">
      <c r="A15" s="13" t="s">
        <v>10</v>
      </c>
      <c r="B15" s="21">
        <f>JAN!B15+FEV!B15+MAR!B15+ABR!B15+MAI!B15+JUN!B15+JUL!B15+AGO!B15+SET!B15+OUT!B15+NOV!B15+DEZ!B15</f>
        <v>903004.57600000012</v>
      </c>
      <c r="C15" s="21">
        <f>JAN!C15+FEV!C15+MAR!C15+ABR!C15+MAI!C15+JUN!C15+JUL!C15+AGO!C15+SET!C15+OUT!C15+NOV!C15+DEZ!C15</f>
        <v>154706.48000000001</v>
      </c>
      <c r="D15" s="21">
        <f>JAN!D15+FEV!D15+MAR!D15+ABR!D15+MAI!D15+JUN!D15+JUL!D15+AGO!D15+SET!D15+OUT!D15+NOV!D15+DEZ!D15</f>
        <v>63403.240000000005</v>
      </c>
      <c r="E15" s="21">
        <f>JAN!E15+FEV!E15+MAR!E15+ABR!E15+MAI!E15+JUN!E15+JUL!E15+AGO!E15+SET!E15+OUT!E15+NOV!E15+DEZ!E15</f>
        <v>31293.68</v>
      </c>
      <c r="F15" s="21">
        <f>JAN!F15+FEV!F15+MAR!F15+ABR!F15+MAI!F15+JUN!F15+JUL!F15+AGO!F15+SET!F15+OUT!F15+NOV!F15+DEZ!F15</f>
        <v>2194467.432</v>
      </c>
      <c r="G15" s="21">
        <f>JAN!G15+FEV!G15+MAR!G15+ABR!G15+MAI!G15+JUN!G15+JUL!G15+AGO!G15+SET!G15+OUT!G15+NOV!G15+DEZ!G15</f>
        <v>25885.920000000002</v>
      </c>
      <c r="H15" s="21">
        <f>JAN!H15+FEV!H15+MAR!H15+ABR!H15+MAI!H15+JUN!H15+JUL!H15+AGO!H15+SET!H15+OUT!H15+NOV!H15+DEZ!H15</f>
        <v>27305.288000000004</v>
      </c>
      <c r="I15" s="21">
        <f>JAN!I15+FEV!I15+MAR!I15+ABR!I15+MAI!I15+JUN!I15+JUL!I15+AGO!I15+SET!I15+OUT!I15+NOV!I15+DEZ!I15</f>
        <v>10588.832</v>
      </c>
      <c r="J15" s="21">
        <f>JAN!J15+FEV!J15+MAR!J15+ABR!J15+MAI!J15+JUN!J15+JUL!J15+AGO!J15+SET!J15+OUT!J15+NOV!J15+DEZ!J15</f>
        <v>48740.063999999998</v>
      </c>
      <c r="K15" s="21">
        <f>JAN!K15+FEV!K15+MAR!K15+ABR!K15+MAI!K15+JUN!K15+JUL!K15+AGO!K15+SET!K15+OUT!K15+NOV!K15+DEZ!K15</f>
        <v>5634.6960000000008</v>
      </c>
      <c r="L15" s="21">
        <f>JAN!L15+FEV!L15+MAR!L15+ABR!L15+MAI!L15+JUN!L15+JUL!L15+AGO!L15+SET!L15+OUT!L15+NOV!L15+DEZ!L15</f>
        <v>0</v>
      </c>
      <c r="M15" s="21">
        <f>JAN!M15+FEV!M15+MAR!M15+ABR!M15+MAI!M15+JUN!M15+JUL!M15+AGO!M15+SET!M15+OUT!M15+NOV!M15+DEZ!M15</f>
        <v>464.14400000000001</v>
      </c>
      <c r="N15" s="21">
        <f>JAN!N15+FEV!N15+MAR!N15+ABR!N15+MAI!N15+JUN!N15+JUL!N15+AGO!N15+SET!N15+OUT!N15+NOV!N15+DEZ!N15</f>
        <v>1793.0480000000002</v>
      </c>
      <c r="O15" s="21">
        <f>JAN!O15+FEV!O15+MAR!O15+ABR!O15+MAI!O15+JUN!O15+JUL!O15+AGO!O15+SET!O15+OUT!O15+NOV!O15+DEZ!O15</f>
        <v>42.264000000000003</v>
      </c>
      <c r="P15" s="21">
        <f>JAN!P15+FEV!P15+MAR!P15+ABR!P15+MAI!P15+JUN!P15+JUL!P15+AGO!P15+SET!P15+OUT!P15+NOV!P15+DEZ!P15</f>
        <v>0</v>
      </c>
      <c r="Q15" s="21">
        <f>JAN!Q15+FEV!Q15+MAR!Q15+ABR!Q15+MAI!Q15+JUN!Q15+JUL!Q15+AGO!Q15+SET!Q15+OUT!Q15+NOV!Q15+DEZ!Q15</f>
        <v>0</v>
      </c>
      <c r="R15" s="22">
        <f t="shared" si="0"/>
        <v>3467329.6639999994</v>
      </c>
      <c r="S15" s="363">
        <f t="shared" si="1"/>
        <v>903004.57600000012</v>
      </c>
      <c r="T15" s="363">
        <f t="shared" si="1"/>
        <v>154706.48000000001</v>
      </c>
      <c r="U15" s="363">
        <f t="shared" si="1"/>
        <v>63403.240000000005</v>
      </c>
      <c r="V15" s="363">
        <f t="shared" si="1"/>
        <v>31293.68</v>
      </c>
      <c r="W15" s="363">
        <f t="shared" si="2"/>
        <v>2220353.352</v>
      </c>
      <c r="X15" s="363">
        <f t="shared" si="3"/>
        <v>94568.335999999996</v>
      </c>
    </row>
    <row r="16" spans="1:24">
      <c r="A16" s="13" t="s">
        <v>11</v>
      </c>
      <c r="B16" s="21">
        <f>JAN!B16+FEV!B16+MAR!B16+ABR!B16+MAI!B16+JUN!B16+JUL!B16+AGO!B16+SET!B16+OUT!B16+NOV!B16+DEZ!B16</f>
        <v>748928.61599999992</v>
      </c>
      <c r="C16" s="21">
        <f>JAN!C16+FEV!C16+MAR!C16+ABR!C16+MAI!C16+JUN!C16+JUL!C16+AGO!C16+SET!C16+OUT!C16+NOV!C16+DEZ!C16</f>
        <v>222159.36000000004</v>
      </c>
      <c r="D16" s="21">
        <f>JAN!D16+FEV!D16+MAR!D16+ABR!D16+MAI!D16+JUN!D16+JUL!D16+AGO!D16+SET!D16+OUT!D16+NOV!D16+DEZ!D16</f>
        <v>40397.024000000005</v>
      </c>
      <c r="E16" s="21">
        <f>JAN!E16+FEV!E16+MAR!E16+ABR!E16+MAI!E16+JUN!E16+JUL!E16+AGO!E16+SET!E16+OUT!E16+NOV!E16+DEZ!E16</f>
        <v>55803.000000000015</v>
      </c>
      <c r="F16" s="21">
        <f>JAN!F16+FEV!F16+MAR!F16+ABR!F16+MAI!F16+JUN!F16+JUL!F16+AGO!F16+SET!F16+OUT!F16+NOV!F16+DEZ!F16</f>
        <v>1403503.92</v>
      </c>
      <c r="G16" s="21">
        <f>JAN!G16+FEV!G16+MAR!G16+ABR!G16+MAI!G16+JUN!G16+JUL!G16+AGO!G16+SET!G16+OUT!G16+NOV!G16+DEZ!G16</f>
        <v>22361.448</v>
      </c>
      <c r="H16" s="21">
        <f>JAN!H16+FEV!H16+MAR!H16+ABR!H16+MAI!H16+JUN!H16+JUL!H16+AGO!H16+SET!H16+OUT!H16+NOV!H16+DEZ!H16</f>
        <v>63751.720000000008</v>
      </c>
      <c r="I16" s="21">
        <f>JAN!I16+FEV!I16+MAR!I16+ABR!I16+MAI!I16+JUN!I16+JUL!I16+AGO!I16+SET!I16+OUT!I16+NOV!I16+DEZ!I16</f>
        <v>26410.432000000001</v>
      </c>
      <c r="J16" s="21">
        <f>JAN!J16+FEV!J16+MAR!J16+ABR!J16+MAI!J16+JUN!J16+JUL!J16+AGO!J16+SET!J16+OUT!J16+NOV!J16+DEZ!J16</f>
        <v>59196.87200000001</v>
      </c>
      <c r="K16" s="21">
        <f>JAN!K16+FEV!K16+MAR!K16+ABR!K16+MAI!K16+JUN!K16+JUL!K16+AGO!K16+SET!K16+OUT!K16+NOV!K16+DEZ!K16</f>
        <v>8434.344000000001</v>
      </c>
      <c r="L16" s="21">
        <f>JAN!L16+FEV!L16+MAR!L16+ABR!L16+MAI!L16+JUN!L16+JUL!L16+AGO!L16+SET!L16+OUT!L16+NOV!L16+DEZ!L16</f>
        <v>173.904</v>
      </c>
      <c r="M16" s="21">
        <f>JAN!M16+FEV!M16+MAR!M16+ABR!M16+MAI!M16+JUN!M16+JUL!M16+AGO!M16+SET!M16+OUT!M16+NOV!M16+DEZ!M16</f>
        <v>0</v>
      </c>
      <c r="N16" s="21">
        <f>JAN!N16+FEV!N16+MAR!N16+ABR!N16+MAI!N16+JUN!N16+JUL!N16+AGO!N16+SET!N16+OUT!N16+NOV!N16+DEZ!N16</f>
        <v>1443.0160000000001</v>
      </c>
      <c r="O16" s="21">
        <f>JAN!O16+FEV!O16+MAR!O16+ABR!O16+MAI!O16+JUN!O16+JUL!O16+AGO!O16+SET!O16+OUT!O16+NOV!O16+DEZ!O16</f>
        <v>0</v>
      </c>
      <c r="P16" s="21">
        <f>JAN!P16+FEV!P16+MAR!P16+ABR!P16+MAI!P16+JUN!P16+JUL!P16+AGO!P16+SET!P16+OUT!P16+NOV!P16+DEZ!P16</f>
        <v>629.4079999999999</v>
      </c>
      <c r="Q16" s="21">
        <f>JAN!Q16+FEV!Q16+MAR!Q16+ABR!Q16+MAI!Q16+JUN!Q16+JUL!Q16+AGO!Q16+SET!Q16+OUT!Q16+NOV!Q16+DEZ!Q16</f>
        <v>0</v>
      </c>
      <c r="R16" s="22">
        <f t="shared" si="0"/>
        <v>2653193.0639999998</v>
      </c>
      <c r="S16" s="363">
        <f t="shared" si="1"/>
        <v>748928.61599999992</v>
      </c>
      <c r="T16" s="363">
        <f t="shared" si="1"/>
        <v>222159.36000000004</v>
      </c>
      <c r="U16" s="363">
        <f t="shared" si="1"/>
        <v>40397.024000000005</v>
      </c>
      <c r="V16" s="363">
        <f t="shared" si="1"/>
        <v>55803.000000000015</v>
      </c>
      <c r="W16" s="363">
        <f t="shared" si="2"/>
        <v>1425865.368</v>
      </c>
      <c r="X16" s="363">
        <f t="shared" si="3"/>
        <v>160039.69600000003</v>
      </c>
    </row>
    <row r="17" spans="1:24">
      <c r="A17" s="13" t="s">
        <v>12</v>
      </c>
      <c r="B17" s="21">
        <f>JAN!B17+FEV!B17+MAR!B17+ABR!B17+MAI!B17+JUN!B17+JUL!B17+AGO!B17+SET!B17+OUT!B17+NOV!B17+DEZ!B17</f>
        <v>4564030.3279999997</v>
      </c>
      <c r="C17" s="21">
        <f>JAN!C17+FEV!C17+MAR!C17+ABR!C17+MAI!C17+JUN!C17+JUL!C17+AGO!C17+SET!C17+OUT!C17+NOV!C17+DEZ!C17</f>
        <v>956042.51199999999</v>
      </c>
      <c r="D17" s="21">
        <f>JAN!D17+FEV!D17+MAR!D17+ABR!D17+MAI!D17+JUN!D17+JUL!D17+AGO!D17+SET!D17+OUT!D17+NOV!D17+DEZ!D17</f>
        <v>185987.48800000001</v>
      </c>
      <c r="E17" s="21">
        <f>JAN!E17+FEV!E17+MAR!E17+ABR!E17+MAI!E17+JUN!E17+JUL!E17+AGO!E17+SET!E17+OUT!E17+NOV!E17+DEZ!E17</f>
        <v>175841.04800000004</v>
      </c>
      <c r="F17" s="21">
        <f>JAN!F17+FEV!F17+MAR!F17+ABR!F17+MAI!F17+JUN!F17+JUL!F17+AGO!F17+SET!F17+OUT!F17+NOV!F17+DEZ!F17</f>
        <v>4068570.1520000002</v>
      </c>
      <c r="G17" s="21">
        <f>JAN!G17+FEV!G17+MAR!G17+ABR!G17+MAI!G17+JUN!G17+JUL!G17+AGO!G17+SET!G17+OUT!G17+NOV!G17+DEZ!G17</f>
        <v>121038.216</v>
      </c>
      <c r="H17" s="21">
        <f>JAN!H17+FEV!H17+MAR!H17+ABR!H17+MAI!H17+JUN!H17+JUL!H17+AGO!H17+SET!H17+OUT!H17+NOV!H17+DEZ!H17</f>
        <v>184169.80000000002</v>
      </c>
      <c r="I17" s="21">
        <f>JAN!I17+FEV!I17+MAR!I17+ABR!I17+MAI!I17+JUN!I17+JUL!I17+AGO!I17+SET!I17+OUT!I17+NOV!I17+DEZ!I17</f>
        <v>4678.6000000000004</v>
      </c>
      <c r="J17" s="21">
        <f>JAN!J17+FEV!J17+MAR!J17+ABR!J17+MAI!J17+JUN!J17+JUL!J17+AGO!J17+SET!J17+OUT!J17+NOV!J17+DEZ!J17</f>
        <v>283372.016</v>
      </c>
      <c r="K17" s="21">
        <f>JAN!K17+FEV!K17+MAR!K17+ABR!K17+MAI!K17+JUN!K17+JUL!K17+AGO!K17+SET!K17+OUT!K17+NOV!K17+DEZ!K17</f>
        <v>15042.696000000002</v>
      </c>
      <c r="L17" s="21">
        <f>JAN!L17+FEV!L17+MAR!L17+ABR!L17+MAI!L17+JUN!L17+JUL!L17+AGO!L17+SET!L17+OUT!L17+NOV!L17+DEZ!L17</f>
        <v>1043.424</v>
      </c>
      <c r="M17" s="21">
        <f>JAN!M17+FEV!M17+MAR!M17+ABR!M17+MAI!M17+JUN!M17+JUL!M17+AGO!M17+SET!M17+OUT!M17+NOV!M17+DEZ!M17</f>
        <v>0</v>
      </c>
      <c r="N17" s="21">
        <f>JAN!N17+FEV!N17+MAR!N17+ABR!N17+MAI!N17+JUN!N17+JUL!N17+AGO!N17+SET!N17+OUT!N17+NOV!N17+DEZ!N17</f>
        <v>8219.4639999999999</v>
      </c>
      <c r="O17" s="21">
        <f>JAN!O17+FEV!O17+MAR!O17+ABR!O17+MAI!O17+JUN!O17+JUL!O17+AGO!O17+SET!O17+OUT!O17+NOV!O17+DEZ!O17</f>
        <v>0</v>
      </c>
      <c r="P17" s="21">
        <f>JAN!P17+FEV!P17+MAR!P17+ABR!P17+MAI!P17+JUN!P17+JUL!P17+AGO!P17+SET!P17+OUT!P17+NOV!P17+DEZ!P17</f>
        <v>0</v>
      </c>
      <c r="Q17" s="21">
        <f>JAN!Q17+FEV!Q17+MAR!Q17+ABR!Q17+MAI!Q17+JUN!Q17+JUL!Q17+AGO!Q17+SET!Q17+OUT!Q17+NOV!Q17+DEZ!Q17</f>
        <v>1108.472</v>
      </c>
      <c r="R17" s="22">
        <f t="shared" si="0"/>
        <v>10569144.216000002</v>
      </c>
      <c r="S17" s="363">
        <f t="shared" si="1"/>
        <v>4564030.3279999997</v>
      </c>
      <c r="T17" s="363">
        <f t="shared" si="1"/>
        <v>956042.51199999999</v>
      </c>
      <c r="U17" s="363">
        <f t="shared" si="1"/>
        <v>185987.48800000001</v>
      </c>
      <c r="V17" s="363">
        <f t="shared" si="1"/>
        <v>175841.04800000004</v>
      </c>
      <c r="W17" s="363">
        <f t="shared" si="2"/>
        <v>4189608.3680000002</v>
      </c>
      <c r="X17" s="363">
        <f t="shared" si="3"/>
        <v>497634.47200000001</v>
      </c>
    </row>
    <row r="18" spans="1:24">
      <c r="A18" s="13" t="s">
        <v>15</v>
      </c>
      <c r="B18" s="21">
        <f>JAN!B18+FEV!B18+MAR!B18+ABR!B18+MAI!B18+JUN!B18+JUL!B18+AGO!B18+SET!B18+OUT!B18+NOV!B18+DEZ!B18</f>
        <v>582437.92000000004</v>
      </c>
      <c r="C18" s="21">
        <f>JAN!C18+FEV!C18+MAR!C18+ABR!C18+MAI!C18+JUN!C18+JUL!C18+AGO!C18+SET!C18+OUT!C18+NOV!C18+DEZ!C18</f>
        <v>163335.136</v>
      </c>
      <c r="D18" s="21">
        <f>JAN!D18+FEV!D18+MAR!D18+ABR!D18+MAI!D18+JUN!D18+JUL!D18+AGO!D18+SET!D18+OUT!D18+NOV!D18+DEZ!D18</f>
        <v>29247.08</v>
      </c>
      <c r="E18" s="21">
        <f>JAN!E18+FEV!E18+MAR!E18+ABR!E18+MAI!E18+JUN!E18+JUL!E18+AGO!E18+SET!E18+OUT!E18+NOV!E18+DEZ!E18</f>
        <v>17846.592000000001</v>
      </c>
      <c r="F18" s="21">
        <f>JAN!F18+FEV!F18+MAR!F18+ABR!F18+MAI!F18+JUN!F18+JUL!F18+AGO!F18+SET!F18+OUT!F18+NOV!F18+DEZ!F18</f>
        <v>769677.26400000008</v>
      </c>
      <c r="G18" s="21">
        <f>JAN!G18+FEV!G18+MAR!G18+ABR!G18+MAI!G18+JUN!G18+JUL!G18+AGO!G18+SET!G18+OUT!G18+NOV!G18+DEZ!G18</f>
        <v>34572.32</v>
      </c>
      <c r="H18" s="21">
        <f>JAN!H18+FEV!H18+MAR!H18+ABR!H18+MAI!H18+JUN!H18+JUL!H18+AGO!H18+SET!H18+OUT!H18+NOV!H18+DEZ!H18</f>
        <v>27744.152000000002</v>
      </c>
      <c r="I18" s="21">
        <f>JAN!I18+FEV!I18+MAR!I18+ABR!I18+MAI!I18+JUN!I18+JUL!I18+AGO!I18+SET!I18+OUT!I18+NOV!I18+DEZ!I18</f>
        <v>0</v>
      </c>
      <c r="J18" s="21">
        <f>JAN!J18+FEV!J18+MAR!J18+ABR!J18+MAI!J18+JUN!J18+JUL!J18+AGO!J18+SET!J18+OUT!J18+NOV!J18+DEZ!J18</f>
        <v>47985.407999999996</v>
      </c>
      <c r="K18" s="21">
        <f>JAN!K18+FEV!K18+MAR!K18+ABR!K18+MAI!K18+JUN!K18+JUL!K18+AGO!K18+SET!K18+OUT!K18+NOV!K18+DEZ!K18</f>
        <v>5556.3360000000011</v>
      </c>
      <c r="L18" s="21">
        <f>JAN!L18+FEV!L18+MAR!L18+ABR!L18+MAI!L18+JUN!L18+JUL!L18+AGO!L18+SET!L18+OUT!L18+NOV!L18+DEZ!L18</f>
        <v>173.904</v>
      </c>
      <c r="M18" s="21">
        <f>JAN!M18+FEV!M18+MAR!M18+ABR!M18+MAI!M18+JUN!M18+JUL!M18+AGO!M18+SET!M18+OUT!M18+NOV!M18+DEZ!M18</f>
        <v>0</v>
      </c>
      <c r="N18" s="21">
        <f>JAN!N18+FEV!N18+MAR!N18+ABR!N18+MAI!N18+JUN!N18+JUL!N18+AGO!N18+SET!N18+OUT!N18+NOV!N18+DEZ!N18</f>
        <v>1795.5519999999997</v>
      </c>
      <c r="O18" s="21">
        <f>JAN!O18+FEV!O18+MAR!O18+ABR!O18+MAI!O18+JUN!O18+JUL!O18+AGO!O18+SET!O18+OUT!O18+NOV!O18+DEZ!O18</f>
        <v>0</v>
      </c>
      <c r="P18" s="21">
        <f>JAN!P18+FEV!P18+MAR!P18+ABR!P18+MAI!P18+JUN!P18+JUL!P18+AGO!P18+SET!P18+OUT!P18+NOV!P18+DEZ!P18</f>
        <v>0</v>
      </c>
      <c r="Q18" s="21">
        <f>JAN!Q18+FEV!Q18+MAR!Q18+ABR!Q18+MAI!Q18+JUN!Q18+JUL!Q18+AGO!Q18+SET!Q18+OUT!Q18+NOV!Q18+DEZ!Q18</f>
        <v>0</v>
      </c>
      <c r="R18" s="22">
        <f t="shared" si="0"/>
        <v>1680371.6640000001</v>
      </c>
      <c r="S18" s="363">
        <f t="shared" si="1"/>
        <v>582437.92000000004</v>
      </c>
      <c r="T18" s="363">
        <f t="shared" si="1"/>
        <v>163335.136</v>
      </c>
      <c r="U18" s="363">
        <f t="shared" si="1"/>
        <v>29247.08</v>
      </c>
      <c r="V18" s="363">
        <f t="shared" si="1"/>
        <v>17846.592000000001</v>
      </c>
      <c r="W18" s="363">
        <f t="shared" si="2"/>
        <v>804249.58400000003</v>
      </c>
      <c r="X18" s="363">
        <f t="shared" si="3"/>
        <v>83255.351999999984</v>
      </c>
    </row>
    <row r="19" spans="1:24">
      <c r="A19" s="13" t="s">
        <v>14</v>
      </c>
      <c r="B19" s="21">
        <f>JAN!B19+FEV!B19+MAR!B19+ABR!B19+MAI!B19+JUN!B19+JUL!B19+AGO!B19+SET!B19+OUT!B19+NOV!B19+DEZ!B19</f>
        <v>707095.62400000007</v>
      </c>
      <c r="C19" s="21">
        <f>JAN!C19+FEV!C19+MAR!C19+ABR!C19+MAI!C19+JUN!C19+JUL!C19+AGO!C19+SET!C19+OUT!C19+NOV!C19+DEZ!C19</f>
        <v>233932.296</v>
      </c>
      <c r="D19" s="21">
        <f>JAN!D19+FEV!D19+MAR!D19+ABR!D19+MAI!D19+JUN!D19+JUL!D19+AGO!D19+SET!D19+OUT!D19+NOV!D19+DEZ!D19</f>
        <v>22603.536</v>
      </c>
      <c r="E19" s="21">
        <f>JAN!E19+FEV!E19+MAR!E19+ABR!E19+MAI!E19+JUN!E19+JUL!E19+AGO!E19+SET!E19+OUT!E19+NOV!E19+DEZ!E19</f>
        <v>33818.496000000006</v>
      </c>
      <c r="F19" s="21">
        <f>JAN!F19+FEV!F19+MAR!F19+ABR!F19+MAI!F19+JUN!F19+JUL!F19+AGO!F19+SET!F19+OUT!F19+NOV!F19+DEZ!F19</f>
        <v>770532.88800000015</v>
      </c>
      <c r="G19" s="21">
        <f>JAN!G19+FEV!G19+MAR!G19+ABR!G19+MAI!G19+JUN!G19+JUL!G19+AGO!G19+SET!G19+OUT!G19+NOV!G19+DEZ!G19</f>
        <v>28146.672000000006</v>
      </c>
      <c r="H19" s="21">
        <f>JAN!H19+FEV!H19+MAR!H19+ABR!H19+MAI!H19+JUN!H19+JUL!H19+AGO!H19+SET!H19+OUT!H19+NOV!H19+DEZ!H19</f>
        <v>40788.04</v>
      </c>
      <c r="I19" s="21">
        <f>JAN!I19+FEV!I19+MAR!I19+ABR!I19+MAI!I19+JUN!I19+JUL!I19+AGO!I19+SET!I19+OUT!I19+NOV!I19+DEZ!I19</f>
        <v>0</v>
      </c>
      <c r="J19" s="21">
        <f>JAN!J19+FEV!J19+MAR!J19+ABR!J19+MAI!J19+JUN!J19+JUL!J19+AGO!J19+SET!J19+OUT!J19+NOV!J19+DEZ!J19</f>
        <v>72448.344000000012</v>
      </c>
      <c r="K19" s="21">
        <f>JAN!K19+FEV!K19+MAR!K19+ABR!K19+MAI!K19+JUN!K19+JUL!K19+AGO!K19+SET!K19+OUT!K19+NOV!K19+DEZ!K19</f>
        <v>1825.992</v>
      </c>
      <c r="L19" s="21">
        <f>JAN!L19+FEV!L19+MAR!L19+ABR!L19+MAI!L19+JUN!L19+JUL!L19+AGO!L19+SET!L19+OUT!L19+NOV!L19+DEZ!L19</f>
        <v>695.61599999999999</v>
      </c>
      <c r="M19" s="21">
        <f>JAN!M19+FEV!M19+MAR!M19+ABR!M19+MAI!M19+JUN!M19+JUL!M19+AGO!M19+SET!M19+OUT!M19+NOV!M19+DEZ!M19</f>
        <v>0</v>
      </c>
      <c r="N19" s="21">
        <f>JAN!N19+FEV!N19+MAR!N19+ABR!N19+MAI!N19+JUN!N19+JUL!N19+AGO!N19+SET!N19+OUT!N19+NOV!N19+DEZ!N19</f>
        <v>1514.088</v>
      </c>
      <c r="O19" s="21">
        <f>JAN!O19+FEV!O19+MAR!O19+ABR!O19+MAI!O19+JUN!O19+JUL!O19+AGO!O19+SET!O19+OUT!O19+NOV!O19+DEZ!O19</f>
        <v>0</v>
      </c>
      <c r="P19" s="21">
        <f>JAN!P19+FEV!P19+MAR!P19+ABR!P19+MAI!P19+JUN!P19+JUL!P19+AGO!P19+SET!P19+OUT!P19+NOV!P19+DEZ!P19</f>
        <v>142.52000000000001</v>
      </c>
      <c r="Q19" s="21">
        <f>JAN!Q19+FEV!Q19+MAR!Q19+ABR!Q19+MAI!Q19+JUN!Q19+JUL!Q19+AGO!Q19+SET!Q19+OUT!Q19+NOV!Q19+DEZ!Q19</f>
        <v>2732.9120000000003</v>
      </c>
      <c r="R19" s="22">
        <f t="shared" si="0"/>
        <v>1916277.0240000004</v>
      </c>
      <c r="S19" s="363">
        <f t="shared" si="1"/>
        <v>707095.62400000007</v>
      </c>
      <c r="T19" s="363">
        <f t="shared" si="1"/>
        <v>233932.296</v>
      </c>
      <c r="U19" s="363">
        <f t="shared" si="1"/>
        <v>22603.536</v>
      </c>
      <c r="V19" s="363">
        <f t="shared" si="1"/>
        <v>33818.496000000006</v>
      </c>
      <c r="W19" s="363">
        <f t="shared" si="2"/>
        <v>798679.56000000017</v>
      </c>
      <c r="X19" s="363">
        <f t="shared" si="3"/>
        <v>120147.51200000002</v>
      </c>
    </row>
    <row r="20" spans="1:24">
      <c r="A20" s="13" t="s">
        <v>13</v>
      </c>
      <c r="B20" s="21">
        <f>JAN!B20+FEV!B20+MAR!B20+ABR!B20+MAI!B20+JUN!B20+JUL!B20+AGO!B20+SET!B20+OUT!B20+NOV!B20+DEZ!B20</f>
        <v>3608937.6560000004</v>
      </c>
      <c r="C20" s="21">
        <f>JAN!C20+FEV!C20+MAR!C20+ABR!C20+MAI!C20+JUN!C20+JUL!C20+AGO!C20+SET!C20+OUT!C20+NOV!C20+DEZ!C20</f>
        <v>642270.16800000006</v>
      </c>
      <c r="D20" s="21">
        <f>JAN!D20+FEV!D20+MAR!D20+ABR!D20+MAI!D20+JUN!D20+JUL!D20+AGO!D20+SET!D20+OUT!D20+NOV!D20+DEZ!D20</f>
        <v>274513.35200000001</v>
      </c>
      <c r="E20" s="21">
        <f>JAN!E20+FEV!E20+MAR!E20+ABR!E20+MAI!E20+JUN!E20+JUL!E20+AGO!E20+SET!E20+OUT!E20+NOV!E20+DEZ!E20</f>
        <v>171166.39200000002</v>
      </c>
      <c r="F20" s="21">
        <f>JAN!F20+FEV!F20+MAR!F20+ABR!F20+MAI!F20+JUN!F20+JUL!F20+AGO!F20+SET!F20+OUT!F20+NOV!F20+DEZ!F20</f>
        <v>4882685.784</v>
      </c>
      <c r="G20" s="21">
        <f>JAN!G20+FEV!G20+MAR!G20+ABR!G20+MAI!G20+JUN!G20+JUL!G20+AGO!G20+SET!G20+OUT!G20+NOV!G20+DEZ!G20</f>
        <v>79700.616000000024</v>
      </c>
      <c r="H20" s="21">
        <f>JAN!H20+FEV!H20+MAR!H20+ABR!H20+MAI!H20+JUN!H20+JUL!H20+AGO!H20+SET!H20+OUT!H20+NOV!H20+DEZ!H20</f>
        <v>115413.71199999998</v>
      </c>
      <c r="I20" s="21">
        <f>JAN!I20+FEV!I20+MAR!I20+ABR!I20+MAI!I20+JUN!I20+JUL!I20+AGO!I20+SET!I20+OUT!I20+NOV!I20+DEZ!I20</f>
        <v>44919.104000000007</v>
      </c>
      <c r="J20" s="21">
        <f>JAN!J20+FEV!J20+MAR!J20+ABR!J20+MAI!J20+JUN!J20+JUL!J20+AGO!J20+SET!J20+OUT!J20+NOV!J20+DEZ!J20</f>
        <v>209775.03200000004</v>
      </c>
      <c r="K20" s="21">
        <f>JAN!K20+FEV!K20+MAR!K20+ABR!K20+MAI!K20+JUN!K20+JUL!K20+AGO!K20+SET!K20+OUT!K20+NOV!K20+DEZ!K20</f>
        <v>26511.768</v>
      </c>
      <c r="L20" s="21">
        <f>JAN!L20+FEV!L20+MAR!L20+ABR!L20+MAI!L20+JUN!L20+JUL!L20+AGO!L20+SET!L20+OUT!L20+NOV!L20+DEZ!L20</f>
        <v>2782.4639999999999</v>
      </c>
      <c r="M20" s="21">
        <f>JAN!M20+FEV!M20+MAR!M20+ABR!M20+MAI!M20+JUN!M20+JUL!M20+AGO!M20+SET!M20+OUT!M20+NOV!M20+DEZ!M20</f>
        <v>0</v>
      </c>
      <c r="N20" s="21">
        <f>JAN!N20+FEV!N20+MAR!N20+ABR!N20+MAI!N20+JUN!N20+JUL!N20+AGO!N20+SET!N20+OUT!N20+NOV!N20+DEZ!N20</f>
        <v>6299.6159999999991</v>
      </c>
      <c r="O20" s="21">
        <f>JAN!O20+FEV!O20+MAR!O20+ABR!O20+MAI!O20+JUN!O20+JUL!O20+AGO!O20+SET!O20+OUT!O20+NOV!O20+DEZ!O20</f>
        <v>0</v>
      </c>
      <c r="P20" s="21">
        <f>JAN!P20+FEV!P20+MAR!P20+ABR!P20+MAI!P20+JUN!P20+JUL!P20+AGO!P20+SET!P20+OUT!P20+NOV!P20+DEZ!P20</f>
        <v>0</v>
      </c>
      <c r="Q20" s="21">
        <f>JAN!Q20+FEV!Q20+MAR!Q20+ABR!Q20+MAI!Q20+JUN!Q20+JUL!Q20+AGO!Q20+SET!Q20+OUT!Q20+NOV!Q20+DEZ!Q20</f>
        <v>0</v>
      </c>
      <c r="R20" s="22">
        <f t="shared" si="0"/>
        <v>10064975.664000001</v>
      </c>
      <c r="S20" s="363">
        <f t="shared" si="1"/>
        <v>3608937.6560000004</v>
      </c>
      <c r="T20" s="363">
        <f t="shared" si="1"/>
        <v>642270.16800000006</v>
      </c>
      <c r="U20" s="363">
        <f t="shared" si="1"/>
        <v>274513.35200000001</v>
      </c>
      <c r="V20" s="363">
        <f t="shared" si="1"/>
        <v>171166.39200000002</v>
      </c>
      <c r="W20" s="363">
        <f t="shared" si="2"/>
        <v>4962386.4000000004</v>
      </c>
      <c r="X20" s="363">
        <f t="shared" si="3"/>
        <v>405701.69599999994</v>
      </c>
    </row>
    <row r="21" spans="1:24">
      <c r="A21" s="13" t="s">
        <v>16</v>
      </c>
      <c r="B21" s="21">
        <f>JAN!B21+FEV!B21+MAR!B21+ABR!B21+MAI!B21+JUN!B21+JUL!B21+AGO!B21+SET!B21+OUT!B21+NOV!B21+DEZ!B21</f>
        <v>1271106.7520000001</v>
      </c>
      <c r="C21" s="21">
        <f>JAN!C21+FEV!C21+MAR!C21+ABR!C21+MAI!C21+JUN!C21+JUL!C21+AGO!C21+SET!C21+OUT!C21+NOV!C21+DEZ!C21</f>
        <v>328802.17599999992</v>
      </c>
      <c r="D21" s="21">
        <f>JAN!D21+FEV!D21+MAR!D21+ABR!D21+MAI!D21+JUN!D21+JUL!D21+AGO!D21+SET!D21+OUT!D21+NOV!D21+DEZ!D21</f>
        <v>54373.600000000006</v>
      </c>
      <c r="E21" s="21">
        <f>JAN!E21+FEV!E21+MAR!E21+ABR!E21+MAI!E21+JUN!E21+JUL!E21+AGO!E21+SET!E21+OUT!E21+NOV!E21+DEZ!E21</f>
        <v>40606.392</v>
      </c>
      <c r="F21" s="21">
        <f>JAN!F21+FEV!F21+MAR!F21+ABR!F21+MAI!F21+JUN!F21+JUL!F21+AGO!F21+SET!F21+OUT!F21+NOV!F21+DEZ!F21</f>
        <v>1322735.8560000001</v>
      </c>
      <c r="G21" s="21">
        <f>JAN!G21+FEV!G21+MAR!G21+ABR!G21+MAI!G21+JUN!G21+JUL!G21+AGO!G21+SET!G21+OUT!G21+NOV!G21+DEZ!G21</f>
        <v>52588.776000000005</v>
      </c>
      <c r="H21" s="21">
        <f>JAN!H21+FEV!H21+MAR!H21+ABR!H21+MAI!H21+JUN!H21+JUL!H21+AGO!H21+SET!H21+OUT!H21+NOV!H21+DEZ!H21</f>
        <v>48240.936000000009</v>
      </c>
      <c r="I21" s="21">
        <f>JAN!I21+FEV!I21+MAR!I21+ABR!I21+MAI!I21+JUN!I21+JUL!I21+AGO!I21+SET!I21+OUT!I21+NOV!I21+DEZ!I21</f>
        <v>18550.703999999998</v>
      </c>
      <c r="J21" s="21">
        <f>JAN!J21+FEV!J21+MAR!J21+ABR!J21+MAI!J21+JUN!J21+JUL!J21+AGO!J21+SET!J21+OUT!J21+NOV!J21+DEZ!J21</f>
        <v>95987.680000000008</v>
      </c>
      <c r="K21" s="21">
        <f>JAN!K21+FEV!K21+MAR!K21+ABR!K21+MAI!K21+JUN!K21+JUL!K21+AGO!K21+SET!K21+OUT!K21+NOV!K21+DEZ!K21</f>
        <v>5469.384</v>
      </c>
      <c r="L21" s="21">
        <f>JAN!L21+FEV!L21+MAR!L21+ABR!L21+MAI!L21+JUN!L21+JUL!L21+AGO!L21+SET!L21+OUT!L21+NOV!L21+DEZ!L21</f>
        <v>521.71199999999999</v>
      </c>
      <c r="M21" s="21">
        <f>JAN!M21+FEV!M21+MAR!M21+ABR!M21+MAI!M21+JUN!M21+JUL!M21+AGO!M21+SET!M21+OUT!M21+NOV!M21+DEZ!M21</f>
        <v>0</v>
      </c>
      <c r="N21" s="21">
        <f>JAN!N21+FEV!N21+MAR!N21+ABR!N21+MAI!N21+JUN!N21+JUL!N21+AGO!N21+SET!N21+OUT!N21+NOV!N21+DEZ!N21</f>
        <v>2814.96</v>
      </c>
      <c r="O21" s="21">
        <f>JAN!O21+FEV!O21+MAR!O21+ABR!O21+MAI!O21+JUN!O21+JUL!O21+AGO!O21+SET!O21+OUT!O21+NOV!O21+DEZ!O21</f>
        <v>0</v>
      </c>
      <c r="P21" s="21">
        <f>JAN!P21+FEV!P21+MAR!P21+ABR!P21+MAI!P21+JUN!P21+JUL!P21+AGO!P21+SET!P21+OUT!P21+NOV!P21+DEZ!P21</f>
        <v>0</v>
      </c>
      <c r="Q21" s="21">
        <f>JAN!Q21+FEV!Q21+MAR!Q21+ABR!Q21+MAI!Q21+JUN!Q21+JUL!Q21+AGO!Q21+SET!Q21+OUT!Q21+NOV!Q21+DEZ!Q21</f>
        <v>0</v>
      </c>
      <c r="R21" s="22">
        <f t="shared" si="0"/>
        <v>3241798.9280000008</v>
      </c>
      <c r="S21" s="363">
        <f t="shared" si="1"/>
        <v>1271106.7520000001</v>
      </c>
      <c r="T21" s="363">
        <f t="shared" si="1"/>
        <v>328802.17599999992</v>
      </c>
      <c r="U21" s="363">
        <f t="shared" si="1"/>
        <v>54373.600000000006</v>
      </c>
      <c r="V21" s="363">
        <f t="shared" si="1"/>
        <v>40606.392</v>
      </c>
      <c r="W21" s="363">
        <f t="shared" si="2"/>
        <v>1375324.6320000002</v>
      </c>
      <c r="X21" s="363">
        <f t="shared" si="3"/>
        <v>171585.37599999999</v>
      </c>
    </row>
    <row r="22" spans="1:24">
      <c r="A22" s="13" t="s">
        <v>17</v>
      </c>
      <c r="B22" s="21">
        <f>JAN!B22+FEV!B22+MAR!B22+ABR!B22+MAI!B22+JUN!B22+JUL!B22+AGO!B22+SET!B22+OUT!B22+NOV!B22+DEZ!B22</f>
        <v>352559.63200000004</v>
      </c>
      <c r="C22" s="21">
        <f>JAN!C22+FEV!C22+MAR!C22+ABR!C22+MAI!C22+JUN!C22+JUL!C22+AGO!C22+SET!C22+OUT!C22+NOV!C22+DEZ!C22</f>
        <v>50630.864000000001</v>
      </c>
      <c r="D22" s="21">
        <f>JAN!D22+FEV!D22+MAR!D22+ABR!D22+MAI!D22+JUN!D22+JUL!D22+AGO!D22+SET!D22+OUT!D22+NOV!D22+DEZ!D22</f>
        <v>22578.975999999999</v>
      </c>
      <c r="E22" s="21">
        <f>JAN!E22+FEV!E22+MAR!E22+ABR!E22+MAI!E22+JUN!E22+JUL!E22+AGO!E22+SET!E22+OUT!E22+NOV!E22+DEZ!E22</f>
        <v>12928.519999999999</v>
      </c>
      <c r="F22" s="21">
        <f>JAN!F22+FEV!F22+MAR!F22+ABR!F22+MAI!F22+JUN!F22+JUL!F22+AGO!F22+SET!F22+OUT!F22+NOV!F22+DEZ!F22</f>
        <v>377912.40800000005</v>
      </c>
      <c r="G22" s="21">
        <f>JAN!G22+FEV!G22+MAR!G22+ABR!G22+MAI!G22+JUN!G22+JUL!G22+AGO!G22+SET!G22+OUT!G22+NOV!G22+DEZ!G22</f>
        <v>19729.511999999999</v>
      </c>
      <c r="H22" s="21">
        <f>JAN!H22+FEV!H22+MAR!H22+ABR!H22+MAI!H22+JUN!H22+JUL!H22+AGO!H22+SET!H22+OUT!H22+NOV!H22+DEZ!H22</f>
        <v>8644.8079999999991</v>
      </c>
      <c r="I22" s="21">
        <f>JAN!I22+FEV!I22+MAR!I22+ABR!I22+MAI!I22+JUN!I22+JUL!I22+AGO!I22+SET!I22+OUT!I22+NOV!I22+DEZ!I22</f>
        <v>0</v>
      </c>
      <c r="J22" s="21">
        <f>JAN!J22+FEV!J22+MAR!J22+ABR!J22+MAI!J22+JUN!J22+JUL!J22+AGO!J22+SET!J22+OUT!J22+NOV!J22+DEZ!J22</f>
        <v>18482.088</v>
      </c>
      <c r="K22" s="21">
        <f>JAN!K22+FEV!K22+MAR!K22+ABR!K22+MAI!K22+JUN!K22+JUL!K22+AGO!K22+SET!K22+OUT!K22+NOV!K22+DEZ!K22</f>
        <v>2695.5120000000002</v>
      </c>
      <c r="L22" s="21">
        <f>JAN!L22+FEV!L22+MAR!L22+ABR!L22+MAI!L22+JUN!L22+JUL!L22+AGO!L22+SET!L22+OUT!L22+NOV!L22+DEZ!L22</f>
        <v>0</v>
      </c>
      <c r="M22" s="21">
        <f>JAN!M22+FEV!M22+MAR!M22+ABR!M22+MAI!M22+JUN!M22+JUL!M22+AGO!M22+SET!M22+OUT!M22+NOV!M22+DEZ!M22</f>
        <v>0</v>
      </c>
      <c r="N22" s="21">
        <f>JAN!N22+FEV!N22+MAR!N22+ABR!N22+MAI!N22+JUN!N22+JUL!N22+AGO!N22+SET!N22+OUT!N22+NOV!N22+DEZ!N22</f>
        <v>355.03999999999996</v>
      </c>
      <c r="O22" s="21">
        <f>JAN!O22+FEV!O22+MAR!O22+ABR!O22+MAI!O22+JUN!O22+JUL!O22+AGO!O22+SET!O22+OUT!O22+NOV!O22+DEZ!O22</f>
        <v>0</v>
      </c>
      <c r="P22" s="21">
        <f>JAN!P22+FEV!P22+MAR!P22+ABR!P22+MAI!P22+JUN!P22+JUL!P22+AGO!P22+SET!P22+OUT!P22+NOV!P22+DEZ!P22</f>
        <v>26.24</v>
      </c>
      <c r="Q22" s="21">
        <f>JAN!Q22+FEV!Q22+MAR!Q22+ABR!Q22+MAI!Q22+JUN!Q22+JUL!Q22+AGO!Q22+SET!Q22+OUT!Q22+NOV!Q22+DEZ!Q22</f>
        <v>262.39</v>
      </c>
      <c r="R22" s="22">
        <f t="shared" si="0"/>
        <v>866805.99000000011</v>
      </c>
      <c r="S22" s="363">
        <f t="shared" si="1"/>
        <v>352559.63200000004</v>
      </c>
      <c r="T22" s="363">
        <f t="shared" si="1"/>
        <v>50630.864000000001</v>
      </c>
      <c r="U22" s="363">
        <f t="shared" si="1"/>
        <v>22578.975999999999</v>
      </c>
      <c r="V22" s="363">
        <f t="shared" si="1"/>
        <v>12928.519999999999</v>
      </c>
      <c r="W22" s="363">
        <f t="shared" si="2"/>
        <v>397641.92000000004</v>
      </c>
      <c r="X22" s="363">
        <f t="shared" si="3"/>
        <v>30466.078000000001</v>
      </c>
    </row>
    <row r="23" spans="1:24">
      <c r="A23" s="13" t="s">
        <v>18</v>
      </c>
      <c r="B23" s="21">
        <f>JAN!B23+FEV!B23+MAR!B23+ABR!B23+MAI!B23+JUN!B23+JUL!B23+AGO!B23+SET!B23+OUT!B23+NOV!B23+DEZ!B23</f>
        <v>4215944.1680000005</v>
      </c>
      <c r="C23" s="21">
        <f>JAN!C23+FEV!C23+MAR!C23+ABR!C23+MAI!C23+JUN!C23+JUL!C23+AGO!C23+SET!C23+OUT!C23+NOV!C23+DEZ!C23</f>
        <v>696022.32800000021</v>
      </c>
      <c r="D23" s="21">
        <f>JAN!D23+FEV!D23+MAR!D23+ABR!D23+MAI!D23+JUN!D23+JUL!D23+AGO!D23+SET!D23+OUT!D23+NOV!D23+DEZ!D23</f>
        <v>262183.14400000003</v>
      </c>
      <c r="E23" s="21">
        <f>JAN!E23+FEV!E23+MAR!E23+ABR!E23+MAI!E23+JUN!E23+JUL!E23+AGO!E23+SET!E23+OUT!E23+NOV!E23+DEZ!E23</f>
        <v>125599.36800000002</v>
      </c>
      <c r="F23" s="21">
        <f>JAN!F23+FEV!F23+MAR!F23+ABR!F23+MAI!F23+JUN!F23+JUL!F23+AGO!F23+SET!F23+OUT!F23+NOV!F23+DEZ!F23</f>
        <v>4394471.6160000004</v>
      </c>
      <c r="G23" s="21">
        <f>JAN!G23+FEV!G23+MAR!G23+ABR!G23+MAI!G23+JUN!G23+JUL!G23+AGO!G23+SET!G23+OUT!G23+NOV!G23+DEZ!G23</f>
        <v>131593.77600000001</v>
      </c>
      <c r="H23" s="21">
        <f>JAN!H23+FEV!H23+MAR!H23+ABR!H23+MAI!H23+JUN!H23+JUL!H23+AGO!H23+SET!H23+OUT!H23+NOV!H23+DEZ!H23</f>
        <v>117257.84800000001</v>
      </c>
      <c r="I23" s="21">
        <f>JAN!I23+FEV!I23+MAR!I23+ABR!I23+MAI!I23+JUN!I23+JUL!I23+AGO!I23+SET!I23+OUT!I23+NOV!I23+DEZ!I23</f>
        <v>28554.744000000006</v>
      </c>
      <c r="J23" s="21">
        <f>JAN!J23+FEV!J23+MAR!J23+ABR!J23+MAI!J23+JUN!J23+JUL!J23+AGO!J23+SET!J23+OUT!J23+NOV!J23+DEZ!J23</f>
        <v>228123.41600000003</v>
      </c>
      <c r="K23" s="21">
        <f>JAN!K23+FEV!K23+MAR!K23+ABR!K23+MAI!K23+JUN!K23+JUL!K23+AGO!K23+SET!K23+OUT!K23+NOV!K23+DEZ!K23</f>
        <v>15451.680000000002</v>
      </c>
      <c r="L23" s="21">
        <f>JAN!L23+FEV!L23+MAR!L23+ABR!L23+MAI!L23+JUN!L23+JUL!L23+AGO!L23+SET!L23+OUT!L23+NOV!L23+DEZ!L23</f>
        <v>1912.944</v>
      </c>
      <c r="M23" s="21">
        <f>JAN!M23+FEV!M23+MAR!M23+ABR!M23+MAI!M23+JUN!M23+JUL!M23+AGO!M23+SET!M23+OUT!M23+NOV!M23+DEZ!M23</f>
        <v>0</v>
      </c>
      <c r="N23" s="21">
        <f>JAN!N23+FEV!N23+MAR!N23+ABR!N23+MAI!N23+JUN!N23+JUL!N23+AGO!N23+SET!N23+OUT!N23+NOV!N23+DEZ!N23</f>
        <v>11291.720000000001</v>
      </c>
      <c r="O23" s="21">
        <f>JAN!O23+FEV!O23+MAR!O23+ABR!O23+MAI!O23+JUN!O23+JUL!O23+AGO!O23+SET!O23+OUT!O23+NOV!O23+DEZ!O23</f>
        <v>50.72</v>
      </c>
      <c r="P23" s="21">
        <f>JAN!P23+FEV!P23+MAR!P23+ABR!P23+MAI!P23+JUN!P23+JUL!P23+AGO!P23+SET!P23+OUT!P23+NOV!P23+DEZ!P23</f>
        <v>25.848000000000003</v>
      </c>
      <c r="Q23" s="21">
        <f>JAN!Q23+FEV!Q23+MAR!Q23+ABR!Q23+MAI!Q23+JUN!Q23+JUL!Q23+AGO!Q23+SET!Q23+OUT!Q23+NOV!Q23+DEZ!Q23</f>
        <v>1138.4639999999999</v>
      </c>
      <c r="R23" s="22">
        <f t="shared" si="0"/>
        <v>10229621.784000002</v>
      </c>
      <c r="S23" s="363">
        <f t="shared" si="1"/>
        <v>4215944.1680000005</v>
      </c>
      <c r="T23" s="363">
        <f t="shared" si="1"/>
        <v>696022.32800000021</v>
      </c>
      <c r="U23" s="363">
        <f t="shared" si="1"/>
        <v>262183.14400000003</v>
      </c>
      <c r="V23" s="363">
        <f t="shared" si="1"/>
        <v>125599.36800000002</v>
      </c>
      <c r="W23" s="363">
        <f t="shared" si="2"/>
        <v>4526065.392</v>
      </c>
      <c r="X23" s="363">
        <f t="shared" si="3"/>
        <v>403807.38400000002</v>
      </c>
    </row>
    <row r="24" spans="1:24">
      <c r="A24" s="13" t="s">
        <v>20</v>
      </c>
      <c r="B24" s="21">
        <f>JAN!B24+FEV!B24+MAR!B24+ABR!B24+MAI!B24+JUN!B24+JUL!B24+AGO!B24+SET!B24+OUT!B24+NOV!B24+DEZ!B24</f>
        <v>613217.83200000005</v>
      </c>
      <c r="C24" s="21">
        <f>JAN!C24+FEV!C24+MAR!C24+ABR!C24+MAI!C24+JUN!C24+JUL!C24+AGO!C24+SET!C24+OUT!C24+NOV!C24+DEZ!C24</f>
        <v>133056.17600000001</v>
      </c>
      <c r="D24" s="21">
        <f>JAN!D24+FEV!D24+MAR!D24+ABR!D24+MAI!D24+JUN!D24+JUL!D24+AGO!D24+SET!D24+OUT!D24+NOV!D24+DEZ!D24</f>
        <v>17642.52</v>
      </c>
      <c r="E24" s="21">
        <f>JAN!E24+FEV!E24+MAR!E24+ABR!E24+MAI!E24+JUN!E24+JUL!E24+AGO!E24+SET!E24+OUT!E24+NOV!E24+DEZ!E24</f>
        <v>11967.079999999998</v>
      </c>
      <c r="F24" s="21">
        <f>JAN!F24+FEV!F24+MAR!F24+ABR!F24+MAI!F24+JUN!F24+JUL!F24+AGO!F24+SET!F24+OUT!F24+NOV!F24+DEZ!F24</f>
        <v>641934.31199999992</v>
      </c>
      <c r="G24" s="21">
        <f>JAN!G24+FEV!G24+MAR!G24+ABR!G24+MAI!G24+JUN!G24+JUL!G24+AGO!G24+SET!G24+OUT!G24+NOV!G24+DEZ!G24</f>
        <v>25546.704000000002</v>
      </c>
      <c r="H24" s="21">
        <f>JAN!H24+FEV!H24+MAR!H24+ABR!H24+MAI!H24+JUN!H24+JUL!H24+AGO!H24+SET!H24+OUT!H24+NOV!H24+DEZ!H24</f>
        <v>23951.632000000001</v>
      </c>
      <c r="I24" s="21">
        <f>JAN!I24+FEV!I24+MAR!I24+ABR!I24+MAI!I24+JUN!I24+JUL!I24+AGO!I24+SET!I24+OUT!I24+NOV!I24+DEZ!I24</f>
        <v>16255.912</v>
      </c>
      <c r="J24" s="21">
        <f>JAN!J24+FEV!J24+MAR!J24+ABR!J24+MAI!J24+JUN!J24+JUL!J24+AGO!J24+SET!J24+OUT!J24+NOV!J24+DEZ!J24</f>
        <v>36604.432000000001</v>
      </c>
      <c r="K24" s="21">
        <f>JAN!K24+FEV!K24+MAR!K24+ABR!K24+MAI!K24+JUN!K24+JUL!K24+AGO!K24+SET!K24+OUT!K24+NOV!K24+DEZ!K24</f>
        <v>1825.992</v>
      </c>
      <c r="L24" s="21">
        <f>JAN!L24+FEV!L24+MAR!L24+ABR!L24+MAI!L24+JUN!L24+JUL!L24+AGO!L24+SET!L24+OUT!L24+NOV!L24+DEZ!L24</f>
        <v>347.80799999999999</v>
      </c>
      <c r="M24" s="21">
        <f>JAN!M24+FEV!M24+MAR!M24+ABR!M24+MAI!M24+JUN!M24+JUL!M24+AGO!M24+SET!M24+OUT!M24+NOV!M24+DEZ!M24</f>
        <v>0</v>
      </c>
      <c r="N24" s="21">
        <f>JAN!N24+FEV!N24+MAR!N24+ABR!N24+MAI!N24+JUN!N24+JUL!N24+AGO!N24+SET!N24+OUT!N24+NOV!N24+DEZ!N24</f>
        <v>1364.432</v>
      </c>
      <c r="O24" s="21">
        <f>JAN!O24+FEV!O24+MAR!O24+ABR!O24+MAI!O24+JUN!O24+JUL!O24+AGO!O24+SET!O24+OUT!O24+NOV!O24+DEZ!O24</f>
        <v>0</v>
      </c>
      <c r="P24" s="21">
        <f>JAN!P24+FEV!P24+MAR!P24+ABR!P24+MAI!P24+JUN!P24+JUL!P24+AGO!P24+SET!P24+OUT!P24+NOV!P24+DEZ!P24</f>
        <v>0</v>
      </c>
      <c r="Q24" s="21">
        <f>JAN!Q24+FEV!Q24+MAR!Q24+ABR!Q24+MAI!Q24+JUN!Q24+JUL!Q24+AGO!Q24+SET!Q24+OUT!Q24+NOV!Q24+DEZ!Q24</f>
        <v>0</v>
      </c>
      <c r="R24" s="22">
        <f t="shared" si="0"/>
        <v>1523714.8319999999</v>
      </c>
      <c r="S24" s="363">
        <f t="shared" si="1"/>
        <v>613217.83200000005</v>
      </c>
      <c r="T24" s="363">
        <f t="shared" si="1"/>
        <v>133056.17600000001</v>
      </c>
      <c r="U24" s="363">
        <f t="shared" si="1"/>
        <v>17642.52</v>
      </c>
      <c r="V24" s="363">
        <f t="shared" si="1"/>
        <v>11967.079999999998</v>
      </c>
      <c r="W24" s="363">
        <f t="shared" si="2"/>
        <v>667481.01599999995</v>
      </c>
      <c r="X24" s="363">
        <f t="shared" si="3"/>
        <v>80350.207999999999</v>
      </c>
    </row>
    <row r="25" spans="1:24">
      <c r="A25" s="13" t="s">
        <v>19</v>
      </c>
      <c r="B25" s="21">
        <f>JAN!B25+FEV!B25+MAR!B25+ABR!B25+MAI!B25+JUN!B25+JUL!B25+AGO!B25+SET!B25+OUT!B25+NOV!B25+DEZ!B25</f>
        <v>4620902.7119999994</v>
      </c>
      <c r="C25" s="21">
        <f>JAN!C25+FEV!C25+MAR!C25+ABR!C25+MAI!C25+JUN!C25+JUL!C25+AGO!C25+SET!C25+OUT!C25+NOV!C25+DEZ!C25</f>
        <v>911979.88800000004</v>
      </c>
      <c r="D25" s="21">
        <f>JAN!D25+FEV!D25+MAR!D25+ABR!D25+MAI!D25+JUN!D25+JUL!D25+AGO!D25+SET!D25+OUT!D25+NOV!D25+DEZ!D25</f>
        <v>313537.40000000002</v>
      </c>
      <c r="E25" s="21">
        <f>JAN!E25+FEV!E25+MAR!E25+ABR!E25+MAI!E25+JUN!E25+JUL!E25+AGO!E25+SET!E25+OUT!E25+NOV!E25+DEZ!E25</f>
        <v>174663.88800000001</v>
      </c>
      <c r="F25" s="21">
        <f>JAN!F25+FEV!F25+MAR!F25+ABR!F25+MAI!F25+JUN!F25+JUL!F25+AGO!F25+SET!F25+OUT!F25+NOV!F25+DEZ!F25</f>
        <v>6320882.1840000004</v>
      </c>
      <c r="G25" s="21">
        <f>JAN!G25+FEV!G25+MAR!G25+ABR!G25+MAI!G25+JUN!G25+JUL!G25+AGO!G25+SET!G25+OUT!G25+NOV!G25+DEZ!G25</f>
        <v>107168.85600000001</v>
      </c>
      <c r="H25" s="21">
        <f>JAN!H25+FEV!H25+MAR!H25+ABR!H25+MAI!H25+JUN!H25+JUL!H25+AGO!H25+SET!H25+OUT!H25+NOV!H25+DEZ!H25</f>
        <v>178289.04000000004</v>
      </c>
      <c r="I25" s="21">
        <f>JAN!I25+FEV!I25+MAR!I25+ABR!I25+MAI!I25+JUN!I25+JUL!I25+AGO!I25+SET!I25+OUT!I25+NOV!I25+DEZ!I25</f>
        <v>15458.168</v>
      </c>
      <c r="J25" s="21">
        <f>JAN!J25+FEV!J25+MAR!J25+ABR!J25+MAI!J25+JUN!J25+JUL!J25+AGO!J25+SET!J25+OUT!J25+NOV!J25+DEZ!J25</f>
        <v>272769.96800000005</v>
      </c>
      <c r="K25" s="21">
        <f>JAN!K25+FEV!K25+MAR!K25+ABR!K25+MAI!K25+JUN!K25+JUL!K25+AGO!K25+SET!K25+OUT!K25+NOV!K25+DEZ!K25</f>
        <v>18773.04</v>
      </c>
      <c r="L25" s="21">
        <f>JAN!L25+FEV!L25+MAR!L25+ABR!L25+MAI!L25+JUN!L25+JUL!L25+AGO!L25+SET!L25+OUT!L25+NOV!L25+DEZ!L25</f>
        <v>1217.328</v>
      </c>
      <c r="M25" s="21">
        <f>JAN!M25+FEV!M25+MAR!M25+ABR!M25+MAI!M25+JUN!M25+JUL!M25+AGO!M25+SET!M25+OUT!M25+NOV!M25+DEZ!M25</f>
        <v>3955.6320000000005</v>
      </c>
      <c r="N25" s="21">
        <f>JAN!N25+FEV!N25+MAR!N25+ABR!N25+MAI!N25+JUN!N25+JUL!N25+AGO!N25+SET!N25+OUT!N25+NOV!N25+DEZ!N25</f>
        <v>7030.3680000000004</v>
      </c>
      <c r="O25" s="21">
        <f>JAN!O25+FEV!O25+MAR!O25+ABR!O25+MAI!O25+JUN!O25+JUL!O25+AGO!O25+SET!O25+OUT!O25+NOV!O25+DEZ!O25</f>
        <v>0</v>
      </c>
      <c r="P25" s="21">
        <f>JAN!P25+FEV!P25+MAR!P25+ABR!P25+MAI!P25+JUN!P25+JUL!P25+AGO!P25+SET!P25+OUT!P25+NOV!P25+DEZ!P25</f>
        <v>0</v>
      </c>
      <c r="Q25" s="21">
        <f>JAN!Q25+FEV!Q25+MAR!Q25+ABR!Q25+MAI!Q25+JUN!Q25+JUL!Q25+AGO!Q25+SET!Q25+OUT!Q25+NOV!Q25+DEZ!Q25</f>
        <v>0</v>
      </c>
      <c r="R25" s="22">
        <f t="shared" si="0"/>
        <v>12946628.472000001</v>
      </c>
      <c r="S25" s="363">
        <f t="shared" si="1"/>
        <v>4620902.7119999994</v>
      </c>
      <c r="T25" s="363">
        <f t="shared" si="1"/>
        <v>911979.88800000004</v>
      </c>
      <c r="U25" s="363">
        <f t="shared" si="1"/>
        <v>313537.40000000002</v>
      </c>
      <c r="V25" s="363">
        <f t="shared" si="1"/>
        <v>174663.88800000001</v>
      </c>
      <c r="W25" s="363">
        <f t="shared" si="2"/>
        <v>6428051.04</v>
      </c>
      <c r="X25" s="363">
        <f t="shared" si="3"/>
        <v>497493.54400000005</v>
      </c>
    </row>
    <row r="26" spans="1:24">
      <c r="A26" s="13" t="s">
        <v>21</v>
      </c>
      <c r="B26" s="21">
        <f>JAN!B26+FEV!B26+MAR!B26+ABR!B26+MAI!B26+JUN!B26+JUL!B26+AGO!B26+SET!B26+OUT!B26+NOV!B26+DEZ!B26</f>
        <v>318796.96000000002</v>
      </c>
      <c r="C26" s="21">
        <f>JAN!C26+FEV!C26+MAR!C26+ABR!C26+MAI!C26+JUN!C26+JUL!C26+AGO!C26+SET!C26+OUT!C26+NOV!C26+DEZ!C26</f>
        <v>95524.272000000026</v>
      </c>
      <c r="D26" s="21">
        <f>JAN!D26+FEV!D26+MAR!D26+ABR!D26+MAI!D26+JUN!D26+JUL!D26+AGO!D26+SET!D26+OUT!D26+NOV!D26+DEZ!D26</f>
        <v>15997.368000000002</v>
      </c>
      <c r="E26" s="21">
        <f>JAN!E26+FEV!E26+MAR!E26+ABR!E26+MAI!E26+JUN!E26+JUL!E26+AGO!E26+SET!E26+OUT!E26+NOV!E26+DEZ!E26</f>
        <v>21375.360000000001</v>
      </c>
      <c r="F26" s="21">
        <f>JAN!F26+FEV!F26+MAR!F26+ABR!F26+MAI!F26+JUN!F26+JUL!F26+AGO!F26+SET!F26+OUT!F26+NOV!F26+DEZ!F26</f>
        <v>615213.24000000011</v>
      </c>
      <c r="G26" s="21">
        <f>JAN!G26+FEV!G26+MAR!G26+ABR!G26+MAI!G26+JUN!G26+JUL!G26+AGO!G26+SET!G26+OUT!G26+NOV!G26+DEZ!G26</f>
        <v>15381.912000000002</v>
      </c>
      <c r="H26" s="21">
        <f>JAN!H26+FEV!H26+MAR!H26+ABR!H26+MAI!H26+JUN!H26+JUL!H26+AGO!H26+SET!H26+OUT!H26+NOV!H26+DEZ!H26</f>
        <v>14660.304</v>
      </c>
      <c r="I26" s="21">
        <f>JAN!I26+FEV!I26+MAR!I26+ABR!I26+MAI!I26+JUN!I26+JUL!I26+AGO!I26+SET!I26+OUT!I26+NOV!I26+DEZ!I26</f>
        <v>0</v>
      </c>
      <c r="J26" s="21">
        <f>JAN!J26+FEV!J26+MAR!J26+ABR!J26+MAI!J26+JUN!J26+JUL!J26+AGO!J26+SET!J26+OUT!J26+NOV!J26+DEZ!J26</f>
        <v>34966.624000000011</v>
      </c>
      <c r="K26" s="21">
        <f>JAN!K26+FEV!K26+MAR!K26+ABR!K26+MAI!K26+JUN!K26+JUL!K26+AGO!K26+SET!K26+OUT!K26+NOV!K26+DEZ!K26</f>
        <v>3208.6319999999996</v>
      </c>
      <c r="L26" s="21">
        <f>JAN!L26+FEV!L26+MAR!L26+ABR!L26+MAI!L26+JUN!L26+JUL!L26+AGO!L26+SET!L26+OUT!L26+NOV!L26+DEZ!L26</f>
        <v>0</v>
      </c>
      <c r="M26" s="21">
        <f>JAN!M26+FEV!M26+MAR!M26+ABR!M26+MAI!M26+JUN!M26+JUL!M26+AGO!M26+SET!M26+OUT!M26+NOV!M26+DEZ!M26</f>
        <v>0</v>
      </c>
      <c r="N26" s="21">
        <f>JAN!N26+FEV!N26+MAR!N26+ABR!N26+MAI!N26+JUN!N26+JUL!N26+AGO!N26+SET!N26+OUT!N26+NOV!N26+DEZ!N26</f>
        <v>707.57600000000014</v>
      </c>
      <c r="O26" s="21">
        <f>JAN!O26+FEV!O26+MAR!O26+ABR!O26+MAI!O26+JUN!O26+JUL!O26+AGO!O26+SET!O26+OUT!O26+NOV!O26+DEZ!O26</f>
        <v>0</v>
      </c>
      <c r="P26" s="21">
        <f>JAN!P26+FEV!P26+MAR!P26+ABR!P26+MAI!P26+JUN!P26+JUL!P26+AGO!P26+SET!P26+OUT!P26+NOV!P26+DEZ!P26</f>
        <v>443.82</v>
      </c>
      <c r="Q26" s="21">
        <f>JAN!Q26+FEV!Q26+MAR!Q26+ABR!Q26+MAI!Q26+JUN!Q26+JUL!Q26+AGO!Q26+SET!Q26+OUT!Q26+NOV!Q26+DEZ!Q26</f>
        <v>1004.78</v>
      </c>
      <c r="R26" s="22">
        <f t="shared" si="0"/>
        <v>1137280.8480000002</v>
      </c>
      <c r="S26" s="363">
        <f t="shared" si="1"/>
        <v>318796.96000000002</v>
      </c>
      <c r="T26" s="363">
        <f t="shared" si="1"/>
        <v>95524.272000000026</v>
      </c>
      <c r="U26" s="363">
        <f t="shared" si="1"/>
        <v>15997.368000000002</v>
      </c>
      <c r="V26" s="363">
        <f t="shared" si="1"/>
        <v>21375.360000000001</v>
      </c>
      <c r="W26" s="363">
        <f t="shared" si="2"/>
        <v>630595.15200000012</v>
      </c>
      <c r="X26" s="363">
        <f t="shared" si="3"/>
        <v>54991.736000000012</v>
      </c>
    </row>
    <row r="27" spans="1:24">
      <c r="A27" s="13" t="s">
        <v>22</v>
      </c>
      <c r="B27" s="21">
        <f>JAN!B27+FEV!B27+MAR!B27+ABR!B27+MAI!B27+JUN!B27+JUL!B27+AGO!B27+SET!B27+OUT!B27+NOV!B27+DEZ!B27</f>
        <v>52341.72</v>
      </c>
      <c r="C27" s="21">
        <f>JAN!C27+FEV!C27+MAR!C27+ABR!C27+MAI!C27+JUN!C27+JUL!C27+AGO!C27+SET!C27+OUT!C27+NOV!C27+DEZ!C27</f>
        <v>10485.544</v>
      </c>
      <c r="D27" s="21">
        <f>JAN!D27+FEV!D27+MAR!D27+ABR!D27+MAI!D27+JUN!D27+JUL!D27+AGO!D27+SET!D27+OUT!D27+NOV!D27+DEZ!D27</f>
        <v>2350.1760000000004</v>
      </c>
      <c r="E27" s="21">
        <f>JAN!E27+FEV!E27+MAR!E27+ABR!E27+MAI!E27+JUN!E27+JUL!E27+AGO!E27+SET!E27+OUT!E27+NOV!E27+DEZ!E27</f>
        <v>1966.424</v>
      </c>
      <c r="F27" s="21">
        <f>JAN!F27+FEV!F27+MAR!F27+ABR!F27+MAI!F27+JUN!F27+JUL!F27+AGO!F27+SET!F27+OUT!F27+NOV!F27+DEZ!F27</f>
        <v>111168.648</v>
      </c>
      <c r="G27" s="21">
        <f>JAN!G27+FEV!G27+MAR!G27+ABR!G27+MAI!G27+JUN!G27+JUL!G27+AGO!G27+SET!G27+OUT!G27+NOV!G27+DEZ!G27</f>
        <v>2869.4159999999997</v>
      </c>
      <c r="H27" s="21">
        <f>JAN!H27+FEV!H27+MAR!H27+ABR!H27+MAI!H27+JUN!H27+JUL!H27+AGO!H27+SET!H27+OUT!H27+NOV!H27+DEZ!H27</f>
        <v>1015.9760000000001</v>
      </c>
      <c r="I27" s="21">
        <f>JAN!I27+FEV!I27+MAR!I27+ABR!I27+MAI!I27+JUN!I27+JUL!I27+AGO!I27+SET!I27+OUT!I27+NOV!I27+DEZ!I27</f>
        <v>0</v>
      </c>
      <c r="J27" s="21">
        <f>JAN!J27+FEV!J27+MAR!J27+ABR!J27+MAI!J27+JUN!J27+JUL!J27+AGO!J27+SET!J27+OUT!J27+NOV!J27+DEZ!J27</f>
        <v>3077.7040000000006</v>
      </c>
      <c r="K27" s="21">
        <f>JAN!K27+FEV!K27+MAR!K27+ABR!K27+MAI!K27+JUN!K27+JUL!K27+AGO!K27+SET!K27+OUT!K27+NOV!K27+DEZ!K27</f>
        <v>956.47199999999998</v>
      </c>
      <c r="L27" s="21">
        <f>JAN!L27+FEV!L27+MAR!L27+ABR!L27+MAI!L27+JUN!L27+JUL!L27+AGO!L27+SET!L27+OUT!L27+NOV!L27+DEZ!L27</f>
        <v>0</v>
      </c>
      <c r="M27" s="21">
        <f>JAN!M27+FEV!M27+MAR!M27+ABR!M27+MAI!M27+JUN!M27+JUL!M27+AGO!M27+SET!M27+OUT!M27+NOV!M27+DEZ!M27</f>
        <v>0</v>
      </c>
      <c r="N27" s="21">
        <f>JAN!N27+FEV!N27+MAR!N27+ABR!N27+MAI!N27+JUN!N27+JUL!N27+AGO!N27+SET!N27+OUT!N27+NOV!N27+DEZ!N27</f>
        <v>177.51999999999998</v>
      </c>
      <c r="O27" s="21">
        <f>JAN!O27+FEV!O27+MAR!O27+ABR!O27+MAI!O27+JUN!O27+JUL!O27+AGO!O27+SET!O27+OUT!O27+NOV!O27+DEZ!O27</f>
        <v>0</v>
      </c>
      <c r="P27" s="21">
        <f>JAN!P27+FEV!P27+MAR!P27+ABR!P27+MAI!P27+JUN!P27+JUL!P27+AGO!P27+SET!P27+OUT!P27+NOV!P27+DEZ!P27</f>
        <v>0</v>
      </c>
      <c r="Q27" s="21">
        <f>JAN!Q27+FEV!Q27+MAR!Q27+ABR!Q27+MAI!Q27+JUN!Q27+JUL!Q27+AGO!Q27+SET!Q27+OUT!Q27+NOV!Q27+DEZ!Q27</f>
        <v>0</v>
      </c>
      <c r="R27" s="22">
        <f t="shared" si="0"/>
        <v>186409.59999999998</v>
      </c>
      <c r="S27" s="363">
        <f t="shared" si="1"/>
        <v>52341.72</v>
      </c>
      <c r="T27" s="363">
        <f t="shared" si="1"/>
        <v>10485.544</v>
      </c>
      <c r="U27" s="363">
        <f t="shared" si="1"/>
        <v>2350.1760000000004</v>
      </c>
      <c r="V27" s="363">
        <f t="shared" si="1"/>
        <v>1966.424</v>
      </c>
      <c r="W27" s="363">
        <f t="shared" si="2"/>
        <v>114038.064</v>
      </c>
      <c r="X27" s="363">
        <f t="shared" si="3"/>
        <v>5227.6720000000005</v>
      </c>
    </row>
    <row r="28" spans="1:24">
      <c r="A28" s="13" t="s">
        <v>23</v>
      </c>
      <c r="B28" s="21">
        <f>JAN!B28+FEV!B28+MAR!B28+ABR!B28+MAI!B28+JUN!B28+JUL!B28+AGO!B28+SET!B28+OUT!B28+NOV!B28+DEZ!B28</f>
        <v>3238796.0720000002</v>
      </c>
      <c r="C28" s="21">
        <f>JAN!C28+FEV!C28+MAR!C28+ABR!C28+MAI!C28+JUN!C28+JUL!C28+AGO!C28+SET!C28+OUT!C28+NOV!C28+DEZ!C28</f>
        <v>790322.08800000011</v>
      </c>
      <c r="D28" s="21">
        <f>JAN!D28+FEV!D28+MAR!D28+ABR!D28+MAI!D28+JUN!D28+JUL!D28+AGO!D28+SET!D28+OUT!D28+NOV!D28+DEZ!D28</f>
        <v>212343.61600000001</v>
      </c>
      <c r="E28" s="21">
        <f>JAN!E28+FEV!E28+MAR!E28+ABR!E28+MAI!E28+JUN!E28+JUL!E28+AGO!E28+SET!E28+OUT!E28+NOV!E28+DEZ!E28</f>
        <v>220887.296</v>
      </c>
      <c r="F28" s="21">
        <f>JAN!F28+FEV!F28+MAR!F28+ABR!F28+MAI!F28+JUN!F28+JUL!F28+AGO!F28+SET!F28+OUT!F28+NOV!F28+DEZ!F28</f>
        <v>4112562.5760000004</v>
      </c>
      <c r="G28" s="21">
        <f>JAN!G28+FEV!G28+MAR!G28+ABR!G28+MAI!G28+JUN!G28+JUL!G28+AGO!G28+SET!G28+OUT!G28+NOV!G28+DEZ!G28</f>
        <v>49980.216</v>
      </c>
      <c r="H28" s="21">
        <f>JAN!H28+FEV!H28+MAR!H28+ABR!H28+MAI!H28+JUN!H28+JUL!H28+AGO!H28+SET!H28+OUT!H28+NOV!H28+DEZ!H28</f>
        <v>159186.24800000002</v>
      </c>
      <c r="I28" s="21">
        <f>JAN!I28+FEV!I28+MAR!I28+ABR!I28+MAI!I28+JUN!I28+JUL!I28+AGO!I28+SET!I28+OUT!I28+NOV!I28+DEZ!I28</f>
        <v>2943.1840000000002</v>
      </c>
      <c r="J28" s="21">
        <f>JAN!J28+FEV!J28+MAR!J28+ABR!J28+MAI!J28+JUN!J28+JUL!J28+AGO!J28+SET!J28+OUT!J28+NOV!J28+DEZ!J28</f>
        <v>247974.80000000002</v>
      </c>
      <c r="K28" s="21">
        <f>JAN!K28+FEV!K28+MAR!K28+ABR!K28+MAI!K28+JUN!K28+JUL!K28+AGO!K28+SET!K28+OUT!K28+NOV!K28+DEZ!K28</f>
        <v>9738.6239999999998</v>
      </c>
      <c r="L28" s="21">
        <f>JAN!L28+FEV!L28+MAR!L28+ABR!L28+MAI!L28+JUN!L28+JUL!L28+AGO!L28+SET!L28+OUT!L28+NOV!L28+DEZ!L28</f>
        <v>1043.424</v>
      </c>
      <c r="M28" s="21">
        <f>JAN!M28+FEV!M28+MAR!M28+ABR!M28+MAI!M28+JUN!M28+JUL!M28+AGO!M28+SET!M28+OUT!M28+NOV!M28+DEZ!M28</f>
        <v>5579.5519999999997</v>
      </c>
      <c r="N28" s="21">
        <f>JAN!N28+FEV!N28+MAR!N28+ABR!N28+MAI!N28+JUN!N28+JUL!N28+AGO!N28+SET!N28+OUT!N28+NOV!N28+DEZ!N28</f>
        <v>7065.424</v>
      </c>
      <c r="O28" s="21">
        <f>JAN!O28+FEV!O28+MAR!O28+ABR!O28+MAI!O28+JUN!O28+JUL!O28+AGO!O28+SET!O28+OUT!O28+NOV!O28+DEZ!O28</f>
        <v>0</v>
      </c>
      <c r="P28" s="21">
        <f>JAN!P28+FEV!P28+MAR!P28+ABR!P28+MAI!P28+JUN!P28+JUL!P28+AGO!P28+SET!P28+OUT!P28+NOV!P28+DEZ!P28</f>
        <v>0</v>
      </c>
      <c r="Q28" s="21">
        <f>JAN!Q28+FEV!Q28+MAR!Q28+ABR!Q28+MAI!Q28+JUN!Q28+JUL!Q28+AGO!Q28+SET!Q28+OUT!Q28+NOV!Q28+DEZ!Q28</f>
        <v>0</v>
      </c>
      <c r="R28" s="22">
        <f t="shared" si="0"/>
        <v>9058423.1200000029</v>
      </c>
      <c r="S28" s="363">
        <f t="shared" si="1"/>
        <v>3238796.0720000002</v>
      </c>
      <c r="T28" s="363">
        <f t="shared" si="1"/>
        <v>790322.08800000011</v>
      </c>
      <c r="U28" s="363">
        <f t="shared" si="1"/>
        <v>212343.61600000001</v>
      </c>
      <c r="V28" s="363">
        <f t="shared" si="1"/>
        <v>220887.296</v>
      </c>
      <c r="W28" s="363">
        <f t="shared" si="2"/>
        <v>4162542.7920000004</v>
      </c>
      <c r="X28" s="363">
        <f t="shared" si="3"/>
        <v>433531.25600000011</v>
      </c>
    </row>
    <row r="29" spans="1:24">
      <c r="A29" s="13" t="s">
        <v>25</v>
      </c>
      <c r="B29" s="21">
        <f>JAN!B29+FEV!B29+MAR!B29+ABR!B29+MAI!B29+JUN!B29+JUL!B29+AGO!B29+SET!B29+OUT!B29+NOV!B29+DEZ!B29</f>
        <v>15713904.039999999</v>
      </c>
      <c r="C29" s="21">
        <f>JAN!C29+FEV!C29+MAR!C29+ABR!C29+MAI!C29+JUN!C29+JUL!C29+AGO!C29+SET!C29+OUT!C29+NOV!C29+DEZ!C29</f>
        <v>3383206.9999999995</v>
      </c>
      <c r="D29" s="21">
        <f>JAN!D29+FEV!D29+MAR!D29+ABR!D29+MAI!D29+JUN!D29+JUL!D29+AGO!D29+SET!D29+OUT!D29+NOV!D29+DEZ!D29</f>
        <v>844056.89599999995</v>
      </c>
      <c r="E29" s="21">
        <f>JAN!E29+FEV!E29+MAR!E29+ABR!E29+MAI!E29+JUN!E29+JUL!E29+AGO!E29+SET!E29+OUT!E29+NOV!E29+DEZ!E29</f>
        <v>847348</v>
      </c>
      <c r="F29" s="21">
        <f>JAN!F29+FEV!F29+MAR!F29+ABR!F29+MAI!F29+JUN!F29+JUL!F29+AGO!F29+SET!F29+OUT!F29+NOV!F29+DEZ!F29</f>
        <v>22902794.760000005</v>
      </c>
      <c r="G29" s="21">
        <f>JAN!G29+FEV!G29+MAR!G29+ABR!G29+MAI!G29+JUN!G29+JUL!G29+AGO!G29+SET!G29+OUT!G29+NOV!G29+DEZ!G29</f>
        <v>325506.36</v>
      </c>
      <c r="H29" s="21">
        <f>JAN!H29+FEV!H29+MAR!H29+ABR!H29+MAI!H29+JUN!H29+JUL!H29+AGO!H29+SET!H29+OUT!H29+NOV!H29+DEZ!H29</f>
        <v>911760.84</v>
      </c>
      <c r="I29" s="21">
        <f>JAN!I29+FEV!I29+MAR!I29+ABR!I29+MAI!I29+JUN!I29+JUL!I29+AGO!I29+SET!I29+OUT!I29+NOV!I29+DEZ!I29</f>
        <v>54501.216000000008</v>
      </c>
      <c r="J29" s="21">
        <f>JAN!J29+FEV!J29+MAR!J29+ABR!J29+MAI!J29+JUN!J29+JUL!J29+AGO!J29+SET!J29+OUT!J29+NOV!J29+DEZ!J29</f>
        <v>1084382.2720000003</v>
      </c>
      <c r="K29" s="21">
        <f>JAN!K29+FEV!K29+MAR!K29+ABR!K29+MAI!K29+JUN!K29+JUL!K29+AGO!K29+SET!K29+OUT!K29+NOV!K29+DEZ!K29</f>
        <v>60857.808000000005</v>
      </c>
      <c r="L29" s="21">
        <f>JAN!L29+FEV!L29+MAR!L29+ABR!L29+MAI!L29+JUN!L29+JUL!L29+AGO!L29+SET!L29+OUT!L29+NOV!L29+DEZ!L29</f>
        <v>7999.5839999999998</v>
      </c>
      <c r="M29" s="21">
        <f>JAN!M29+FEV!M29+MAR!M29+ABR!M29+MAI!M29+JUN!M29+JUL!M29+AGO!M29+SET!M29+OUT!M29+NOV!M29+DEZ!M29</f>
        <v>0</v>
      </c>
      <c r="N29" s="21">
        <f>JAN!N29+FEV!N29+MAR!N29+ABR!N29+MAI!N29+JUN!N29+JUL!N29+AGO!N29+SET!N29+OUT!N29+NOV!N29+DEZ!N29</f>
        <v>38885.672000000006</v>
      </c>
      <c r="O29" s="21">
        <f>JAN!O29+FEV!O29+MAR!O29+ABR!O29+MAI!O29+JUN!O29+JUL!O29+AGO!O29+SET!O29+OUT!O29+NOV!O29+DEZ!O29</f>
        <v>42.272000000000006</v>
      </c>
      <c r="P29" s="21">
        <f>JAN!P29+FEV!P29+MAR!P29+ABR!P29+MAI!P29+JUN!P29+JUL!P29+AGO!P29+SET!P29+OUT!P29+NOV!P29+DEZ!P29</f>
        <v>4423.8999999999996</v>
      </c>
      <c r="Q29" s="21">
        <f>JAN!Q29+FEV!Q29+MAR!Q29+ABR!Q29+MAI!Q29+JUN!Q29+JUL!Q29+AGO!Q29+SET!Q29+OUT!Q29+NOV!Q29+DEZ!Q29</f>
        <v>85550.069999999992</v>
      </c>
      <c r="R29" s="22">
        <f t="shared" si="0"/>
        <v>46265220.690000005</v>
      </c>
      <c r="S29" s="363">
        <f t="shared" si="1"/>
        <v>15713904.039999999</v>
      </c>
      <c r="T29" s="363">
        <f t="shared" si="1"/>
        <v>3383206.9999999995</v>
      </c>
      <c r="U29" s="363">
        <f t="shared" si="1"/>
        <v>844056.89599999995</v>
      </c>
      <c r="V29" s="363">
        <f t="shared" si="1"/>
        <v>847348</v>
      </c>
      <c r="W29" s="363">
        <f t="shared" si="2"/>
        <v>23228301.120000005</v>
      </c>
      <c r="X29" s="363">
        <f t="shared" si="3"/>
        <v>2248403.6339999996</v>
      </c>
    </row>
    <row r="30" spans="1:24">
      <c r="A30" s="13" t="s">
        <v>24</v>
      </c>
      <c r="B30" s="21">
        <f>JAN!B30+FEV!B30+MAR!B30+ABR!B30+MAI!B30+JUN!B30+JUL!B30+AGO!B30+SET!B30+OUT!B30+NOV!B30+DEZ!B30</f>
        <v>373056.95200000005</v>
      </c>
      <c r="C30" s="21">
        <f>JAN!C30+FEV!C30+MAR!C30+ABR!C30+MAI!C30+JUN!C30+JUL!C30+AGO!C30+SET!C30+OUT!C30+NOV!C30+DEZ!C30</f>
        <v>104584.488</v>
      </c>
      <c r="D30" s="21">
        <f>JAN!D30+FEV!D30+MAR!D30+ABR!D30+MAI!D30+JUN!D30+JUL!D30+AGO!D30+SET!D30+OUT!D30+NOV!D30+DEZ!D30</f>
        <v>13940.447999999999</v>
      </c>
      <c r="E30" s="21">
        <f>JAN!E30+FEV!E30+MAR!E30+ABR!E30+MAI!E30+JUN!E30+JUL!E30+AGO!E30+SET!E30+OUT!E30+NOV!E30+DEZ!E30</f>
        <v>14064.192000000003</v>
      </c>
      <c r="F30" s="21">
        <f>JAN!F30+FEV!F30+MAR!F30+ABR!F30+MAI!F30+JUN!F30+JUL!F30+AGO!F30+SET!F30+OUT!F30+NOV!F30+DEZ!F30</f>
        <v>571998.09600000002</v>
      </c>
      <c r="G30" s="21">
        <f>JAN!G30+FEV!G30+MAR!G30+ABR!G30+MAI!G30+JUN!G30+JUL!G30+AGO!G30+SET!G30+OUT!G30+NOV!G30+DEZ!G30</f>
        <v>16321.2</v>
      </c>
      <c r="H30" s="21">
        <f>JAN!H30+FEV!H30+MAR!H30+ABR!H30+MAI!H30+JUN!H30+JUL!H30+AGO!H30+SET!H30+OUT!H30+NOV!H30+DEZ!H30</f>
        <v>16071.008000000002</v>
      </c>
      <c r="I30" s="21">
        <f>JAN!I30+FEV!I30+MAR!I30+ABR!I30+MAI!I30+JUN!I30+JUL!I30+AGO!I30+SET!I30+OUT!I30+NOV!I30+DEZ!I30</f>
        <v>1014.4639999999999</v>
      </c>
      <c r="J30" s="21">
        <f>JAN!J30+FEV!J30+MAR!J30+ABR!J30+MAI!J30+JUN!J30+JUL!J30+AGO!J30+SET!J30+OUT!J30+NOV!J30+DEZ!J30</f>
        <v>30330.792000000009</v>
      </c>
      <c r="K30" s="21">
        <f>JAN!K30+FEV!K30+MAR!K30+ABR!K30+MAI!K30+JUN!K30+JUL!K30+AGO!K30+SET!K30+OUT!K30+NOV!K30+DEZ!K30</f>
        <v>1652.088</v>
      </c>
      <c r="L30" s="21">
        <f>JAN!L30+FEV!L30+MAR!L30+ABR!L30+MAI!L30+JUN!L30+JUL!L30+AGO!L30+SET!L30+OUT!L30+NOV!L30+DEZ!L30</f>
        <v>0</v>
      </c>
      <c r="M30" s="21">
        <f>JAN!M30+FEV!M30+MAR!M30+ABR!M30+MAI!M30+JUN!M30+JUL!M30+AGO!M30+SET!M30+OUT!M30+NOV!M30+DEZ!M30</f>
        <v>0</v>
      </c>
      <c r="N30" s="21">
        <f>JAN!N30+FEV!N30+MAR!N30+ABR!N30+MAI!N30+JUN!N30+JUL!N30+AGO!N30+SET!N30+OUT!N30+NOV!N30+DEZ!N30</f>
        <v>583.28000000000009</v>
      </c>
      <c r="O30" s="21">
        <f>JAN!O30+FEV!O30+MAR!O30+ABR!O30+MAI!O30+JUN!O30+JUL!O30+AGO!O30+SET!O30+OUT!O30+NOV!O30+DEZ!O30</f>
        <v>0</v>
      </c>
      <c r="P30" s="21">
        <f>JAN!P30+FEV!P30+MAR!P30+ABR!P30+MAI!P30+JUN!P30+JUL!P30+AGO!P30+SET!P30+OUT!P30+NOV!P30+DEZ!P30</f>
        <v>0</v>
      </c>
      <c r="Q30" s="21">
        <f>JAN!Q30+FEV!Q30+MAR!Q30+ABR!Q30+MAI!Q30+JUN!Q30+JUL!Q30+AGO!Q30+SET!Q30+OUT!Q30+NOV!Q30+DEZ!Q30</f>
        <v>1431.0640000000001</v>
      </c>
      <c r="R30" s="22">
        <f t="shared" si="0"/>
        <v>1145048.0719999997</v>
      </c>
      <c r="S30" s="363">
        <f t="shared" si="1"/>
        <v>373056.95200000005</v>
      </c>
      <c r="T30" s="363">
        <f t="shared" si="1"/>
        <v>104584.488</v>
      </c>
      <c r="U30" s="363">
        <f t="shared" si="1"/>
        <v>13940.447999999999</v>
      </c>
      <c r="V30" s="363">
        <f t="shared" si="1"/>
        <v>14064.192000000003</v>
      </c>
      <c r="W30" s="363">
        <f t="shared" si="2"/>
        <v>588319.29599999997</v>
      </c>
      <c r="X30" s="363">
        <f t="shared" si="3"/>
        <v>51082.696000000011</v>
      </c>
    </row>
    <row r="31" spans="1:24">
      <c r="A31" s="13" t="s">
        <v>26</v>
      </c>
      <c r="B31" s="21">
        <f>JAN!B31+FEV!B31+MAR!B31+ABR!B31+MAI!B31+JUN!B31+JUL!B31+AGO!B31+SET!B31+OUT!B31+NOV!B31+DEZ!B31</f>
        <v>196633.19999999998</v>
      </c>
      <c r="C31" s="21">
        <f>JAN!C31+FEV!C31+MAR!C31+ABR!C31+MAI!C31+JUN!C31+JUL!C31+AGO!C31+SET!C31+OUT!C31+NOV!C31+DEZ!C31</f>
        <v>38199.704000000012</v>
      </c>
      <c r="D31" s="21">
        <f>JAN!D31+FEV!D31+MAR!D31+ABR!D31+MAI!D31+JUN!D31+JUL!D31+AGO!D31+SET!D31+OUT!D31+NOV!D31+DEZ!D31</f>
        <v>10895.152000000002</v>
      </c>
      <c r="E31" s="21">
        <f>JAN!E31+FEV!E31+MAR!E31+ABR!E31+MAI!E31+JUN!E31+JUL!E31+AGO!E31+SET!E31+OUT!E31+NOV!E31+DEZ!E31</f>
        <v>15569.232</v>
      </c>
      <c r="F31" s="21">
        <f>JAN!F31+FEV!F31+MAR!F31+ABR!F31+MAI!F31+JUN!F31+JUL!F31+AGO!F31+SET!F31+OUT!F31+NOV!F31+DEZ!F31</f>
        <v>339844.848</v>
      </c>
      <c r="G31" s="21">
        <f>JAN!G31+FEV!G31+MAR!G31+ABR!G31+MAI!G31+JUN!G31+JUL!G31+AGO!G31+SET!G31+OUT!G31+NOV!G31+DEZ!G31</f>
        <v>11538.84</v>
      </c>
      <c r="H31" s="21">
        <f>JAN!H31+FEV!H31+MAR!H31+ABR!H31+MAI!H31+JUN!H31+JUL!H31+AGO!H31+SET!H31+OUT!H31+NOV!H31+DEZ!H31</f>
        <v>9766.7520000000004</v>
      </c>
      <c r="I31" s="21">
        <f>JAN!I31+FEV!I31+MAR!I31+ABR!I31+MAI!I31+JUN!I31+JUL!I31+AGO!I31+SET!I31+OUT!I31+NOV!I31+DEZ!I31</f>
        <v>0</v>
      </c>
      <c r="J31" s="21">
        <f>JAN!J31+FEV!J31+MAR!J31+ABR!J31+MAI!J31+JUN!J31+JUL!J31+AGO!J31+SET!J31+OUT!J31+NOV!J31+DEZ!J31</f>
        <v>14931.464</v>
      </c>
      <c r="K31" s="21">
        <f>JAN!K31+FEV!K31+MAR!K31+ABR!K31+MAI!K31+JUN!K31+JUL!K31+AGO!K31+SET!K31+OUT!K31+NOV!K31+DEZ!K31</f>
        <v>1391.232</v>
      </c>
      <c r="L31" s="21">
        <f>JAN!L31+FEV!L31+MAR!L31+ABR!L31+MAI!L31+JUN!L31+JUL!L31+AGO!L31+SET!L31+OUT!L31+NOV!L31+DEZ!L31</f>
        <v>0</v>
      </c>
      <c r="M31" s="21">
        <f>JAN!M31+FEV!M31+MAR!M31+ABR!M31+MAI!M31+JUN!M31+JUL!M31+AGO!M31+SET!M31+OUT!M31+NOV!M31+DEZ!M31</f>
        <v>0</v>
      </c>
      <c r="N31" s="21">
        <f>JAN!N31+FEV!N31+MAR!N31+ABR!N31+MAI!N31+JUN!N31+JUL!N31+AGO!N31+SET!N31+OUT!N31+NOV!N31+DEZ!N31</f>
        <v>304.32</v>
      </c>
      <c r="O31" s="21">
        <f>JAN!O31+FEV!O31+MAR!O31+ABR!O31+MAI!O31+JUN!O31+JUL!O31+AGO!O31+SET!O31+OUT!O31+NOV!O31+DEZ!O31</f>
        <v>0</v>
      </c>
      <c r="P31" s="21">
        <f>JAN!P31+FEV!P31+MAR!P31+ABR!P31+MAI!P31+JUN!P31+JUL!P31+AGO!P31+SET!P31+OUT!P31+NOV!P31+DEZ!P31</f>
        <v>0</v>
      </c>
      <c r="Q31" s="21">
        <f>JAN!Q31+FEV!Q31+MAR!Q31+ABR!Q31+MAI!Q31+JUN!Q31+JUL!Q31+AGO!Q31+SET!Q31+OUT!Q31+NOV!Q31+DEZ!Q31</f>
        <v>351.37600000000003</v>
      </c>
      <c r="R31" s="22">
        <f t="shared" si="0"/>
        <v>639426.11999999988</v>
      </c>
      <c r="S31" s="363">
        <f t="shared" si="1"/>
        <v>196633.19999999998</v>
      </c>
      <c r="T31" s="363">
        <f t="shared" si="1"/>
        <v>38199.704000000012</v>
      </c>
      <c r="U31" s="363">
        <f t="shared" si="1"/>
        <v>10895.152000000002</v>
      </c>
      <c r="V31" s="363">
        <f t="shared" si="1"/>
        <v>15569.232</v>
      </c>
      <c r="W31" s="363">
        <f t="shared" si="2"/>
        <v>351383.68800000002</v>
      </c>
      <c r="X31" s="363">
        <f t="shared" si="3"/>
        <v>26745.144</v>
      </c>
    </row>
    <row r="32" spans="1:24">
      <c r="A32" s="4" t="s">
        <v>37</v>
      </c>
      <c r="B32" s="5">
        <f t="shared" ref="B32:R32" si="4">SUM(B5:B31)</f>
        <v>50606882.071999997</v>
      </c>
      <c r="C32" s="5">
        <f t="shared" si="4"/>
        <v>10952710.696</v>
      </c>
      <c r="D32" s="5">
        <f t="shared" si="4"/>
        <v>2742087.3999999994</v>
      </c>
      <c r="E32" s="5">
        <f t="shared" si="4"/>
        <v>2259813.6320000002</v>
      </c>
      <c r="F32" s="5">
        <f t="shared" si="4"/>
        <v>65164214.912000008</v>
      </c>
      <c r="G32" s="5">
        <f t="shared" si="4"/>
        <v>1366925.4560000002</v>
      </c>
      <c r="H32" s="5">
        <f t="shared" si="4"/>
        <v>2303311.8959999997</v>
      </c>
      <c r="I32" s="5">
        <f t="shared" si="4"/>
        <v>246070.27200000006</v>
      </c>
      <c r="J32" s="5">
        <f t="shared" si="4"/>
        <v>3425739.3840000005</v>
      </c>
      <c r="K32" s="5">
        <f t="shared" si="4"/>
        <v>237110.54400000002</v>
      </c>
      <c r="L32" s="5">
        <f t="shared" si="4"/>
        <v>21390.191999999999</v>
      </c>
      <c r="M32" s="5">
        <f t="shared" si="4"/>
        <v>34866.296000000002</v>
      </c>
      <c r="N32" s="5">
        <f t="shared" si="4"/>
        <v>110823.22400000002</v>
      </c>
      <c r="O32" s="5">
        <f t="shared" si="4"/>
        <v>135.25600000000003</v>
      </c>
      <c r="P32" s="5">
        <f t="shared" si="4"/>
        <v>6377.7619999999997</v>
      </c>
      <c r="Q32" s="5">
        <f t="shared" si="4"/>
        <v>102198.768</v>
      </c>
      <c r="R32" s="5">
        <f t="shared" si="4"/>
        <v>139580657.76200002</v>
      </c>
      <c r="S32" s="363">
        <f t="shared" ref="S32:X32" si="5">SUM(S5:S31)</f>
        <v>50606882.071999997</v>
      </c>
      <c r="T32" s="363">
        <f t="shared" si="5"/>
        <v>10952710.696</v>
      </c>
      <c r="U32" s="363">
        <f t="shared" si="5"/>
        <v>2742087.3999999994</v>
      </c>
      <c r="V32" s="363">
        <f t="shared" si="5"/>
        <v>2259813.6320000002</v>
      </c>
      <c r="W32" s="363">
        <f t="shared" si="5"/>
        <v>66531140.368000008</v>
      </c>
      <c r="X32" s="363">
        <f t="shared" si="5"/>
        <v>6488023.5940000014</v>
      </c>
    </row>
    <row r="33" spans="1:24">
      <c r="A33" s="373"/>
      <c r="B33" s="363">
        <f>B32-SUM('Dados - Receita e Qntd'!D4:D29)</f>
        <v>196633.20000000298</v>
      </c>
      <c r="C33" s="374"/>
      <c r="D33" s="374"/>
      <c r="E33" s="374"/>
      <c r="F33" s="374"/>
      <c r="H33" s="376">
        <f>SUM(H32:Q32)</f>
        <v>6488023.5940000005</v>
      </c>
      <c r="I33" s="391"/>
      <c r="J33" s="374"/>
      <c r="K33" s="374"/>
      <c r="L33" s="374"/>
      <c r="M33" s="374"/>
      <c r="N33" s="374"/>
      <c r="O33" s="374"/>
      <c r="P33" s="374"/>
      <c r="Q33" s="374"/>
      <c r="R33" s="363"/>
    </row>
    <row r="34" spans="1:24">
      <c r="A34" s="367"/>
      <c r="B34" s="367"/>
      <c r="C34" s="368"/>
      <c r="D34" s="368"/>
      <c r="E34" s="368"/>
      <c r="F34" s="368"/>
      <c r="H34" s="370"/>
      <c r="I34" s="368"/>
      <c r="J34" s="368"/>
      <c r="K34" s="368"/>
      <c r="L34" s="368"/>
      <c r="M34" s="368"/>
      <c r="N34" s="368"/>
      <c r="O34" s="368"/>
      <c r="P34" s="368"/>
      <c r="Q34" s="368"/>
      <c r="R34" s="369"/>
    </row>
    <row r="35" spans="1:24" ht="46.5">
      <c r="A35" s="840" t="s">
        <v>621</v>
      </c>
      <c r="B35" s="841"/>
      <c r="C35" s="841"/>
      <c r="D35" s="841"/>
      <c r="E35" s="841"/>
      <c r="F35" s="841"/>
      <c r="G35" s="841"/>
      <c r="H35" s="841"/>
      <c r="I35" s="841"/>
      <c r="J35" s="841"/>
      <c r="K35" s="841"/>
      <c r="L35" s="841"/>
      <c r="M35" s="841"/>
      <c r="N35" s="841"/>
      <c r="O35" s="841"/>
      <c r="P35" s="841"/>
      <c r="Q35" s="841"/>
      <c r="R35" s="842"/>
    </row>
    <row r="36" spans="1:24" ht="35.1" customHeight="1">
      <c r="A36" s="843" t="s">
        <v>33</v>
      </c>
      <c r="B36" s="845" t="s">
        <v>27</v>
      </c>
      <c r="C36" s="846"/>
      <c r="D36" s="845" t="s">
        <v>29</v>
      </c>
      <c r="E36" s="846"/>
      <c r="F36" s="843" t="s">
        <v>28</v>
      </c>
      <c r="G36" s="843" t="s">
        <v>36</v>
      </c>
      <c r="H36" s="843" t="s">
        <v>30</v>
      </c>
      <c r="I36" s="843" t="s">
        <v>31</v>
      </c>
      <c r="J36" s="843" t="s">
        <v>32</v>
      </c>
      <c r="K36" s="843" t="s">
        <v>35</v>
      </c>
      <c r="L36" s="843" t="s">
        <v>40</v>
      </c>
      <c r="M36" s="843" t="s">
        <v>42</v>
      </c>
      <c r="N36" s="843" t="s">
        <v>45</v>
      </c>
      <c r="O36" s="843" t="s">
        <v>279</v>
      </c>
      <c r="P36" s="845" t="s">
        <v>49</v>
      </c>
      <c r="Q36" s="846"/>
      <c r="R36" s="843" t="s">
        <v>34</v>
      </c>
    </row>
    <row r="37" spans="1:24" ht="35.1" customHeight="1">
      <c r="A37" s="844"/>
      <c r="B37" s="23" t="s">
        <v>43</v>
      </c>
      <c r="C37" s="350" t="s">
        <v>44</v>
      </c>
      <c r="D37" s="23" t="s">
        <v>43</v>
      </c>
      <c r="E37" s="350" t="s">
        <v>44</v>
      </c>
      <c r="F37" s="844"/>
      <c r="G37" s="844"/>
      <c r="H37" s="844"/>
      <c r="I37" s="844"/>
      <c r="J37" s="844"/>
      <c r="K37" s="844"/>
      <c r="L37" s="844"/>
      <c r="M37" s="844"/>
      <c r="N37" s="844"/>
      <c r="O37" s="844"/>
      <c r="P37" s="349" t="s">
        <v>50</v>
      </c>
      <c r="Q37" s="349" t="s">
        <v>51</v>
      </c>
      <c r="R37" s="844"/>
    </row>
    <row r="38" spans="1:24">
      <c r="A38" s="1" t="s">
        <v>0</v>
      </c>
      <c r="B38" s="20">
        <f>JAN!B40+FEV!B40+MAR!B40+ABR!B40+MAI!B40+JUN!B40+JUL!B40+AGO!B40+SET!B40+OUT!B40+NOV!B40+DEZ!B40</f>
        <v>36456.733999999997</v>
      </c>
      <c r="C38" s="20">
        <f>JAN!C40+FEV!C40+MAR!C40+ABR!C40+MAI!C40+JUN!C40+JUL!C40+AGO!C40+SET!C40+OUT!C40+NOV!C40+DEZ!C40</f>
        <v>16287.202000000001</v>
      </c>
      <c r="D38" s="20">
        <f>JAN!D40+FEV!D40+MAR!D40+ABR!D40+MAI!D40+JUN!D40+JUL!D40+AGO!D40+SET!D40+OUT!D40+NOV!D40+DEZ!D40</f>
        <v>2870.0320000000002</v>
      </c>
      <c r="E38" s="20">
        <f>JAN!E40+FEV!E40+MAR!E40+ABR!E40+MAI!E40+JUN!E40+JUL!E40+AGO!E40+SET!E40+OUT!E40+NOV!E40+DEZ!E40</f>
        <v>1523.5119999999999</v>
      </c>
      <c r="F38" s="20">
        <f>JAN!F40+FEV!F40+MAR!F40+ABR!F40+MAI!F40+JUN!F40+JUL!F40+AGO!F40+SET!F40+OUT!F40+NOV!F40+DEZ!F40</f>
        <v>47303.16</v>
      </c>
      <c r="G38" s="20">
        <f>JAN!G40+FEV!G40+MAR!G40+ABR!G40+MAI!G40+JUN!G40+JUL!G40+AGO!G40+SET!G40+OUT!G40+NOV!G40+DEZ!G40</f>
        <v>2499.87</v>
      </c>
      <c r="H38" s="20">
        <f>JAN!H40+FEV!H40+MAR!H40+ABR!H40+MAI!H40+JUN!H40+JUL!H40+AGO!H40+SET!H40+OUT!H40+NOV!H40+DEZ!H40</f>
        <v>1941.7280000000001</v>
      </c>
      <c r="I38" s="20">
        <f>JAN!I40+FEV!I40+MAR!I40+ABR!I40+MAI!I40+JUN!I40+JUL!I40+AGO!I40+SET!I40+OUT!I40+NOV!I40+DEZ!I40</f>
        <v>0</v>
      </c>
      <c r="J38" s="20">
        <f>JAN!J40+FEV!J40+MAR!J40+ABR!J40+MAI!J40+JUN!J40+JUL!J40+AGO!J40+SET!J40+OUT!J40+NOV!J40+DEZ!J40</f>
        <v>4665.17</v>
      </c>
      <c r="K38" s="20">
        <f>JAN!K40+FEV!K40+MAR!K40+ABR!K40+MAI!K40+JUN!K40+JUL!K40+AGO!K40+SET!K40+OUT!K40+NOV!K40+DEZ!K40</f>
        <v>999.94800000000009</v>
      </c>
      <c r="L38" s="20">
        <f>JAN!L40+FEV!L40+MAR!L40+ABR!L40+MAI!L40+JUN!L40+JUL!L40+AGO!L40+SET!L40+OUT!L40+NOV!L40+DEZ!L40</f>
        <v>0</v>
      </c>
      <c r="M38" s="20">
        <f>JAN!M40+FEV!M40+MAR!M40+ABR!M40+MAI!M40+JUN!M40+JUL!M40+AGO!M40+SET!M40+OUT!M40+NOV!M40+DEZ!M40</f>
        <v>0</v>
      </c>
      <c r="N38" s="20">
        <f>JAN!N40+FEV!N40+MAR!N40+ABR!N40+MAI!N40+JUN!N40+JUL!N40+AGO!N40+SET!N40+OUT!N40+NOV!N40+DEZ!N40</f>
        <v>88.134</v>
      </c>
      <c r="O38" s="20">
        <f>JAN!O40+FEV!O40+MAR!O40+ABR!O40+MAI!O40+JUN!O40+JUL!O40+AGO!O40+SET!O40+OUT!O40+NOV!O40+DEZ!O40</f>
        <v>0</v>
      </c>
      <c r="P38" s="20">
        <f>JAN!P40+FEV!P40+MAR!P40+ABR!P40+MAI!P40+JUN!P40+JUL!P40+AGO!P40+SET!P40+OUT!P40+NOV!P40+DEZ!P40</f>
        <v>0</v>
      </c>
      <c r="Q38" s="20">
        <f>JAN!Q40+FEV!Q40+MAR!Q40+ABR!Q40+MAI!Q40+JUN!Q40+JUL!Q40+AGO!Q40+SET!Q40+OUT!Q40+NOV!Q40+DEZ!Q40</f>
        <v>0</v>
      </c>
      <c r="R38" s="3">
        <f t="shared" ref="R38:R64" si="6">SUM(B38:Q38)</f>
        <v>114635.49000000002</v>
      </c>
    </row>
    <row r="39" spans="1:24">
      <c r="A39" s="1" t="s">
        <v>1</v>
      </c>
      <c r="B39" s="20">
        <f>JAN!B41+FEV!B41+MAR!B41+ABR!B41+MAI!B41+JUN!B41+JUL!B41+AGO!B41+SET!B41+OUT!B41+NOV!B41+DEZ!B41</f>
        <v>123794.13600000001</v>
      </c>
      <c r="C39" s="20">
        <f>JAN!C41+FEV!C41+MAR!C41+ABR!C41+MAI!C41+JUN!C41+JUL!C41+AGO!C41+SET!C41+OUT!C41+NOV!C41+DEZ!C41</f>
        <v>30479.721999999998</v>
      </c>
      <c r="D39" s="20">
        <f>JAN!D41+FEV!D41+MAR!D41+ABR!D41+MAI!D41+JUN!D41+JUL!D41+AGO!D41+SET!D41+OUT!D41+NOV!D41+DEZ!D41</f>
        <v>2830.0620000000004</v>
      </c>
      <c r="E39" s="20">
        <f>JAN!E41+FEV!E41+MAR!E41+ABR!E41+MAI!E41+JUN!E41+JUL!E41+AGO!E41+SET!E41+OUT!E41+NOV!E41+DEZ!E41</f>
        <v>1511.6560000000002</v>
      </c>
      <c r="F39" s="20">
        <f>JAN!F41+FEV!F41+MAR!F41+ABR!F41+MAI!F41+JUN!F41+JUL!F41+AGO!F41+SET!F41+OUT!F41+NOV!F41+DEZ!F41</f>
        <v>145913.19</v>
      </c>
      <c r="G39" s="20">
        <f>JAN!G41+FEV!G41+MAR!G41+ABR!G41+MAI!G41+JUN!G41+JUL!G41+AGO!G41+SET!G41+OUT!G41+NOV!G41+DEZ!G41</f>
        <v>5560.6320000000014</v>
      </c>
      <c r="H39" s="20">
        <f>JAN!H41+FEV!H41+MAR!H41+ABR!H41+MAI!H41+JUN!H41+JUL!H41+AGO!H41+SET!H41+OUT!H41+NOV!H41+DEZ!H41</f>
        <v>5397.6379999999999</v>
      </c>
      <c r="I39" s="20">
        <f>JAN!I41+FEV!I41+MAR!I41+ABR!I41+MAI!I41+JUN!I41+JUL!I41+AGO!I41+SET!I41+OUT!I41+NOV!I41+DEZ!I41</f>
        <v>114.282</v>
      </c>
      <c r="J39" s="20">
        <f>JAN!J41+FEV!J41+MAR!J41+ABR!J41+MAI!J41+JUN!J41+JUL!J41+AGO!J41+SET!J41+OUT!J41+NOV!J41+DEZ!J41</f>
        <v>7824.6920000000009</v>
      </c>
      <c r="K39" s="20">
        <f>JAN!K41+FEV!K41+MAR!K41+ABR!K41+MAI!K41+JUN!K41+JUL!K41+AGO!K41+SET!K41+OUT!K41+NOV!K41+DEZ!K41</f>
        <v>434.76</v>
      </c>
      <c r="L39" s="20">
        <f>JAN!L41+FEV!L41+MAR!L41+ABR!L41+MAI!L41+JUN!L41+JUL!L41+AGO!L41+SET!L41+OUT!L41+NOV!L41+DEZ!L41</f>
        <v>86.951999999999998</v>
      </c>
      <c r="M39" s="20">
        <f>JAN!M41+FEV!M41+MAR!M41+ABR!M41+MAI!M41+JUN!M41+JUL!M41+AGO!M41+SET!M41+OUT!M41+NOV!M41+DEZ!M41</f>
        <v>0</v>
      </c>
      <c r="N39" s="20">
        <f>JAN!N41+FEV!N41+MAR!N41+ABR!N41+MAI!N41+JUN!N41+JUL!N41+AGO!N41+SET!N41+OUT!N41+NOV!N41+DEZ!N41</f>
        <v>151.53400000000002</v>
      </c>
      <c r="O39" s="20">
        <f>JAN!O41+FEV!O41+MAR!O41+ABR!O41+MAI!O41+JUN!O41+JUL!O41+AGO!O41+SET!O41+OUT!O41+NOV!O41+DEZ!O41</f>
        <v>0</v>
      </c>
      <c r="P39" s="20">
        <f>JAN!P41+FEV!P41+MAR!P41+ABR!P41+MAI!P41+JUN!P41+JUL!P41+AGO!P41+SET!P41+OUT!P41+NOV!P41+DEZ!P41</f>
        <v>0</v>
      </c>
      <c r="Q39" s="20">
        <f>JAN!Q41+FEV!Q41+MAR!Q41+ABR!Q41+MAI!Q41+JUN!Q41+JUL!Q41+AGO!Q41+SET!Q41+OUT!Q41+NOV!Q41+DEZ!Q41</f>
        <v>0</v>
      </c>
      <c r="R39" s="3">
        <f t="shared" si="6"/>
        <v>324099.25599999994</v>
      </c>
      <c r="S39" s="372" t="s">
        <v>173</v>
      </c>
      <c r="T39" s="372" t="s">
        <v>291</v>
      </c>
      <c r="U39" s="372" t="s">
        <v>174</v>
      </c>
      <c r="V39" s="372" t="s">
        <v>292</v>
      </c>
      <c r="W39" s="372" t="s">
        <v>28</v>
      </c>
      <c r="X39" s="372" t="s">
        <v>175</v>
      </c>
    </row>
    <row r="40" spans="1:24">
      <c r="A40" s="13" t="s">
        <v>2</v>
      </c>
      <c r="B40" s="20">
        <f>JAN!B42+FEV!B42+MAR!B42+ABR!B42+MAI!B42+JUN!B42+JUL!B42+AGO!B42+SET!B42+OUT!B42+NOV!B42+DEZ!B42</f>
        <v>39587.811999999998</v>
      </c>
      <c r="C40" s="20">
        <f>JAN!C42+FEV!C42+MAR!C42+ABR!C42+MAI!C42+JUN!C42+JUL!C42+AGO!C42+SET!C42+OUT!C42+NOV!C42+DEZ!C42</f>
        <v>14043.542000000001</v>
      </c>
      <c r="D40" s="20">
        <f>JAN!D42+FEV!D42+MAR!D42+ABR!D42+MAI!D42+JUN!D42+JUL!D42+AGO!D42+SET!D42+OUT!D42+NOV!D42+DEZ!D42</f>
        <v>3834.0619999999999</v>
      </c>
      <c r="E40" s="20">
        <f>JAN!E42+FEV!E42+MAR!E42+ABR!E42+MAI!E42+JUN!E42+JUL!E42+AGO!E42+SET!E42+OUT!E42+NOV!E42+DEZ!E42</f>
        <v>3459.0459999999998</v>
      </c>
      <c r="F40" s="20">
        <f>JAN!F42+FEV!F42+MAR!F42+ABR!F42+MAI!F42+JUN!F42+JUL!F42+AGO!F42+SET!F42+OUT!F42+NOV!F42+DEZ!F42</f>
        <v>64261.36</v>
      </c>
      <c r="G40" s="20">
        <f>JAN!G42+FEV!G42+MAR!G42+ABR!G42+MAI!G42+JUN!G42+JUL!G42+AGO!G42+SET!G42+OUT!G42+NOV!G42+DEZ!G42</f>
        <v>5910.5880000000006</v>
      </c>
      <c r="H40" s="20">
        <f>JAN!H42+FEV!H42+MAR!H42+ABR!H42+MAI!H42+JUN!H42+JUL!H42+AGO!H42+SET!H42+OUT!H42+NOV!H42+DEZ!H42</f>
        <v>2077.1999999999998</v>
      </c>
      <c r="I40" s="20">
        <f>JAN!I42+FEV!I42+MAR!I42+ABR!I42+MAI!I42+JUN!I42+JUL!I42+AGO!I42+SET!I42+OUT!I42+NOV!I42+DEZ!I42</f>
        <v>825.05799999999999</v>
      </c>
      <c r="J40" s="20">
        <f>JAN!J42+FEV!J42+MAR!J42+ABR!J42+MAI!J42+JUN!J42+JUL!J42+AGO!J42+SET!J42+OUT!J42+NOV!J42+DEZ!J42</f>
        <v>4804.1360000000004</v>
      </c>
      <c r="K40" s="20">
        <f>JAN!K42+FEV!K42+MAR!K42+ABR!K42+MAI!K42+JUN!K42+JUL!K42+AGO!K42+SET!K42+OUT!K42+NOV!K42+DEZ!K42</f>
        <v>1565.1360000000002</v>
      </c>
      <c r="L40" s="20">
        <f>JAN!L42+FEV!L42+MAR!L42+ABR!L42+MAI!L42+JUN!L42+JUL!L42+AGO!L42+SET!L42+OUT!L42+NOV!L42+DEZ!L42</f>
        <v>0</v>
      </c>
      <c r="M40" s="20">
        <f>JAN!M42+FEV!M42+MAR!M42+ABR!M42+MAI!M42+JUN!M42+JUL!M42+AGO!M42+SET!M42+OUT!M42+NOV!M42+DEZ!M42</f>
        <v>0</v>
      </c>
      <c r="N40" s="20">
        <f>JAN!N42+FEV!N42+MAR!N42+ABR!N42+MAI!N42+JUN!N42+JUL!N42+AGO!N42+SET!N42+OUT!N42+NOV!N42+DEZ!N42</f>
        <v>82.420000000000016</v>
      </c>
      <c r="O40" s="20">
        <f>JAN!O42+FEV!O42+MAR!O42+ABR!O42+MAI!O42+JUN!O42+JUL!O42+AGO!O42+SET!O42+OUT!O42+NOV!O42+DEZ!O42</f>
        <v>0</v>
      </c>
      <c r="P40" s="20">
        <f>JAN!P42+FEV!P42+MAR!P42+ABR!P42+MAI!P42+JUN!P42+JUL!P42+AGO!P42+SET!P42+OUT!P42+NOV!P42+DEZ!P42</f>
        <v>0</v>
      </c>
      <c r="Q40" s="20">
        <f>JAN!Q42+FEV!Q42+MAR!Q42+ABR!Q42+MAI!Q42+JUN!Q42+JUL!Q42+AGO!Q42+SET!Q42+OUT!Q42+NOV!Q42+DEZ!Q42</f>
        <v>0</v>
      </c>
      <c r="R40" s="3">
        <f t="shared" si="6"/>
        <v>140450.36000000002</v>
      </c>
      <c r="S40" s="363">
        <f>B40</f>
        <v>39587.811999999998</v>
      </c>
      <c r="T40" s="363">
        <f>C40</f>
        <v>14043.542000000001</v>
      </c>
      <c r="U40" s="363">
        <f>D40</f>
        <v>3834.0619999999999</v>
      </c>
      <c r="V40" s="363">
        <f>E40</f>
        <v>3459.0459999999998</v>
      </c>
      <c r="W40" s="363">
        <f>F40+G40</f>
        <v>70171.948000000004</v>
      </c>
      <c r="X40" s="363">
        <f>SUM(H40:Q40)</f>
        <v>9353.9500000000007</v>
      </c>
    </row>
    <row r="41" spans="1:24">
      <c r="A41" s="2" t="s">
        <v>3</v>
      </c>
      <c r="B41" s="20">
        <f>JAN!B43+FEV!B43+MAR!B43+ABR!B43+MAI!B43+JUN!B43+JUL!B43+AGO!B43+SET!B43+OUT!B43+NOV!B43+DEZ!B43</f>
        <v>105652.23800000001</v>
      </c>
      <c r="C41" s="20">
        <f>JAN!C43+FEV!C43+MAR!C43+ABR!C43+MAI!C43+JUN!C43+JUL!C43+AGO!C43+SET!C43+OUT!C43+NOV!C43+DEZ!C43</f>
        <v>24520.437999999998</v>
      </c>
      <c r="D41" s="20">
        <f>JAN!D43+FEV!D43+MAR!D43+ABR!D43+MAI!D43+JUN!D43+JUL!D43+AGO!D43+SET!D43+OUT!D43+NOV!D43+DEZ!D43</f>
        <v>3899.7580000000007</v>
      </c>
      <c r="E41" s="20">
        <f>JAN!E43+FEV!E43+MAR!E43+ABR!E43+MAI!E43+JUN!E43+JUL!E43+AGO!E43+SET!E43+OUT!E43+NOV!E43+DEZ!E43</f>
        <v>3396.9520000000007</v>
      </c>
      <c r="F41" s="20">
        <f>JAN!F43+FEV!F43+MAR!F43+ABR!F43+MAI!F43+JUN!F43+JUL!F43+AGO!F43+SET!F43+OUT!F43+NOV!F43+DEZ!F43</f>
        <v>132374.19600000003</v>
      </c>
      <c r="G41" s="20">
        <f>JAN!G43+FEV!G43+MAR!G43+ABR!G43+MAI!G43+JUN!G43+JUL!G43+AGO!G43+SET!G43+OUT!G43+NOV!G43+DEZ!G43</f>
        <v>3695.46</v>
      </c>
      <c r="H41" s="20">
        <f>JAN!H43+FEV!H43+MAR!H43+ABR!H43+MAI!H43+JUN!H43+JUL!H43+AGO!H43+SET!H43+OUT!H43+NOV!H43+DEZ!H43</f>
        <v>3915.2500000000009</v>
      </c>
      <c r="I41" s="20">
        <f>JAN!I43+FEV!I43+MAR!I43+ABR!I43+MAI!I43+JUN!I43+JUL!I43+AGO!I43+SET!I43+OUT!I43+NOV!I43+DEZ!I43</f>
        <v>0</v>
      </c>
      <c r="J41" s="20">
        <f>JAN!J43+FEV!J43+MAR!J43+ABR!J43+MAI!J43+JUN!J43+JUL!J43+AGO!J43+SET!J43+OUT!J43+NOV!J43+DEZ!J43</f>
        <v>7375.8540000000021</v>
      </c>
      <c r="K41" s="20">
        <f>JAN!K43+FEV!K43+MAR!K43+ABR!K43+MAI!K43+JUN!K43+JUL!K43+AGO!K43+SET!K43+OUT!K43+NOV!K43+DEZ!K43</f>
        <v>413.02199999999999</v>
      </c>
      <c r="L41" s="20">
        <f>JAN!L43+FEV!L43+MAR!L43+ABR!L43+MAI!L43+JUN!L43+JUL!L43+AGO!L43+SET!L43+OUT!L43+NOV!L43+DEZ!L43</f>
        <v>43.475999999999999</v>
      </c>
      <c r="M41" s="20">
        <f>JAN!M43+FEV!M43+MAR!M43+ABR!M43+MAI!M43+JUN!M43+JUL!M43+AGO!M43+SET!M43+OUT!M43+NOV!M43+DEZ!M43</f>
        <v>1802.7020000000005</v>
      </c>
      <c r="N41" s="20">
        <f>JAN!N43+FEV!N43+MAR!N43+ABR!N43+MAI!N43+JUN!N43+JUL!N43+AGO!N43+SET!N43+OUT!N43+NOV!N43+DEZ!N43</f>
        <v>169.92800000000005</v>
      </c>
      <c r="O41" s="20">
        <f>JAN!O43+FEV!O43+MAR!O43+ABR!O43+MAI!O43+JUN!O43+JUL!O43+AGO!O43+SET!O43+OUT!O43+NOV!O43+DEZ!O43</f>
        <v>0</v>
      </c>
      <c r="P41" s="20">
        <f>JAN!P43+FEV!P43+MAR!P43+ABR!P43+MAI!P43+JUN!P43+JUL!P43+AGO!P43+SET!P43+OUT!P43+NOV!P43+DEZ!P43</f>
        <v>0</v>
      </c>
      <c r="Q41" s="20">
        <f>JAN!Q43+FEV!Q43+MAR!Q43+ABR!Q43+MAI!Q43+JUN!Q43+JUL!Q43+AGO!Q43+SET!Q43+OUT!Q43+NOV!Q43+DEZ!Q43</f>
        <v>0</v>
      </c>
      <c r="R41" s="3">
        <f t="shared" si="6"/>
        <v>287259.27400000009</v>
      </c>
      <c r="S41" s="363">
        <f t="shared" ref="S41:V65" si="7">B41</f>
        <v>105652.23800000001</v>
      </c>
      <c r="T41" s="363">
        <f t="shared" si="7"/>
        <v>24520.437999999998</v>
      </c>
      <c r="U41" s="363">
        <f t="shared" si="7"/>
        <v>3899.7580000000007</v>
      </c>
      <c r="V41" s="363">
        <f t="shared" si="7"/>
        <v>3396.9520000000007</v>
      </c>
      <c r="W41" s="363">
        <f t="shared" ref="W41:W65" si="8">F41+G41</f>
        <v>136069.65600000002</v>
      </c>
      <c r="X41" s="363">
        <f t="shared" ref="X41:X65" si="9">SUM(H41:Q41)</f>
        <v>13720.232000000005</v>
      </c>
    </row>
    <row r="42" spans="1:24">
      <c r="A42" s="1" t="s">
        <v>4</v>
      </c>
      <c r="B42" s="20">
        <f>JAN!B44+FEV!B44+MAR!B44+ABR!B44+MAI!B44+JUN!B44+JUL!B44+AGO!B44+SET!B44+OUT!B44+NOV!B44+DEZ!B44</f>
        <v>382559.97200000001</v>
      </c>
      <c r="C42" s="20">
        <f>JAN!C44+FEV!C44+MAR!C44+ABR!C44+MAI!C44+JUN!C44+JUL!C44+AGO!C44+SET!C44+OUT!C44+NOV!C44+DEZ!C44</f>
        <v>72362.754000000001</v>
      </c>
      <c r="D42" s="20">
        <f>JAN!D44+FEV!D44+MAR!D44+ABR!D44+MAI!D44+JUN!D44+JUL!D44+AGO!D44+SET!D44+OUT!D44+NOV!D44+DEZ!D44</f>
        <v>16695.574000000001</v>
      </c>
      <c r="E42" s="20">
        <f>JAN!E44+FEV!E44+MAR!E44+ABR!E44+MAI!E44+JUN!E44+JUL!E44+AGO!E44+SET!E44+OUT!E44+NOV!E44+DEZ!E44</f>
        <v>13336.422</v>
      </c>
      <c r="F42" s="20">
        <f>JAN!F44+FEV!F44+MAR!F44+ABR!F44+MAI!F44+JUN!F44+JUL!F44+AGO!F44+SET!F44+OUT!F44+NOV!F44+DEZ!F44</f>
        <v>432307.30200000003</v>
      </c>
      <c r="G42" s="20">
        <f>JAN!G44+FEV!G44+MAR!G44+ABR!G44+MAI!G44+JUN!G44+JUL!G44+AGO!G44+SET!G44+OUT!G44+NOV!G44+DEZ!G44</f>
        <v>11803.734000000002</v>
      </c>
      <c r="H42" s="20">
        <f>JAN!H44+FEV!H44+MAR!H44+ABR!H44+MAI!H44+JUN!H44+JUL!H44+AGO!H44+SET!H44+OUT!H44+NOV!H44+DEZ!H44</f>
        <v>14168.76</v>
      </c>
      <c r="I42" s="20">
        <f>JAN!I44+FEV!I44+MAR!I44+ABR!I44+MAI!I44+JUN!I44+JUL!I44+AGO!I44+SET!I44+OUT!I44+NOV!I44+DEZ!I44</f>
        <v>0</v>
      </c>
      <c r="J42" s="20">
        <f>JAN!J44+FEV!J44+MAR!J44+ABR!J44+MAI!J44+JUN!J44+JUL!J44+AGO!J44+SET!J44+OUT!J44+NOV!J44+DEZ!J44</f>
        <v>24070.225999999999</v>
      </c>
      <c r="K42" s="20">
        <f>JAN!K44+FEV!K44+MAR!K44+ABR!K44+MAI!K44+JUN!K44+JUL!K44+AGO!K44+SET!K44+OUT!K44+NOV!K44+DEZ!K44</f>
        <v>1869.4680000000001</v>
      </c>
      <c r="L42" s="20">
        <f>JAN!L44+FEV!L44+MAR!L44+ABR!L44+MAI!L44+JUN!L44+JUL!L44+AGO!L44+SET!L44+OUT!L44+NOV!L44+DEZ!L44</f>
        <v>260.85599999999999</v>
      </c>
      <c r="M42" s="20">
        <f>JAN!M44+FEV!M44+MAR!M44+ABR!M44+MAI!M44+JUN!M44+JUL!M44+AGO!M44+SET!M44+OUT!M44+NOV!M44+DEZ!M44</f>
        <v>634.04</v>
      </c>
      <c r="N42" s="20">
        <f>JAN!N44+FEV!N44+MAR!N44+ABR!N44+MAI!N44+JUN!N44+JUL!N44+AGO!N44+SET!N44+OUT!N44+NOV!N44+DEZ!N44</f>
        <v>978.94399999999996</v>
      </c>
      <c r="O42" s="20">
        <f>JAN!O44+FEV!O44+MAR!O44+ABR!O44+MAI!O44+JUN!O44+JUL!O44+AGO!O44+SET!O44+OUT!O44+NOV!O44+DEZ!O44</f>
        <v>0</v>
      </c>
      <c r="P42" s="20">
        <f>JAN!P44+FEV!P44+MAR!P44+ABR!P44+MAI!P44+JUN!P44+JUL!P44+AGO!P44+SET!P44+OUT!P44+NOV!P44+DEZ!P44</f>
        <v>25.852</v>
      </c>
      <c r="Q42" s="20">
        <f>JAN!Q44+FEV!Q44+MAR!Q44+ABR!Q44+MAI!Q44+JUN!Q44+JUL!Q44+AGO!Q44+SET!Q44+OUT!Q44+NOV!Q44+DEZ!Q44</f>
        <v>258.53200000000004</v>
      </c>
      <c r="R42" s="3">
        <f t="shared" si="6"/>
        <v>971332.43600000022</v>
      </c>
      <c r="S42" s="363">
        <f t="shared" si="7"/>
        <v>382559.97200000001</v>
      </c>
      <c r="T42" s="363">
        <f t="shared" si="7"/>
        <v>72362.754000000001</v>
      </c>
      <c r="U42" s="363">
        <f t="shared" si="7"/>
        <v>16695.574000000001</v>
      </c>
      <c r="V42" s="363">
        <f t="shared" si="7"/>
        <v>13336.422</v>
      </c>
      <c r="W42" s="363">
        <f t="shared" si="8"/>
        <v>444111.03600000002</v>
      </c>
      <c r="X42" s="363">
        <f t="shared" si="9"/>
        <v>42266.678</v>
      </c>
    </row>
    <row r="43" spans="1:24">
      <c r="A43" s="1" t="s">
        <v>5</v>
      </c>
      <c r="B43" s="20">
        <f>JAN!B45+FEV!B45+MAR!B45+ABR!B45+MAI!B45+JUN!B45+JUL!B45+AGO!B45+SET!B45+OUT!B45+NOV!B45+DEZ!B45</f>
        <v>270885.33600000007</v>
      </c>
      <c r="C43" s="20">
        <f>JAN!C45+FEV!C45+MAR!C45+ABR!C45+MAI!C45+JUN!C45+JUL!C45+AGO!C45+SET!C45+OUT!C45+NOV!C45+DEZ!C45</f>
        <v>74656.55</v>
      </c>
      <c r="D43" s="20">
        <f>JAN!D45+FEV!D45+MAR!D45+ABR!D45+MAI!D45+JUN!D45+JUL!D45+AGO!D45+SET!D45+OUT!D45+NOV!D45+DEZ!D45</f>
        <v>9820.7920000000013</v>
      </c>
      <c r="E43" s="20">
        <f>JAN!E45+FEV!E45+MAR!E45+ABR!E45+MAI!E45+JUN!E45+JUL!E45+AGO!E45+SET!E45+OUT!E45+NOV!E45+DEZ!E45</f>
        <v>14089.477999999999</v>
      </c>
      <c r="F43" s="20">
        <f>JAN!F45+FEV!F45+MAR!F45+ABR!F45+MAI!F45+JUN!F45+JUL!F45+AGO!F45+SET!F45+OUT!F45+NOV!F45+DEZ!F45</f>
        <v>271315.15800000005</v>
      </c>
      <c r="G43" s="20">
        <f>JAN!G45+FEV!G45+MAR!G45+ABR!G45+MAI!G45+JUN!G45+JUL!G45+AGO!G45+SET!G45+OUT!G45+NOV!G45+DEZ!G45</f>
        <v>8082.2400000000016</v>
      </c>
      <c r="H43" s="20">
        <f>JAN!H45+FEV!H45+MAR!H45+ABR!H45+MAI!H45+JUN!H45+JUL!H45+AGO!H45+SET!H45+OUT!H45+NOV!H45+DEZ!H45</f>
        <v>13782.714000000002</v>
      </c>
      <c r="I43" s="20">
        <f>JAN!I45+FEV!I45+MAR!I45+ABR!I45+MAI!I45+JUN!I45+JUL!I45+AGO!I45+SET!I45+OUT!I45+NOV!I45+DEZ!I45</f>
        <v>1397.2760000000001</v>
      </c>
      <c r="J43" s="20">
        <f>JAN!J45+FEV!J45+MAR!J45+ABR!J45+MAI!J45+JUN!J45+JUL!J45+AGO!J45+SET!J45+OUT!J45+NOV!J45+DEZ!J45</f>
        <v>24912.516</v>
      </c>
      <c r="K43" s="20">
        <f>JAN!K45+FEV!K45+MAR!K45+ABR!K45+MAI!K45+JUN!K45+JUL!K45+AGO!K45+SET!K45+OUT!K45+NOV!K45+DEZ!K45</f>
        <v>1195.5900000000001</v>
      </c>
      <c r="L43" s="20">
        <f>JAN!L45+FEV!L45+MAR!L45+ABR!L45+MAI!L45+JUN!L45+JUL!L45+AGO!L45+SET!L45+OUT!L45+NOV!L45+DEZ!L45</f>
        <v>43.475999999999999</v>
      </c>
      <c r="M43" s="20">
        <f>JAN!M45+FEV!M45+MAR!M45+ABR!M45+MAI!M45+JUN!M45+JUL!M45+AGO!M45+SET!M45+OUT!M45+NOV!M45+DEZ!M45</f>
        <v>532.596</v>
      </c>
      <c r="N43" s="20">
        <f>JAN!N45+FEV!N45+MAR!N45+ABR!N45+MAI!N45+JUN!N45+JUL!N45+AGO!N45+SET!N45+OUT!N45+NOV!N45+DEZ!N45</f>
        <v>556.04200000000003</v>
      </c>
      <c r="O43" s="20">
        <f>JAN!O45+FEV!O45+MAR!O45+ABR!O45+MAI!O45+JUN!O45+JUL!O45+AGO!O45+SET!O45+OUT!O45+NOV!O45+DEZ!O45</f>
        <v>0</v>
      </c>
      <c r="P43" s="20">
        <f>JAN!P45+FEV!P45+MAR!P45+ABR!P45+MAI!P45+JUN!P45+JUL!P45+AGO!P45+SET!P45+OUT!P45+NOV!P45+DEZ!P45</f>
        <v>137.19200000000001</v>
      </c>
      <c r="Q43" s="20">
        <f>JAN!Q45+FEV!Q45+MAR!Q45+ABR!Q45+MAI!Q45+JUN!Q45+JUL!Q45+AGO!Q45+SET!Q45+OUT!Q45+NOV!Q45+DEZ!Q45</f>
        <v>1811.6580000000001</v>
      </c>
      <c r="R43" s="3">
        <f t="shared" si="6"/>
        <v>693218.61400000018</v>
      </c>
      <c r="S43" s="363">
        <f t="shared" si="7"/>
        <v>270885.33600000007</v>
      </c>
      <c r="T43" s="363">
        <f t="shared" si="7"/>
        <v>74656.55</v>
      </c>
      <c r="U43" s="363">
        <f t="shared" si="7"/>
        <v>9820.7920000000013</v>
      </c>
      <c r="V43" s="363">
        <f t="shared" si="7"/>
        <v>14089.477999999999</v>
      </c>
      <c r="W43" s="363">
        <f t="shared" si="8"/>
        <v>279397.39800000004</v>
      </c>
      <c r="X43" s="363">
        <f t="shared" si="9"/>
        <v>44369.060000000012</v>
      </c>
    </row>
    <row r="44" spans="1:24">
      <c r="A44" s="1" t="s">
        <v>6</v>
      </c>
      <c r="B44" s="20">
        <f>JAN!B46+FEV!B46+MAR!B46+ABR!B46+MAI!B46+JUN!B46+JUL!B46+AGO!B46+SET!B46+OUT!B46+NOV!B46+DEZ!B46</f>
        <v>421024.95600000001</v>
      </c>
      <c r="C44" s="20">
        <f>JAN!C46+FEV!C46+MAR!C46+ABR!C46+MAI!C46+JUN!C46+JUL!C46+AGO!C46+SET!C46+OUT!C46+NOV!C46+DEZ!C46</f>
        <v>114196.56000000003</v>
      </c>
      <c r="D44" s="20">
        <f>JAN!D46+FEV!D46+MAR!D46+ABR!D46+MAI!D46+JUN!D46+JUL!D46+AGO!D46+SET!D46+OUT!D46+NOV!D46+DEZ!D46</f>
        <v>17022.812000000002</v>
      </c>
      <c r="E44" s="20">
        <f>JAN!E46+FEV!E46+MAR!E46+ABR!E46+MAI!E46+JUN!E46+JUL!E46+AGO!E46+SET!E46+OUT!E46+NOV!E46+DEZ!E46</f>
        <v>12351.542000000001</v>
      </c>
      <c r="F44" s="20">
        <f>JAN!F46+FEV!F46+MAR!F46+ABR!F46+MAI!F46+JUN!F46+JUL!F46+AGO!F46+SET!F46+OUT!F46+NOV!F46+DEZ!F46</f>
        <v>289688.83799999999</v>
      </c>
      <c r="G44" s="20">
        <f>JAN!G46+FEV!G46+MAR!G46+ABR!G46+MAI!G46+JUN!G46+JUL!G46+AGO!G46+SET!G46+OUT!G46+NOV!G46+DEZ!G46</f>
        <v>12253.788</v>
      </c>
      <c r="H44" s="20">
        <f>JAN!H46+FEV!H46+MAR!H46+ABR!H46+MAI!H46+JUN!H46+JUL!H46+AGO!H46+SET!H46+OUT!H46+NOV!H46+DEZ!H46</f>
        <v>18845.916000000001</v>
      </c>
      <c r="I44" s="20">
        <f>JAN!I46+FEV!I46+MAR!I46+ABR!I46+MAI!I46+JUN!I46+JUL!I46+AGO!I46+SET!I46+OUT!I46+NOV!I46+DEZ!I46</f>
        <v>176.31000000000003</v>
      </c>
      <c r="J44" s="20">
        <f>JAN!J46+FEV!J46+MAR!J46+ABR!J46+MAI!J46+JUN!J46+JUL!J46+AGO!J46+SET!J46+OUT!J46+NOV!J46+DEZ!J46</f>
        <v>35831.468000000008</v>
      </c>
      <c r="K44" s="20">
        <f>JAN!K46+FEV!K46+MAR!K46+ABR!K46+MAI!K46+JUN!K46+JUL!K46+AGO!K46+SET!K46+OUT!K46+NOV!K46+DEZ!K46</f>
        <v>1673.826</v>
      </c>
      <c r="L44" s="20">
        <f>JAN!L46+FEV!L46+MAR!L46+ABR!L46+MAI!L46+JUN!L46+JUL!L46+AGO!L46+SET!L46+OUT!L46+NOV!L46+DEZ!L46</f>
        <v>260.85599999999999</v>
      </c>
      <c r="M44" s="20">
        <f>JAN!M46+FEV!M46+MAR!M46+ABR!M46+MAI!M46+JUN!M46+JUL!M46+AGO!M46+SET!M46+OUT!M46+NOV!M46+DEZ!M46</f>
        <v>2281.6959999999999</v>
      </c>
      <c r="N44" s="20">
        <f>JAN!N46+FEV!N46+MAR!N46+ABR!N46+MAI!N46+JUN!N46+JUL!N46+AGO!N46+SET!N46+OUT!N46+NOV!N46+DEZ!N46</f>
        <v>1331.48</v>
      </c>
      <c r="O44" s="20">
        <f>JAN!O46+FEV!O46+MAR!O46+ABR!O46+MAI!O46+JUN!O46+JUL!O46+AGO!O46+SET!O46+OUT!O46+NOV!O46+DEZ!O46</f>
        <v>0</v>
      </c>
      <c r="P44" s="20">
        <f>JAN!P46+FEV!P46+MAR!P46+ABR!P46+MAI!P46+JUN!P46+JUL!P46+AGO!P46+SET!P46+OUT!P46+NOV!P46+DEZ!P46</f>
        <v>0</v>
      </c>
      <c r="Q44" s="20">
        <f>JAN!Q46+FEV!Q46+MAR!Q46+ABR!Q46+MAI!Q46+JUN!Q46+JUL!Q46+AGO!Q46+SET!Q46+OUT!Q46+NOV!Q46+DEZ!Q46</f>
        <v>0</v>
      </c>
      <c r="R44" s="3">
        <f t="shared" si="6"/>
        <v>926940.04800000007</v>
      </c>
      <c r="S44" s="363">
        <f t="shared" si="7"/>
        <v>421024.95600000001</v>
      </c>
      <c r="T44" s="363">
        <f t="shared" si="7"/>
        <v>114196.56000000003</v>
      </c>
      <c r="U44" s="363">
        <f t="shared" si="7"/>
        <v>17022.812000000002</v>
      </c>
      <c r="V44" s="363">
        <f t="shared" si="7"/>
        <v>12351.542000000001</v>
      </c>
      <c r="W44" s="363">
        <f t="shared" si="8"/>
        <v>301942.62599999999</v>
      </c>
      <c r="X44" s="363">
        <f t="shared" si="9"/>
        <v>60401.552000000018</v>
      </c>
    </row>
    <row r="45" spans="1:24">
      <c r="A45" s="1" t="s">
        <v>7</v>
      </c>
      <c r="B45" s="20">
        <f>JAN!B47+FEV!B47+MAR!B47+ABR!B47+MAI!B47+JUN!B47+JUL!B47+AGO!B47+SET!B47+OUT!B47+NOV!B47+DEZ!B47</f>
        <v>332080.51200000005</v>
      </c>
      <c r="C45" s="20">
        <f>JAN!C47+FEV!C47+MAR!C47+ABR!C47+MAI!C47+JUN!C47+JUL!C47+AGO!C47+SET!C47+OUT!C47+NOV!C47+DEZ!C47</f>
        <v>46526.051999999996</v>
      </c>
      <c r="D45" s="20">
        <f>JAN!D47+FEV!D47+MAR!D47+ABR!D47+MAI!D47+JUN!D47+JUL!D47+AGO!D47+SET!D47+OUT!D47+NOV!D47+DEZ!D47</f>
        <v>13815.442000000003</v>
      </c>
      <c r="E45" s="20">
        <f>JAN!E47+FEV!E47+MAR!E47+ABR!E47+MAI!E47+JUN!E47+JUL!E47+AGO!E47+SET!E47+OUT!E47+NOV!E47+DEZ!E47</f>
        <v>6681.0619999999999</v>
      </c>
      <c r="F45" s="20">
        <f>JAN!F47+FEV!F47+MAR!F47+ABR!F47+MAI!F47+JUN!F47+JUL!F47+AGO!F47+SET!F47+OUT!F47+NOV!F47+DEZ!F47</f>
        <v>285460.66800000001</v>
      </c>
      <c r="G45" s="20">
        <f>JAN!G47+FEV!G47+MAR!G47+ABR!G47+MAI!G47+JUN!G47+JUL!G47+AGO!G47+SET!G47+OUT!G47+NOV!G47+DEZ!G47</f>
        <v>10406.058000000001</v>
      </c>
      <c r="H45" s="20">
        <f>JAN!H47+FEV!H47+MAR!H47+ABR!H47+MAI!H47+JUN!H47+JUL!H47+AGO!H47+SET!H47+OUT!H47+NOV!H47+DEZ!H47</f>
        <v>8076.5480000000007</v>
      </c>
      <c r="I45" s="20">
        <f>JAN!I47+FEV!I47+MAR!I47+ABR!I47+MAI!I47+JUN!I47+JUL!I47+AGO!I47+SET!I47+OUT!I47+NOV!I47+DEZ!I47</f>
        <v>1032.3560000000002</v>
      </c>
      <c r="J45" s="20">
        <f>JAN!J47+FEV!J47+MAR!J47+ABR!J47+MAI!J47+JUN!J47+JUL!J47+AGO!J47+SET!J47+OUT!J47+NOV!J47+DEZ!J47</f>
        <v>16547.905999999999</v>
      </c>
      <c r="K45" s="20">
        <f>JAN!K47+FEV!K47+MAR!K47+ABR!K47+MAI!K47+JUN!K47+JUL!K47+AGO!K47+SET!K47+OUT!K47+NOV!K47+DEZ!K47</f>
        <v>2804.2020000000002</v>
      </c>
      <c r="L45" s="20">
        <f>JAN!L47+FEV!L47+MAR!L47+ABR!L47+MAI!L47+JUN!L47+JUL!L47+AGO!L47+SET!L47+OUT!L47+NOV!L47+DEZ!L47</f>
        <v>130.428</v>
      </c>
      <c r="M45" s="20">
        <f>JAN!M47+FEV!M47+MAR!M47+ABR!M47+MAI!M47+JUN!M47+JUL!M47+AGO!M47+SET!M47+OUT!M47+NOV!M47+DEZ!M47</f>
        <v>0</v>
      </c>
      <c r="N45" s="20">
        <f>JAN!N47+FEV!N47+MAR!N47+ABR!N47+MAI!N47+JUN!N47+JUL!N47+AGO!N47+SET!N47+OUT!N47+NOV!N47+DEZ!N47</f>
        <v>518.00200000000007</v>
      </c>
      <c r="O45" s="20">
        <f>JAN!O47+FEV!O47+MAR!O47+ABR!O47+MAI!O47+JUN!O47+JUL!O47+AGO!O47+SET!O47+OUT!O47+NOV!O47+DEZ!O47</f>
        <v>0</v>
      </c>
      <c r="P45" s="20">
        <f>JAN!P47+FEV!P47+MAR!P47+ABR!P47+MAI!P47+JUN!P47+JUL!P47+AGO!P47+SET!P47+OUT!P47+NOV!P47+DEZ!P47</f>
        <v>0</v>
      </c>
      <c r="Q45" s="20">
        <f>JAN!Q47+FEV!Q47+MAR!Q47+ABR!Q47+MAI!Q47+JUN!Q47+JUL!Q47+AGO!Q47+SET!Q47+OUT!Q47+NOV!Q47+DEZ!Q47</f>
        <v>0</v>
      </c>
      <c r="R45" s="3">
        <f t="shared" si="6"/>
        <v>724079.23599999992</v>
      </c>
      <c r="S45" s="363">
        <f t="shared" si="7"/>
        <v>332080.51200000005</v>
      </c>
      <c r="T45" s="363">
        <f t="shared" si="7"/>
        <v>46526.051999999996</v>
      </c>
      <c r="U45" s="363">
        <f t="shared" si="7"/>
        <v>13815.442000000003</v>
      </c>
      <c r="V45" s="363">
        <f t="shared" si="7"/>
        <v>6681.0619999999999</v>
      </c>
      <c r="W45" s="363">
        <f t="shared" si="8"/>
        <v>295866.72600000002</v>
      </c>
      <c r="X45" s="363">
        <f t="shared" si="9"/>
        <v>29109.441999999999</v>
      </c>
    </row>
    <row r="46" spans="1:24">
      <c r="A46" s="1" t="s">
        <v>8</v>
      </c>
      <c r="B46" s="20">
        <f>JAN!B48+FEV!B48+MAR!B48+ABR!B48+MAI!B48+JUN!B48+JUL!B48+AGO!B48+SET!B48+OUT!B48+NOV!B48+DEZ!B48</f>
        <v>314373.87199999997</v>
      </c>
      <c r="C46" s="20">
        <f>JAN!C48+FEV!C48+MAR!C48+ABR!C48+MAI!C48+JUN!C48+JUL!C48+AGO!C48+SET!C48+OUT!C48+NOV!C48+DEZ!C48</f>
        <v>91935.97</v>
      </c>
      <c r="D46" s="20">
        <f>JAN!D48+FEV!D48+MAR!D48+ABR!D48+MAI!D48+JUN!D48+JUL!D48+AGO!D48+SET!D48+OUT!D48+NOV!D48+DEZ!D48</f>
        <v>13786.784000000001</v>
      </c>
      <c r="E46" s="20">
        <f>JAN!E48+FEV!E48+MAR!E48+ABR!E48+MAI!E48+JUN!E48+JUL!E48+AGO!E48+SET!E48+OUT!E48+NOV!E48+DEZ!E48</f>
        <v>12007.710000000001</v>
      </c>
      <c r="F46" s="20">
        <f>JAN!F48+FEV!F48+MAR!F48+ABR!F48+MAI!F48+JUN!F48+JUL!F48+AGO!F48+SET!F48+OUT!F48+NOV!F48+DEZ!F48</f>
        <v>543712.06200000003</v>
      </c>
      <c r="G46" s="20">
        <f>JAN!G48+FEV!G48+MAR!G48+ABR!G48+MAI!G48+JUN!G48+JUL!G48+AGO!G48+SET!G48+OUT!G48+NOV!G48+DEZ!G48</f>
        <v>10062.545999999998</v>
      </c>
      <c r="H46" s="20">
        <f>JAN!H48+FEV!H48+MAR!H48+ABR!H48+MAI!H48+JUN!H48+JUL!H48+AGO!H48+SET!H48+OUT!H48+NOV!H48+DEZ!H48</f>
        <v>16916.234</v>
      </c>
      <c r="I46" s="20">
        <f>JAN!I48+FEV!I48+MAR!I48+ABR!I48+MAI!I48+JUN!I48+JUL!I48+AGO!I48+SET!I48+OUT!I48+NOV!I48+DEZ!I48</f>
        <v>1619.4020000000003</v>
      </c>
      <c r="J46" s="20">
        <f>JAN!J48+FEV!J48+MAR!J48+ABR!J48+MAI!J48+JUN!J48+JUL!J48+AGO!J48+SET!J48+OUT!J48+NOV!J48+DEZ!J48</f>
        <v>25378.960000000006</v>
      </c>
      <c r="K46" s="20">
        <f>JAN!K48+FEV!K48+MAR!K48+ABR!K48+MAI!K48+JUN!K48+JUL!K48+AGO!K48+SET!K48+OUT!K48+NOV!K48+DEZ!K48</f>
        <v>978.21</v>
      </c>
      <c r="L46" s="20">
        <f>JAN!L48+FEV!L48+MAR!L48+ABR!L48+MAI!L48+JUN!L48+JUL!L48+AGO!L48+SET!L48+OUT!L48+NOV!L48+DEZ!L48</f>
        <v>43.475999999999999</v>
      </c>
      <c r="M46" s="20">
        <f>JAN!M48+FEV!M48+MAR!M48+ABR!M48+MAI!M48+JUN!M48+JUL!M48+AGO!M48+SET!M48+OUT!M48+NOV!M48+DEZ!M48</f>
        <v>965.70800000000008</v>
      </c>
      <c r="N46" s="20">
        <f>JAN!N48+FEV!N48+MAR!N48+ABR!N48+MAI!N48+JUN!N48+JUL!N48+AGO!N48+SET!N48+OUT!N48+NOV!N48+DEZ!N48</f>
        <v>708.82799999999997</v>
      </c>
      <c r="O46" s="20">
        <f>JAN!O48+FEV!O48+MAR!O48+ABR!O48+MAI!O48+JUN!O48+JUL!O48+AGO!O48+SET!O48+OUT!O48+NOV!O48+DEZ!O48</f>
        <v>0</v>
      </c>
      <c r="P46" s="20">
        <f>JAN!P48+FEV!P48+MAR!P48+ABR!P48+MAI!P48+JUN!P48+JUL!P48+AGO!P48+SET!P48+OUT!P48+NOV!P48+DEZ!P48</f>
        <v>0</v>
      </c>
      <c r="Q46" s="20">
        <f>JAN!Q48+FEV!Q48+MAR!Q48+ABR!Q48+MAI!Q48+JUN!Q48+JUL!Q48+AGO!Q48+SET!Q48+OUT!Q48+NOV!Q48+DEZ!Q48</f>
        <v>0</v>
      </c>
      <c r="R46" s="3">
        <f t="shared" si="6"/>
        <v>1032489.762</v>
      </c>
      <c r="S46" s="363">
        <f t="shared" si="7"/>
        <v>314373.87199999997</v>
      </c>
      <c r="T46" s="363">
        <f t="shared" si="7"/>
        <v>91935.97</v>
      </c>
      <c r="U46" s="363">
        <f t="shared" si="7"/>
        <v>13786.784000000001</v>
      </c>
      <c r="V46" s="363">
        <f t="shared" si="7"/>
        <v>12007.710000000001</v>
      </c>
      <c r="W46" s="363">
        <f t="shared" si="8"/>
        <v>553774.60800000001</v>
      </c>
      <c r="X46" s="363">
        <f t="shared" si="9"/>
        <v>46610.818000000007</v>
      </c>
    </row>
    <row r="47" spans="1:24">
      <c r="A47" s="2" t="s">
        <v>9</v>
      </c>
      <c r="B47" s="20">
        <f>JAN!B49+FEV!B49+MAR!B49+ABR!B49+MAI!B49+JUN!B49+JUL!B49+AGO!B49+SET!B49+OUT!B49+NOV!B49+DEZ!B49</f>
        <v>104881.26</v>
      </c>
      <c r="C47" s="20">
        <f>JAN!C49+FEV!C49+MAR!C49+ABR!C49+MAI!C49+JUN!C49+JUL!C49+AGO!C49+SET!C49+OUT!C49+NOV!C49+DEZ!C49</f>
        <v>24353.764000000006</v>
      </c>
      <c r="D47" s="20">
        <f>JAN!D49+FEV!D49+MAR!D49+ABR!D49+MAI!D49+JUN!D49+JUL!D49+AGO!D49+SET!D49+OUT!D49+NOV!D49+DEZ!D49</f>
        <v>4433.7780000000002</v>
      </c>
      <c r="E47" s="20">
        <f>JAN!E49+FEV!E49+MAR!E49+ABR!E49+MAI!E49+JUN!E49+JUL!E49+AGO!E49+SET!E49+OUT!E49+NOV!E49+DEZ!E49</f>
        <v>3409.7880000000005</v>
      </c>
      <c r="F47" s="20">
        <f>JAN!F49+FEV!F49+MAR!F49+ABR!F49+MAI!F49+JUN!F49+JUL!F49+AGO!F49+SET!F49+OUT!F49+NOV!F49+DEZ!F49</f>
        <v>128478.798</v>
      </c>
      <c r="G47" s="20">
        <f>JAN!G49+FEV!G49+MAR!G49+ABR!G49+MAI!G49+JUN!G49+JUL!G49+AGO!G49+SET!G49+OUT!G49+NOV!G49+DEZ!G49</f>
        <v>3973.7580000000003</v>
      </c>
      <c r="H47" s="20">
        <f>JAN!H49+FEV!H49+MAR!H49+ABR!H49+MAI!H49+JUN!H49+JUL!H49+AGO!H49+SET!H49+OUT!H49+NOV!H49+DEZ!H49</f>
        <v>3701.4600000000005</v>
      </c>
      <c r="I47" s="20">
        <f>JAN!I49+FEV!I49+MAR!I49+ABR!I49+MAI!I49+JUN!I49+JUL!I49+AGO!I49+SET!I49+OUT!I49+NOV!I49+DEZ!I49</f>
        <v>384.04400000000004</v>
      </c>
      <c r="J47" s="20">
        <f>JAN!J49+FEV!J49+MAR!J49+ABR!J49+MAI!J49+JUN!J49+JUL!J49+AGO!J49+SET!J49+OUT!J49+NOV!J49+DEZ!J49</f>
        <v>7736.6739999999991</v>
      </c>
      <c r="K47" s="20">
        <f>JAN!K49+FEV!K49+MAR!K49+ABR!K49+MAI!K49+JUN!K49+JUL!K49+AGO!K49+SET!K49+OUT!K49+NOV!K49+DEZ!K49</f>
        <v>1086.9000000000001</v>
      </c>
      <c r="L47" s="20">
        <f>JAN!L49+FEV!L49+MAR!L49+ABR!L49+MAI!L49+JUN!L49+JUL!L49+AGO!L49+SET!L49+OUT!L49+NOV!L49+DEZ!L49</f>
        <v>0</v>
      </c>
      <c r="M47" s="20">
        <f>JAN!M49+FEV!M49+MAR!M49+ABR!M49+MAI!M49+JUN!M49+JUL!M49+AGO!M49+SET!M49+OUT!M49+NOV!M49+DEZ!M49</f>
        <v>0</v>
      </c>
      <c r="N47" s="20">
        <f>JAN!N49+FEV!N49+MAR!N49+ABR!N49+MAI!N49+JUN!N49+JUL!N49+AGO!N49+SET!N49+OUT!N49+NOV!N49+DEZ!N49</f>
        <v>209.22000000000003</v>
      </c>
      <c r="O47" s="20">
        <f>JAN!O49+FEV!O49+MAR!O49+ABR!O49+MAI!O49+JUN!O49+JUL!O49+AGO!O49+SET!O49+OUT!O49+NOV!O49+DEZ!O49</f>
        <v>0</v>
      </c>
      <c r="P47" s="20">
        <f>JAN!P49+FEV!P49+MAR!P49+ABR!P49+MAI!P49+JUN!P49+JUL!P49+AGO!P49+SET!P49+OUT!P49+NOV!P49+DEZ!P49</f>
        <v>0</v>
      </c>
      <c r="Q47" s="20">
        <f>JAN!Q49+FEV!Q49+MAR!Q49+ABR!Q49+MAI!Q49+JUN!Q49+JUL!Q49+AGO!Q49+SET!Q49+OUT!Q49+NOV!Q49+DEZ!Q49</f>
        <v>0</v>
      </c>
      <c r="R47" s="3">
        <f t="shared" si="6"/>
        <v>282649.44399999996</v>
      </c>
      <c r="S47" s="363">
        <f t="shared" si="7"/>
        <v>104881.26</v>
      </c>
      <c r="T47" s="363">
        <f t="shared" si="7"/>
        <v>24353.764000000006</v>
      </c>
      <c r="U47" s="363">
        <f t="shared" si="7"/>
        <v>4433.7780000000002</v>
      </c>
      <c r="V47" s="363">
        <f t="shared" si="7"/>
        <v>3409.7880000000005</v>
      </c>
      <c r="W47" s="363">
        <f t="shared" si="8"/>
        <v>132452.55599999998</v>
      </c>
      <c r="X47" s="363">
        <f t="shared" si="9"/>
        <v>13118.297999999999</v>
      </c>
    </row>
    <row r="48" spans="1:24">
      <c r="A48" s="13" t="s">
        <v>10</v>
      </c>
      <c r="B48" s="20">
        <f>JAN!B50+FEV!B50+MAR!B50+ABR!B50+MAI!B50+JUN!B50+JUL!B50+AGO!B50+SET!B50+OUT!B50+NOV!B50+DEZ!B50</f>
        <v>225751.14400000003</v>
      </c>
      <c r="C48" s="20">
        <f>JAN!C50+FEV!C50+MAR!C50+ABR!C50+MAI!C50+JUN!C50+JUL!C50+AGO!C50+SET!C50+OUT!C50+NOV!C50+DEZ!C50</f>
        <v>38676.620000000003</v>
      </c>
      <c r="D48" s="20">
        <f>JAN!D50+FEV!D50+MAR!D50+ABR!D50+MAI!D50+JUN!D50+JUL!D50+AGO!D50+SET!D50+OUT!D50+NOV!D50+DEZ!D50</f>
        <v>15850.810000000001</v>
      </c>
      <c r="E48" s="20">
        <f>JAN!E50+FEV!E50+MAR!E50+ABR!E50+MAI!E50+JUN!E50+JUL!E50+AGO!E50+SET!E50+OUT!E50+NOV!E50+DEZ!E50</f>
        <v>7823.42</v>
      </c>
      <c r="F48" s="20">
        <f>JAN!F50+FEV!F50+MAR!F50+ABR!F50+MAI!F50+JUN!F50+JUL!F50+AGO!F50+SET!F50+OUT!F50+NOV!F50+DEZ!F50</f>
        <v>548616.85800000001</v>
      </c>
      <c r="G48" s="20">
        <f>JAN!G50+FEV!G50+MAR!G50+ABR!G50+MAI!G50+JUN!G50+JUL!G50+AGO!G50+SET!G50+OUT!G50+NOV!G50+DEZ!G50</f>
        <v>6471.4800000000005</v>
      </c>
      <c r="H48" s="20">
        <f>JAN!H50+FEV!H50+MAR!H50+ABR!H50+MAI!H50+JUN!H50+JUL!H50+AGO!H50+SET!H50+OUT!H50+NOV!H50+DEZ!H50</f>
        <v>6826.322000000001</v>
      </c>
      <c r="I48" s="20">
        <f>JAN!I50+FEV!I50+MAR!I50+ABR!I50+MAI!I50+JUN!I50+JUL!I50+AGO!I50+SET!I50+OUT!I50+NOV!I50+DEZ!I50</f>
        <v>2647.2080000000001</v>
      </c>
      <c r="J48" s="20">
        <f>JAN!J50+FEV!J50+MAR!J50+ABR!J50+MAI!J50+JUN!J50+JUL!J50+AGO!J50+SET!J50+OUT!J50+NOV!J50+DEZ!J50</f>
        <v>12185.016</v>
      </c>
      <c r="K48" s="20">
        <f>JAN!K50+FEV!K50+MAR!K50+ABR!K50+MAI!K50+JUN!K50+JUL!K50+AGO!K50+SET!K50+OUT!K50+NOV!K50+DEZ!K50</f>
        <v>1408.6740000000002</v>
      </c>
      <c r="L48" s="20">
        <f>JAN!L50+FEV!L50+MAR!L50+ABR!L50+MAI!L50+JUN!L50+JUL!L50+AGO!L50+SET!L50+OUT!L50+NOV!L50+DEZ!L50</f>
        <v>0</v>
      </c>
      <c r="M48" s="20">
        <f>JAN!M50+FEV!M50+MAR!M50+ABR!M50+MAI!M50+JUN!M50+JUL!M50+AGO!M50+SET!M50+OUT!M50+NOV!M50+DEZ!M50</f>
        <v>116.036</v>
      </c>
      <c r="N48" s="20">
        <f>JAN!N50+FEV!N50+MAR!N50+ABR!N50+MAI!N50+JUN!N50+JUL!N50+AGO!N50+SET!N50+OUT!N50+NOV!N50+DEZ!N50</f>
        <v>448.26200000000006</v>
      </c>
      <c r="O48" s="20">
        <f>JAN!O50+FEV!O50+MAR!O50+ABR!O50+MAI!O50+JUN!O50+JUL!O50+AGO!O50+SET!O50+OUT!O50+NOV!O50+DEZ!O50</f>
        <v>10.566000000000001</v>
      </c>
      <c r="P48" s="20">
        <f>JAN!P50+FEV!P50+MAR!P50+ABR!P50+MAI!P50+JUN!P50+JUL!P50+AGO!P50+SET!P50+OUT!P50+NOV!P50+DEZ!P50</f>
        <v>0</v>
      </c>
      <c r="Q48" s="20">
        <f>JAN!Q50+FEV!Q50+MAR!Q50+ABR!Q50+MAI!Q50+JUN!Q50+JUL!Q50+AGO!Q50+SET!Q50+OUT!Q50+NOV!Q50+DEZ!Q50</f>
        <v>0</v>
      </c>
      <c r="R48" s="3">
        <f t="shared" si="6"/>
        <v>866832.41599999985</v>
      </c>
      <c r="S48" s="363">
        <f t="shared" si="7"/>
        <v>225751.14400000003</v>
      </c>
      <c r="T48" s="363">
        <f t="shared" si="7"/>
        <v>38676.620000000003</v>
      </c>
      <c r="U48" s="363">
        <f t="shared" si="7"/>
        <v>15850.810000000001</v>
      </c>
      <c r="V48" s="363">
        <f t="shared" si="7"/>
        <v>7823.42</v>
      </c>
      <c r="W48" s="363">
        <f t="shared" si="8"/>
        <v>555088.33799999999</v>
      </c>
      <c r="X48" s="363">
        <f t="shared" si="9"/>
        <v>23642.083999999999</v>
      </c>
    </row>
    <row r="49" spans="1:24">
      <c r="A49" s="1" t="s">
        <v>11</v>
      </c>
      <c r="B49" s="20">
        <f>JAN!B51+FEV!B51+MAR!B51+ABR!B51+MAI!B51+JUN!B51+JUL!B51+AGO!B51+SET!B51+OUT!B51+NOV!B51+DEZ!B51</f>
        <v>187232.15399999998</v>
      </c>
      <c r="C49" s="20">
        <f>JAN!C51+FEV!C51+MAR!C51+ABR!C51+MAI!C51+JUN!C51+JUL!C51+AGO!C51+SET!C51+OUT!C51+NOV!C51+DEZ!C51</f>
        <v>55539.840000000011</v>
      </c>
      <c r="D49" s="20">
        <f>JAN!D51+FEV!D51+MAR!D51+ABR!D51+MAI!D51+JUN!D51+JUL!D51+AGO!D51+SET!D51+OUT!D51+NOV!D51+DEZ!D51</f>
        <v>10099.256000000001</v>
      </c>
      <c r="E49" s="20">
        <f>JAN!E51+FEV!E51+MAR!E51+ABR!E51+MAI!E51+JUN!E51+JUL!E51+AGO!E51+SET!E51+OUT!E51+NOV!E51+DEZ!E51</f>
        <v>13950.750000000004</v>
      </c>
      <c r="F49" s="20">
        <f>JAN!F51+FEV!F51+MAR!F51+ABR!F51+MAI!F51+JUN!F51+JUL!F51+AGO!F51+SET!F51+OUT!F51+NOV!F51+DEZ!F51</f>
        <v>350875.98</v>
      </c>
      <c r="G49" s="20">
        <f>JAN!G51+FEV!G51+MAR!G51+ABR!G51+MAI!G51+JUN!G51+JUL!G51+AGO!G51+SET!G51+OUT!G51+NOV!G51+DEZ!G51</f>
        <v>5590.3620000000001</v>
      </c>
      <c r="H49" s="20">
        <f>JAN!H51+FEV!H51+MAR!H51+ABR!H51+MAI!H51+JUN!H51+JUL!H51+AGO!H51+SET!H51+OUT!H51+NOV!H51+DEZ!H51</f>
        <v>15937.930000000002</v>
      </c>
      <c r="I49" s="20">
        <f>JAN!I51+FEV!I51+MAR!I51+ABR!I51+MAI!I51+JUN!I51+JUL!I51+AGO!I51+SET!I51+OUT!I51+NOV!I51+DEZ!I51</f>
        <v>6602.6080000000002</v>
      </c>
      <c r="J49" s="20">
        <f>JAN!J51+FEV!J51+MAR!J51+ABR!J51+MAI!J51+JUN!J51+JUL!J51+AGO!J51+SET!J51+OUT!J51+NOV!J51+DEZ!J51</f>
        <v>14799.218000000003</v>
      </c>
      <c r="K49" s="20">
        <f>JAN!K51+FEV!K51+MAR!K51+ABR!K51+MAI!K51+JUN!K51+JUL!K51+AGO!K51+SET!K51+OUT!K51+NOV!K51+DEZ!K51</f>
        <v>2108.5860000000002</v>
      </c>
      <c r="L49" s="20">
        <f>JAN!L51+FEV!L51+MAR!L51+ABR!L51+MAI!L51+JUN!L51+JUL!L51+AGO!L51+SET!L51+OUT!L51+NOV!L51+DEZ!L51</f>
        <v>43.475999999999999</v>
      </c>
      <c r="M49" s="20">
        <f>JAN!M51+FEV!M51+MAR!M51+ABR!M51+MAI!M51+JUN!M51+JUL!M51+AGO!M51+SET!M51+OUT!M51+NOV!M51+DEZ!M51</f>
        <v>0</v>
      </c>
      <c r="N49" s="20">
        <f>JAN!N51+FEV!N51+MAR!N51+ABR!N51+MAI!N51+JUN!N51+JUL!N51+AGO!N51+SET!N51+OUT!N51+NOV!N51+DEZ!N51</f>
        <v>360.75400000000002</v>
      </c>
      <c r="O49" s="20">
        <f>JAN!O51+FEV!O51+MAR!O51+ABR!O51+MAI!O51+JUN!O51+JUL!O51+AGO!O51+SET!O51+OUT!O51+NOV!O51+DEZ!O51</f>
        <v>0</v>
      </c>
      <c r="P49" s="20">
        <f>JAN!P51+FEV!P51+MAR!P51+ABR!P51+MAI!P51+JUN!P51+JUL!P51+AGO!P51+SET!P51+OUT!P51+NOV!P51+DEZ!P51</f>
        <v>157.35199999999998</v>
      </c>
      <c r="Q49" s="20">
        <f>JAN!Q51+FEV!Q51+MAR!Q51+ABR!Q51+MAI!Q51+JUN!Q51+JUL!Q51+AGO!Q51+SET!Q51+OUT!Q51+NOV!Q51+DEZ!Q51</f>
        <v>0</v>
      </c>
      <c r="R49" s="3">
        <f t="shared" si="6"/>
        <v>663298.26599999995</v>
      </c>
      <c r="S49" s="363">
        <f t="shared" si="7"/>
        <v>187232.15399999998</v>
      </c>
      <c r="T49" s="363">
        <f t="shared" si="7"/>
        <v>55539.840000000011</v>
      </c>
      <c r="U49" s="363">
        <f t="shared" si="7"/>
        <v>10099.256000000001</v>
      </c>
      <c r="V49" s="363">
        <f t="shared" si="7"/>
        <v>13950.750000000004</v>
      </c>
      <c r="W49" s="363">
        <f t="shared" si="8"/>
        <v>356466.342</v>
      </c>
      <c r="X49" s="363">
        <f t="shared" si="9"/>
        <v>40009.924000000006</v>
      </c>
    </row>
    <row r="50" spans="1:24">
      <c r="A50" s="1" t="s">
        <v>12</v>
      </c>
      <c r="B50" s="20">
        <f>JAN!B52+FEV!B52+MAR!B52+ABR!B52+MAI!B52+JUN!B52+JUL!B52+AGO!B52+SET!B52+OUT!B52+NOV!B52+DEZ!B52</f>
        <v>1141007.5819999999</v>
      </c>
      <c r="C50" s="20">
        <f>JAN!C52+FEV!C52+MAR!C52+ABR!C52+MAI!C52+JUN!C52+JUL!C52+AGO!C52+SET!C52+OUT!C52+NOV!C52+DEZ!C52</f>
        <v>239010.628</v>
      </c>
      <c r="D50" s="20">
        <f>JAN!D52+FEV!D52+MAR!D52+ABR!D52+MAI!D52+JUN!D52+JUL!D52+AGO!D52+SET!D52+OUT!D52+NOV!D52+DEZ!D52</f>
        <v>46496.872000000003</v>
      </c>
      <c r="E50" s="20">
        <f>JAN!E52+FEV!E52+MAR!E52+ABR!E52+MAI!E52+JUN!E52+JUL!E52+AGO!E52+SET!E52+OUT!E52+NOV!E52+DEZ!E52</f>
        <v>43960.26200000001</v>
      </c>
      <c r="F50" s="20">
        <f>JAN!F52+FEV!F52+MAR!F52+ABR!F52+MAI!F52+JUN!F52+JUL!F52+AGO!F52+SET!F52+OUT!F52+NOV!F52+DEZ!F52</f>
        <v>1017142.5380000001</v>
      </c>
      <c r="G50" s="20">
        <f>JAN!G52+FEV!G52+MAR!G52+ABR!G52+MAI!G52+JUN!G52+JUL!G52+AGO!G52+SET!G52+OUT!G52+NOV!G52+DEZ!G52</f>
        <v>30259.554</v>
      </c>
      <c r="H50" s="20">
        <f>JAN!H52+FEV!H52+MAR!H52+ABR!H52+MAI!H52+JUN!H52+JUL!H52+AGO!H52+SET!H52+OUT!H52+NOV!H52+DEZ!H52</f>
        <v>46042.450000000004</v>
      </c>
      <c r="I50" s="20">
        <f>JAN!I52+FEV!I52+MAR!I52+ABR!I52+MAI!I52+JUN!I52+JUL!I52+AGO!I52+SET!I52+OUT!I52+NOV!I52+DEZ!I52</f>
        <v>1169.6500000000001</v>
      </c>
      <c r="J50" s="20">
        <f>JAN!J52+FEV!J52+MAR!J52+ABR!J52+MAI!J52+JUN!J52+JUL!J52+AGO!J52+SET!J52+OUT!J52+NOV!J52+DEZ!J52</f>
        <v>70843.004000000001</v>
      </c>
      <c r="K50" s="20">
        <f>JAN!K52+FEV!K52+MAR!K52+ABR!K52+MAI!K52+JUN!K52+JUL!K52+AGO!K52+SET!K52+OUT!K52+NOV!K52+DEZ!K52</f>
        <v>3760.6740000000004</v>
      </c>
      <c r="L50" s="20">
        <f>JAN!L52+FEV!L52+MAR!L52+ABR!L52+MAI!L52+JUN!L52+JUL!L52+AGO!L52+SET!L52+OUT!L52+NOV!L52+DEZ!L52</f>
        <v>260.85599999999999</v>
      </c>
      <c r="M50" s="20">
        <f>JAN!M52+FEV!M52+MAR!M52+ABR!M52+MAI!M52+JUN!M52+JUL!M52+AGO!M52+SET!M52+OUT!M52+NOV!M52+DEZ!M52</f>
        <v>0</v>
      </c>
      <c r="N50" s="20">
        <f>JAN!N52+FEV!N52+MAR!N52+ABR!N52+MAI!N52+JUN!N52+JUL!N52+AGO!N52+SET!N52+OUT!N52+NOV!N52+DEZ!N52</f>
        <v>2054.866</v>
      </c>
      <c r="O50" s="20">
        <f>JAN!O52+FEV!O52+MAR!O52+ABR!O52+MAI!O52+JUN!O52+JUL!O52+AGO!O52+SET!O52+OUT!O52+NOV!O52+DEZ!O52</f>
        <v>0</v>
      </c>
      <c r="P50" s="20">
        <f>JAN!P52+FEV!P52+MAR!P52+ABR!P52+MAI!P52+JUN!P52+JUL!P52+AGO!P52+SET!P52+OUT!P52+NOV!P52+DEZ!P52</f>
        <v>0</v>
      </c>
      <c r="Q50" s="20">
        <f>JAN!Q52+FEV!Q52+MAR!Q52+ABR!Q52+MAI!Q52+JUN!Q52+JUL!Q52+AGO!Q52+SET!Q52+OUT!Q52+NOV!Q52+DEZ!Q52</f>
        <v>277.11799999999999</v>
      </c>
      <c r="R50" s="3">
        <f t="shared" si="6"/>
        <v>2642286.0540000005</v>
      </c>
      <c r="S50" s="363">
        <f t="shared" si="7"/>
        <v>1141007.5819999999</v>
      </c>
      <c r="T50" s="363">
        <f t="shared" si="7"/>
        <v>239010.628</v>
      </c>
      <c r="U50" s="363">
        <f t="shared" si="7"/>
        <v>46496.872000000003</v>
      </c>
      <c r="V50" s="363">
        <f t="shared" si="7"/>
        <v>43960.26200000001</v>
      </c>
      <c r="W50" s="363">
        <f t="shared" si="8"/>
        <v>1047402.0920000001</v>
      </c>
      <c r="X50" s="363">
        <f t="shared" si="9"/>
        <v>124408.618</v>
      </c>
    </row>
    <row r="51" spans="1:24">
      <c r="A51" s="1" t="s">
        <v>15</v>
      </c>
      <c r="B51" s="20">
        <f>JAN!B53+FEV!B53+MAR!B53+ABR!B53+MAI!B53+JUN!B53+JUL!B53+AGO!B53+SET!B53+OUT!B53+NOV!B53+DEZ!B53</f>
        <v>145609.48000000001</v>
      </c>
      <c r="C51" s="20">
        <f>JAN!C53+FEV!C53+MAR!C53+ABR!C53+MAI!C53+JUN!C53+JUL!C53+AGO!C53+SET!C53+OUT!C53+NOV!C53+DEZ!C53</f>
        <v>40833.784</v>
      </c>
      <c r="D51" s="20">
        <f>JAN!D53+FEV!D53+MAR!D53+ABR!D53+MAI!D53+JUN!D53+JUL!D53+AGO!D53+SET!D53+OUT!D53+NOV!D53+DEZ!D53</f>
        <v>7311.77</v>
      </c>
      <c r="E51" s="20">
        <f>JAN!E53+FEV!E53+MAR!E53+ABR!E53+MAI!E53+JUN!E53+JUL!E53+AGO!E53+SET!E53+OUT!E53+NOV!E53+DEZ!E53</f>
        <v>4461.6480000000001</v>
      </c>
      <c r="F51" s="20">
        <f>JAN!F53+FEV!F53+MAR!F53+ABR!F53+MAI!F53+JUN!F53+JUL!F53+AGO!F53+SET!F53+OUT!F53+NOV!F53+DEZ!F53</f>
        <v>192419.31600000002</v>
      </c>
      <c r="G51" s="20">
        <f>JAN!G53+FEV!G53+MAR!G53+ABR!G53+MAI!G53+JUN!G53+JUL!G53+AGO!G53+SET!G53+OUT!G53+NOV!G53+DEZ!G53</f>
        <v>8643.08</v>
      </c>
      <c r="H51" s="20">
        <f>JAN!H53+FEV!H53+MAR!H53+ABR!H53+MAI!H53+JUN!H53+JUL!H53+AGO!H53+SET!H53+OUT!H53+NOV!H53+DEZ!H53</f>
        <v>6936.0380000000005</v>
      </c>
      <c r="I51" s="20">
        <f>JAN!I53+FEV!I53+MAR!I53+ABR!I53+MAI!I53+JUN!I53+JUL!I53+AGO!I53+SET!I53+OUT!I53+NOV!I53+DEZ!I53</f>
        <v>0</v>
      </c>
      <c r="J51" s="20">
        <f>JAN!J53+FEV!J53+MAR!J53+ABR!J53+MAI!J53+JUN!J53+JUL!J53+AGO!J53+SET!J53+OUT!J53+NOV!J53+DEZ!J53</f>
        <v>11996.351999999999</v>
      </c>
      <c r="K51" s="20">
        <f>JAN!K53+FEV!K53+MAR!K53+ABR!K53+MAI!K53+JUN!K53+JUL!K53+AGO!K53+SET!K53+OUT!K53+NOV!K53+DEZ!K53</f>
        <v>1389.0840000000003</v>
      </c>
      <c r="L51" s="20">
        <f>JAN!L53+FEV!L53+MAR!L53+ABR!L53+MAI!L53+JUN!L53+JUL!L53+AGO!L53+SET!L53+OUT!L53+NOV!L53+DEZ!L53</f>
        <v>43.475999999999999</v>
      </c>
      <c r="M51" s="20">
        <f>JAN!M53+FEV!M53+MAR!M53+ABR!M53+MAI!M53+JUN!M53+JUL!M53+AGO!M53+SET!M53+OUT!M53+NOV!M53+DEZ!M53</f>
        <v>0</v>
      </c>
      <c r="N51" s="20">
        <f>JAN!N53+FEV!N53+MAR!N53+ABR!N53+MAI!N53+JUN!N53+JUL!N53+AGO!N53+SET!N53+OUT!N53+NOV!N53+DEZ!N53</f>
        <v>448.88799999999992</v>
      </c>
      <c r="O51" s="20">
        <f>JAN!O53+FEV!O53+MAR!O53+ABR!O53+MAI!O53+JUN!O53+JUL!O53+AGO!O53+SET!O53+OUT!O53+NOV!O53+DEZ!O53</f>
        <v>0</v>
      </c>
      <c r="P51" s="20">
        <f>JAN!P53+FEV!P53+MAR!P53+ABR!P53+MAI!P53+JUN!P53+JUL!P53+AGO!P53+SET!P53+OUT!P53+NOV!P53+DEZ!P53</f>
        <v>0</v>
      </c>
      <c r="Q51" s="20">
        <f>JAN!Q53+FEV!Q53+MAR!Q53+ABR!Q53+MAI!Q53+JUN!Q53+JUL!Q53+AGO!Q53+SET!Q53+OUT!Q53+NOV!Q53+DEZ!Q53</f>
        <v>0</v>
      </c>
      <c r="R51" s="3">
        <f t="shared" si="6"/>
        <v>420092.91600000003</v>
      </c>
      <c r="S51" s="363">
        <f t="shared" si="7"/>
        <v>145609.48000000001</v>
      </c>
      <c r="T51" s="363">
        <f t="shared" si="7"/>
        <v>40833.784</v>
      </c>
      <c r="U51" s="363">
        <f t="shared" si="7"/>
        <v>7311.77</v>
      </c>
      <c r="V51" s="363">
        <f t="shared" si="7"/>
        <v>4461.6480000000001</v>
      </c>
      <c r="W51" s="363">
        <f t="shared" si="8"/>
        <v>201062.39600000001</v>
      </c>
      <c r="X51" s="363">
        <f t="shared" si="9"/>
        <v>20813.837999999996</v>
      </c>
    </row>
    <row r="52" spans="1:24">
      <c r="A52" s="1" t="s">
        <v>14</v>
      </c>
      <c r="B52" s="20">
        <f>JAN!B54+FEV!B54+MAR!B54+ABR!B54+MAI!B54+JUN!B54+JUL!B54+AGO!B54+SET!B54+OUT!B54+NOV!B54+DEZ!B54</f>
        <v>176773.90600000002</v>
      </c>
      <c r="C52" s="20">
        <f>JAN!C54+FEV!C54+MAR!C54+ABR!C54+MAI!C54+JUN!C54+JUL!C54+AGO!C54+SET!C54+OUT!C54+NOV!C54+DEZ!C54</f>
        <v>58483.074000000001</v>
      </c>
      <c r="D52" s="20">
        <f>JAN!D54+FEV!D54+MAR!D54+ABR!D54+MAI!D54+JUN!D54+JUL!D54+AGO!D54+SET!D54+OUT!D54+NOV!D54+DEZ!D54</f>
        <v>5650.884</v>
      </c>
      <c r="E52" s="20">
        <f>JAN!E54+FEV!E54+MAR!E54+ABR!E54+MAI!E54+JUN!E54+JUL!E54+AGO!E54+SET!E54+OUT!E54+NOV!E54+DEZ!E54</f>
        <v>8454.6240000000016</v>
      </c>
      <c r="F52" s="20">
        <f>JAN!F54+FEV!F54+MAR!F54+ABR!F54+MAI!F54+JUN!F54+JUL!F54+AGO!F54+SET!F54+OUT!F54+NOV!F54+DEZ!F54</f>
        <v>192633.22200000004</v>
      </c>
      <c r="G52" s="20">
        <f>JAN!G54+FEV!G54+MAR!G54+ABR!G54+MAI!G54+JUN!G54+JUL!G54+AGO!G54+SET!G54+OUT!G54+NOV!G54+DEZ!G54</f>
        <v>7036.6680000000015</v>
      </c>
      <c r="H52" s="20">
        <f>JAN!H54+FEV!H54+MAR!H54+ABR!H54+MAI!H54+JUN!H54+JUL!H54+AGO!H54+SET!H54+OUT!H54+NOV!H54+DEZ!H54</f>
        <v>10197.01</v>
      </c>
      <c r="I52" s="20">
        <f>JAN!I54+FEV!I54+MAR!I54+ABR!I54+MAI!I54+JUN!I54+JUL!I54+AGO!I54+SET!I54+OUT!I54+NOV!I54+DEZ!I54</f>
        <v>0</v>
      </c>
      <c r="J52" s="20">
        <f>JAN!J54+FEV!J54+MAR!J54+ABR!J54+MAI!J54+JUN!J54+JUL!J54+AGO!J54+SET!J54+OUT!J54+NOV!J54+DEZ!J54</f>
        <v>18112.086000000003</v>
      </c>
      <c r="K52" s="20">
        <f>JAN!K54+FEV!K54+MAR!K54+ABR!K54+MAI!K54+JUN!K54+JUL!K54+AGO!K54+SET!K54+OUT!K54+NOV!K54+DEZ!K54</f>
        <v>456.49799999999999</v>
      </c>
      <c r="L52" s="20">
        <f>JAN!L54+FEV!L54+MAR!L54+ABR!L54+MAI!L54+JUN!L54+JUL!L54+AGO!L54+SET!L54+OUT!L54+NOV!L54+DEZ!L54</f>
        <v>173.904</v>
      </c>
      <c r="M52" s="20">
        <f>JAN!M54+FEV!M54+MAR!M54+ABR!M54+MAI!M54+JUN!M54+JUL!M54+AGO!M54+SET!M54+OUT!M54+NOV!M54+DEZ!M54</f>
        <v>0</v>
      </c>
      <c r="N52" s="20">
        <f>JAN!N54+FEV!N54+MAR!N54+ABR!N54+MAI!N54+JUN!N54+JUL!N54+AGO!N54+SET!N54+OUT!N54+NOV!N54+DEZ!N54</f>
        <v>378.52199999999999</v>
      </c>
      <c r="O52" s="20">
        <f>JAN!O54+FEV!O54+MAR!O54+ABR!O54+MAI!O54+JUN!O54+JUL!O54+AGO!O54+SET!O54+OUT!O54+NOV!O54+DEZ!O54</f>
        <v>0</v>
      </c>
      <c r="P52" s="20">
        <f>JAN!P54+FEV!P54+MAR!P54+ABR!P54+MAI!P54+JUN!P54+JUL!P54+AGO!P54+SET!P54+OUT!P54+NOV!P54+DEZ!P54</f>
        <v>35.630000000000003</v>
      </c>
      <c r="Q52" s="20">
        <f>JAN!Q54+FEV!Q54+MAR!Q54+ABR!Q54+MAI!Q54+JUN!Q54+JUL!Q54+AGO!Q54+SET!Q54+OUT!Q54+NOV!Q54+DEZ!Q54</f>
        <v>683.22800000000007</v>
      </c>
      <c r="R52" s="3">
        <f t="shared" si="6"/>
        <v>479069.25600000011</v>
      </c>
      <c r="S52" s="363">
        <f t="shared" si="7"/>
        <v>176773.90600000002</v>
      </c>
      <c r="T52" s="363">
        <f t="shared" si="7"/>
        <v>58483.074000000001</v>
      </c>
      <c r="U52" s="363">
        <f t="shared" si="7"/>
        <v>5650.884</v>
      </c>
      <c r="V52" s="363">
        <f t="shared" si="7"/>
        <v>8454.6240000000016</v>
      </c>
      <c r="W52" s="363">
        <f t="shared" si="8"/>
        <v>199669.89000000004</v>
      </c>
      <c r="X52" s="363">
        <f t="shared" si="9"/>
        <v>30036.878000000004</v>
      </c>
    </row>
    <row r="53" spans="1:24">
      <c r="A53" s="13" t="s">
        <v>13</v>
      </c>
      <c r="B53" s="20">
        <f>JAN!B55+FEV!B55+MAR!B55+ABR!B55+MAI!B55+JUN!B55+JUL!B55+AGO!B55+SET!B55+OUT!B55+NOV!B55+DEZ!B55</f>
        <v>902234.41400000011</v>
      </c>
      <c r="C53" s="20">
        <f>JAN!C55+FEV!C55+MAR!C55+ABR!C55+MAI!C55+JUN!C55+JUL!C55+AGO!C55+SET!C55+OUT!C55+NOV!C55+DEZ!C55</f>
        <v>160567.54200000002</v>
      </c>
      <c r="D53" s="20">
        <f>JAN!D55+FEV!D55+MAR!D55+ABR!D55+MAI!D55+JUN!D55+JUL!D55+AGO!D55+SET!D55+OUT!D55+NOV!D55+DEZ!D55</f>
        <v>68628.338000000003</v>
      </c>
      <c r="E53" s="20">
        <f>JAN!E55+FEV!E55+MAR!E55+ABR!E55+MAI!E55+JUN!E55+JUL!E55+AGO!E55+SET!E55+OUT!E55+NOV!E55+DEZ!E55</f>
        <v>42791.598000000005</v>
      </c>
      <c r="F53" s="20">
        <f>JAN!F55+FEV!F55+MAR!F55+ABR!F55+MAI!F55+JUN!F55+JUL!F55+AGO!F55+SET!F55+OUT!F55+NOV!F55+DEZ!F55</f>
        <v>1220671.446</v>
      </c>
      <c r="G53" s="20">
        <f>JAN!G55+FEV!G55+MAR!G55+ABR!G55+MAI!G55+JUN!G55+JUL!G55+AGO!G55+SET!G55+OUT!G55+NOV!G55+DEZ!G55</f>
        <v>19925.154000000006</v>
      </c>
      <c r="H53" s="20">
        <f>JAN!H55+FEV!H55+MAR!H55+ABR!H55+MAI!H55+JUN!H55+JUL!H55+AGO!H55+SET!H55+OUT!H55+NOV!H55+DEZ!H55</f>
        <v>28853.427999999996</v>
      </c>
      <c r="I53" s="20">
        <f>JAN!I55+FEV!I55+MAR!I55+ABR!I55+MAI!I55+JUN!I55+JUL!I55+AGO!I55+SET!I55+OUT!I55+NOV!I55+DEZ!I55</f>
        <v>11229.776000000002</v>
      </c>
      <c r="J53" s="20">
        <f>JAN!J55+FEV!J55+MAR!J55+ABR!J55+MAI!J55+JUN!J55+JUL!J55+AGO!J55+SET!J55+OUT!J55+NOV!J55+DEZ!J55</f>
        <v>52443.758000000009</v>
      </c>
      <c r="K53" s="20">
        <f>JAN!K55+FEV!K55+MAR!K55+ABR!K55+MAI!K55+JUN!K55+JUL!K55+AGO!K55+SET!K55+OUT!K55+NOV!K55+DEZ!K55</f>
        <v>6627.942</v>
      </c>
      <c r="L53" s="20">
        <f>JAN!L55+FEV!L55+MAR!L55+ABR!L55+MAI!L55+JUN!L55+JUL!L55+AGO!L55+SET!L55+OUT!L55+NOV!L55+DEZ!L55</f>
        <v>695.61599999999999</v>
      </c>
      <c r="M53" s="20">
        <f>JAN!M55+FEV!M55+MAR!M55+ABR!M55+MAI!M55+JUN!M55+JUL!M55+AGO!M55+SET!M55+OUT!M55+NOV!M55+DEZ!M55</f>
        <v>0</v>
      </c>
      <c r="N53" s="20">
        <f>JAN!N55+FEV!N55+MAR!N55+ABR!N55+MAI!N55+JUN!N55+JUL!N55+AGO!N55+SET!N55+OUT!N55+NOV!N55+DEZ!N55</f>
        <v>1574.9039999999998</v>
      </c>
      <c r="O53" s="20">
        <f>JAN!O55+FEV!O55+MAR!O55+ABR!O55+MAI!O55+JUN!O55+JUL!O55+AGO!O55+SET!O55+OUT!O55+NOV!O55+DEZ!O55</f>
        <v>0</v>
      </c>
      <c r="P53" s="20">
        <f>JAN!P55+FEV!P55+MAR!P55+ABR!P55+MAI!P55+JUN!P55+JUL!P55+AGO!P55+SET!P55+OUT!P55+NOV!P55+DEZ!P55</f>
        <v>0</v>
      </c>
      <c r="Q53" s="20">
        <f>JAN!Q55+FEV!Q55+MAR!Q55+ABR!Q55+MAI!Q55+JUN!Q55+JUL!Q55+AGO!Q55+SET!Q55+OUT!Q55+NOV!Q55+DEZ!Q55</f>
        <v>0</v>
      </c>
      <c r="R53" s="3">
        <f t="shared" si="6"/>
        <v>2516243.9160000002</v>
      </c>
      <c r="S53" s="363">
        <f t="shared" si="7"/>
        <v>902234.41400000011</v>
      </c>
      <c r="T53" s="363">
        <f t="shared" si="7"/>
        <v>160567.54200000002</v>
      </c>
      <c r="U53" s="363">
        <f t="shared" si="7"/>
        <v>68628.338000000003</v>
      </c>
      <c r="V53" s="363">
        <f t="shared" si="7"/>
        <v>42791.598000000005</v>
      </c>
      <c r="W53" s="363">
        <f t="shared" si="8"/>
        <v>1240596.6000000001</v>
      </c>
      <c r="X53" s="363">
        <f t="shared" si="9"/>
        <v>101425.42399999998</v>
      </c>
    </row>
    <row r="54" spans="1:24">
      <c r="A54" s="1" t="s">
        <v>16</v>
      </c>
      <c r="B54" s="20">
        <f>JAN!B56+FEV!B56+MAR!B56+ABR!B56+MAI!B56+JUN!B56+JUL!B56+AGO!B56+SET!B56+OUT!B56+NOV!B56+DEZ!B56</f>
        <v>317776.68800000002</v>
      </c>
      <c r="C54" s="20">
        <f>JAN!C56+FEV!C56+MAR!C56+ABR!C56+MAI!C56+JUN!C56+JUL!C56+AGO!C56+SET!C56+OUT!C56+NOV!C56+DEZ!C56</f>
        <v>82200.54399999998</v>
      </c>
      <c r="D54" s="20">
        <f>JAN!D56+FEV!D56+MAR!D56+ABR!D56+MAI!D56+JUN!D56+JUL!D56+AGO!D56+SET!D56+OUT!D56+NOV!D56+DEZ!D56</f>
        <v>13593.400000000001</v>
      </c>
      <c r="E54" s="20">
        <f>JAN!E56+FEV!E56+MAR!E56+ABR!E56+MAI!E56+JUN!E56+JUL!E56+AGO!E56+SET!E56+OUT!E56+NOV!E56+DEZ!E56</f>
        <v>10151.598</v>
      </c>
      <c r="F54" s="20">
        <f>JAN!F56+FEV!F56+MAR!F56+ABR!F56+MAI!F56+JUN!F56+JUL!F56+AGO!F56+SET!F56+OUT!F56+NOV!F56+DEZ!F56</f>
        <v>330683.96400000004</v>
      </c>
      <c r="G54" s="20">
        <f>JAN!G56+FEV!G56+MAR!G56+ABR!G56+MAI!G56+JUN!G56+JUL!G56+AGO!G56+SET!G56+OUT!G56+NOV!G56+DEZ!G56</f>
        <v>13147.194000000001</v>
      </c>
      <c r="H54" s="20">
        <f>JAN!H56+FEV!H56+MAR!H56+ABR!H56+MAI!H56+JUN!H56+JUL!H56+AGO!H56+SET!H56+OUT!H56+NOV!H56+DEZ!H56</f>
        <v>12060.234000000002</v>
      </c>
      <c r="I54" s="20">
        <f>JAN!I56+FEV!I56+MAR!I56+ABR!I56+MAI!I56+JUN!I56+JUL!I56+AGO!I56+SET!I56+OUT!I56+NOV!I56+DEZ!I56</f>
        <v>4637.6759999999995</v>
      </c>
      <c r="J54" s="20">
        <f>JAN!J56+FEV!J56+MAR!J56+ABR!J56+MAI!J56+JUN!J56+JUL!J56+AGO!J56+SET!J56+OUT!J56+NOV!J56+DEZ!J56</f>
        <v>23996.920000000002</v>
      </c>
      <c r="K54" s="20">
        <f>JAN!K56+FEV!K56+MAR!K56+ABR!K56+MAI!K56+JUN!K56+JUL!K56+AGO!K56+SET!K56+OUT!K56+NOV!K56+DEZ!K56</f>
        <v>1367.346</v>
      </c>
      <c r="L54" s="20">
        <f>JAN!L56+FEV!L56+MAR!L56+ABR!L56+MAI!L56+JUN!L56+JUL!L56+AGO!L56+SET!L56+OUT!L56+NOV!L56+DEZ!L56</f>
        <v>130.428</v>
      </c>
      <c r="M54" s="20">
        <f>JAN!M56+FEV!M56+MAR!M56+ABR!M56+MAI!M56+JUN!M56+JUL!M56+AGO!M56+SET!M56+OUT!M56+NOV!M56+DEZ!M56</f>
        <v>0</v>
      </c>
      <c r="N54" s="20">
        <f>JAN!N56+FEV!N56+MAR!N56+ABR!N56+MAI!N56+JUN!N56+JUL!N56+AGO!N56+SET!N56+OUT!N56+NOV!N56+DEZ!N56</f>
        <v>703.74</v>
      </c>
      <c r="O54" s="20">
        <f>JAN!O56+FEV!O56+MAR!O56+ABR!O56+MAI!O56+JUN!O56+JUL!O56+AGO!O56+SET!O56+OUT!O56+NOV!O56+DEZ!O56</f>
        <v>0</v>
      </c>
      <c r="P54" s="20">
        <f>JAN!P56+FEV!P56+MAR!P56+ABR!P56+MAI!P56+JUN!P56+JUL!P56+AGO!P56+SET!P56+OUT!P56+NOV!P56+DEZ!P56</f>
        <v>0</v>
      </c>
      <c r="Q54" s="20">
        <f>JAN!Q56+FEV!Q56+MAR!Q56+ABR!Q56+MAI!Q56+JUN!Q56+JUL!Q56+AGO!Q56+SET!Q56+OUT!Q56+NOV!Q56+DEZ!Q56</f>
        <v>0</v>
      </c>
      <c r="R54" s="3">
        <f t="shared" si="6"/>
        <v>810449.73200000019</v>
      </c>
      <c r="S54" s="363">
        <f t="shared" si="7"/>
        <v>317776.68800000002</v>
      </c>
      <c r="T54" s="363">
        <f t="shared" si="7"/>
        <v>82200.54399999998</v>
      </c>
      <c r="U54" s="363">
        <f t="shared" si="7"/>
        <v>13593.400000000001</v>
      </c>
      <c r="V54" s="363">
        <f t="shared" si="7"/>
        <v>10151.598</v>
      </c>
      <c r="W54" s="363">
        <f t="shared" si="8"/>
        <v>343831.15800000005</v>
      </c>
      <c r="X54" s="363">
        <f t="shared" si="9"/>
        <v>42896.343999999997</v>
      </c>
    </row>
    <row r="55" spans="1:24">
      <c r="A55" s="1" t="s">
        <v>17</v>
      </c>
      <c r="B55" s="20">
        <f>JAN!B57+FEV!B57+MAR!B57+ABR!B57+MAI!B57+JUN!B57+JUL!B57+AGO!B57+SET!B57+OUT!B57+NOV!B57+DEZ!B57</f>
        <v>88139.90800000001</v>
      </c>
      <c r="C55" s="20">
        <f>JAN!C57+FEV!C57+MAR!C57+ABR!C57+MAI!C57+JUN!C57+JUL!C57+AGO!C57+SET!C57+OUT!C57+NOV!C57+DEZ!C57</f>
        <v>12657.716</v>
      </c>
      <c r="D55" s="20">
        <f>JAN!D57+FEV!D57+MAR!D57+ABR!D57+MAI!D57+JUN!D57+JUL!D57+AGO!D57+SET!D57+OUT!D57+NOV!D57+DEZ!D57</f>
        <v>5644.7439999999997</v>
      </c>
      <c r="E55" s="20">
        <f>JAN!E57+FEV!E57+MAR!E57+ABR!E57+MAI!E57+JUN!E57+JUL!E57+AGO!E57+SET!E57+OUT!E57+NOV!E57+DEZ!E57</f>
        <v>3232.1299999999997</v>
      </c>
      <c r="F55" s="20">
        <f>JAN!F57+FEV!F57+MAR!F57+ABR!F57+MAI!F57+JUN!F57+JUL!F57+AGO!F57+SET!F57+OUT!F57+NOV!F57+DEZ!F57</f>
        <v>94478.102000000014</v>
      </c>
      <c r="G55" s="20">
        <f>JAN!G57+FEV!G57+MAR!G57+ABR!G57+MAI!G57+JUN!G57+JUL!G57+AGO!G57+SET!G57+OUT!G57+NOV!G57+DEZ!G57</f>
        <v>4932.3779999999997</v>
      </c>
      <c r="H55" s="20">
        <f>JAN!H57+FEV!H57+MAR!H57+ABR!H57+MAI!H57+JUN!H57+JUL!H57+AGO!H57+SET!H57+OUT!H57+NOV!H57+DEZ!H57</f>
        <v>2161.2019999999998</v>
      </c>
      <c r="I55" s="20">
        <f>JAN!I57+FEV!I57+MAR!I57+ABR!I57+MAI!I57+JUN!I57+JUL!I57+AGO!I57+SET!I57+OUT!I57+NOV!I57+DEZ!I57</f>
        <v>0</v>
      </c>
      <c r="J55" s="20">
        <f>JAN!J57+FEV!J57+MAR!J57+ABR!J57+MAI!J57+JUN!J57+JUL!J57+AGO!J57+SET!J57+OUT!J57+NOV!J57+DEZ!J57</f>
        <v>4620.5219999999999</v>
      </c>
      <c r="K55" s="20">
        <f>JAN!K57+FEV!K57+MAR!K57+ABR!K57+MAI!K57+JUN!K57+JUL!K57+AGO!K57+SET!K57+OUT!K57+NOV!K57+DEZ!K57</f>
        <v>673.87800000000004</v>
      </c>
      <c r="L55" s="20">
        <f>JAN!L57+FEV!L57+MAR!L57+ABR!L57+MAI!L57+JUN!L57+JUL!L57+AGO!L57+SET!L57+OUT!L57+NOV!L57+DEZ!L57</f>
        <v>0</v>
      </c>
      <c r="M55" s="20">
        <f>JAN!M57+FEV!M57+MAR!M57+ABR!M57+MAI!M57+JUN!M57+JUL!M57+AGO!M57+SET!M57+OUT!M57+NOV!M57+DEZ!M57</f>
        <v>0</v>
      </c>
      <c r="N55" s="20">
        <f>JAN!N57+FEV!N57+MAR!N57+ABR!N57+MAI!N57+JUN!N57+JUL!N57+AGO!N57+SET!N57+OUT!N57+NOV!N57+DEZ!N57</f>
        <v>88.759999999999991</v>
      </c>
      <c r="O55" s="20">
        <f>JAN!O57+FEV!O57+MAR!O57+ABR!O57+MAI!O57+JUN!O57+JUL!O57+AGO!O57+SET!O57+OUT!O57+NOV!O57+DEZ!O57</f>
        <v>0</v>
      </c>
      <c r="P55" s="20">
        <f>JAN!P57+FEV!P57+MAR!P57+ABR!P57+MAI!P57+JUN!P57+JUL!P57+AGO!P57+SET!P57+OUT!P57+NOV!P57+DEZ!P57</f>
        <v>0</v>
      </c>
      <c r="Q55" s="20">
        <f>JAN!Q57+FEV!Q57+MAR!Q57+ABR!Q57+MAI!Q57+JUN!Q57+JUL!Q57+AGO!Q57+SET!Q57+OUT!Q57+NOV!Q57+DEZ!Q57</f>
        <v>0</v>
      </c>
      <c r="R55" s="3">
        <f t="shared" si="6"/>
        <v>216629.34000000003</v>
      </c>
      <c r="S55" s="363">
        <f t="shared" si="7"/>
        <v>88139.90800000001</v>
      </c>
      <c r="T55" s="363">
        <f t="shared" si="7"/>
        <v>12657.716</v>
      </c>
      <c r="U55" s="363">
        <f t="shared" si="7"/>
        <v>5644.7439999999997</v>
      </c>
      <c r="V55" s="363">
        <f t="shared" si="7"/>
        <v>3232.1299999999997</v>
      </c>
      <c r="W55" s="363">
        <f t="shared" si="8"/>
        <v>99410.48000000001</v>
      </c>
      <c r="X55" s="363">
        <f t="shared" si="9"/>
        <v>7544.3620000000001</v>
      </c>
    </row>
    <row r="56" spans="1:24">
      <c r="A56" s="1" t="s">
        <v>18</v>
      </c>
      <c r="B56" s="20">
        <f>JAN!B58+FEV!B58+MAR!B58+ABR!B58+MAI!B58+JUN!B58+JUL!B58+AGO!B58+SET!B58+OUT!B58+NOV!B58+DEZ!B58</f>
        <v>1053986.0420000001</v>
      </c>
      <c r="C56" s="20">
        <f>JAN!C58+FEV!C58+MAR!C58+ABR!C58+MAI!C58+JUN!C58+JUL!C58+AGO!C58+SET!C58+OUT!C58+NOV!C58+DEZ!C58</f>
        <v>174005.58200000005</v>
      </c>
      <c r="D56" s="20">
        <f>JAN!D58+FEV!D58+MAR!D58+ABR!D58+MAI!D58+JUN!D58+JUL!D58+AGO!D58+SET!D58+OUT!D58+NOV!D58+DEZ!D58</f>
        <v>65545.786000000007</v>
      </c>
      <c r="E56" s="20">
        <f>JAN!E58+FEV!E58+MAR!E58+ABR!E58+MAI!E58+JUN!E58+JUL!E58+AGO!E58+SET!E58+OUT!E58+NOV!E58+DEZ!E58</f>
        <v>31399.842000000004</v>
      </c>
      <c r="F56" s="20">
        <f>JAN!F58+FEV!F58+MAR!F58+ABR!F58+MAI!F58+JUN!F58+JUL!F58+AGO!F58+SET!F58+OUT!F58+NOV!F58+DEZ!F58</f>
        <v>1098617.9040000001</v>
      </c>
      <c r="G56" s="20">
        <f>JAN!G58+FEV!G58+MAR!G58+ABR!G58+MAI!G58+JUN!G58+JUL!G58+AGO!G58+SET!G58+OUT!G58+NOV!G58+DEZ!G58</f>
        <v>32898.444000000003</v>
      </c>
      <c r="H56" s="20">
        <f>JAN!H58+FEV!H58+MAR!H58+ABR!H58+MAI!H58+JUN!H58+JUL!H58+AGO!H58+SET!H58+OUT!H58+NOV!H58+DEZ!H58</f>
        <v>29314.462000000003</v>
      </c>
      <c r="I56" s="20">
        <f>JAN!I58+FEV!I58+MAR!I58+ABR!I58+MAI!I58+JUN!I58+JUL!I58+AGO!I58+SET!I58+OUT!I58+NOV!I58+DEZ!I58</f>
        <v>7138.6860000000015</v>
      </c>
      <c r="J56" s="20">
        <f>JAN!J58+FEV!J58+MAR!J58+ABR!J58+MAI!J58+JUN!J58+JUL!J58+AGO!J58+SET!J58+OUT!J58+NOV!J58+DEZ!J58</f>
        <v>57030.854000000007</v>
      </c>
      <c r="K56" s="20">
        <f>JAN!K58+FEV!K58+MAR!K58+ABR!K58+MAI!K58+JUN!K58+JUL!K58+AGO!K58+SET!K58+OUT!K58+NOV!K58+DEZ!K58</f>
        <v>3862.9200000000005</v>
      </c>
      <c r="L56" s="20">
        <f>JAN!L58+FEV!L58+MAR!L58+ABR!L58+MAI!L58+JUN!L58+JUL!L58+AGO!L58+SET!L58+OUT!L58+NOV!L58+DEZ!L58</f>
        <v>478.23599999999999</v>
      </c>
      <c r="M56" s="20">
        <f>JAN!M58+FEV!M58+MAR!M58+ABR!M58+MAI!M58+JUN!M58+JUL!M58+AGO!M58+SET!M58+OUT!M58+NOV!M58+DEZ!M58</f>
        <v>0</v>
      </c>
      <c r="N56" s="20">
        <f>JAN!N58+FEV!N58+MAR!N58+ABR!N58+MAI!N58+JUN!N58+JUL!N58+AGO!N58+SET!N58+OUT!N58+NOV!N58+DEZ!N58</f>
        <v>2822.9300000000003</v>
      </c>
      <c r="O56" s="20">
        <f>JAN!O58+FEV!O58+MAR!O58+ABR!O58+MAI!O58+JUN!O58+JUL!O58+AGO!O58+SET!O58+OUT!O58+NOV!O58+DEZ!O58</f>
        <v>12.68</v>
      </c>
      <c r="P56" s="20">
        <f>JAN!P58+FEV!P58+MAR!P58+ABR!P58+MAI!P58+JUN!P58+JUL!P58+AGO!P58+SET!P58+OUT!P58+NOV!P58+DEZ!P58</f>
        <v>6.4620000000000006</v>
      </c>
      <c r="Q56" s="20">
        <f>JAN!Q58+FEV!Q58+MAR!Q58+ABR!Q58+MAI!Q58+JUN!Q58+JUL!Q58+AGO!Q58+SET!Q58+OUT!Q58+NOV!Q58+DEZ!Q58</f>
        <v>284.61599999999999</v>
      </c>
      <c r="R56" s="3">
        <f t="shared" si="6"/>
        <v>2557405.4460000005</v>
      </c>
      <c r="S56" s="363">
        <f t="shared" si="7"/>
        <v>1053986.0420000001</v>
      </c>
      <c r="T56" s="363">
        <f t="shared" si="7"/>
        <v>174005.58200000005</v>
      </c>
      <c r="U56" s="363">
        <f t="shared" si="7"/>
        <v>65545.786000000007</v>
      </c>
      <c r="V56" s="363">
        <f t="shared" si="7"/>
        <v>31399.842000000004</v>
      </c>
      <c r="W56" s="363">
        <f t="shared" si="8"/>
        <v>1131516.348</v>
      </c>
      <c r="X56" s="363">
        <f t="shared" si="9"/>
        <v>100951.84600000001</v>
      </c>
    </row>
    <row r="57" spans="1:24">
      <c r="A57" s="1" t="s">
        <v>20</v>
      </c>
      <c r="B57" s="20">
        <f>JAN!B59+FEV!B59+MAR!B59+ABR!B59+MAI!B59+JUN!B59+JUL!B59+AGO!B59+SET!B59+OUT!B59+NOV!B59+DEZ!B59</f>
        <v>153304.45800000001</v>
      </c>
      <c r="C57" s="20">
        <f>JAN!C59+FEV!C59+MAR!C59+ABR!C59+MAI!C59+JUN!C59+JUL!C59+AGO!C59+SET!C59+OUT!C59+NOV!C59+DEZ!C59</f>
        <v>33264.044000000002</v>
      </c>
      <c r="D57" s="20">
        <f>JAN!D59+FEV!D59+MAR!D59+ABR!D59+MAI!D59+JUN!D59+JUL!D59+AGO!D59+SET!D59+OUT!D59+NOV!D59+DEZ!D59</f>
        <v>4410.63</v>
      </c>
      <c r="E57" s="20">
        <f>JAN!E59+FEV!E59+MAR!E59+ABR!E59+MAI!E59+JUN!E59+JUL!E59+AGO!E59+SET!E59+OUT!E59+NOV!E59+DEZ!E59</f>
        <v>2991.7699999999995</v>
      </c>
      <c r="F57" s="20">
        <f>JAN!F59+FEV!F59+MAR!F59+ABR!F59+MAI!F59+JUN!F59+JUL!F59+AGO!F59+SET!F59+OUT!F59+NOV!F59+DEZ!F59</f>
        <v>160483.57799999998</v>
      </c>
      <c r="G57" s="20">
        <f>JAN!G59+FEV!G59+MAR!G59+ABR!G59+MAI!G59+JUN!G59+JUL!G59+AGO!G59+SET!G59+OUT!G59+NOV!G59+DEZ!G59</f>
        <v>6386.6760000000004</v>
      </c>
      <c r="H57" s="20">
        <f>JAN!H59+FEV!H59+MAR!H59+ABR!H59+MAI!H59+JUN!H59+JUL!H59+AGO!H59+SET!H59+OUT!H59+NOV!H59+DEZ!H59</f>
        <v>5987.9080000000004</v>
      </c>
      <c r="I57" s="20">
        <f>JAN!I59+FEV!I59+MAR!I59+ABR!I59+MAI!I59+JUN!I59+JUL!I59+AGO!I59+SET!I59+OUT!I59+NOV!I59+DEZ!I59</f>
        <v>4063.9780000000001</v>
      </c>
      <c r="J57" s="20">
        <f>JAN!J59+FEV!J59+MAR!J59+ABR!J59+MAI!J59+JUN!J59+JUL!J59+AGO!J59+SET!J59+OUT!J59+NOV!J59+DEZ!J59</f>
        <v>9151.1080000000002</v>
      </c>
      <c r="K57" s="20">
        <f>JAN!K59+FEV!K59+MAR!K59+ABR!K59+MAI!K59+JUN!K59+JUL!K59+AGO!K59+SET!K59+OUT!K59+NOV!K59+DEZ!K59</f>
        <v>456.49799999999999</v>
      </c>
      <c r="L57" s="20">
        <f>JAN!L59+FEV!L59+MAR!L59+ABR!L59+MAI!L59+JUN!L59+JUL!L59+AGO!L59+SET!L59+OUT!L59+NOV!L59+DEZ!L59</f>
        <v>86.951999999999998</v>
      </c>
      <c r="M57" s="20">
        <f>JAN!M59+FEV!M59+MAR!M59+ABR!M59+MAI!M59+JUN!M59+JUL!M59+AGO!M59+SET!M59+OUT!M59+NOV!M59+DEZ!M59</f>
        <v>0</v>
      </c>
      <c r="N57" s="20">
        <f>JAN!N59+FEV!N59+MAR!N59+ABR!N59+MAI!N59+JUN!N59+JUL!N59+AGO!N59+SET!N59+OUT!N59+NOV!N59+DEZ!N59</f>
        <v>341.108</v>
      </c>
      <c r="O57" s="20">
        <f>JAN!O59+FEV!O59+MAR!O59+ABR!O59+MAI!O59+JUN!O59+JUL!O59+AGO!O59+SET!O59+OUT!O59+NOV!O59+DEZ!O59</f>
        <v>0</v>
      </c>
      <c r="P57" s="20">
        <f>JAN!P59+FEV!P59+MAR!P59+ABR!P59+MAI!P59+JUN!P59+JUL!P59+AGO!P59+SET!P59+OUT!P59+NOV!P59+DEZ!P59</f>
        <v>0</v>
      </c>
      <c r="Q57" s="20">
        <f>JAN!Q59+FEV!Q59+MAR!Q59+ABR!Q59+MAI!Q59+JUN!Q59+JUL!Q59+AGO!Q59+SET!Q59+OUT!Q59+NOV!Q59+DEZ!Q59</f>
        <v>0</v>
      </c>
      <c r="R57" s="3">
        <f t="shared" si="6"/>
        <v>380928.70799999998</v>
      </c>
      <c r="S57" s="363">
        <f t="shared" si="7"/>
        <v>153304.45800000001</v>
      </c>
      <c r="T57" s="363">
        <f t="shared" si="7"/>
        <v>33264.044000000002</v>
      </c>
      <c r="U57" s="363">
        <f t="shared" si="7"/>
        <v>4410.63</v>
      </c>
      <c r="V57" s="363">
        <f t="shared" si="7"/>
        <v>2991.7699999999995</v>
      </c>
      <c r="W57" s="363">
        <f t="shared" si="8"/>
        <v>166870.25399999999</v>
      </c>
      <c r="X57" s="363">
        <f t="shared" si="9"/>
        <v>20087.552</v>
      </c>
    </row>
    <row r="58" spans="1:24">
      <c r="A58" s="1" t="s">
        <v>19</v>
      </c>
      <c r="B58" s="20">
        <f>JAN!B60+FEV!B60+MAR!B60+ABR!B60+MAI!B60+JUN!B60+JUL!B60+AGO!B60+SET!B60+OUT!B60+NOV!B60+DEZ!B60</f>
        <v>1155225.6779999998</v>
      </c>
      <c r="C58" s="20">
        <f>JAN!C60+FEV!C60+MAR!C60+ABR!C60+MAI!C60+JUN!C60+JUL!C60+AGO!C60+SET!C60+OUT!C60+NOV!C60+DEZ!C60</f>
        <v>227994.97200000001</v>
      </c>
      <c r="D58" s="20">
        <f>JAN!D60+FEV!D60+MAR!D60+ABR!D60+MAI!D60+JUN!D60+JUL!D60+AGO!D60+SET!D60+OUT!D60+NOV!D60+DEZ!D60</f>
        <v>78384.350000000006</v>
      </c>
      <c r="E58" s="20">
        <f>JAN!E60+FEV!E60+MAR!E60+ABR!E60+MAI!E60+JUN!E60+JUL!E60+AGO!E60+SET!E60+OUT!E60+NOV!E60+DEZ!E60</f>
        <v>43665.972000000002</v>
      </c>
      <c r="F58" s="20">
        <f>JAN!F60+FEV!F60+MAR!F60+ABR!F60+MAI!F60+JUN!F60+JUL!F60+AGO!F60+SET!F60+OUT!F60+NOV!F60+DEZ!F60</f>
        <v>1580220.5460000001</v>
      </c>
      <c r="G58" s="20">
        <f>JAN!G60+FEV!G60+MAR!G60+ABR!G60+MAI!G60+JUN!G60+JUL!G60+AGO!G60+SET!G60+OUT!G60+NOV!G60+DEZ!G60</f>
        <v>26792.214000000004</v>
      </c>
      <c r="H58" s="20">
        <f>JAN!H60+FEV!H60+MAR!H60+ABR!H60+MAI!H60+JUN!H60+JUL!H60+AGO!H60+SET!H60+OUT!H60+NOV!H60+DEZ!H60</f>
        <v>44572.260000000009</v>
      </c>
      <c r="I58" s="20">
        <f>JAN!I60+FEV!I60+MAR!I60+ABR!I60+MAI!I60+JUN!I60+JUL!I60+AGO!I60+SET!I60+OUT!I60+NOV!I60+DEZ!I60</f>
        <v>3864.5419999999999</v>
      </c>
      <c r="J58" s="20">
        <f>JAN!J60+FEV!J60+MAR!J60+ABR!J60+MAI!J60+JUN!J60+JUL!J60+AGO!J60+SET!J60+OUT!J60+NOV!J60+DEZ!J60</f>
        <v>68192.492000000013</v>
      </c>
      <c r="K58" s="20">
        <f>JAN!K60+FEV!K60+MAR!K60+ABR!K60+MAI!K60+JUN!K60+JUL!K60+AGO!K60+SET!K60+OUT!K60+NOV!K60+DEZ!K60</f>
        <v>4693.26</v>
      </c>
      <c r="L58" s="20">
        <f>JAN!L60+FEV!L60+MAR!L60+ABR!L60+MAI!L60+JUN!L60+JUL!L60+AGO!L60+SET!L60+OUT!L60+NOV!L60+DEZ!L60</f>
        <v>304.33199999999999</v>
      </c>
      <c r="M58" s="20">
        <f>JAN!M60+FEV!M60+MAR!M60+ABR!M60+MAI!M60+JUN!M60+JUL!M60+AGO!M60+SET!M60+OUT!M60+NOV!M60+DEZ!M60</f>
        <v>988.90800000000013</v>
      </c>
      <c r="N58" s="20">
        <f>JAN!N60+FEV!N60+MAR!N60+ABR!N60+MAI!N60+JUN!N60+JUL!N60+AGO!N60+SET!N60+OUT!N60+NOV!N60+DEZ!N60</f>
        <v>1757.5920000000001</v>
      </c>
      <c r="O58" s="20">
        <f>JAN!O60+FEV!O60+MAR!O60+ABR!O60+MAI!O60+JUN!O60+JUL!O60+AGO!O60+SET!O60+OUT!O60+NOV!O60+DEZ!O60</f>
        <v>0</v>
      </c>
      <c r="P58" s="20">
        <f>JAN!P60+FEV!P60+MAR!P60+ABR!P60+MAI!P60+JUN!P60+JUL!P60+AGO!P60+SET!P60+OUT!P60+NOV!P60+DEZ!P60</f>
        <v>0</v>
      </c>
      <c r="Q58" s="20">
        <f>JAN!Q60+FEV!Q60+MAR!Q60+ABR!Q60+MAI!Q60+JUN!Q60+JUL!Q60+AGO!Q60+SET!Q60+OUT!Q60+NOV!Q60+DEZ!Q60</f>
        <v>0</v>
      </c>
      <c r="R58" s="3">
        <f t="shared" si="6"/>
        <v>3236657.1180000002</v>
      </c>
      <c r="S58" s="363">
        <f t="shared" si="7"/>
        <v>1155225.6779999998</v>
      </c>
      <c r="T58" s="363">
        <f t="shared" si="7"/>
        <v>227994.97200000001</v>
      </c>
      <c r="U58" s="363">
        <f t="shared" si="7"/>
        <v>78384.350000000006</v>
      </c>
      <c r="V58" s="363">
        <f t="shared" si="7"/>
        <v>43665.972000000002</v>
      </c>
      <c r="W58" s="363">
        <f t="shared" si="8"/>
        <v>1607012.76</v>
      </c>
      <c r="X58" s="363">
        <f t="shared" si="9"/>
        <v>124373.38600000001</v>
      </c>
    </row>
    <row r="59" spans="1:24">
      <c r="A59" s="13" t="s">
        <v>21</v>
      </c>
      <c r="B59" s="20">
        <f>JAN!B61+FEV!B61+MAR!B61+ABR!B61+MAI!B61+JUN!B61+JUL!B61+AGO!B61+SET!B61+OUT!B61+NOV!B61+DEZ!B61</f>
        <v>79699.240000000005</v>
      </c>
      <c r="C59" s="20">
        <f>JAN!C61+FEV!C61+MAR!C61+ABR!C61+MAI!C61+JUN!C61+JUL!C61+AGO!C61+SET!C61+OUT!C61+NOV!C61+DEZ!C61</f>
        <v>23881.068000000007</v>
      </c>
      <c r="D59" s="20">
        <f>JAN!D61+FEV!D61+MAR!D61+ABR!D61+MAI!D61+JUN!D61+JUL!D61+AGO!D61+SET!D61+OUT!D61+NOV!D61+DEZ!D61</f>
        <v>3999.3420000000006</v>
      </c>
      <c r="E59" s="20">
        <f>JAN!E61+FEV!E61+MAR!E61+ABR!E61+MAI!E61+JUN!E61+JUL!E61+AGO!E61+SET!E61+OUT!E61+NOV!E61+DEZ!E61</f>
        <v>5343.84</v>
      </c>
      <c r="F59" s="20">
        <f>JAN!F61+FEV!F61+MAR!F61+ABR!F61+MAI!F61+JUN!F61+JUL!F61+AGO!F61+SET!F61+OUT!F61+NOV!F61+DEZ!F61</f>
        <v>153803.31000000003</v>
      </c>
      <c r="G59" s="20">
        <f>JAN!G61+FEV!G61+MAR!G61+ABR!G61+MAI!G61+JUN!G61+JUL!G61+AGO!G61+SET!G61+OUT!G61+NOV!G61+DEZ!G61</f>
        <v>3845.4780000000005</v>
      </c>
      <c r="H59" s="20">
        <f>JAN!H61+FEV!H61+MAR!H61+ABR!H61+MAI!H61+JUN!H61+JUL!H61+AGO!H61+SET!H61+OUT!H61+NOV!H61+DEZ!H61</f>
        <v>3665.076</v>
      </c>
      <c r="I59" s="20">
        <f>JAN!I61+FEV!I61+MAR!I61+ABR!I61+MAI!I61+JUN!I61+JUL!I61+AGO!I61+SET!I61+OUT!I61+NOV!I61+DEZ!I61</f>
        <v>0</v>
      </c>
      <c r="J59" s="20">
        <f>JAN!J61+FEV!J61+MAR!J61+ABR!J61+MAI!J61+JUN!J61+JUL!J61+AGO!J61+SET!J61+OUT!J61+NOV!J61+DEZ!J61</f>
        <v>8741.6560000000027</v>
      </c>
      <c r="K59" s="20">
        <f>JAN!K61+FEV!K61+MAR!K61+ABR!K61+MAI!K61+JUN!K61+JUL!K61+AGO!K61+SET!K61+OUT!K61+NOV!K61+DEZ!K61</f>
        <v>802.1579999999999</v>
      </c>
      <c r="L59" s="20">
        <f>JAN!L61+FEV!L61+MAR!L61+ABR!L61+MAI!L61+JUN!L61+JUL!L61+AGO!L61+SET!L61+OUT!L61+NOV!L61+DEZ!L61</f>
        <v>0</v>
      </c>
      <c r="M59" s="20">
        <f>JAN!M61+FEV!M61+MAR!M61+ABR!M61+MAI!M61+JUN!M61+JUL!M61+AGO!M61+SET!M61+OUT!M61+NOV!M61+DEZ!M61</f>
        <v>0</v>
      </c>
      <c r="N59" s="20">
        <f>JAN!N61+FEV!N61+MAR!N61+ABR!N61+MAI!N61+JUN!N61+JUL!N61+AGO!N61+SET!N61+OUT!N61+NOV!N61+DEZ!N61</f>
        <v>176.89400000000003</v>
      </c>
      <c r="O59" s="20">
        <f>JAN!O61+FEV!O61+MAR!O61+ABR!O61+MAI!O61+JUN!O61+JUL!O61+AGO!O61+SET!O61+OUT!O61+NOV!O61+DEZ!O61</f>
        <v>0</v>
      </c>
      <c r="P59" s="20">
        <f>JAN!P61+FEV!P61+MAR!P61+ABR!P61+MAI!P61+JUN!P61+JUL!P61+AGO!P61+SET!P61+OUT!P61+NOV!P61+DEZ!P61</f>
        <v>98.95</v>
      </c>
      <c r="Q59" s="20">
        <f>JAN!Q61+FEV!Q61+MAR!Q61+ABR!Q61+MAI!Q61+JUN!Q61+JUL!Q61+AGO!Q61+SET!Q61+OUT!Q61+NOV!Q61+DEZ!Q61</f>
        <v>4.9800000000000004</v>
      </c>
      <c r="R59" s="3">
        <f t="shared" si="6"/>
        <v>284061.99200000003</v>
      </c>
      <c r="S59" s="363">
        <f t="shared" si="7"/>
        <v>79699.240000000005</v>
      </c>
      <c r="T59" s="363">
        <f t="shared" si="7"/>
        <v>23881.068000000007</v>
      </c>
      <c r="U59" s="363">
        <f t="shared" si="7"/>
        <v>3999.3420000000006</v>
      </c>
      <c r="V59" s="363">
        <f t="shared" si="7"/>
        <v>5343.84</v>
      </c>
      <c r="W59" s="363">
        <f t="shared" si="8"/>
        <v>157648.78800000003</v>
      </c>
      <c r="X59" s="363">
        <f t="shared" si="9"/>
        <v>13489.714000000004</v>
      </c>
    </row>
    <row r="60" spans="1:24">
      <c r="A60" s="2" t="s">
        <v>22</v>
      </c>
      <c r="B60" s="20">
        <f>JAN!B62+FEV!B62+MAR!B62+ABR!B62+MAI!B62+JUN!B62+JUL!B62+AGO!B62+SET!B62+OUT!B62+NOV!B62+DEZ!B62</f>
        <v>13085.43</v>
      </c>
      <c r="C60" s="20">
        <f>JAN!C62+FEV!C62+MAR!C62+ABR!C62+MAI!C62+JUN!C62+JUL!C62+AGO!C62+SET!C62+OUT!C62+NOV!C62+DEZ!C62</f>
        <v>2621.386</v>
      </c>
      <c r="D60" s="20">
        <f>JAN!D62+FEV!D62+MAR!D62+ABR!D62+MAI!D62+JUN!D62+JUL!D62+AGO!D62+SET!D62+OUT!D62+NOV!D62+DEZ!D62</f>
        <v>587.5440000000001</v>
      </c>
      <c r="E60" s="20">
        <f>JAN!E62+FEV!E62+MAR!E62+ABR!E62+MAI!E62+JUN!E62+JUL!E62+AGO!E62+SET!E62+OUT!E62+NOV!E62+DEZ!E62</f>
        <v>491.60599999999999</v>
      </c>
      <c r="F60" s="20">
        <f>JAN!F62+FEV!F62+MAR!F62+ABR!F62+MAI!F62+JUN!F62+JUL!F62+AGO!F62+SET!F62+OUT!F62+NOV!F62+DEZ!F62</f>
        <v>27792.162</v>
      </c>
      <c r="G60" s="20">
        <f>JAN!G62+FEV!G62+MAR!G62+ABR!G62+MAI!G62+JUN!G62+JUL!G62+AGO!G62+SET!G62+OUT!G62+NOV!G62+DEZ!G62</f>
        <v>717.35399999999993</v>
      </c>
      <c r="H60" s="20">
        <f>JAN!H62+FEV!H62+MAR!H62+ABR!H62+MAI!H62+JUN!H62+JUL!H62+AGO!H62+SET!H62+OUT!H62+NOV!H62+DEZ!H62</f>
        <v>253.99400000000003</v>
      </c>
      <c r="I60" s="20">
        <f>JAN!I62+FEV!I62+MAR!I62+ABR!I62+MAI!I62+JUN!I62+JUL!I62+AGO!I62+SET!I62+OUT!I62+NOV!I62+DEZ!I62</f>
        <v>0</v>
      </c>
      <c r="J60" s="20">
        <f>JAN!J62+FEV!J62+MAR!J62+ABR!J62+MAI!J62+JUN!J62+JUL!J62+AGO!J62+SET!J62+OUT!J62+NOV!J62+DEZ!J62</f>
        <v>769.42600000000016</v>
      </c>
      <c r="K60" s="20">
        <f>JAN!K62+FEV!K62+MAR!K62+ABR!K62+MAI!K62+JUN!K62+JUL!K62+AGO!K62+SET!K62+OUT!K62+NOV!K62+DEZ!K62</f>
        <v>239.11799999999999</v>
      </c>
      <c r="L60" s="20">
        <f>JAN!L62+FEV!L62+MAR!L62+ABR!L62+MAI!L62+JUN!L62+JUL!L62+AGO!L62+SET!L62+OUT!L62+NOV!L62+DEZ!L62</f>
        <v>0</v>
      </c>
      <c r="M60" s="20">
        <f>JAN!M62+FEV!M62+MAR!M62+ABR!M62+MAI!M62+JUN!M62+JUL!M62+AGO!M62+SET!M62+OUT!M62+NOV!M62+DEZ!M62</f>
        <v>0</v>
      </c>
      <c r="N60" s="20">
        <f>JAN!N62+FEV!N62+MAR!N62+ABR!N62+MAI!N62+JUN!N62+JUL!N62+AGO!N62+SET!N62+OUT!N62+NOV!N62+DEZ!N62</f>
        <v>44.379999999999995</v>
      </c>
      <c r="O60" s="20">
        <f>JAN!O62+FEV!O62+MAR!O62+ABR!O62+MAI!O62+JUN!O62+JUL!O62+AGO!O62+SET!O62+OUT!O62+NOV!O62+DEZ!O62</f>
        <v>0</v>
      </c>
      <c r="P60" s="20">
        <f>JAN!P62+FEV!P62+MAR!P62+ABR!P62+MAI!P62+JUN!P62+JUL!P62+AGO!P62+SET!P62+OUT!P62+NOV!P62+DEZ!P62</f>
        <v>0</v>
      </c>
      <c r="Q60" s="20">
        <f>JAN!Q62+FEV!Q62+MAR!Q62+ABR!Q62+MAI!Q62+JUN!Q62+JUL!Q62+AGO!Q62+SET!Q62+OUT!Q62+NOV!Q62+DEZ!Q62</f>
        <v>0</v>
      </c>
      <c r="R60" s="3">
        <f t="shared" si="6"/>
        <v>46602.399999999994</v>
      </c>
      <c r="S60" s="363">
        <f t="shared" si="7"/>
        <v>13085.43</v>
      </c>
      <c r="T60" s="363">
        <f t="shared" si="7"/>
        <v>2621.386</v>
      </c>
      <c r="U60" s="363">
        <f t="shared" si="7"/>
        <v>587.5440000000001</v>
      </c>
      <c r="V60" s="363">
        <f t="shared" si="7"/>
        <v>491.60599999999999</v>
      </c>
      <c r="W60" s="363">
        <f t="shared" si="8"/>
        <v>28509.516</v>
      </c>
      <c r="X60" s="363">
        <f t="shared" si="9"/>
        <v>1306.9180000000001</v>
      </c>
    </row>
    <row r="61" spans="1:24">
      <c r="A61" s="1" t="s">
        <v>23</v>
      </c>
      <c r="B61" s="20">
        <f>JAN!B63+FEV!B63+MAR!B63+ABR!B63+MAI!B63+JUN!B63+JUL!B63+AGO!B63+SET!B63+OUT!B63+NOV!B63+DEZ!B63</f>
        <v>809699.01800000004</v>
      </c>
      <c r="C61" s="20">
        <f>JAN!C63+FEV!C63+MAR!C63+ABR!C63+MAI!C63+JUN!C63+JUL!C63+AGO!C63+SET!C63+OUT!C63+NOV!C63+DEZ!C63</f>
        <v>197580.52200000003</v>
      </c>
      <c r="D61" s="20">
        <f>JAN!D63+FEV!D63+MAR!D63+ABR!D63+MAI!D63+JUN!D63+JUL!D63+AGO!D63+SET!D63+OUT!D63+NOV!D63+DEZ!D63</f>
        <v>53085.904000000002</v>
      </c>
      <c r="E61" s="20">
        <f>JAN!E63+FEV!E63+MAR!E63+ABR!E63+MAI!E63+JUN!E63+JUL!E63+AGO!E63+SET!E63+OUT!E63+NOV!E63+DEZ!E63</f>
        <v>55221.824000000001</v>
      </c>
      <c r="F61" s="20">
        <f>JAN!F63+FEV!F63+MAR!F63+ABR!F63+MAI!F63+JUN!F63+JUL!F63+AGO!F63+SET!F63+OUT!F63+NOV!F63+DEZ!F63</f>
        <v>1028140.6440000001</v>
      </c>
      <c r="G61" s="20">
        <f>JAN!G63+FEV!G63+MAR!G63+ABR!G63+MAI!G63+JUN!G63+JUL!G63+AGO!G63+SET!G63+OUT!G63+NOV!G63+DEZ!G63</f>
        <v>12495.054</v>
      </c>
      <c r="H61" s="20">
        <f>JAN!H63+FEV!H63+MAR!H63+ABR!H63+MAI!H63+JUN!H63+JUL!H63+AGO!H63+SET!H63+OUT!H63+NOV!H63+DEZ!H63</f>
        <v>39796.562000000005</v>
      </c>
      <c r="I61" s="20">
        <f>JAN!I63+FEV!I63+MAR!I63+ABR!I63+MAI!I63+JUN!I63+JUL!I63+AGO!I63+SET!I63+OUT!I63+NOV!I63+DEZ!I63</f>
        <v>735.79600000000005</v>
      </c>
      <c r="J61" s="20">
        <f>JAN!J63+FEV!J63+MAR!J63+ABR!J63+MAI!J63+JUN!J63+JUL!J63+AGO!J63+SET!J63+OUT!J63+NOV!J63+DEZ!J63</f>
        <v>61993.700000000004</v>
      </c>
      <c r="K61" s="20">
        <f>JAN!K63+FEV!K63+MAR!K63+ABR!K63+MAI!K63+JUN!K63+JUL!K63+AGO!K63+SET!K63+OUT!K63+NOV!K63+DEZ!K63</f>
        <v>2434.6559999999999</v>
      </c>
      <c r="L61" s="20">
        <f>JAN!L63+FEV!L63+MAR!L63+ABR!L63+MAI!L63+JUN!L63+JUL!L63+AGO!L63+SET!L63+OUT!L63+NOV!L63+DEZ!L63</f>
        <v>260.85599999999999</v>
      </c>
      <c r="M61" s="20">
        <f>JAN!M63+FEV!M63+MAR!M63+ABR!M63+MAI!M63+JUN!M63+JUL!M63+AGO!M63+SET!M63+OUT!M63+NOV!M63+DEZ!M63</f>
        <v>1394.8879999999999</v>
      </c>
      <c r="N61" s="20">
        <f>JAN!N63+FEV!N63+MAR!N63+ABR!N63+MAI!N63+JUN!N63+JUL!N63+AGO!N63+SET!N63+OUT!N63+NOV!N63+DEZ!N63</f>
        <v>1766.356</v>
      </c>
      <c r="O61" s="20">
        <f>JAN!O63+FEV!O63+MAR!O63+ABR!O63+MAI!O63+JUN!O63+JUL!O63+AGO!O63+SET!O63+OUT!O63+NOV!O63+DEZ!O63</f>
        <v>0</v>
      </c>
      <c r="P61" s="20">
        <f>JAN!P63+FEV!P63+MAR!P63+ABR!P63+MAI!P63+JUN!P63+JUL!P63+AGO!P63+SET!P63+OUT!P63+NOV!P63+DEZ!P63</f>
        <v>0</v>
      </c>
      <c r="Q61" s="20">
        <f>JAN!Q63+FEV!Q63+MAR!Q63+ABR!Q63+MAI!Q63+JUN!Q63+JUL!Q63+AGO!Q63+SET!Q63+OUT!Q63+NOV!Q63+DEZ!Q63</f>
        <v>0</v>
      </c>
      <c r="R61" s="3">
        <f t="shared" si="6"/>
        <v>2264605.7800000007</v>
      </c>
      <c r="S61" s="363">
        <f t="shared" si="7"/>
        <v>809699.01800000004</v>
      </c>
      <c r="T61" s="363">
        <f t="shared" si="7"/>
        <v>197580.52200000003</v>
      </c>
      <c r="U61" s="363">
        <f t="shared" si="7"/>
        <v>53085.904000000002</v>
      </c>
      <c r="V61" s="363">
        <f t="shared" si="7"/>
        <v>55221.824000000001</v>
      </c>
      <c r="W61" s="363">
        <f t="shared" si="8"/>
        <v>1040635.6980000001</v>
      </c>
      <c r="X61" s="363">
        <f t="shared" si="9"/>
        <v>108382.81400000003</v>
      </c>
    </row>
    <row r="62" spans="1:24">
      <c r="A62" s="1" t="s">
        <v>25</v>
      </c>
      <c r="B62" s="20">
        <f>JAN!B64+FEV!B64+MAR!B64+ABR!B64+MAI!B64+JUN!B64+JUL!B64+AGO!B64+SET!B64+OUT!B64+NOV!B64+DEZ!B64</f>
        <v>3928476.01</v>
      </c>
      <c r="C62" s="20">
        <f>JAN!C64+FEV!C64+MAR!C64+ABR!C64+MAI!C64+JUN!C64+JUL!C64+AGO!C64+SET!C64+OUT!C64+NOV!C64+DEZ!C64</f>
        <v>845801.74999999988</v>
      </c>
      <c r="D62" s="20">
        <f>JAN!D64+FEV!D64+MAR!D64+ABR!D64+MAI!D64+JUN!D64+JUL!D64+AGO!D64+SET!D64+OUT!D64+NOV!D64+DEZ!D64</f>
        <v>211014.22399999999</v>
      </c>
      <c r="E62" s="20">
        <f>JAN!E64+FEV!E64+MAR!E64+ABR!E64+MAI!E64+JUN!E64+JUL!E64+AGO!E64+SET!E64+OUT!E64+NOV!E64+DEZ!E64</f>
        <v>211837</v>
      </c>
      <c r="F62" s="20">
        <f>JAN!F64+FEV!F64+MAR!F64+ABR!F64+MAI!F64+JUN!F64+JUL!F64+AGO!F64+SET!F64+OUT!F64+NOV!F64+DEZ!F64</f>
        <v>5725698.6900000013</v>
      </c>
      <c r="G62" s="20">
        <f>JAN!G64+FEV!G64+MAR!G64+ABR!G64+MAI!G64+JUN!G64+JUL!G64+AGO!G64+SET!G64+OUT!G64+NOV!G64+DEZ!G64</f>
        <v>81376.59</v>
      </c>
      <c r="H62" s="20">
        <f>JAN!H64+FEV!H64+MAR!H64+ABR!H64+MAI!H64+JUN!H64+JUL!H64+AGO!H64+SET!H64+OUT!H64+NOV!H64+DEZ!H64</f>
        <v>227940.21</v>
      </c>
      <c r="I62" s="20">
        <f>JAN!I64+FEV!I64+MAR!I64+ABR!I64+MAI!I64+JUN!I64+JUL!I64+AGO!I64+SET!I64+OUT!I64+NOV!I64+DEZ!I64</f>
        <v>13625.304000000002</v>
      </c>
      <c r="J62" s="20">
        <f>JAN!J64+FEV!J64+MAR!J64+ABR!J64+MAI!J64+JUN!J64+JUL!J64+AGO!J64+SET!J64+OUT!J64+NOV!J64+DEZ!J64</f>
        <v>271095.56800000009</v>
      </c>
      <c r="K62" s="20">
        <f>JAN!K64+FEV!K64+MAR!K64+ABR!K64+MAI!K64+JUN!K64+JUL!K64+AGO!K64+SET!K64+OUT!K64+NOV!K64+DEZ!K64</f>
        <v>15214.452000000001</v>
      </c>
      <c r="L62" s="20">
        <f>JAN!L64+FEV!L64+MAR!L64+ABR!L64+MAI!L64+JUN!L64+JUL!L64+AGO!L64+SET!L64+OUT!L64+NOV!L64+DEZ!L64</f>
        <v>1999.896</v>
      </c>
      <c r="M62" s="20">
        <f>JAN!M64+FEV!M64+MAR!M64+ABR!M64+MAI!M64+JUN!M64+JUL!M64+AGO!M64+SET!M64+OUT!M64+NOV!M64+DEZ!M64</f>
        <v>0</v>
      </c>
      <c r="N62" s="20">
        <f>JAN!N64+FEV!N64+MAR!N64+ABR!N64+MAI!N64+JUN!N64+JUL!N64+AGO!N64+SET!N64+OUT!N64+NOV!N64+DEZ!N64</f>
        <v>9721.4180000000015</v>
      </c>
      <c r="O62" s="20">
        <f>JAN!O64+FEV!O64+MAR!O64+ABR!O64+MAI!O64+JUN!O64+JUL!O64+AGO!O64+SET!O64+OUT!O64+NOV!O64+DEZ!O64</f>
        <v>10.568000000000001</v>
      </c>
      <c r="P62" s="20">
        <f>JAN!P64+FEV!P64+MAR!P64+ABR!P64+MAI!P64+JUN!P64+JUL!P64+AGO!P64+SET!P64+OUT!P64+NOV!P64+DEZ!P64</f>
        <v>0</v>
      </c>
      <c r="Q62" s="20">
        <f>JAN!Q64+FEV!Q64+MAR!Q64+ABR!Q64+MAI!Q64+JUN!Q64+JUL!Q64+AGO!Q64+SET!Q64+OUT!Q64+NOV!Q64+DEZ!Q64</f>
        <v>0</v>
      </c>
      <c r="R62" s="3">
        <f t="shared" si="6"/>
        <v>11543811.680000002</v>
      </c>
      <c r="S62" s="363">
        <f t="shared" si="7"/>
        <v>3928476.01</v>
      </c>
      <c r="T62" s="363">
        <f t="shared" si="7"/>
        <v>845801.74999999988</v>
      </c>
      <c r="U62" s="363">
        <f t="shared" si="7"/>
        <v>211014.22399999999</v>
      </c>
      <c r="V62" s="363">
        <f t="shared" si="7"/>
        <v>211837</v>
      </c>
      <c r="W62" s="363">
        <f t="shared" si="8"/>
        <v>5807075.2800000012</v>
      </c>
      <c r="X62" s="363">
        <f t="shared" si="9"/>
        <v>539607.41599999997</v>
      </c>
    </row>
    <row r="63" spans="1:24">
      <c r="A63" s="1" t="s">
        <v>24</v>
      </c>
      <c r="B63" s="20">
        <f>JAN!B65+FEV!B65+MAR!B65+ABR!B65+MAI!B65+JUN!B65+JUL!B65+AGO!B65+SET!B65+OUT!B65+NOV!B65+DEZ!B65</f>
        <v>93264.238000000012</v>
      </c>
      <c r="C63" s="20">
        <f>JAN!C65+FEV!C65+MAR!C65+ABR!C65+MAI!C65+JUN!C65+JUL!C65+AGO!C65+SET!C65+OUT!C65+NOV!C65+DEZ!C65</f>
        <v>26146.121999999999</v>
      </c>
      <c r="D63" s="20">
        <f>JAN!D65+FEV!D65+MAR!D65+ABR!D65+MAI!D65+JUN!D65+JUL!D65+AGO!D65+SET!D65+OUT!D65+NOV!D65+DEZ!D65</f>
        <v>3485.1119999999996</v>
      </c>
      <c r="E63" s="20">
        <f>JAN!E65+FEV!E65+MAR!E65+ABR!E65+MAI!E65+JUN!E65+JUL!E65+AGO!E65+SET!E65+OUT!E65+NOV!E65+DEZ!E65</f>
        <v>3516.0480000000007</v>
      </c>
      <c r="F63" s="20">
        <f>JAN!F65+FEV!F65+MAR!F65+ABR!F65+MAI!F65+JUN!F65+JUL!F65+AGO!F65+SET!F65+OUT!F65+NOV!F65+DEZ!F65</f>
        <v>142999.524</v>
      </c>
      <c r="G63" s="20">
        <f>JAN!G65+FEV!G65+MAR!G65+ABR!G65+MAI!G65+JUN!G65+JUL!G65+AGO!G65+SET!G65+OUT!G65+NOV!G65+DEZ!G65</f>
        <v>4080.3</v>
      </c>
      <c r="H63" s="20">
        <f>JAN!H65+FEV!H65+MAR!H65+ABR!H65+MAI!H65+JUN!H65+JUL!H65+AGO!H65+SET!H65+OUT!H65+NOV!H65+DEZ!H65</f>
        <v>4017.7520000000004</v>
      </c>
      <c r="I63" s="20">
        <f>JAN!I65+FEV!I65+MAR!I65+ABR!I65+MAI!I65+JUN!I65+JUL!I65+AGO!I65+SET!I65+OUT!I65+NOV!I65+DEZ!I65</f>
        <v>253.61599999999999</v>
      </c>
      <c r="J63" s="20">
        <f>JAN!J65+FEV!J65+MAR!J65+ABR!J65+MAI!J65+JUN!J65+JUL!J65+AGO!J65+SET!J65+OUT!J65+NOV!J65+DEZ!J65</f>
        <v>7582.6980000000021</v>
      </c>
      <c r="K63" s="20">
        <f>JAN!K65+FEV!K65+MAR!K65+ABR!K65+MAI!K65+JUN!K65+JUL!K65+AGO!K65+SET!K65+OUT!K65+NOV!K65+DEZ!K65</f>
        <v>413.02199999999999</v>
      </c>
      <c r="L63" s="20">
        <f>JAN!L65+FEV!L65+MAR!L65+ABR!L65+MAI!L65+JUN!L65+JUL!L65+AGO!L65+SET!L65+OUT!L65+NOV!L65+DEZ!L65</f>
        <v>0</v>
      </c>
      <c r="M63" s="20">
        <f>JAN!M65+FEV!M65+MAR!M65+ABR!M65+MAI!M65+JUN!M65+JUL!M65+AGO!M65+SET!M65+OUT!M65+NOV!M65+DEZ!M65</f>
        <v>0</v>
      </c>
      <c r="N63" s="20">
        <f>JAN!N65+FEV!N65+MAR!N65+ABR!N65+MAI!N65+JUN!N65+JUL!N65+AGO!N65+SET!N65+OUT!N65+NOV!N65+DEZ!N65</f>
        <v>145.82000000000002</v>
      </c>
      <c r="O63" s="20">
        <f>JAN!O65+FEV!O65+MAR!O65+ABR!O65+MAI!O65+JUN!O65+JUL!O65+AGO!O65+SET!O65+OUT!O65+NOV!O65+DEZ!O65</f>
        <v>0</v>
      </c>
      <c r="P63" s="20">
        <f>JAN!P65+FEV!P65+MAR!P65+ABR!P65+MAI!P65+JUN!P65+JUL!P65+AGO!P65+SET!P65+OUT!P65+NOV!P65+DEZ!P65</f>
        <v>0</v>
      </c>
      <c r="Q63" s="20">
        <f>JAN!Q65+FEV!Q65+MAR!Q65+ABR!Q65+MAI!Q65+JUN!Q65+JUL!Q65+AGO!Q65+SET!Q65+OUT!Q65+NOV!Q65+DEZ!Q65</f>
        <v>357.76600000000002</v>
      </c>
      <c r="R63" s="3">
        <f t="shared" si="6"/>
        <v>286262.01799999992</v>
      </c>
      <c r="S63" s="363">
        <f t="shared" si="7"/>
        <v>93264.238000000012</v>
      </c>
      <c r="T63" s="363">
        <f t="shared" si="7"/>
        <v>26146.121999999999</v>
      </c>
      <c r="U63" s="363">
        <f t="shared" si="7"/>
        <v>3485.1119999999996</v>
      </c>
      <c r="V63" s="363">
        <f t="shared" si="7"/>
        <v>3516.0480000000007</v>
      </c>
      <c r="W63" s="363">
        <f t="shared" si="8"/>
        <v>147079.82399999999</v>
      </c>
      <c r="X63" s="363">
        <f t="shared" si="9"/>
        <v>12770.674000000003</v>
      </c>
    </row>
    <row r="64" spans="1:24">
      <c r="A64" s="1" t="s">
        <v>26</v>
      </c>
      <c r="B64" s="20">
        <f>JAN!B66+FEV!B66+MAR!B66+ABR!B66+MAI!B66+JUN!B66+JUL!B66+AGO!B66+SET!B66+OUT!B66+NOV!B66+DEZ!B66</f>
        <v>49158.299999999996</v>
      </c>
      <c r="C64" s="20">
        <f>JAN!C66+FEV!C66+MAR!C66+ABR!C66+MAI!C66+JUN!C66+JUL!C66+AGO!C66+SET!C66+OUT!C66+NOV!C66+DEZ!C66</f>
        <v>9549.9260000000031</v>
      </c>
      <c r="D64" s="20">
        <f>JAN!D66+FEV!D66+MAR!D66+ABR!D66+MAI!D66+JUN!D66+JUL!D66+AGO!D66+SET!D66+OUT!D66+NOV!D66+DEZ!D66</f>
        <v>2723.7880000000005</v>
      </c>
      <c r="E64" s="20">
        <f>JAN!E66+FEV!E66+MAR!E66+ABR!E66+MAI!E66+JUN!E66+JUL!E66+AGO!E66+SET!E66+OUT!E66+NOV!E66+DEZ!E66</f>
        <v>3892.308</v>
      </c>
      <c r="F64" s="20">
        <f>JAN!F66+FEV!F66+MAR!F66+ABR!F66+MAI!F66+JUN!F66+JUL!F66+AGO!F66+SET!F66+OUT!F66+NOV!F66+DEZ!F66</f>
        <v>84961.212</v>
      </c>
      <c r="G64" s="20">
        <f>JAN!G66+FEV!G66+MAR!G66+ABR!G66+MAI!G66+JUN!G66+JUL!G66+AGO!G66+SET!G66+OUT!G66+NOV!G66+DEZ!G66</f>
        <v>2884.71</v>
      </c>
      <c r="H64" s="20">
        <f>JAN!H66+FEV!H66+MAR!H66+ABR!H66+MAI!H66+JUN!H66+JUL!H66+AGO!H66+SET!H66+OUT!H66+NOV!H66+DEZ!H66</f>
        <v>2441.6880000000001</v>
      </c>
      <c r="I64" s="20">
        <f>JAN!I66+FEV!I66+MAR!I66+ABR!I66+MAI!I66+JUN!I66+JUL!I66+AGO!I66+SET!I66+OUT!I66+NOV!I66+DEZ!I66</f>
        <v>0</v>
      </c>
      <c r="J64" s="20">
        <f>JAN!J66+FEV!J66+MAR!J66+ABR!J66+MAI!J66+JUN!J66+JUL!J66+AGO!J66+SET!J66+OUT!J66+NOV!J66+DEZ!J66</f>
        <v>3732.866</v>
      </c>
      <c r="K64" s="20">
        <f>JAN!K66+FEV!K66+MAR!K66+ABR!K66+MAI!K66+JUN!K66+JUL!K66+AGO!K66+SET!K66+OUT!K66+NOV!K66+DEZ!K66</f>
        <v>347.80799999999999</v>
      </c>
      <c r="L64" s="20">
        <f>JAN!L66+FEV!L66+MAR!L66+ABR!L66+MAI!L66+JUN!L66+JUL!L66+AGO!L66+SET!L66+OUT!L66+NOV!L66+DEZ!L66</f>
        <v>0</v>
      </c>
      <c r="M64" s="20">
        <f>JAN!M66+FEV!M66+MAR!M66+ABR!M66+MAI!M66+JUN!M66+JUL!M66+AGO!M66+SET!M66+OUT!M66+NOV!M66+DEZ!M66</f>
        <v>0</v>
      </c>
      <c r="N64" s="20">
        <f>JAN!N66+FEV!N66+MAR!N66+ABR!N66+MAI!N66+JUN!N66+JUL!N66+AGO!N66+SET!N66+OUT!N66+NOV!N66+DEZ!N66</f>
        <v>76.08</v>
      </c>
      <c r="O64" s="20">
        <f>JAN!O66+FEV!O66+MAR!O66+ABR!O66+MAI!O66+JUN!O66+JUL!O66+AGO!O66+SET!O66+OUT!O66+NOV!O66+DEZ!O66</f>
        <v>0</v>
      </c>
      <c r="P64" s="20">
        <f>JAN!P66+FEV!P66+MAR!P66+ABR!P66+MAI!P66+JUN!P66+JUL!P66+AGO!P66+SET!P66+OUT!P66+NOV!P66+DEZ!P66</f>
        <v>0</v>
      </c>
      <c r="Q64" s="20">
        <f>JAN!Q66+FEV!Q66+MAR!Q66+ABR!Q66+MAI!Q66+JUN!Q66+JUL!Q66+AGO!Q66+SET!Q66+OUT!Q66+NOV!Q66+DEZ!Q66</f>
        <v>87.844000000000008</v>
      </c>
      <c r="R64" s="3">
        <f t="shared" si="6"/>
        <v>159856.52999999997</v>
      </c>
      <c r="S64" s="363">
        <f t="shared" si="7"/>
        <v>49158.299999999996</v>
      </c>
      <c r="T64" s="363">
        <f t="shared" si="7"/>
        <v>9549.9260000000031</v>
      </c>
      <c r="U64" s="363">
        <f t="shared" si="7"/>
        <v>2723.7880000000005</v>
      </c>
      <c r="V64" s="363">
        <f t="shared" si="7"/>
        <v>3892.308</v>
      </c>
      <c r="W64" s="363">
        <f t="shared" si="8"/>
        <v>87845.922000000006</v>
      </c>
      <c r="X64" s="363">
        <f t="shared" si="9"/>
        <v>6686.2860000000001</v>
      </c>
    </row>
    <row r="65" spans="1:24">
      <c r="A65" s="6" t="s">
        <v>37</v>
      </c>
      <c r="B65" s="7">
        <f t="shared" ref="B65:R65" si="10">SUM(B38:B64)</f>
        <v>12651720.517999999</v>
      </c>
      <c r="C65" s="7">
        <f t="shared" si="10"/>
        <v>2738177.6740000001</v>
      </c>
      <c r="D65" s="7">
        <f t="shared" si="10"/>
        <v>685521.84999999986</v>
      </c>
      <c r="E65" s="7">
        <f t="shared" si="10"/>
        <v>564953.40800000005</v>
      </c>
      <c r="F65" s="7">
        <f t="shared" si="10"/>
        <v>16291053.728000002</v>
      </c>
      <c r="G65" s="7">
        <f t="shared" si="10"/>
        <v>341731.36400000006</v>
      </c>
      <c r="H65" s="7">
        <f t="shared" si="10"/>
        <v>575827.97399999993</v>
      </c>
      <c r="I65" s="7">
        <f t="shared" si="10"/>
        <v>61517.568000000014</v>
      </c>
      <c r="J65" s="7">
        <f t="shared" si="10"/>
        <v>856434.84600000014</v>
      </c>
      <c r="K65" s="7">
        <f t="shared" si="10"/>
        <v>59277.636000000006</v>
      </c>
      <c r="L65" s="7">
        <f t="shared" si="10"/>
        <v>5347.5479999999998</v>
      </c>
      <c r="M65" s="7">
        <f t="shared" si="10"/>
        <v>8716.5740000000005</v>
      </c>
      <c r="N65" s="7">
        <f t="shared" si="10"/>
        <v>27705.806000000004</v>
      </c>
      <c r="O65" s="7">
        <f t="shared" si="10"/>
        <v>33.814000000000007</v>
      </c>
      <c r="P65" s="7">
        <f t="shared" si="10"/>
        <v>461.43799999999993</v>
      </c>
      <c r="Q65" s="7">
        <f t="shared" si="10"/>
        <v>3765.7420000000002</v>
      </c>
      <c r="R65" s="9">
        <f t="shared" si="10"/>
        <v>34872247.487999998</v>
      </c>
      <c r="S65" s="363">
        <f t="shared" si="7"/>
        <v>12651720.517999999</v>
      </c>
      <c r="T65" s="363">
        <f t="shared" si="7"/>
        <v>2738177.6740000001</v>
      </c>
      <c r="U65" s="363">
        <f t="shared" si="7"/>
        <v>685521.84999999986</v>
      </c>
      <c r="V65" s="363">
        <f t="shared" si="7"/>
        <v>564953.40800000005</v>
      </c>
      <c r="W65" s="363">
        <f t="shared" si="8"/>
        <v>16632785.092000002</v>
      </c>
      <c r="X65" s="363">
        <f t="shared" si="9"/>
        <v>1599088.9460000002</v>
      </c>
    </row>
    <row r="66" spans="1:24">
      <c r="H66" s="376">
        <f>SUM(H65:Q65)</f>
        <v>1599088.9460000002</v>
      </c>
      <c r="R66" s="253"/>
      <c r="S66" s="363"/>
      <c r="T66" s="363"/>
      <c r="U66" s="363"/>
      <c r="V66" s="363"/>
      <c r="W66" s="363"/>
      <c r="X66" s="363"/>
    </row>
    <row r="67" spans="1:24">
      <c r="H67" s="370"/>
      <c r="S67" s="363"/>
      <c r="T67" s="363"/>
      <c r="U67" s="363"/>
      <c r="V67" s="363"/>
      <c r="W67" s="363"/>
      <c r="X67" s="363"/>
    </row>
    <row r="68" spans="1:24" ht="46.5">
      <c r="A68" s="840" t="s">
        <v>38</v>
      </c>
      <c r="B68" s="841"/>
      <c r="C68" s="841"/>
      <c r="D68" s="841"/>
      <c r="E68" s="841"/>
      <c r="F68" s="841"/>
      <c r="G68" s="841"/>
      <c r="H68" s="841"/>
      <c r="I68" s="841"/>
      <c r="J68" s="841"/>
      <c r="K68" s="841"/>
      <c r="L68" s="841"/>
      <c r="M68" s="841"/>
      <c r="N68" s="841"/>
      <c r="O68" s="841"/>
      <c r="P68" s="841"/>
      <c r="Q68" s="841"/>
      <c r="R68" s="842"/>
    </row>
    <row r="69" spans="1:24" s="372" customFormat="1" ht="35.1" customHeight="1">
      <c r="A69" s="843" t="s">
        <v>33</v>
      </c>
      <c r="B69" s="845" t="s">
        <v>27</v>
      </c>
      <c r="C69" s="846"/>
      <c r="D69" s="845" t="s">
        <v>29</v>
      </c>
      <c r="E69" s="846"/>
      <c r="F69" s="843" t="s">
        <v>28</v>
      </c>
      <c r="G69" s="843" t="s">
        <v>36</v>
      </c>
      <c r="H69" s="843" t="s">
        <v>30</v>
      </c>
      <c r="I69" s="843" t="s">
        <v>31</v>
      </c>
      <c r="J69" s="843" t="s">
        <v>32</v>
      </c>
      <c r="K69" s="843" t="s">
        <v>35</v>
      </c>
      <c r="L69" s="843" t="s">
        <v>40</v>
      </c>
      <c r="M69" s="843" t="s">
        <v>42</v>
      </c>
      <c r="N69" s="843" t="s">
        <v>45</v>
      </c>
      <c r="O69" s="843" t="s">
        <v>279</v>
      </c>
      <c r="P69" s="845" t="s">
        <v>49</v>
      </c>
      <c r="Q69" s="846"/>
      <c r="R69" s="843" t="s">
        <v>34</v>
      </c>
      <c r="S69" s="357"/>
      <c r="T69" s="357"/>
      <c r="U69" s="357"/>
      <c r="V69" s="357"/>
      <c r="W69" s="357"/>
      <c r="X69" s="357"/>
    </row>
    <row r="70" spans="1:24" s="372" customFormat="1" ht="35.1" customHeight="1">
      <c r="A70" s="844"/>
      <c r="B70" s="23" t="s">
        <v>43</v>
      </c>
      <c r="C70" s="350" t="s">
        <v>44</v>
      </c>
      <c r="D70" s="23" t="s">
        <v>43</v>
      </c>
      <c r="E70" s="350" t="s">
        <v>44</v>
      </c>
      <c r="F70" s="844"/>
      <c r="G70" s="844"/>
      <c r="H70" s="844"/>
      <c r="I70" s="844"/>
      <c r="J70" s="844"/>
      <c r="K70" s="844"/>
      <c r="L70" s="844"/>
      <c r="M70" s="844"/>
      <c r="N70" s="844"/>
      <c r="O70" s="844"/>
      <c r="P70" s="349" t="s">
        <v>50</v>
      </c>
      <c r="Q70" s="349" t="s">
        <v>51</v>
      </c>
      <c r="R70" s="844"/>
      <c r="S70" s="357"/>
      <c r="T70" s="357"/>
      <c r="U70" s="357"/>
      <c r="V70" s="357"/>
      <c r="W70" s="357"/>
      <c r="X70" s="357"/>
    </row>
    <row r="71" spans="1:24">
      <c r="A71" s="1" t="s">
        <v>0</v>
      </c>
      <c r="B71" s="16">
        <f t="shared" ref="B71:Q71" si="11">B5+B38</f>
        <v>182283.66999999998</v>
      </c>
      <c r="C71" s="16">
        <f t="shared" si="11"/>
        <v>81436.010000000009</v>
      </c>
      <c r="D71" s="16">
        <f t="shared" si="11"/>
        <v>14350.16</v>
      </c>
      <c r="E71" s="16">
        <f t="shared" si="11"/>
        <v>7617.5599999999995</v>
      </c>
      <c r="F71" s="16">
        <f t="shared" si="11"/>
        <v>236515.80000000002</v>
      </c>
      <c r="G71" s="16">
        <f t="shared" si="11"/>
        <v>12499.349999999999</v>
      </c>
      <c r="H71" s="16">
        <f t="shared" si="11"/>
        <v>9708.64</v>
      </c>
      <c r="I71" s="16">
        <f t="shared" si="11"/>
        <v>0</v>
      </c>
      <c r="J71" s="16">
        <f t="shared" si="11"/>
        <v>23325.85</v>
      </c>
      <c r="K71" s="16">
        <f t="shared" si="11"/>
        <v>4999.7400000000007</v>
      </c>
      <c r="L71" s="16">
        <f t="shared" si="11"/>
        <v>0</v>
      </c>
      <c r="M71" s="16">
        <f t="shared" si="11"/>
        <v>0</v>
      </c>
      <c r="N71" s="16">
        <f t="shared" si="11"/>
        <v>440.67</v>
      </c>
      <c r="O71" s="16">
        <f t="shared" si="11"/>
        <v>0</v>
      </c>
      <c r="P71" s="16">
        <f t="shared" si="11"/>
        <v>0</v>
      </c>
      <c r="Q71" s="16">
        <f t="shared" si="11"/>
        <v>0</v>
      </c>
      <c r="R71" s="8">
        <f t="shared" ref="R71:R97" si="12">SUM(B71:Q71)</f>
        <v>573177.44999999995</v>
      </c>
    </row>
    <row r="72" spans="1:24">
      <c r="A72" s="1" t="s">
        <v>1</v>
      </c>
      <c r="B72" s="16">
        <f t="shared" ref="B72:Q72" si="13">B6+B39</f>
        <v>618970.68000000005</v>
      </c>
      <c r="C72" s="16">
        <f t="shared" si="13"/>
        <v>152398.60999999999</v>
      </c>
      <c r="D72" s="16">
        <f t="shared" si="13"/>
        <v>14150.310000000001</v>
      </c>
      <c r="E72" s="16">
        <f t="shared" si="13"/>
        <v>7558.2800000000007</v>
      </c>
      <c r="F72" s="16">
        <f t="shared" si="13"/>
        <v>729565.95</v>
      </c>
      <c r="G72" s="16">
        <f t="shared" si="13"/>
        <v>27803.160000000007</v>
      </c>
      <c r="H72" s="16">
        <f t="shared" si="13"/>
        <v>26988.19</v>
      </c>
      <c r="I72" s="16">
        <f t="shared" si="13"/>
        <v>571.41</v>
      </c>
      <c r="J72" s="16">
        <f t="shared" si="13"/>
        <v>39123.460000000006</v>
      </c>
      <c r="K72" s="16">
        <f t="shared" si="13"/>
        <v>2173.8000000000002</v>
      </c>
      <c r="L72" s="16">
        <f t="shared" si="13"/>
        <v>434.76</v>
      </c>
      <c r="M72" s="16">
        <f t="shared" si="13"/>
        <v>0</v>
      </c>
      <c r="N72" s="16">
        <f t="shared" si="13"/>
        <v>757.67000000000007</v>
      </c>
      <c r="O72" s="16">
        <f t="shared" si="13"/>
        <v>0</v>
      </c>
      <c r="P72" s="16">
        <f t="shared" si="13"/>
        <v>0</v>
      </c>
      <c r="Q72" s="16">
        <f t="shared" si="13"/>
        <v>0</v>
      </c>
      <c r="R72" s="8">
        <f t="shared" si="12"/>
        <v>1620496.2799999998</v>
      </c>
    </row>
    <row r="73" spans="1:24">
      <c r="A73" s="13" t="s">
        <v>2</v>
      </c>
      <c r="B73" s="16">
        <f t="shared" ref="B73:Q73" si="14">B7+B40</f>
        <v>197939.06</v>
      </c>
      <c r="C73" s="16">
        <f t="shared" si="14"/>
        <v>70217.710000000006</v>
      </c>
      <c r="D73" s="16">
        <f t="shared" si="14"/>
        <v>19170.309999999998</v>
      </c>
      <c r="E73" s="16">
        <f t="shared" si="14"/>
        <v>17295.23</v>
      </c>
      <c r="F73" s="16">
        <f t="shared" si="14"/>
        <v>321306.8</v>
      </c>
      <c r="G73" s="16">
        <f t="shared" si="14"/>
        <v>29552.940000000002</v>
      </c>
      <c r="H73" s="16">
        <f t="shared" si="14"/>
        <v>10386</v>
      </c>
      <c r="I73" s="16">
        <f t="shared" si="14"/>
        <v>4125.29</v>
      </c>
      <c r="J73" s="16">
        <f t="shared" si="14"/>
        <v>24020.68</v>
      </c>
      <c r="K73" s="16">
        <f t="shared" si="14"/>
        <v>7825.6800000000012</v>
      </c>
      <c r="L73" s="16">
        <f t="shared" si="14"/>
        <v>0</v>
      </c>
      <c r="M73" s="16">
        <f t="shared" si="14"/>
        <v>0</v>
      </c>
      <c r="N73" s="16">
        <f t="shared" si="14"/>
        <v>412.10000000000008</v>
      </c>
      <c r="O73" s="16">
        <f t="shared" si="14"/>
        <v>0</v>
      </c>
      <c r="P73" s="16">
        <f t="shared" si="14"/>
        <v>0</v>
      </c>
      <c r="Q73" s="16">
        <f t="shared" si="14"/>
        <v>0</v>
      </c>
      <c r="R73" s="8">
        <f t="shared" si="12"/>
        <v>702251.80000000016</v>
      </c>
    </row>
    <row r="74" spans="1:24">
      <c r="A74" s="2" t="s">
        <v>3</v>
      </c>
      <c r="B74" s="16">
        <f t="shared" ref="B74:Q74" si="15">B8+B41</f>
        <v>528261.19000000006</v>
      </c>
      <c r="C74" s="16">
        <f t="shared" si="15"/>
        <v>122602.18999999999</v>
      </c>
      <c r="D74" s="16">
        <f t="shared" si="15"/>
        <v>19498.790000000005</v>
      </c>
      <c r="E74" s="16">
        <f t="shared" si="15"/>
        <v>16984.760000000002</v>
      </c>
      <c r="F74" s="16">
        <f t="shared" si="15"/>
        <v>661870.9800000001</v>
      </c>
      <c r="G74" s="16">
        <f t="shared" si="15"/>
        <v>18477.3</v>
      </c>
      <c r="H74" s="16">
        <f t="shared" si="15"/>
        <v>19576.250000000004</v>
      </c>
      <c r="I74" s="16">
        <f t="shared" si="15"/>
        <v>0</v>
      </c>
      <c r="J74" s="16">
        <f t="shared" si="15"/>
        <v>36879.270000000011</v>
      </c>
      <c r="K74" s="16">
        <f t="shared" si="15"/>
        <v>2065.11</v>
      </c>
      <c r="L74" s="16">
        <f t="shared" si="15"/>
        <v>217.38</v>
      </c>
      <c r="M74" s="16">
        <f t="shared" si="15"/>
        <v>9013.510000000002</v>
      </c>
      <c r="N74" s="16">
        <f t="shared" si="15"/>
        <v>849.64000000000033</v>
      </c>
      <c r="O74" s="16">
        <f t="shared" si="15"/>
        <v>0</v>
      </c>
      <c r="P74" s="16">
        <f t="shared" si="15"/>
        <v>33.85</v>
      </c>
      <c r="Q74" s="16">
        <f t="shared" si="15"/>
        <v>338.48</v>
      </c>
      <c r="R74" s="8">
        <f t="shared" si="12"/>
        <v>1436668.7000000002</v>
      </c>
      <c r="S74" s="372" t="s">
        <v>173</v>
      </c>
      <c r="T74" s="372" t="s">
        <v>291</v>
      </c>
      <c r="U74" s="372" t="s">
        <v>174</v>
      </c>
      <c r="V74" s="372" t="s">
        <v>292</v>
      </c>
      <c r="W74" s="372" t="s">
        <v>28</v>
      </c>
      <c r="X74" s="372" t="s">
        <v>175</v>
      </c>
    </row>
    <row r="75" spans="1:24">
      <c r="A75" s="1" t="s">
        <v>4</v>
      </c>
      <c r="B75" s="16">
        <f t="shared" ref="B75:Q75" si="16">B9+B42</f>
        <v>1912799.86</v>
      </c>
      <c r="C75" s="16">
        <f t="shared" si="16"/>
        <v>361813.77</v>
      </c>
      <c r="D75" s="16">
        <f t="shared" si="16"/>
        <v>83477.87</v>
      </c>
      <c r="E75" s="16">
        <f t="shared" si="16"/>
        <v>66682.11</v>
      </c>
      <c r="F75" s="16">
        <f t="shared" si="16"/>
        <v>2161536.5100000002</v>
      </c>
      <c r="G75" s="16">
        <f t="shared" si="16"/>
        <v>59018.670000000013</v>
      </c>
      <c r="H75" s="16">
        <f t="shared" si="16"/>
        <v>70843.8</v>
      </c>
      <c r="I75" s="16">
        <f t="shared" si="16"/>
        <v>0</v>
      </c>
      <c r="J75" s="16">
        <f t="shared" si="16"/>
        <v>120351.12999999999</v>
      </c>
      <c r="K75" s="16">
        <f t="shared" si="16"/>
        <v>9347.34</v>
      </c>
      <c r="L75" s="16">
        <f t="shared" si="16"/>
        <v>1304.28</v>
      </c>
      <c r="M75" s="16">
        <f t="shared" si="16"/>
        <v>3170.2</v>
      </c>
      <c r="N75" s="16">
        <f t="shared" si="16"/>
        <v>4894.7199999999993</v>
      </c>
      <c r="O75" s="16">
        <f t="shared" si="16"/>
        <v>0</v>
      </c>
      <c r="P75" s="16">
        <f t="shared" si="16"/>
        <v>129.26</v>
      </c>
      <c r="Q75" s="16">
        <f t="shared" si="16"/>
        <v>1292.6600000000003</v>
      </c>
      <c r="R75" s="8">
        <f t="shared" si="12"/>
        <v>4856662.18</v>
      </c>
      <c r="S75" s="363">
        <f>B75</f>
        <v>1912799.86</v>
      </c>
      <c r="T75" s="363">
        <f>C75</f>
        <v>361813.77</v>
      </c>
      <c r="U75" s="363">
        <f>D75</f>
        <v>83477.87</v>
      </c>
      <c r="V75" s="363">
        <f>E75</f>
        <v>66682.11</v>
      </c>
      <c r="W75" s="363">
        <f>F75+G75</f>
        <v>2220555.1800000002</v>
      </c>
      <c r="X75" s="363">
        <f>SUM(H75:Q75)</f>
        <v>211333.39</v>
      </c>
    </row>
    <row r="76" spans="1:24">
      <c r="A76" s="1" t="s">
        <v>5</v>
      </c>
      <c r="B76" s="16">
        <f t="shared" ref="B76:Q76" si="17">B10+B43</f>
        <v>1354426.6800000004</v>
      </c>
      <c r="C76" s="16">
        <f t="shared" si="17"/>
        <v>373282.75</v>
      </c>
      <c r="D76" s="16">
        <f t="shared" si="17"/>
        <v>49103.960000000006</v>
      </c>
      <c r="E76" s="16">
        <f t="shared" si="17"/>
        <v>70447.39</v>
      </c>
      <c r="F76" s="16">
        <f t="shared" si="17"/>
        <v>1356575.7900000003</v>
      </c>
      <c r="G76" s="16">
        <f t="shared" si="17"/>
        <v>40411.200000000012</v>
      </c>
      <c r="H76" s="16">
        <f t="shared" si="17"/>
        <v>68913.570000000007</v>
      </c>
      <c r="I76" s="16">
        <f t="shared" si="17"/>
        <v>6986.38</v>
      </c>
      <c r="J76" s="16">
        <f t="shared" si="17"/>
        <v>124562.58</v>
      </c>
      <c r="K76" s="16">
        <f t="shared" si="17"/>
        <v>5977.9500000000007</v>
      </c>
      <c r="L76" s="16">
        <f t="shared" si="17"/>
        <v>217.38</v>
      </c>
      <c r="M76" s="16">
        <f t="shared" si="17"/>
        <v>2662.98</v>
      </c>
      <c r="N76" s="16">
        <f t="shared" si="17"/>
        <v>2780.21</v>
      </c>
      <c r="O76" s="16">
        <f t="shared" si="17"/>
        <v>0</v>
      </c>
      <c r="P76" s="16">
        <f t="shared" si="17"/>
        <v>685.96</v>
      </c>
      <c r="Q76" s="16">
        <f t="shared" si="17"/>
        <v>9058.2900000000009</v>
      </c>
      <c r="R76" s="8">
        <f t="shared" si="12"/>
        <v>3466093.0700000003</v>
      </c>
      <c r="S76" s="363">
        <f t="shared" ref="S76:V98" si="18">B76</f>
        <v>1354426.6800000004</v>
      </c>
      <c r="T76" s="363">
        <f t="shared" si="18"/>
        <v>373282.75</v>
      </c>
      <c r="U76" s="363">
        <f t="shared" si="18"/>
        <v>49103.960000000006</v>
      </c>
      <c r="V76" s="363">
        <f t="shared" si="18"/>
        <v>70447.39</v>
      </c>
      <c r="W76" s="363">
        <f t="shared" ref="W76:W98" si="19">F76+G76</f>
        <v>1396986.9900000002</v>
      </c>
      <c r="X76" s="363">
        <f t="shared" ref="X76:X98" si="20">SUM(H76:Q76)</f>
        <v>221845.30000000005</v>
      </c>
    </row>
    <row r="77" spans="1:24">
      <c r="A77" s="1" t="s">
        <v>6</v>
      </c>
      <c r="B77" s="16">
        <f t="shared" ref="B77:Q77" si="21">B11+B44</f>
        <v>2105124.7800000003</v>
      </c>
      <c r="C77" s="16">
        <f t="shared" si="21"/>
        <v>570982.80000000016</v>
      </c>
      <c r="D77" s="16">
        <f t="shared" si="21"/>
        <v>85114.060000000012</v>
      </c>
      <c r="E77" s="16">
        <f t="shared" si="21"/>
        <v>61757.710000000006</v>
      </c>
      <c r="F77" s="16">
        <f t="shared" si="21"/>
        <v>1448444.19</v>
      </c>
      <c r="G77" s="16">
        <f t="shared" si="21"/>
        <v>61268.94</v>
      </c>
      <c r="H77" s="16">
        <f t="shared" si="21"/>
        <v>94229.58</v>
      </c>
      <c r="I77" s="16">
        <f t="shared" si="21"/>
        <v>881.55000000000018</v>
      </c>
      <c r="J77" s="16">
        <f t="shared" si="21"/>
        <v>179157.34000000003</v>
      </c>
      <c r="K77" s="16">
        <f t="shared" si="21"/>
        <v>8369.130000000001</v>
      </c>
      <c r="L77" s="16">
        <f t="shared" si="21"/>
        <v>1304.28</v>
      </c>
      <c r="M77" s="16">
        <f t="shared" si="21"/>
        <v>11408.48</v>
      </c>
      <c r="N77" s="16">
        <f t="shared" si="21"/>
        <v>6657.4</v>
      </c>
      <c r="O77" s="16">
        <f t="shared" si="21"/>
        <v>0</v>
      </c>
      <c r="P77" s="16">
        <f t="shared" si="21"/>
        <v>0</v>
      </c>
      <c r="Q77" s="16">
        <f t="shared" si="21"/>
        <v>0</v>
      </c>
      <c r="R77" s="8">
        <f t="shared" si="12"/>
        <v>4634700.2400000021</v>
      </c>
      <c r="S77" s="363">
        <f t="shared" si="18"/>
        <v>2105124.7800000003</v>
      </c>
      <c r="T77" s="363">
        <f t="shared" si="18"/>
        <v>570982.80000000016</v>
      </c>
      <c r="U77" s="363">
        <f t="shared" si="18"/>
        <v>85114.060000000012</v>
      </c>
      <c r="V77" s="363">
        <f t="shared" si="18"/>
        <v>61757.710000000006</v>
      </c>
      <c r="W77" s="363">
        <f t="shared" si="19"/>
        <v>1509713.13</v>
      </c>
      <c r="X77" s="363">
        <f t="shared" si="20"/>
        <v>302007.76000000007</v>
      </c>
    </row>
    <row r="78" spans="1:24">
      <c r="A78" s="1" t="s">
        <v>7</v>
      </c>
      <c r="B78" s="16">
        <f t="shared" ref="B78:Q78" si="22">B12+B45</f>
        <v>1660402.5600000003</v>
      </c>
      <c r="C78" s="16">
        <f t="shared" si="22"/>
        <v>232630.25999999998</v>
      </c>
      <c r="D78" s="16">
        <f t="shared" si="22"/>
        <v>69077.210000000021</v>
      </c>
      <c r="E78" s="16">
        <f t="shared" si="22"/>
        <v>33405.31</v>
      </c>
      <c r="F78" s="16">
        <f t="shared" si="22"/>
        <v>1427303.34</v>
      </c>
      <c r="G78" s="16">
        <f t="shared" si="22"/>
        <v>52030.290000000008</v>
      </c>
      <c r="H78" s="16">
        <f t="shared" si="22"/>
        <v>40382.740000000005</v>
      </c>
      <c r="I78" s="16">
        <f t="shared" si="22"/>
        <v>5161.7800000000007</v>
      </c>
      <c r="J78" s="16">
        <f t="shared" si="22"/>
        <v>82739.53</v>
      </c>
      <c r="K78" s="16">
        <f t="shared" si="22"/>
        <v>14021.010000000002</v>
      </c>
      <c r="L78" s="16">
        <f t="shared" si="22"/>
        <v>652.14</v>
      </c>
      <c r="M78" s="16">
        <f t="shared" si="22"/>
        <v>0</v>
      </c>
      <c r="N78" s="16">
        <f t="shared" si="22"/>
        <v>2590.0100000000002</v>
      </c>
      <c r="O78" s="16">
        <f t="shared" si="22"/>
        <v>0</v>
      </c>
      <c r="P78" s="16">
        <f t="shared" si="22"/>
        <v>0</v>
      </c>
      <c r="Q78" s="16">
        <f t="shared" si="22"/>
        <v>0</v>
      </c>
      <c r="R78" s="8">
        <f t="shared" si="12"/>
        <v>3620396.18</v>
      </c>
      <c r="S78" s="363">
        <f t="shared" si="18"/>
        <v>1660402.5600000003</v>
      </c>
      <c r="T78" s="363">
        <f t="shared" si="18"/>
        <v>232630.25999999998</v>
      </c>
      <c r="U78" s="363">
        <f t="shared" si="18"/>
        <v>69077.210000000021</v>
      </c>
      <c r="V78" s="363">
        <f t="shared" si="18"/>
        <v>33405.31</v>
      </c>
      <c r="W78" s="363">
        <f t="shared" si="19"/>
        <v>1479333.6300000001</v>
      </c>
      <c r="X78" s="363">
        <f t="shared" si="20"/>
        <v>145547.21000000002</v>
      </c>
    </row>
    <row r="79" spans="1:24">
      <c r="A79" s="1" t="s">
        <v>8</v>
      </c>
      <c r="B79" s="16">
        <f t="shared" ref="B79:Q79" si="23">B13+B46</f>
        <v>1571869.3599999999</v>
      </c>
      <c r="C79" s="16">
        <f t="shared" si="23"/>
        <v>459679.85</v>
      </c>
      <c r="D79" s="16">
        <f t="shared" si="23"/>
        <v>68933.920000000013</v>
      </c>
      <c r="E79" s="16">
        <f t="shared" si="23"/>
        <v>60038.55</v>
      </c>
      <c r="F79" s="16">
        <f t="shared" si="23"/>
        <v>2718560.31</v>
      </c>
      <c r="G79" s="16">
        <f t="shared" si="23"/>
        <v>50312.729999999996</v>
      </c>
      <c r="H79" s="16">
        <f t="shared" si="23"/>
        <v>84581.17</v>
      </c>
      <c r="I79" s="16">
        <f t="shared" si="23"/>
        <v>8097.0100000000011</v>
      </c>
      <c r="J79" s="16">
        <f t="shared" si="23"/>
        <v>126894.80000000003</v>
      </c>
      <c r="K79" s="16">
        <f t="shared" si="23"/>
        <v>4891.05</v>
      </c>
      <c r="L79" s="16">
        <f t="shared" si="23"/>
        <v>217.38</v>
      </c>
      <c r="M79" s="16">
        <f t="shared" si="23"/>
        <v>4828.5400000000009</v>
      </c>
      <c r="N79" s="16">
        <f t="shared" si="23"/>
        <v>3544.14</v>
      </c>
      <c r="O79" s="16">
        <f t="shared" si="23"/>
        <v>0</v>
      </c>
      <c r="P79" s="16">
        <f t="shared" si="23"/>
        <v>0</v>
      </c>
      <c r="Q79" s="16">
        <f t="shared" si="23"/>
        <v>0</v>
      </c>
      <c r="R79" s="8">
        <f t="shared" si="12"/>
        <v>5162448.8099999996</v>
      </c>
      <c r="S79" s="363">
        <f t="shared" si="18"/>
        <v>1571869.3599999999</v>
      </c>
      <c r="T79" s="363">
        <f t="shared" si="18"/>
        <v>459679.85</v>
      </c>
      <c r="U79" s="363">
        <f t="shared" si="18"/>
        <v>68933.920000000013</v>
      </c>
      <c r="V79" s="363">
        <f t="shared" si="18"/>
        <v>60038.55</v>
      </c>
      <c r="W79" s="363">
        <f t="shared" si="19"/>
        <v>2768873.04</v>
      </c>
      <c r="X79" s="363">
        <f t="shared" si="20"/>
        <v>233054.09000000005</v>
      </c>
    </row>
    <row r="80" spans="1:24">
      <c r="A80" s="2" t="s">
        <v>9</v>
      </c>
      <c r="B80" s="16">
        <f t="shared" ref="B80:Q80" si="24">B14+B47</f>
        <v>524406.29999999993</v>
      </c>
      <c r="C80" s="16">
        <f t="shared" si="24"/>
        <v>121768.82000000004</v>
      </c>
      <c r="D80" s="16">
        <f t="shared" si="24"/>
        <v>22168.89</v>
      </c>
      <c r="E80" s="16">
        <f t="shared" si="24"/>
        <v>17048.940000000002</v>
      </c>
      <c r="F80" s="16">
        <f t="shared" si="24"/>
        <v>642393.99</v>
      </c>
      <c r="G80" s="16">
        <f t="shared" si="24"/>
        <v>19868.79</v>
      </c>
      <c r="H80" s="16">
        <f t="shared" si="24"/>
        <v>18507.300000000003</v>
      </c>
      <c r="I80" s="16">
        <f t="shared" si="24"/>
        <v>1920.2200000000003</v>
      </c>
      <c r="J80" s="16">
        <f t="shared" si="24"/>
        <v>38683.369999999995</v>
      </c>
      <c r="K80" s="16">
        <f t="shared" si="24"/>
        <v>5434.5</v>
      </c>
      <c r="L80" s="16">
        <f t="shared" si="24"/>
        <v>0</v>
      </c>
      <c r="M80" s="16">
        <f t="shared" si="24"/>
        <v>0</v>
      </c>
      <c r="N80" s="16">
        <f t="shared" si="24"/>
        <v>1046.1000000000001</v>
      </c>
      <c r="O80" s="16">
        <f t="shared" si="24"/>
        <v>0</v>
      </c>
      <c r="P80" s="16">
        <f t="shared" si="24"/>
        <v>0</v>
      </c>
      <c r="Q80" s="16">
        <f t="shared" si="24"/>
        <v>0</v>
      </c>
      <c r="R80" s="8">
        <f t="shared" si="12"/>
        <v>1413247.2200000002</v>
      </c>
      <c r="S80" s="363">
        <f t="shared" si="18"/>
        <v>524406.29999999993</v>
      </c>
      <c r="T80" s="363">
        <f t="shared" si="18"/>
        <v>121768.82000000004</v>
      </c>
      <c r="U80" s="363">
        <f t="shared" si="18"/>
        <v>22168.89</v>
      </c>
      <c r="V80" s="363">
        <f t="shared" si="18"/>
        <v>17048.940000000002</v>
      </c>
      <c r="W80" s="363">
        <f t="shared" si="19"/>
        <v>662262.78</v>
      </c>
      <c r="X80" s="363">
        <f t="shared" si="20"/>
        <v>65591.490000000005</v>
      </c>
    </row>
    <row r="81" spans="1:24">
      <c r="A81" s="13" t="s">
        <v>10</v>
      </c>
      <c r="B81" s="16">
        <f t="shared" ref="B81:Q81" si="25">B15+B48</f>
        <v>1128755.7200000002</v>
      </c>
      <c r="C81" s="16">
        <f t="shared" si="25"/>
        <v>193383.1</v>
      </c>
      <c r="D81" s="16">
        <f t="shared" si="25"/>
        <v>79254.05</v>
      </c>
      <c r="E81" s="16">
        <f t="shared" si="25"/>
        <v>39117.1</v>
      </c>
      <c r="F81" s="16">
        <f t="shared" si="25"/>
        <v>2743084.29</v>
      </c>
      <c r="G81" s="16">
        <f t="shared" si="25"/>
        <v>32357.4</v>
      </c>
      <c r="H81" s="16">
        <f t="shared" si="25"/>
        <v>34131.610000000008</v>
      </c>
      <c r="I81" s="16">
        <f t="shared" si="25"/>
        <v>13236.04</v>
      </c>
      <c r="J81" s="16">
        <f t="shared" si="25"/>
        <v>60925.08</v>
      </c>
      <c r="K81" s="16">
        <f t="shared" si="25"/>
        <v>7043.3700000000008</v>
      </c>
      <c r="L81" s="16">
        <f t="shared" si="25"/>
        <v>0</v>
      </c>
      <c r="M81" s="16">
        <f t="shared" si="25"/>
        <v>580.18000000000006</v>
      </c>
      <c r="N81" s="16">
        <f t="shared" si="25"/>
        <v>2241.3100000000004</v>
      </c>
      <c r="O81" s="16">
        <f t="shared" si="25"/>
        <v>52.830000000000005</v>
      </c>
      <c r="P81" s="16">
        <f t="shared" si="25"/>
        <v>0</v>
      </c>
      <c r="Q81" s="16">
        <f t="shared" si="25"/>
        <v>0</v>
      </c>
      <c r="R81" s="8">
        <f t="shared" si="12"/>
        <v>4334162.080000001</v>
      </c>
      <c r="S81" s="363">
        <f t="shared" si="18"/>
        <v>1128755.7200000002</v>
      </c>
      <c r="T81" s="363">
        <f t="shared" si="18"/>
        <v>193383.1</v>
      </c>
      <c r="U81" s="363">
        <f t="shared" si="18"/>
        <v>79254.05</v>
      </c>
      <c r="V81" s="363">
        <f t="shared" si="18"/>
        <v>39117.1</v>
      </c>
      <c r="W81" s="363">
        <f t="shared" si="19"/>
        <v>2775441.69</v>
      </c>
      <c r="X81" s="363">
        <f t="shared" si="20"/>
        <v>118210.42</v>
      </c>
    </row>
    <row r="82" spans="1:24">
      <c r="A82" s="1" t="s">
        <v>11</v>
      </c>
      <c r="B82" s="16">
        <f t="shared" ref="B82:Q82" si="26">B16+B49</f>
        <v>936160.7699999999</v>
      </c>
      <c r="C82" s="16">
        <f t="shared" si="26"/>
        <v>277699.20000000007</v>
      </c>
      <c r="D82" s="16">
        <f t="shared" si="26"/>
        <v>50496.280000000006</v>
      </c>
      <c r="E82" s="16">
        <f t="shared" si="26"/>
        <v>69753.750000000015</v>
      </c>
      <c r="F82" s="16">
        <f t="shared" si="26"/>
        <v>1754379.9</v>
      </c>
      <c r="G82" s="16">
        <f t="shared" si="26"/>
        <v>27951.81</v>
      </c>
      <c r="H82" s="16">
        <f t="shared" si="26"/>
        <v>79689.650000000009</v>
      </c>
      <c r="I82" s="16">
        <f t="shared" si="26"/>
        <v>33013.040000000001</v>
      </c>
      <c r="J82" s="16">
        <f t="shared" si="26"/>
        <v>73996.090000000011</v>
      </c>
      <c r="K82" s="16">
        <f t="shared" si="26"/>
        <v>10542.93</v>
      </c>
      <c r="L82" s="16">
        <f t="shared" si="26"/>
        <v>217.38</v>
      </c>
      <c r="M82" s="16">
        <f t="shared" si="26"/>
        <v>0</v>
      </c>
      <c r="N82" s="16">
        <f t="shared" si="26"/>
        <v>1803.77</v>
      </c>
      <c r="O82" s="16">
        <f t="shared" si="26"/>
        <v>0</v>
      </c>
      <c r="P82" s="16">
        <f t="shared" si="26"/>
        <v>786.75999999999988</v>
      </c>
      <c r="Q82" s="16">
        <f t="shared" si="26"/>
        <v>0</v>
      </c>
      <c r="R82" s="8">
        <f t="shared" si="12"/>
        <v>3316491.3299999996</v>
      </c>
      <c r="S82" s="363">
        <f t="shared" si="18"/>
        <v>936160.7699999999</v>
      </c>
      <c r="T82" s="363">
        <f t="shared" si="18"/>
        <v>277699.20000000007</v>
      </c>
      <c r="U82" s="363">
        <f t="shared" si="18"/>
        <v>50496.280000000006</v>
      </c>
      <c r="V82" s="363">
        <f t="shared" si="18"/>
        <v>69753.750000000015</v>
      </c>
      <c r="W82" s="363">
        <f t="shared" si="19"/>
        <v>1782331.71</v>
      </c>
      <c r="X82" s="363">
        <f t="shared" si="20"/>
        <v>200049.62000000002</v>
      </c>
    </row>
    <row r="83" spans="1:24">
      <c r="A83" s="1" t="s">
        <v>12</v>
      </c>
      <c r="B83" s="16">
        <f t="shared" ref="B83:Q83" si="27">B17+B50</f>
        <v>5705037.9100000001</v>
      </c>
      <c r="C83" s="16">
        <f t="shared" si="27"/>
        <v>1195053.1399999999</v>
      </c>
      <c r="D83" s="16">
        <f t="shared" si="27"/>
        <v>232484.36000000002</v>
      </c>
      <c r="E83" s="16">
        <f t="shared" si="27"/>
        <v>219801.31000000006</v>
      </c>
      <c r="F83" s="16">
        <f t="shared" si="27"/>
        <v>5085712.6900000004</v>
      </c>
      <c r="G83" s="16">
        <f t="shared" si="27"/>
        <v>151297.76999999999</v>
      </c>
      <c r="H83" s="16">
        <f t="shared" si="27"/>
        <v>230212.25000000003</v>
      </c>
      <c r="I83" s="16">
        <f t="shared" si="27"/>
        <v>5848.25</v>
      </c>
      <c r="J83" s="16">
        <f t="shared" si="27"/>
        <v>354215.02</v>
      </c>
      <c r="K83" s="16">
        <f t="shared" si="27"/>
        <v>18803.370000000003</v>
      </c>
      <c r="L83" s="16">
        <f t="shared" si="27"/>
        <v>1304.28</v>
      </c>
      <c r="M83" s="16">
        <f t="shared" si="27"/>
        <v>0</v>
      </c>
      <c r="N83" s="16">
        <f t="shared" si="27"/>
        <v>10274.33</v>
      </c>
      <c r="O83" s="16">
        <f t="shared" si="27"/>
        <v>0</v>
      </c>
      <c r="P83" s="16">
        <f t="shared" si="27"/>
        <v>0</v>
      </c>
      <c r="Q83" s="16">
        <f t="shared" si="27"/>
        <v>1385.59</v>
      </c>
      <c r="R83" s="8">
        <f t="shared" si="12"/>
        <v>13211430.269999998</v>
      </c>
      <c r="S83" s="363">
        <f t="shared" si="18"/>
        <v>5705037.9100000001</v>
      </c>
      <c r="T83" s="363">
        <f t="shared" si="18"/>
        <v>1195053.1399999999</v>
      </c>
      <c r="U83" s="363">
        <f t="shared" si="18"/>
        <v>232484.36000000002</v>
      </c>
      <c r="V83" s="363">
        <f t="shared" si="18"/>
        <v>219801.31000000006</v>
      </c>
      <c r="W83" s="363">
        <f t="shared" si="19"/>
        <v>5237010.46</v>
      </c>
      <c r="X83" s="363">
        <f t="shared" si="20"/>
        <v>622043.09</v>
      </c>
    </row>
    <row r="84" spans="1:24">
      <c r="A84" s="1" t="s">
        <v>15</v>
      </c>
      <c r="B84" s="16">
        <f t="shared" ref="B84:Q84" si="28">B18+B51</f>
        <v>728047.4</v>
      </c>
      <c r="C84" s="16">
        <f t="shared" si="28"/>
        <v>204168.91999999998</v>
      </c>
      <c r="D84" s="16">
        <f t="shared" si="28"/>
        <v>36558.850000000006</v>
      </c>
      <c r="E84" s="16">
        <f t="shared" si="28"/>
        <v>22308.240000000002</v>
      </c>
      <c r="F84" s="16">
        <f t="shared" si="28"/>
        <v>962096.58000000007</v>
      </c>
      <c r="G84" s="16">
        <f t="shared" si="28"/>
        <v>43215.4</v>
      </c>
      <c r="H84" s="16">
        <f t="shared" si="28"/>
        <v>34680.19</v>
      </c>
      <c r="I84" s="16">
        <f t="shared" si="28"/>
        <v>0</v>
      </c>
      <c r="J84" s="16">
        <f t="shared" si="28"/>
        <v>59981.759999999995</v>
      </c>
      <c r="K84" s="16">
        <f t="shared" si="28"/>
        <v>6945.4200000000019</v>
      </c>
      <c r="L84" s="16">
        <f t="shared" si="28"/>
        <v>217.38</v>
      </c>
      <c r="M84" s="16">
        <f t="shared" si="28"/>
        <v>0</v>
      </c>
      <c r="N84" s="16">
        <f t="shared" si="28"/>
        <v>2244.4399999999996</v>
      </c>
      <c r="O84" s="16">
        <f t="shared" si="28"/>
        <v>0</v>
      </c>
      <c r="P84" s="16">
        <f t="shared" si="28"/>
        <v>0</v>
      </c>
      <c r="Q84" s="16">
        <f t="shared" si="28"/>
        <v>0</v>
      </c>
      <c r="R84" s="8">
        <f t="shared" si="12"/>
        <v>2100464.58</v>
      </c>
      <c r="S84" s="363">
        <f t="shared" si="18"/>
        <v>728047.4</v>
      </c>
      <c r="T84" s="363">
        <f t="shared" si="18"/>
        <v>204168.91999999998</v>
      </c>
      <c r="U84" s="363">
        <f t="shared" si="18"/>
        <v>36558.850000000006</v>
      </c>
      <c r="V84" s="363">
        <f t="shared" si="18"/>
        <v>22308.240000000002</v>
      </c>
      <c r="W84" s="363">
        <f t="shared" si="19"/>
        <v>1005311.9800000001</v>
      </c>
      <c r="X84" s="363">
        <f t="shared" si="20"/>
        <v>104069.19</v>
      </c>
    </row>
    <row r="85" spans="1:24">
      <c r="A85" s="1" t="s">
        <v>14</v>
      </c>
      <c r="B85" s="16">
        <f t="shared" ref="B85:Q85" si="29">B19+B52</f>
        <v>883869.53</v>
      </c>
      <c r="C85" s="16">
        <f t="shared" si="29"/>
        <v>292415.37</v>
      </c>
      <c r="D85" s="16">
        <f t="shared" si="29"/>
        <v>28254.42</v>
      </c>
      <c r="E85" s="16">
        <f t="shared" si="29"/>
        <v>42273.12000000001</v>
      </c>
      <c r="F85" s="16">
        <f t="shared" si="29"/>
        <v>963166.11000000022</v>
      </c>
      <c r="G85" s="16">
        <f t="shared" si="29"/>
        <v>35183.340000000011</v>
      </c>
      <c r="H85" s="16">
        <f t="shared" si="29"/>
        <v>50985.05</v>
      </c>
      <c r="I85" s="16">
        <f t="shared" si="29"/>
        <v>0</v>
      </c>
      <c r="J85" s="16">
        <f t="shared" si="29"/>
        <v>90560.430000000022</v>
      </c>
      <c r="K85" s="16">
        <f t="shared" si="29"/>
        <v>2282.4899999999998</v>
      </c>
      <c r="L85" s="16">
        <f t="shared" si="29"/>
        <v>869.52</v>
      </c>
      <c r="M85" s="16">
        <f t="shared" si="29"/>
        <v>0</v>
      </c>
      <c r="N85" s="16">
        <f t="shared" si="29"/>
        <v>1892.61</v>
      </c>
      <c r="O85" s="16">
        <f t="shared" si="29"/>
        <v>0</v>
      </c>
      <c r="P85" s="16">
        <f t="shared" si="29"/>
        <v>178.15</v>
      </c>
      <c r="Q85" s="16">
        <f t="shared" si="29"/>
        <v>3416.1400000000003</v>
      </c>
      <c r="R85" s="8">
        <f t="shared" si="12"/>
        <v>2395346.2800000003</v>
      </c>
      <c r="S85" s="363">
        <f t="shared" si="18"/>
        <v>883869.53</v>
      </c>
      <c r="T85" s="363">
        <f t="shared" si="18"/>
        <v>292415.37</v>
      </c>
      <c r="U85" s="363">
        <f t="shared" si="18"/>
        <v>28254.42</v>
      </c>
      <c r="V85" s="363">
        <f t="shared" si="18"/>
        <v>42273.12000000001</v>
      </c>
      <c r="W85" s="363">
        <f t="shared" si="19"/>
        <v>998349.45000000019</v>
      </c>
      <c r="X85" s="363">
        <f t="shared" si="20"/>
        <v>150184.39000000001</v>
      </c>
    </row>
    <row r="86" spans="1:24">
      <c r="A86" s="13" t="s">
        <v>13</v>
      </c>
      <c r="B86" s="16">
        <f t="shared" ref="B86:Q86" si="30">B20+B53</f>
        <v>4511172.07</v>
      </c>
      <c r="C86" s="16">
        <f t="shared" si="30"/>
        <v>802837.71000000008</v>
      </c>
      <c r="D86" s="16">
        <f t="shared" si="30"/>
        <v>343141.69</v>
      </c>
      <c r="E86" s="16">
        <f t="shared" si="30"/>
        <v>213957.99000000002</v>
      </c>
      <c r="F86" s="16">
        <f t="shared" si="30"/>
        <v>6103357.2300000004</v>
      </c>
      <c r="G86" s="16">
        <f t="shared" si="30"/>
        <v>99625.770000000033</v>
      </c>
      <c r="H86" s="16">
        <f t="shared" si="30"/>
        <v>144267.13999999998</v>
      </c>
      <c r="I86" s="16">
        <f t="shared" si="30"/>
        <v>56148.880000000005</v>
      </c>
      <c r="J86" s="16">
        <f t="shared" si="30"/>
        <v>262218.79000000004</v>
      </c>
      <c r="K86" s="16">
        <f t="shared" si="30"/>
        <v>33139.71</v>
      </c>
      <c r="L86" s="16">
        <f t="shared" si="30"/>
        <v>3478.08</v>
      </c>
      <c r="M86" s="16">
        <f t="shared" si="30"/>
        <v>0</v>
      </c>
      <c r="N86" s="16">
        <f t="shared" si="30"/>
        <v>7874.5199999999986</v>
      </c>
      <c r="O86" s="16">
        <f t="shared" si="30"/>
        <v>0</v>
      </c>
      <c r="P86" s="16">
        <f t="shared" si="30"/>
        <v>0</v>
      </c>
      <c r="Q86" s="16">
        <f t="shared" si="30"/>
        <v>0</v>
      </c>
      <c r="R86" s="8">
        <f t="shared" si="12"/>
        <v>12581219.580000004</v>
      </c>
      <c r="S86" s="363">
        <f t="shared" si="18"/>
        <v>4511172.07</v>
      </c>
      <c r="T86" s="363">
        <f t="shared" si="18"/>
        <v>802837.71000000008</v>
      </c>
      <c r="U86" s="363">
        <f t="shared" si="18"/>
        <v>343141.69</v>
      </c>
      <c r="V86" s="363">
        <f t="shared" si="18"/>
        <v>213957.99000000002</v>
      </c>
      <c r="W86" s="363">
        <f t="shared" si="19"/>
        <v>6202983.0000000009</v>
      </c>
      <c r="X86" s="363">
        <f t="shared" si="20"/>
        <v>507127.12000000011</v>
      </c>
    </row>
    <row r="87" spans="1:24">
      <c r="A87" s="1" t="s">
        <v>16</v>
      </c>
      <c r="B87" s="16">
        <f t="shared" ref="B87:Q87" si="31">B21+B54</f>
        <v>1588883.4400000002</v>
      </c>
      <c r="C87" s="16">
        <f t="shared" si="31"/>
        <v>411002.71999999991</v>
      </c>
      <c r="D87" s="16">
        <f t="shared" si="31"/>
        <v>67967</v>
      </c>
      <c r="E87" s="16">
        <f t="shared" si="31"/>
        <v>50757.99</v>
      </c>
      <c r="F87" s="16">
        <f t="shared" si="31"/>
        <v>1653419.8200000003</v>
      </c>
      <c r="G87" s="16">
        <f t="shared" si="31"/>
        <v>65735.97</v>
      </c>
      <c r="H87" s="16">
        <f t="shared" si="31"/>
        <v>60301.170000000013</v>
      </c>
      <c r="I87" s="16">
        <f t="shared" si="31"/>
        <v>23188.379999999997</v>
      </c>
      <c r="J87" s="16">
        <f t="shared" si="31"/>
        <v>119984.6</v>
      </c>
      <c r="K87" s="16">
        <f t="shared" si="31"/>
        <v>6836.73</v>
      </c>
      <c r="L87" s="16">
        <f t="shared" si="31"/>
        <v>652.14</v>
      </c>
      <c r="M87" s="16">
        <f t="shared" si="31"/>
        <v>0</v>
      </c>
      <c r="N87" s="16">
        <f t="shared" si="31"/>
        <v>3518.7</v>
      </c>
      <c r="O87" s="16">
        <f t="shared" si="31"/>
        <v>0</v>
      </c>
      <c r="P87" s="16">
        <f t="shared" si="31"/>
        <v>0</v>
      </c>
      <c r="Q87" s="16">
        <f t="shared" si="31"/>
        <v>0</v>
      </c>
      <c r="R87" s="8">
        <f t="shared" si="12"/>
        <v>4052248.6600000011</v>
      </c>
      <c r="S87" s="363">
        <f t="shared" si="18"/>
        <v>1588883.4400000002</v>
      </c>
      <c r="T87" s="363">
        <f t="shared" si="18"/>
        <v>411002.71999999991</v>
      </c>
      <c r="U87" s="363">
        <f t="shared" si="18"/>
        <v>67967</v>
      </c>
      <c r="V87" s="363">
        <f t="shared" si="18"/>
        <v>50757.99</v>
      </c>
      <c r="W87" s="363">
        <f t="shared" si="19"/>
        <v>1719155.7900000003</v>
      </c>
      <c r="X87" s="363">
        <f t="shared" si="20"/>
        <v>214481.72000000006</v>
      </c>
    </row>
    <row r="88" spans="1:24">
      <c r="A88" s="1" t="s">
        <v>17</v>
      </c>
      <c r="B88" s="16">
        <f t="shared" ref="B88:Q88" si="32">B22+B55</f>
        <v>440699.54000000004</v>
      </c>
      <c r="C88" s="16">
        <f t="shared" si="32"/>
        <v>63288.58</v>
      </c>
      <c r="D88" s="16">
        <f t="shared" si="32"/>
        <v>28223.719999999998</v>
      </c>
      <c r="E88" s="16">
        <f t="shared" si="32"/>
        <v>16160.649999999998</v>
      </c>
      <c r="F88" s="16">
        <f t="shared" si="32"/>
        <v>472390.51000000007</v>
      </c>
      <c r="G88" s="16">
        <f t="shared" si="32"/>
        <v>24661.89</v>
      </c>
      <c r="H88" s="16">
        <f t="shared" si="32"/>
        <v>10806.009999999998</v>
      </c>
      <c r="I88" s="16">
        <f t="shared" si="32"/>
        <v>0</v>
      </c>
      <c r="J88" s="16">
        <f t="shared" si="32"/>
        <v>23102.61</v>
      </c>
      <c r="K88" s="16">
        <f t="shared" si="32"/>
        <v>3369.3900000000003</v>
      </c>
      <c r="L88" s="16">
        <f t="shared" si="32"/>
        <v>0</v>
      </c>
      <c r="M88" s="16">
        <f t="shared" si="32"/>
        <v>0</v>
      </c>
      <c r="N88" s="16">
        <f t="shared" si="32"/>
        <v>443.79999999999995</v>
      </c>
      <c r="O88" s="16">
        <f t="shared" si="32"/>
        <v>0</v>
      </c>
      <c r="P88" s="16">
        <f t="shared" si="32"/>
        <v>26.24</v>
      </c>
      <c r="Q88" s="16">
        <f t="shared" si="32"/>
        <v>262.39</v>
      </c>
      <c r="R88" s="8">
        <f t="shared" si="12"/>
        <v>1083435.33</v>
      </c>
      <c r="S88" s="363">
        <f t="shared" si="18"/>
        <v>440699.54000000004</v>
      </c>
      <c r="T88" s="363">
        <f t="shared" si="18"/>
        <v>63288.58</v>
      </c>
      <c r="U88" s="363">
        <f t="shared" si="18"/>
        <v>28223.719999999998</v>
      </c>
      <c r="V88" s="363">
        <f t="shared" si="18"/>
        <v>16160.649999999998</v>
      </c>
      <c r="W88" s="363">
        <f t="shared" si="19"/>
        <v>497052.40000000008</v>
      </c>
      <c r="X88" s="363">
        <f t="shared" si="20"/>
        <v>38010.439999999995</v>
      </c>
    </row>
    <row r="89" spans="1:24">
      <c r="A89" s="1" t="s">
        <v>18</v>
      </c>
      <c r="B89" s="16">
        <f t="shared" ref="B89:Q89" si="33">B23+B56</f>
        <v>5269930.2100000009</v>
      </c>
      <c r="C89" s="16">
        <f t="shared" si="33"/>
        <v>870027.91000000027</v>
      </c>
      <c r="D89" s="16">
        <f t="shared" si="33"/>
        <v>327728.93000000005</v>
      </c>
      <c r="E89" s="16">
        <f t="shared" si="33"/>
        <v>156999.21000000002</v>
      </c>
      <c r="F89" s="16">
        <f t="shared" si="33"/>
        <v>5493089.5200000005</v>
      </c>
      <c r="G89" s="16">
        <f t="shared" si="33"/>
        <v>164492.22000000003</v>
      </c>
      <c r="H89" s="16">
        <f t="shared" si="33"/>
        <v>146572.31000000003</v>
      </c>
      <c r="I89" s="16">
        <f t="shared" si="33"/>
        <v>35693.430000000008</v>
      </c>
      <c r="J89" s="16">
        <f t="shared" si="33"/>
        <v>285154.27</v>
      </c>
      <c r="K89" s="16">
        <f t="shared" si="33"/>
        <v>19314.600000000002</v>
      </c>
      <c r="L89" s="16">
        <f t="shared" si="33"/>
        <v>2391.1799999999998</v>
      </c>
      <c r="M89" s="16">
        <f t="shared" si="33"/>
        <v>0</v>
      </c>
      <c r="N89" s="16">
        <f t="shared" si="33"/>
        <v>14114.650000000001</v>
      </c>
      <c r="O89" s="16">
        <f t="shared" si="33"/>
        <v>63.4</v>
      </c>
      <c r="P89" s="16">
        <f t="shared" si="33"/>
        <v>32.31</v>
      </c>
      <c r="Q89" s="16">
        <f t="shared" si="33"/>
        <v>1423.08</v>
      </c>
      <c r="R89" s="8">
        <f t="shared" si="12"/>
        <v>12787027.230000002</v>
      </c>
      <c r="S89" s="363">
        <f t="shared" si="18"/>
        <v>5269930.2100000009</v>
      </c>
      <c r="T89" s="363">
        <f t="shared" si="18"/>
        <v>870027.91000000027</v>
      </c>
      <c r="U89" s="363">
        <f t="shared" si="18"/>
        <v>327728.93000000005</v>
      </c>
      <c r="V89" s="363">
        <f t="shared" si="18"/>
        <v>156999.21000000002</v>
      </c>
      <c r="W89" s="363">
        <f t="shared" si="19"/>
        <v>5657581.7400000002</v>
      </c>
      <c r="X89" s="363">
        <f t="shared" si="20"/>
        <v>504759.2300000001</v>
      </c>
    </row>
    <row r="90" spans="1:24">
      <c r="A90" s="1" t="s">
        <v>20</v>
      </c>
      <c r="B90" s="16">
        <f t="shared" ref="B90:Q90" si="34">B24+B57</f>
        <v>766522.29</v>
      </c>
      <c r="C90" s="16">
        <f t="shared" si="34"/>
        <v>166320.22</v>
      </c>
      <c r="D90" s="16">
        <f t="shared" si="34"/>
        <v>22053.15</v>
      </c>
      <c r="E90" s="16">
        <f t="shared" si="34"/>
        <v>14958.849999999999</v>
      </c>
      <c r="F90" s="16">
        <f t="shared" si="34"/>
        <v>802417.8899999999</v>
      </c>
      <c r="G90" s="16">
        <f t="shared" si="34"/>
        <v>31933.38</v>
      </c>
      <c r="H90" s="16">
        <f t="shared" si="34"/>
        <v>29939.54</v>
      </c>
      <c r="I90" s="16">
        <f t="shared" si="34"/>
        <v>20319.89</v>
      </c>
      <c r="J90" s="16">
        <f t="shared" si="34"/>
        <v>45755.54</v>
      </c>
      <c r="K90" s="16">
        <f t="shared" si="34"/>
        <v>2282.4899999999998</v>
      </c>
      <c r="L90" s="16">
        <f t="shared" si="34"/>
        <v>434.76</v>
      </c>
      <c r="M90" s="16">
        <f t="shared" si="34"/>
        <v>0</v>
      </c>
      <c r="N90" s="16">
        <f t="shared" si="34"/>
        <v>1705.54</v>
      </c>
      <c r="O90" s="16">
        <f t="shared" si="34"/>
        <v>0</v>
      </c>
      <c r="P90" s="16">
        <f t="shared" si="34"/>
        <v>0</v>
      </c>
      <c r="Q90" s="16">
        <f t="shared" si="34"/>
        <v>0</v>
      </c>
      <c r="R90" s="8">
        <f t="shared" si="12"/>
        <v>1904643.5399999998</v>
      </c>
      <c r="S90" s="363">
        <f t="shared" si="18"/>
        <v>766522.29</v>
      </c>
      <c r="T90" s="363">
        <f t="shared" si="18"/>
        <v>166320.22</v>
      </c>
      <c r="U90" s="363">
        <f t="shared" si="18"/>
        <v>22053.15</v>
      </c>
      <c r="V90" s="363">
        <f t="shared" si="18"/>
        <v>14958.849999999999</v>
      </c>
      <c r="W90" s="363">
        <f t="shared" si="19"/>
        <v>834351.2699999999</v>
      </c>
      <c r="X90" s="363">
        <f t="shared" si="20"/>
        <v>100437.75999999999</v>
      </c>
    </row>
    <row r="91" spans="1:24">
      <c r="A91" s="1" t="s">
        <v>19</v>
      </c>
      <c r="B91" s="16">
        <f t="shared" ref="B91:Q91" si="35">B25+B58</f>
        <v>5776128.3899999987</v>
      </c>
      <c r="C91" s="16">
        <f t="shared" si="35"/>
        <v>1139974.8600000001</v>
      </c>
      <c r="D91" s="16">
        <f t="shared" si="35"/>
        <v>391921.75</v>
      </c>
      <c r="E91" s="16">
        <f t="shared" si="35"/>
        <v>218329.86000000002</v>
      </c>
      <c r="F91" s="16">
        <f t="shared" si="35"/>
        <v>7901102.7300000004</v>
      </c>
      <c r="G91" s="16">
        <f t="shared" si="35"/>
        <v>133961.07</v>
      </c>
      <c r="H91" s="16">
        <f t="shared" si="35"/>
        <v>222861.30000000005</v>
      </c>
      <c r="I91" s="16">
        <f t="shared" si="35"/>
        <v>19322.71</v>
      </c>
      <c r="J91" s="16">
        <f t="shared" si="35"/>
        <v>340962.46000000008</v>
      </c>
      <c r="K91" s="16">
        <f t="shared" si="35"/>
        <v>23466.300000000003</v>
      </c>
      <c r="L91" s="16">
        <f t="shared" si="35"/>
        <v>1521.6599999999999</v>
      </c>
      <c r="M91" s="16">
        <f t="shared" si="35"/>
        <v>4944.5400000000009</v>
      </c>
      <c r="N91" s="16">
        <f t="shared" si="35"/>
        <v>8787.9600000000009</v>
      </c>
      <c r="O91" s="16">
        <f t="shared" si="35"/>
        <v>0</v>
      </c>
      <c r="P91" s="16">
        <f t="shared" si="35"/>
        <v>0</v>
      </c>
      <c r="Q91" s="16">
        <f t="shared" si="35"/>
        <v>0</v>
      </c>
      <c r="R91" s="8">
        <f t="shared" si="12"/>
        <v>16183285.590000004</v>
      </c>
      <c r="S91" s="363">
        <f t="shared" si="18"/>
        <v>5776128.3899999987</v>
      </c>
      <c r="T91" s="363">
        <f t="shared" si="18"/>
        <v>1139974.8600000001</v>
      </c>
      <c r="U91" s="363">
        <f t="shared" si="18"/>
        <v>391921.75</v>
      </c>
      <c r="V91" s="363">
        <f t="shared" si="18"/>
        <v>218329.86000000002</v>
      </c>
      <c r="W91" s="363">
        <f t="shared" si="19"/>
        <v>8035063.8000000007</v>
      </c>
      <c r="X91" s="363">
        <f t="shared" si="20"/>
        <v>621866.93000000017</v>
      </c>
    </row>
    <row r="92" spans="1:24">
      <c r="A92" s="13" t="s">
        <v>21</v>
      </c>
      <c r="B92" s="16">
        <f t="shared" ref="B92:Q92" si="36">B26+B59</f>
        <v>398496.2</v>
      </c>
      <c r="C92" s="16">
        <f t="shared" si="36"/>
        <v>119405.34000000003</v>
      </c>
      <c r="D92" s="16">
        <f t="shared" si="36"/>
        <v>19996.710000000003</v>
      </c>
      <c r="E92" s="16">
        <f t="shared" si="36"/>
        <v>26719.200000000001</v>
      </c>
      <c r="F92" s="16">
        <f t="shared" si="36"/>
        <v>769016.55000000016</v>
      </c>
      <c r="G92" s="16">
        <f t="shared" si="36"/>
        <v>19227.390000000003</v>
      </c>
      <c r="H92" s="16">
        <f t="shared" si="36"/>
        <v>18325.38</v>
      </c>
      <c r="I92" s="16">
        <f t="shared" si="36"/>
        <v>0</v>
      </c>
      <c r="J92" s="16">
        <f t="shared" si="36"/>
        <v>43708.280000000013</v>
      </c>
      <c r="K92" s="16">
        <f t="shared" si="36"/>
        <v>4010.7899999999995</v>
      </c>
      <c r="L92" s="16">
        <f t="shared" si="36"/>
        <v>0</v>
      </c>
      <c r="M92" s="16">
        <f t="shared" si="36"/>
        <v>0</v>
      </c>
      <c r="N92" s="16">
        <f t="shared" si="36"/>
        <v>884.47000000000014</v>
      </c>
      <c r="O92" s="16">
        <f t="shared" si="36"/>
        <v>0</v>
      </c>
      <c r="P92" s="16">
        <f t="shared" si="36"/>
        <v>542.77</v>
      </c>
      <c r="Q92" s="16">
        <f t="shared" si="36"/>
        <v>1009.76</v>
      </c>
      <c r="R92" s="8">
        <f t="shared" si="12"/>
        <v>1421342.8399999999</v>
      </c>
      <c r="S92" s="363">
        <f t="shared" si="18"/>
        <v>398496.2</v>
      </c>
      <c r="T92" s="363">
        <f t="shared" si="18"/>
        <v>119405.34000000003</v>
      </c>
      <c r="U92" s="363">
        <f t="shared" si="18"/>
        <v>19996.710000000003</v>
      </c>
      <c r="V92" s="363">
        <f t="shared" si="18"/>
        <v>26719.200000000001</v>
      </c>
      <c r="W92" s="363">
        <f t="shared" si="19"/>
        <v>788243.94000000018</v>
      </c>
      <c r="X92" s="363">
        <f t="shared" si="20"/>
        <v>68481.450000000012</v>
      </c>
    </row>
    <row r="93" spans="1:24">
      <c r="A93" s="2" t="s">
        <v>22</v>
      </c>
      <c r="B93" s="16">
        <f t="shared" ref="B93:Q93" si="37">B27+B60</f>
        <v>65427.15</v>
      </c>
      <c r="C93" s="16">
        <f t="shared" si="37"/>
        <v>13106.93</v>
      </c>
      <c r="D93" s="16">
        <f t="shared" si="37"/>
        <v>2937.7200000000003</v>
      </c>
      <c r="E93" s="16">
        <f t="shared" si="37"/>
        <v>2458.0299999999997</v>
      </c>
      <c r="F93" s="16">
        <f t="shared" si="37"/>
        <v>138960.81</v>
      </c>
      <c r="G93" s="16">
        <f t="shared" si="37"/>
        <v>3586.7699999999995</v>
      </c>
      <c r="H93" s="16">
        <f t="shared" si="37"/>
        <v>1269.9700000000003</v>
      </c>
      <c r="I93" s="16">
        <f t="shared" si="37"/>
        <v>0</v>
      </c>
      <c r="J93" s="16">
        <f t="shared" si="37"/>
        <v>3847.130000000001</v>
      </c>
      <c r="K93" s="16">
        <f t="shared" si="37"/>
        <v>1195.5899999999999</v>
      </c>
      <c r="L93" s="16">
        <f t="shared" si="37"/>
        <v>0</v>
      </c>
      <c r="M93" s="16">
        <f t="shared" si="37"/>
        <v>0</v>
      </c>
      <c r="N93" s="16">
        <f t="shared" si="37"/>
        <v>221.89999999999998</v>
      </c>
      <c r="O93" s="16">
        <f t="shared" si="37"/>
        <v>0</v>
      </c>
      <c r="P93" s="16">
        <f t="shared" si="37"/>
        <v>0</v>
      </c>
      <c r="Q93" s="16">
        <f t="shared" si="37"/>
        <v>0</v>
      </c>
      <c r="R93" s="8">
        <f t="shared" si="12"/>
        <v>233012</v>
      </c>
      <c r="S93" s="363">
        <f t="shared" si="18"/>
        <v>65427.15</v>
      </c>
      <c r="T93" s="363">
        <f t="shared" si="18"/>
        <v>13106.93</v>
      </c>
      <c r="U93" s="363">
        <f t="shared" si="18"/>
        <v>2937.7200000000003</v>
      </c>
      <c r="V93" s="363">
        <f t="shared" si="18"/>
        <v>2458.0299999999997</v>
      </c>
      <c r="W93" s="363">
        <f t="shared" si="19"/>
        <v>142547.57999999999</v>
      </c>
      <c r="X93" s="363">
        <f t="shared" si="20"/>
        <v>6534.5900000000011</v>
      </c>
    </row>
    <row r="94" spans="1:24">
      <c r="A94" s="1" t="s">
        <v>23</v>
      </c>
      <c r="B94" s="16">
        <f t="shared" ref="B94:Q94" si="38">B28+B61</f>
        <v>4048495.0900000003</v>
      </c>
      <c r="C94" s="16">
        <f t="shared" si="38"/>
        <v>987902.6100000001</v>
      </c>
      <c r="D94" s="16">
        <f t="shared" si="38"/>
        <v>265429.52</v>
      </c>
      <c r="E94" s="16">
        <f t="shared" si="38"/>
        <v>276109.12</v>
      </c>
      <c r="F94" s="16">
        <f t="shared" si="38"/>
        <v>5140703.2200000007</v>
      </c>
      <c r="G94" s="16">
        <f t="shared" si="38"/>
        <v>62475.270000000004</v>
      </c>
      <c r="H94" s="16">
        <f t="shared" si="38"/>
        <v>198982.81000000003</v>
      </c>
      <c r="I94" s="16">
        <f t="shared" si="38"/>
        <v>3678.9800000000005</v>
      </c>
      <c r="J94" s="16">
        <f t="shared" si="38"/>
        <v>309968.5</v>
      </c>
      <c r="K94" s="16">
        <f t="shared" si="38"/>
        <v>12173.279999999999</v>
      </c>
      <c r="L94" s="16">
        <f t="shared" si="38"/>
        <v>1304.28</v>
      </c>
      <c r="M94" s="16">
        <f t="shared" si="38"/>
        <v>6974.44</v>
      </c>
      <c r="N94" s="16">
        <f t="shared" si="38"/>
        <v>8831.7800000000007</v>
      </c>
      <c r="O94" s="16">
        <f t="shared" si="38"/>
        <v>0</v>
      </c>
      <c r="P94" s="16">
        <f t="shared" si="38"/>
        <v>0</v>
      </c>
      <c r="Q94" s="16">
        <f t="shared" si="38"/>
        <v>0</v>
      </c>
      <c r="R94" s="8">
        <f t="shared" si="12"/>
        <v>11323028.9</v>
      </c>
      <c r="S94" s="363">
        <f t="shared" si="18"/>
        <v>4048495.0900000003</v>
      </c>
      <c r="T94" s="363">
        <f t="shared" si="18"/>
        <v>987902.6100000001</v>
      </c>
      <c r="U94" s="363">
        <f t="shared" si="18"/>
        <v>265429.52</v>
      </c>
      <c r="V94" s="363">
        <f t="shared" si="18"/>
        <v>276109.12</v>
      </c>
      <c r="W94" s="363">
        <f t="shared" si="19"/>
        <v>5203178.49</v>
      </c>
      <c r="X94" s="363">
        <f t="shared" si="20"/>
        <v>541914.07000000007</v>
      </c>
    </row>
    <row r="95" spans="1:24">
      <c r="A95" s="1" t="s">
        <v>25</v>
      </c>
      <c r="B95" s="16">
        <f t="shared" ref="B95:Q95" si="39">B29+B62</f>
        <v>19642380.049999997</v>
      </c>
      <c r="C95" s="16">
        <f t="shared" si="39"/>
        <v>4229008.7499999991</v>
      </c>
      <c r="D95" s="16">
        <f t="shared" si="39"/>
        <v>1055071.1199999999</v>
      </c>
      <c r="E95" s="16">
        <f t="shared" si="39"/>
        <v>1059185</v>
      </c>
      <c r="F95" s="16">
        <f t="shared" si="39"/>
        <v>28628493.450000007</v>
      </c>
      <c r="G95" s="16">
        <f t="shared" si="39"/>
        <v>406882.94999999995</v>
      </c>
      <c r="H95" s="16">
        <f t="shared" si="39"/>
        <v>1139701.05</v>
      </c>
      <c r="I95" s="16">
        <f t="shared" si="39"/>
        <v>68126.52</v>
      </c>
      <c r="J95" s="16">
        <f t="shared" si="39"/>
        <v>1355477.8400000003</v>
      </c>
      <c r="K95" s="16">
        <f t="shared" si="39"/>
        <v>76072.260000000009</v>
      </c>
      <c r="L95" s="16">
        <f t="shared" si="39"/>
        <v>9999.48</v>
      </c>
      <c r="M95" s="16">
        <f t="shared" si="39"/>
        <v>0</v>
      </c>
      <c r="N95" s="16">
        <f t="shared" si="39"/>
        <v>48607.090000000011</v>
      </c>
      <c r="O95" s="16">
        <f t="shared" si="39"/>
        <v>52.84</v>
      </c>
      <c r="P95" s="16">
        <f t="shared" si="39"/>
        <v>4423.8999999999996</v>
      </c>
      <c r="Q95" s="16">
        <f t="shared" si="39"/>
        <v>85550.069999999992</v>
      </c>
      <c r="R95" s="8">
        <f>SUM(B95:Q95)</f>
        <v>57809032.370000012</v>
      </c>
      <c r="S95" s="363">
        <f t="shared" si="18"/>
        <v>19642380.049999997</v>
      </c>
      <c r="T95" s="363">
        <f t="shared" si="18"/>
        <v>4229008.7499999991</v>
      </c>
      <c r="U95" s="363">
        <f t="shared" si="18"/>
        <v>1055071.1199999999</v>
      </c>
      <c r="V95" s="363">
        <f t="shared" si="18"/>
        <v>1059185</v>
      </c>
      <c r="W95" s="363">
        <f t="shared" si="19"/>
        <v>29035376.400000006</v>
      </c>
      <c r="X95" s="363">
        <f t="shared" si="20"/>
        <v>2788011.0499999993</v>
      </c>
    </row>
    <row r="96" spans="1:24">
      <c r="A96" s="1" t="s">
        <v>24</v>
      </c>
      <c r="B96" s="16">
        <f t="shared" ref="B96:Q96" si="40">B30+B63</f>
        <v>466321.19000000006</v>
      </c>
      <c r="C96" s="16">
        <f t="shared" si="40"/>
        <v>130730.61</v>
      </c>
      <c r="D96" s="16">
        <f t="shared" si="40"/>
        <v>17425.559999999998</v>
      </c>
      <c r="E96" s="16">
        <f t="shared" si="40"/>
        <v>17580.240000000005</v>
      </c>
      <c r="F96" s="16">
        <f t="shared" si="40"/>
        <v>714997.62</v>
      </c>
      <c r="G96" s="16">
        <f t="shared" si="40"/>
        <v>20401.5</v>
      </c>
      <c r="H96" s="16">
        <f t="shared" si="40"/>
        <v>20088.760000000002</v>
      </c>
      <c r="I96" s="16">
        <f t="shared" si="40"/>
        <v>1268.08</v>
      </c>
      <c r="J96" s="16">
        <f t="shared" si="40"/>
        <v>37913.490000000013</v>
      </c>
      <c r="K96" s="16">
        <f t="shared" si="40"/>
        <v>2065.11</v>
      </c>
      <c r="L96" s="16">
        <f t="shared" si="40"/>
        <v>0</v>
      </c>
      <c r="M96" s="16">
        <f t="shared" si="40"/>
        <v>0</v>
      </c>
      <c r="N96" s="16">
        <f t="shared" si="40"/>
        <v>729.10000000000014</v>
      </c>
      <c r="O96" s="16">
        <f t="shared" si="40"/>
        <v>0</v>
      </c>
      <c r="P96" s="16">
        <f t="shared" si="40"/>
        <v>0</v>
      </c>
      <c r="Q96" s="16">
        <f t="shared" si="40"/>
        <v>1788.8300000000002</v>
      </c>
      <c r="R96" s="8">
        <f t="shared" si="12"/>
        <v>1431310.0900000005</v>
      </c>
      <c r="S96" s="363">
        <f t="shared" si="18"/>
        <v>466321.19000000006</v>
      </c>
      <c r="T96" s="363">
        <f t="shared" si="18"/>
        <v>130730.61</v>
      </c>
      <c r="U96" s="363">
        <f t="shared" si="18"/>
        <v>17425.559999999998</v>
      </c>
      <c r="V96" s="363">
        <f t="shared" si="18"/>
        <v>17580.240000000005</v>
      </c>
      <c r="W96" s="363">
        <f t="shared" si="19"/>
        <v>735399.12</v>
      </c>
      <c r="X96" s="363">
        <f t="shared" si="20"/>
        <v>63853.370000000017</v>
      </c>
    </row>
    <row r="97" spans="1:24">
      <c r="A97" s="1" t="s">
        <v>26</v>
      </c>
      <c r="B97" s="16">
        <f t="shared" ref="B97:Q97" si="41">B31+B64</f>
        <v>245791.49999999997</v>
      </c>
      <c r="C97" s="16">
        <f t="shared" si="41"/>
        <v>47749.630000000019</v>
      </c>
      <c r="D97" s="16">
        <f t="shared" si="41"/>
        <v>13618.940000000002</v>
      </c>
      <c r="E97" s="16">
        <f t="shared" si="41"/>
        <v>19461.54</v>
      </c>
      <c r="F97" s="16">
        <f t="shared" si="41"/>
        <v>424806.06</v>
      </c>
      <c r="G97" s="16">
        <f t="shared" si="41"/>
        <v>14423.55</v>
      </c>
      <c r="H97" s="16">
        <f t="shared" si="41"/>
        <v>12208.44</v>
      </c>
      <c r="I97" s="16">
        <f t="shared" si="41"/>
        <v>0</v>
      </c>
      <c r="J97" s="16">
        <f t="shared" si="41"/>
        <v>18664.330000000002</v>
      </c>
      <c r="K97" s="16">
        <f t="shared" si="41"/>
        <v>1739.04</v>
      </c>
      <c r="L97" s="16">
        <f t="shared" si="41"/>
        <v>0</v>
      </c>
      <c r="M97" s="16">
        <f t="shared" si="41"/>
        <v>0</v>
      </c>
      <c r="N97" s="16">
        <f t="shared" si="41"/>
        <v>380.4</v>
      </c>
      <c r="O97" s="16">
        <f t="shared" si="41"/>
        <v>0</v>
      </c>
      <c r="P97" s="16">
        <f t="shared" si="41"/>
        <v>0</v>
      </c>
      <c r="Q97" s="16">
        <f t="shared" si="41"/>
        <v>439.22</v>
      </c>
      <c r="R97" s="8">
        <f t="shared" si="12"/>
        <v>799282.64999999991</v>
      </c>
      <c r="S97" s="363">
        <f t="shared" si="18"/>
        <v>245791.49999999997</v>
      </c>
      <c r="T97" s="363">
        <f t="shared" si="18"/>
        <v>47749.630000000019</v>
      </c>
      <c r="U97" s="363">
        <f t="shared" si="18"/>
        <v>13618.940000000002</v>
      </c>
      <c r="V97" s="363">
        <f t="shared" si="18"/>
        <v>19461.54</v>
      </c>
      <c r="W97" s="363">
        <f t="shared" si="19"/>
        <v>439229.61</v>
      </c>
      <c r="X97" s="363">
        <f t="shared" si="20"/>
        <v>33431.430000000008</v>
      </c>
    </row>
    <row r="98" spans="1:24">
      <c r="A98" s="6" t="s">
        <v>37</v>
      </c>
      <c r="B98" s="17">
        <f t="shared" ref="B98:R98" si="42">SUM(B71:B97)</f>
        <v>63258602.589999996</v>
      </c>
      <c r="C98" s="17">
        <f t="shared" si="42"/>
        <v>13690888.369999999</v>
      </c>
      <c r="D98" s="17">
        <f t="shared" si="42"/>
        <v>3427609.25</v>
      </c>
      <c r="E98" s="17">
        <f t="shared" si="42"/>
        <v>2824767.0400000005</v>
      </c>
      <c r="F98" s="17">
        <f t="shared" si="42"/>
        <v>81455268.640000015</v>
      </c>
      <c r="G98" s="17">
        <f t="shared" si="42"/>
        <v>1708656.82</v>
      </c>
      <c r="H98" s="17">
        <f t="shared" si="42"/>
        <v>2879139.8699999996</v>
      </c>
      <c r="I98" s="17">
        <f t="shared" si="42"/>
        <v>307587.84000000008</v>
      </c>
      <c r="J98" s="17">
        <f t="shared" si="42"/>
        <v>4282174.2300000004</v>
      </c>
      <c r="K98" s="17">
        <f t="shared" si="42"/>
        <v>296388.18</v>
      </c>
      <c r="L98" s="17">
        <f t="shared" si="42"/>
        <v>26737.739999999998</v>
      </c>
      <c r="M98" s="17">
        <f t="shared" si="42"/>
        <v>43582.87000000001</v>
      </c>
      <c r="N98" s="17">
        <f t="shared" si="42"/>
        <v>138529.03000000003</v>
      </c>
      <c r="O98" s="17">
        <f t="shared" si="42"/>
        <v>169.07</v>
      </c>
      <c r="P98" s="17">
        <f t="shared" si="42"/>
        <v>6839.2</v>
      </c>
      <c r="Q98" s="17">
        <f t="shared" si="42"/>
        <v>105964.51</v>
      </c>
      <c r="R98" s="5">
        <f t="shared" si="42"/>
        <v>174452905.25000006</v>
      </c>
      <c r="S98" s="363">
        <f t="shared" si="18"/>
        <v>63258602.589999996</v>
      </c>
      <c r="T98" s="363">
        <f t="shared" si="18"/>
        <v>13690888.369999999</v>
      </c>
      <c r="U98" s="363">
        <f t="shared" si="18"/>
        <v>3427609.25</v>
      </c>
      <c r="V98" s="363">
        <f t="shared" si="18"/>
        <v>2824767.0400000005</v>
      </c>
      <c r="W98" s="363">
        <f t="shared" si="19"/>
        <v>83163925.460000008</v>
      </c>
      <c r="X98" s="363">
        <f t="shared" si="20"/>
        <v>8087112.540000001</v>
      </c>
    </row>
    <row r="99" spans="1:24">
      <c r="B99" s="363"/>
      <c r="C99" s="363"/>
      <c r="D99" s="363"/>
      <c r="E99" s="363"/>
      <c r="F99" s="847"/>
      <c r="G99" s="847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130"/>
      <c r="S99" s="363"/>
      <c r="T99" s="363"/>
      <c r="U99" s="363"/>
      <c r="V99" s="363"/>
      <c r="W99" s="363"/>
      <c r="X99" s="363"/>
    </row>
    <row r="100" spans="1:24">
      <c r="A100" s="370"/>
      <c r="B100" s="370"/>
      <c r="C100" s="370"/>
      <c r="D100" s="370"/>
      <c r="E100" s="370"/>
      <c r="F100" s="370"/>
      <c r="G100" s="370"/>
      <c r="H100" s="370"/>
      <c r="I100" s="370"/>
      <c r="J100" s="370"/>
      <c r="K100" s="370"/>
      <c r="L100" s="370"/>
      <c r="M100" s="370"/>
      <c r="N100" s="370"/>
      <c r="O100" s="370"/>
      <c r="P100" s="370"/>
      <c r="Q100" s="370"/>
      <c r="R100" s="10" t="b">
        <v>1</v>
      </c>
      <c r="S100" s="363"/>
      <c r="T100" s="363"/>
      <c r="U100" s="363"/>
      <c r="V100" s="363"/>
      <c r="W100" s="363"/>
      <c r="X100" s="363"/>
    </row>
    <row r="101" spans="1:24">
      <c r="A101" s="370"/>
      <c r="B101" s="370"/>
      <c r="C101" s="370"/>
      <c r="D101" s="370"/>
      <c r="E101" s="370"/>
      <c r="F101" s="370"/>
      <c r="G101" s="370"/>
      <c r="H101" s="370"/>
      <c r="I101" s="370"/>
      <c r="J101" s="370"/>
      <c r="K101" s="370"/>
      <c r="L101" s="370"/>
      <c r="M101" s="370"/>
      <c r="N101" s="370"/>
      <c r="O101" s="370"/>
      <c r="P101" s="370"/>
      <c r="Q101" s="370"/>
      <c r="R101" s="370"/>
      <c r="S101" s="363"/>
      <c r="T101" s="363"/>
      <c r="U101" s="363"/>
      <c r="V101" s="363"/>
      <c r="W101" s="363"/>
      <c r="X101" s="363"/>
    </row>
    <row r="102" spans="1:24">
      <c r="A102" s="370"/>
      <c r="B102" s="370"/>
      <c r="C102" s="370"/>
      <c r="D102" s="370"/>
      <c r="E102" s="370"/>
      <c r="F102" s="370"/>
      <c r="G102" s="370"/>
      <c r="H102" s="370"/>
      <c r="I102" s="370"/>
      <c r="J102" s="370"/>
      <c r="K102" s="370"/>
      <c r="L102" s="370"/>
      <c r="M102" s="370"/>
      <c r="N102" s="370"/>
      <c r="O102" s="370"/>
      <c r="P102" s="370"/>
      <c r="Q102" s="370"/>
      <c r="S102" s="363"/>
      <c r="T102" s="363"/>
      <c r="U102" s="363"/>
      <c r="V102" s="363"/>
      <c r="W102" s="363"/>
      <c r="X102" s="363"/>
    </row>
    <row r="103" spans="1:24">
      <c r="A103" s="370"/>
      <c r="B103" s="370"/>
      <c r="C103" s="370"/>
      <c r="D103" s="370"/>
      <c r="E103" s="370"/>
      <c r="F103" s="370"/>
      <c r="G103" s="370"/>
      <c r="H103" s="370"/>
      <c r="I103" s="370"/>
      <c r="J103" s="370"/>
      <c r="K103" s="370"/>
      <c r="L103" s="370"/>
      <c r="M103" s="370"/>
      <c r="N103" s="370"/>
      <c r="O103" s="370"/>
      <c r="P103" s="370"/>
      <c r="Q103" s="370"/>
      <c r="R103" s="370"/>
    </row>
    <row r="104" spans="1:24">
      <c r="A104" s="370"/>
      <c r="B104" s="370"/>
      <c r="C104" s="370"/>
      <c r="D104" s="370"/>
      <c r="E104" s="370"/>
      <c r="F104" s="370"/>
      <c r="G104" s="370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</row>
    <row r="105" spans="1:24">
      <c r="A105" s="370"/>
      <c r="B105" s="370"/>
      <c r="C105" s="370"/>
      <c r="D105" s="370"/>
      <c r="E105" s="370"/>
      <c r="F105" s="370"/>
      <c r="G105" s="370"/>
      <c r="H105" s="370"/>
      <c r="I105" s="370"/>
      <c r="J105" s="370"/>
      <c r="K105" s="370"/>
      <c r="L105" s="370"/>
      <c r="M105" s="370"/>
      <c r="N105" s="370"/>
      <c r="O105" s="370"/>
      <c r="P105" s="370"/>
      <c r="Q105" s="370"/>
      <c r="R105" s="370"/>
    </row>
    <row r="106" spans="1:24">
      <c r="A106" s="370"/>
      <c r="B106" s="370"/>
      <c r="C106" s="370"/>
      <c r="D106" s="370"/>
      <c r="E106" s="370"/>
      <c r="F106" s="370"/>
      <c r="G106" s="370"/>
      <c r="H106" s="370"/>
      <c r="I106" s="370"/>
      <c r="J106" s="370"/>
      <c r="K106" s="370"/>
      <c r="L106" s="370"/>
      <c r="M106" s="370"/>
      <c r="N106" s="370"/>
      <c r="O106" s="370"/>
      <c r="P106" s="370"/>
      <c r="Q106" s="370"/>
      <c r="R106" s="370"/>
    </row>
    <row r="107" spans="1:24">
      <c r="A107" s="370"/>
      <c r="B107" s="370"/>
      <c r="C107" s="370"/>
      <c r="D107" s="370"/>
      <c r="E107" s="370"/>
      <c r="F107" s="370"/>
      <c r="G107" s="370"/>
      <c r="H107" s="370"/>
      <c r="I107" s="370"/>
      <c r="J107" s="370"/>
      <c r="K107" s="370"/>
      <c r="L107" s="370"/>
      <c r="M107" s="370"/>
      <c r="N107" s="370"/>
      <c r="O107" s="370"/>
      <c r="P107" s="370"/>
      <c r="Q107" s="370"/>
      <c r="R107" s="370"/>
    </row>
    <row r="108" spans="1:24">
      <c r="A108" s="370"/>
      <c r="B108" s="370"/>
      <c r="C108" s="370"/>
      <c r="D108" s="370"/>
      <c r="E108" s="370"/>
      <c r="F108" s="370"/>
      <c r="G108" s="370"/>
      <c r="H108" s="370"/>
      <c r="I108" s="370"/>
      <c r="J108" s="370"/>
      <c r="K108" s="370"/>
      <c r="L108" s="370"/>
      <c r="M108" s="370"/>
      <c r="N108" s="370"/>
      <c r="O108" s="370"/>
      <c r="P108" s="370"/>
      <c r="Q108" s="370"/>
      <c r="R108" s="370"/>
      <c r="S108" s="390"/>
    </row>
    <row r="109" spans="1:24">
      <c r="A109" s="370"/>
      <c r="B109" s="370"/>
      <c r="C109" s="370"/>
      <c r="D109" s="370"/>
      <c r="E109" s="370"/>
      <c r="F109" s="370"/>
      <c r="G109" s="370"/>
      <c r="H109" s="370"/>
      <c r="I109" s="370"/>
      <c r="J109" s="370"/>
      <c r="K109" s="370"/>
      <c r="L109" s="370"/>
      <c r="M109" s="370"/>
      <c r="N109" s="370"/>
      <c r="O109" s="370"/>
      <c r="P109" s="370"/>
      <c r="Q109" s="370"/>
      <c r="R109" s="370"/>
    </row>
  </sheetData>
  <mergeCells count="49">
    <mergeCell ref="N69:N70"/>
    <mergeCell ref="N36:N37"/>
    <mergeCell ref="P69:Q69"/>
    <mergeCell ref="P36:Q36"/>
    <mergeCell ref="F99:G99"/>
    <mergeCell ref="A68:R68"/>
    <mergeCell ref="A69:A70"/>
    <mergeCell ref="B69:C69"/>
    <mergeCell ref="D69:E69"/>
    <mergeCell ref="F69:F70"/>
    <mergeCell ref="G69:G70"/>
    <mergeCell ref="H69:H70"/>
    <mergeCell ref="I69:I70"/>
    <mergeCell ref="J69:J70"/>
    <mergeCell ref="K69:K70"/>
    <mergeCell ref="L69:L70"/>
    <mergeCell ref="M69:M70"/>
    <mergeCell ref="N3:N4"/>
    <mergeCell ref="R69:R70"/>
    <mergeCell ref="P3:Q3"/>
    <mergeCell ref="O69:O70"/>
    <mergeCell ref="A35:R35"/>
    <mergeCell ref="A36:A37"/>
    <mergeCell ref="B36:C36"/>
    <mergeCell ref="D36:E36"/>
    <mergeCell ref="F36:F37"/>
    <mergeCell ref="G36:G37"/>
    <mergeCell ref="H36:H37"/>
    <mergeCell ref="I36:I37"/>
    <mergeCell ref="J36:J37"/>
    <mergeCell ref="K36:K37"/>
    <mergeCell ref="L36:L37"/>
    <mergeCell ref="M36:M37"/>
    <mergeCell ref="R3:R4"/>
    <mergeCell ref="R36:R37"/>
    <mergeCell ref="O3:O4"/>
    <mergeCell ref="O36:O37"/>
    <mergeCell ref="A2:R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</mergeCells>
  <conditionalFormatting sqref="R100">
    <cfRule type="cellIs" dxfId="132" priority="1" operator="equal">
      <formula>FALSE</formula>
    </cfRule>
    <cfRule type="cellIs" dxfId="131" priority="2" operator="equal">
      <formula>TRUE</formula>
    </cfRule>
  </conditionalFormatting>
  <pageMargins left="0.511811024" right="0.511811024" top="0.78740157499999996" bottom="0.78740157499999996" header="0.31496062000000002" footer="0.31496062000000002"/>
  <pageSetup paperSize="9" scale="50" fitToHeight="0" orientation="landscape" verticalDpi="0" r:id="rId1"/>
  <rowBreaks count="2" manualBreakCount="2">
    <brk id="33" max="16383" man="1"/>
    <brk id="6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>
    <tabColor theme="6"/>
    <pageSetUpPr fitToPage="1"/>
  </sheetPr>
  <dimension ref="A1:AI35"/>
  <sheetViews>
    <sheetView showGridLines="0" zoomScale="90" zoomScaleNormal="90" workbookViewId="0">
      <selection activeCell="DQ31" sqref="DQ31:DV31"/>
    </sheetView>
  </sheetViews>
  <sheetFormatPr defaultRowHeight="15"/>
  <cols>
    <col min="1" max="1" width="10.5703125" customWidth="1"/>
    <col min="2" max="3" width="17" customWidth="1"/>
    <col min="4" max="27" width="15.7109375" hidden="1" customWidth="1"/>
    <col min="28" max="29" width="17.28515625" customWidth="1"/>
    <col min="30" max="31" width="15" customWidth="1"/>
    <col min="32" max="33" width="17" customWidth="1"/>
    <col min="34" max="34" width="12.85546875" customWidth="1"/>
    <col min="35" max="35" width="12.5703125" customWidth="1"/>
    <col min="37" max="58" width="0" hidden="1" customWidth="1"/>
  </cols>
  <sheetData>
    <row r="1" spans="1:35" ht="31.5">
      <c r="A1" s="853" t="s">
        <v>436</v>
      </c>
      <c r="B1" s="853"/>
      <c r="C1" s="853"/>
      <c r="D1" s="853"/>
      <c r="E1" s="853"/>
      <c r="F1" s="853"/>
      <c r="G1" s="853"/>
      <c r="H1" s="853"/>
      <c r="I1" s="853"/>
      <c r="J1" s="853"/>
      <c r="K1" s="853"/>
      <c r="L1" s="853"/>
      <c r="M1" s="853"/>
      <c r="N1" s="853"/>
      <c r="O1" s="853"/>
      <c r="P1" s="853"/>
      <c r="Q1" s="853"/>
      <c r="R1" s="853"/>
      <c r="S1" s="853"/>
      <c r="T1" s="853"/>
      <c r="U1" s="853"/>
      <c r="V1" s="853"/>
      <c r="W1" s="853"/>
      <c r="X1" s="853"/>
      <c r="Y1" s="853"/>
      <c r="Z1" s="853"/>
      <c r="AA1" s="853"/>
      <c r="AB1" s="853"/>
      <c r="AC1" s="853"/>
      <c r="AD1" s="853"/>
      <c r="AE1" s="853"/>
      <c r="AF1" s="853"/>
      <c r="AG1" s="853"/>
    </row>
    <row r="2" spans="1:35" s="386" customFormat="1" ht="35.1" customHeight="1">
      <c r="A2" s="849" t="s">
        <v>172</v>
      </c>
      <c r="B2" s="851" t="s">
        <v>572</v>
      </c>
      <c r="C2" s="848"/>
      <c r="D2" s="852" t="s">
        <v>106</v>
      </c>
      <c r="E2" s="852"/>
      <c r="F2" s="848" t="s">
        <v>107</v>
      </c>
      <c r="G2" s="848"/>
      <c r="H2" s="848" t="s">
        <v>108</v>
      </c>
      <c r="I2" s="848"/>
      <c r="J2" s="848" t="s">
        <v>109</v>
      </c>
      <c r="K2" s="848"/>
      <c r="L2" s="848" t="s">
        <v>110</v>
      </c>
      <c r="M2" s="848"/>
      <c r="N2" s="848" t="s">
        <v>111</v>
      </c>
      <c r="O2" s="848"/>
      <c r="P2" s="848" t="s">
        <v>112</v>
      </c>
      <c r="Q2" s="848"/>
      <c r="R2" s="848" t="s">
        <v>113</v>
      </c>
      <c r="S2" s="848"/>
      <c r="T2" s="848" t="s">
        <v>114</v>
      </c>
      <c r="U2" s="848"/>
      <c r="V2" s="848" t="s">
        <v>115</v>
      </c>
      <c r="W2" s="848"/>
      <c r="X2" s="848" t="s">
        <v>116</v>
      </c>
      <c r="Y2" s="848"/>
      <c r="Z2" s="848" t="s">
        <v>117</v>
      </c>
      <c r="AA2" s="848"/>
      <c r="AB2" s="848" t="s">
        <v>404</v>
      </c>
      <c r="AC2" s="848"/>
      <c r="AD2" s="848" t="s">
        <v>305</v>
      </c>
      <c r="AE2" s="848"/>
      <c r="AF2" s="848" t="s">
        <v>306</v>
      </c>
      <c r="AG2" s="848"/>
    </row>
    <row r="3" spans="1:35" s="383" customFormat="1">
      <c r="A3" s="850"/>
      <c r="B3" s="384" t="s">
        <v>173</v>
      </c>
      <c r="C3" s="385" t="s">
        <v>174</v>
      </c>
      <c r="D3" s="385" t="s">
        <v>173</v>
      </c>
      <c r="E3" s="385" t="s">
        <v>174</v>
      </c>
      <c r="F3" s="385" t="s">
        <v>173</v>
      </c>
      <c r="G3" s="385" t="s">
        <v>174</v>
      </c>
      <c r="H3" s="385" t="s">
        <v>173</v>
      </c>
      <c r="I3" s="385" t="s">
        <v>174</v>
      </c>
      <c r="J3" s="385" t="s">
        <v>173</v>
      </c>
      <c r="K3" s="385" t="s">
        <v>174</v>
      </c>
      <c r="L3" s="385" t="s">
        <v>173</v>
      </c>
      <c r="M3" s="385" t="s">
        <v>174</v>
      </c>
      <c r="N3" s="385" t="s">
        <v>173</v>
      </c>
      <c r="O3" s="385" t="s">
        <v>174</v>
      </c>
      <c r="P3" s="385" t="s">
        <v>173</v>
      </c>
      <c r="Q3" s="385" t="s">
        <v>174</v>
      </c>
      <c r="R3" s="385" t="s">
        <v>173</v>
      </c>
      <c r="S3" s="385" t="s">
        <v>174</v>
      </c>
      <c r="T3" s="385" t="s">
        <v>173</v>
      </c>
      <c r="U3" s="385" t="s">
        <v>174</v>
      </c>
      <c r="V3" s="385" t="s">
        <v>173</v>
      </c>
      <c r="W3" s="385" t="s">
        <v>174</v>
      </c>
      <c r="X3" s="385" t="s">
        <v>173</v>
      </c>
      <c r="Y3" s="385" t="s">
        <v>174</v>
      </c>
      <c r="Z3" s="385" t="s">
        <v>173</v>
      </c>
      <c r="AA3" s="385" t="s">
        <v>174</v>
      </c>
      <c r="AB3" s="385" t="s">
        <v>173</v>
      </c>
      <c r="AC3" s="385" t="s">
        <v>174</v>
      </c>
      <c r="AD3" s="385" t="s">
        <v>173</v>
      </c>
      <c r="AE3" s="385" t="s">
        <v>174</v>
      </c>
      <c r="AF3" s="385" t="s">
        <v>173</v>
      </c>
      <c r="AG3" s="385" t="s">
        <v>174</v>
      </c>
    </row>
    <row r="4" spans="1:35" s="64" customFormat="1">
      <c r="A4" s="45" t="s">
        <v>77</v>
      </c>
      <c r="B4" s="46">
        <f>VLOOKUP($A$4:$A$30,'Anuid PF'!$A$5:$G$31,6,)</f>
        <v>65999.62</v>
      </c>
      <c r="C4" s="47">
        <f>VLOOKUP($A$4:$A$30,'Anuid PJ'!$A$5:$E$31,5,)</f>
        <v>10405.58</v>
      </c>
      <c r="D4" s="48">
        <f>JAN!C5</f>
        <v>6155.8240000000023</v>
      </c>
      <c r="E4" s="48">
        <f>JAN!E5</f>
        <v>545.5440000000001</v>
      </c>
      <c r="F4" s="48">
        <f>FEV!C5</f>
        <v>11930.32</v>
      </c>
      <c r="G4" s="48">
        <f>FEV!E5</f>
        <v>713.68000000000018</v>
      </c>
      <c r="H4" s="48">
        <f>MAR!C5</f>
        <v>10044.896000000001</v>
      </c>
      <c r="I4" s="48">
        <f>MAR!E5</f>
        <v>872.06399999999996</v>
      </c>
      <c r="J4" s="48">
        <f>ABR!C5</f>
        <v>7100.2000000000007</v>
      </c>
      <c r="K4" s="48">
        <f>ABR!E5</f>
        <v>873.6</v>
      </c>
      <c r="L4" s="48">
        <f>MAI!C5</f>
        <v>9385.2960000000003</v>
      </c>
      <c r="M4" s="48">
        <f>MAI!E5</f>
        <v>297.608</v>
      </c>
      <c r="N4" s="48">
        <f>JUN!C5</f>
        <v>5531.6800000000021</v>
      </c>
      <c r="O4" s="48">
        <f>JUN!E5</f>
        <v>1414.1599999999999</v>
      </c>
      <c r="P4" s="48">
        <f>JUL!C5</f>
        <v>4878.0080000000016</v>
      </c>
      <c r="Q4" s="48">
        <f>JUL!E5</f>
        <v>169.6239999999998</v>
      </c>
      <c r="R4" s="48">
        <f>AGO!C5</f>
        <v>6857.3840000000018</v>
      </c>
      <c r="S4" s="48">
        <f>AGO!E5</f>
        <v>544.46400000000028</v>
      </c>
      <c r="T4" s="48">
        <f>SET!C5</f>
        <v>3265.1999999999994</v>
      </c>
      <c r="U4" s="48">
        <f>SET!E5</f>
        <v>663.30400000000009</v>
      </c>
      <c r="V4" s="48">
        <f>OUT!C5</f>
        <v>0</v>
      </c>
      <c r="W4" s="48">
        <f>OUT!E5</f>
        <v>0</v>
      </c>
      <c r="X4" s="48">
        <f>NOV!C5</f>
        <v>0</v>
      </c>
      <c r="Y4" s="48">
        <f>NOV!E5</f>
        <v>0</v>
      </c>
      <c r="Z4" s="48">
        <f>DEZ!C5</f>
        <v>0</v>
      </c>
      <c r="AA4" s="48">
        <f>DEZ!E5</f>
        <v>0</v>
      </c>
      <c r="AB4" s="380">
        <f>D4+F4+H4+J4+L4+N4+P4+R4+T4+V4+X4+Z4</f>
        <v>65148.808000000005</v>
      </c>
      <c r="AC4" s="381">
        <f>E4+G4+I4+K4+M4+O4+Q4+S4+U4+W4+Y4+AA4</f>
        <v>6094.0479999999998</v>
      </c>
      <c r="AD4" s="49">
        <f>IFERROR((AB4/B4),0)</f>
        <v>0.98710883486904943</v>
      </c>
      <c r="AE4" s="50">
        <f>IFERROR((AC4/C4),0)</f>
        <v>0.58565192906113839</v>
      </c>
      <c r="AF4" s="380">
        <f>IF(B4-AB4&lt;=0,0,B4-AB4)</f>
        <v>850.8119999999908</v>
      </c>
      <c r="AG4" s="381">
        <f>IF(C4-AC4&lt;=0,0,C4-AC4)</f>
        <v>4311.5320000000002</v>
      </c>
      <c r="AH4" s="382">
        <f t="shared" ref="AH4:AH8" si="0">B4-AB4</f>
        <v>850.8119999999908</v>
      </c>
      <c r="AI4" s="382">
        <f t="shared" ref="AI4:AI8" si="1">C4-AC4</f>
        <v>4311.5320000000002</v>
      </c>
    </row>
    <row r="5" spans="1:35" s="64" customFormat="1">
      <c r="A5" s="51" t="s">
        <v>78</v>
      </c>
      <c r="B5" s="46">
        <f>VLOOKUP($A$4:$A$30,'Anuid PF'!$A$5:$G$31,6,)</f>
        <v>123638.42</v>
      </c>
      <c r="C5" s="47">
        <f>VLOOKUP($A$4:$A$30,'Anuid PJ'!$A$5:$E$31,5,)</f>
        <v>22976.79</v>
      </c>
      <c r="D5" s="48">
        <f>JAN!C6</f>
        <v>18091.863999999998</v>
      </c>
      <c r="E5" s="48">
        <f>JAN!E6</f>
        <v>844.97599999999989</v>
      </c>
      <c r="F5" s="48">
        <f>FEV!C6</f>
        <v>19235.207999999984</v>
      </c>
      <c r="G5" s="48">
        <f>FEV!E6</f>
        <v>375.45600000000013</v>
      </c>
      <c r="H5" s="48">
        <f>MAR!C6</f>
        <v>16746.151999999998</v>
      </c>
      <c r="I5" s="48">
        <f>MAR!E6</f>
        <v>192.60000000000002</v>
      </c>
      <c r="J5" s="48">
        <f>ABR!C6</f>
        <v>12631.696</v>
      </c>
      <c r="K5" s="48">
        <f>ABR!E6</f>
        <v>561.85600000000011</v>
      </c>
      <c r="L5" s="48">
        <f>MAI!C6</f>
        <v>11193.752</v>
      </c>
      <c r="M5" s="48">
        <f>MAI!E6</f>
        <v>1943.9360000000001</v>
      </c>
      <c r="N5" s="48">
        <f>JUN!C6</f>
        <v>15039.304000000004</v>
      </c>
      <c r="O5" s="48">
        <f>JUN!E6</f>
        <v>0</v>
      </c>
      <c r="P5" s="48">
        <f>JUL!C6</f>
        <v>8872.952000000003</v>
      </c>
      <c r="Q5" s="48">
        <f>JUL!E6</f>
        <v>365.69600000000014</v>
      </c>
      <c r="R5" s="48">
        <f>AGO!C6</f>
        <v>11295.136000000002</v>
      </c>
      <c r="S5" s="48">
        <f>AGO!E6</f>
        <v>1213.8560000000004</v>
      </c>
      <c r="T5" s="48">
        <f>SET!C6</f>
        <v>8812.8239999999987</v>
      </c>
      <c r="U5" s="48">
        <f>SET!E6</f>
        <v>548.24799999999993</v>
      </c>
      <c r="V5" s="48">
        <f>OUT!C6</f>
        <v>0</v>
      </c>
      <c r="W5" s="48">
        <f>OUT!E6</f>
        <v>0</v>
      </c>
      <c r="X5" s="48">
        <f>NOV!C6</f>
        <v>0</v>
      </c>
      <c r="Y5" s="48">
        <f>NOV!E6</f>
        <v>0</v>
      </c>
      <c r="Z5" s="48">
        <f>DEZ!C6</f>
        <v>0</v>
      </c>
      <c r="AA5" s="48">
        <f>DEZ!E6</f>
        <v>0</v>
      </c>
      <c r="AB5" s="380">
        <f t="shared" ref="AB5:AC30" si="2">D5+F5+H5+J5+L5+N5+P5+R5+T5+V5+X5+Z5</f>
        <v>121918.88799999999</v>
      </c>
      <c r="AC5" s="381">
        <f t="shared" si="2"/>
        <v>6046.6240000000007</v>
      </c>
      <c r="AD5" s="49">
        <f t="shared" ref="AD5:AE33" si="3">IFERROR((AB5/B5),0)</f>
        <v>0.98609225190681016</v>
      </c>
      <c r="AE5" s="50">
        <f t="shared" si="3"/>
        <v>0.26316226069873122</v>
      </c>
      <c r="AF5" s="380">
        <f>IF(B5-AB5&lt;=0,0,B5-AB5)</f>
        <v>1719.5320000000065</v>
      </c>
      <c r="AG5" s="381">
        <f t="shared" ref="AG5:AG19" si="4">IF(C5-AC5&lt;=0,0,C5-AC5)</f>
        <v>16930.166000000001</v>
      </c>
      <c r="AH5" s="382">
        <f t="shared" si="0"/>
        <v>1719.5320000000065</v>
      </c>
      <c r="AI5" s="382">
        <f t="shared" si="1"/>
        <v>16930.166000000001</v>
      </c>
    </row>
    <row r="6" spans="1:35" s="64" customFormat="1">
      <c r="A6" s="52" t="s">
        <v>79</v>
      </c>
      <c r="B6" s="46">
        <f>VLOOKUP($A$4:$A$30,'Anuid PF'!$A$5:$G$31,6,)</f>
        <v>70623.45</v>
      </c>
      <c r="C6" s="47">
        <f>VLOOKUP($A$4:$A$30,'Anuid PJ'!$A$5:$E$31,5,)</f>
        <v>29503.100000000002</v>
      </c>
      <c r="D6" s="48">
        <f>JAN!C7</f>
        <v>8773.4640000000018</v>
      </c>
      <c r="E6" s="48">
        <f>JAN!E7</f>
        <v>3782.328</v>
      </c>
      <c r="F6" s="48">
        <f>FEV!C7</f>
        <v>6035.0879999999979</v>
      </c>
      <c r="G6" s="48">
        <f>FEV!E7</f>
        <v>2639.8080000000004</v>
      </c>
      <c r="H6" s="48">
        <f>MAR!C7</f>
        <v>7545.5920000000006</v>
      </c>
      <c r="I6" s="48">
        <f>MAR!E7</f>
        <v>1891.232</v>
      </c>
      <c r="J6" s="48">
        <f>ABR!C7</f>
        <v>7248.344000000001</v>
      </c>
      <c r="K6" s="48">
        <f>ABR!E7</f>
        <v>1698.8320000000001</v>
      </c>
      <c r="L6" s="48">
        <f>MAI!C7</f>
        <v>5324.4880000000003</v>
      </c>
      <c r="M6" s="48">
        <f>MAI!E7</f>
        <v>799.98400000000004</v>
      </c>
      <c r="N6" s="48">
        <f>JUN!C7</f>
        <v>4547.2639999999983</v>
      </c>
      <c r="O6" s="48">
        <f>JUN!E7</f>
        <v>729.49600000000009</v>
      </c>
      <c r="P6" s="48">
        <f>JUL!C7</f>
        <v>5921.7440000000006</v>
      </c>
      <c r="Q6" s="48">
        <f>JUL!E7</f>
        <v>1515.0879999999997</v>
      </c>
      <c r="R6" s="48">
        <f>AGO!C7</f>
        <v>4433.9440000000022</v>
      </c>
      <c r="S6" s="48">
        <f>AGO!E7</f>
        <v>0</v>
      </c>
      <c r="T6" s="48">
        <f>SET!C7</f>
        <v>6344.2400000000016</v>
      </c>
      <c r="U6" s="48">
        <f>SET!E7</f>
        <v>779.41600000000005</v>
      </c>
      <c r="V6" s="48">
        <f>OUT!C7</f>
        <v>0</v>
      </c>
      <c r="W6" s="48">
        <f>OUT!E7</f>
        <v>0</v>
      </c>
      <c r="X6" s="48">
        <f>NOV!C7</f>
        <v>0</v>
      </c>
      <c r="Y6" s="48">
        <f>NOV!E7</f>
        <v>0</v>
      </c>
      <c r="Z6" s="48">
        <f>DEZ!C7</f>
        <v>0</v>
      </c>
      <c r="AA6" s="48">
        <f>DEZ!E7</f>
        <v>0</v>
      </c>
      <c r="AB6" s="380">
        <f t="shared" si="2"/>
        <v>56174.168000000005</v>
      </c>
      <c r="AC6" s="381">
        <f t="shared" si="2"/>
        <v>13836.183999999999</v>
      </c>
      <c r="AD6" s="49">
        <f t="shared" si="3"/>
        <v>0.79540390620962309</v>
      </c>
      <c r="AE6" s="50">
        <f t="shared" si="3"/>
        <v>0.4689739044371608</v>
      </c>
      <c r="AF6" s="380">
        <f t="shared" ref="AF6:AG30" si="5">IF(B6-AB6&lt;=0,0,B6-AB6)</f>
        <v>14449.281999999992</v>
      </c>
      <c r="AG6" s="381">
        <f t="shared" si="4"/>
        <v>15666.916000000003</v>
      </c>
      <c r="AH6" s="382">
        <f t="shared" si="0"/>
        <v>14449.281999999992</v>
      </c>
      <c r="AI6" s="382">
        <f t="shared" si="1"/>
        <v>15666.916000000003</v>
      </c>
    </row>
    <row r="7" spans="1:35" s="64" customFormat="1">
      <c r="A7" s="53" t="s">
        <v>80</v>
      </c>
      <c r="B7" s="46">
        <f>VLOOKUP($A$4:$A$30,'Anuid PF'!$A$5:$G$31,6,)</f>
        <v>146693.6</v>
      </c>
      <c r="C7" s="47">
        <f>VLOOKUP($A$4:$A$30,'Anuid PJ'!$A$5:$E$31,5,)</f>
        <v>25790.080000000002</v>
      </c>
      <c r="D7" s="48">
        <f>JAN!C8</f>
        <v>10111.896000000002</v>
      </c>
      <c r="E7" s="48">
        <f>JAN!E8</f>
        <v>883.19200000000001</v>
      </c>
      <c r="F7" s="48">
        <f>FEV!C8</f>
        <v>13143.264000000003</v>
      </c>
      <c r="G7" s="48">
        <f>FEV!E8</f>
        <v>2429.7520000000004</v>
      </c>
      <c r="H7" s="48">
        <f>MAR!C8</f>
        <v>16104.976000000002</v>
      </c>
      <c r="I7" s="48">
        <f>MAR!E8</f>
        <v>3016.5200000000004</v>
      </c>
      <c r="J7" s="48">
        <f>ABR!C8</f>
        <v>12948.568000000001</v>
      </c>
      <c r="K7" s="48">
        <f>ABR!E8</f>
        <v>1550.9840000000002</v>
      </c>
      <c r="L7" s="48">
        <f>MAI!C8</f>
        <v>9533.9120000000021</v>
      </c>
      <c r="M7" s="48">
        <f>MAI!E8</f>
        <v>1288.92</v>
      </c>
      <c r="N7" s="48">
        <f>JUN!C8</f>
        <v>11991.96</v>
      </c>
      <c r="O7" s="48">
        <f>JUN!E8</f>
        <v>1646.5519999999997</v>
      </c>
      <c r="P7" s="48">
        <f>JUL!C8</f>
        <v>8751.6239999999998</v>
      </c>
      <c r="Q7" s="48">
        <f>JUL!E8</f>
        <v>1444.2480000000003</v>
      </c>
      <c r="R7" s="48">
        <f>AGO!C8</f>
        <v>8534.3520000000026</v>
      </c>
      <c r="S7" s="48">
        <f>AGO!E8</f>
        <v>657.03200000000072</v>
      </c>
      <c r="T7" s="48">
        <f>SET!C8</f>
        <v>6961.1999999999989</v>
      </c>
      <c r="U7" s="48">
        <f>SET!E8</f>
        <v>670.60799999999983</v>
      </c>
      <c r="V7" s="48">
        <f>OUT!C8</f>
        <v>0</v>
      </c>
      <c r="W7" s="48">
        <f>OUT!E8</f>
        <v>0</v>
      </c>
      <c r="X7" s="48">
        <f>NOV!C8</f>
        <v>0</v>
      </c>
      <c r="Y7" s="48">
        <f>NOV!E8</f>
        <v>0</v>
      </c>
      <c r="Z7" s="48">
        <f>DEZ!C8</f>
        <v>0</v>
      </c>
      <c r="AA7" s="48">
        <f>DEZ!E8</f>
        <v>0</v>
      </c>
      <c r="AB7" s="380">
        <f t="shared" si="2"/>
        <v>98081.751999999993</v>
      </c>
      <c r="AC7" s="381">
        <f t="shared" si="2"/>
        <v>13587.808000000003</v>
      </c>
      <c r="AD7" s="49">
        <f t="shared" si="3"/>
        <v>0.66861643589086361</v>
      </c>
      <c r="AE7" s="50">
        <f t="shared" si="3"/>
        <v>0.52686180112663483</v>
      </c>
      <c r="AF7" s="380">
        <f t="shared" si="5"/>
        <v>48611.848000000013</v>
      </c>
      <c r="AG7" s="381">
        <f t="shared" si="4"/>
        <v>12202.271999999999</v>
      </c>
      <c r="AH7" s="382">
        <f t="shared" si="0"/>
        <v>48611.848000000013</v>
      </c>
      <c r="AI7" s="382">
        <f t="shared" si="1"/>
        <v>12202.271999999999</v>
      </c>
    </row>
    <row r="8" spans="1:35" s="64" customFormat="1">
      <c r="A8" s="51" t="s">
        <v>81</v>
      </c>
      <c r="B8" s="46">
        <f>VLOOKUP($A$4:$A$30,'Anuid PF'!$A$5:$G$31,6,)</f>
        <v>369690.77</v>
      </c>
      <c r="C8" s="47">
        <f>VLOOKUP($A$4:$A$30,'Anuid PJ'!$A$5:$E$31,5,)</f>
        <v>99609.25</v>
      </c>
      <c r="D8" s="48">
        <f>JAN!C9</f>
        <v>30706.631999999998</v>
      </c>
      <c r="E8" s="48">
        <f>JAN!E9</f>
        <v>2671.848</v>
      </c>
      <c r="F8" s="48">
        <f>FEV!C9</f>
        <v>38622.728000000025</v>
      </c>
      <c r="G8" s="48">
        <f>FEV!E9</f>
        <v>5451.7439999999988</v>
      </c>
      <c r="H8" s="48">
        <f>MAR!C9</f>
        <v>45949.256000000001</v>
      </c>
      <c r="I8" s="48">
        <f>MAR!E9</f>
        <v>7230.344000000001</v>
      </c>
      <c r="J8" s="48">
        <f>ABR!C9</f>
        <v>40568.336000000003</v>
      </c>
      <c r="K8" s="48">
        <f>ABR!E9</f>
        <v>9397.8559999999998</v>
      </c>
      <c r="L8" s="48">
        <f>MAI!C9</f>
        <v>33000.944000000003</v>
      </c>
      <c r="M8" s="48">
        <f>MAI!E9</f>
        <v>12345.944000000001</v>
      </c>
      <c r="N8" s="48">
        <f>JUN!C9</f>
        <v>26079.536000000011</v>
      </c>
      <c r="O8" s="48">
        <f>JUN!E9</f>
        <v>4115.1760000000004</v>
      </c>
      <c r="P8" s="48">
        <f>JUL!C9</f>
        <v>23323.896000000022</v>
      </c>
      <c r="Q8" s="48">
        <f>JUL!E9</f>
        <v>3589.0879999999997</v>
      </c>
      <c r="R8" s="48">
        <f>AGO!C9</f>
        <v>27897.864000000001</v>
      </c>
      <c r="S8" s="48">
        <f>AGO!E9</f>
        <v>5403.4640000000018</v>
      </c>
      <c r="T8" s="48">
        <f>SET!C9</f>
        <v>23301.82399999999</v>
      </c>
      <c r="U8" s="48">
        <f>SET!E9</f>
        <v>3140.2240000000006</v>
      </c>
      <c r="V8" s="48">
        <f>OUT!C9</f>
        <v>0</v>
      </c>
      <c r="W8" s="48">
        <f>OUT!E9</f>
        <v>0</v>
      </c>
      <c r="X8" s="48">
        <f>NOV!C9</f>
        <v>0</v>
      </c>
      <c r="Y8" s="48">
        <f>NOV!E9</f>
        <v>0</v>
      </c>
      <c r="Z8" s="48">
        <f>DEZ!C9</f>
        <v>0</v>
      </c>
      <c r="AA8" s="48">
        <f>DEZ!E9</f>
        <v>0</v>
      </c>
      <c r="AB8" s="380">
        <f t="shared" si="2"/>
        <v>289451.016</v>
      </c>
      <c r="AC8" s="381">
        <f t="shared" si="2"/>
        <v>53345.688000000002</v>
      </c>
      <c r="AD8" s="49">
        <f t="shared" si="3"/>
        <v>0.78295440267551175</v>
      </c>
      <c r="AE8" s="50">
        <f t="shared" si="3"/>
        <v>0.53554953982687348</v>
      </c>
      <c r="AF8" s="380">
        <f t="shared" si="5"/>
        <v>80239.754000000015</v>
      </c>
      <c r="AG8" s="381">
        <f t="shared" si="4"/>
        <v>46263.561999999998</v>
      </c>
      <c r="AH8" s="382">
        <f t="shared" si="0"/>
        <v>80239.754000000015</v>
      </c>
      <c r="AI8" s="382">
        <f t="shared" si="1"/>
        <v>46263.561999999998</v>
      </c>
    </row>
    <row r="9" spans="1:35" s="64" customFormat="1">
      <c r="A9" s="51" t="s">
        <v>82</v>
      </c>
      <c r="B9" s="46">
        <f>VLOOKUP($A$4:$A$30,'Anuid PF'!$A$5:$G$31,6,)</f>
        <v>211350.33000000002</v>
      </c>
      <c r="C9" s="47">
        <f>VLOOKUP($A$4:$A$30,'Anuid PJ'!$A$5:$E$31,5,)</f>
        <v>56778.33</v>
      </c>
      <c r="D9" s="48">
        <f>JAN!C10</f>
        <v>32234.296000000028</v>
      </c>
      <c r="E9" s="48">
        <f>JAN!E10</f>
        <v>10186.048000000001</v>
      </c>
      <c r="F9" s="48">
        <f>FEV!C10</f>
        <v>26505.079999999984</v>
      </c>
      <c r="G9" s="48">
        <f>FEV!E10</f>
        <v>11347.024000000001</v>
      </c>
      <c r="H9" s="48">
        <f>MAR!C10</f>
        <v>30811.256000000001</v>
      </c>
      <c r="I9" s="48">
        <f>MAR!E10</f>
        <v>10533.128000000001</v>
      </c>
      <c r="J9" s="48">
        <f>ABR!C10</f>
        <v>16564.416000000001</v>
      </c>
      <c r="K9" s="48">
        <f>ABR!E10</f>
        <v>3322.4160000000006</v>
      </c>
      <c r="L9" s="48">
        <f>MAI!C10</f>
        <v>24647.528000000002</v>
      </c>
      <c r="M9" s="48">
        <f>MAI!E10</f>
        <v>5126.2400000000007</v>
      </c>
      <c r="N9" s="48">
        <f>JUN!C10</f>
        <v>50687.815999999992</v>
      </c>
      <c r="O9" s="48">
        <f>JUN!E10</f>
        <v>3408.8399999999997</v>
      </c>
      <c r="P9" s="48">
        <f>JUL!C10</f>
        <v>37589.008000000009</v>
      </c>
      <c r="Q9" s="48">
        <f>JUL!E10</f>
        <v>5578.5680000000002</v>
      </c>
      <c r="R9" s="48">
        <f>AGO!C10</f>
        <v>41165.815999999992</v>
      </c>
      <c r="S9" s="48">
        <f>AGO!E10</f>
        <v>4652.2000000000016</v>
      </c>
      <c r="T9" s="48">
        <f>SET!C10</f>
        <v>38420.984000000004</v>
      </c>
      <c r="U9" s="48">
        <f>SET!E10</f>
        <v>2203.4479999999999</v>
      </c>
      <c r="V9" s="48">
        <f>OUT!C10</f>
        <v>0</v>
      </c>
      <c r="W9" s="48">
        <f>OUT!E10</f>
        <v>0</v>
      </c>
      <c r="X9" s="48">
        <f>NOV!C10</f>
        <v>0</v>
      </c>
      <c r="Y9" s="48">
        <f>NOV!E10</f>
        <v>0</v>
      </c>
      <c r="Z9" s="48">
        <f>DEZ!C10</f>
        <v>0</v>
      </c>
      <c r="AA9" s="48">
        <f>DEZ!E10</f>
        <v>0</v>
      </c>
      <c r="AB9" s="380">
        <f t="shared" si="2"/>
        <v>298626.2</v>
      </c>
      <c r="AC9" s="381">
        <f t="shared" si="2"/>
        <v>56357.911999999997</v>
      </c>
      <c r="AD9" s="49">
        <f t="shared" si="3"/>
        <v>1.4129440914523295</v>
      </c>
      <c r="AE9" s="50">
        <f t="shared" si="3"/>
        <v>0.99259544970766123</v>
      </c>
      <c r="AF9" s="380">
        <f t="shared" si="5"/>
        <v>0</v>
      </c>
      <c r="AG9" s="381">
        <f t="shared" si="4"/>
        <v>420.41800000000512</v>
      </c>
      <c r="AH9" s="382">
        <f t="shared" ref="AH9:AI14" si="6">B9-AB9</f>
        <v>-87275.87</v>
      </c>
      <c r="AI9" s="382">
        <f t="shared" si="6"/>
        <v>420.41800000000512</v>
      </c>
    </row>
    <row r="10" spans="1:35" s="64" customFormat="1">
      <c r="A10" s="51" t="s">
        <v>83</v>
      </c>
      <c r="B10" s="46">
        <f>VLOOKUP($A$4:$A$30,'Anuid PF'!$A$5:$G$31,6,)</f>
        <v>394786.83999999997</v>
      </c>
      <c r="C10" s="47">
        <f>VLOOKUP($A$4:$A$30,'Anuid PJ'!$A$5:$E$31,5,)</f>
        <v>65835.459999999992</v>
      </c>
      <c r="D10" s="48">
        <f>JAN!C11</f>
        <v>43282.104000000014</v>
      </c>
      <c r="E10" s="48">
        <f>JAN!E11</f>
        <v>4898.4159999999993</v>
      </c>
      <c r="F10" s="48">
        <f>FEV!C11</f>
        <v>40493.136000000035</v>
      </c>
      <c r="G10" s="48">
        <f>FEV!E11</f>
        <v>4019.7280000000001</v>
      </c>
      <c r="H10" s="48">
        <f>MAR!C11</f>
        <v>38141.248</v>
      </c>
      <c r="I10" s="48">
        <f>MAR!E11</f>
        <v>3325.056</v>
      </c>
      <c r="J10" s="48">
        <f>ABR!C11</f>
        <v>30164.248</v>
      </c>
      <c r="K10" s="48">
        <f>ABR!E11</f>
        <v>3417.1040000000003</v>
      </c>
      <c r="L10" s="48">
        <f>MAI!C11</f>
        <v>87297.888000000006</v>
      </c>
      <c r="M10" s="48">
        <f>MAI!E11</f>
        <v>17085.472000000002</v>
      </c>
      <c r="N10" s="48">
        <f>JUN!C11</f>
        <v>59005.864000000016</v>
      </c>
      <c r="O10" s="48">
        <f>JUN!E11</f>
        <v>4249.9600000000009</v>
      </c>
      <c r="P10" s="48">
        <f>JUL!C11</f>
        <v>46717.120000000024</v>
      </c>
      <c r="Q10" s="48">
        <f>JUL!E11</f>
        <v>2792.2640000000001</v>
      </c>
      <c r="R10" s="48">
        <f>AGO!C11</f>
        <v>57915.767999999996</v>
      </c>
      <c r="S10" s="48">
        <f>AGO!E11</f>
        <v>4580.0959999999995</v>
      </c>
      <c r="T10" s="48">
        <f>SET!C11</f>
        <v>53768.863999999994</v>
      </c>
      <c r="U10" s="48">
        <f>SET!E11</f>
        <v>5038.0720000000019</v>
      </c>
      <c r="V10" s="48">
        <f>OUT!C11</f>
        <v>0</v>
      </c>
      <c r="W10" s="48">
        <f>OUT!E11</f>
        <v>0</v>
      </c>
      <c r="X10" s="48">
        <f>NOV!C11</f>
        <v>0</v>
      </c>
      <c r="Y10" s="48">
        <f>NOV!E11</f>
        <v>0</v>
      </c>
      <c r="Z10" s="48">
        <f>DEZ!C11</f>
        <v>0</v>
      </c>
      <c r="AA10" s="48">
        <f>DEZ!E11</f>
        <v>0</v>
      </c>
      <c r="AB10" s="380">
        <f t="shared" si="2"/>
        <v>456786.24000000011</v>
      </c>
      <c r="AC10" s="381">
        <f t="shared" si="2"/>
        <v>49406.168000000005</v>
      </c>
      <c r="AD10" s="49">
        <f t="shared" si="3"/>
        <v>1.1570452551052617</v>
      </c>
      <c r="AE10" s="50">
        <f t="shared" si="3"/>
        <v>0.75044919561585821</v>
      </c>
      <c r="AF10" s="380">
        <f t="shared" si="5"/>
        <v>0</v>
      </c>
      <c r="AG10" s="381">
        <f t="shared" si="4"/>
        <v>16429.291999999987</v>
      </c>
      <c r="AH10" s="382">
        <f t="shared" si="6"/>
        <v>-61999.40000000014</v>
      </c>
      <c r="AI10" s="382">
        <f t="shared" si="6"/>
        <v>16429.291999999987</v>
      </c>
    </row>
    <row r="11" spans="1:35" s="64" customFormat="1">
      <c r="A11" s="51" t="s">
        <v>84</v>
      </c>
      <c r="B11" s="46">
        <f>VLOOKUP($A$4:$A$30,'Anuid PF'!$A$5:$G$31,6,)</f>
        <v>230979.35</v>
      </c>
      <c r="C11" s="47">
        <f>VLOOKUP($A$4:$A$30,'Anuid PJ'!$A$5:$E$31,5,)</f>
        <v>20060.740000000002</v>
      </c>
      <c r="D11" s="48">
        <f>JAN!C12</f>
        <v>23181.047999999995</v>
      </c>
      <c r="E11" s="48">
        <f>JAN!E12</f>
        <v>2837.6800000000003</v>
      </c>
      <c r="F11" s="48">
        <f>FEV!C12</f>
        <v>29789.40800000001</v>
      </c>
      <c r="G11" s="48">
        <f>FEV!E12</f>
        <v>2749.1439999999989</v>
      </c>
      <c r="H11" s="48">
        <f>MAR!C12</f>
        <v>28355.552000000003</v>
      </c>
      <c r="I11" s="48">
        <f>MAR!E12</f>
        <v>5766.424</v>
      </c>
      <c r="J11" s="48">
        <f>ABR!C12</f>
        <v>16189.800000000001</v>
      </c>
      <c r="K11" s="48">
        <f>ABR!E12</f>
        <v>3926.288</v>
      </c>
      <c r="L11" s="48">
        <f>MAI!C12</f>
        <v>17392.16</v>
      </c>
      <c r="M11" s="48">
        <f>MAI!E12</f>
        <v>1266.3920000000001</v>
      </c>
      <c r="N11" s="48">
        <f>JUN!C12</f>
        <v>15633.576000000001</v>
      </c>
      <c r="O11" s="48">
        <f>JUN!E12</f>
        <v>3340.7680000000009</v>
      </c>
      <c r="P11" s="48">
        <f>JUL!C12</f>
        <v>14686.111999999988</v>
      </c>
      <c r="Q11" s="48">
        <f>JUL!E12</f>
        <v>2738.2000000000003</v>
      </c>
      <c r="R11" s="48">
        <f>AGO!C12</f>
        <v>24432.695999999996</v>
      </c>
      <c r="S11" s="48">
        <f>AGO!E12</f>
        <v>1700.3919999999985</v>
      </c>
      <c r="T11" s="48">
        <f>SET!C12</f>
        <v>16443.856000000007</v>
      </c>
      <c r="U11" s="48">
        <f>SET!E12</f>
        <v>2398.96</v>
      </c>
      <c r="V11" s="48">
        <f>OUT!C12</f>
        <v>0</v>
      </c>
      <c r="W11" s="48">
        <f>OUT!E12</f>
        <v>0</v>
      </c>
      <c r="X11" s="48">
        <f>NOV!C12</f>
        <v>0</v>
      </c>
      <c r="Y11" s="48">
        <f>NOV!E12</f>
        <v>0</v>
      </c>
      <c r="Z11" s="48">
        <f>DEZ!C12</f>
        <v>0</v>
      </c>
      <c r="AA11" s="48">
        <f>DEZ!E12</f>
        <v>0</v>
      </c>
      <c r="AB11" s="380">
        <f t="shared" si="2"/>
        <v>186104.20799999998</v>
      </c>
      <c r="AC11" s="381">
        <f t="shared" si="2"/>
        <v>26724.248</v>
      </c>
      <c r="AD11" s="49">
        <f t="shared" si="3"/>
        <v>0.80571794837936805</v>
      </c>
      <c r="AE11" s="50">
        <f t="shared" si="3"/>
        <v>1.3321666100054135</v>
      </c>
      <c r="AF11" s="380">
        <f t="shared" si="5"/>
        <v>44875.142000000022</v>
      </c>
      <c r="AG11" s="381">
        <f t="shared" si="4"/>
        <v>0</v>
      </c>
      <c r="AH11" s="382">
        <f t="shared" si="6"/>
        <v>44875.142000000022</v>
      </c>
      <c r="AI11" s="382">
        <f t="shared" si="6"/>
        <v>-6663.507999999998</v>
      </c>
    </row>
    <row r="12" spans="1:35" s="64" customFormat="1">
      <c r="A12" s="51" t="s">
        <v>85</v>
      </c>
      <c r="B12" s="46">
        <f>VLOOKUP($A$4:$A$30,'Anuid PF'!$A$5:$G$31,6,)</f>
        <v>317093.52</v>
      </c>
      <c r="C12" s="47">
        <f>VLOOKUP($A$4:$A$30,'Anuid PJ'!$A$5:$E$31,5,)</f>
        <v>111529.82</v>
      </c>
      <c r="D12" s="48">
        <f>JAN!C13</f>
        <v>33011.752</v>
      </c>
      <c r="E12" s="48">
        <f>JAN!E13</f>
        <v>7602.4080000000004</v>
      </c>
      <c r="F12" s="48">
        <f>FEV!C13</f>
        <v>33891.439999999995</v>
      </c>
      <c r="G12" s="48">
        <f>FEV!E13</f>
        <v>6025.7600000000011</v>
      </c>
      <c r="H12" s="48">
        <f>MAR!C13</f>
        <v>39958.480000000003</v>
      </c>
      <c r="I12" s="48">
        <f>MAR!E13</f>
        <v>10226.040000000001</v>
      </c>
      <c r="J12" s="48">
        <f>ABR!C13</f>
        <v>29428.112000000001</v>
      </c>
      <c r="K12" s="48">
        <f>ABR!E13</f>
        <v>4824.1040000000003</v>
      </c>
      <c r="L12" s="48">
        <f>MAI!C13</f>
        <v>30644.144</v>
      </c>
      <c r="M12" s="48">
        <f>MAI!E13</f>
        <v>1677.5439999999999</v>
      </c>
      <c r="N12" s="48">
        <f>JUN!C13</f>
        <v>29775.192000000017</v>
      </c>
      <c r="O12" s="48">
        <f>JUN!E13</f>
        <v>5580.6639999999998</v>
      </c>
      <c r="P12" s="48">
        <f>JUL!C13</f>
        <v>43371.728000000003</v>
      </c>
      <c r="Q12" s="48">
        <f>JUL!E13</f>
        <v>3860.9759999999997</v>
      </c>
      <c r="R12" s="48">
        <f>AGO!C13</f>
        <v>70162.439999999988</v>
      </c>
      <c r="S12" s="48">
        <f>AGO!E13</f>
        <v>3350.6560000000027</v>
      </c>
      <c r="T12" s="48">
        <f>SET!C13</f>
        <v>57500.592000000004</v>
      </c>
      <c r="U12" s="48">
        <f>SET!E13</f>
        <v>4882.6879999999992</v>
      </c>
      <c r="V12" s="48">
        <f>OUT!C13</f>
        <v>0</v>
      </c>
      <c r="W12" s="48">
        <f>OUT!E13</f>
        <v>0</v>
      </c>
      <c r="X12" s="48">
        <f>NOV!C13</f>
        <v>0</v>
      </c>
      <c r="Y12" s="48">
        <f>NOV!E13</f>
        <v>0</v>
      </c>
      <c r="Z12" s="48">
        <f>DEZ!C13</f>
        <v>0</v>
      </c>
      <c r="AA12" s="48">
        <f>DEZ!E13</f>
        <v>0</v>
      </c>
      <c r="AB12" s="380">
        <f t="shared" si="2"/>
        <v>367743.88</v>
      </c>
      <c r="AC12" s="381">
        <f t="shared" si="2"/>
        <v>48030.840000000004</v>
      </c>
      <c r="AD12" s="49">
        <f t="shared" si="3"/>
        <v>1.1597331916464266</v>
      </c>
      <c r="AE12" s="50">
        <f t="shared" si="3"/>
        <v>0.43065468948125263</v>
      </c>
      <c r="AF12" s="380">
        <f t="shared" si="5"/>
        <v>0</v>
      </c>
      <c r="AG12" s="381">
        <f t="shared" si="4"/>
        <v>63498.98</v>
      </c>
      <c r="AH12" s="382">
        <f t="shared" si="6"/>
        <v>-50650.359999999986</v>
      </c>
      <c r="AI12" s="382">
        <f t="shared" si="6"/>
        <v>63498.98</v>
      </c>
    </row>
    <row r="13" spans="1:35" s="64" customFormat="1">
      <c r="A13" s="53" t="s">
        <v>86</v>
      </c>
      <c r="B13" s="46">
        <f>VLOOKUP($A$4:$A$30,'Anuid PF'!$A$5:$G$31,6,)</f>
        <v>165818.14000000001</v>
      </c>
      <c r="C13" s="47">
        <f>VLOOKUP($A$4:$A$30,'Anuid PJ'!$A$5:$E$31,5,)</f>
        <v>50933.57</v>
      </c>
      <c r="D13" s="48">
        <f>JAN!C14</f>
        <v>8598.5120000000043</v>
      </c>
      <c r="E13" s="48">
        <f>JAN!E14</f>
        <v>1187.9279999999999</v>
      </c>
      <c r="F13" s="48">
        <f>FEV!C14</f>
        <v>14842.480000000005</v>
      </c>
      <c r="G13" s="48">
        <f>FEV!E14</f>
        <v>2153.5439999999999</v>
      </c>
      <c r="H13" s="48">
        <f>MAR!C14</f>
        <v>12652.992</v>
      </c>
      <c r="I13" s="48">
        <f>MAR!E14</f>
        <v>1578.44</v>
      </c>
      <c r="J13" s="48">
        <f>ABR!C14</f>
        <v>7447.44</v>
      </c>
      <c r="K13" s="48">
        <f>ABR!E14</f>
        <v>283.84000000000003</v>
      </c>
      <c r="L13" s="48">
        <f>MAI!C14</f>
        <v>17578.727999999999</v>
      </c>
      <c r="M13" s="48">
        <f>MAI!E14</f>
        <v>2534.92</v>
      </c>
      <c r="N13" s="48">
        <f>JUN!C14</f>
        <v>8488.8640000000014</v>
      </c>
      <c r="O13" s="48">
        <f>JUN!E14</f>
        <v>1708.7360000000001</v>
      </c>
      <c r="P13" s="48">
        <f>JUL!C14</f>
        <v>7720.4640000000072</v>
      </c>
      <c r="Q13" s="48">
        <f>JUL!E14</f>
        <v>683.43200000000002</v>
      </c>
      <c r="R13" s="48">
        <f>AGO!C14</f>
        <v>13310.304000000004</v>
      </c>
      <c r="S13" s="48">
        <f>AGO!E14</f>
        <v>2291.2239999999997</v>
      </c>
      <c r="T13" s="48">
        <f>SET!C14</f>
        <v>6775.2720000000008</v>
      </c>
      <c r="U13" s="48">
        <f>SET!E14</f>
        <v>1217.0880000000002</v>
      </c>
      <c r="V13" s="48">
        <f>OUT!C14</f>
        <v>0</v>
      </c>
      <c r="W13" s="48">
        <f>OUT!E14</f>
        <v>0</v>
      </c>
      <c r="X13" s="48">
        <f>NOV!C14</f>
        <v>0</v>
      </c>
      <c r="Y13" s="48">
        <f>NOV!E14</f>
        <v>0</v>
      </c>
      <c r="Z13" s="48">
        <f>DEZ!C14</f>
        <v>0</v>
      </c>
      <c r="AA13" s="48">
        <f>DEZ!E14</f>
        <v>0</v>
      </c>
      <c r="AB13" s="380">
        <f t="shared" si="2"/>
        <v>97415.056000000026</v>
      </c>
      <c r="AC13" s="381">
        <f t="shared" si="2"/>
        <v>13639.152000000002</v>
      </c>
      <c r="AD13" s="49">
        <f t="shared" si="3"/>
        <v>0.58748129728146758</v>
      </c>
      <c r="AE13" s="50">
        <f t="shared" si="3"/>
        <v>0.26778315362539878</v>
      </c>
      <c r="AF13" s="380">
        <f t="shared" si="5"/>
        <v>68403.083999999988</v>
      </c>
      <c r="AG13" s="381">
        <f t="shared" si="4"/>
        <v>37294.417999999998</v>
      </c>
      <c r="AH13" s="382">
        <f t="shared" si="6"/>
        <v>68403.083999999988</v>
      </c>
      <c r="AI13" s="382">
        <f t="shared" si="6"/>
        <v>37294.417999999998</v>
      </c>
    </row>
    <row r="14" spans="1:35" s="64" customFormat="1">
      <c r="A14" s="52" t="s">
        <v>87</v>
      </c>
      <c r="B14" s="46">
        <f>VLOOKUP($A$4:$A$30,'Anuid PF'!$A$5:$G$31,6,)</f>
        <v>167836.07</v>
      </c>
      <c r="C14" s="47">
        <f>VLOOKUP($A$4:$A$30,'Anuid PJ'!$A$5:$E$31,5,)</f>
        <v>58593.32</v>
      </c>
      <c r="D14" s="48">
        <f>JAN!C15</f>
        <v>24164.480000000007</v>
      </c>
      <c r="E14" s="48">
        <f>JAN!E15</f>
        <v>5388.68</v>
      </c>
      <c r="F14" s="48">
        <f>FEV!C15</f>
        <v>18992</v>
      </c>
      <c r="G14" s="48">
        <f>FEV!E15</f>
        <v>5913.44</v>
      </c>
      <c r="H14" s="48">
        <f>MAR!C15</f>
        <v>24922.904000000002</v>
      </c>
      <c r="I14" s="48">
        <f>MAR!E15</f>
        <v>3148.9680000000003</v>
      </c>
      <c r="J14" s="48">
        <f>ABR!C15</f>
        <v>15448.992000000002</v>
      </c>
      <c r="K14" s="48">
        <f>ABR!E15</f>
        <v>6540.2720000000008</v>
      </c>
      <c r="L14" s="48">
        <f>MAI!C15</f>
        <v>15437.951999999999</v>
      </c>
      <c r="M14" s="48">
        <f>MAI!E15</f>
        <v>2813.6960000000004</v>
      </c>
      <c r="N14" s="48">
        <f>JUN!C15</f>
        <v>15653.26399999999</v>
      </c>
      <c r="O14" s="48">
        <f>JUN!E15</f>
        <v>1567.8640000000005</v>
      </c>
      <c r="P14" s="48">
        <f>JUL!C15</f>
        <v>13205.039999999992</v>
      </c>
      <c r="Q14" s="48">
        <f>JUL!E15</f>
        <v>2140.12</v>
      </c>
      <c r="R14" s="48">
        <f>AGO!C15</f>
        <v>13494.984000000004</v>
      </c>
      <c r="S14" s="48">
        <f>AGO!E15</f>
        <v>2055.0240000000022</v>
      </c>
      <c r="T14" s="48">
        <f>SET!C15</f>
        <v>13386.864000000001</v>
      </c>
      <c r="U14" s="48">
        <f>SET!E15</f>
        <v>1725.6159999999975</v>
      </c>
      <c r="V14" s="48">
        <f>OUT!C15</f>
        <v>0</v>
      </c>
      <c r="W14" s="48">
        <f>OUT!E15</f>
        <v>0</v>
      </c>
      <c r="X14" s="48">
        <f>NOV!C15</f>
        <v>0</v>
      </c>
      <c r="Y14" s="48">
        <f>NOV!E15</f>
        <v>0</v>
      </c>
      <c r="Z14" s="48">
        <f>DEZ!C15</f>
        <v>0</v>
      </c>
      <c r="AA14" s="48">
        <f>DEZ!E15</f>
        <v>0</v>
      </c>
      <c r="AB14" s="380">
        <f t="shared" si="2"/>
        <v>154706.48000000001</v>
      </c>
      <c r="AC14" s="381">
        <f t="shared" si="2"/>
        <v>31293.68</v>
      </c>
      <c r="AD14" s="49">
        <f t="shared" si="3"/>
        <v>0.92177134509882175</v>
      </c>
      <c r="AE14" s="50">
        <f t="shared" si="3"/>
        <v>0.534082724788423</v>
      </c>
      <c r="AF14" s="380">
        <f t="shared" si="5"/>
        <v>13129.589999999997</v>
      </c>
      <c r="AG14" s="381">
        <f t="shared" si="4"/>
        <v>27299.64</v>
      </c>
      <c r="AH14" s="382">
        <f t="shared" si="6"/>
        <v>13129.589999999997</v>
      </c>
      <c r="AI14" s="382">
        <f t="shared" si="6"/>
        <v>27299.64</v>
      </c>
    </row>
    <row r="15" spans="1:35" s="64" customFormat="1">
      <c r="A15" s="51" t="s">
        <v>88</v>
      </c>
      <c r="B15" s="46">
        <f>VLOOKUP($A$4:$A$30,'Anuid PF'!$A$5:$G$31,6,)</f>
        <v>293680.92</v>
      </c>
      <c r="C15" s="47">
        <f>VLOOKUP($A$4:$A$30,'Anuid PJ'!$A$5:$E$31,5,)</f>
        <v>64930.83</v>
      </c>
      <c r="D15" s="48">
        <f>JAN!C16</f>
        <v>27042.232000000004</v>
      </c>
      <c r="E15" s="48">
        <f>JAN!E16</f>
        <v>5973.1440000000002</v>
      </c>
      <c r="F15" s="48">
        <f>FEV!C16</f>
        <v>29419.695999999996</v>
      </c>
      <c r="G15" s="48">
        <f>FEV!E16</f>
        <v>5558.68</v>
      </c>
      <c r="H15" s="48">
        <f>MAR!C16</f>
        <v>33284.455999999998</v>
      </c>
      <c r="I15" s="48">
        <f>MAR!E16</f>
        <v>2647.9279999999999</v>
      </c>
      <c r="J15" s="48">
        <f>ABR!C16</f>
        <v>22258.296000000002</v>
      </c>
      <c r="K15" s="48">
        <f>ABR!E16</f>
        <v>9229.344000000001</v>
      </c>
      <c r="L15" s="48">
        <f>MAI!C16</f>
        <v>23924.04</v>
      </c>
      <c r="M15" s="48">
        <f>MAI!E16</f>
        <v>4961.7360000000008</v>
      </c>
      <c r="N15" s="48">
        <f>JUN!C16</f>
        <v>20206.424000000014</v>
      </c>
      <c r="O15" s="48">
        <f>JUN!E16</f>
        <v>9111.3040000000019</v>
      </c>
      <c r="P15" s="48">
        <f>JUL!C16</f>
        <v>20391.280000000006</v>
      </c>
      <c r="Q15" s="48">
        <f>JUL!E16</f>
        <v>5051.800000000002</v>
      </c>
      <c r="R15" s="48">
        <f>AGO!C16</f>
        <v>27745.664000000004</v>
      </c>
      <c r="S15" s="48">
        <f>AGO!E16</f>
        <v>3818.0880000000006</v>
      </c>
      <c r="T15" s="48">
        <f>SET!C16</f>
        <v>17887.271999999997</v>
      </c>
      <c r="U15" s="48">
        <f>SET!E16</f>
        <v>9450.9760000000006</v>
      </c>
      <c r="V15" s="48">
        <f>OUT!C16</f>
        <v>0</v>
      </c>
      <c r="W15" s="48">
        <f>OUT!E16</f>
        <v>0</v>
      </c>
      <c r="X15" s="48">
        <f>NOV!C16</f>
        <v>0</v>
      </c>
      <c r="Y15" s="48">
        <f>NOV!E16</f>
        <v>0</v>
      </c>
      <c r="Z15" s="48">
        <f>DEZ!C16</f>
        <v>0</v>
      </c>
      <c r="AA15" s="48">
        <f>DEZ!E16</f>
        <v>0</v>
      </c>
      <c r="AB15" s="380">
        <f t="shared" si="2"/>
        <v>222159.36000000004</v>
      </c>
      <c r="AC15" s="381">
        <f t="shared" si="2"/>
        <v>55803.000000000015</v>
      </c>
      <c r="AD15" s="49">
        <f t="shared" si="3"/>
        <v>0.75646507781302252</v>
      </c>
      <c r="AE15" s="50">
        <f t="shared" si="3"/>
        <v>0.8594222498002877</v>
      </c>
      <c r="AF15" s="380">
        <f t="shared" si="5"/>
        <v>71521.559999999939</v>
      </c>
      <c r="AG15" s="381">
        <f t="shared" si="4"/>
        <v>9127.8299999999872</v>
      </c>
      <c r="AH15" s="382">
        <f t="shared" ref="AH15:AH30" si="7">B15-AB15</f>
        <v>71521.559999999939</v>
      </c>
      <c r="AI15" s="382">
        <f t="shared" ref="AI15:AI30" si="8">C15-AC15</f>
        <v>9127.8299999999872</v>
      </c>
    </row>
    <row r="16" spans="1:35" s="64" customFormat="1">
      <c r="A16" s="51" t="s">
        <v>89</v>
      </c>
      <c r="B16" s="46">
        <f>VLOOKUP($A$4:$A$30,'Anuid PF'!$A$5:$G$31,6,)</f>
        <v>723080.07</v>
      </c>
      <c r="C16" s="47">
        <f>VLOOKUP($A$4:$A$30,'Anuid PJ'!$A$5:$E$31,5,)</f>
        <v>109991.88</v>
      </c>
      <c r="D16" s="48">
        <f>JAN!C17</f>
        <v>111609.44</v>
      </c>
      <c r="E16" s="48">
        <f>JAN!E17</f>
        <v>15688.647999999999</v>
      </c>
      <c r="F16" s="48">
        <f>FEV!C17</f>
        <v>119723.60800000001</v>
      </c>
      <c r="G16" s="48">
        <f>FEV!E17</f>
        <v>26778.776000000002</v>
      </c>
      <c r="H16" s="48">
        <f>MAR!C17</f>
        <v>172165.44</v>
      </c>
      <c r="I16" s="48">
        <f>MAR!E17</f>
        <v>24738.736000000001</v>
      </c>
      <c r="J16" s="48">
        <f>ABR!C17</f>
        <v>115499.8</v>
      </c>
      <c r="K16" s="48">
        <f>ABR!E17</f>
        <v>17481.655999999999</v>
      </c>
      <c r="L16" s="48">
        <f>MAI!C17</f>
        <v>107947.51200000002</v>
      </c>
      <c r="M16" s="48">
        <f>MAI!E17</f>
        <v>16732.816000000003</v>
      </c>
      <c r="N16" s="48">
        <f>JUN!C17</f>
        <v>94902.296000000002</v>
      </c>
      <c r="O16" s="48">
        <f>JUN!E17</f>
        <v>19942.152000000002</v>
      </c>
      <c r="P16" s="48">
        <f>JUL!C17</f>
        <v>83044.431999999986</v>
      </c>
      <c r="Q16" s="48">
        <f>JUL!E17</f>
        <v>19959.04</v>
      </c>
      <c r="R16" s="48">
        <f>AGO!C17</f>
        <v>91492.895999999979</v>
      </c>
      <c r="S16" s="48">
        <f>AGO!E17</f>
        <v>21787.335999999999</v>
      </c>
      <c r="T16" s="48">
        <f>SET!C17</f>
        <v>59657.088000000018</v>
      </c>
      <c r="U16" s="48">
        <f>SET!E17</f>
        <v>12731.887999999999</v>
      </c>
      <c r="V16" s="48">
        <f>OUT!C17</f>
        <v>0</v>
      </c>
      <c r="W16" s="48">
        <f>OUT!E17</f>
        <v>0</v>
      </c>
      <c r="X16" s="48">
        <f>NOV!C17</f>
        <v>0</v>
      </c>
      <c r="Y16" s="48">
        <f>NOV!E17</f>
        <v>0</v>
      </c>
      <c r="Z16" s="48">
        <f>DEZ!C17</f>
        <v>0</v>
      </c>
      <c r="AA16" s="48">
        <f>DEZ!E17</f>
        <v>0</v>
      </c>
      <c r="AB16" s="380">
        <f t="shared" si="2"/>
        <v>956042.51199999999</v>
      </c>
      <c r="AC16" s="381">
        <f t="shared" si="2"/>
        <v>175841.04800000004</v>
      </c>
      <c r="AD16" s="49">
        <f t="shared" si="3"/>
        <v>1.3221806984667688</v>
      </c>
      <c r="AE16" s="50">
        <f t="shared" si="3"/>
        <v>1.5986729929518437</v>
      </c>
      <c r="AF16" s="380">
        <f t="shared" si="5"/>
        <v>0</v>
      </c>
      <c r="AG16" s="381">
        <f t="shared" si="4"/>
        <v>0</v>
      </c>
      <c r="AH16" s="382">
        <f t="shared" si="7"/>
        <v>-232962.44200000004</v>
      </c>
      <c r="AI16" s="382">
        <f t="shared" si="8"/>
        <v>-65849.168000000034</v>
      </c>
    </row>
    <row r="17" spans="1:35" s="64" customFormat="1">
      <c r="A17" s="51" t="s">
        <v>90</v>
      </c>
      <c r="B17" s="46">
        <f>VLOOKUP($A$4:$A$30,'Anuid PF'!$A$5:$G$31,6,)</f>
        <v>309741.52</v>
      </c>
      <c r="C17" s="47">
        <f>VLOOKUP($A$4:$A$30,'Anuid PJ'!$A$5:$E$31,5,)</f>
        <v>38300.33</v>
      </c>
      <c r="D17" s="48">
        <f>JAN!C18</f>
        <v>19167.431999999997</v>
      </c>
      <c r="E17" s="48">
        <f>JAN!E18</f>
        <v>1310.6240000000003</v>
      </c>
      <c r="F17" s="48">
        <f>FEV!C18</f>
        <v>21845.207999999984</v>
      </c>
      <c r="G17" s="48">
        <f>FEV!E18</f>
        <v>2245.7919999999999</v>
      </c>
      <c r="H17" s="48">
        <f>MAR!C18</f>
        <v>23358.616000000002</v>
      </c>
      <c r="I17" s="48">
        <f>MAR!E18</f>
        <v>2591.4960000000001</v>
      </c>
      <c r="J17" s="48">
        <f>ABR!C18</f>
        <v>16920.727999999999</v>
      </c>
      <c r="K17" s="48">
        <f>ABR!E18</f>
        <v>2613.4639999999999</v>
      </c>
      <c r="L17" s="48">
        <f>MAI!C18</f>
        <v>20652.312000000002</v>
      </c>
      <c r="M17" s="48">
        <f>MAI!E18</f>
        <v>1918.8560000000002</v>
      </c>
      <c r="N17" s="48">
        <f>JUN!C18</f>
        <v>19844.808000000008</v>
      </c>
      <c r="O17" s="48">
        <f>JUN!E18</f>
        <v>2517.2800000000002</v>
      </c>
      <c r="P17" s="48">
        <f>JUL!C18</f>
        <v>15526.791999999994</v>
      </c>
      <c r="Q17" s="48">
        <f>JUL!E18</f>
        <v>1962.2480000000005</v>
      </c>
      <c r="R17" s="48">
        <f>AGO!C18</f>
        <v>13231.624000000005</v>
      </c>
      <c r="S17" s="48">
        <f>AGO!E18</f>
        <v>1943.8240000000005</v>
      </c>
      <c r="T17" s="48">
        <f>SET!C18</f>
        <v>12787.616000000004</v>
      </c>
      <c r="U17" s="48">
        <f>SET!E18</f>
        <v>743.00799999999947</v>
      </c>
      <c r="V17" s="48">
        <f>OUT!C18</f>
        <v>0</v>
      </c>
      <c r="W17" s="48">
        <f>OUT!E18</f>
        <v>0</v>
      </c>
      <c r="X17" s="48">
        <f>NOV!C18</f>
        <v>0</v>
      </c>
      <c r="Y17" s="48">
        <f>NOV!E18</f>
        <v>0</v>
      </c>
      <c r="Z17" s="48">
        <f>DEZ!C18</f>
        <v>0</v>
      </c>
      <c r="AA17" s="48">
        <f>DEZ!E18</f>
        <v>0</v>
      </c>
      <c r="AB17" s="380">
        <f t="shared" si="2"/>
        <v>163335.136</v>
      </c>
      <c r="AC17" s="381">
        <f t="shared" si="2"/>
        <v>17846.592000000001</v>
      </c>
      <c r="AD17" s="49">
        <f t="shared" si="3"/>
        <v>0.52732722432562473</v>
      </c>
      <c r="AE17" s="50">
        <f t="shared" si="3"/>
        <v>0.4659644446927742</v>
      </c>
      <c r="AF17" s="380">
        <f t="shared" si="5"/>
        <v>146406.38400000002</v>
      </c>
      <c r="AG17" s="381">
        <f t="shared" si="4"/>
        <v>20453.738000000001</v>
      </c>
      <c r="AH17" s="382">
        <f t="shared" si="7"/>
        <v>146406.38400000002</v>
      </c>
      <c r="AI17" s="382">
        <f t="shared" si="8"/>
        <v>20453.738000000001</v>
      </c>
    </row>
    <row r="18" spans="1:35" s="64" customFormat="1">
      <c r="A18" s="51" t="s">
        <v>91</v>
      </c>
      <c r="B18" s="46">
        <f>VLOOKUP($A$4:$A$30,'Anuid PF'!$A$5:$G$31,6,)</f>
        <v>273180.46000000002</v>
      </c>
      <c r="C18" s="47">
        <f>VLOOKUP($A$4:$A$30,'Anuid PJ'!$A$5:$E$31,5,)</f>
        <v>28773.33</v>
      </c>
      <c r="D18" s="48">
        <f>JAN!C19</f>
        <v>22427.247999999992</v>
      </c>
      <c r="E18" s="48">
        <f>JAN!E19</f>
        <v>3750.0239999999999</v>
      </c>
      <c r="F18" s="48">
        <f>FEV!C19</f>
        <v>27811.008000000009</v>
      </c>
      <c r="G18" s="48">
        <f>FEV!E19</f>
        <v>4714.9039999999995</v>
      </c>
      <c r="H18" s="48">
        <f>MAR!C19</f>
        <v>39497.448000000004</v>
      </c>
      <c r="I18" s="48">
        <f>MAR!E19</f>
        <v>7264.4320000000007</v>
      </c>
      <c r="J18" s="48">
        <f>ABR!C19</f>
        <v>23121.4</v>
      </c>
      <c r="K18" s="48">
        <f>ABR!E19</f>
        <v>2089.8880000000004</v>
      </c>
      <c r="L18" s="48">
        <f>MAI!C19</f>
        <v>25568.616000000002</v>
      </c>
      <c r="M18" s="48">
        <f>MAI!E19</f>
        <v>1585.5200000000002</v>
      </c>
      <c r="N18" s="48">
        <f>JUN!C19</f>
        <v>23840.76</v>
      </c>
      <c r="O18" s="48">
        <f>JUN!E19</f>
        <v>1796.576</v>
      </c>
      <c r="P18" s="48">
        <f>JUL!C19</f>
        <v>20070.351999999992</v>
      </c>
      <c r="Q18" s="48">
        <f>JUL!E19</f>
        <v>3249.6000000000004</v>
      </c>
      <c r="R18" s="48">
        <f>AGO!C19</f>
        <v>26234.407999999996</v>
      </c>
      <c r="S18" s="48">
        <f>AGO!E19</f>
        <v>3371.1920000000009</v>
      </c>
      <c r="T18" s="48">
        <f>SET!C19</f>
        <v>25361.056</v>
      </c>
      <c r="U18" s="48">
        <f>SET!E19</f>
        <v>5996.3600000000006</v>
      </c>
      <c r="V18" s="48">
        <f>OUT!C19</f>
        <v>0</v>
      </c>
      <c r="W18" s="48">
        <f>OUT!E19</f>
        <v>0</v>
      </c>
      <c r="X18" s="48">
        <f>NOV!C19</f>
        <v>0</v>
      </c>
      <c r="Y18" s="48">
        <f>NOV!E19</f>
        <v>0</v>
      </c>
      <c r="Z18" s="48">
        <f>DEZ!C19</f>
        <v>0</v>
      </c>
      <c r="AA18" s="48">
        <f>DEZ!E19</f>
        <v>0</v>
      </c>
      <c r="AB18" s="380">
        <f t="shared" si="2"/>
        <v>233932.296</v>
      </c>
      <c r="AC18" s="381">
        <f t="shared" si="2"/>
        <v>33818.496000000006</v>
      </c>
      <c r="AD18" s="49">
        <f t="shared" si="3"/>
        <v>0.856328801847687</v>
      </c>
      <c r="AE18" s="50">
        <f t="shared" si="3"/>
        <v>1.1753417487652631</v>
      </c>
      <c r="AF18" s="380">
        <f t="shared" si="5"/>
        <v>39248.164000000019</v>
      </c>
      <c r="AG18" s="381">
        <f t="shared" si="4"/>
        <v>0</v>
      </c>
      <c r="AH18" s="382">
        <f t="shared" si="7"/>
        <v>39248.164000000019</v>
      </c>
      <c r="AI18" s="382">
        <f t="shared" si="8"/>
        <v>-5045.1660000000047</v>
      </c>
    </row>
    <row r="19" spans="1:35" s="64" customFormat="1">
      <c r="A19" s="52" t="s">
        <v>92</v>
      </c>
      <c r="B19" s="46">
        <f>VLOOKUP($A$4:$A$30,'Anuid PF'!$A$5:$G$31,6,)</f>
        <v>867607.55</v>
      </c>
      <c r="C19" s="47">
        <f>VLOOKUP($A$4:$A$30,'Anuid PJ'!$A$5:$E$31,5,)</f>
        <v>185014.2</v>
      </c>
      <c r="D19" s="48">
        <f>JAN!C20</f>
        <v>75913.848000000056</v>
      </c>
      <c r="E19" s="48">
        <f>JAN!E20</f>
        <v>17315.824000000001</v>
      </c>
      <c r="F19" s="48">
        <f>FEV!C20</f>
        <v>110487.46399999998</v>
      </c>
      <c r="G19" s="48">
        <f>FEV!E20</f>
        <v>23697.528000000002</v>
      </c>
      <c r="H19" s="48">
        <f>MAR!C20</f>
        <v>113339.23200000002</v>
      </c>
      <c r="I19" s="48">
        <f>MAR!E20</f>
        <v>27291.896000000004</v>
      </c>
      <c r="J19" s="48">
        <f>ABR!C20</f>
        <v>70059.26400000001</v>
      </c>
      <c r="K19" s="48">
        <f>ABR!E20</f>
        <v>12931.567999999999</v>
      </c>
      <c r="L19" s="48">
        <f>MAI!C20</f>
        <v>69937.831999999995</v>
      </c>
      <c r="M19" s="48">
        <f>MAI!E20</f>
        <v>17452.52</v>
      </c>
      <c r="N19" s="48">
        <f>JUN!C20</f>
        <v>58783.287999999993</v>
      </c>
      <c r="O19" s="48">
        <f>JUN!E20</f>
        <v>13625.696</v>
      </c>
      <c r="P19" s="48">
        <f>JUL!C20</f>
        <v>50937.808000000012</v>
      </c>
      <c r="Q19" s="48">
        <f>JUL!E20</f>
        <v>20774.943999999996</v>
      </c>
      <c r="R19" s="48">
        <f>AGO!C20</f>
        <v>55525.936000000016</v>
      </c>
      <c r="S19" s="48">
        <f>AGO!E20</f>
        <v>25729.479999999996</v>
      </c>
      <c r="T19" s="48">
        <f>SET!C20</f>
        <v>37285.496000000006</v>
      </c>
      <c r="U19" s="48">
        <f>SET!E20</f>
        <v>12346.936000000005</v>
      </c>
      <c r="V19" s="48">
        <f>OUT!C20</f>
        <v>0</v>
      </c>
      <c r="W19" s="48">
        <f>OUT!E20</f>
        <v>0</v>
      </c>
      <c r="X19" s="48">
        <f>NOV!C20</f>
        <v>0</v>
      </c>
      <c r="Y19" s="48">
        <f>NOV!E20</f>
        <v>0</v>
      </c>
      <c r="Z19" s="48">
        <f>DEZ!C20</f>
        <v>0</v>
      </c>
      <c r="AA19" s="48">
        <f>DEZ!E20</f>
        <v>0</v>
      </c>
      <c r="AB19" s="380">
        <f t="shared" si="2"/>
        <v>642270.16800000006</v>
      </c>
      <c r="AC19" s="381">
        <f t="shared" si="2"/>
        <v>171166.39200000002</v>
      </c>
      <c r="AD19" s="49">
        <f t="shared" si="3"/>
        <v>0.74027729242328522</v>
      </c>
      <c r="AE19" s="50">
        <f t="shared" si="3"/>
        <v>0.92515272881757193</v>
      </c>
      <c r="AF19" s="380">
        <f t="shared" si="5"/>
        <v>225337.38199999998</v>
      </c>
      <c r="AG19" s="381">
        <f t="shared" si="4"/>
        <v>13847.80799999999</v>
      </c>
      <c r="AH19" s="382">
        <f t="shared" si="7"/>
        <v>225337.38199999998</v>
      </c>
      <c r="AI19" s="382">
        <f t="shared" si="8"/>
        <v>13847.80799999999</v>
      </c>
    </row>
    <row r="20" spans="1:35" s="64" customFormat="1">
      <c r="A20" s="51" t="s">
        <v>93</v>
      </c>
      <c r="B20" s="46">
        <f>VLOOKUP($A$4:$A$30,'Anuid PF'!$A$5:$G$31,6,)</f>
        <v>464660.17</v>
      </c>
      <c r="C20" s="47">
        <f>VLOOKUP($A$4:$A$30,'Anuid PJ'!$A$5:$E$31,5,)</f>
        <v>48179.87</v>
      </c>
      <c r="D20" s="48">
        <f>JAN!C21</f>
        <v>45186.383999999984</v>
      </c>
      <c r="E20" s="48">
        <f>JAN!E21</f>
        <v>7136.4320000000007</v>
      </c>
      <c r="F20" s="48">
        <f>FEV!C21</f>
        <v>50809.495999999999</v>
      </c>
      <c r="G20" s="48">
        <f>FEV!E21</f>
        <v>5938.3999999999987</v>
      </c>
      <c r="H20" s="48">
        <f>MAR!C21</f>
        <v>34278.944000000003</v>
      </c>
      <c r="I20" s="48">
        <f>MAR!E21</f>
        <v>4657.3919999999998</v>
      </c>
      <c r="J20" s="48">
        <f>ABR!C21</f>
        <v>30799.648000000001</v>
      </c>
      <c r="K20" s="48">
        <f>ABR!E21</f>
        <v>5188.6400000000003</v>
      </c>
      <c r="L20" s="48">
        <f>MAI!C21</f>
        <v>45471.288</v>
      </c>
      <c r="M20" s="48">
        <f>MAI!E21</f>
        <v>2596.4240000000004</v>
      </c>
      <c r="N20" s="48">
        <f>JUN!C21</f>
        <v>43926.231999999989</v>
      </c>
      <c r="O20" s="48">
        <f>JUN!E21</f>
        <v>7381.5119999999997</v>
      </c>
      <c r="P20" s="48">
        <f>JUL!C21</f>
        <v>25861.935999999987</v>
      </c>
      <c r="Q20" s="48">
        <f>JUL!E21</f>
        <v>3322.9279999999999</v>
      </c>
      <c r="R20" s="48">
        <f>AGO!C21</f>
        <v>27987.312000000002</v>
      </c>
      <c r="S20" s="48">
        <f>AGO!E21</f>
        <v>2416.6880000000006</v>
      </c>
      <c r="T20" s="48">
        <f>SET!C21</f>
        <v>24480.936000000005</v>
      </c>
      <c r="U20" s="48">
        <f>SET!E21</f>
        <v>1967.976000000001</v>
      </c>
      <c r="V20" s="48">
        <f>OUT!C21</f>
        <v>0</v>
      </c>
      <c r="W20" s="48">
        <f>OUT!E21</f>
        <v>0</v>
      </c>
      <c r="X20" s="48">
        <f>NOV!C21</f>
        <v>0</v>
      </c>
      <c r="Y20" s="48">
        <f>NOV!E21</f>
        <v>0</v>
      </c>
      <c r="Z20" s="48">
        <f>DEZ!C21</f>
        <v>0</v>
      </c>
      <c r="AA20" s="48">
        <f>DEZ!E21</f>
        <v>0</v>
      </c>
      <c r="AB20" s="380">
        <f t="shared" si="2"/>
        <v>328802.17599999992</v>
      </c>
      <c r="AC20" s="381">
        <f t="shared" si="2"/>
        <v>40606.392</v>
      </c>
      <c r="AD20" s="49">
        <f t="shared" si="3"/>
        <v>0.70761859360573109</v>
      </c>
      <c r="AE20" s="50">
        <f t="shared" si="3"/>
        <v>0.84280825166194917</v>
      </c>
      <c r="AF20" s="380">
        <f t="shared" si="5"/>
        <v>135857.99400000006</v>
      </c>
      <c r="AG20" s="381">
        <f>IF(C20-AC20&lt;=0,0,C20-AC20)</f>
        <v>7573.4780000000028</v>
      </c>
      <c r="AH20" s="382">
        <f t="shared" si="7"/>
        <v>135857.99400000006</v>
      </c>
      <c r="AI20" s="382">
        <f t="shared" si="8"/>
        <v>7573.4780000000028</v>
      </c>
    </row>
    <row r="21" spans="1:35" s="64" customFormat="1">
      <c r="A21" s="51" t="s">
        <v>94</v>
      </c>
      <c r="B21" s="46">
        <f>VLOOKUP($A$4:$A$30,'Anuid PF'!$A$5:$G$31,6,)</f>
        <v>200000</v>
      </c>
      <c r="C21" s="47">
        <f>VLOOKUP($A$4:$A$30,'Anuid PJ'!$A$5:$E$31,5,)</f>
        <v>45000</v>
      </c>
      <c r="D21" s="48">
        <f>JAN!C22</f>
        <v>8050.8</v>
      </c>
      <c r="E21" s="48">
        <f>JAN!E22</f>
        <v>3014.6080000000002</v>
      </c>
      <c r="F21" s="48">
        <f>FEV!C22</f>
        <v>5731.8799999999937</v>
      </c>
      <c r="G21" s="48">
        <f>FEV!E22</f>
        <v>1226.7600000000002</v>
      </c>
      <c r="H21" s="48">
        <f>MAR!C22</f>
        <v>8351.5679999999993</v>
      </c>
      <c r="I21" s="48">
        <f>MAR!E22</f>
        <v>2142.8240000000001</v>
      </c>
      <c r="J21" s="48">
        <f>ABR!C22</f>
        <v>5110.7839999999997</v>
      </c>
      <c r="K21" s="48">
        <f>ABR!E22</f>
        <v>1410.2240000000002</v>
      </c>
      <c r="L21" s="48">
        <f>MAI!C22</f>
        <v>4931.3600000000006</v>
      </c>
      <c r="M21" s="48">
        <f>MAI!E22</f>
        <v>603.39200000000005</v>
      </c>
      <c r="N21" s="48">
        <f>JUN!C22</f>
        <v>4263.9679999999998</v>
      </c>
      <c r="O21" s="48">
        <f>JUN!E22</f>
        <v>1356.8720000000001</v>
      </c>
      <c r="P21" s="48">
        <f>JUL!C22</f>
        <v>2508.2480000000041</v>
      </c>
      <c r="Q21" s="48">
        <f>JUL!E22</f>
        <v>219.416</v>
      </c>
      <c r="R21" s="48">
        <f>AGO!C22</f>
        <v>7429.5119999999997</v>
      </c>
      <c r="S21" s="48">
        <f>AGO!E22</f>
        <v>2118.559999999999</v>
      </c>
      <c r="T21" s="48">
        <f>SET!C22</f>
        <v>4252.7440000000006</v>
      </c>
      <c r="U21" s="48">
        <f>SET!E22</f>
        <v>835.86400000000003</v>
      </c>
      <c r="V21" s="48">
        <f>OUT!C22</f>
        <v>0</v>
      </c>
      <c r="W21" s="48">
        <f>OUT!E22</f>
        <v>0</v>
      </c>
      <c r="X21" s="48">
        <f>NOV!C22</f>
        <v>0</v>
      </c>
      <c r="Y21" s="48">
        <f>NOV!E22</f>
        <v>0</v>
      </c>
      <c r="Z21" s="48">
        <f>DEZ!C22</f>
        <v>0</v>
      </c>
      <c r="AA21" s="48">
        <f>DEZ!E22</f>
        <v>0</v>
      </c>
      <c r="AB21" s="380">
        <f t="shared" si="2"/>
        <v>50630.864000000001</v>
      </c>
      <c r="AC21" s="381">
        <f t="shared" si="2"/>
        <v>12928.519999999999</v>
      </c>
      <c r="AD21" s="49">
        <f t="shared" si="3"/>
        <v>0.25315431999999999</v>
      </c>
      <c r="AE21" s="50">
        <f t="shared" si="3"/>
        <v>0.28730044444444441</v>
      </c>
      <c r="AF21" s="380">
        <f t="shared" si="5"/>
        <v>149369.136</v>
      </c>
      <c r="AG21" s="381">
        <f>IF(C21-AC21&lt;=0,0,C21-AC21)</f>
        <v>32071.480000000003</v>
      </c>
      <c r="AH21" s="382">
        <f t="shared" si="7"/>
        <v>149369.136</v>
      </c>
      <c r="AI21" s="382">
        <f t="shared" si="8"/>
        <v>32071.480000000003</v>
      </c>
    </row>
    <row r="22" spans="1:35" s="64" customFormat="1">
      <c r="A22" s="51" t="s">
        <v>95</v>
      </c>
      <c r="B22" s="46">
        <f>VLOOKUP($A$4:$A$30,'Anuid PF'!$A$5:$G$31,6,)</f>
        <v>1162226.3400000001</v>
      </c>
      <c r="C22" s="47">
        <f>VLOOKUP($A$4:$A$30,'Anuid PJ'!$A$5:$E$31,5,)</f>
        <v>227054.9</v>
      </c>
      <c r="D22" s="48">
        <f>JAN!C23</f>
        <v>92360.152000000002</v>
      </c>
      <c r="E22" s="48">
        <f>JAN!E23</f>
        <v>20486.864000000001</v>
      </c>
      <c r="F22" s="48">
        <f>FEV!C23</f>
        <v>97922.192000000185</v>
      </c>
      <c r="G22" s="48">
        <f>FEV!E23</f>
        <v>23268.800000000003</v>
      </c>
      <c r="H22" s="48">
        <f>MAR!C23</f>
        <v>104439.77600000001</v>
      </c>
      <c r="I22" s="48">
        <f>MAR!E23</f>
        <v>17732.088</v>
      </c>
      <c r="J22" s="48">
        <f>ABR!C23</f>
        <v>72213.2</v>
      </c>
      <c r="K22" s="48">
        <f>ABR!E23</f>
        <v>7708.4720000000007</v>
      </c>
      <c r="L22" s="48">
        <f>MAI!C23</f>
        <v>77149.736000000004</v>
      </c>
      <c r="M22" s="48">
        <f>MAI!E23</f>
        <v>13079.64</v>
      </c>
      <c r="N22" s="48">
        <f>JUN!C23</f>
        <v>65444.231999999938</v>
      </c>
      <c r="O22" s="48">
        <f>JUN!E23</f>
        <v>8610.4719999999998</v>
      </c>
      <c r="P22" s="48">
        <f>JUL!C23</f>
        <v>62047.472000000023</v>
      </c>
      <c r="Q22" s="48">
        <f>JUL!E23</f>
        <v>10655.016000000007</v>
      </c>
      <c r="R22" s="48">
        <f>AGO!C23</f>
        <v>67534.263999999966</v>
      </c>
      <c r="S22" s="48">
        <f>AGO!E23</f>
        <v>14584.496000000008</v>
      </c>
      <c r="T22" s="48">
        <f>SET!C23</f>
        <v>56911.304000000004</v>
      </c>
      <c r="U22" s="48">
        <f>SET!E23</f>
        <v>9473.5200000000023</v>
      </c>
      <c r="V22" s="48">
        <f>OUT!C23</f>
        <v>0</v>
      </c>
      <c r="W22" s="48">
        <f>OUT!E23</f>
        <v>0</v>
      </c>
      <c r="X22" s="48">
        <f>NOV!C23</f>
        <v>0</v>
      </c>
      <c r="Y22" s="48">
        <f>NOV!E23</f>
        <v>0</v>
      </c>
      <c r="Z22" s="48">
        <f>DEZ!C23</f>
        <v>0</v>
      </c>
      <c r="AA22" s="48">
        <f>DEZ!E23</f>
        <v>0</v>
      </c>
      <c r="AB22" s="380">
        <f t="shared" si="2"/>
        <v>696022.32800000021</v>
      </c>
      <c r="AC22" s="381">
        <f t="shared" si="2"/>
        <v>125599.36800000002</v>
      </c>
      <c r="AD22" s="49">
        <f t="shared" si="3"/>
        <v>0.59886986213029736</v>
      </c>
      <c r="AE22" s="50">
        <f t="shared" si="3"/>
        <v>0.55316739695994233</v>
      </c>
      <c r="AF22" s="380">
        <f t="shared" si="5"/>
        <v>466204.01199999987</v>
      </c>
      <c r="AG22" s="381">
        <f t="shared" si="5"/>
        <v>101455.53199999998</v>
      </c>
      <c r="AH22" s="382">
        <f t="shared" si="7"/>
        <v>466204.01199999987</v>
      </c>
      <c r="AI22" s="382">
        <f t="shared" si="8"/>
        <v>101455.53199999998</v>
      </c>
    </row>
    <row r="23" spans="1:35" s="64" customFormat="1">
      <c r="A23" s="51" t="s">
        <v>96</v>
      </c>
      <c r="B23" s="46">
        <f>VLOOKUP($A$4:$A$30,'Anuid PF'!$A$5:$G$31,6,)</f>
        <v>193603.36</v>
      </c>
      <c r="C23" s="47">
        <f>VLOOKUP($A$4:$A$30,'Anuid PJ'!$A$5:$E$31,5,)</f>
        <v>45000</v>
      </c>
      <c r="D23" s="48">
        <f>JAN!C24</f>
        <v>13076.752000000004</v>
      </c>
      <c r="E23" s="48">
        <f>JAN!E24</f>
        <v>1134.9599999999998</v>
      </c>
      <c r="F23" s="48">
        <f>FEV!C24</f>
        <v>21988.11199999999</v>
      </c>
      <c r="G23" s="48">
        <f>FEV!E24</f>
        <v>2038.0640000000003</v>
      </c>
      <c r="H23" s="48">
        <f>MAR!C24</f>
        <v>22676.648000000001</v>
      </c>
      <c r="I23" s="48">
        <f>MAR!E24</f>
        <v>1899.5919999999999</v>
      </c>
      <c r="J23" s="48">
        <f>ABR!C24</f>
        <v>17679.295999999998</v>
      </c>
      <c r="K23" s="48">
        <f>ABR!E24</f>
        <v>475.01600000000002</v>
      </c>
      <c r="L23" s="48">
        <f>MAI!C24</f>
        <v>14261.536000000002</v>
      </c>
      <c r="M23" s="48">
        <f>MAI!E24</f>
        <v>937.92800000000011</v>
      </c>
      <c r="N23" s="48">
        <f>JUN!C24</f>
        <v>11886.383999999998</v>
      </c>
      <c r="O23" s="48">
        <f>JUN!E24</f>
        <v>1436.2240000000002</v>
      </c>
      <c r="P23" s="48">
        <f>JUL!C24</f>
        <v>9397.5919999999933</v>
      </c>
      <c r="Q23" s="48">
        <f>JUL!E24</f>
        <v>1613.8720000000001</v>
      </c>
      <c r="R23" s="48">
        <f>AGO!C24</f>
        <v>11588.807999999997</v>
      </c>
      <c r="S23" s="48">
        <f>AGO!E24</f>
        <v>1357.1680000000001</v>
      </c>
      <c r="T23" s="48">
        <f>SET!C24</f>
        <v>10501.048000000003</v>
      </c>
      <c r="U23" s="48">
        <f>SET!E24</f>
        <v>1074.2559999999999</v>
      </c>
      <c r="V23" s="48">
        <f>OUT!C24</f>
        <v>0</v>
      </c>
      <c r="W23" s="48">
        <f>OUT!E24</f>
        <v>0</v>
      </c>
      <c r="X23" s="48">
        <f>NOV!C24</f>
        <v>0</v>
      </c>
      <c r="Y23" s="48">
        <f>NOV!E24</f>
        <v>0</v>
      </c>
      <c r="Z23" s="48">
        <f>DEZ!C24</f>
        <v>0</v>
      </c>
      <c r="AA23" s="48">
        <f>DEZ!E24</f>
        <v>0</v>
      </c>
      <c r="AB23" s="380">
        <f t="shared" si="2"/>
        <v>133056.17600000001</v>
      </c>
      <c r="AC23" s="381">
        <f t="shared" si="2"/>
        <v>11967.079999999998</v>
      </c>
      <c r="AD23" s="49">
        <f t="shared" si="3"/>
        <v>0.68726170868108905</v>
      </c>
      <c r="AE23" s="50">
        <f t="shared" si="3"/>
        <v>0.26593511111111107</v>
      </c>
      <c r="AF23" s="380">
        <f t="shared" si="5"/>
        <v>60547.183999999979</v>
      </c>
      <c r="AG23" s="381">
        <f t="shared" si="5"/>
        <v>33032.92</v>
      </c>
      <c r="AH23" s="382">
        <f t="shared" si="7"/>
        <v>60547.183999999979</v>
      </c>
      <c r="AI23" s="382">
        <f t="shared" si="8"/>
        <v>33032.92</v>
      </c>
    </row>
    <row r="24" spans="1:35" s="64" customFormat="1">
      <c r="A24" s="51" t="s">
        <v>97</v>
      </c>
      <c r="B24" s="46">
        <f>VLOOKUP($A$4:$A$30,'Anuid PF'!$A$5:$G$31,6,)</f>
        <v>1698548.27</v>
      </c>
      <c r="C24" s="47">
        <f>VLOOKUP($A$4:$A$30,'Anuid PJ'!$A$5:$E$31,5,)</f>
        <v>45000</v>
      </c>
      <c r="D24" s="48">
        <f>JAN!C25</f>
        <v>124074.58399999999</v>
      </c>
      <c r="E24" s="48">
        <f>JAN!E25</f>
        <v>16190.415999999997</v>
      </c>
      <c r="F24" s="48">
        <f>FEV!C25</f>
        <v>120469.47200000007</v>
      </c>
      <c r="G24" s="48">
        <f>FEV!E25</f>
        <v>35195.887999999999</v>
      </c>
      <c r="H24" s="48">
        <f>MAR!C25</f>
        <v>137496.39199999999</v>
      </c>
      <c r="I24" s="48">
        <f>MAR!E25</f>
        <v>30845.4</v>
      </c>
      <c r="J24" s="48">
        <f>ABR!C25</f>
        <v>81205</v>
      </c>
      <c r="K24" s="48">
        <f>ABR!E25</f>
        <v>17939.935999999998</v>
      </c>
      <c r="L24" s="48">
        <f>MAI!C25</f>
        <v>102612.984</v>
      </c>
      <c r="M24" s="48">
        <f>MAI!E25</f>
        <v>20886.192000000003</v>
      </c>
      <c r="N24" s="48">
        <f>JUN!C25</f>
        <v>99332.463999999978</v>
      </c>
      <c r="O24" s="48">
        <f>JUN!E25</f>
        <v>12524.903999999999</v>
      </c>
      <c r="P24" s="48">
        <f>JUL!C25</f>
        <v>79734.904000000097</v>
      </c>
      <c r="Q24" s="48">
        <f>JUL!E25</f>
        <v>15989.368</v>
      </c>
      <c r="R24" s="48">
        <f>AGO!C25</f>
        <v>85678.391999999978</v>
      </c>
      <c r="S24" s="48">
        <f>AGO!E25</f>
        <v>14353.056000000006</v>
      </c>
      <c r="T24" s="48">
        <f>SET!C25</f>
        <v>81375.695999999996</v>
      </c>
      <c r="U24" s="48">
        <f>SET!E25</f>
        <v>10738.72800000001</v>
      </c>
      <c r="V24" s="48">
        <f>OUT!C25</f>
        <v>0</v>
      </c>
      <c r="W24" s="48">
        <f>OUT!E25</f>
        <v>0</v>
      </c>
      <c r="X24" s="48">
        <f>NOV!C25</f>
        <v>0</v>
      </c>
      <c r="Y24" s="48">
        <f>NOV!E25</f>
        <v>0</v>
      </c>
      <c r="Z24" s="48">
        <f>DEZ!C25</f>
        <v>0</v>
      </c>
      <c r="AA24" s="48">
        <f>DEZ!E25</f>
        <v>0</v>
      </c>
      <c r="AB24" s="380">
        <f t="shared" si="2"/>
        <v>911979.88800000004</v>
      </c>
      <c r="AC24" s="381">
        <f t="shared" si="2"/>
        <v>174663.88800000001</v>
      </c>
      <c r="AD24" s="49">
        <f t="shared" si="3"/>
        <v>0.53691726288120145</v>
      </c>
      <c r="AE24" s="50">
        <f t="shared" si="3"/>
        <v>3.8814197333333333</v>
      </c>
      <c r="AF24" s="380">
        <f t="shared" si="5"/>
        <v>786568.38199999998</v>
      </c>
      <c r="AG24" s="381">
        <f t="shared" si="5"/>
        <v>0</v>
      </c>
      <c r="AH24" s="382">
        <f t="shared" si="7"/>
        <v>786568.38199999998</v>
      </c>
      <c r="AI24" s="382">
        <f t="shared" si="8"/>
        <v>-129663.88800000001</v>
      </c>
    </row>
    <row r="25" spans="1:35" s="64" customFormat="1">
      <c r="A25" s="51" t="s">
        <v>98</v>
      </c>
      <c r="B25" s="46">
        <f>VLOOKUP($A$4:$A$30,'Anuid PF'!$A$5:$G$31,6,)</f>
        <v>76550.48</v>
      </c>
      <c r="C25" s="47">
        <f>VLOOKUP($A$4:$A$30,'Anuid PJ'!$A$5:$E$31,5,)</f>
        <v>19144.309999999998</v>
      </c>
      <c r="D25" s="48">
        <f>JAN!C26</f>
        <v>8707.5120000000024</v>
      </c>
      <c r="E25" s="48">
        <f>JAN!E26</f>
        <v>2109.6320000000001</v>
      </c>
      <c r="F25" s="48">
        <f>FEV!C26</f>
        <v>10929.864000000001</v>
      </c>
      <c r="G25" s="48">
        <f>FEV!E26</f>
        <v>3411.5519999999992</v>
      </c>
      <c r="H25" s="48">
        <f>MAR!C26</f>
        <v>10167.608</v>
      </c>
      <c r="I25" s="48">
        <f>MAR!E26</f>
        <v>2007.9360000000001</v>
      </c>
      <c r="J25" s="48">
        <f>ABR!C26</f>
        <v>15040.512000000001</v>
      </c>
      <c r="K25" s="48">
        <f>ABR!E26</f>
        <v>1973.9840000000002</v>
      </c>
      <c r="L25" s="48">
        <f>MAI!C26</f>
        <v>11613.936</v>
      </c>
      <c r="M25" s="48">
        <f>MAI!E26</f>
        <v>2155.248</v>
      </c>
      <c r="N25" s="48">
        <f>JUN!C26</f>
        <v>5634.0479999999989</v>
      </c>
      <c r="O25" s="48">
        <f>JUN!E26</f>
        <v>2814.9120000000003</v>
      </c>
      <c r="P25" s="48">
        <f>JUL!C26</f>
        <v>5106.2880000000005</v>
      </c>
      <c r="Q25" s="48">
        <f>JUL!E26</f>
        <v>2167.88</v>
      </c>
      <c r="R25" s="48">
        <f>AGO!C26</f>
        <v>10729.375999999998</v>
      </c>
      <c r="S25" s="48">
        <f>AGO!E26</f>
        <v>1481.2079999999999</v>
      </c>
      <c r="T25" s="48">
        <f>SET!C26</f>
        <v>17595.128000000004</v>
      </c>
      <c r="U25" s="48">
        <f>SET!E26</f>
        <v>3253.0080000000012</v>
      </c>
      <c r="V25" s="48">
        <f>OUT!C26</f>
        <v>0</v>
      </c>
      <c r="W25" s="48">
        <f>OUT!E26</f>
        <v>0</v>
      </c>
      <c r="X25" s="48">
        <f>NOV!C26</f>
        <v>0</v>
      </c>
      <c r="Y25" s="48">
        <f>NOV!E26</f>
        <v>0</v>
      </c>
      <c r="Z25" s="48">
        <f>DEZ!C26</f>
        <v>0</v>
      </c>
      <c r="AA25" s="48">
        <f>DEZ!E26</f>
        <v>0</v>
      </c>
      <c r="AB25" s="380">
        <f t="shared" si="2"/>
        <v>95524.272000000026</v>
      </c>
      <c r="AC25" s="381">
        <f t="shared" si="2"/>
        <v>21375.360000000001</v>
      </c>
      <c r="AD25" s="49">
        <f t="shared" si="3"/>
        <v>1.2478598697225678</v>
      </c>
      <c r="AE25" s="50">
        <f t="shared" si="3"/>
        <v>1.116538543306079</v>
      </c>
      <c r="AF25" s="380">
        <f t="shared" si="5"/>
        <v>0</v>
      </c>
      <c r="AG25" s="381">
        <f t="shared" si="5"/>
        <v>0</v>
      </c>
      <c r="AH25" s="382">
        <f t="shared" si="7"/>
        <v>-18973.79200000003</v>
      </c>
      <c r="AI25" s="382">
        <f t="shared" si="8"/>
        <v>-2231.0500000000029</v>
      </c>
    </row>
    <row r="26" spans="1:35" s="64" customFormat="1">
      <c r="A26" s="53" t="s">
        <v>99</v>
      </c>
      <c r="B26" s="46">
        <f>VLOOKUP($A$4:$A$30,'Anuid PF'!$A$5:$G$31,6,)</f>
        <v>16201.14</v>
      </c>
      <c r="C26" s="47">
        <f>VLOOKUP($A$4:$A$30,'Anuid PJ'!$A$5:$E$31,5,)</f>
        <v>5896.87</v>
      </c>
      <c r="D26" s="48">
        <f>JAN!C27</f>
        <v>779.41600000000039</v>
      </c>
      <c r="E26" s="48">
        <f>JAN!E27</f>
        <v>120.37600000000003</v>
      </c>
      <c r="F26" s="48">
        <f>FEV!C27</f>
        <v>4241.9999999999991</v>
      </c>
      <c r="G26" s="48">
        <f>FEV!E27</f>
        <v>678.072</v>
      </c>
      <c r="H26" s="48">
        <f>MAR!C27</f>
        <v>2528.1360000000004</v>
      </c>
      <c r="I26" s="48">
        <f>MAR!E27</f>
        <v>950.84799999999996</v>
      </c>
      <c r="J26" s="48">
        <f>ABR!C27</f>
        <v>201.72800000000001</v>
      </c>
      <c r="K26" s="48">
        <f>ABR!E27</f>
        <v>0</v>
      </c>
      <c r="L26" s="48">
        <f>MAI!C27</f>
        <v>182.84000000000003</v>
      </c>
      <c r="M26" s="48">
        <f>MAI!E27</f>
        <v>179.03200000000001</v>
      </c>
      <c r="N26" s="48">
        <f>JUN!C27</f>
        <v>630.80799999999954</v>
      </c>
      <c r="O26" s="48">
        <f>JUN!E27</f>
        <v>38.095999999999997</v>
      </c>
      <c r="P26" s="48">
        <f>JUL!C27</f>
        <v>192.36800000000005</v>
      </c>
      <c r="Q26" s="48">
        <f>JUL!E27</f>
        <v>0</v>
      </c>
      <c r="R26" s="48">
        <f>AGO!C27</f>
        <v>573.31999999999994</v>
      </c>
      <c r="S26" s="48">
        <f>AGO!E27</f>
        <v>0</v>
      </c>
      <c r="T26" s="48">
        <f>SET!C27</f>
        <v>1154.9279999999999</v>
      </c>
      <c r="U26" s="48">
        <f>SET!E27</f>
        <v>0</v>
      </c>
      <c r="V26" s="48">
        <f>OUT!C27</f>
        <v>0</v>
      </c>
      <c r="W26" s="48">
        <f>OUT!E27</f>
        <v>0</v>
      </c>
      <c r="X26" s="48">
        <f>NOV!C27</f>
        <v>0</v>
      </c>
      <c r="Y26" s="48">
        <f>NOV!E27</f>
        <v>0</v>
      </c>
      <c r="Z26" s="48">
        <f>DEZ!C27</f>
        <v>0</v>
      </c>
      <c r="AA26" s="48">
        <f>DEZ!E27</f>
        <v>0</v>
      </c>
      <c r="AB26" s="380">
        <f t="shared" si="2"/>
        <v>10485.544</v>
      </c>
      <c r="AC26" s="381">
        <f t="shared" si="2"/>
        <v>1966.424</v>
      </c>
      <c r="AD26" s="49">
        <f t="shared" si="3"/>
        <v>0.6472102580435698</v>
      </c>
      <c r="AE26" s="50">
        <f t="shared" si="3"/>
        <v>0.33346911157953285</v>
      </c>
      <c r="AF26" s="380">
        <f t="shared" si="5"/>
        <v>5715.5959999999995</v>
      </c>
      <c r="AG26" s="381">
        <f t="shared" si="5"/>
        <v>3930.4459999999999</v>
      </c>
      <c r="AH26" s="382">
        <f t="shared" si="7"/>
        <v>5715.5959999999995</v>
      </c>
      <c r="AI26" s="382">
        <f t="shared" si="8"/>
        <v>3930.4459999999999</v>
      </c>
    </row>
    <row r="27" spans="1:35" s="64" customFormat="1">
      <c r="A27" s="51" t="s">
        <v>100</v>
      </c>
      <c r="B27" s="46">
        <f>VLOOKUP($A$4:$A$30,'Anuid PF'!$A$5:$G$31,6,)</f>
        <v>700847.52</v>
      </c>
      <c r="C27" s="47">
        <f>VLOOKUP($A$4:$A$30,'Anuid PJ'!$A$5:$E$31,5,)</f>
        <v>196070.56</v>
      </c>
      <c r="D27" s="48">
        <f>JAN!C28</f>
        <v>85075.73599999999</v>
      </c>
      <c r="E27" s="48">
        <f>JAN!E28</f>
        <v>18097.256000000005</v>
      </c>
      <c r="F27" s="48">
        <f>FEV!C28</f>
        <v>106951.984</v>
      </c>
      <c r="G27" s="48">
        <f>FEV!E28</f>
        <v>28650.312000000002</v>
      </c>
      <c r="H27" s="48">
        <f>MAR!C28</f>
        <v>90482.296000000002</v>
      </c>
      <c r="I27" s="48">
        <f>MAR!E28</f>
        <v>30945.256000000001</v>
      </c>
      <c r="J27" s="48">
        <f>ABR!C28</f>
        <v>58745.464000000007</v>
      </c>
      <c r="K27" s="48">
        <f>ABR!E28</f>
        <v>22138.063999999998</v>
      </c>
      <c r="L27" s="48">
        <f>MAI!C28</f>
        <v>110921.58399999999</v>
      </c>
      <c r="M27" s="48">
        <f>MAI!E28</f>
        <v>39991.112000000001</v>
      </c>
      <c r="N27" s="48">
        <f>JUN!C28</f>
        <v>95189.280000000028</v>
      </c>
      <c r="O27" s="48">
        <f>JUN!E28</f>
        <v>24699.256000000001</v>
      </c>
      <c r="P27" s="48">
        <f>JUL!C28</f>
        <v>88985.712000000014</v>
      </c>
      <c r="Q27" s="48">
        <f>JUL!E28</f>
        <v>14954.559999999998</v>
      </c>
      <c r="R27" s="48">
        <f>AGO!C28</f>
        <v>88286.208000000013</v>
      </c>
      <c r="S27" s="48">
        <f>AGO!E28</f>
        <v>15612.047999999999</v>
      </c>
      <c r="T27" s="48">
        <f>SET!C28</f>
        <v>65683.823999999993</v>
      </c>
      <c r="U27" s="48">
        <f>SET!E28</f>
        <v>25799.43199999999</v>
      </c>
      <c r="V27" s="48">
        <f>OUT!C28</f>
        <v>0</v>
      </c>
      <c r="W27" s="48">
        <f>OUT!E28</f>
        <v>0</v>
      </c>
      <c r="X27" s="48">
        <f>NOV!C28</f>
        <v>0</v>
      </c>
      <c r="Y27" s="48">
        <f>NOV!E28</f>
        <v>0</v>
      </c>
      <c r="Z27" s="48">
        <f>DEZ!C28</f>
        <v>0</v>
      </c>
      <c r="AA27" s="48">
        <f>DEZ!E28</f>
        <v>0</v>
      </c>
      <c r="AB27" s="380">
        <f t="shared" si="2"/>
        <v>790322.08800000011</v>
      </c>
      <c r="AC27" s="381">
        <f t="shared" si="2"/>
        <v>220887.296</v>
      </c>
      <c r="AD27" s="49">
        <f t="shared" si="3"/>
        <v>1.1276662404398607</v>
      </c>
      <c r="AE27" s="50">
        <f t="shared" si="3"/>
        <v>1.1265704346435284</v>
      </c>
      <c r="AF27" s="380">
        <f t="shared" si="5"/>
        <v>0</v>
      </c>
      <c r="AG27" s="381">
        <f t="shared" si="5"/>
        <v>0</v>
      </c>
      <c r="AH27" s="382">
        <f t="shared" si="7"/>
        <v>-89474.568000000087</v>
      </c>
      <c r="AI27" s="382">
        <f t="shared" si="8"/>
        <v>-24816.736000000004</v>
      </c>
    </row>
    <row r="28" spans="1:35" s="64" customFormat="1">
      <c r="A28" s="51" t="s">
        <v>101</v>
      </c>
      <c r="B28" s="46">
        <f>VLOOKUP($A$4:$A$30,'Anuid PF'!$A$5:$G$31,6,)</f>
        <v>4054515.912</v>
      </c>
      <c r="C28" s="47">
        <f>VLOOKUP($A$4:$A$30,'Anuid PJ'!$A$5:$E$31,5,)</f>
        <v>507349.61600000004</v>
      </c>
      <c r="D28" s="48">
        <f>JAN!C29</f>
        <v>411876.2800000002</v>
      </c>
      <c r="E28" s="48">
        <f>JAN!E29</f>
        <v>64372.064000000006</v>
      </c>
      <c r="F28" s="48">
        <f>FEV!C29</f>
        <v>513328.43200000003</v>
      </c>
      <c r="G28" s="48">
        <f>FEV!E29</f>
        <v>80940.640000000014</v>
      </c>
      <c r="H28" s="48">
        <f>MAR!C29</f>
        <v>520882.19200000004</v>
      </c>
      <c r="I28" s="48">
        <f>MAR!E29</f>
        <v>93335.216000000015</v>
      </c>
      <c r="J28" s="48">
        <f>ABR!C29</f>
        <v>345118.984</v>
      </c>
      <c r="K28" s="48">
        <f>ABR!E29</f>
        <v>56751.528000000006</v>
      </c>
      <c r="L28" s="48">
        <f>MAI!C29</f>
        <v>399717.19200000004</v>
      </c>
      <c r="M28" s="48">
        <f>MAI!E29</f>
        <v>69605.208000000013</v>
      </c>
      <c r="N28" s="48">
        <f>JUN!C29</f>
        <v>325029.02399999986</v>
      </c>
      <c r="O28" s="48">
        <f>JUN!E29</f>
        <v>68904.552000000011</v>
      </c>
      <c r="P28" s="48">
        <f>JUL!C29</f>
        <v>279459.55199999979</v>
      </c>
      <c r="Q28" s="48">
        <f>JUL!E29</f>
        <v>47690.504000000008</v>
      </c>
      <c r="R28" s="48">
        <f>AGO!C29</f>
        <v>324729.82399999996</v>
      </c>
      <c r="S28" s="48">
        <f>AGO!E29</f>
        <v>183847.71999999994</v>
      </c>
      <c r="T28" s="48">
        <f>SET!C29</f>
        <v>263065.52</v>
      </c>
      <c r="U28" s="48">
        <f>SET!E29</f>
        <v>181900.568</v>
      </c>
      <c r="V28" s="48">
        <f>OUT!C29</f>
        <v>0</v>
      </c>
      <c r="W28" s="48">
        <f>OUT!E29</f>
        <v>0</v>
      </c>
      <c r="X28" s="48">
        <f>NOV!C29</f>
        <v>0</v>
      </c>
      <c r="Y28" s="48">
        <f>NOV!E29</f>
        <v>0</v>
      </c>
      <c r="Z28" s="48">
        <f>DEZ!C29</f>
        <v>0</v>
      </c>
      <c r="AA28" s="48">
        <f>DEZ!E29</f>
        <v>0</v>
      </c>
      <c r="AB28" s="380">
        <f t="shared" si="2"/>
        <v>3383206.9999999995</v>
      </c>
      <c r="AC28" s="381">
        <f t="shared" si="2"/>
        <v>847348</v>
      </c>
      <c r="AD28" s="49">
        <f t="shared" si="3"/>
        <v>0.83442933100517558</v>
      </c>
      <c r="AE28" s="50">
        <f t="shared" si="3"/>
        <v>1.6701461344951525</v>
      </c>
      <c r="AF28" s="380">
        <f t="shared" si="5"/>
        <v>671308.91200000048</v>
      </c>
      <c r="AG28" s="381">
        <f t="shared" si="5"/>
        <v>0</v>
      </c>
      <c r="AH28" s="382">
        <f t="shared" si="7"/>
        <v>671308.91200000048</v>
      </c>
      <c r="AI28" s="382">
        <f t="shared" si="8"/>
        <v>-339998.38399999996</v>
      </c>
    </row>
    <row r="29" spans="1:35" s="64" customFormat="1">
      <c r="A29" s="51" t="s">
        <v>102</v>
      </c>
      <c r="B29" s="46">
        <f>VLOOKUP($A$4:$A$30,'Anuid PF'!$A$5:$G$31,6,)</f>
        <v>73005.62</v>
      </c>
      <c r="C29" s="47">
        <f>VLOOKUP($A$4:$A$30,'Anuid PJ'!$A$5:$E$31,5,)</f>
        <v>45000</v>
      </c>
      <c r="D29" s="48">
        <f>JAN!C30</f>
        <v>11842.119999999995</v>
      </c>
      <c r="E29" s="48">
        <f>JAN!E30</f>
        <v>1317.5360000000001</v>
      </c>
      <c r="F29" s="48">
        <f>FEV!C30</f>
        <v>18528.352000000014</v>
      </c>
      <c r="G29" s="48">
        <f>FEV!E30</f>
        <v>773.58399999999983</v>
      </c>
      <c r="H29" s="48">
        <f>MAR!C30</f>
        <v>15698.032000000001</v>
      </c>
      <c r="I29" s="48">
        <f>MAR!E30</f>
        <v>1025</v>
      </c>
      <c r="J29" s="48">
        <f>ABR!C30</f>
        <v>10193.976000000001</v>
      </c>
      <c r="K29" s="48">
        <f>ABR!E30</f>
        <v>1194.6479999999999</v>
      </c>
      <c r="L29" s="48">
        <f>MAI!C30</f>
        <v>10310.168000000001</v>
      </c>
      <c r="M29" s="48">
        <f>MAI!E30</f>
        <v>4216.3680000000004</v>
      </c>
      <c r="N29" s="48">
        <f>JUN!C30</f>
        <v>16579.735999999986</v>
      </c>
      <c r="O29" s="48">
        <f>JUN!E30</f>
        <v>772.54399999999998</v>
      </c>
      <c r="P29" s="48">
        <f>JUL!C30</f>
        <v>7572.1440000000002</v>
      </c>
      <c r="Q29" s="48">
        <f>JUL!E30</f>
        <v>101.74399999999987</v>
      </c>
      <c r="R29" s="48">
        <f>AGO!C30</f>
        <v>7129.5679999999993</v>
      </c>
      <c r="S29" s="48">
        <f>AGO!E30</f>
        <v>3020.0479999999998</v>
      </c>
      <c r="T29" s="48">
        <f>SET!C30</f>
        <v>6730.3919999999989</v>
      </c>
      <c r="U29" s="48">
        <f>SET!E30</f>
        <v>1642.7200000000003</v>
      </c>
      <c r="V29" s="48">
        <f>OUT!C30</f>
        <v>0</v>
      </c>
      <c r="W29" s="48">
        <f>OUT!E30</f>
        <v>0</v>
      </c>
      <c r="X29" s="48">
        <f>NOV!C30</f>
        <v>0</v>
      </c>
      <c r="Y29" s="48">
        <f>NOV!E30</f>
        <v>0</v>
      </c>
      <c r="Z29" s="48">
        <f>DEZ!C30</f>
        <v>0</v>
      </c>
      <c r="AA29" s="48">
        <f>DEZ!E30</f>
        <v>0</v>
      </c>
      <c r="AB29" s="380">
        <f t="shared" si="2"/>
        <v>104584.488</v>
      </c>
      <c r="AC29" s="381">
        <f t="shared" si="2"/>
        <v>14064.192000000003</v>
      </c>
      <c r="AD29" s="49">
        <f t="shared" si="3"/>
        <v>1.4325539321493332</v>
      </c>
      <c r="AE29" s="50">
        <f t="shared" si="3"/>
        <v>0.31253760000000008</v>
      </c>
      <c r="AF29" s="380">
        <f t="shared" si="5"/>
        <v>0</v>
      </c>
      <c r="AG29" s="381">
        <f t="shared" si="5"/>
        <v>30935.807999999997</v>
      </c>
      <c r="AH29" s="382">
        <f t="shared" si="7"/>
        <v>-31578.868000000002</v>
      </c>
      <c r="AI29" s="382">
        <f t="shared" si="8"/>
        <v>30935.807999999997</v>
      </c>
    </row>
    <row r="30" spans="1:35" s="64" customFormat="1">
      <c r="A30" s="51" t="s">
        <v>103</v>
      </c>
      <c r="B30" s="46">
        <f>VLOOKUP($A$4:$A$30,'Anuid PF'!$A$5:$G$31,6,)</f>
        <v>50794.41</v>
      </c>
      <c r="C30" s="47">
        <f>VLOOKUP($A$4:$A$30,'Anuid PJ'!$A$5:$E$31,5,)</f>
        <v>45000</v>
      </c>
      <c r="D30" s="48">
        <f>JAN!C31</f>
        <v>4399.840000000002</v>
      </c>
      <c r="E30" s="48">
        <f>JAN!E31</f>
        <v>115.42400000000001</v>
      </c>
      <c r="F30" s="48">
        <f>FEV!C31</f>
        <v>5992.0079999999962</v>
      </c>
      <c r="G30" s="48">
        <f>FEV!E31</f>
        <v>3496.4320000000002</v>
      </c>
      <c r="H30" s="48">
        <f>MAR!C31</f>
        <v>6929.0880000000006</v>
      </c>
      <c r="I30" s="48">
        <f>MAR!E31</f>
        <v>1280.7040000000002</v>
      </c>
      <c r="J30" s="48">
        <f>ABR!C31</f>
        <v>5162.6480000000001</v>
      </c>
      <c r="K30" s="48">
        <f>ABR!E31</f>
        <v>2451.0240000000003</v>
      </c>
      <c r="L30" s="48">
        <f>MAI!C31</f>
        <v>2883.0240000000003</v>
      </c>
      <c r="M30" s="48">
        <f>MAI!E31</f>
        <v>2902.9520000000002</v>
      </c>
      <c r="N30" s="48">
        <f>JUN!C31</f>
        <v>4467.2320000000063</v>
      </c>
      <c r="O30" s="48">
        <f>JUN!E31</f>
        <v>1259.1040000000003</v>
      </c>
      <c r="P30" s="48">
        <f>JUL!C31</f>
        <v>3918.8399999999997</v>
      </c>
      <c r="Q30" s="48">
        <f>JUL!E31</f>
        <v>724.65600000000018</v>
      </c>
      <c r="R30" s="48">
        <f>AGO!C31</f>
        <v>2999.8720000000017</v>
      </c>
      <c r="S30" s="48">
        <f>AGO!E31</f>
        <v>2137.0719999999997</v>
      </c>
      <c r="T30" s="48">
        <f>SET!C31</f>
        <v>1447.1520000000005</v>
      </c>
      <c r="U30" s="48">
        <f>SET!E31</f>
        <v>1201.864</v>
      </c>
      <c r="V30" s="48">
        <f>OUT!C31</f>
        <v>0</v>
      </c>
      <c r="W30" s="48">
        <f>OUT!E31</f>
        <v>0</v>
      </c>
      <c r="X30" s="48">
        <f>NOV!C31</f>
        <v>0</v>
      </c>
      <c r="Y30" s="48">
        <f>NOV!E31</f>
        <v>0</v>
      </c>
      <c r="Z30" s="48">
        <f>DEZ!C31</f>
        <v>0</v>
      </c>
      <c r="AA30" s="48">
        <f>DEZ!E31</f>
        <v>0</v>
      </c>
      <c r="AB30" s="380">
        <f t="shared" si="2"/>
        <v>38199.704000000012</v>
      </c>
      <c r="AC30" s="381">
        <f t="shared" si="2"/>
        <v>15569.232</v>
      </c>
      <c r="AD30" s="49">
        <f t="shared" si="3"/>
        <v>0.75204543177093719</v>
      </c>
      <c r="AE30" s="50">
        <f t="shared" si="3"/>
        <v>0.34598293333333335</v>
      </c>
      <c r="AF30" s="380">
        <f t="shared" si="5"/>
        <v>12594.705999999991</v>
      </c>
      <c r="AG30" s="381">
        <f t="shared" si="5"/>
        <v>29430.768</v>
      </c>
      <c r="AH30" s="382">
        <f t="shared" si="7"/>
        <v>12594.705999999991</v>
      </c>
      <c r="AI30" s="382">
        <f t="shared" si="8"/>
        <v>29430.768</v>
      </c>
    </row>
    <row r="31" spans="1:35" s="64" customFormat="1">
      <c r="A31" s="54" t="s">
        <v>118</v>
      </c>
      <c r="B31" s="44">
        <f t="shared" ref="B31:C31" si="9">SUM(B4:B30)</f>
        <v>13422753.852</v>
      </c>
      <c r="C31" s="44">
        <f t="shared" si="9"/>
        <v>2207722.736</v>
      </c>
      <c r="D31" s="44">
        <f t="shared" ref="D31:AC31" si="10">SUM(D4:D30)</f>
        <v>1299901.6480000003</v>
      </c>
      <c r="E31" s="44">
        <f t="shared" si="10"/>
        <v>218962.88</v>
      </c>
      <c r="F31" s="44">
        <f t="shared" si="10"/>
        <v>1519660.9280000001</v>
      </c>
      <c r="G31" s="44">
        <f t="shared" si="10"/>
        <v>292433.26399999997</v>
      </c>
      <c r="H31" s="44">
        <f t="shared" si="10"/>
        <v>1606809.176</v>
      </c>
      <c r="I31" s="44">
        <f t="shared" si="10"/>
        <v>299137.56000000006</v>
      </c>
      <c r="J31" s="44">
        <f t="shared" si="10"/>
        <v>1085070.8800000001</v>
      </c>
      <c r="K31" s="44">
        <f t="shared" si="10"/>
        <v>197974.60799999998</v>
      </c>
      <c r="L31" s="44">
        <f t="shared" si="10"/>
        <v>1289522.7520000001</v>
      </c>
      <c r="M31" s="44">
        <f t="shared" si="10"/>
        <v>246985.60000000003</v>
      </c>
      <c r="N31" s="44">
        <f t="shared" si="10"/>
        <v>1132395.3039999998</v>
      </c>
      <c r="O31" s="44">
        <f t="shared" si="10"/>
        <v>204553.67200000002</v>
      </c>
      <c r="P31" s="44">
        <f>SUM(P4:P30)</f>
        <v>969793.41600000008</v>
      </c>
      <c r="Q31" s="44">
        <f t="shared" si="10"/>
        <v>173314.88</v>
      </c>
      <c r="R31" s="44">
        <f>SUM(R4:R30)</f>
        <v>1128397.6719999998</v>
      </c>
      <c r="S31" s="44">
        <f t="shared" ref="S31:AA31" si="11">SUM(S4:S30)</f>
        <v>324026.39199999999</v>
      </c>
      <c r="T31" s="44">
        <f>SUM(T4:T30)</f>
        <v>921158.92</v>
      </c>
      <c r="U31" s="44">
        <f t="shared" si="11"/>
        <v>302424.77599999995</v>
      </c>
      <c r="V31" s="44">
        <f>SUM(V4:V30)</f>
        <v>0</v>
      </c>
      <c r="W31" s="44">
        <f t="shared" si="11"/>
        <v>0</v>
      </c>
      <c r="X31" s="44">
        <f>SUM(X4:X30)</f>
        <v>0</v>
      </c>
      <c r="Y31" s="44">
        <f t="shared" si="11"/>
        <v>0</v>
      </c>
      <c r="Z31" s="44">
        <f t="shared" si="11"/>
        <v>0</v>
      </c>
      <c r="AA31" s="44">
        <f t="shared" si="11"/>
        <v>0</v>
      </c>
      <c r="AB31" s="44">
        <f t="shared" si="10"/>
        <v>10952710.696</v>
      </c>
      <c r="AC31" s="44">
        <f t="shared" si="10"/>
        <v>2259813.6320000002</v>
      </c>
      <c r="AD31" s="55">
        <f t="shared" si="3"/>
        <v>0.81598089458878353</v>
      </c>
      <c r="AE31" s="55">
        <f t="shared" si="3"/>
        <v>1.023594854168318</v>
      </c>
      <c r="AF31" s="44">
        <f>SUM(AF4:AF30)</f>
        <v>3042958.4559999998</v>
      </c>
      <c r="AG31" s="44">
        <f>SUM(AG4:AG30)</f>
        <v>522177.0039999999</v>
      </c>
      <c r="AH31" s="382"/>
      <c r="AI31" s="382"/>
    </row>
    <row r="32" spans="1:35" s="64" customFormat="1">
      <c r="A32" s="56" t="s">
        <v>171</v>
      </c>
      <c r="B32" s="46">
        <f>'Anuid PF'!F33</f>
        <v>3338414.43</v>
      </c>
      <c r="C32" s="47">
        <f>'Anuid PJ'!E33</f>
        <v>592289.79</v>
      </c>
      <c r="D32" s="48">
        <f>JAN!C67</f>
        <v>324975.41200000007</v>
      </c>
      <c r="E32" s="48">
        <f>JAN!E67</f>
        <v>54740.72</v>
      </c>
      <c r="F32" s="48">
        <f>FEV!C67</f>
        <v>379915.23200000002</v>
      </c>
      <c r="G32" s="48">
        <f>FEV!E67</f>
        <v>73108.315999999992</v>
      </c>
      <c r="H32" s="48">
        <f>MAR!C67</f>
        <v>401702.29399999999</v>
      </c>
      <c r="I32" s="48">
        <f>MAR!E67</f>
        <v>74784.390000000014</v>
      </c>
      <c r="J32" s="48">
        <f>ABR!C67</f>
        <v>271267.72000000003</v>
      </c>
      <c r="K32" s="48">
        <f>ABR!E67</f>
        <v>49493.651999999995</v>
      </c>
      <c r="L32" s="48">
        <f>MAI!C67</f>
        <v>322380.68800000002</v>
      </c>
      <c r="M32" s="48">
        <f>MAI!E67</f>
        <v>61746.400000000009</v>
      </c>
      <c r="N32" s="48">
        <f>JUN!C67</f>
        <v>283098.82599999994</v>
      </c>
      <c r="O32" s="48">
        <f>JUN!E67</f>
        <v>51138.418000000005</v>
      </c>
      <c r="P32" s="48">
        <f>JUL!C67</f>
        <v>242448.35400000002</v>
      </c>
      <c r="Q32" s="48">
        <f>JUL!E67</f>
        <v>43328.72</v>
      </c>
      <c r="R32" s="48">
        <f>AGO!C67</f>
        <v>282099.41799999995</v>
      </c>
      <c r="S32" s="48">
        <f>AGO!E67</f>
        <v>81006.597999999998</v>
      </c>
      <c r="T32" s="48">
        <f>SET!C67</f>
        <v>230289.73</v>
      </c>
      <c r="U32" s="48">
        <f>SET!E67</f>
        <v>75606.193999999989</v>
      </c>
      <c r="V32" s="48">
        <f>OUT!C67</f>
        <v>0</v>
      </c>
      <c r="W32" s="48">
        <f>OUT!E67</f>
        <v>0</v>
      </c>
      <c r="X32" s="48">
        <f>NOV!C67</f>
        <v>0</v>
      </c>
      <c r="Y32" s="48">
        <f>NOV!E67</f>
        <v>0</v>
      </c>
      <c r="Z32" s="48">
        <f>DEZ!C67</f>
        <v>0</v>
      </c>
      <c r="AA32" s="48">
        <f>DEZ!E67</f>
        <v>0</v>
      </c>
      <c r="AB32" s="380">
        <f>D32+F32+H32+J32+L32+N32+P32+R32+T32+V32+X32+Z32</f>
        <v>2738177.6740000001</v>
      </c>
      <c r="AC32" s="381">
        <f t="shared" ref="AC32" si="12">E32+G32+I32+K32+M32+O32+Q32+S32+U32+W32+Y32+AA32</f>
        <v>564953.40800000005</v>
      </c>
      <c r="AD32" s="49">
        <f t="shared" si="3"/>
        <v>0.82020304291579516</v>
      </c>
      <c r="AE32" s="50">
        <f t="shared" si="3"/>
        <v>0.95384627177179604</v>
      </c>
      <c r="AF32" s="380">
        <f t="shared" ref="AF32" si="13">IF(B32-AB32&lt;=0,0,B32-AB32)</f>
        <v>600236.75600000005</v>
      </c>
      <c r="AG32" s="381">
        <f t="shared" ref="AG32" si="14">IF(C32-AC32&lt;=0,0,C32-AC32)</f>
        <v>27336.381999999983</v>
      </c>
      <c r="AH32" s="382">
        <f t="shared" ref="AH32" si="15">B32-AB32</f>
        <v>600236.75600000005</v>
      </c>
      <c r="AI32" s="382">
        <f t="shared" ref="AI32" si="16">C32-AC32</f>
        <v>27336.381999999983</v>
      </c>
    </row>
    <row r="33" spans="1:35" s="64" customFormat="1">
      <c r="A33" s="54" t="s">
        <v>118</v>
      </c>
      <c r="B33" s="44">
        <f>B31+B32</f>
        <v>16761168.282</v>
      </c>
      <c r="C33" s="44">
        <f t="shared" ref="C33:AC33" si="17">C31+C32</f>
        <v>2800012.5260000001</v>
      </c>
      <c r="D33" s="44">
        <f t="shared" si="17"/>
        <v>1624877.0600000003</v>
      </c>
      <c r="E33" s="44">
        <f t="shared" si="17"/>
        <v>273703.59999999998</v>
      </c>
      <c r="F33" s="44">
        <f t="shared" si="17"/>
        <v>1899576.1600000001</v>
      </c>
      <c r="G33" s="44">
        <f t="shared" si="17"/>
        <v>365541.57999999996</v>
      </c>
      <c r="H33" s="44">
        <f t="shared" si="17"/>
        <v>2008511.47</v>
      </c>
      <c r="I33" s="44">
        <f t="shared" si="17"/>
        <v>373921.95000000007</v>
      </c>
      <c r="J33" s="44">
        <f t="shared" si="17"/>
        <v>1356338.6</v>
      </c>
      <c r="K33" s="44">
        <f t="shared" si="17"/>
        <v>247468.25999999998</v>
      </c>
      <c r="L33" s="44">
        <f t="shared" si="17"/>
        <v>1611903.4400000002</v>
      </c>
      <c r="M33" s="44">
        <f t="shared" si="17"/>
        <v>308732.00000000006</v>
      </c>
      <c r="N33" s="44">
        <f t="shared" si="17"/>
        <v>1415494.1299999997</v>
      </c>
      <c r="O33" s="44">
        <f t="shared" si="17"/>
        <v>255692.09000000003</v>
      </c>
      <c r="P33" s="44">
        <f t="shared" si="17"/>
        <v>1212241.77</v>
      </c>
      <c r="Q33" s="44">
        <f t="shared" si="17"/>
        <v>216643.6</v>
      </c>
      <c r="R33" s="44">
        <f t="shared" si="17"/>
        <v>1410497.0899999999</v>
      </c>
      <c r="S33" s="44">
        <f t="shared" si="17"/>
        <v>405032.99</v>
      </c>
      <c r="T33" s="44">
        <f t="shared" si="17"/>
        <v>1151448.6500000001</v>
      </c>
      <c r="U33" s="44">
        <f t="shared" si="17"/>
        <v>378030.97</v>
      </c>
      <c r="V33" s="44">
        <f t="shared" si="17"/>
        <v>0</v>
      </c>
      <c r="W33" s="44">
        <f t="shared" si="17"/>
        <v>0</v>
      </c>
      <c r="X33" s="44">
        <f t="shared" si="17"/>
        <v>0</v>
      </c>
      <c r="Y33" s="44">
        <f t="shared" si="17"/>
        <v>0</v>
      </c>
      <c r="Z33" s="44">
        <f t="shared" si="17"/>
        <v>0</v>
      </c>
      <c r="AA33" s="44">
        <f t="shared" si="17"/>
        <v>0</v>
      </c>
      <c r="AB33" s="44">
        <f>AB31+AB32</f>
        <v>13690888.370000001</v>
      </c>
      <c r="AC33" s="44">
        <f t="shared" si="17"/>
        <v>2824767.04</v>
      </c>
      <c r="AD33" s="55">
        <f t="shared" si="3"/>
        <v>0.81682184318278073</v>
      </c>
      <c r="AE33" s="55">
        <f t="shared" si="3"/>
        <v>1.0088408583069317</v>
      </c>
      <c r="AF33" s="44">
        <f>AF31+AF32</f>
        <v>3643195.2119999998</v>
      </c>
      <c r="AG33" s="44">
        <f>AG31+AG32</f>
        <v>549513.38599999994</v>
      </c>
      <c r="AH33" s="382"/>
      <c r="AI33" s="382"/>
    </row>
    <row r="34" spans="1:35">
      <c r="A34" s="57"/>
      <c r="B34" s="145"/>
      <c r="C34" s="58"/>
      <c r="D34" s="59"/>
      <c r="E34" s="59"/>
      <c r="F34" s="59"/>
      <c r="G34" s="59"/>
      <c r="H34" s="59"/>
      <c r="I34" s="59"/>
      <c r="J34" s="59"/>
      <c r="K34" s="59"/>
      <c r="L34" s="59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 t="b">
        <f>AB33='ARRECADAÇÃO MENSAL POR RECEITA'!C17</f>
        <v>1</v>
      </c>
      <c r="AC34" s="58" t="b">
        <f>AC33='ARRECADAÇÃO MENSAL POR RECEITA'!E17</f>
        <v>1</v>
      </c>
      <c r="AD34" s="58"/>
      <c r="AE34" s="58"/>
      <c r="AF34" s="58"/>
      <c r="AG34" s="58"/>
    </row>
    <row r="35" spans="1:35">
      <c r="A35" t="s">
        <v>573</v>
      </c>
      <c r="B35" s="10"/>
    </row>
  </sheetData>
  <mergeCells count="18">
    <mergeCell ref="A1:AG1"/>
    <mergeCell ref="AF2:AG2"/>
    <mergeCell ref="L2:M2"/>
    <mergeCell ref="N2:O2"/>
    <mergeCell ref="P2:Q2"/>
    <mergeCell ref="R2:S2"/>
    <mergeCell ref="T2:U2"/>
    <mergeCell ref="V2:W2"/>
    <mergeCell ref="AD2:AE2"/>
    <mergeCell ref="J2:K2"/>
    <mergeCell ref="X2:Y2"/>
    <mergeCell ref="Z2:AA2"/>
    <mergeCell ref="AB2:AC2"/>
    <mergeCell ref="A2:A3"/>
    <mergeCell ref="B2:C2"/>
    <mergeCell ref="D2:E2"/>
    <mergeCell ref="F2:G2"/>
    <mergeCell ref="H2:I2"/>
  </mergeCells>
  <conditionalFormatting sqref="AH4:AI33">
    <cfRule type="cellIs" dxfId="130" priority="7" operator="lessThan">
      <formula>0</formula>
    </cfRule>
  </conditionalFormatting>
  <conditionalFormatting sqref="AB34:AC34">
    <cfRule type="cellIs" dxfId="129" priority="5" operator="equal">
      <formula>FALSE</formula>
    </cfRule>
    <cfRule type="cellIs" dxfId="128" priority="6" operator="equal">
      <formula>TRUE</formula>
    </cfRule>
  </conditionalFormatting>
  <printOptions horizontalCentered="1" verticalCentered="1"/>
  <pageMargins left="0" right="0" top="0" bottom="0" header="0" footer="0"/>
  <pageSetup paperSize="9" scale="90" orientation="landscape" r:id="rId1"/>
  <ignoredErrors>
    <ignoredError sqref="AF31:AG31 AB31" 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13">
    <tabColor theme="6"/>
    <pageSetUpPr fitToPage="1"/>
  </sheetPr>
  <dimension ref="A1:T47"/>
  <sheetViews>
    <sheetView zoomScale="70" zoomScaleNormal="70" zoomScaleSheetLayoutView="80" workbookViewId="0">
      <selection activeCell="DQ31" sqref="DQ31:DV31"/>
    </sheetView>
  </sheetViews>
  <sheetFormatPr defaultRowHeight="15"/>
  <cols>
    <col min="1" max="1" width="13.140625" style="10" bestFit="1" customWidth="1"/>
    <col min="2" max="20" width="21.28515625" style="10" customWidth="1"/>
    <col min="21" max="16384" width="9.140625" style="10"/>
  </cols>
  <sheetData>
    <row r="1" spans="1:20" ht="15.75" thickBot="1"/>
    <row r="2" spans="1:20" ht="47.25" thickBot="1">
      <c r="A2" s="855" t="s">
        <v>39</v>
      </c>
      <c r="B2" s="856"/>
      <c r="C2" s="856"/>
      <c r="D2" s="856"/>
      <c r="E2" s="856"/>
      <c r="F2" s="856"/>
      <c r="G2" s="856"/>
      <c r="H2" s="856"/>
      <c r="I2" s="856"/>
      <c r="J2" s="856"/>
      <c r="K2" s="856"/>
      <c r="L2" s="856"/>
      <c r="M2" s="856"/>
      <c r="N2" s="856"/>
      <c r="O2" s="856"/>
      <c r="P2" s="856"/>
      <c r="Q2" s="856"/>
      <c r="R2" s="857"/>
    </row>
    <row r="3" spans="1:20" s="357" customFormat="1" ht="35.1" customHeight="1">
      <c r="A3" s="854" t="s">
        <v>33</v>
      </c>
      <c r="B3" s="858" t="s">
        <v>27</v>
      </c>
      <c r="C3" s="859"/>
      <c r="D3" s="858" t="s">
        <v>29</v>
      </c>
      <c r="E3" s="859"/>
      <c r="F3" s="860" t="s">
        <v>28</v>
      </c>
      <c r="G3" s="860" t="s">
        <v>36</v>
      </c>
      <c r="H3" s="854" t="s">
        <v>30</v>
      </c>
      <c r="I3" s="854" t="s">
        <v>31</v>
      </c>
      <c r="J3" s="854" t="s">
        <v>32</v>
      </c>
      <c r="K3" s="854" t="s">
        <v>35</v>
      </c>
      <c r="L3" s="854" t="s">
        <v>40</v>
      </c>
      <c r="M3" s="854" t="s">
        <v>42</v>
      </c>
      <c r="N3" s="854" t="s">
        <v>45</v>
      </c>
      <c r="O3" s="843" t="s">
        <v>279</v>
      </c>
      <c r="P3" s="845" t="s">
        <v>49</v>
      </c>
      <c r="Q3" s="846"/>
      <c r="R3" s="854" t="s">
        <v>34</v>
      </c>
    </row>
    <row r="4" spans="1:20" s="357" customFormat="1" ht="35.1" customHeight="1">
      <c r="A4" s="844"/>
      <c r="B4" s="23" t="s">
        <v>43</v>
      </c>
      <c r="C4" s="350" t="s">
        <v>44</v>
      </c>
      <c r="D4" s="23" t="s">
        <v>43</v>
      </c>
      <c r="E4" s="350" t="s">
        <v>44</v>
      </c>
      <c r="F4" s="861"/>
      <c r="G4" s="861"/>
      <c r="H4" s="844"/>
      <c r="I4" s="844"/>
      <c r="J4" s="844"/>
      <c r="K4" s="844"/>
      <c r="L4" s="844"/>
      <c r="M4" s="844"/>
      <c r="N4" s="844"/>
      <c r="O4" s="844"/>
      <c r="P4" s="349" t="s">
        <v>50</v>
      </c>
      <c r="Q4" s="349" t="s">
        <v>51</v>
      </c>
      <c r="R4" s="844"/>
    </row>
    <row r="5" spans="1:20" s="357" customFormat="1">
      <c r="A5" s="12" t="s">
        <v>106</v>
      </c>
      <c r="B5" s="16">
        <f>JAN!B102</f>
        <v>11173689.340000004</v>
      </c>
      <c r="C5" s="16">
        <f>JAN!C102</f>
        <v>1624877.0600000003</v>
      </c>
      <c r="D5" s="16">
        <f>JAN!D102</f>
        <v>414294.46000000008</v>
      </c>
      <c r="E5" s="16">
        <f>JAN!E102</f>
        <v>273703.60000000003</v>
      </c>
      <c r="F5" s="728">
        <f>JAN!F102+JAN!G102</f>
        <v>6710688.8399999999</v>
      </c>
      <c r="G5" s="728"/>
      <c r="H5" s="16">
        <f>JAN!H102</f>
        <v>206947.38000000003</v>
      </c>
      <c r="I5" s="16">
        <f>JAN!I102</f>
        <v>19010.68</v>
      </c>
      <c r="J5" s="16">
        <f>JAN!J102</f>
        <v>374174.06</v>
      </c>
      <c r="K5" s="16">
        <f>JAN!K102</f>
        <v>16630.859999999997</v>
      </c>
      <c r="L5" s="16">
        <f>JAN!L102</f>
        <v>1739.04</v>
      </c>
      <c r="M5" s="16">
        <f>JAN!M102</f>
        <v>2141.13</v>
      </c>
      <c r="N5" s="16">
        <f>JAN!N102</f>
        <v>25347.11</v>
      </c>
      <c r="O5" s="16">
        <f>JAN!O102</f>
        <v>0</v>
      </c>
      <c r="P5" s="16">
        <f>JAN!P102</f>
        <v>336.15999999999997</v>
      </c>
      <c r="Q5" s="16">
        <f>JAN!Q102</f>
        <v>7288.95</v>
      </c>
      <c r="R5" s="8">
        <f t="shared" ref="R5:R16" si="0">SUM(B5:Q5)</f>
        <v>20850868.669999998</v>
      </c>
      <c r="S5" s="377">
        <f>JAN!$R$102</f>
        <v>20850868.670000002</v>
      </c>
      <c r="T5" s="64" t="b">
        <f>S5=R5</f>
        <v>1</v>
      </c>
    </row>
    <row r="6" spans="1:20" s="357" customFormat="1">
      <c r="A6" s="12" t="s">
        <v>107</v>
      </c>
      <c r="B6" s="16">
        <f>FEV!B102</f>
        <v>12922947.51</v>
      </c>
      <c r="C6" s="16">
        <f>FEV!C102</f>
        <v>1899576.1600000004</v>
      </c>
      <c r="D6" s="16">
        <f>FEV!D102</f>
        <v>388254.64</v>
      </c>
      <c r="E6" s="16">
        <f>FEV!E102</f>
        <v>365541.57999999996</v>
      </c>
      <c r="F6" s="728">
        <f>FEV!F102+FEV!G102</f>
        <v>8213576.3999999994</v>
      </c>
      <c r="G6" s="728"/>
      <c r="H6" s="16">
        <f>FEV!H102</f>
        <v>288013.44999999995</v>
      </c>
      <c r="I6" s="16">
        <f>FEV!I102</f>
        <v>34093.18</v>
      </c>
      <c r="J6" s="16">
        <f>FEV!J102</f>
        <v>454611.51000000007</v>
      </c>
      <c r="K6" s="16">
        <f>FEV!K102</f>
        <v>29661.629999999994</v>
      </c>
      <c r="L6" s="16">
        <f>FEV!L102</f>
        <v>2173.8000000000002</v>
      </c>
      <c r="M6" s="16">
        <f>FEV!M102</f>
        <v>2350.23</v>
      </c>
      <c r="N6" s="16">
        <f>FEV!N102</f>
        <v>24995.65</v>
      </c>
      <c r="O6" s="16">
        <f>FEV!O102</f>
        <v>0</v>
      </c>
      <c r="P6" s="16">
        <f>FEV!P102</f>
        <v>1631.85</v>
      </c>
      <c r="Q6" s="16">
        <f>FEV!Q102</f>
        <v>15772.84</v>
      </c>
      <c r="R6" s="8">
        <f t="shared" si="0"/>
        <v>24643200.43</v>
      </c>
      <c r="S6" s="377">
        <f>FEV!$R$102</f>
        <v>24643200.43</v>
      </c>
      <c r="T6" s="64" t="b">
        <f t="shared" ref="T6:T17" si="1">S6=R6</f>
        <v>1</v>
      </c>
    </row>
    <row r="7" spans="1:20" s="357" customFormat="1">
      <c r="A7" s="12" t="s">
        <v>108</v>
      </c>
      <c r="B7" s="16">
        <f>MAR!B102</f>
        <v>11210919.770000001</v>
      </c>
      <c r="C7" s="16">
        <f>MAR!C102</f>
        <v>2008511.4700000002</v>
      </c>
      <c r="D7" s="16">
        <f>MAR!D102</f>
        <v>226604.11999999997</v>
      </c>
      <c r="E7" s="16">
        <f>MAR!E102</f>
        <v>373921.94999999995</v>
      </c>
      <c r="F7" s="728">
        <f>MAR!F102+MAR!G102</f>
        <v>10254889.439999999</v>
      </c>
      <c r="G7" s="728"/>
      <c r="H7" s="16">
        <f>MAR!H102</f>
        <v>338839.17</v>
      </c>
      <c r="I7" s="16">
        <f>MAR!I102</f>
        <v>32037.960000000003</v>
      </c>
      <c r="J7" s="16">
        <f>MAR!J102</f>
        <v>484974.68</v>
      </c>
      <c r="K7" s="16">
        <f>MAR!K102</f>
        <v>35976.390000000007</v>
      </c>
      <c r="L7" s="16">
        <f>MAR!L102</f>
        <v>3478.0800000000004</v>
      </c>
      <c r="M7" s="16">
        <f>MAR!M102</f>
        <v>3806.75</v>
      </c>
      <c r="N7" s="16">
        <f>MAR!N102</f>
        <v>19590.600000000002</v>
      </c>
      <c r="O7" s="16">
        <f>MAR!O102</f>
        <v>0</v>
      </c>
      <c r="P7" s="16">
        <f>MAR!P102</f>
        <v>1471.95</v>
      </c>
      <c r="Q7" s="16">
        <f>MAR!Q102</f>
        <v>27758.070000000003</v>
      </c>
      <c r="R7" s="8">
        <f t="shared" si="0"/>
        <v>25022780.400000002</v>
      </c>
      <c r="S7" s="377">
        <f>MAR!R102</f>
        <v>25022780.399999999</v>
      </c>
      <c r="T7" s="64" t="b">
        <f t="shared" si="1"/>
        <v>1</v>
      </c>
    </row>
    <row r="8" spans="1:20" s="357" customFormat="1">
      <c r="A8" s="12" t="s">
        <v>109</v>
      </c>
      <c r="B8" s="16">
        <f>ABR!B102</f>
        <v>5269558.54</v>
      </c>
      <c r="C8" s="16">
        <f>ABR!C102</f>
        <v>1356338.5999999999</v>
      </c>
      <c r="D8" s="16">
        <f>ABR!D102</f>
        <v>139317.31</v>
      </c>
      <c r="E8" s="16">
        <f>ABR!E102</f>
        <v>247468.26</v>
      </c>
      <c r="F8" s="728">
        <f>ABR!F102+ABR!G102</f>
        <v>8729636.1700000018</v>
      </c>
      <c r="G8" s="728"/>
      <c r="H8" s="16">
        <f>ABR!H102</f>
        <v>262674.42</v>
      </c>
      <c r="I8" s="16">
        <f>ABR!I102</f>
        <v>30826.39</v>
      </c>
      <c r="J8" s="16">
        <f>ABR!J102</f>
        <v>335352.07999999996</v>
      </c>
      <c r="K8" s="16">
        <f>ABR!K102</f>
        <v>31411.409999999996</v>
      </c>
      <c r="L8" s="16">
        <f>ABR!L102</f>
        <v>2825.9400000000005</v>
      </c>
      <c r="M8" s="16">
        <f>ABR!M102</f>
        <v>5138.09</v>
      </c>
      <c r="N8" s="16">
        <f>ABR!N102</f>
        <v>12933.599999999999</v>
      </c>
      <c r="O8" s="16">
        <f>ABR!O102</f>
        <v>0</v>
      </c>
      <c r="P8" s="16">
        <f>ABR!P102</f>
        <v>21.25</v>
      </c>
      <c r="Q8" s="16">
        <f>ABR!Q102</f>
        <v>0</v>
      </c>
      <c r="R8" s="8">
        <f>SUM(B8:Q8)</f>
        <v>16423502.060000001</v>
      </c>
      <c r="S8" s="377">
        <f>ABR!R102</f>
        <v>16423502.059999999</v>
      </c>
      <c r="T8" s="64" t="b">
        <f t="shared" si="1"/>
        <v>1</v>
      </c>
    </row>
    <row r="9" spans="1:20" s="357" customFormat="1">
      <c r="A9" s="12" t="s">
        <v>110</v>
      </c>
      <c r="B9" s="16">
        <f>MAI!B102</f>
        <v>6235857.3400000008</v>
      </c>
      <c r="C9" s="16">
        <f>MAI!C102</f>
        <v>1611903.44</v>
      </c>
      <c r="D9" s="16">
        <f>MAI!D102</f>
        <v>135110.14000000001</v>
      </c>
      <c r="E9" s="16">
        <f>MAI!E102</f>
        <v>308732.00000000006</v>
      </c>
      <c r="F9" s="728">
        <f>MAI!F102+MAI!G102</f>
        <v>10288921.469999999</v>
      </c>
      <c r="G9" s="728"/>
      <c r="H9" s="16">
        <f>MAI!H102</f>
        <v>330079.30999999994</v>
      </c>
      <c r="I9" s="16">
        <f>MAI!I102</f>
        <v>39510.509999999995</v>
      </c>
      <c r="J9" s="16">
        <f>MAI!J102</f>
        <v>413870.97</v>
      </c>
      <c r="K9" s="16">
        <f>MAI!K102</f>
        <v>41084.82</v>
      </c>
      <c r="L9" s="16">
        <f>MAI!L102</f>
        <v>2608.5600000000004</v>
      </c>
      <c r="M9" s="16">
        <f>MAI!M102</f>
        <v>5455.11</v>
      </c>
      <c r="N9" s="16">
        <f>MAI!N102</f>
        <v>13948</v>
      </c>
      <c r="O9" s="16">
        <f>MAI!O102</f>
        <v>0</v>
      </c>
      <c r="P9" s="16">
        <f>MAI!P102</f>
        <v>1227.6199999999999</v>
      </c>
      <c r="Q9" s="16">
        <f>MAI!Q102</f>
        <v>16157.23</v>
      </c>
      <c r="R9" s="8">
        <f t="shared" si="0"/>
        <v>19444466.52</v>
      </c>
      <c r="S9" s="377">
        <f>MAI!R102</f>
        <v>19444466.520000003</v>
      </c>
      <c r="T9" s="64" t="b">
        <f t="shared" si="1"/>
        <v>1</v>
      </c>
    </row>
    <row r="10" spans="1:20" s="357" customFormat="1">
      <c r="A10" s="12" t="s">
        <v>111</v>
      </c>
      <c r="B10" s="16">
        <f>JUN!B102</f>
        <v>6858946.7699999996</v>
      </c>
      <c r="C10" s="16">
        <f>JUN!C102</f>
        <v>1415494.13</v>
      </c>
      <c r="D10" s="16">
        <f>JUN!D102</f>
        <v>141859.54</v>
      </c>
      <c r="E10" s="16">
        <f>JUN!E102</f>
        <v>255692.09000000003</v>
      </c>
      <c r="F10" s="728">
        <f>JUN!F102+JUN!G102</f>
        <v>9565958.9199999981</v>
      </c>
      <c r="G10" s="728"/>
      <c r="H10" s="16">
        <f>JUN!H102</f>
        <v>311759.65999999997</v>
      </c>
      <c r="I10" s="16">
        <f>JUN!I102</f>
        <v>30910.650000000005</v>
      </c>
      <c r="J10" s="16">
        <f>JUN!J102</f>
        <v>361542.77000000008</v>
      </c>
      <c r="K10" s="16">
        <f>JUN!K102</f>
        <v>32389.62</v>
      </c>
      <c r="L10" s="16">
        <f>JUN!L102</f>
        <v>1304.28</v>
      </c>
      <c r="M10" s="16">
        <f>JUN!M102</f>
        <v>5478.91</v>
      </c>
      <c r="N10" s="16">
        <f>JUN!N102</f>
        <v>11567.369999999999</v>
      </c>
      <c r="O10" s="16">
        <f>JUN!O102</f>
        <v>0</v>
      </c>
      <c r="P10" s="16">
        <f>JUN!P102</f>
        <v>178.95</v>
      </c>
      <c r="Q10" s="16">
        <f>JUN!Q102</f>
        <v>2151.25</v>
      </c>
      <c r="R10" s="8">
        <f>SUM(B10:Q10)</f>
        <v>18995234.909999996</v>
      </c>
      <c r="S10" s="377">
        <f>JUN!R102</f>
        <v>18995234.909999996</v>
      </c>
      <c r="T10" s="64" t="b">
        <f>S10=R10</f>
        <v>1</v>
      </c>
    </row>
    <row r="11" spans="1:20" s="357" customFormat="1">
      <c r="A11" s="12" t="s">
        <v>112</v>
      </c>
      <c r="B11" s="16">
        <f>JUL!B102</f>
        <v>5332887.26</v>
      </c>
      <c r="C11" s="16">
        <f>JUL!C102</f>
        <v>1212241.77</v>
      </c>
      <c r="D11" s="16">
        <f>JUL!D102</f>
        <v>307286.05000000005</v>
      </c>
      <c r="E11" s="16">
        <f>JUL!E102</f>
        <v>216643.60000000003</v>
      </c>
      <c r="F11" s="728">
        <f>JUL!F102+JUL!G102</f>
        <v>9487952.629999999</v>
      </c>
      <c r="G11" s="728"/>
      <c r="H11" s="16">
        <f>JUL!H102</f>
        <v>307050.43</v>
      </c>
      <c r="I11" s="16">
        <f>JUL!I102</f>
        <v>40074.400000000001</v>
      </c>
      <c r="J11" s="16">
        <f>JUL!J102</f>
        <v>513881.04000000004</v>
      </c>
      <c r="K11" s="16">
        <f>JUL!K102</f>
        <v>37606.740000000005</v>
      </c>
      <c r="L11" s="16">
        <f>JUL!L102</f>
        <v>2608.56</v>
      </c>
      <c r="M11" s="16">
        <f>JUL!M102</f>
        <v>3962.0499999999997</v>
      </c>
      <c r="N11" s="16">
        <f>JUL!N102</f>
        <v>10334.199999999999</v>
      </c>
      <c r="O11" s="16">
        <f>JUL!O102</f>
        <v>0</v>
      </c>
      <c r="P11" s="16">
        <f>JUL!P102</f>
        <v>814.31999999999994</v>
      </c>
      <c r="Q11" s="16">
        <f>JUL!Q102</f>
        <v>16070.32</v>
      </c>
      <c r="R11" s="8">
        <f t="shared" si="0"/>
        <v>17489413.369999994</v>
      </c>
      <c r="S11" s="377">
        <f>JUL!R102</f>
        <v>17489413.369999997</v>
      </c>
      <c r="T11" s="64" t="b">
        <f t="shared" si="1"/>
        <v>1</v>
      </c>
    </row>
    <row r="12" spans="1:20" s="357" customFormat="1">
      <c r="A12" s="12" t="s">
        <v>113</v>
      </c>
      <c r="B12" s="16">
        <f>AGO!B102</f>
        <v>2453996.9</v>
      </c>
      <c r="C12" s="16">
        <f>AGO!C102</f>
        <v>1410497.09</v>
      </c>
      <c r="D12" s="16">
        <f>AGO!D102</f>
        <v>1130342.05</v>
      </c>
      <c r="E12" s="16">
        <f>AGO!E102</f>
        <v>405032.99</v>
      </c>
      <c r="F12" s="728">
        <f>AGO!F102+AGO!G102</f>
        <v>10458010.630000001</v>
      </c>
      <c r="G12" s="728"/>
      <c r="H12" s="16">
        <f>AGO!H102</f>
        <v>433230.74000000005</v>
      </c>
      <c r="I12" s="16">
        <f>AGO!I102</f>
        <v>44113.59</v>
      </c>
      <c r="J12" s="16">
        <f>AGO!J102</f>
        <v>705110.46</v>
      </c>
      <c r="K12" s="16">
        <f>AGO!K102</f>
        <v>40976.12999999999</v>
      </c>
      <c r="L12" s="16">
        <f>AGO!L102</f>
        <v>6304.02</v>
      </c>
      <c r="M12" s="16">
        <f>AGO!M102</f>
        <v>7737.4099999999989</v>
      </c>
      <c r="N12" s="16">
        <f>AGO!N102</f>
        <v>10619.500000000002</v>
      </c>
      <c r="O12" s="16">
        <f>AGO!O102</f>
        <v>116.24000000000001</v>
      </c>
      <c r="P12" s="16">
        <f>AGO!P102</f>
        <v>174.28</v>
      </c>
      <c r="Q12" s="16">
        <f>AGO!Q102</f>
        <v>3423.59</v>
      </c>
      <c r="R12" s="8">
        <f t="shared" si="0"/>
        <v>17109685.619999997</v>
      </c>
      <c r="S12" s="377">
        <f>AGO!R102</f>
        <v>17109685.620000001</v>
      </c>
      <c r="T12" s="64" t="b">
        <f t="shared" si="1"/>
        <v>1</v>
      </c>
    </row>
    <row r="13" spans="1:20" s="357" customFormat="1">
      <c r="A13" s="12" t="s">
        <v>114</v>
      </c>
      <c r="B13" s="16">
        <f>SET!B102</f>
        <v>1799799.16</v>
      </c>
      <c r="C13" s="16">
        <f>SET!C102</f>
        <v>1151448.6500000001</v>
      </c>
      <c r="D13" s="16">
        <f>SET!D102</f>
        <v>544540.93999999994</v>
      </c>
      <c r="E13" s="16">
        <f>SET!E102</f>
        <v>378030.97000000003</v>
      </c>
      <c r="F13" s="728">
        <f>SET!F102+SET!G102</f>
        <v>9454290.959999999</v>
      </c>
      <c r="G13" s="728"/>
      <c r="H13" s="16">
        <f>SET!H102</f>
        <v>400545.30999999994</v>
      </c>
      <c r="I13" s="16">
        <f>SET!I102</f>
        <v>37010.479999999996</v>
      </c>
      <c r="J13" s="16">
        <f>SET!J102</f>
        <v>638656.66</v>
      </c>
      <c r="K13" s="16">
        <f>SET!K102</f>
        <v>30650.579999999998</v>
      </c>
      <c r="L13" s="16">
        <f>SET!L102</f>
        <v>3695.46</v>
      </c>
      <c r="M13" s="16">
        <f>SET!M102</f>
        <v>7513.19</v>
      </c>
      <c r="N13" s="16">
        <f>SET!N102</f>
        <v>9193</v>
      </c>
      <c r="O13" s="16">
        <f>SET!O102</f>
        <v>52.83</v>
      </c>
      <c r="P13" s="16">
        <f>SET!P102</f>
        <v>982.82</v>
      </c>
      <c r="Q13" s="16">
        <f>SET!Q102</f>
        <v>17342.259999999998</v>
      </c>
      <c r="R13" s="8">
        <f t="shared" si="0"/>
        <v>14473753.270000001</v>
      </c>
      <c r="S13" s="377">
        <f>SET!R102</f>
        <v>14473753.270000001</v>
      </c>
      <c r="T13" s="64" t="b">
        <f t="shared" si="1"/>
        <v>1</v>
      </c>
    </row>
    <row r="14" spans="1:20" s="357" customFormat="1">
      <c r="A14" s="12" t="s">
        <v>115</v>
      </c>
      <c r="B14" s="16">
        <f>OUT!B102</f>
        <v>0</v>
      </c>
      <c r="C14" s="16">
        <f>OUT!C102</f>
        <v>0</v>
      </c>
      <c r="D14" s="16">
        <f>OUT!D102</f>
        <v>0</v>
      </c>
      <c r="E14" s="16">
        <f>OUT!E102</f>
        <v>0</v>
      </c>
      <c r="F14" s="728">
        <f>OUT!F102+OUT!G102</f>
        <v>0</v>
      </c>
      <c r="G14" s="728"/>
      <c r="H14" s="16">
        <f>OUT!H102</f>
        <v>0</v>
      </c>
      <c r="I14" s="16">
        <f>OUT!I102</f>
        <v>0</v>
      </c>
      <c r="J14" s="16">
        <f>OUT!J102</f>
        <v>0</v>
      </c>
      <c r="K14" s="16">
        <f>OUT!K102</f>
        <v>0</v>
      </c>
      <c r="L14" s="16">
        <f>OUT!L102</f>
        <v>0</v>
      </c>
      <c r="M14" s="16">
        <f>OUT!M102</f>
        <v>0</v>
      </c>
      <c r="N14" s="16">
        <f>OUT!N102</f>
        <v>0</v>
      </c>
      <c r="O14" s="16">
        <f>OUT!O102</f>
        <v>0</v>
      </c>
      <c r="P14" s="16">
        <f>OUT!P102</f>
        <v>0</v>
      </c>
      <c r="Q14" s="16">
        <f>OUT!Q102</f>
        <v>0</v>
      </c>
      <c r="R14" s="8">
        <f t="shared" si="0"/>
        <v>0</v>
      </c>
      <c r="S14" s="377">
        <f>OUT!R102</f>
        <v>0</v>
      </c>
      <c r="T14" s="64" t="b">
        <f t="shared" si="1"/>
        <v>1</v>
      </c>
    </row>
    <row r="15" spans="1:20" s="357" customFormat="1">
      <c r="A15" s="12" t="s">
        <v>116</v>
      </c>
      <c r="B15" s="16">
        <f>NOV!B102</f>
        <v>0</v>
      </c>
      <c r="C15" s="16">
        <f>NOV!C102</f>
        <v>0</v>
      </c>
      <c r="D15" s="16">
        <f>NOV!D102</f>
        <v>0</v>
      </c>
      <c r="E15" s="16">
        <f>NOV!E102</f>
        <v>0</v>
      </c>
      <c r="F15" s="728">
        <f>NOV!F102+NOV!G102</f>
        <v>0</v>
      </c>
      <c r="G15" s="728"/>
      <c r="H15" s="16">
        <f>NOV!H102</f>
        <v>0</v>
      </c>
      <c r="I15" s="16">
        <f>NOV!I102</f>
        <v>0</v>
      </c>
      <c r="J15" s="16">
        <f>NOV!J102</f>
        <v>0</v>
      </c>
      <c r="K15" s="16">
        <f>NOV!K102</f>
        <v>0</v>
      </c>
      <c r="L15" s="16">
        <f>NOV!L102</f>
        <v>0</v>
      </c>
      <c r="M15" s="16">
        <f>NOV!M102</f>
        <v>0</v>
      </c>
      <c r="N15" s="16">
        <f>NOV!N102</f>
        <v>0</v>
      </c>
      <c r="O15" s="16">
        <f>NOV!O102</f>
        <v>0</v>
      </c>
      <c r="P15" s="16">
        <f>NOV!P102</f>
        <v>0</v>
      </c>
      <c r="Q15" s="16">
        <f>NOV!Q102</f>
        <v>0</v>
      </c>
      <c r="R15" s="8">
        <f t="shared" si="0"/>
        <v>0</v>
      </c>
      <c r="S15" s="377">
        <f>NOV!R102</f>
        <v>0</v>
      </c>
      <c r="T15" s="64" t="b">
        <f t="shared" si="1"/>
        <v>1</v>
      </c>
    </row>
    <row r="16" spans="1:20" s="357" customFormat="1">
      <c r="A16" s="12" t="s">
        <v>117</v>
      </c>
      <c r="B16" s="16">
        <f>DEZ!B102</f>
        <v>0</v>
      </c>
      <c r="C16" s="16">
        <f>DEZ!C102</f>
        <v>0</v>
      </c>
      <c r="D16" s="16">
        <f>DEZ!D102</f>
        <v>0</v>
      </c>
      <c r="E16" s="16">
        <f>DEZ!E102</f>
        <v>0</v>
      </c>
      <c r="F16" s="728">
        <f>DEZ!F102+DEZ!G102</f>
        <v>0</v>
      </c>
      <c r="G16" s="728"/>
      <c r="H16" s="16">
        <f>DEZ!H102</f>
        <v>0</v>
      </c>
      <c r="I16" s="16">
        <f>DEZ!I102</f>
        <v>0</v>
      </c>
      <c r="J16" s="16">
        <f>DEZ!J102</f>
        <v>0</v>
      </c>
      <c r="K16" s="16">
        <f>DEZ!K102</f>
        <v>0</v>
      </c>
      <c r="L16" s="16">
        <f>DEZ!L102</f>
        <v>0</v>
      </c>
      <c r="M16" s="16">
        <f>DEZ!M102</f>
        <v>0</v>
      </c>
      <c r="N16" s="16">
        <f>DEZ!N102</f>
        <v>0</v>
      </c>
      <c r="O16" s="16">
        <f>DEZ!O102</f>
        <v>0</v>
      </c>
      <c r="P16" s="16">
        <f>DEZ!P102</f>
        <v>0</v>
      </c>
      <c r="Q16" s="16">
        <f>DEZ!Q102</f>
        <v>0</v>
      </c>
      <c r="R16" s="8">
        <f t="shared" si="0"/>
        <v>0</v>
      </c>
      <c r="S16" s="377">
        <f>DEZ!R102</f>
        <v>0</v>
      </c>
      <c r="T16" s="64" t="b">
        <f t="shared" si="1"/>
        <v>1</v>
      </c>
    </row>
    <row r="17" spans="1:20" s="357" customFormat="1">
      <c r="A17" s="14" t="s">
        <v>170</v>
      </c>
      <c r="B17" s="18">
        <f t="shared" ref="B17:R17" si="2">SUM(B5:B16)</f>
        <v>63258602.590000004</v>
      </c>
      <c r="C17" s="18">
        <f t="shared" si="2"/>
        <v>13690888.369999999</v>
      </c>
      <c r="D17" s="18">
        <f t="shared" si="2"/>
        <v>3427609.25</v>
      </c>
      <c r="E17" s="18">
        <f t="shared" si="2"/>
        <v>2824767.0400000005</v>
      </c>
      <c r="F17" s="18">
        <f t="shared" si="2"/>
        <v>83163925.459999979</v>
      </c>
      <c r="G17" s="18">
        <f t="shared" si="2"/>
        <v>0</v>
      </c>
      <c r="H17" s="18">
        <f t="shared" si="2"/>
        <v>2879139.87</v>
      </c>
      <c r="I17" s="18">
        <f t="shared" si="2"/>
        <v>307587.83999999997</v>
      </c>
      <c r="J17" s="18">
        <f t="shared" si="2"/>
        <v>4282174.2300000004</v>
      </c>
      <c r="K17" s="18">
        <f t="shared" si="2"/>
        <v>296388.18000000005</v>
      </c>
      <c r="L17" s="18">
        <f t="shared" si="2"/>
        <v>26737.74</v>
      </c>
      <c r="M17" s="18">
        <f t="shared" si="2"/>
        <v>43582.87</v>
      </c>
      <c r="N17" s="18">
        <f t="shared" si="2"/>
        <v>138529.02999999997</v>
      </c>
      <c r="O17" s="18">
        <f t="shared" si="2"/>
        <v>169.07</v>
      </c>
      <c r="P17" s="18">
        <f t="shared" si="2"/>
        <v>6839.1999999999989</v>
      </c>
      <c r="Q17" s="18">
        <f t="shared" si="2"/>
        <v>105964.51</v>
      </c>
      <c r="R17" s="18">
        <f t="shared" si="2"/>
        <v>174452905.25</v>
      </c>
      <c r="S17" s="377">
        <f>SUM(S5:S16)</f>
        <v>174452905.25000003</v>
      </c>
      <c r="T17" s="64" t="b">
        <f t="shared" si="1"/>
        <v>1</v>
      </c>
    </row>
    <row r="18" spans="1:20" s="357" customFormat="1">
      <c r="B18" s="363"/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  <c r="P18" s="363"/>
      <c r="Q18" s="363"/>
      <c r="R18" s="363"/>
      <c r="S18" s="563"/>
    </row>
    <row r="19" spans="1:20" s="357" customFormat="1">
      <c r="F19" s="64"/>
      <c r="G19" s="730" t="s">
        <v>132</v>
      </c>
      <c r="H19" s="729"/>
      <c r="I19" s="729"/>
      <c r="J19" s="729"/>
      <c r="K19" s="729"/>
      <c r="L19" s="729"/>
      <c r="M19" s="729"/>
      <c r="N19" s="729"/>
      <c r="O19" s="729"/>
      <c r="P19" s="729"/>
      <c r="Q19" s="729"/>
    </row>
    <row r="20" spans="1:20" s="357" customFormat="1">
      <c r="F20" s="12" t="s">
        <v>106</v>
      </c>
      <c r="G20" s="378">
        <f>SUM(H5:Q5)</f>
        <v>653615.37</v>
      </c>
      <c r="O20" s="390"/>
    </row>
    <row r="21" spans="1:20" s="357" customFormat="1">
      <c r="F21" s="12" t="s">
        <v>107</v>
      </c>
      <c r="G21" s="378">
        <f t="shared" ref="G21:G31" si="3">SUM(H6:Q6)</f>
        <v>853304.14</v>
      </c>
    </row>
    <row r="22" spans="1:20" s="357" customFormat="1">
      <c r="F22" s="12" t="s">
        <v>108</v>
      </c>
      <c r="G22" s="378">
        <f t="shared" si="3"/>
        <v>947933.64999999991</v>
      </c>
    </row>
    <row r="23" spans="1:20" s="357" customFormat="1">
      <c r="F23" s="12" t="s">
        <v>109</v>
      </c>
      <c r="G23" s="378">
        <f t="shared" si="3"/>
        <v>681183.17999999982</v>
      </c>
    </row>
    <row r="24" spans="1:20" s="357" customFormat="1">
      <c r="F24" s="12" t="s">
        <v>110</v>
      </c>
      <c r="G24" s="378">
        <f t="shared" si="3"/>
        <v>863942.12999999989</v>
      </c>
    </row>
    <row r="25" spans="1:20" s="357" customFormat="1">
      <c r="F25" s="12" t="s">
        <v>111</v>
      </c>
      <c r="G25" s="378">
        <f t="shared" si="3"/>
        <v>757283.46000000008</v>
      </c>
    </row>
    <row r="26" spans="1:20" s="357" customFormat="1">
      <c r="F26" s="12" t="s">
        <v>112</v>
      </c>
      <c r="G26" s="378">
        <f t="shared" si="3"/>
        <v>932402.06</v>
      </c>
    </row>
    <row r="27" spans="1:20" s="357" customFormat="1">
      <c r="F27" s="12" t="s">
        <v>113</v>
      </c>
      <c r="G27" s="378">
        <f t="shared" si="3"/>
        <v>1251805.96</v>
      </c>
    </row>
    <row r="28" spans="1:20" s="357" customFormat="1">
      <c r="F28" s="12" t="s">
        <v>114</v>
      </c>
      <c r="G28" s="378">
        <f>SUM(H13:Q13)</f>
        <v>1145642.5900000001</v>
      </c>
    </row>
    <row r="29" spans="1:20" s="357" customFormat="1">
      <c r="F29" s="12" t="s">
        <v>115</v>
      </c>
      <c r="G29" s="378">
        <f t="shared" si="3"/>
        <v>0</v>
      </c>
    </row>
    <row r="30" spans="1:20" s="357" customFormat="1">
      <c r="F30" s="12" t="s">
        <v>116</v>
      </c>
      <c r="G30" s="378">
        <f t="shared" si="3"/>
        <v>0</v>
      </c>
    </row>
    <row r="31" spans="1:20" s="357" customFormat="1">
      <c r="F31" s="12" t="s">
        <v>117</v>
      </c>
      <c r="G31" s="378">
        <f t="shared" si="3"/>
        <v>0</v>
      </c>
    </row>
    <row r="32" spans="1:20" s="357" customFormat="1">
      <c r="F32" s="14" t="s">
        <v>170</v>
      </c>
      <c r="G32" s="379">
        <f>SUM(G20:G31)</f>
        <v>8087112.54</v>
      </c>
    </row>
    <row r="35" spans="2:7">
      <c r="B35" s="576">
        <f>B17*0.8</f>
        <v>50606882.072000004</v>
      </c>
      <c r="C35" s="576">
        <f t="shared" ref="C35:F35" si="4">C17*0.8</f>
        <v>10952710.696</v>
      </c>
      <c r="D35" s="576">
        <f t="shared" si="4"/>
        <v>2742087.4000000004</v>
      </c>
      <c r="E35" s="576">
        <f t="shared" si="4"/>
        <v>2259813.6320000007</v>
      </c>
      <c r="F35" s="576">
        <f t="shared" si="4"/>
        <v>66531140.367999986</v>
      </c>
      <c r="G35" s="576">
        <f>G32*0.8</f>
        <v>6469690.0320000006</v>
      </c>
    </row>
    <row r="37" spans="2:7">
      <c r="E37" s="720"/>
      <c r="F37" s="719"/>
    </row>
    <row r="38" spans="2:7">
      <c r="E38" s="720"/>
      <c r="F38" s="719"/>
    </row>
    <row r="39" spans="2:7">
      <c r="E39" s="720"/>
      <c r="F39" s="719"/>
    </row>
    <row r="40" spans="2:7">
      <c r="E40" s="720"/>
      <c r="F40" s="719"/>
    </row>
    <row r="41" spans="2:7">
      <c r="E41" s="720"/>
      <c r="F41" s="719"/>
    </row>
    <row r="42" spans="2:7">
      <c r="E42" s="720"/>
      <c r="F42" s="719"/>
    </row>
    <row r="43" spans="2:7">
      <c r="E43" s="720"/>
      <c r="F43" s="719"/>
    </row>
    <row r="44" spans="2:7">
      <c r="E44" s="720"/>
      <c r="F44" s="719"/>
    </row>
    <row r="45" spans="2:7">
      <c r="E45" s="720"/>
      <c r="F45" s="719"/>
    </row>
    <row r="46" spans="2:7">
      <c r="E46" s="720"/>
      <c r="F46" s="719"/>
    </row>
    <row r="47" spans="2:7">
      <c r="E47" s="720"/>
      <c r="F47" s="719"/>
    </row>
  </sheetData>
  <mergeCells count="16">
    <mergeCell ref="P3:Q3"/>
    <mergeCell ref="O3:O4"/>
    <mergeCell ref="M3:M4"/>
    <mergeCell ref="R3:R4"/>
    <mergeCell ref="A2:R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N3:N4"/>
  </mergeCells>
  <phoneticPr fontId="68" type="noConversion"/>
  <conditionalFormatting sqref="T5:T17">
    <cfRule type="cellIs" dxfId="127" priority="1" operator="equal">
      <formula>FALSE</formula>
    </cfRule>
    <cfRule type="cellIs" dxfId="126" priority="2" operator="equal">
      <formula>TRUE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>
    <tabColor theme="6"/>
  </sheetPr>
  <dimension ref="A1:F35"/>
  <sheetViews>
    <sheetView showGridLines="0" zoomScale="110" zoomScaleNormal="110" workbookViewId="0">
      <selection sqref="A1:AC1"/>
    </sheetView>
  </sheetViews>
  <sheetFormatPr defaultRowHeight="15"/>
  <cols>
    <col min="1" max="1" width="9.140625" style="145"/>
    <col min="2" max="2" width="11.28515625" style="145" bestFit="1" customWidth="1"/>
    <col min="3" max="3" width="11.5703125" style="145" bestFit="1" customWidth="1"/>
    <col min="4" max="4" width="17.5703125" style="145" bestFit="1" customWidth="1"/>
    <col min="5" max="5" width="19.140625" style="145" customWidth="1"/>
    <col min="6" max="6" width="12.42578125" style="145" bestFit="1" customWidth="1"/>
    <col min="7" max="16384" width="9.140625" style="145"/>
  </cols>
  <sheetData>
    <row r="1" spans="1:6">
      <c r="A1" s="67"/>
      <c r="B1" s="67" t="s">
        <v>218</v>
      </c>
      <c r="C1" s="67" t="s">
        <v>217</v>
      </c>
      <c r="D1" s="67" t="s">
        <v>437</v>
      </c>
    </row>
    <row r="2" spans="1:6" ht="15" customHeight="1">
      <c r="A2" s="67" t="s">
        <v>77</v>
      </c>
      <c r="B2" s="400">
        <v>386</v>
      </c>
      <c r="C2" s="400">
        <v>353</v>
      </c>
      <c r="D2" s="400">
        <f>VLOOKUP($A$2:$A$28,'Relatórios - SICCAU e IGEO'!$A$3:$C$29,3,)</f>
        <v>739</v>
      </c>
      <c r="E2" s="145" t="b">
        <f>B2+C2=D2</f>
        <v>1</v>
      </c>
    </row>
    <row r="3" spans="1:6">
      <c r="A3" s="67" t="s">
        <v>78</v>
      </c>
      <c r="B3" s="400">
        <v>596</v>
      </c>
      <c r="C3" s="400">
        <v>1626</v>
      </c>
      <c r="D3" s="400">
        <f>VLOOKUP(A3:$A$28,'Relatórios - SICCAU e IGEO'!$A$3:$C$29,3,)</f>
        <v>2222</v>
      </c>
      <c r="E3" s="145" t="b">
        <f>B3+C3=D3</f>
        <v>1</v>
      </c>
      <c r="F3" s="564"/>
    </row>
    <row r="4" spans="1:6">
      <c r="A4" s="67" t="s">
        <v>80</v>
      </c>
      <c r="B4" s="400">
        <v>944</v>
      </c>
      <c r="C4" s="400">
        <v>1409</v>
      </c>
      <c r="D4" s="400">
        <f>VLOOKUP(A4:$A$28,'Relatórios - SICCAU e IGEO'!$A$3:$C$29,3,)</f>
        <v>2353</v>
      </c>
      <c r="E4" s="145" t="b">
        <f t="shared" ref="E4:E28" si="0">B4+C4=D4</f>
        <v>1</v>
      </c>
      <c r="F4" s="564"/>
    </row>
    <row r="5" spans="1:6">
      <c r="A5" s="67" t="s">
        <v>79</v>
      </c>
      <c r="B5" s="400">
        <v>481</v>
      </c>
      <c r="C5" s="400">
        <v>405</v>
      </c>
      <c r="D5" s="400">
        <f>VLOOKUP(A5:$A$28,'Relatórios - SICCAU e IGEO'!$A$3:$C$29,3,)</f>
        <v>886</v>
      </c>
      <c r="E5" s="145" t="b">
        <f t="shared" si="0"/>
        <v>1</v>
      </c>
      <c r="F5" s="564"/>
    </row>
    <row r="6" spans="1:6">
      <c r="A6" s="67" t="s">
        <v>81</v>
      </c>
      <c r="B6" s="400">
        <v>2749</v>
      </c>
      <c r="C6" s="400">
        <v>4695</v>
      </c>
      <c r="D6" s="400">
        <f>VLOOKUP(A6:$A$28,'Relatórios - SICCAU e IGEO'!$A$3:$C$29,3,)</f>
        <v>7444</v>
      </c>
      <c r="E6" s="145" t="b">
        <f t="shared" si="0"/>
        <v>1</v>
      </c>
      <c r="F6" s="564"/>
    </row>
    <row r="7" spans="1:6">
      <c r="A7" s="67" t="s">
        <v>82</v>
      </c>
      <c r="B7" s="400">
        <v>1847</v>
      </c>
      <c r="C7" s="400">
        <v>2910</v>
      </c>
      <c r="D7" s="400">
        <f>VLOOKUP(A7:$A$28,'Relatórios - SICCAU e IGEO'!$A$3:$C$29,3,)</f>
        <v>4757</v>
      </c>
      <c r="E7" s="145" t="b">
        <f t="shared" si="0"/>
        <v>1</v>
      </c>
      <c r="F7" s="564"/>
    </row>
    <row r="8" spans="1:6">
      <c r="A8" s="67" t="s">
        <v>83</v>
      </c>
      <c r="B8" s="400">
        <v>2392</v>
      </c>
      <c r="C8" s="400">
        <v>4380</v>
      </c>
      <c r="D8" s="400">
        <f>VLOOKUP(A8:$A$28,'Relatórios - SICCAU e IGEO'!$A$3:$C$29,3,)</f>
        <v>6772</v>
      </c>
      <c r="E8" s="145" t="b">
        <f t="shared" si="0"/>
        <v>1</v>
      </c>
      <c r="F8" s="564"/>
    </row>
    <row r="9" spans="1:6">
      <c r="A9" s="67" t="s">
        <v>84</v>
      </c>
      <c r="B9" s="400">
        <v>1090</v>
      </c>
      <c r="C9" s="400">
        <v>3046</v>
      </c>
      <c r="D9" s="400">
        <f>VLOOKUP(A9:$A$28,'Relatórios - SICCAU e IGEO'!$A$3:$C$29,3,)</f>
        <v>4136</v>
      </c>
      <c r="E9" s="145" t="b">
        <f t="shared" si="0"/>
        <v>1</v>
      </c>
      <c r="F9" s="564"/>
    </row>
    <row r="10" spans="1:6">
      <c r="A10" s="67" t="s">
        <v>85</v>
      </c>
      <c r="B10" s="400">
        <v>1701</v>
      </c>
      <c r="C10" s="400">
        <v>3704</v>
      </c>
      <c r="D10" s="400">
        <f>VLOOKUP(A10:$A$28,'Relatórios - SICCAU e IGEO'!$A$3:$C$29,3,)</f>
        <v>5405</v>
      </c>
      <c r="E10" s="145" t="b">
        <f t="shared" si="0"/>
        <v>1</v>
      </c>
      <c r="F10" s="564"/>
    </row>
    <row r="11" spans="1:6">
      <c r="A11" s="67" t="s">
        <v>86</v>
      </c>
      <c r="B11" s="400">
        <v>887</v>
      </c>
      <c r="C11" s="400">
        <v>1365</v>
      </c>
      <c r="D11" s="400">
        <f>VLOOKUP(A11:$A$28,'Relatórios - SICCAU e IGEO'!$A$3:$C$29,3,)</f>
        <v>2252</v>
      </c>
      <c r="E11" s="145" t="b">
        <f t="shared" si="0"/>
        <v>1</v>
      </c>
      <c r="F11" s="564"/>
    </row>
    <row r="12" spans="1:6">
      <c r="A12" s="67" t="s">
        <v>89</v>
      </c>
      <c r="B12" s="400">
        <v>5417</v>
      </c>
      <c r="C12" s="400">
        <v>12460</v>
      </c>
      <c r="D12" s="400">
        <f>VLOOKUP(A12:$A$28,'Relatórios - SICCAU e IGEO'!$A$3:$C$29,3,)</f>
        <v>17877</v>
      </c>
      <c r="E12" s="145" t="b">
        <f t="shared" si="0"/>
        <v>1</v>
      </c>
      <c r="F12" s="564"/>
    </row>
    <row r="13" spans="1:6">
      <c r="A13" s="67" t="s">
        <v>88</v>
      </c>
      <c r="B13" s="400">
        <v>1359</v>
      </c>
      <c r="C13" s="400">
        <v>2281</v>
      </c>
      <c r="D13" s="400">
        <f>VLOOKUP(A13:$A$28,'Relatórios - SICCAU e IGEO'!$A$3:$C$29,3,)</f>
        <v>3640</v>
      </c>
      <c r="E13" s="145" t="b">
        <f t="shared" si="0"/>
        <v>1</v>
      </c>
      <c r="F13" s="564"/>
    </row>
    <row r="14" spans="1:6">
      <c r="A14" s="67" t="s">
        <v>87</v>
      </c>
      <c r="B14" s="400">
        <v>1214</v>
      </c>
      <c r="C14" s="400">
        <v>2425</v>
      </c>
      <c r="D14" s="400">
        <f>VLOOKUP(A14:$A$28,'Relatórios - SICCAU e IGEO'!$A$3:$C$29,3,)</f>
        <v>3639</v>
      </c>
      <c r="E14" s="145" t="b">
        <f t="shared" si="0"/>
        <v>1</v>
      </c>
      <c r="F14" s="564"/>
    </row>
    <row r="15" spans="1:6">
      <c r="A15" s="67" t="s">
        <v>90</v>
      </c>
      <c r="B15" s="400">
        <v>1165</v>
      </c>
      <c r="C15" s="400">
        <v>2136</v>
      </c>
      <c r="D15" s="400">
        <f>VLOOKUP(A15:$A$28,'Relatórios - SICCAU e IGEO'!$A$3:$C$29,3,)</f>
        <v>3301</v>
      </c>
      <c r="E15" s="145" t="b">
        <f t="shared" si="0"/>
        <v>1</v>
      </c>
      <c r="F15" s="564"/>
    </row>
    <row r="16" spans="1:6">
      <c r="A16" s="67" t="s">
        <v>91</v>
      </c>
      <c r="B16" s="400">
        <v>1125</v>
      </c>
      <c r="C16" s="400">
        <v>2068</v>
      </c>
      <c r="D16" s="400">
        <f>VLOOKUP(A16:$A$28,'Relatórios - SICCAU e IGEO'!$A$3:$C$29,3,)</f>
        <v>3193</v>
      </c>
      <c r="E16" s="145" t="b">
        <f t="shared" si="0"/>
        <v>1</v>
      </c>
      <c r="F16" s="564"/>
    </row>
    <row r="17" spans="1:6">
      <c r="A17" s="67" t="s">
        <v>93</v>
      </c>
      <c r="B17" s="400">
        <v>1774</v>
      </c>
      <c r="C17" s="400">
        <v>3859</v>
      </c>
      <c r="D17" s="400">
        <f>VLOOKUP(A17:$A$28,'Relatórios - SICCAU e IGEO'!$A$3:$C$29,3,)</f>
        <v>5633</v>
      </c>
      <c r="E17" s="145" t="b">
        <f t="shared" si="0"/>
        <v>1</v>
      </c>
      <c r="F17" s="564"/>
    </row>
    <row r="18" spans="1:6">
      <c r="A18" s="67" t="s">
        <v>94</v>
      </c>
      <c r="B18" s="400">
        <v>561</v>
      </c>
      <c r="C18" s="400">
        <v>1052</v>
      </c>
      <c r="D18" s="400">
        <f>VLOOKUP(A18:$A$28,'Relatórios - SICCAU e IGEO'!$A$3:$C$29,3,)</f>
        <v>1613</v>
      </c>
      <c r="E18" s="145" t="b">
        <f t="shared" si="0"/>
        <v>1</v>
      </c>
      <c r="F18" s="564"/>
    </row>
    <row r="19" spans="1:6">
      <c r="A19" s="67" t="s">
        <v>92</v>
      </c>
      <c r="B19" s="400">
        <v>4781</v>
      </c>
      <c r="C19" s="400">
        <v>9802</v>
      </c>
      <c r="D19" s="400">
        <f>VLOOKUP(A19:$A$28,'Relatórios - SICCAU e IGEO'!$A$3:$C$29,3,)</f>
        <v>14583</v>
      </c>
      <c r="E19" s="145" t="b">
        <f t="shared" si="0"/>
        <v>1</v>
      </c>
      <c r="F19" s="564"/>
    </row>
    <row r="20" spans="1:6">
      <c r="A20" s="67" t="s">
        <v>95</v>
      </c>
      <c r="B20" s="400">
        <v>8693</v>
      </c>
      <c r="C20" s="400">
        <v>12748</v>
      </c>
      <c r="D20" s="400">
        <f>VLOOKUP(A20:$A$28,'Relatórios - SICCAU e IGEO'!$A$3:$C$29,3,)</f>
        <v>21441</v>
      </c>
      <c r="E20" s="145" t="b">
        <f t="shared" si="0"/>
        <v>1</v>
      </c>
      <c r="F20" s="564"/>
    </row>
    <row r="21" spans="1:6">
      <c r="A21" s="67" t="s">
        <v>96</v>
      </c>
      <c r="B21" s="400">
        <v>760</v>
      </c>
      <c r="C21" s="399">
        <v>2029</v>
      </c>
      <c r="D21" s="400">
        <f>VLOOKUP(A21:$A$28,'Relatórios - SICCAU e IGEO'!$A$3:$C$29,3,)</f>
        <v>2789</v>
      </c>
      <c r="E21" s="145" t="b">
        <f t="shared" si="0"/>
        <v>1</v>
      </c>
      <c r="F21" s="564"/>
    </row>
    <row r="22" spans="1:6">
      <c r="A22" s="67" t="s">
        <v>98</v>
      </c>
      <c r="B22" s="400">
        <v>638</v>
      </c>
      <c r="C22" s="400">
        <v>833</v>
      </c>
      <c r="D22" s="400">
        <f>VLOOKUP(A22:$A$28,'Relatórios - SICCAU e IGEO'!$A$3:$C$29,3,)</f>
        <v>1471</v>
      </c>
      <c r="E22" s="145" t="b">
        <f t="shared" si="0"/>
        <v>1</v>
      </c>
      <c r="F22" s="564"/>
    </row>
    <row r="23" spans="1:6">
      <c r="A23" s="67" t="s">
        <v>99</v>
      </c>
      <c r="B23" s="400">
        <v>97</v>
      </c>
      <c r="C23" s="400">
        <v>156</v>
      </c>
      <c r="D23" s="400">
        <f>VLOOKUP(A23:$A$28,'Relatórios - SICCAU e IGEO'!$A$3:$C$29,3,)</f>
        <v>253</v>
      </c>
      <c r="E23" s="145" t="b">
        <f t="shared" si="0"/>
        <v>1</v>
      </c>
      <c r="F23" s="564"/>
    </row>
    <row r="24" spans="1:6">
      <c r="A24" s="67" t="s">
        <v>97</v>
      </c>
      <c r="B24" s="400">
        <v>6074</v>
      </c>
      <c r="C24" s="400">
        <v>12006</v>
      </c>
      <c r="D24" s="400">
        <f>VLOOKUP(A24:$A$28,'Relatórios - SICCAU e IGEO'!$A$3:$C$29,3,)</f>
        <v>18080</v>
      </c>
      <c r="E24" s="145" t="b">
        <f t="shared" si="0"/>
        <v>1</v>
      </c>
      <c r="F24" s="564"/>
    </row>
    <row r="25" spans="1:6">
      <c r="A25" s="67" t="s">
        <v>100</v>
      </c>
      <c r="B25" s="400">
        <v>3756</v>
      </c>
      <c r="C25" s="400">
        <v>8090</v>
      </c>
      <c r="D25" s="400">
        <f>VLOOKUP(A25:$A$28,'Relatórios - SICCAU e IGEO'!$A$3:$C$29,3,)</f>
        <v>11846</v>
      </c>
      <c r="E25" s="145" t="b">
        <f t="shared" si="0"/>
        <v>1</v>
      </c>
      <c r="F25" s="564"/>
    </row>
    <row r="26" spans="1:6">
      <c r="A26" s="67" t="s">
        <v>102</v>
      </c>
      <c r="B26" s="400">
        <v>635</v>
      </c>
      <c r="C26" s="400">
        <v>1024</v>
      </c>
      <c r="D26" s="400">
        <f>VLOOKUP(A26:$A$28,'Relatórios - SICCAU e IGEO'!$A$3:$C$29,3,)</f>
        <v>1659</v>
      </c>
      <c r="E26" s="145" t="b">
        <f t="shared" si="0"/>
        <v>1</v>
      </c>
      <c r="F26" s="564"/>
    </row>
    <row r="27" spans="1:6">
      <c r="A27" s="67" t="s">
        <v>101</v>
      </c>
      <c r="B27" s="400">
        <v>24494</v>
      </c>
      <c r="C27" s="400">
        <v>42294</v>
      </c>
      <c r="D27" s="400">
        <f>VLOOKUP(A27:$A$28,'Relatórios - SICCAU e IGEO'!$A$3:$C$29,3,)</f>
        <v>66788</v>
      </c>
      <c r="E27" s="145" t="b">
        <f t="shared" si="0"/>
        <v>1</v>
      </c>
      <c r="F27" s="564"/>
    </row>
    <row r="28" spans="1:6">
      <c r="A28" s="67" t="s">
        <v>103</v>
      </c>
      <c r="B28" s="400">
        <v>365</v>
      </c>
      <c r="C28" s="400">
        <v>568</v>
      </c>
      <c r="D28" s="400">
        <f>VLOOKUP(A28:$A$28,'Relatórios - SICCAU e IGEO'!$A$3:$C$29,3,)</f>
        <v>933</v>
      </c>
      <c r="E28" s="145" t="b">
        <f t="shared" si="0"/>
        <v>1</v>
      </c>
      <c r="F28" s="564"/>
    </row>
    <row r="29" spans="1:6">
      <c r="A29" s="570" t="s">
        <v>224</v>
      </c>
      <c r="B29" s="571">
        <f>SUM(B2:B28)</f>
        <v>75981</v>
      </c>
      <c r="C29" s="571">
        <f>SUM(C2:C28)</f>
        <v>139724</v>
      </c>
      <c r="D29" s="571">
        <f>SUM(D2:D28)</f>
        <v>215705</v>
      </c>
      <c r="E29" s="145" t="b">
        <f>B29+C29=D29</f>
        <v>1</v>
      </c>
      <c r="F29" s="564"/>
    </row>
    <row r="30" spans="1:6">
      <c r="A30" s="19"/>
      <c r="B30" s="19"/>
      <c r="C30" s="19"/>
      <c r="D30" s="19"/>
      <c r="E30" s="19"/>
    </row>
    <row r="31" spans="1:6">
      <c r="A31" s="19"/>
      <c r="B31" s="532"/>
      <c r="C31" s="532"/>
      <c r="D31" s="566" t="b">
        <f>D29='Relatórios - SICCAU e IGEO'!C30</f>
        <v>1</v>
      </c>
      <c r="E31" s="532"/>
    </row>
    <row r="32" spans="1:6">
      <c r="A32" s="19"/>
      <c r="B32" s="532"/>
      <c r="C32" s="532"/>
      <c r="D32" s="532"/>
      <c r="E32" s="532"/>
    </row>
    <row r="33" spans="1:5">
      <c r="A33" s="19"/>
      <c r="B33" s="532"/>
      <c r="C33" s="532"/>
      <c r="D33" s="532"/>
      <c r="E33" s="532"/>
    </row>
    <row r="34" spans="1:5">
      <c r="A34" s="19"/>
      <c r="B34" s="532"/>
      <c r="C34" s="532"/>
      <c r="D34" s="532"/>
      <c r="E34" s="532"/>
    </row>
    <row r="35" spans="1:5">
      <c r="A35" s="19"/>
      <c r="B35" s="19"/>
      <c r="C35" s="19"/>
      <c r="D35" s="19"/>
      <c r="E35" s="19"/>
    </row>
  </sheetData>
  <conditionalFormatting sqref="E2:E29">
    <cfRule type="cellIs" dxfId="125" priority="3" operator="equal">
      <formula>FALSE</formula>
    </cfRule>
    <cfRule type="cellIs" dxfId="124" priority="4" operator="equal">
      <formula>TRUE</formula>
    </cfRule>
  </conditionalFormatting>
  <conditionalFormatting sqref="D31">
    <cfRule type="cellIs" dxfId="123" priority="1" operator="equal">
      <formula>FALSE</formula>
    </cfRule>
    <cfRule type="cellIs" dxfId="122" priority="2" operator="equal">
      <formula>TRUE</formula>
    </cfRule>
  </conditionalFormatting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9">
    <tabColor theme="6"/>
    <pageSetUpPr fitToPage="1"/>
  </sheetPr>
  <dimension ref="A1:AX42"/>
  <sheetViews>
    <sheetView showGridLines="0" zoomScale="70" zoomScaleNormal="70" zoomScaleSheetLayoutView="50" workbookViewId="0">
      <pane xSplit="1" topLeftCell="B1" activePane="topRight" state="frozen"/>
      <selection sqref="A1:AC1"/>
      <selection pane="topRight" sqref="A1:AC1"/>
    </sheetView>
  </sheetViews>
  <sheetFormatPr defaultRowHeight="15.75"/>
  <cols>
    <col min="1" max="1" width="17" style="625" bestFit="1" customWidth="1"/>
    <col min="2" max="2" width="16.7109375" style="625" customWidth="1"/>
    <col min="3" max="14" width="16.7109375" style="165" customWidth="1"/>
    <col min="15" max="15" width="18.42578125" style="165" customWidth="1"/>
    <col min="16" max="16" width="17.85546875" style="165" bestFit="1" customWidth="1"/>
    <col min="17" max="17" width="18.42578125" style="165" bestFit="1" customWidth="1"/>
    <col min="18" max="18" width="17.85546875" style="165" bestFit="1" customWidth="1"/>
    <col min="19" max="19" width="17" style="165" bestFit="1" customWidth="1"/>
    <col min="20" max="20" width="17.85546875" style="165" bestFit="1" customWidth="1"/>
    <col min="21" max="21" width="17" style="165" bestFit="1" customWidth="1"/>
    <col min="22" max="22" width="17.85546875" style="165" bestFit="1" customWidth="1"/>
    <col min="23" max="23" width="17" style="622" bestFit="1" customWidth="1"/>
    <col min="24" max="24" width="17.85546875" style="622" bestFit="1" customWidth="1"/>
    <col min="25" max="25" width="17" style="165" bestFit="1" customWidth="1"/>
    <col min="26" max="26" width="17.85546875" style="165" bestFit="1" customWidth="1"/>
    <col min="27" max="27" width="17" style="165" bestFit="1" customWidth="1"/>
    <col min="28" max="28" width="17.85546875" style="165" bestFit="1" customWidth="1"/>
    <col min="29" max="29" width="17" style="165" bestFit="1" customWidth="1"/>
    <col min="30" max="30" width="17.85546875" style="165" bestFit="1" customWidth="1"/>
    <col min="31" max="31" width="15.5703125" style="165" bestFit="1" customWidth="1"/>
    <col min="32" max="32" width="17.85546875" style="165" bestFit="1" customWidth="1"/>
    <col min="33" max="33" width="15.5703125" style="165" bestFit="1" customWidth="1"/>
    <col min="34" max="34" width="17.85546875" style="165" bestFit="1" customWidth="1"/>
    <col min="35" max="35" width="15.5703125" style="165" bestFit="1" customWidth="1"/>
    <col min="36" max="36" width="17.85546875" style="165" bestFit="1" customWidth="1"/>
    <col min="37" max="37" width="15.5703125" style="165" bestFit="1" customWidth="1"/>
    <col min="38" max="38" width="17.85546875" style="165" bestFit="1" customWidth="1"/>
    <col min="39" max="39" width="17.7109375" style="165" customWidth="1"/>
    <col min="40" max="41" width="14.42578125" style="165" customWidth="1"/>
    <col min="42" max="42" width="11.140625" style="165" customWidth="1"/>
    <col min="43" max="44" width="12.42578125" style="625" bestFit="1" customWidth="1"/>
    <col min="45" max="45" width="8.5703125" style="625" bestFit="1" customWidth="1"/>
    <col min="46" max="46" width="11" style="625" bestFit="1" customWidth="1"/>
    <col min="47" max="47" width="8.5703125" style="625" bestFit="1" customWidth="1"/>
    <col min="48" max="48" width="8.140625" style="625" bestFit="1" customWidth="1"/>
    <col min="49" max="50" width="9.140625" style="394"/>
    <col min="51" max="16384" width="9.140625" style="165"/>
  </cols>
  <sheetData>
    <row r="1" spans="1:50" s="578" customFormat="1" ht="16.5" thickBot="1">
      <c r="A1" s="866" t="s">
        <v>552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  <c r="T1" s="866"/>
      <c r="U1" s="866"/>
      <c r="V1" s="866"/>
      <c r="W1" s="866"/>
      <c r="X1" s="866"/>
      <c r="Y1" s="866"/>
      <c r="Z1" s="866"/>
      <c r="AA1" s="866"/>
      <c r="AB1" s="866"/>
      <c r="AC1" s="866"/>
      <c r="AD1" s="866"/>
      <c r="AE1" s="866"/>
      <c r="AF1" s="866"/>
      <c r="AG1" s="866"/>
      <c r="AH1" s="866"/>
      <c r="AI1" s="866"/>
      <c r="AJ1" s="866"/>
      <c r="AK1" s="866"/>
      <c r="AL1" s="866"/>
      <c r="AM1" s="866"/>
      <c r="AN1" s="866"/>
      <c r="AO1" s="866"/>
      <c r="AQ1" s="233"/>
      <c r="AR1" s="233"/>
      <c r="AS1" s="233"/>
      <c r="AT1" s="233"/>
      <c r="AU1" s="233"/>
      <c r="AV1" s="233"/>
      <c r="AW1" s="579"/>
      <c r="AX1" s="579"/>
    </row>
    <row r="2" spans="1:50" s="578" customFormat="1">
      <c r="A2" s="876" t="s">
        <v>172</v>
      </c>
      <c r="B2" s="867" t="s">
        <v>166</v>
      </c>
      <c r="C2" s="868"/>
      <c r="D2" s="868"/>
      <c r="E2" s="868"/>
      <c r="F2" s="869"/>
      <c r="G2" s="873" t="s">
        <v>167</v>
      </c>
      <c r="H2" s="873"/>
      <c r="I2" s="873"/>
      <c r="J2" s="873"/>
      <c r="K2" s="873"/>
      <c r="L2" s="873"/>
      <c r="M2" s="879" t="s">
        <v>335</v>
      </c>
      <c r="N2" s="879" t="s">
        <v>331</v>
      </c>
      <c r="O2" s="884" t="s">
        <v>334</v>
      </c>
      <c r="P2" s="885"/>
      <c r="Q2" s="885"/>
      <c r="R2" s="885"/>
      <c r="S2" s="885"/>
      <c r="T2" s="885"/>
      <c r="U2" s="885"/>
      <c r="V2" s="885"/>
      <c r="W2" s="885"/>
      <c r="X2" s="885"/>
      <c r="Y2" s="885"/>
      <c r="Z2" s="885"/>
      <c r="AA2" s="885"/>
      <c r="AB2" s="885"/>
      <c r="AC2" s="885"/>
      <c r="AD2" s="885"/>
      <c r="AE2" s="885"/>
      <c r="AF2" s="885"/>
      <c r="AG2" s="885"/>
      <c r="AH2" s="885"/>
      <c r="AI2" s="885"/>
      <c r="AJ2" s="885"/>
      <c r="AK2" s="885"/>
      <c r="AL2" s="886"/>
      <c r="AM2" s="870" t="s">
        <v>333</v>
      </c>
      <c r="AN2" s="870" t="s">
        <v>332</v>
      </c>
      <c r="AO2" s="870" t="s">
        <v>331</v>
      </c>
      <c r="AQ2" s="233"/>
      <c r="AR2" s="233"/>
      <c r="AS2" s="233"/>
      <c r="AT2" s="233"/>
      <c r="AU2" s="233"/>
      <c r="AV2" s="233"/>
      <c r="AW2" s="579"/>
      <c r="AX2" s="579"/>
    </row>
    <row r="3" spans="1:50" s="578" customFormat="1" ht="15.75" customHeight="1">
      <c r="A3" s="877"/>
      <c r="B3" s="870" t="s">
        <v>326</v>
      </c>
      <c r="C3" s="870" t="s">
        <v>330</v>
      </c>
      <c r="D3" s="870" t="s">
        <v>329</v>
      </c>
      <c r="E3" s="870" t="s">
        <v>328</v>
      </c>
      <c r="F3" s="870" t="s">
        <v>327</v>
      </c>
      <c r="G3" s="862" t="s">
        <v>326</v>
      </c>
      <c r="H3" s="862" t="s">
        <v>325</v>
      </c>
      <c r="I3" s="862" t="s">
        <v>324</v>
      </c>
      <c r="J3" s="882" t="s">
        <v>412</v>
      </c>
      <c r="K3" s="882" t="s">
        <v>323</v>
      </c>
      <c r="L3" s="882" t="s">
        <v>322</v>
      </c>
      <c r="M3" s="880"/>
      <c r="N3" s="880"/>
      <c r="O3" s="864" t="s">
        <v>290</v>
      </c>
      <c r="P3" s="865"/>
      <c r="Q3" s="864" t="s">
        <v>289</v>
      </c>
      <c r="R3" s="865"/>
      <c r="S3" s="864" t="s">
        <v>321</v>
      </c>
      <c r="T3" s="865"/>
      <c r="U3" s="864" t="s">
        <v>288</v>
      </c>
      <c r="V3" s="865"/>
      <c r="W3" s="864" t="s">
        <v>287</v>
      </c>
      <c r="X3" s="865"/>
      <c r="Y3" s="864" t="s">
        <v>286</v>
      </c>
      <c r="Z3" s="865"/>
      <c r="AA3" s="864" t="s">
        <v>285</v>
      </c>
      <c r="AB3" s="865"/>
      <c r="AC3" s="864" t="s">
        <v>284</v>
      </c>
      <c r="AD3" s="865"/>
      <c r="AE3" s="864" t="s">
        <v>283</v>
      </c>
      <c r="AF3" s="865"/>
      <c r="AG3" s="864" t="s">
        <v>282</v>
      </c>
      <c r="AH3" s="865"/>
      <c r="AI3" s="864" t="s">
        <v>281</v>
      </c>
      <c r="AJ3" s="865"/>
      <c r="AK3" s="864" t="s">
        <v>280</v>
      </c>
      <c r="AL3" s="865"/>
      <c r="AM3" s="871"/>
      <c r="AN3" s="871"/>
      <c r="AO3" s="871"/>
      <c r="AQ3" s="233"/>
      <c r="AR3" s="233"/>
      <c r="AS3" s="233"/>
      <c r="AT3" s="233"/>
      <c r="AU3" s="233"/>
      <c r="AV3" s="233"/>
      <c r="AW3" s="579"/>
      <c r="AX3" s="579"/>
    </row>
    <row r="4" spans="1:50" s="583" customFormat="1">
      <c r="A4" s="878"/>
      <c r="B4" s="872"/>
      <c r="C4" s="872"/>
      <c r="D4" s="872"/>
      <c r="E4" s="872"/>
      <c r="F4" s="872"/>
      <c r="G4" s="863"/>
      <c r="H4" s="863"/>
      <c r="I4" s="863"/>
      <c r="J4" s="883"/>
      <c r="K4" s="883"/>
      <c r="L4" s="883"/>
      <c r="M4" s="881"/>
      <c r="N4" s="881"/>
      <c r="O4" s="580" t="s">
        <v>251</v>
      </c>
      <c r="P4" s="580" t="s">
        <v>320</v>
      </c>
      <c r="Q4" s="580" t="s">
        <v>251</v>
      </c>
      <c r="R4" s="580" t="s">
        <v>320</v>
      </c>
      <c r="S4" s="580" t="s">
        <v>251</v>
      </c>
      <c r="T4" s="580" t="s">
        <v>320</v>
      </c>
      <c r="U4" s="580" t="s">
        <v>251</v>
      </c>
      <c r="V4" s="580" t="s">
        <v>320</v>
      </c>
      <c r="W4" s="580" t="s">
        <v>251</v>
      </c>
      <c r="X4" s="580" t="s">
        <v>320</v>
      </c>
      <c r="Y4" s="580" t="s">
        <v>251</v>
      </c>
      <c r="Z4" s="580" t="s">
        <v>320</v>
      </c>
      <c r="AA4" s="580" t="s">
        <v>251</v>
      </c>
      <c r="AB4" s="580" t="s">
        <v>320</v>
      </c>
      <c r="AC4" s="580" t="s">
        <v>251</v>
      </c>
      <c r="AD4" s="580" t="s">
        <v>320</v>
      </c>
      <c r="AE4" s="580" t="s">
        <v>251</v>
      </c>
      <c r="AF4" s="580" t="s">
        <v>320</v>
      </c>
      <c r="AG4" s="580" t="s">
        <v>251</v>
      </c>
      <c r="AH4" s="580" t="s">
        <v>320</v>
      </c>
      <c r="AI4" s="580" t="s">
        <v>251</v>
      </c>
      <c r="AJ4" s="580" t="s">
        <v>320</v>
      </c>
      <c r="AK4" s="580" t="s">
        <v>251</v>
      </c>
      <c r="AL4" s="580" t="s">
        <v>320</v>
      </c>
      <c r="AM4" s="872"/>
      <c r="AN4" s="872"/>
      <c r="AO4" s="872"/>
      <c r="AP4" s="388"/>
      <c r="AQ4" s="581" t="s">
        <v>319</v>
      </c>
      <c r="AR4" s="581" t="s">
        <v>318</v>
      </c>
      <c r="AS4" s="581" t="s">
        <v>319</v>
      </c>
      <c r="AT4" s="581" t="s">
        <v>318</v>
      </c>
      <c r="AU4" s="581" t="s">
        <v>170</v>
      </c>
      <c r="AV4" s="581" t="s">
        <v>317</v>
      </c>
      <c r="AW4" s="582"/>
      <c r="AX4" s="582"/>
    </row>
    <row r="5" spans="1:50" s="578" customFormat="1">
      <c r="A5" s="584" t="s">
        <v>77</v>
      </c>
      <c r="B5" s="585">
        <v>720</v>
      </c>
      <c r="C5" s="585">
        <v>709</v>
      </c>
      <c r="D5" s="585">
        <v>481</v>
      </c>
      <c r="E5" s="586">
        <v>173232.09</v>
      </c>
      <c r="F5" s="586">
        <v>65999.62</v>
      </c>
      <c r="G5" s="587">
        <f>VLOOKUP($A$5:$A$31,'PF - Gênero'!$A$2:$D$28,4,)</f>
        <v>739</v>
      </c>
      <c r="H5" s="587">
        <f>VLOOKUP($A$5:$A$31,'Relatórios - SICCAU e IGEO'!$A$3:$B$29,2,)</f>
        <v>7</v>
      </c>
      <c r="I5" s="587">
        <f t="shared" ref="I5:I31" si="0">G5-H5</f>
        <v>732</v>
      </c>
      <c r="J5" s="587">
        <v>398</v>
      </c>
      <c r="K5" s="587">
        <v>214</v>
      </c>
      <c r="L5" s="587">
        <f t="shared" ref="L5:L31" si="1">J5-K5</f>
        <v>184</v>
      </c>
      <c r="M5" s="588">
        <f>J5/I5*100</f>
        <v>54.371584699453557</v>
      </c>
      <c r="N5" s="589">
        <f t="shared" ref="N5:N32" si="2">J5/$J$32*100</f>
        <v>0.30008293749528764</v>
      </c>
      <c r="O5" s="590">
        <f>VLOOKUP($A$5:$A$31,JAN!$A$5:$C$31,2,)</f>
        <v>13954.04</v>
      </c>
      <c r="P5" s="590">
        <f>VLOOKUP($A$5:$A$31,JAN!$A$5:$C$31,3,)</f>
        <v>6155.8240000000023</v>
      </c>
      <c r="Q5" s="590">
        <f>VLOOKUP($A$5:$A$31,FEV!$A$5:$C$31,2,)</f>
        <v>21182.608</v>
      </c>
      <c r="R5" s="590">
        <f>VLOOKUP($A$5:$A$31,FEV!$A$5:$C$31,3,)</f>
        <v>11930.32</v>
      </c>
      <c r="S5" s="590">
        <f>VLOOKUP($A$5:$A$31,MAR!$A$5:$S$31,2,)</f>
        <v>22564.648000000001</v>
      </c>
      <c r="T5" s="590">
        <f>VLOOKUP($A$5:$A$31,MAR!$A$5:$T$31,3,)</f>
        <v>10044.896000000001</v>
      </c>
      <c r="U5" s="591">
        <f>VLOOKUP($A$5:$A$31,ABR!$A$5:$B$31,2,)</f>
        <v>14084.392000000002</v>
      </c>
      <c r="V5" s="591">
        <f>VLOOKUP($A$5:$A$31,ABR!$A$5:$C$31,3,)</f>
        <v>7100.2000000000007</v>
      </c>
      <c r="W5" s="591">
        <f>VLOOKUP($A$5:$A$31,MAI!$A$5:$C$31,2,)</f>
        <v>20661.968000000001</v>
      </c>
      <c r="X5" s="591">
        <f>VLOOKUP($A$5:$A$31,MAI!$A$5:$C$31,3,)</f>
        <v>9385.2960000000003</v>
      </c>
      <c r="Y5" s="591">
        <f>VLOOKUP($A$5:$A$31,JUN!$A$5:$C$31,2,)</f>
        <v>18805.28</v>
      </c>
      <c r="Z5" s="591">
        <f>VLOOKUP($A$5:$A$31,JUN!$A$5:$C$31,3,)</f>
        <v>5531.6800000000021</v>
      </c>
      <c r="AA5" s="592">
        <f>VLOOKUP($A$5:$A$31,JUL!$A$5:$B$31,2,)</f>
        <v>16574.488000000001</v>
      </c>
      <c r="AB5" s="592">
        <f>VLOOKUP($A$5:$A$31,JUL!$A$5:$C$31,3,)</f>
        <v>4878.0080000000016</v>
      </c>
      <c r="AC5" s="592">
        <f>VLOOKUP($A$5:$A$31,AGO!$A$5:$B$31,2,)</f>
        <v>11541.864000000001</v>
      </c>
      <c r="AD5" s="592">
        <f>VLOOKUP($A$5:$A$31,AGO!$A$5:$C$31,3,)</f>
        <v>6857.3840000000018</v>
      </c>
      <c r="AE5" s="592">
        <f>VLOOKUP($A$5:$A$31,SET!$A$5:$B$31,2,)</f>
        <v>6457.648000000001</v>
      </c>
      <c r="AF5" s="592">
        <f>VLOOKUP($A$5:$A$31,SET!$A$5:$C$31,3,)</f>
        <v>3265.1999999999994</v>
      </c>
      <c r="AG5" s="592">
        <f>VLOOKUP($A$5:$A$31,OUT!$A$5:$B$31,2,)</f>
        <v>0</v>
      </c>
      <c r="AH5" s="592">
        <f>VLOOKUP($A$5:$A$31,OUT!$A$5:$C$31,3,)</f>
        <v>0</v>
      </c>
      <c r="AI5" s="593">
        <f>VLOOKUP($A$5:$A$31,NOV!$A$5:$B$31,2,)</f>
        <v>0</v>
      </c>
      <c r="AJ5" s="593">
        <f>VLOOKUP($A$5:$A$31,NOV!$A$5:$C$31,3,)</f>
        <v>0</v>
      </c>
      <c r="AK5" s="593">
        <f>VLOOKUP($A$5:$A$31,DEZ!$A$5:$B$31,2,)</f>
        <v>0</v>
      </c>
      <c r="AL5" s="593">
        <f>VLOOKUP($A$5:$A$31,DEZ!$A$5:$C$31,3,)</f>
        <v>0</v>
      </c>
      <c r="AM5" s="593">
        <f>SUM(O5:AL5)</f>
        <v>210975.74400000001</v>
      </c>
      <c r="AN5" s="594">
        <f t="shared" ref="AN5:AN34" si="3">AM5/(E5+F5)*100</f>
        <v>88.188870948587876</v>
      </c>
      <c r="AO5" s="594">
        <f t="shared" ref="AO5:AO34" si="4">AM5/$AM$34*100</f>
        <v>0.27417432054186003</v>
      </c>
      <c r="AP5" s="234"/>
      <c r="AQ5" s="595">
        <f>O5+Q5+S5+U5+W5+Y5+AA5+AC5+AE5+AG5+AI5+AK5</f>
        <v>145826.93599999999</v>
      </c>
      <c r="AR5" s="595">
        <f>P5+R5+T5+V5+X5+Z5+AB5+AD5+AF5+AH5+AJ5+AL5</f>
        <v>65148.808000000005</v>
      </c>
      <c r="AS5" s="596">
        <f>IFERROR(AQ5/E5,)</f>
        <v>0.84180093884452922</v>
      </c>
      <c r="AT5" s="596">
        <f>IFERROR(AR5/F5,)</f>
        <v>0.98710883486904943</v>
      </c>
      <c r="AU5" s="597">
        <f>IFERROR(AM5/(E5+F5),)</f>
        <v>0.88188870948587883</v>
      </c>
      <c r="AV5" s="721">
        <f>'Comparativo YoY'!GB36</f>
        <v>16.46674892165467</v>
      </c>
      <c r="AW5" s="579"/>
      <c r="AX5" s="579"/>
    </row>
    <row r="6" spans="1:50" s="578" customFormat="1">
      <c r="A6" s="584" t="s">
        <v>78</v>
      </c>
      <c r="B6" s="585">
        <v>2206</v>
      </c>
      <c r="C6" s="585">
        <v>2118</v>
      </c>
      <c r="D6" s="585">
        <v>1536</v>
      </c>
      <c r="E6" s="586">
        <v>558689.82999999996</v>
      </c>
      <c r="F6" s="586">
        <v>123638.42</v>
      </c>
      <c r="G6" s="587">
        <f>VLOOKUP($A$5:$A$31,'PF - Gênero'!$A$2:$D$28,4,)</f>
        <v>2222</v>
      </c>
      <c r="H6" s="587">
        <f>VLOOKUP($A$5:$A$31,'Relatórios - SICCAU e IGEO'!$A$3:$B$29,2,)</f>
        <v>61</v>
      </c>
      <c r="I6" s="587">
        <f t="shared" si="0"/>
        <v>2161</v>
      </c>
      <c r="J6" s="587">
        <v>1301</v>
      </c>
      <c r="K6" s="587">
        <v>862</v>
      </c>
      <c r="L6" s="587">
        <f t="shared" si="1"/>
        <v>439</v>
      </c>
      <c r="M6" s="588">
        <f t="shared" ref="M6:M32" si="5">J6/I6*100</f>
        <v>60.203609440074032</v>
      </c>
      <c r="N6" s="589">
        <f t="shared" si="2"/>
        <v>0.9809243760838422</v>
      </c>
      <c r="O6" s="590">
        <f>VLOOKUP($A$5:$A$31,JAN!$A$5:$C$31,2,)</f>
        <v>80737.26400000001</v>
      </c>
      <c r="P6" s="590">
        <f>VLOOKUP($A$5:$A$31,JAN!$A$5:$C$31,3,)</f>
        <v>18091.863999999998</v>
      </c>
      <c r="Q6" s="590">
        <f>VLOOKUP($A$5:$A$31,FEV!$A$5:$C$31,2,)</f>
        <v>110854.81599999999</v>
      </c>
      <c r="R6" s="590">
        <f>VLOOKUP($A$5:$A$31,FEV!$A$5:$C$31,3,)</f>
        <v>19235.207999999984</v>
      </c>
      <c r="S6" s="590">
        <f>VLOOKUP($A$5:$A$31,MAR!$A$5:$S$31,2,)</f>
        <v>82566.872000000003</v>
      </c>
      <c r="T6" s="590">
        <f>VLOOKUP($A$5:$A$31,MAR!$A$5:$T$31,3,)</f>
        <v>16746.151999999998</v>
      </c>
      <c r="U6" s="591">
        <f>VLOOKUP($A$5:$A$31,ABR!$A$5:$B$31,2,)</f>
        <v>47907.144</v>
      </c>
      <c r="V6" s="591">
        <f>VLOOKUP($A$5:$A$31,ABR!$A$5:$C$31,3,)</f>
        <v>12631.696</v>
      </c>
      <c r="W6" s="591">
        <f>VLOOKUP($A$5:$A$31,MAI!$A$5:$C$31,2,)</f>
        <v>41121.4</v>
      </c>
      <c r="X6" s="591">
        <f>VLOOKUP($A$5:$A$31,MAI!$A$5:$C$31,3,)</f>
        <v>11193.752</v>
      </c>
      <c r="Y6" s="591">
        <f>VLOOKUP($A$5:$A$31,JUN!$A$5:$C$31,2,)</f>
        <v>59599.080000000009</v>
      </c>
      <c r="Z6" s="591">
        <f>VLOOKUP($A$5:$A$31,JUN!$A$5:$C$31,3,)</f>
        <v>15039.304000000004</v>
      </c>
      <c r="AA6" s="592">
        <f>VLOOKUP($A$5:$A$31,JUL!$A$5:$B$31,2,)</f>
        <v>41764.712</v>
      </c>
      <c r="AB6" s="592">
        <f>VLOOKUP($A$5:$A$31,JUL!$A$5:$C$31,3,)</f>
        <v>8872.952000000003</v>
      </c>
      <c r="AC6" s="592">
        <f>VLOOKUP($A$5:$A$31,AGO!$A$5:$B$31,2,)</f>
        <v>17943.328000000001</v>
      </c>
      <c r="AD6" s="592">
        <f>VLOOKUP($A$5:$A$31,AGO!$A$5:$C$31,3,)</f>
        <v>11295.136000000002</v>
      </c>
      <c r="AE6" s="592">
        <f>VLOOKUP($A$5:$A$31,SET!$A$5:$B$31,2,)</f>
        <v>12681.928</v>
      </c>
      <c r="AF6" s="592">
        <f>VLOOKUP($A$5:$A$31,SET!$A$5:$C$31,3,)</f>
        <v>8812.8239999999987</v>
      </c>
      <c r="AG6" s="592">
        <f>VLOOKUP($A$5:$A$31,OUT!$A$5:$B$31,2,)</f>
        <v>0</v>
      </c>
      <c r="AH6" s="592">
        <f>VLOOKUP($A$5:$A$31,OUT!$A$5:$C$31,3,)</f>
        <v>0</v>
      </c>
      <c r="AI6" s="593">
        <f>VLOOKUP($A$5:$A$31,NOV!$A$5:$B$31,2,)</f>
        <v>0</v>
      </c>
      <c r="AJ6" s="593">
        <f>VLOOKUP($A$5:$A$31,NOV!$A$5:$C$31,3,)</f>
        <v>0</v>
      </c>
      <c r="AK6" s="593">
        <f>VLOOKUP($A$5:$A$31,DEZ!$A$5:$B$31,2,)</f>
        <v>0</v>
      </c>
      <c r="AL6" s="593">
        <f>VLOOKUP($A$5:$A$31,DEZ!$A$5:$C$31,3,)</f>
        <v>0</v>
      </c>
      <c r="AM6" s="593">
        <f t="shared" ref="AM6:AM31" si="6">SUM(O6:AL6)</f>
        <v>617095.43200000003</v>
      </c>
      <c r="AN6" s="594">
        <f t="shared" si="3"/>
        <v>90.439672107962693</v>
      </c>
      <c r="AO6" s="594">
        <f t="shared" si="4"/>
        <v>0.80194868647120665</v>
      </c>
      <c r="AP6" s="234"/>
      <c r="AQ6" s="595">
        <f t="shared" ref="AQ6:AQ34" si="7">O6+Q6+S6+U6+W6+Y6+AA6+AC6+AE6+AG6+AI6+AK6</f>
        <v>495176.54400000005</v>
      </c>
      <c r="AR6" s="595">
        <f t="shared" ref="AR6:AR34" si="8">P6+R6+T6+V6+X6+Z6+AB6+AD6+AF6+AH6+AJ6+AL6</f>
        <v>121918.88799999999</v>
      </c>
      <c r="AS6" s="596">
        <f t="shared" ref="AS6:AS34" si="9">IFERROR(AQ6/E6,)</f>
        <v>0.88631744737504903</v>
      </c>
      <c r="AT6" s="596">
        <f t="shared" ref="AT6:AT34" si="10">IFERROR(AR6/F6,)</f>
        <v>0.98609225190681016</v>
      </c>
      <c r="AU6" s="597">
        <f t="shared" ref="AU6:AU34" si="11">IFERROR(AM6/(E6+F6),)</f>
        <v>0.90439672107962699</v>
      </c>
      <c r="AV6" s="721">
        <f>'Comparativo YoY'!GB37</f>
        <v>19.124584867970441</v>
      </c>
      <c r="AW6" s="579"/>
      <c r="AX6" s="579"/>
    </row>
    <row r="7" spans="1:50" s="578" customFormat="1">
      <c r="A7" s="584" t="s">
        <v>80</v>
      </c>
      <c r="B7" s="585">
        <v>2347</v>
      </c>
      <c r="C7" s="585">
        <v>2329</v>
      </c>
      <c r="D7" s="585">
        <v>1473</v>
      </c>
      <c r="E7" s="586">
        <v>564760.02</v>
      </c>
      <c r="F7" s="586">
        <v>146693.6</v>
      </c>
      <c r="G7" s="587">
        <f>VLOOKUP($A$5:$A$31,'PF - Gênero'!$A$2:$D$28,4,)</f>
        <v>2353</v>
      </c>
      <c r="H7" s="587">
        <f>VLOOKUP($A$5:$A$31,'Relatórios - SICCAU e IGEO'!$A$3:$B$29,2,)</f>
        <v>15</v>
      </c>
      <c r="I7" s="587">
        <f t="shared" si="0"/>
        <v>2338</v>
      </c>
      <c r="J7" s="587">
        <v>1099</v>
      </c>
      <c r="K7" s="587">
        <v>605</v>
      </c>
      <c r="L7" s="587">
        <f t="shared" si="1"/>
        <v>494</v>
      </c>
      <c r="M7" s="588">
        <f t="shared" si="5"/>
        <v>47.005988023952092</v>
      </c>
      <c r="N7" s="589">
        <f t="shared" si="2"/>
        <v>0.82862097564653547</v>
      </c>
      <c r="O7" s="590">
        <f>VLOOKUP($A$5:$A$31,JAN!$A$5:$C$31,2,)</f>
        <v>43704.776000000005</v>
      </c>
      <c r="P7" s="590">
        <f>VLOOKUP($A$5:$A$31,JAN!$A$5:$C$31,3,)</f>
        <v>10111.896000000002</v>
      </c>
      <c r="Q7" s="590">
        <f>VLOOKUP($A$5:$A$31,FEV!$A$5:$C$31,2,)</f>
        <v>56372.152000000002</v>
      </c>
      <c r="R7" s="590">
        <f>VLOOKUP($A$5:$A$31,FEV!$A$5:$C$31,3,)</f>
        <v>13143.264000000003</v>
      </c>
      <c r="S7" s="590">
        <f>VLOOKUP($A$5:$A$31,MAR!$A$5:$S$31,2,)</f>
        <v>73756.728000000003</v>
      </c>
      <c r="T7" s="590">
        <f>VLOOKUP($A$5:$A$31,MAR!$A$5:$T$31,3,)</f>
        <v>16104.976000000002</v>
      </c>
      <c r="U7" s="591">
        <f>VLOOKUP($A$5:$A$31,ABR!$A$5:$B$31,2,)</f>
        <v>50320.072</v>
      </c>
      <c r="V7" s="591">
        <f>VLOOKUP($A$5:$A$31,ABR!$A$5:$C$31,3,)</f>
        <v>12948.568000000001</v>
      </c>
      <c r="W7" s="591">
        <f>VLOOKUP($A$5:$A$31,MAI!$A$5:$C$31,2,)</f>
        <v>48918.688000000002</v>
      </c>
      <c r="X7" s="591">
        <f>VLOOKUP($A$5:$A$31,MAI!$A$5:$C$31,3,)</f>
        <v>9533.9120000000021</v>
      </c>
      <c r="Y7" s="591">
        <f>VLOOKUP($A$5:$A$31,JUN!$A$5:$C$31,2,)</f>
        <v>67248.280000000013</v>
      </c>
      <c r="Z7" s="591">
        <f>VLOOKUP($A$5:$A$31,JUN!$A$5:$C$31,3,)</f>
        <v>11991.96</v>
      </c>
      <c r="AA7" s="592">
        <f>VLOOKUP($A$5:$A$31,JUL!$A$5:$B$31,2,)</f>
        <v>49223.200000000004</v>
      </c>
      <c r="AB7" s="592">
        <f>VLOOKUP($A$5:$A$31,JUL!$A$5:$C$31,3,)</f>
        <v>8751.6239999999998</v>
      </c>
      <c r="AC7" s="592">
        <f>VLOOKUP($A$5:$A$31,AGO!$A$5:$B$31,2,)</f>
        <v>20361.832000000002</v>
      </c>
      <c r="AD7" s="592">
        <f>VLOOKUP($A$5:$A$31,AGO!$A$5:$C$31,3,)</f>
        <v>8534.3520000000026</v>
      </c>
      <c r="AE7" s="592">
        <f>VLOOKUP($A$5:$A$31,SET!$A$5:$B$31,2,)</f>
        <v>12703.224000000002</v>
      </c>
      <c r="AF7" s="592">
        <f>VLOOKUP($A$5:$A$31,SET!$A$5:$C$31,3,)</f>
        <v>6961.1999999999989</v>
      </c>
      <c r="AG7" s="592">
        <f>VLOOKUP($A$5:$A$31,OUT!$A$5:$B$31,2,)</f>
        <v>0</v>
      </c>
      <c r="AH7" s="592">
        <f>VLOOKUP($A$5:$A$31,OUT!$A$5:$C$31,3,)</f>
        <v>0</v>
      </c>
      <c r="AI7" s="593">
        <f>VLOOKUP($A$5:$A$31,NOV!$A$5:$B$31,2,)</f>
        <v>0</v>
      </c>
      <c r="AJ7" s="593">
        <f>VLOOKUP($A$5:$A$31,NOV!$A$5:$C$31,3,)</f>
        <v>0</v>
      </c>
      <c r="AK7" s="593">
        <f>VLOOKUP($A$5:$A$31,DEZ!$A$5:$B$31,2,)</f>
        <v>0</v>
      </c>
      <c r="AL7" s="593">
        <f>VLOOKUP($A$5:$A$31,DEZ!$A$5:$C$31,3,)</f>
        <v>0</v>
      </c>
      <c r="AM7" s="593">
        <f t="shared" si="6"/>
        <v>520690.70400000014</v>
      </c>
      <c r="AN7" s="594">
        <f t="shared" si="3"/>
        <v>73.186879560750583</v>
      </c>
      <c r="AO7" s="594">
        <f t="shared" si="4"/>
        <v>0.67666556010184176</v>
      </c>
      <c r="AP7" s="234"/>
      <c r="AQ7" s="595">
        <f t="shared" si="7"/>
        <v>422608.95200000005</v>
      </c>
      <c r="AR7" s="595">
        <f t="shared" si="8"/>
        <v>98081.751999999993</v>
      </c>
      <c r="AS7" s="596">
        <f t="shared" si="9"/>
        <v>0.74829828074586446</v>
      </c>
      <c r="AT7" s="596">
        <f t="shared" si="10"/>
        <v>0.66861643589086361</v>
      </c>
      <c r="AU7" s="597">
        <f t="shared" si="11"/>
        <v>0.73186879560750584</v>
      </c>
      <c r="AV7" s="721">
        <f>'Comparativo YoY'!GB38</f>
        <v>8.0369931177729228</v>
      </c>
      <c r="AW7" s="579"/>
      <c r="AX7" s="579"/>
    </row>
    <row r="8" spans="1:50" s="578" customFormat="1">
      <c r="A8" s="584" t="s">
        <v>79</v>
      </c>
      <c r="B8" s="585">
        <v>883</v>
      </c>
      <c r="C8" s="585">
        <v>877</v>
      </c>
      <c r="D8" s="585">
        <v>518</v>
      </c>
      <c r="E8" s="586">
        <v>193991.7</v>
      </c>
      <c r="F8" s="586">
        <v>70623.45</v>
      </c>
      <c r="G8" s="587">
        <f>VLOOKUP($A$5:$A$31,'PF - Gênero'!$A$2:$D$28,4,)</f>
        <v>886</v>
      </c>
      <c r="H8" s="587">
        <f>VLOOKUP($A$5:$A$31,'Relatórios - SICCAU e IGEO'!$A$3:$B$29,2,)</f>
        <v>5</v>
      </c>
      <c r="I8" s="587">
        <f t="shared" si="0"/>
        <v>881</v>
      </c>
      <c r="J8" s="587">
        <v>417</v>
      </c>
      <c r="K8" s="587">
        <v>233</v>
      </c>
      <c r="L8" s="587">
        <f t="shared" si="1"/>
        <v>184</v>
      </c>
      <c r="M8" s="588">
        <f t="shared" si="5"/>
        <v>47.332576617480136</v>
      </c>
      <c r="N8" s="589">
        <f t="shared" si="2"/>
        <v>0.31440850486315314</v>
      </c>
      <c r="O8" s="590">
        <f>VLOOKUP($A$5:$A$31,JAN!$A$5:$C$31,2,)</f>
        <v>14083.384</v>
      </c>
      <c r="P8" s="590">
        <f>VLOOKUP($A$5:$A$31,JAN!$A$5:$C$31,3,)</f>
        <v>8773.4640000000018</v>
      </c>
      <c r="Q8" s="590">
        <f>VLOOKUP($A$5:$A$31,FEV!$A$5:$C$31,2,)</f>
        <v>22179.928</v>
      </c>
      <c r="R8" s="590">
        <f>VLOOKUP($A$5:$A$31,FEV!$A$5:$C$31,3,)</f>
        <v>6035.0879999999979</v>
      </c>
      <c r="S8" s="590">
        <f>VLOOKUP($A$5:$A$31,MAR!$A$5:$S$31,2,)</f>
        <v>26225.296000000002</v>
      </c>
      <c r="T8" s="590">
        <f>VLOOKUP($A$5:$A$31,MAR!$A$5:$T$31,3,)</f>
        <v>7545.5920000000006</v>
      </c>
      <c r="U8" s="591">
        <f>VLOOKUP($A$5:$A$31,ABR!$A$5:$B$31,2,)</f>
        <v>16615.04</v>
      </c>
      <c r="V8" s="591">
        <f>VLOOKUP($A$5:$A$31,ABR!$A$5:$C$31,3,)</f>
        <v>7248.344000000001</v>
      </c>
      <c r="W8" s="591">
        <f>VLOOKUP($A$5:$A$31,MAI!$A$5:$C$31,2,)</f>
        <v>19574.935999999998</v>
      </c>
      <c r="X8" s="591">
        <f>VLOOKUP($A$5:$A$31,MAI!$A$5:$C$31,3,)</f>
        <v>5324.4880000000003</v>
      </c>
      <c r="Y8" s="591">
        <f>VLOOKUP($A$5:$A$31,JUN!$A$5:$C$31,2,)</f>
        <v>20358.792000000001</v>
      </c>
      <c r="Z8" s="591">
        <f>VLOOKUP($A$5:$A$31,JUN!$A$5:$C$31,3,)</f>
        <v>4547.2639999999983</v>
      </c>
      <c r="AA8" s="592">
        <f>VLOOKUP($A$5:$A$31,JUL!$A$5:$B$31,2,)</f>
        <v>21805.864000000001</v>
      </c>
      <c r="AB8" s="592">
        <f>VLOOKUP($A$5:$A$31,JUL!$A$5:$C$31,3,)</f>
        <v>5921.7440000000006</v>
      </c>
      <c r="AC8" s="592">
        <f>VLOOKUP($A$5:$A$31,AGO!$A$5:$B$31,2,)</f>
        <v>9724.9040000000005</v>
      </c>
      <c r="AD8" s="592">
        <f>VLOOKUP($A$5:$A$31,AGO!$A$5:$C$31,3,)</f>
        <v>4433.9440000000022</v>
      </c>
      <c r="AE8" s="592">
        <f>VLOOKUP($A$5:$A$31,SET!$A$5:$B$31,2,)</f>
        <v>7783.1039999999994</v>
      </c>
      <c r="AF8" s="592">
        <f>VLOOKUP($A$5:$A$31,SET!$A$5:$C$31,3,)</f>
        <v>6344.2400000000016</v>
      </c>
      <c r="AG8" s="592">
        <f>VLOOKUP($A$5:$A$31,OUT!$A$5:$B$31,2,)</f>
        <v>0</v>
      </c>
      <c r="AH8" s="592">
        <f>VLOOKUP($A$5:$A$31,OUT!$A$5:$C$31,3,)</f>
        <v>0</v>
      </c>
      <c r="AI8" s="593">
        <f>VLOOKUP($A$5:$A$31,NOV!$A$5:$B$31,2,)</f>
        <v>0</v>
      </c>
      <c r="AJ8" s="593">
        <f>VLOOKUP($A$5:$A$31,NOV!$A$5:$C$31,3,)</f>
        <v>0</v>
      </c>
      <c r="AK8" s="593">
        <f>VLOOKUP($A$5:$A$31,DEZ!$A$5:$B$31,2,)</f>
        <v>0</v>
      </c>
      <c r="AL8" s="593">
        <f>VLOOKUP($A$5:$A$31,DEZ!$A$5:$C$31,3,)</f>
        <v>0</v>
      </c>
      <c r="AM8" s="593">
        <f t="shared" si="6"/>
        <v>214525.416</v>
      </c>
      <c r="AN8" s="594">
        <f t="shared" si="3"/>
        <v>81.070723274914528</v>
      </c>
      <c r="AO8" s="594">
        <f t="shared" si="4"/>
        <v>0.27878731012205771</v>
      </c>
      <c r="AP8" s="234"/>
      <c r="AQ8" s="595">
        <f t="shared" si="7"/>
        <v>158351.24799999999</v>
      </c>
      <c r="AR8" s="595">
        <f t="shared" si="8"/>
        <v>56174.168000000005</v>
      </c>
      <c r="AS8" s="596">
        <f t="shared" si="9"/>
        <v>0.81627846964586626</v>
      </c>
      <c r="AT8" s="596">
        <f t="shared" si="10"/>
        <v>0.79540390620962309</v>
      </c>
      <c r="AU8" s="597">
        <f t="shared" si="11"/>
        <v>0.81070723274914525</v>
      </c>
      <c r="AV8" s="721">
        <f>'Comparativo YoY'!GB39</f>
        <v>1.8864266769608378</v>
      </c>
      <c r="AW8" s="579"/>
      <c r="AX8" s="579"/>
    </row>
    <row r="9" spans="1:50" s="578" customFormat="1">
      <c r="A9" s="584" t="s">
        <v>81</v>
      </c>
      <c r="B9" s="585">
        <v>7436</v>
      </c>
      <c r="C9" s="585">
        <v>6633</v>
      </c>
      <c r="D9" s="585">
        <v>4840</v>
      </c>
      <c r="E9" s="586">
        <v>1725578.28</v>
      </c>
      <c r="F9" s="586">
        <v>369690.77</v>
      </c>
      <c r="G9" s="587">
        <f>VLOOKUP($A$5:$A$31,'PF - Gênero'!$A$2:$D$28,4,)</f>
        <v>7444</v>
      </c>
      <c r="H9" s="587">
        <f>VLOOKUP($A$5:$A$31,'Relatórios - SICCAU e IGEO'!$A$3:$B$29,2,)</f>
        <v>754</v>
      </c>
      <c r="I9" s="587">
        <f t="shared" si="0"/>
        <v>6690</v>
      </c>
      <c r="J9" s="587">
        <v>4179</v>
      </c>
      <c r="K9" s="587">
        <v>2566</v>
      </c>
      <c r="L9" s="587">
        <f t="shared" si="1"/>
        <v>1613</v>
      </c>
      <c r="M9" s="588">
        <f t="shared" si="5"/>
        <v>62.466367713004487</v>
      </c>
      <c r="N9" s="589">
        <f t="shared" si="2"/>
        <v>3.15087084370052</v>
      </c>
      <c r="O9" s="590">
        <f>VLOOKUP($A$5:$A$31,JAN!$A$5:$C$31,2,)</f>
        <v>231566.07999999999</v>
      </c>
      <c r="P9" s="590">
        <f>VLOOKUP($A$5:$A$31,JAN!$A$5:$C$31,3,)</f>
        <v>30706.631999999998</v>
      </c>
      <c r="Q9" s="590">
        <f>VLOOKUP($A$5:$A$31,FEV!$A$5:$C$31,2,)</f>
        <v>280273.24</v>
      </c>
      <c r="R9" s="590">
        <f>VLOOKUP($A$5:$A$31,FEV!$A$5:$C$31,3,)</f>
        <v>38622.728000000025</v>
      </c>
      <c r="S9" s="590">
        <f>VLOOKUP($A$5:$A$31,MAR!$A$5:$S$31,2,)</f>
        <v>293871.56800000003</v>
      </c>
      <c r="T9" s="590">
        <f>VLOOKUP($A$5:$A$31,MAR!$A$5:$T$31,3,)</f>
        <v>45949.256000000001</v>
      </c>
      <c r="U9" s="591">
        <f>VLOOKUP($A$5:$A$31,ABR!$A$5:$B$31,2,)</f>
        <v>129599.92800000001</v>
      </c>
      <c r="V9" s="591">
        <f>VLOOKUP($A$5:$A$31,ABR!$A$5:$C$31,3,)</f>
        <v>40568.336000000003</v>
      </c>
      <c r="W9" s="591">
        <f>VLOOKUP($A$5:$A$31,MAI!$A$5:$C$31,2,)</f>
        <v>161512.38400000002</v>
      </c>
      <c r="X9" s="591">
        <f>VLOOKUP($A$5:$A$31,MAI!$A$5:$C$31,3,)</f>
        <v>33000.944000000003</v>
      </c>
      <c r="Y9" s="591">
        <f>VLOOKUP($A$5:$A$31,JUN!$A$5:$C$31,2,)</f>
        <v>171049.74400000001</v>
      </c>
      <c r="Z9" s="591">
        <f>VLOOKUP($A$5:$A$31,JUN!$A$5:$C$31,3,)</f>
        <v>26079.536000000011</v>
      </c>
      <c r="AA9" s="592">
        <f>VLOOKUP($A$5:$A$31,JUL!$A$5:$B$31,2,)</f>
        <v>136445.44</v>
      </c>
      <c r="AB9" s="592">
        <f>VLOOKUP($A$5:$A$31,JUL!$A$5:$C$31,3,)</f>
        <v>23323.896000000022</v>
      </c>
      <c r="AC9" s="592">
        <f>VLOOKUP($A$5:$A$31,AGO!$A$5:$B$31,2,)</f>
        <v>66028.335999999996</v>
      </c>
      <c r="AD9" s="592">
        <f>VLOOKUP($A$5:$A$31,AGO!$A$5:$C$31,3,)</f>
        <v>27897.864000000001</v>
      </c>
      <c r="AE9" s="592">
        <f>VLOOKUP($A$5:$A$31,SET!$A$5:$B$31,2,)</f>
        <v>59893.168000000005</v>
      </c>
      <c r="AF9" s="592">
        <f>VLOOKUP($A$5:$A$31,SET!$A$5:$C$31,3,)</f>
        <v>23301.82399999999</v>
      </c>
      <c r="AG9" s="592">
        <f>VLOOKUP($A$5:$A$31,OUT!$A$5:$B$31,2,)</f>
        <v>0</v>
      </c>
      <c r="AH9" s="592">
        <f>VLOOKUP($A$5:$A$31,OUT!$A$5:$C$31,3,)</f>
        <v>0</v>
      </c>
      <c r="AI9" s="593">
        <f>VLOOKUP($A$5:$A$31,NOV!$A$5:$B$31,2,)</f>
        <v>0</v>
      </c>
      <c r="AJ9" s="593">
        <f>VLOOKUP($A$5:$A$31,NOV!$A$5:$C$31,3,)</f>
        <v>0</v>
      </c>
      <c r="AK9" s="593">
        <f>VLOOKUP($A$5:$A$31,DEZ!$A$5:$B$31,2,)</f>
        <v>0</v>
      </c>
      <c r="AL9" s="593">
        <f>VLOOKUP($A$5:$A$31,DEZ!$A$5:$C$31,3,)</f>
        <v>0</v>
      </c>
      <c r="AM9" s="593">
        <f t="shared" si="6"/>
        <v>1819690.9040000001</v>
      </c>
      <c r="AN9" s="594">
        <f t="shared" si="3"/>
        <v>86.847600979931443</v>
      </c>
      <c r="AO9" s="594">
        <f t="shared" si="4"/>
        <v>2.3647861490674638</v>
      </c>
      <c r="AP9" s="234"/>
      <c r="AQ9" s="595">
        <f t="shared" si="7"/>
        <v>1530239.888</v>
      </c>
      <c r="AR9" s="595">
        <f t="shared" si="8"/>
        <v>289451.016</v>
      </c>
      <c r="AS9" s="596">
        <f t="shared" si="9"/>
        <v>0.88679830161051865</v>
      </c>
      <c r="AT9" s="596">
        <f t="shared" si="10"/>
        <v>0.78295440267551175</v>
      </c>
      <c r="AU9" s="597">
        <f t="shared" si="11"/>
        <v>0.86847600979931439</v>
      </c>
      <c r="AV9" s="721">
        <f>'Comparativo YoY'!GB40</f>
        <v>16.040616663346924</v>
      </c>
      <c r="AW9" s="579"/>
      <c r="AX9" s="579"/>
    </row>
    <row r="10" spans="1:50" s="578" customFormat="1">
      <c r="A10" s="584" t="s">
        <v>82</v>
      </c>
      <c r="B10" s="585">
        <v>4756</v>
      </c>
      <c r="C10" s="585">
        <v>4570</v>
      </c>
      <c r="D10" s="585">
        <v>3326</v>
      </c>
      <c r="E10" s="586">
        <v>1150209.6499999999</v>
      </c>
      <c r="F10" s="586">
        <v>211350.33000000002</v>
      </c>
      <c r="G10" s="587">
        <f>VLOOKUP($A$5:$A$31,'PF - Gênero'!$A$2:$D$28,4,)</f>
        <v>4757</v>
      </c>
      <c r="H10" s="587">
        <f>VLOOKUP($A$5:$A$31,'Relatórios - SICCAU e IGEO'!$A$3:$B$29,2,)</f>
        <v>173</v>
      </c>
      <c r="I10" s="587">
        <f t="shared" si="0"/>
        <v>4584</v>
      </c>
      <c r="J10" s="587">
        <v>3080</v>
      </c>
      <c r="K10" s="587">
        <v>2002</v>
      </c>
      <c r="L10" s="587">
        <f t="shared" si="1"/>
        <v>1078</v>
      </c>
      <c r="M10" s="588">
        <f t="shared" si="5"/>
        <v>67.190226876090748</v>
      </c>
      <c r="N10" s="589">
        <f t="shared" si="2"/>
        <v>2.3222498680539849</v>
      </c>
      <c r="O10" s="590">
        <f>VLOOKUP($A$5:$A$31,JAN!$A$5:$C$31,2,)</f>
        <v>191930.12</v>
      </c>
      <c r="P10" s="590">
        <f>VLOOKUP($A$5:$A$31,JAN!$A$5:$C$31,3,)</f>
        <v>32234.296000000028</v>
      </c>
      <c r="Q10" s="590">
        <f>VLOOKUP($A$5:$A$31,FEV!$A$5:$C$31,2,)</f>
        <v>201744.71200000003</v>
      </c>
      <c r="R10" s="590">
        <f>VLOOKUP($A$5:$A$31,FEV!$A$5:$C$31,3,)</f>
        <v>26505.079999999984</v>
      </c>
      <c r="S10" s="590">
        <f>VLOOKUP($A$5:$A$31,MAR!$A$5:$S$31,2,)</f>
        <v>175314.88</v>
      </c>
      <c r="T10" s="590">
        <f>VLOOKUP($A$5:$A$31,MAR!$A$5:$T$31,3,)</f>
        <v>30811.256000000001</v>
      </c>
      <c r="U10" s="591">
        <f>VLOOKUP($A$5:$A$31,ABR!$A$5:$B$31,2,)</f>
        <v>68408.384000000005</v>
      </c>
      <c r="V10" s="591">
        <f>VLOOKUP($A$5:$A$31,ABR!$A$5:$C$31,3,)</f>
        <v>16564.416000000001</v>
      </c>
      <c r="W10" s="591">
        <f>VLOOKUP($A$5:$A$31,MAI!$A$5:$C$31,2,)</f>
        <v>93006.52</v>
      </c>
      <c r="X10" s="591">
        <f>VLOOKUP($A$5:$A$31,MAI!$A$5:$C$31,3,)</f>
        <v>24647.528000000002</v>
      </c>
      <c r="Y10" s="591">
        <f>VLOOKUP($A$5:$A$31,JUN!$A$5:$C$31,2,)</f>
        <v>129730.56000000001</v>
      </c>
      <c r="Z10" s="591">
        <f>VLOOKUP($A$5:$A$31,JUN!$A$5:$C$31,3,)</f>
        <v>50687.815999999992</v>
      </c>
      <c r="AA10" s="592">
        <f>VLOOKUP($A$5:$A$31,JUL!$A$5:$B$31,2,)</f>
        <v>113325.376</v>
      </c>
      <c r="AB10" s="592">
        <f>VLOOKUP($A$5:$A$31,JUL!$A$5:$C$31,3,)</f>
        <v>37589.008000000009</v>
      </c>
      <c r="AC10" s="592">
        <f>VLOOKUP($A$5:$A$31,AGO!$A$5:$B$31,2,)</f>
        <v>64609.376000000004</v>
      </c>
      <c r="AD10" s="592">
        <f>VLOOKUP($A$5:$A$31,AGO!$A$5:$C$31,3,)</f>
        <v>41165.815999999992</v>
      </c>
      <c r="AE10" s="592">
        <f>VLOOKUP($A$5:$A$31,SET!$A$5:$B$31,2,)</f>
        <v>45471.415999999997</v>
      </c>
      <c r="AF10" s="592">
        <f>VLOOKUP($A$5:$A$31,SET!$A$5:$C$31,3,)</f>
        <v>38420.984000000004</v>
      </c>
      <c r="AG10" s="592">
        <f>VLOOKUP($A$5:$A$31,OUT!$A$5:$B$31,2,)</f>
        <v>0</v>
      </c>
      <c r="AH10" s="592">
        <f>VLOOKUP($A$5:$A$31,OUT!$A$5:$C$31,3,)</f>
        <v>0</v>
      </c>
      <c r="AI10" s="593">
        <f>VLOOKUP($A$5:$A$31,NOV!$A$5:$B$31,2,)</f>
        <v>0</v>
      </c>
      <c r="AJ10" s="593">
        <f>VLOOKUP($A$5:$A$31,NOV!$A$5:$C$31,3,)</f>
        <v>0</v>
      </c>
      <c r="AK10" s="593">
        <f>VLOOKUP($A$5:$A$31,DEZ!$A$5:$B$31,2,)</f>
        <v>0</v>
      </c>
      <c r="AL10" s="593">
        <f>VLOOKUP($A$5:$A$31,DEZ!$A$5:$C$31,3,)</f>
        <v>0</v>
      </c>
      <c r="AM10" s="593">
        <f t="shared" si="6"/>
        <v>1382167.5439999998</v>
      </c>
      <c r="AN10" s="594">
        <f t="shared" si="3"/>
        <v>101.51352597775383</v>
      </c>
      <c r="AO10" s="594">
        <f t="shared" si="4"/>
        <v>1.7962010232380616</v>
      </c>
      <c r="AP10" s="234"/>
      <c r="AQ10" s="595">
        <f t="shared" si="7"/>
        <v>1083541.3440000003</v>
      </c>
      <c r="AR10" s="595">
        <f t="shared" si="8"/>
        <v>298626.2</v>
      </c>
      <c r="AS10" s="596">
        <f t="shared" si="9"/>
        <v>0.94203812670151077</v>
      </c>
      <c r="AT10" s="596">
        <f t="shared" si="10"/>
        <v>1.4129440914523295</v>
      </c>
      <c r="AU10" s="597">
        <f t="shared" si="11"/>
        <v>1.0151352597775383</v>
      </c>
      <c r="AV10" s="721">
        <f>'Comparativo YoY'!GB41</f>
        <v>20.524455520500325</v>
      </c>
      <c r="AW10" s="579"/>
      <c r="AX10" s="579"/>
    </row>
    <row r="11" spans="1:50" s="578" customFormat="1">
      <c r="A11" s="584" t="s">
        <v>83</v>
      </c>
      <c r="B11" s="585">
        <v>6854</v>
      </c>
      <c r="C11" s="585">
        <v>6327</v>
      </c>
      <c r="D11" s="585">
        <v>4671</v>
      </c>
      <c r="E11" s="586">
        <v>1763978.32</v>
      </c>
      <c r="F11" s="586">
        <v>394786.83999999997</v>
      </c>
      <c r="G11" s="587">
        <f>VLOOKUP($A$5:$A$31,'PF - Gênero'!$A$2:$D$28,4,)</f>
        <v>6772</v>
      </c>
      <c r="H11" s="587">
        <f>VLOOKUP($A$5:$A$31,'Relatórios - SICCAU e IGEO'!$A$3:$B$29,2,)</f>
        <v>424</v>
      </c>
      <c r="I11" s="587">
        <f t="shared" si="0"/>
        <v>6348</v>
      </c>
      <c r="J11" s="587">
        <v>4273</v>
      </c>
      <c r="K11" s="587">
        <v>2995</v>
      </c>
      <c r="L11" s="587">
        <f t="shared" si="1"/>
        <v>1278</v>
      </c>
      <c r="M11" s="588">
        <f t="shared" si="5"/>
        <v>67.312539382482669</v>
      </c>
      <c r="N11" s="589">
        <f t="shared" si="2"/>
        <v>3.2217447033099602</v>
      </c>
      <c r="O11" s="590">
        <f>VLOOKUP($A$5:$A$31,JAN!$A$5:$C$31,2,)</f>
        <v>252936.65600000002</v>
      </c>
      <c r="P11" s="590">
        <f>VLOOKUP($A$5:$A$31,JAN!$A$5:$C$31,3,)</f>
        <v>43282.104000000014</v>
      </c>
      <c r="Q11" s="590">
        <f>VLOOKUP($A$5:$A$31,FEV!$A$5:$C$31,2,)</f>
        <v>357140.37599999999</v>
      </c>
      <c r="R11" s="590">
        <f>VLOOKUP($A$5:$A$31,FEV!$A$5:$C$31,3,)</f>
        <v>40493.136000000035</v>
      </c>
      <c r="S11" s="590">
        <f>VLOOKUP($A$5:$A$31,MAR!$A$5:$S$31,2,)</f>
        <v>264620.72000000003</v>
      </c>
      <c r="T11" s="590">
        <f>VLOOKUP($A$5:$A$31,MAR!$A$5:$T$31,3,)</f>
        <v>38141.248</v>
      </c>
      <c r="U11" s="591">
        <f>VLOOKUP($A$5:$A$31,ABR!$A$5:$B$31,2,)</f>
        <v>126403.64</v>
      </c>
      <c r="V11" s="591">
        <f>VLOOKUP($A$5:$A$31,ABR!$A$5:$C$31,3,)</f>
        <v>30164.248</v>
      </c>
      <c r="W11" s="591">
        <f>VLOOKUP($A$5:$A$31,MAI!$A$5:$C$31,2,)</f>
        <v>152377.67199999999</v>
      </c>
      <c r="X11" s="591">
        <f>VLOOKUP($A$5:$A$31,MAI!$A$5:$C$31,3,)</f>
        <v>87297.888000000006</v>
      </c>
      <c r="Y11" s="591">
        <f>VLOOKUP($A$5:$A$31,JUN!$A$5:$C$31,2,)</f>
        <v>185119.79200000002</v>
      </c>
      <c r="Z11" s="591">
        <f>VLOOKUP($A$5:$A$31,JUN!$A$5:$C$31,3,)</f>
        <v>59005.864000000016</v>
      </c>
      <c r="AA11" s="592">
        <f>VLOOKUP($A$5:$A$31,JUL!$A$5:$B$31,2,)</f>
        <v>163041.91200000001</v>
      </c>
      <c r="AB11" s="592">
        <f>VLOOKUP($A$5:$A$31,JUL!$A$5:$C$31,3,)</f>
        <v>46717.120000000024</v>
      </c>
      <c r="AC11" s="592">
        <f>VLOOKUP($A$5:$A$31,AGO!$A$5:$B$31,2,)</f>
        <v>114199.80800000002</v>
      </c>
      <c r="AD11" s="592">
        <f>VLOOKUP($A$5:$A$31,AGO!$A$5:$C$31,3,)</f>
        <v>57915.767999999996</v>
      </c>
      <c r="AE11" s="592">
        <f>VLOOKUP($A$5:$A$31,SET!$A$5:$B$31,2,)</f>
        <v>68259.248000000007</v>
      </c>
      <c r="AF11" s="592">
        <f>VLOOKUP($A$5:$A$31,SET!$A$5:$C$31,3,)</f>
        <v>53768.863999999994</v>
      </c>
      <c r="AG11" s="592">
        <f>VLOOKUP($A$5:$A$31,OUT!$A$5:$B$31,2,)</f>
        <v>0</v>
      </c>
      <c r="AH11" s="592">
        <f>VLOOKUP($A$5:$A$31,OUT!$A$5:$C$31,3,)</f>
        <v>0</v>
      </c>
      <c r="AI11" s="593">
        <f>VLOOKUP($A$5:$A$31,NOV!$A$5:$B$31,2,)</f>
        <v>0</v>
      </c>
      <c r="AJ11" s="593">
        <f>VLOOKUP($A$5:$A$31,NOV!$A$5:$C$31,3,)</f>
        <v>0</v>
      </c>
      <c r="AK11" s="593">
        <f>VLOOKUP($A$5:$A$31,DEZ!$A$5:$B$31,2,)</f>
        <v>0</v>
      </c>
      <c r="AL11" s="593">
        <f>VLOOKUP($A$5:$A$31,DEZ!$A$5:$C$31,3,)</f>
        <v>0</v>
      </c>
      <c r="AM11" s="593">
        <f t="shared" si="6"/>
        <v>2140886.0639999998</v>
      </c>
      <c r="AN11" s="594">
        <f t="shared" si="3"/>
        <v>99.171790599029279</v>
      </c>
      <c r="AO11" s="594">
        <f t="shared" si="4"/>
        <v>2.7821965256571719</v>
      </c>
      <c r="AP11" s="234"/>
      <c r="AQ11" s="595">
        <f t="shared" si="7"/>
        <v>1684099.824</v>
      </c>
      <c r="AR11" s="595">
        <f t="shared" si="8"/>
        <v>456786.24000000011</v>
      </c>
      <c r="AS11" s="596">
        <f t="shared" si="9"/>
        <v>0.95471684935447498</v>
      </c>
      <c r="AT11" s="596">
        <f t="shared" si="10"/>
        <v>1.1570452551052617</v>
      </c>
      <c r="AU11" s="597">
        <f t="shared" si="11"/>
        <v>0.99171790599029286</v>
      </c>
      <c r="AV11" s="721">
        <f>'Comparativo YoY'!GB42</f>
        <v>6.6370364670805344</v>
      </c>
      <c r="AW11" s="579"/>
      <c r="AX11" s="579"/>
    </row>
    <row r="12" spans="1:50" s="578" customFormat="1">
      <c r="A12" s="584" t="s">
        <v>84</v>
      </c>
      <c r="B12" s="585">
        <v>4185</v>
      </c>
      <c r="C12" s="585">
        <v>4090</v>
      </c>
      <c r="D12" s="585">
        <v>3974</v>
      </c>
      <c r="E12" s="586">
        <v>1418616.52</v>
      </c>
      <c r="F12" s="586">
        <v>230979.35</v>
      </c>
      <c r="G12" s="587">
        <f>VLOOKUP($A$5:$A$31,'PF - Gênero'!$A$2:$D$28,4,)</f>
        <v>4136</v>
      </c>
      <c r="H12" s="587">
        <f>VLOOKUP($A$5:$A$31,'Relatórios - SICCAU e IGEO'!$A$3:$B$29,2,)</f>
        <v>72</v>
      </c>
      <c r="I12" s="587">
        <f t="shared" si="0"/>
        <v>4064</v>
      </c>
      <c r="J12" s="587">
        <v>3428</v>
      </c>
      <c r="K12" s="587">
        <v>2168</v>
      </c>
      <c r="L12" s="587">
        <f t="shared" si="1"/>
        <v>1260</v>
      </c>
      <c r="M12" s="588">
        <f t="shared" si="5"/>
        <v>84.350393700787393</v>
      </c>
      <c r="N12" s="589">
        <f t="shared" si="2"/>
        <v>2.5846339440548896</v>
      </c>
      <c r="O12" s="590">
        <f>VLOOKUP($A$5:$A$31,JAN!$A$5:$C$31,2,)</f>
        <v>147594.65600000002</v>
      </c>
      <c r="P12" s="590">
        <f>VLOOKUP($A$5:$A$31,JAN!$A$5:$C$31,3,)</f>
        <v>23181.047999999995</v>
      </c>
      <c r="Q12" s="590">
        <f>VLOOKUP($A$5:$A$31,FEV!$A$5:$C$31,2,)</f>
        <v>333021.90400000004</v>
      </c>
      <c r="R12" s="590">
        <f>VLOOKUP($A$5:$A$31,FEV!$A$5:$C$31,3,)</f>
        <v>29789.40800000001</v>
      </c>
      <c r="S12" s="590">
        <f>VLOOKUP($A$5:$A$31,MAR!$A$5:$S$31,2,)</f>
        <v>280274.56800000003</v>
      </c>
      <c r="T12" s="590">
        <f>VLOOKUP($A$5:$A$31,MAR!$A$5:$T$31,3,)</f>
        <v>28355.552000000003</v>
      </c>
      <c r="U12" s="591">
        <f>VLOOKUP($A$5:$A$31,ABR!$A$5:$B$31,2,)</f>
        <v>111690.144</v>
      </c>
      <c r="V12" s="591">
        <f>VLOOKUP($A$5:$A$31,ABR!$A$5:$C$31,3,)</f>
        <v>16189.800000000001</v>
      </c>
      <c r="W12" s="591">
        <f>VLOOKUP($A$5:$A$31,MAI!$A$5:$C$31,2,)</f>
        <v>112224.648</v>
      </c>
      <c r="X12" s="591">
        <f>VLOOKUP($A$5:$A$31,MAI!$A$5:$C$31,3,)</f>
        <v>17392.16</v>
      </c>
      <c r="Y12" s="591">
        <f>VLOOKUP($A$5:$A$31,JUN!$A$5:$C$31,2,)</f>
        <v>117918.88</v>
      </c>
      <c r="Z12" s="591">
        <f>VLOOKUP($A$5:$A$31,JUN!$A$5:$C$31,3,)</f>
        <v>15633.576000000001</v>
      </c>
      <c r="AA12" s="592">
        <f>VLOOKUP($A$5:$A$31,JUL!$A$5:$B$31,2,)</f>
        <v>109909.50400000002</v>
      </c>
      <c r="AB12" s="592">
        <f>VLOOKUP($A$5:$A$31,JUL!$A$5:$C$31,3,)</f>
        <v>14686.111999999988</v>
      </c>
      <c r="AC12" s="592">
        <f>VLOOKUP($A$5:$A$31,AGO!$A$5:$B$31,2,)</f>
        <v>62043.448000000004</v>
      </c>
      <c r="AD12" s="592">
        <f>VLOOKUP($A$5:$A$31,AGO!$A$5:$C$31,3,)</f>
        <v>24432.695999999996</v>
      </c>
      <c r="AE12" s="592">
        <f>VLOOKUP($A$5:$A$31,SET!$A$5:$B$31,2,)</f>
        <v>53644.296000000002</v>
      </c>
      <c r="AF12" s="592">
        <f>VLOOKUP($A$5:$A$31,SET!$A$5:$C$31,3,)</f>
        <v>16443.856000000007</v>
      </c>
      <c r="AG12" s="592">
        <f>VLOOKUP($A$5:$A$31,OUT!$A$5:$B$31,2,)</f>
        <v>0</v>
      </c>
      <c r="AH12" s="592">
        <f>VLOOKUP($A$5:$A$31,OUT!$A$5:$C$31,3,)</f>
        <v>0</v>
      </c>
      <c r="AI12" s="593">
        <f>VLOOKUP($A$5:$A$31,NOV!$A$5:$B$31,2,)</f>
        <v>0</v>
      </c>
      <c r="AJ12" s="593">
        <f>VLOOKUP($A$5:$A$31,NOV!$A$5:$C$31,3,)</f>
        <v>0</v>
      </c>
      <c r="AK12" s="593">
        <f>VLOOKUP($A$5:$A$31,DEZ!$A$5:$B$31,2,)</f>
        <v>0</v>
      </c>
      <c r="AL12" s="593">
        <f>VLOOKUP($A$5:$A$31,DEZ!$A$5:$C$31,3,)</f>
        <v>0</v>
      </c>
      <c r="AM12" s="593">
        <f t="shared" si="6"/>
        <v>1514426.2560000001</v>
      </c>
      <c r="AN12" s="594">
        <f t="shared" si="3"/>
        <v>91.805895222082484</v>
      </c>
      <c r="AO12" s="594">
        <f t="shared" si="4"/>
        <v>1.9680783291824908</v>
      </c>
      <c r="AP12" s="234"/>
      <c r="AQ12" s="595">
        <f t="shared" si="7"/>
        <v>1328322.0480000002</v>
      </c>
      <c r="AR12" s="595">
        <f t="shared" si="8"/>
        <v>186104.20799999998</v>
      </c>
      <c r="AS12" s="596">
        <f t="shared" si="9"/>
        <v>0.93635033095483777</v>
      </c>
      <c r="AT12" s="596">
        <f t="shared" si="10"/>
        <v>0.80571794837936805</v>
      </c>
      <c r="AU12" s="597">
        <f t="shared" si="11"/>
        <v>0.91805895222082479</v>
      </c>
      <c r="AV12" s="721">
        <f>'Comparativo YoY'!GB43</f>
        <v>13.986538663422138</v>
      </c>
      <c r="AW12" s="579"/>
      <c r="AX12" s="579"/>
    </row>
    <row r="13" spans="1:50" s="578" customFormat="1">
      <c r="A13" s="584" t="s">
        <v>85</v>
      </c>
      <c r="B13" s="585">
        <v>5373</v>
      </c>
      <c r="C13" s="585">
        <v>5137</v>
      </c>
      <c r="D13" s="585">
        <v>3697</v>
      </c>
      <c r="E13" s="586">
        <v>1363273.97</v>
      </c>
      <c r="F13" s="586">
        <v>317093.52</v>
      </c>
      <c r="G13" s="587">
        <f>VLOOKUP($A$5:$A$31,'PF - Gênero'!$A$2:$D$28,4,)</f>
        <v>5405</v>
      </c>
      <c r="H13" s="587">
        <f>VLOOKUP($A$5:$A$31,'Relatórios - SICCAU e IGEO'!$A$3:$B$29,2,)</f>
        <v>194</v>
      </c>
      <c r="I13" s="587">
        <f t="shared" si="0"/>
        <v>5211</v>
      </c>
      <c r="J13" s="587">
        <v>3328</v>
      </c>
      <c r="K13" s="587">
        <v>2158</v>
      </c>
      <c r="L13" s="587">
        <f t="shared" si="1"/>
        <v>1170</v>
      </c>
      <c r="M13" s="588">
        <f t="shared" si="5"/>
        <v>63.864901170600653</v>
      </c>
      <c r="N13" s="589">
        <f t="shared" si="2"/>
        <v>2.5092362210661237</v>
      </c>
      <c r="O13" s="590">
        <f>VLOOKUP($A$5:$A$31,JAN!$A$5:$C$31,2,)</f>
        <v>170713.60800000001</v>
      </c>
      <c r="P13" s="590">
        <f>VLOOKUP($A$5:$A$31,JAN!$A$5:$C$31,3,)</f>
        <v>33011.752</v>
      </c>
      <c r="Q13" s="590">
        <f>VLOOKUP($A$5:$A$31,FEV!$A$5:$C$31,2,)</f>
        <v>222603.64800000002</v>
      </c>
      <c r="R13" s="590">
        <f>VLOOKUP($A$5:$A$31,FEV!$A$5:$C$31,3,)</f>
        <v>33891.439999999995</v>
      </c>
      <c r="S13" s="590">
        <f>VLOOKUP($A$5:$A$31,MAR!$A$5:$S$31,2,)</f>
        <v>209140.17600000001</v>
      </c>
      <c r="T13" s="590">
        <f>VLOOKUP($A$5:$A$31,MAR!$A$5:$T$31,3,)</f>
        <v>39958.480000000003</v>
      </c>
      <c r="U13" s="591">
        <f>VLOOKUP($A$5:$A$31,ABR!$A$5:$B$31,2,)</f>
        <v>114349.36000000002</v>
      </c>
      <c r="V13" s="591">
        <f>VLOOKUP($A$5:$A$31,ABR!$A$5:$C$31,3,)</f>
        <v>29428.112000000001</v>
      </c>
      <c r="W13" s="591">
        <f>VLOOKUP($A$5:$A$31,MAI!$A$5:$C$31,2,)</f>
        <v>117442.488</v>
      </c>
      <c r="X13" s="591">
        <f>VLOOKUP($A$5:$A$31,MAI!$A$5:$C$31,3,)</f>
        <v>30644.144</v>
      </c>
      <c r="Y13" s="591">
        <f>VLOOKUP($A$5:$A$31,JUN!$A$5:$C$31,2,)</f>
        <v>152958.44</v>
      </c>
      <c r="Z13" s="591">
        <f>VLOOKUP($A$5:$A$31,JUN!$A$5:$C$31,3,)</f>
        <v>29775.192000000017</v>
      </c>
      <c r="AA13" s="592">
        <f>VLOOKUP($A$5:$A$31,JUL!$A$5:$B$31,2,)</f>
        <v>145755.98400000003</v>
      </c>
      <c r="AB13" s="592">
        <f>VLOOKUP($A$5:$A$31,JUL!$A$5:$C$31,3,)</f>
        <v>43371.728000000003</v>
      </c>
      <c r="AC13" s="592">
        <f>VLOOKUP($A$5:$A$31,AGO!$A$5:$B$31,2,)</f>
        <v>67855.648000000001</v>
      </c>
      <c r="AD13" s="592">
        <f>VLOOKUP($A$5:$A$31,AGO!$A$5:$C$31,3,)</f>
        <v>70162.439999999988</v>
      </c>
      <c r="AE13" s="592">
        <f>VLOOKUP($A$5:$A$31,SET!$A$5:$B$31,2,)</f>
        <v>56676.135999999999</v>
      </c>
      <c r="AF13" s="592">
        <f>VLOOKUP($A$5:$A$31,SET!$A$5:$C$31,3,)</f>
        <v>57500.592000000004</v>
      </c>
      <c r="AG13" s="592">
        <f>VLOOKUP($A$5:$A$31,OUT!$A$5:$B$31,2,)</f>
        <v>0</v>
      </c>
      <c r="AH13" s="592">
        <f>VLOOKUP($A$5:$A$31,OUT!$A$5:$C$31,3,)</f>
        <v>0</v>
      </c>
      <c r="AI13" s="593">
        <f>VLOOKUP($A$5:$A$31,NOV!$A$5:$B$31,2,)</f>
        <v>0</v>
      </c>
      <c r="AJ13" s="593">
        <f>VLOOKUP($A$5:$A$31,NOV!$A$5:$C$31,3,)</f>
        <v>0</v>
      </c>
      <c r="AK13" s="593">
        <f>VLOOKUP($A$5:$A$31,DEZ!$A$5:$B$31,2,)</f>
        <v>0</v>
      </c>
      <c r="AL13" s="593">
        <f>VLOOKUP($A$5:$A$31,DEZ!$A$5:$C$31,3,)</f>
        <v>0</v>
      </c>
      <c r="AM13" s="593">
        <f t="shared" si="6"/>
        <v>1625239.368</v>
      </c>
      <c r="AN13" s="594">
        <f t="shared" si="3"/>
        <v>96.719281804243906</v>
      </c>
      <c r="AO13" s="594">
        <f t="shared" si="4"/>
        <v>2.1120859250970669</v>
      </c>
      <c r="AP13" s="234"/>
      <c r="AQ13" s="595">
        <f t="shared" si="7"/>
        <v>1257495.4879999999</v>
      </c>
      <c r="AR13" s="595">
        <f t="shared" si="8"/>
        <v>367743.88</v>
      </c>
      <c r="AS13" s="596">
        <f t="shared" si="9"/>
        <v>0.92240849284315163</v>
      </c>
      <c r="AT13" s="596">
        <f t="shared" si="10"/>
        <v>1.1597331916464266</v>
      </c>
      <c r="AU13" s="597">
        <f t="shared" si="11"/>
        <v>0.96719281804243906</v>
      </c>
      <c r="AV13" s="721">
        <f>'Comparativo YoY'!GB44</f>
        <v>10.621872690124889</v>
      </c>
      <c r="AW13" s="579"/>
      <c r="AX13" s="579"/>
    </row>
    <row r="14" spans="1:50" s="578" customFormat="1">
      <c r="A14" s="584" t="s">
        <v>86</v>
      </c>
      <c r="B14" s="585">
        <v>2191</v>
      </c>
      <c r="C14" s="585">
        <v>2163</v>
      </c>
      <c r="D14" s="585">
        <v>1388</v>
      </c>
      <c r="E14" s="586">
        <v>512036.4</v>
      </c>
      <c r="F14" s="586">
        <v>165818.14000000001</v>
      </c>
      <c r="G14" s="587">
        <f>VLOOKUP($A$5:$A$31,'PF - Gênero'!$A$2:$D$28,4,)</f>
        <v>2252</v>
      </c>
      <c r="H14" s="587">
        <f>VLOOKUP($A$5:$A$31,'Relatórios - SICCAU e IGEO'!$A$3:$B$29,2,)</f>
        <v>25</v>
      </c>
      <c r="I14" s="587">
        <f t="shared" si="0"/>
        <v>2227</v>
      </c>
      <c r="J14" s="587">
        <v>1145</v>
      </c>
      <c r="K14" s="587">
        <v>676</v>
      </c>
      <c r="L14" s="587">
        <f t="shared" si="1"/>
        <v>469</v>
      </c>
      <c r="M14" s="588">
        <f t="shared" si="5"/>
        <v>51.414458913336325</v>
      </c>
      <c r="N14" s="589">
        <f t="shared" si="2"/>
        <v>0.86330392822136759</v>
      </c>
      <c r="O14" s="590">
        <f>VLOOKUP($A$5:$A$31,JAN!$A$5:$C$31,2,)</f>
        <v>51888.304000000004</v>
      </c>
      <c r="P14" s="590">
        <f>VLOOKUP($A$5:$A$31,JAN!$A$5:$C$31,3,)</f>
        <v>8598.5120000000043</v>
      </c>
      <c r="Q14" s="590">
        <f>VLOOKUP($A$5:$A$31,FEV!$A$5:$C$31,2,)</f>
        <v>71154.144</v>
      </c>
      <c r="R14" s="590">
        <f>VLOOKUP($A$5:$A$31,FEV!$A$5:$C$31,3,)</f>
        <v>14842.480000000005</v>
      </c>
      <c r="S14" s="590">
        <f>VLOOKUP($A$5:$A$31,MAR!$A$5:$S$31,2,)</f>
        <v>74720.056000000011</v>
      </c>
      <c r="T14" s="590">
        <f>VLOOKUP($A$5:$A$31,MAR!$A$5:$T$31,3,)</f>
        <v>12652.992</v>
      </c>
      <c r="U14" s="591">
        <f>VLOOKUP($A$5:$A$31,ABR!$A$5:$B$31,2,)</f>
        <v>37325.224000000002</v>
      </c>
      <c r="V14" s="591">
        <f>VLOOKUP($A$5:$A$31,ABR!$A$5:$C$31,3,)</f>
        <v>7447.44</v>
      </c>
      <c r="W14" s="591">
        <f>VLOOKUP($A$5:$A$31,MAI!$A$5:$C$31,2,)</f>
        <v>51466.904000000002</v>
      </c>
      <c r="X14" s="591">
        <f>VLOOKUP($A$5:$A$31,MAI!$A$5:$C$31,3,)</f>
        <v>17578.727999999999</v>
      </c>
      <c r="Y14" s="591">
        <f>VLOOKUP($A$5:$A$31,JUN!$A$5:$C$31,2,)</f>
        <v>55285.983999999997</v>
      </c>
      <c r="Z14" s="591">
        <f>VLOOKUP($A$5:$A$31,JUN!$A$5:$C$31,3,)</f>
        <v>8488.8640000000014</v>
      </c>
      <c r="AA14" s="592">
        <f>VLOOKUP($A$5:$A$31,JUL!$A$5:$B$31,2,)</f>
        <v>41241.504000000001</v>
      </c>
      <c r="AB14" s="592">
        <f>VLOOKUP($A$5:$A$31,JUL!$A$5:$C$31,3,)</f>
        <v>7720.4640000000072</v>
      </c>
      <c r="AC14" s="592">
        <f>VLOOKUP($A$5:$A$31,AGO!$A$5:$B$31,2,)</f>
        <v>22343.176000000003</v>
      </c>
      <c r="AD14" s="592">
        <f>VLOOKUP($A$5:$A$31,AGO!$A$5:$C$31,3,)</f>
        <v>13310.304000000004</v>
      </c>
      <c r="AE14" s="592">
        <f>VLOOKUP($A$5:$A$31,SET!$A$5:$B$31,2,)</f>
        <v>14099.744000000001</v>
      </c>
      <c r="AF14" s="592">
        <f>VLOOKUP($A$5:$A$31,SET!$A$5:$C$31,3,)</f>
        <v>6775.2720000000008</v>
      </c>
      <c r="AG14" s="592">
        <f>VLOOKUP($A$5:$A$31,OUT!$A$5:$B$31,2,)</f>
        <v>0</v>
      </c>
      <c r="AH14" s="592">
        <f>VLOOKUP($A$5:$A$31,OUT!$A$5:$C$31,3,)</f>
        <v>0</v>
      </c>
      <c r="AI14" s="593">
        <f>VLOOKUP($A$5:$A$31,NOV!$A$5:$B$31,2,)</f>
        <v>0</v>
      </c>
      <c r="AJ14" s="593">
        <f>VLOOKUP($A$5:$A$31,NOV!$A$5:$C$31,3,)</f>
        <v>0</v>
      </c>
      <c r="AK14" s="593">
        <f>VLOOKUP($A$5:$A$31,DEZ!$A$5:$B$31,2,)</f>
        <v>0</v>
      </c>
      <c r="AL14" s="593">
        <f>VLOOKUP($A$5:$A$31,DEZ!$A$5:$C$31,3,)</f>
        <v>0</v>
      </c>
      <c r="AM14" s="593">
        <f t="shared" si="6"/>
        <v>516940.09600000008</v>
      </c>
      <c r="AN14" s="594">
        <f t="shared" si="3"/>
        <v>76.26121320954789</v>
      </c>
      <c r="AO14" s="594">
        <f t="shared" si="4"/>
        <v>0.67179144338812657</v>
      </c>
      <c r="AP14" s="234"/>
      <c r="AQ14" s="595">
        <f t="shared" si="7"/>
        <v>419525.04</v>
      </c>
      <c r="AR14" s="595">
        <f t="shared" si="8"/>
        <v>97415.056000000026</v>
      </c>
      <c r="AS14" s="596">
        <f t="shared" si="9"/>
        <v>0.81932659474990444</v>
      </c>
      <c r="AT14" s="596">
        <f t="shared" si="10"/>
        <v>0.58748129728146758</v>
      </c>
      <c r="AU14" s="597">
        <f t="shared" si="11"/>
        <v>0.76261213209547885</v>
      </c>
      <c r="AV14" s="721">
        <f>'Comparativo YoY'!GB45</f>
        <v>19.383665140590693</v>
      </c>
      <c r="AW14" s="579"/>
      <c r="AX14" s="579"/>
    </row>
    <row r="15" spans="1:50" s="578" customFormat="1">
      <c r="A15" s="584" t="s">
        <v>89</v>
      </c>
      <c r="B15" s="585">
        <v>18589</v>
      </c>
      <c r="C15" s="585">
        <v>17880</v>
      </c>
      <c r="D15" s="585">
        <v>13411</v>
      </c>
      <c r="E15" s="586">
        <v>4794475.05</v>
      </c>
      <c r="F15" s="586">
        <v>723080.07</v>
      </c>
      <c r="G15" s="587">
        <f>VLOOKUP($A$5:$A$31,'PF - Gênero'!$A$2:$D$28,4,)</f>
        <v>17877</v>
      </c>
      <c r="H15" s="587">
        <f>VLOOKUP($A$5:$A$31,'Relatórios - SICCAU e IGEO'!$A$3:$B$29,2,)</f>
        <v>647</v>
      </c>
      <c r="I15" s="587">
        <f t="shared" si="0"/>
        <v>17230</v>
      </c>
      <c r="J15" s="587">
        <v>11631</v>
      </c>
      <c r="K15" s="587">
        <v>7525</v>
      </c>
      <c r="L15" s="587">
        <f t="shared" si="1"/>
        <v>4106</v>
      </c>
      <c r="M15" s="588">
        <f t="shared" si="5"/>
        <v>67.504352872896106</v>
      </c>
      <c r="N15" s="589">
        <f t="shared" si="2"/>
        <v>8.7695091608233433</v>
      </c>
      <c r="O15" s="590">
        <f>VLOOKUP($A$5:$A$31,JAN!$A$5:$C$31,2,)</f>
        <v>791285.48</v>
      </c>
      <c r="P15" s="590">
        <f>VLOOKUP($A$5:$A$31,JAN!$A$5:$C$31,3,)</f>
        <v>111609.44</v>
      </c>
      <c r="Q15" s="590">
        <f>VLOOKUP($A$5:$A$31,FEV!$A$5:$C$31,2,)</f>
        <v>854765.24000000011</v>
      </c>
      <c r="R15" s="590">
        <f>VLOOKUP($A$5:$A$31,FEV!$A$5:$C$31,3,)</f>
        <v>119723.60800000001</v>
      </c>
      <c r="S15" s="590">
        <f>VLOOKUP($A$5:$A$31,MAR!$A$5:$S$31,2,)</f>
        <v>956672.93599999999</v>
      </c>
      <c r="T15" s="590">
        <f>VLOOKUP($A$5:$A$31,MAR!$A$5:$T$31,3,)</f>
        <v>172165.44</v>
      </c>
      <c r="U15" s="591">
        <f>VLOOKUP($A$5:$A$31,ABR!$A$5:$B$31,2,)</f>
        <v>418721.93599999999</v>
      </c>
      <c r="V15" s="591">
        <f>VLOOKUP($A$5:$A$31,ABR!$A$5:$C$31,3,)</f>
        <v>115499.8</v>
      </c>
      <c r="W15" s="591">
        <f>VLOOKUP($A$5:$A$31,MAI!$A$5:$C$31,2,)</f>
        <v>441141.28</v>
      </c>
      <c r="X15" s="591">
        <f>VLOOKUP($A$5:$A$31,MAI!$A$5:$C$31,3,)</f>
        <v>107947.51200000002</v>
      </c>
      <c r="Y15" s="591">
        <f>VLOOKUP($A$5:$A$31,JUN!$A$5:$C$31,2,)</f>
        <v>484384.60800000001</v>
      </c>
      <c r="Z15" s="591">
        <f>VLOOKUP($A$5:$A$31,JUN!$A$5:$C$31,3,)</f>
        <v>94902.296000000002</v>
      </c>
      <c r="AA15" s="592">
        <f>VLOOKUP($A$5:$A$31,JUL!$A$5:$B$31,2,)</f>
        <v>366756.33600000001</v>
      </c>
      <c r="AB15" s="592">
        <f>VLOOKUP($A$5:$A$31,JUL!$A$5:$C$31,3,)</f>
        <v>83044.431999999986</v>
      </c>
      <c r="AC15" s="592">
        <f>VLOOKUP($A$5:$A$31,AGO!$A$5:$B$31,2,)</f>
        <v>158363.16800000001</v>
      </c>
      <c r="AD15" s="592">
        <f>VLOOKUP($A$5:$A$31,AGO!$A$5:$C$31,3,)</f>
        <v>91492.895999999979</v>
      </c>
      <c r="AE15" s="592">
        <f>VLOOKUP($A$5:$A$31,SET!$A$5:$B$31,2,)</f>
        <v>91939.343999999997</v>
      </c>
      <c r="AF15" s="592">
        <f>VLOOKUP($A$5:$A$31,SET!$A$5:$C$31,3,)</f>
        <v>59657.088000000018</v>
      </c>
      <c r="AG15" s="592">
        <f>VLOOKUP($A$5:$A$31,OUT!$A$5:$B$31,2,)</f>
        <v>0</v>
      </c>
      <c r="AH15" s="592">
        <f>VLOOKUP($A$5:$A$31,OUT!$A$5:$C$31,3,)</f>
        <v>0</v>
      </c>
      <c r="AI15" s="593">
        <f>VLOOKUP($A$5:$A$31,NOV!$A$5:$B$31,2,)</f>
        <v>0</v>
      </c>
      <c r="AJ15" s="593">
        <f>VLOOKUP($A$5:$A$31,NOV!$A$5:$C$31,3,)</f>
        <v>0</v>
      </c>
      <c r="AK15" s="593">
        <f>VLOOKUP($A$5:$A$31,DEZ!$A$5:$B$31,2,)</f>
        <v>0</v>
      </c>
      <c r="AL15" s="593">
        <f>VLOOKUP($A$5:$A$31,DEZ!$A$5:$C$31,3,)</f>
        <v>0</v>
      </c>
      <c r="AM15" s="593">
        <f t="shared" si="6"/>
        <v>5520072.8399999999</v>
      </c>
      <c r="AN15" s="594">
        <f t="shared" si="3"/>
        <v>100.0456310801658</v>
      </c>
      <c r="AO15" s="594">
        <f t="shared" si="4"/>
        <v>7.1736313926617807</v>
      </c>
      <c r="AP15" s="234"/>
      <c r="AQ15" s="595">
        <f t="shared" si="7"/>
        <v>4564030.3279999997</v>
      </c>
      <c r="AR15" s="595">
        <f t="shared" si="8"/>
        <v>956042.51199999999</v>
      </c>
      <c r="AS15" s="596">
        <f t="shared" si="9"/>
        <v>0.95193535901287041</v>
      </c>
      <c r="AT15" s="596">
        <f t="shared" si="10"/>
        <v>1.3221806984667688</v>
      </c>
      <c r="AU15" s="597">
        <f t="shared" si="11"/>
        <v>1.000456310801658</v>
      </c>
      <c r="AV15" s="721">
        <f>'Comparativo YoY'!GB46</f>
        <v>12.914196762808942</v>
      </c>
      <c r="AW15" s="579"/>
      <c r="AX15" s="579"/>
    </row>
    <row r="16" spans="1:50" s="578" customFormat="1">
      <c r="A16" s="584" t="s">
        <v>88</v>
      </c>
      <c r="B16" s="585">
        <v>3778</v>
      </c>
      <c r="C16" s="585">
        <v>3683</v>
      </c>
      <c r="D16" s="585">
        <v>2351</v>
      </c>
      <c r="E16" s="586">
        <v>844523.85</v>
      </c>
      <c r="F16" s="586">
        <v>293680.92</v>
      </c>
      <c r="G16" s="587">
        <f>VLOOKUP($A$5:$A$31,'PF - Gênero'!$A$2:$D$28,4,)</f>
        <v>3640</v>
      </c>
      <c r="H16" s="587">
        <f>VLOOKUP($A$5:$A$31,'Relatórios - SICCAU e IGEO'!$A$3:$B$29,2,)</f>
        <v>69</v>
      </c>
      <c r="I16" s="587">
        <f t="shared" si="0"/>
        <v>3571</v>
      </c>
      <c r="J16" s="587">
        <v>1913</v>
      </c>
      <c r="K16" s="587">
        <v>1113</v>
      </c>
      <c r="L16" s="587">
        <f t="shared" si="1"/>
        <v>800</v>
      </c>
      <c r="M16" s="588">
        <f t="shared" si="5"/>
        <v>53.570428451414166</v>
      </c>
      <c r="N16" s="589">
        <f t="shared" si="2"/>
        <v>1.4423584407750887</v>
      </c>
      <c r="O16" s="590">
        <f>VLOOKUP($A$5:$A$31,JAN!$A$5:$C$31,2,)</f>
        <v>161989.60800000001</v>
      </c>
      <c r="P16" s="590">
        <f>VLOOKUP($A$5:$A$31,JAN!$A$5:$C$31,3,)</f>
        <v>27042.232000000004</v>
      </c>
      <c r="Q16" s="590">
        <f>VLOOKUP($A$5:$A$31,FEV!$A$5:$C$31,2,)</f>
        <v>164712.92800000001</v>
      </c>
      <c r="R16" s="590">
        <f>VLOOKUP($A$5:$A$31,FEV!$A$5:$C$31,3,)</f>
        <v>29419.695999999996</v>
      </c>
      <c r="S16" s="590">
        <f>VLOOKUP($A$5:$A$31,MAR!$A$5:$S$31,2,)</f>
        <v>107597.416</v>
      </c>
      <c r="T16" s="590">
        <f>VLOOKUP($A$5:$A$31,MAR!$A$5:$T$31,3,)</f>
        <v>33284.455999999998</v>
      </c>
      <c r="U16" s="591">
        <f>VLOOKUP($A$5:$A$31,ABR!$A$5:$B$31,2,)</f>
        <v>57951.280000000006</v>
      </c>
      <c r="V16" s="591">
        <f>VLOOKUP($A$5:$A$31,ABR!$A$5:$C$31,3,)</f>
        <v>22258.296000000002</v>
      </c>
      <c r="W16" s="591">
        <f>VLOOKUP($A$5:$A$31,MAI!$A$5:$C$31,2,)</f>
        <v>71242.288</v>
      </c>
      <c r="X16" s="591">
        <f>VLOOKUP($A$5:$A$31,MAI!$A$5:$C$31,3,)</f>
        <v>23924.04</v>
      </c>
      <c r="Y16" s="591">
        <f>VLOOKUP($A$5:$A$31,JUN!$A$5:$C$31,2,)</f>
        <v>78747.744000000006</v>
      </c>
      <c r="Z16" s="591">
        <f>VLOOKUP($A$5:$A$31,JUN!$A$5:$C$31,3,)</f>
        <v>20206.424000000014</v>
      </c>
      <c r="AA16" s="592">
        <f>VLOOKUP($A$5:$A$31,JUL!$A$5:$B$31,2,)</f>
        <v>60606.216000000008</v>
      </c>
      <c r="AB16" s="592">
        <f>VLOOKUP($A$5:$A$31,JUL!$A$5:$C$31,3,)</f>
        <v>20391.280000000006</v>
      </c>
      <c r="AC16" s="592">
        <f>VLOOKUP($A$5:$A$31,AGO!$A$5:$B$31,2,)</f>
        <v>26614.471999999998</v>
      </c>
      <c r="AD16" s="592">
        <f>VLOOKUP($A$5:$A$31,AGO!$A$5:$C$31,3,)</f>
        <v>27745.664000000004</v>
      </c>
      <c r="AE16" s="592">
        <f>VLOOKUP($A$5:$A$31,SET!$A$5:$B$31,2,)</f>
        <v>19466.664000000001</v>
      </c>
      <c r="AF16" s="592">
        <f>VLOOKUP($A$5:$A$31,SET!$A$5:$C$31,3,)</f>
        <v>17887.271999999997</v>
      </c>
      <c r="AG16" s="592">
        <f>VLOOKUP($A$5:$A$31,OUT!$A$5:$B$31,2,)</f>
        <v>0</v>
      </c>
      <c r="AH16" s="592">
        <f>VLOOKUP($A$5:$A$31,OUT!$A$5:$C$31,3,)</f>
        <v>0</v>
      </c>
      <c r="AI16" s="593">
        <f>VLOOKUP($A$5:$A$31,NOV!$A$5:$B$31,2,)</f>
        <v>0</v>
      </c>
      <c r="AJ16" s="593">
        <f>VLOOKUP($A$5:$A$31,NOV!$A$5:$C$31,3,)</f>
        <v>0</v>
      </c>
      <c r="AK16" s="593">
        <f>VLOOKUP($A$5:$A$31,DEZ!$A$5:$B$31,2,)</f>
        <v>0</v>
      </c>
      <c r="AL16" s="593">
        <f>VLOOKUP($A$5:$A$31,DEZ!$A$5:$C$31,3,)</f>
        <v>0</v>
      </c>
      <c r="AM16" s="593">
        <f t="shared" si="6"/>
        <v>971087.97599999991</v>
      </c>
      <c r="AN16" s="594">
        <f t="shared" si="3"/>
        <v>85.317510661987455</v>
      </c>
      <c r="AO16" s="594">
        <f t="shared" si="4"/>
        <v>1.2619810266253642</v>
      </c>
      <c r="AP16" s="234"/>
      <c r="AQ16" s="595">
        <f t="shared" si="7"/>
        <v>748928.61599999992</v>
      </c>
      <c r="AR16" s="595">
        <f t="shared" si="8"/>
        <v>222159.36000000004</v>
      </c>
      <c r="AS16" s="596">
        <f t="shared" si="9"/>
        <v>0.8868057616134819</v>
      </c>
      <c r="AT16" s="596">
        <f t="shared" si="10"/>
        <v>0.75646507781302252</v>
      </c>
      <c r="AU16" s="597">
        <f t="shared" si="11"/>
        <v>0.85317510661987461</v>
      </c>
      <c r="AV16" s="721">
        <f>'Comparativo YoY'!GB47</f>
        <v>6.4528594170627684</v>
      </c>
      <c r="AW16" s="579"/>
      <c r="AX16" s="579"/>
    </row>
    <row r="17" spans="1:50" s="578" customFormat="1">
      <c r="A17" s="584" t="s">
        <v>87</v>
      </c>
      <c r="B17" s="585">
        <v>3725</v>
      </c>
      <c r="C17" s="585">
        <v>3662</v>
      </c>
      <c r="D17" s="585">
        <v>2872</v>
      </c>
      <c r="E17" s="586">
        <v>1039263.51</v>
      </c>
      <c r="F17" s="586">
        <v>167836.07</v>
      </c>
      <c r="G17" s="587">
        <f>VLOOKUP($A$5:$A$31,'PF - Gênero'!$A$2:$D$28,4,)</f>
        <v>3639</v>
      </c>
      <c r="H17" s="587">
        <f>VLOOKUP($A$5:$A$31,'Relatórios - SICCAU e IGEO'!$A$3:$B$29,2,)</f>
        <v>52</v>
      </c>
      <c r="I17" s="587">
        <f t="shared" si="0"/>
        <v>3587</v>
      </c>
      <c r="J17" s="587">
        <v>2343</v>
      </c>
      <c r="K17" s="587">
        <v>1242</v>
      </c>
      <c r="L17" s="587">
        <f t="shared" si="1"/>
        <v>1101</v>
      </c>
      <c r="M17" s="588">
        <f t="shared" si="5"/>
        <v>65.319208252021184</v>
      </c>
      <c r="N17" s="589">
        <f t="shared" si="2"/>
        <v>1.7665686496267812</v>
      </c>
      <c r="O17" s="590">
        <f>VLOOKUP($A$5:$A$31,JAN!$A$5:$C$31,2,)</f>
        <v>117466.10400000001</v>
      </c>
      <c r="P17" s="590">
        <f>VLOOKUP($A$5:$A$31,JAN!$A$5:$C$31,3,)</f>
        <v>24164.480000000007</v>
      </c>
      <c r="Q17" s="590">
        <f>VLOOKUP($A$5:$A$31,FEV!$A$5:$C$31,2,)</f>
        <v>143115.24799999999</v>
      </c>
      <c r="R17" s="590">
        <f>VLOOKUP($A$5:$A$31,FEV!$A$5:$C$31,3,)</f>
        <v>18992</v>
      </c>
      <c r="S17" s="590">
        <f>VLOOKUP($A$5:$A$31,MAR!$A$5:$S$31,2,)</f>
        <v>145075.552</v>
      </c>
      <c r="T17" s="590">
        <f>VLOOKUP($A$5:$A$31,MAR!$A$5:$T$31,3,)</f>
        <v>24922.904000000002</v>
      </c>
      <c r="U17" s="591">
        <f>VLOOKUP($A$5:$A$31,ABR!$A$5:$B$31,2,)</f>
        <v>114961.88799999999</v>
      </c>
      <c r="V17" s="591">
        <f>VLOOKUP($A$5:$A$31,ABR!$A$5:$C$31,3,)</f>
        <v>15448.992000000002</v>
      </c>
      <c r="W17" s="591">
        <f>VLOOKUP($A$5:$A$31,MAI!$A$5:$C$31,2,)</f>
        <v>115179.31200000002</v>
      </c>
      <c r="X17" s="591">
        <f>VLOOKUP($A$5:$A$31,MAI!$A$5:$C$31,3,)</f>
        <v>15437.951999999999</v>
      </c>
      <c r="Y17" s="591">
        <f>VLOOKUP($A$5:$A$31,JUN!$A$5:$C$31,2,)</f>
        <v>121825.52800000001</v>
      </c>
      <c r="Z17" s="591">
        <f>VLOOKUP($A$5:$A$31,JUN!$A$5:$C$31,3,)</f>
        <v>15653.26399999999</v>
      </c>
      <c r="AA17" s="592">
        <f>VLOOKUP($A$5:$A$31,JUL!$A$5:$B$31,2,)</f>
        <v>81496.864000000001</v>
      </c>
      <c r="AB17" s="592">
        <f>VLOOKUP($A$5:$A$31,JUL!$A$5:$C$31,3,)</f>
        <v>13205.039999999992</v>
      </c>
      <c r="AC17" s="592">
        <f>VLOOKUP($A$5:$A$31,AGO!$A$5:$B$31,2,)</f>
        <v>37817.616000000002</v>
      </c>
      <c r="AD17" s="592">
        <f>VLOOKUP($A$5:$A$31,AGO!$A$5:$C$31,3,)</f>
        <v>13494.984000000004</v>
      </c>
      <c r="AE17" s="592">
        <f>VLOOKUP($A$5:$A$31,SET!$A$5:$B$31,2,)</f>
        <v>26066.464000000004</v>
      </c>
      <c r="AF17" s="592">
        <f>VLOOKUP($A$5:$A$31,SET!$A$5:$C$31,3,)</f>
        <v>13386.864000000001</v>
      </c>
      <c r="AG17" s="592">
        <f>VLOOKUP($A$5:$A$31,OUT!$A$5:$B$31,2,)</f>
        <v>0</v>
      </c>
      <c r="AH17" s="592">
        <f>VLOOKUP($A$5:$A$31,OUT!$A$5:$C$31,3,)</f>
        <v>0</v>
      </c>
      <c r="AI17" s="593">
        <f>VLOOKUP($A$5:$A$31,NOV!$A$5:$B$31,2,)</f>
        <v>0</v>
      </c>
      <c r="AJ17" s="593">
        <f>VLOOKUP($A$5:$A$31,NOV!$A$5:$C$31,3,)</f>
        <v>0</v>
      </c>
      <c r="AK17" s="593">
        <f>VLOOKUP($A$5:$A$31,DEZ!$A$5:$B$31,2,)</f>
        <v>0</v>
      </c>
      <c r="AL17" s="593">
        <f>VLOOKUP($A$5:$A$31,DEZ!$A$5:$C$31,3,)</f>
        <v>0</v>
      </c>
      <c r="AM17" s="593">
        <f t="shared" si="6"/>
        <v>1057711.0560000001</v>
      </c>
      <c r="AN17" s="594">
        <f t="shared" si="3"/>
        <v>87.624175629321314</v>
      </c>
      <c r="AO17" s="594">
        <f t="shared" si="4"/>
        <v>1.3745523755963778</v>
      </c>
      <c r="AP17" s="234"/>
      <c r="AQ17" s="595">
        <f t="shared" si="7"/>
        <v>903004.57600000012</v>
      </c>
      <c r="AR17" s="595">
        <f t="shared" si="8"/>
        <v>154706.48000000001</v>
      </c>
      <c r="AS17" s="596">
        <f t="shared" si="9"/>
        <v>0.86888894617304524</v>
      </c>
      <c r="AT17" s="596">
        <f t="shared" si="10"/>
        <v>0.92177134509882175</v>
      </c>
      <c r="AU17" s="597">
        <f t="shared" si="11"/>
        <v>0.87624175629321321</v>
      </c>
      <c r="AV17" s="721">
        <f>'Comparativo YoY'!GB48</f>
        <v>12.42615784978922</v>
      </c>
      <c r="AW17" s="579"/>
      <c r="AX17" s="579"/>
    </row>
    <row r="18" spans="1:50" s="578" customFormat="1">
      <c r="A18" s="584" t="s">
        <v>90</v>
      </c>
      <c r="B18" s="585">
        <v>3253</v>
      </c>
      <c r="C18" s="585">
        <v>3086</v>
      </c>
      <c r="D18" s="585">
        <v>1852</v>
      </c>
      <c r="E18" s="586">
        <v>661650.40999999992</v>
      </c>
      <c r="F18" s="586">
        <v>309741.52</v>
      </c>
      <c r="G18" s="587">
        <f>VLOOKUP($A$5:$A$31,'PF - Gênero'!$A$2:$D$28,4,)</f>
        <v>3301</v>
      </c>
      <c r="H18" s="587">
        <f>VLOOKUP($A$5:$A$31,'Relatórios - SICCAU e IGEO'!$A$3:$B$29,2,)</f>
        <v>134</v>
      </c>
      <c r="I18" s="587">
        <f t="shared" si="0"/>
        <v>3167</v>
      </c>
      <c r="J18" s="587">
        <v>1577</v>
      </c>
      <c r="K18" s="587">
        <v>884</v>
      </c>
      <c r="L18" s="587">
        <f t="shared" si="1"/>
        <v>693</v>
      </c>
      <c r="M18" s="588">
        <f t="shared" si="5"/>
        <v>49.794758446479321</v>
      </c>
      <c r="N18" s="589">
        <f t="shared" si="2"/>
        <v>1.1890220915328356</v>
      </c>
      <c r="O18" s="590">
        <f>VLOOKUP($A$5:$A$31,JAN!$A$5:$C$31,2,)</f>
        <v>82368.168000000005</v>
      </c>
      <c r="P18" s="590">
        <f>VLOOKUP($A$5:$A$31,JAN!$A$5:$C$31,3,)</f>
        <v>19167.431999999997</v>
      </c>
      <c r="Q18" s="590">
        <f>VLOOKUP($A$5:$A$31,FEV!$A$5:$C$31,2,)</f>
        <v>101812.25600000001</v>
      </c>
      <c r="R18" s="590">
        <f>VLOOKUP($A$5:$A$31,FEV!$A$5:$C$31,3,)</f>
        <v>21845.207999999984</v>
      </c>
      <c r="S18" s="590">
        <f>VLOOKUP($A$5:$A$31,MAR!$A$5:$S$31,2,)</f>
        <v>97399.831999999995</v>
      </c>
      <c r="T18" s="590">
        <f>VLOOKUP($A$5:$A$31,MAR!$A$5:$T$31,3,)</f>
        <v>23358.616000000002</v>
      </c>
      <c r="U18" s="591">
        <f>VLOOKUP($A$5:$A$31,ABR!$A$5:$B$31,2,)</f>
        <v>55695.296000000002</v>
      </c>
      <c r="V18" s="591">
        <f>VLOOKUP($A$5:$A$31,ABR!$A$5:$C$31,3,)</f>
        <v>16920.727999999999</v>
      </c>
      <c r="W18" s="591">
        <f>VLOOKUP($A$5:$A$31,MAI!$A$5:$C$31,2,)</f>
        <v>70927.407999999996</v>
      </c>
      <c r="X18" s="591">
        <f>VLOOKUP($A$5:$A$31,MAI!$A$5:$C$31,3,)</f>
        <v>20652.312000000002</v>
      </c>
      <c r="Y18" s="591">
        <f>VLOOKUP($A$5:$A$31,JUN!$A$5:$C$31,2,)</f>
        <v>71490.384000000005</v>
      </c>
      <c r="Z18" s="591">
        <f>VLOOKUP($A$5:$A$31,JUN!$A$5:$C$31,3,)</f>
        <v>19844.808000000008</v>
      </c>
      <c r="AA18" s="592">
        <f>VLOOKUP($A$5:$A$31,JUL!$A$5:$B$31,2,)</f>
        <v>56972.592000000004</v>
      </c>
      <c r="AB18" s="592">
        <f>VLOOKUP($A$5:$A$31,JUL!$A$5:$C$31,3,)</f>
        <v>15526.791999999994</v>
      </c>
      <c r="AC18" s="592">
        <f>VLOOKUP($A$5:$A$31,AGO!$A$5:$B$31,2,)</f>
        <v>26629.216</v>
      </c>
      <c r="AD18" s="592">
        <f>VLOOKUP($A$5:$A$31,AGO!$A$5:$C$31,3,)</f>
        <v>13231.624000000005</v>
      </c>
      <c r="AE18" s="592">
        <f>VLOOKUP($A$5:$A$31,SET!$A$5:$B$31,2,)</f>
        <v>19142.768</v>
      </c>
      <c r="AF18" s="592">
        <f>VLOOKUP($A$5:$A$31,SET!$A$5:$C$31,3,)</f>
        <v>12787.616000000004</v>
      </c>
      <c r="AG18" s="592">
        <f>VLOOKUP($A$5:$A$31,OUT!$A$5:$B$31,2,)</f>
        <v>0</v>
      </c>
      <c r="AH18" s="592">
        <f>VLOOKUP($A$5:$A$31,OUT!$A$5:$C$31,3,)</f>
        <v>0</v>
      </c>
      <c r="AI18" s="593">
        <f>VLOOKUP($A$5:$A$31,NOV!$A$5:$B$31,2,)</f>
        <v>0</v>
      </c>
      <c r="AJ18" s="593">
        <f>VLOOKUP($A$5:$A$31,NOV!$A$5:$C$31,3,)</f>
        <v>0</v>
      </c>
      <c r="AK18" s="593">
        <f>VLOOKUP($A$5:$A$31,DEZ!$A$5:$B$31,2,)</f>
        <v>0</v>
      </c>
      <c r="AL18" s="593">
        <f>VLOOKUP($A$5:$A$31,DEZ!$A$5:$C$31,3,)</f>
        <v>0</v>
      </c>
      <c r="AM18" s="593">
        <f t="shared" si="6"/>
        <v>745773.05599999987</v>
      </c>
      <c r="AN18" s="594">
        <f t="shared" si="3"/>
        <v>76.773651599102735</v>
      </c>
      <c r="AO18" s="594">
        <f t="shared" si="4"/>
        <v>0.96917217605463901</v>
      </c>
      <c r="AP18" s="234"/>
      <c r="AQ18" s="595">
        <f t="shared" si="7"/>
        <v>582437.92000000004</v>
      </c>
      <c r="AR18" s="595">
        <f t="shared" si="8"/>
        <v>163335.136</v>
      </c>
      <c r="AS18" s="596">
        <f t="shared" si="9"/>
        <v>0.88028044900629643</v>
      </c>
      <c r="AT18" s="596">
        <f t="shared" si="10"/>
        <v>0.52732722432562473</v>
      </c>
      <c r="AU18" s="597">
        <f t="shared" si="11"/>
        <v>0.76773651599102732</v>
      </c>
      <c r="AV18" s="721">
        <f>'Comparativo YoY'!GB49</f>
        <v>10.776460454233927</v>
      </c>
      <c r="AW18" s="579"/>
      <c r="AX18" s="579"/>
    </row>
    <row r="19" spans="1:50" s="578" customFormat="1">
      <c r="A19" s="584" t="s">
        <v>91</v>
      </c>
      <c r="B19" s="585">
        <v>3237</v>
      </c>
      <c r="C19" s="585">
        <v>3171</v>
      </c>
      <c r="D19" s="585">
        <v>2231</v>
      </c>
      <c r="E19" s="586">
        <v>789002.26</v>
      </c>
      <c r="F19" s="586">
        <v>273180.46000000002</v>
      </c>
      <c r="G19" s="587">
        <f>VLOOKUP($A$5:$A$31,'PF - Gênero'!$A$2:$D$28,4,)</f>
        <v>3193</v>
      </c>
      <c r="H19" s="587">
        <f>VLOOKUP($A$5:$A$31,'Relatórios - SICCAU e IGEO'!$A$3:$B$29,2,)</f>
        <v>57</v>
      </c>
      <c r="I19" s="587">
        <f t="shared" si="0"/>
        <v>3136</v>
      </c>
      <c r="J19" s="587">
        <v>2009</v>
      </c>
      <c r="K19" s="587">
        <v>1231</v>
      </c>
      <c r="L19" s="587">
        <f t="shared" si="1"/>
        <v>778</v>
      </c>
      <c r="M19" s="588">
        <f t="shared" si="5"/>
        <v>64.0625</v>
      </c>
      <c r="N19" s="589">
        <f t="shared" si="2"/>
        <v>1.5147402548443036</v>
      </c>
      <c r="O19" s="590">
        <f>VLOOKUP($A$5:$A$31,JAN!$A$5:$C$31,2,)</f>
        <v>84675.912000000011</v>
      </c>
      <c r="P19" s="590">
        <f>VLOOKUP($A$5:$A$31,JAN!$A$5:$C$31,3,)</f>
        <v>22427.247999999992</v>
      </c>
      <c r="Q19" s="590">
        <f>VLOOKUP($A$5:$A$31,FEV!$A$5:$C$31,2,)</f>
        <v>147139.06399999998</v>
      </c>
      <c r="R19" s="590">
        <f>VLOOKUP($A$5:$A$31,FEV!$A$5:$C$31,3,)</f>
        <v>27811.008000000009</v>
      </c>
      <c r="S19" s="590">
        <f>VLOOKUP($A$5:$A$31,MAR!$A$5:$S$31,2,)</f>
        <v>120666.03200000001</v>
      </c>
      <c r="T19" s="590">
        <f>VLOOKUP($A$5:$A$31,MAR!$A$5:$T$31,3,)</f>
        <v>39497.448000000004</v>
      </c>
      <c r="U19" s="591">
        <f>VLOOKUP($A$5:$A$31,ABR!$A$5:$B$31,2,)</f>
        <v>59901.488000000005</v>
      </c>
      <c r="V19" s="591">
        <f>VLOOKUP($A$5:$A$31,ABR!$A$5:$C$31,3,)</f>
        <v>23121.4</v>
      </c>
      <c r="W19" s="591">
        <f>VLOOKUP($A$5:$A$31,MAI!$A$5:$C$31,2,)</f>
        <v>61212.088000000003</v>
      </c>
      <c r="X19" s="591">
        <f>VLOOKUP($A$5:$A$31,MAI!$A$5:$C$31,3,)</f>
        <v>25568.616000000002</v>
      </c>
      <c r="Y19" s="591">
        <f>VLOOKUP($A$5:$A$31,JUN!$A$5:$C$31,2,)</f>
        <v>76885.648000000001</v>
      </c>
      <c r="Z19" s="591">
        <f>VLOOKUP($A$5:$A$31,JUN!$A$5:$C$31,3,)</f>
        <v>23840.76</v>
      </c>
      <c r="AA19" s="592">
        <f>VLOOKUP($A$5:$A$31,JUL!$A$5:$B$31,2,)</f>
        <v>76943.047999999995</v>
      </c>
      <c r="AB19" s="592">
        <f>VLOOKUP($A$5:$A$31,JUL!$A$5:$C$31,3,)</f>
        <v>20070.351999999992</v>
      </c>
      <c r="AC19" s="592">
        <f>VLOOKUP($A$5:$A$31,AGO!$A$5:$B$31,2,)</f>
        <v>43202.240000000005</v>
      </c>
      <c r="AD19" s="592">
        <f>VLOOKUP($A$5:$A$31,AGO!$A$5:$C$31,3,)</f>
        <v>26234.407999999996</v>
      </c>
      <c r="AE19" s="592">
        <f>VLOOKUP($A$5:$A$31,SET!$A$5:$B$31,2,)</f>
        <v>36470.103999999999</v>
      </c>
      <c r="AF19" s="592">
        <f>VLOOKUP($A$5:$A$31,SET!$A$5:$C$31,3,)</f>
        <v>25361.056</v>
      </c>
      <c r="AG19" s="592">
        <f>VLOOKUP($A$5:$A$31,OUT!$A$5:$B$31,2,)</f>
        <v>0</v>
      </c>
      <c r="AH19" s="592">
        <f>VLOOKUP($A$5:$A$31,OUT!$A$5:$C$31,3,)</f>
        <v>0</v>
      </c>
      <c r="AI19" s="593">
        <f>VLOOKUP($A$5:$A$31,NOV!$A$5:$B$31,2,)</f>
        <v>0</v>
      </c>
      <c r="AJ19" s="593">
        <f>VLOOKUP($A$5:$A$31,NOV!$A$5:$C$31,3,)</f>
        <v>0</v>
      </c>
      <c r="AK19" s="593">
        <f>VLOOKUP($A$5:$A$31,DEZ!$A$5:$B$31,2,)</f>
        <v>0</v>
      </c>
      <c r="AL19" s="593">
        <f>VLOOKUP($A$5:$A$31,DEZ!$A$5:$C$31,3,)</f>
        <v>0</v>
      </c>
      <c r="AM19" s="593">
        <f t="shared" si="6"/>
        <v>941027.92</v>
      </c>
      <c r="AN19" s="594">
        <f t="shared" si="3"/>
        <v>88.593789211709279</v>
      </c>
      <c r="AO19" s="594">
        <f t="shared" si="4"/>
        <v>1.2229163679447426</v>
      </c>
      <c r="AP19" s="234"/>
      <c r="AQ19" s="595">
        <f t="shared" si="7"/>
        <v>707095.62400000007</v>
      </c>
      <c r="AR19" s="595">
        <f t="shared" si="8"/>
        <v>233932.296</v>
      </c>
      <c r="AS19" s="596">
        <f t="shared" si="9"/>
        <v>0.89618960533775915</v>
      </c>
      <c r="AT19" s="596">
        <f t="shared" si="10"/>
        <v>0.856328801847687</v>
      </c>
      <c r="AU19" s="597">
        <f t="shared" si="11"/>
        <v>0.88593789211709273</v>
      </c>
      <c r="AV19" s="721">
        <f>'Comparativo YoY'!GB50</f>
        <v>16.779209459494979</v>
      </c>
      <c r="AW19" s="579"/>
      <c r="AX19" s="579"/>
    </row>
    <row r="20" spans="1:50" s="578" customFormat="1">
      <c r="A20" s="584" t="s">
        <v>93</v>
      </c>
      <c r="B20" s="585">
        <v>5629</v>
      </c>
      <c r="C20" s="585">
        <v>5181</v>
      </c>
      <c r="D20" s="585">
        <v>4057</v>
      </c>
      <c r="E20" s="586">
        <v>1472090.38</v>
      </c>
      <c r="F20" s="586">
        <v>464660.17</v>
      </c>
      <c r="G20" s="587">
        <f>VLOOKUP($A$5:$A$31,'PF - Gênero'!$A$2:$D$28,4,)</f>
        <v>5633</v>
      </c>
      <c r="H20" s="587">
        <f>VLOOKUP($A$5:$A$31,'Relatórios - SICCAU e IGEO'!$A$3:$B$29,2,)</f>
        <v>362</v>
      </c>
      <c r="I20" s="587">
        <f t="shared" si="0"/>
        <v>5271</v>
      </c>
      <c r="J20" s="587">
        <v>3429</v>
      </c>
      <c r="K20" s="587">
        <v>2180</v>
      </c>
      <c r="L20" s="587">
        <f t="shared" si="1"/>
        <v>1249</v>
      </c>
      <c r="M20" s="588">
        <f t="shared" si="5"/>
        <v>65.05406943653955</v>
      </c>
      <c r="N20" s="589">
        <f t="shared" si="2"/>
        <v>2.5853879212847772</v>
      </c>
      <c r="O20" s="590">
        <f>VLOOKUP($A$5:$A$31,JAN!$A$5:$C$31,2,)</f>
        <v>203885.11200000002</v>
      </c>
      <c r="P20" s="590">
        <f>VLOOKUP($A$5:$A$31,JAN!$A$5:$C$31,3,)</f>
        <v>45186.383999999984</v>
      </c>
      <c r="Q20" s="590">
        <f>VLOOKUP($A$5:$A$31,FEV!$A$5:$C$31,2,)</f>
        <v>270845.27999999997</v>
      </c>
      <c r="R20" s="590">
        <f>VLOOKUP($A$5:$A$31,FEV!$A$5:$C$31,3,)</f>
        <v>50809.495999999999</v>
      </c>
      <c r="S20" s="590">
        <f>VLOOKUP($A$5:$A$31,MAR!$A$5:$S$31,2,)</f>
        <v>209542.08799999999</v>
      </c>
      <c r="T20" s="590">
        <f>VLOOKUP($A$5:$A$31,MAR!$A$5:$T$31,3,)</f>
        <v>34278.944000000003</v>
      </c>
      <c r="U20" s="591">
        <f>VLOOKUP($A$5:$A$31,ABR!$A$5:$B$31,2,)</f>
        <v>110916.8</v>
      </c>
      <c r="V20" s="591">
        <f>VLOOKUP($A$5:$A$31,ABR!$A$5:$C$31,3,)</f>
        <v>30799.648000000001</v>
      </c>
      <c r="W20" s="591">
        <f>VLOOKUP($A$5:$A$31,MAI!$A$5:$C$31,2,)</f>
        <v>130141.98400000001</v>
      </c>
      <c r="X20" s="591">
        <f>VLOOKUP($A$5:$A$31,MAI!$A$5:$C$31,3,)</f>
        <v>45471.288</v>
      </c>
      <c r="Y20" s="591">
        <f>VLOOKUP($A$5:$A$31,JUN!$A$5:$C$31,2,)</f>
        <v>131906.25600000002</v>
      </c>
      <c r="Z20" s="591">
        <f>VLOOKUP($A$5:$A$31,JUN!$A$5:$C$31,3,)</f>
        <v>43926.231999999989</v>
      </c>
      <c r="AA20" s="592">
        <f>VLOOKUP($A$5:$A$31,JUL!$A$5:$B$31,2,)</f>
        <v>112706.13600000001</v>
      </c>
      <c r="AB20" s="592">
        <f>VLOOKUP($A$5:$A$31,JUL!$A$5:$C$31,3,)</f>
        <v>25861.935999999987</v>
      </c>
      <c r="AC20" s="592">
        <f>VLOOKUP($A$5:$A$31,AGO!$A$5:$B$31,2,)</f>
        <v>60733.280000000006</v>
      </c>
      <c r="AD20" s="592">
        <f>VLOOKUP($A$5:$A$31,AGO!$A$5:$C$31,3,)</f>
        <v>27987.312000000002</v>
      </c>
      <c r="AE20" s="592">
        <f>VLOOKUP($A$5:$A$31,SET!$A$5:$B$31,2,)</f>
        <v>40429.815999999999</v>
      </c>
      <c r="AF20" s="592">
        <f>VLOOKUP($A$5:$A$31,SET!$A$5:$C$31,3,)</f>
        <v>24480.936000000005</v>
      </c>
      <c r="AG20" s="592">
        <f>VLOOKUP($A$5:$A$31,OUT!$A$5:$B$31,2,)</f>
        <v>0</v>
      </c>
      <c r="AH20" s="592">
        <f>VLOOKUP($A$5:$A$31,OUT!$A$5:$C$31,3,)</f>
        <v>0</v>
      </c>
      <c r="AI20" s="593">
        <f>VLOOKUP($A$5:$A$31,NOV!$A$5:$B$31,2,)</f>
        <v>0</v>
      </c>
      <c r="AJ20" s="593">
        <f>VLOOKUP($A$5:$A$31,NOV!$A$5:$C$31,3,)</f>
        <v>0</v>
      </c>
      <c r="AK20" s="593">
        <f>VLOOKUP($A$5:$A$31,DEZ!$A$5:$B$31,2,)</f>
        <v>0</v>
      </c>
      <c r="AL20" s="593">
        <f>VLOOKUP($A$5:$A$31,DEZ!$A$5:$C$31,3,)</f>
        <v>0</v>
      </c>
      <c r="AM20" s="593">
        <f t="shared" si="6"/>
        <v>1599908.9280000001</v>
      </c>
      <c r="AN20" s="594">
        <f t="shared" si="3"/>
        <v>82.60789847200509</v>
      </c>
      <c r="AO20" s="594">
        <f t="shared" si="4"/>
        <v>2.0791676566537221</v>
      </c>
      <c r="AP20" s="234"/>
      <c r="AQ20" s="595">
        <f t="shared" si="7"/>
        <v>1271106.7520000001</v>
      </c>
      <c r="AR20" s="595">
        <f t="shared" si="8"/>
        <v>328802.17599999992</v>
      </c>
      <c r="AS20" s="596">
        <f t="shared" si="9"/>
        <v>0.86347059207057664</v>
      </c>
      <c r="AT20" s="596">
        <f t="shared" si="10"/>
        <v>0.70761859360573109</v>
      </c>
      <c r="AU20" s="597">
        <f t="shared" si="11"/>
        <v>0.82607898472005092</v>
      </c>
      <c r="AV20" s="721">
        <f>'Comparativo YoY'!GB51</f>
        <v>17.655937247841024</v>
      </c>
      <c r="AW20" s="579"/>
      <c r="AX20" s="579"/>
    </row>
    <row r="21" spans="1:50" s="578" customFormat="1">
      <c r="A21" s="798" t="s">
        <v>94</v>
      </c>
      <c r="B21" s="585">
        <v>1641</v>
      </c>
      <c r="C21" s="585">
        <v>1599</v>
      </c>
      <c r="D21" s="585">
        <v>1196</v>
      </c>
      <c r="E21" s="586">
        <v>441365.22</v>
      </c>
      <c r="F21" s="586">
        <v>200000</v>
      </c>
      <c r="G21" s="587">
        <f>VLOOKUP($A$5:$A$31,'PF - Gênero'!$A$2:$D$28,4,)</f>
        <v>1613</v>
      </c>
      <c r="H21" s="587">
        <f>VLOOKUP($A$5:$A$31,'Relatórios - SICCAU e IGEO'!$A$3:$B$29,2,)</f>
        <v>37</v>
      </c>
      <c r="I21" s="587">
        <f t="shared" si="0"/>
        <v>1576</v>
      </c>
      <c r="J21" s="587">
        <v>969</v>
      </c>
      <c r="K21" s="587">
        <v>640</v>
      </c>
      <c r="L21" s="587">
        <f t="shared" si="1"/>
        <v>329</v>
      </c>
      <c r="M21" s="588">
        <f t="shared" si="5"/>
        <v>61.484771573604057</v>
      </c>
      <c r="N21" s="589">
        <f t="shared" si="2"/>
        <v>0.73060393576114002</v>
      </c>
      <c r="O21" s="590">
        <f>VLOOKUP($A$5:$A$31,JAN!$A$5:$C$31,2,)</f>
        <v>60009.648000000001</v>
      </c>
      <c r="P21" s="590">
        <f>VLOOKUP($A$5:$A$31,JAN!$A$5:$C$31,3,)</f>
        <v>8050.8</v>
      </c>
      <c r="Q21" s="590">
        <f>VLOOKUP($A$5:$A$31,FEV!$A$5:$C$31,2,)</f>
        <v>74255.528000000006</v>
      </c>
      <c r="R21" s="590">
        <f>VLOOKUP($A$5:$A$31,FEV!$A$5:$C$31,3,)</f>
        <v>5731.8799999999937</v>
      </c>
      <c r="S21" s="590">
        <f>VLOOKUP($A$5:$A$31,MAR!$A$5:$S$31,2,)</f>
        <v>60187.552000000003</v>
      </c>
      <c r="T21" s="590">
        <f>VLOOKUP($A$5:$A$31,MAR!$A$5:$T$31,3,)</f>
        <v>8351.5679999999993</v>
      </c>
      <c r="U21" s="591">
        <f>VLOOKUP($A$5:$A$31,ABR!$A$5:$B$31,2,)</f>
        <v>26192.664000000004</v>
      </c>
      <c r="V21" s="591">
        <f>VLOOKUP($A$5:$A$31,ABR!$A$5:$C$31,3,)</f>
        <v>5110.7839999999997</v>
      </c>
      <c r="W21" s="591">
        <f>VLOOKUP($A$5:$A$31,MAI!$A$5:$C$31,2,)</f>
        <v>33896.048000000003</v>
      </c>
      <c r="X21" s="591">
        <f>VLOOKUP($A$5:$A$31,MAI!$A$5:$C$31,3,)</f>
        <v>4931.3600000000006</v>
      </c>
      <c r="Y21" s="591">
        <f>VLOOKUP($A$5:$A$31,JUN!$A$5:$C$31,2,)</f>
        <v>42503.048000000003</v>
      </c>
      <c r="Z21" s="591">
        <f>VLOOKUP($A$5:$A$31,JUN!$A$5:$C$31,3,)</f>
        <v>4263.9679999999998</v>
      </c>
      <c r="AA21" s="592">
        <f>VLOOKUP($A$5:$A$31,JUL!$A$5:$B$31,2,)</f>
        <v>25629.08</v>
      </c>
      <c r="AB21" s="592">
        <f>VLOOKUP($A$5:$A$31,JUL!$A$5:$C$31,3,)</f>
        <v>2508.2480000000041</v>
      </c>
      <c r="AC21" s="592">
        <f>VLOOKUP($A$5:$A$31,AGO!$A$5:$B$31,2,)</f>
        <v>17587.832000000002</v>
      </c>
      <c r="AD21" s="592">
        <f>VLOOKUP($A$5:$A$31,AGO!$A$5:$C$31,3,)</f>
        <v>7429.5119999999997</v>
      </c>
      <c r="AE21" s="592">
        <f>VLOOKUP($A$5:$A$31,SET!$A$5:$B$31,2,)</f>
        <v>12298.232000000002</v>
      </c>
      <c r="AF21" s="592">
        <f>VLOOKUP($A$5:$A$31,SET!$A$5:$C$31,3,)</f>
        <v>4252.7440000000006</v>
      </c>
      <c r="AG21" s="592">
        <f>VLOOKUP($A$5:$A$31,OUT!$A$5:$B$31,2,)</f>
        <v>0</v>
      </c>
      <c r="AH21" s="592">
        <f>VLOOKUP($A$5:$A$31,OUT!$A$5:$C$31,3,)</f>
        <v>0</v>
      </c>
      <c r="AI21" s="593">
        <f>VLOOKUP($A$5:$A$31,NOV!$A$5:$B$31,2,)</f>
        <v>0</v>
      </c>
      <c r="AJ21" s="593">
        <f>VLOOKUP($A$5:$A$31,NOV!$A$5:$C$31,3,)</f>
        <v>0</v>
      </c>
      <c r="AK21" s="593">
        <f>VLOOKUP($A$5:$A$31,DEZ!$A$5:$B$31,2,)</f>
        <v>0</v>
      </c>
      <c r="AL21" s="593">
        <f>VLOOKUP($A$5:$A$31,DEZ!$A$5:$C$31,3,)</f>
        <v>0</v>
      </c>
      <c r="AM21" s="593">
        <f t="shared" si="6"/>
        <v>403190.49600000004</v>
      </c>
      <c r="AN21" s="594">
        <f t="shared" si="3"/>
        <v>62.864415379430781</v>
      </c>
      <c r="AO21" s="594">
        <f t="shared" si="4"/>
        <v>0.52396772346367704</v>
      </c>
      <c r="AP21" s="234"/>
      <c r="AQ21" s="595">
        <f t="shared" si="7"/>
        <v>352559.63200000004</v>
      </c>
      <c r="AR21" s="595">
        <f t="shared" si="8"/>
        <v>50630.864000000001</v>
      </c>
      <c r="AS21" s="596">
        <f t="shared" si="9"/>
        <v>0.79879341648170665</v>
      </c>
      <c r="AT21" s="596">
        <f t="shared" si="10"/>
        <v>0.25315431999999999</v>
      </c>
      <c r="AU21" s="597">
        <f t="shared" si="11"/>
        <v>0.62864415379430783</v>
      </c>
      <c r="AV21" s="721">
        <f>'Comparativo YoY'!GB52</f>
        <v>25.071980691567333</v>
      </c>
      <c r="AW21" s="579"/>
      <c r="AX21" s="579"/>
    </row>
    <row r="22" spans="1:50" s="578" customFormat="1">
      <c r="A22" s="584" t="s">
        <v>92</v>
      </c>
      <c r="B22" s="585">
        <v>14181</v>
      </c>
      <c r="C22" s="585">
        <v>13769</v>
      </c>
      <c r="D22" s="585">
        <v>9552</v>
      </c>
      <c r="E22" s="586">
        <v>3699470.39</v>
      </c>
      <c r="F22" s="586">
        <v>867607.55</v>
      </c>
      <c r="G22" s="587">
        <f>VLOOKUP($A$5:$A$31,'PF - Gênero'!$A$2:$D$28,4,)</f>
        <v>14583</v>
      </c>
      <c r="H22" s="587">
        <f>VLOOKUP($A$5:$A$31,'Relatórios - SICCAU e IGEO'!$A$3:$B$29,2,)</f>
        <v>376</v>
      </c>
      <c r="I22" s="587">
        <f t="shared" si="0"/>
        <v>14207</v>
      </c>
      <c r="J22" s="587">
        <v>9557</v>
      </c>
      <c r="K22" s="587">
        <v>5613</v>
      </c>
      <c r="L22" s="587">
        <f t="shared" si="1"/>
        <v>3944</v>
      </c>
      <c r="M22" s="588">
        <f t="shared" si="5"/>
        <v>67.269655803477164</v>
      </c>
      <c r="N22" s="589">
        <f t="shared" si="2"/>
        <v>7.2057603860363422</v>
      </c>
      <c r="O22" s="590">
        <f>VLOOKUP($A$5:$A$31,JAN!$A$5:$C$31,2,)</f>
        <v>654530.46400000004</v>
      </c>
      <c r="P22" s="590">
        <f>VLOOKUP($A$5:$A$31,JAN!$A$5:$C$31,3,)</f>
        <v>75913.848000000056</v>
      </c>
      <c r="Q22" s="590">
        <f>VLOOKUP($A$5:$A$31,FEV!$A$5:$C$31,2,)</f>
        <v>791752.32000000007</v>
      </c>
      <c r="R22" s="590">
        <f>VLOOKUP($A$5:$A$31,FEV!$A$5:$C$31,3,)</f>
        <v>110487.46399999998</v>
      </c>
      <c r="S22" s="590">
        <f>VLOOKUP($A$5:$A$31,MAR!$A$5:$S$31,2,)</f>
        <v>735945.85600000003</v>
      </c>
      <c r="T22" s="590">
        <f>VLOOKUP($A$5:$A$31,MAR!$A$5:$T$31,3,)</f>
        <v>113339.23200000002</v>
      </c>
      <c r="U22" s="591">
        <f>VLOOKUP($A$5:$A$31,ABR!$A$5:$B$31,2,)</f>
        <v>270465.48800000001</v>
      </c>
      <c r="V22" s="591">
        <f>VLOOKUP($A$5:$A$31,ABR!$A$5:$C$31,3,)</f>
        <v>70059.26400000001</v>
      </c>
      <c r="W22" s="591">
        <f>VLOOKUP($A$5:$A$31,MAI!$A$5:$C$31,2,)</f>
        <v>358492.76</v>
      </c>
      <c r="X22" s="591">
        <f>VLOOKUP($A$5:$A$31,MAI!$A$5:$C$31,3,)</f>
        <v>69937.831999999995</v>
      </c>
      <c r="Y22" s="591">
        <f>VLOOKUP($A$5:$A$31,JUN!$A$5:$C$31,2,)</f>
        <v>344727.07200000004</v>
      </c>
      <c r="Z22" s="591">
        <f>VLOOKUP($A$5:$A$31,JUN!$A$5:$C$31,3,)</f>
        <v>58783.287999999993</v>
      </c>
      <c r="AA22" s="592">
        <f>VLOOKUP($A$5:$A$31,JUL!$A$5:$B$31,2,)</f>
        <v>243590.31200000003</v>
      </c>
      <c r="AB22" s="592">
        <f>VLOOKUP($A$5:$A$31,JUL!$A$5:$C$31,3,)</f>
        <v>50937.808000000012</v>
      </c>
      <c r="AC22" s="592">
        <f>VLOOKUP($A$5:$A$31,AGO!$A$5:$B$31,2,)</f>
        <v>126511.72</v>
      </c>
      <c r="AD22" s="592">
        <f>VLOOKUP($A$5:$A$31,AGO!$A$5:$C$31,3,)</f>
        <v>55525.936000000016</v>
      </c>
      <c r="AE22" s="592">
        <f>VLOOKUP($A$5:$A$31,SET!$A$5:$B$31,2,)</f>
        <v>82921.664000000004</v>
      </c>
      <c r="AF22" s="592">
        <f>VLOOKUP($A$5:$A$31,SET!$A$5:$C$31,3,)</f>
        <v>37285.496000000006</v>
      </c>
      <c r="AG22" s="592">
        <f>VLOOKUP($A$5:$A$31,OUT!$A$5:$B$31,2,)</f>
        <v>0</v>
      </c>
      <c r="AH22" s="592">
        <f>VLOOKUP($A$5:$A$31,OUT!$A$5:$C$31,3,)</f>
        <v>0</v>
      </c>
      <c r="AI22" s="593">
        <f>VLOOKUP($A$5:$A$31,NOV!$A$5:$B$31,2,)</f>
        <v>0</v>
      </c>
      <c r="AJ22" s="593">
        <f>VLOOKUP($A$5:$A$31,NOV!$A$5:$C$31,3,)</f>
        <v>0</v>
      </c>
      <c r="AK22" s="593">
        <f>VLOOKUP($A$5:$A$31,DEZ!$A$5:$B$31,2,)</f>
        <v>0</v>
      </c>
      <c r="AL22" s="593">
        <f>VLOOKUP($A$5:$A$31,DEZ!$A$5:$C$31,3,)</f>
        <v>0</v>
      </c>
      <c r="AM22" s="593">
        <f t="shared" si="6"/>
        <v>4251207.824000001</v>
      </c>
      <c r="AN22" s="594">
        <f t="shared" si="3"/>
        <v>93.083759021638258</v>
      </c>
      <c r="AO22" s="594">
        <f t="shared" si="4"/>
        <v>5.5246730952513641</v>
      </c>
      <c r="AP22" s="234"/>
      <c r="AQ22" s="595">
        <f t="shared" si="7"/>
        <v>3608937.6560000004</v>
      </c>
      <c r="AR22" s="595">
        <f t="shared" si="8"/>
        <v>642270.16800000006</v>
      </c>
      <c r="AS22" s="596">
        <f t="shared" si="9"/>
        <v>0.97552819067163832</v>
      </c>
      <c r="AT22" s="596">
        <f t="shared" si="10"/>
        <v>0.74027729242328522</v>
      </c>
      <c r="AU22" s="597">
        <f t="shared" si="11"/>
        <v>0.93083759021638257</v>
      </c>
      <c r="AV22" s="721">
        <f>'Comparativo YoY'!GB53</f>
        <v>9.2067568545739533</v>
      </c>
      <c r="AW22" s="579"/>
      <c r="AX22" s="579"/>
    </row>
    <row r="23" spans="1:50" s="578" customFormat="1">
      <c r="A23" s="584" t="s">
        <v>95</v>
      </c>
      <c r="B23" s="585">
        <v>21569</v>
      </c>
      <c r="C23" s="585">
        <v>18065</v>
      </c>
      <c r="D23" s="585">
        <v>12989</v>
      </c>
      <c r="E23" s="586">
        <v>4562590.3600000003</v>
      </c>
      <c r="F23" s="586">
        <v>1162226.3400000001</v>
      </c>
      <c r="G23" s="587">
        <f>VLOOKUP($A$5:$A$31,'PF - Gênero'!$A$2:$D$28,4,)</f>
        <v>21441</v>
      </c>
      <c r="H23" s="587">
        <f>VLOOKUP($A$5:$A$31,'Relatórios - SICCAU e IGEO'!$A$3:$B$29,2,)</f>
        <v>3247</v>
      </c>
      <c r="I23" s="587">
        <f t="shared" si="0"/>
        <v>18194</v>
      </c>
      <c r="J23" s="587">
        <v>11518</v>
      </c>
      <c r="K23" s="587">
        <v>7775</v>
      </c>
      <c r="L23" s="587">
        <f t="shared" si="1"/>
        <v>3743</v>
      </c>
      <c r="M23" s="588">
        <f t="shared" si="5"/>
        <v>63.306584588325819</v>
      </c>
      <c r="N23" s="589">
        <f t="shared" si="2"/>
        <v>8.6843097338460371</v>
      </c>
      <c r="O23" s="590">
        <f>VLOOKUP($A$5:$A$31,JAN!$A$5:$C$31,2,)</f>
        <v>747995.91200000001</v>
      </c>
      <c r="P23" s="590">
        <f>VLOOKUP($A$5:$A$31,JAN!$A$5:$C$31,3,)</f>
        <v>92360.152000000002</v>
      </c>
      <c r="Q23" s="590">
        <f>VLOOKUP($A$5:$A$31,FEV!$A$5:$C$31,2,)</f>
        <v>867383.56799999997</v>
      </c>
      <c r="R23" s="590">
        <f>VLOOKUP($A$5:$A$31,FEV!$A$5:$C$31,3,)</f>
        <v>97922.192000000185</v>
      </c>
      <c r="S23" s="590">
        <f>VLOOKUP($A$5:$A$31,MAR!$A$5:$S$31,2,)</f>
        <v>797805.18400000001</v>
      </c>
      <c r="T23" s="590">
        <f>VLOOKUP($A$5:$A$31,MAR!$A$5:$T$31,3,)</f>
        <v>104439.77600000001</v>
      </c>
      <c r="U23" s="591">
        <f>VLOOKUP($A$5:$A$31,ABR!$A$5:$B$31,2,)</f>
        <v>338587.45600000001</v>
      </c>
      <c r="V23" s="591">
        <f>VLOOKUP($A$5:$A$31,ABR!$A$5:$C$31,3,)</f>
        <v>72213.2</v>
      </c>
      <c r="W23" s="591">
        <f>VLOOKUP($A$5:$A$31,MAI!$A$5:$C$31,2,)</f>
        <v>408230.95200000005</v>
      </c>
      <c r="X23" s="591">
        <f>VLOOKUP($A$5:$A$31,MAI!$A$5:$C$31,3,)</f>
        <v>77149.736000000004</v>
      </c>
      <c r="Y23" s="591">
        <f>VLOOKUP($A$5:$A$31,JUN!$A$5:$C$31,2,)</f>
        <v>419935.72000000003</v>
      </c>
      <c r="Z23" s="591">
        <f>VLOOKUP($A$5:$A$31,JUN!$A$5:$C$31,3,)</f>
        <v>65444.231999999938</v>
      </c>
      <c r="AA23" s="592">
        <f>VLOOKUP($A$5:$A$31,JUL!$A$5:$B$31,2,)</f>
        <v>328405.46400000004</v>
      </c>
      <c r="AB23" s="592">
        <f>VLOOKUP($A$5:$A$31,JUL!$A$5:$C$31,3,)</f>
        <v>62047.472000000023</v>
      </c>
      <c r="AC23" s="592">
        <f>VLOOKUP($A$5:$A$31,AGO!$A$5:$B$31,2,)</f>
        <v>164785.20800000001</v>
      </c>
      <c r="AD23" s="592">
        <f>VLOOKUP($A$5:$A$31,AGO!$A$5:$C$31,3,)</f>
        <v>67534.263999999966</v>
      </c>
      <c r="AE23" s="592">
        <f>VLOOKUP($A$5:$A$31,SET!$A$5:$B$31,2,)</f>
        <v>142814.704</v>
      </c>
      <c r="AF23" s="592">
        <f>VLOOKUP($A$5:$A$31,SET!$A$5:$C$31,3,)</f>
        <v>56911.304000000004</v>
      </c>
      <c r="AG23" s="592">
        <f>VLOOKUP($A$5:$A$31,OUT!$A$5:$B$31,2,)</f>
        <v>0</v>
      </c>
      <c r="AH23" s="592">
        <f>VLOOKUP($A$5:$A$31,OUT!$A$5:$C$31,3,)</f>
        <v>0</v>
      </c>
      <c r="AI23" s="593">
        <f>VLOOKUP($A$5:$A$31,NOV!$A$5:$B$31,2,)</f>
        <v>0</v>
      </c>
      <c r="AJ23" s="593">
        <f>VLOOKUP($A$5:$A$31,NOV!$A$5:$C$31,3,)</f>
        <v>0</v>
      </c>
      <c r="AK23" s="593">
        <f>VLOOKUP($A$5:$A$31,DEZ!$A$5:$B$31,2,)</f>
        <v>0</v>
      </c>
      <c r="AL23" s="593">
        <f>VLOOKUP($A$5:$A$31,DEZ!$A$5:$C$31,3,)</f>
        <v>0</v>
      </c>
      <c r="AM23" s="593">
        <f t="shared" si="6"/>
        <v>4911966.4959999993</v>
      </c>
      <c r="AN23" s="594">
        <f t="shared" si="3"/>
        <v>85.801288554793359</v>
      </c>
      <c r="AO23" s="594">
        <f t="shared" si="4"/>
        <v>6.3833645092640641</v>
      </c>
      <c r="AP23" s="234"/>
      <c r="AQ23" s="595">
        <f t="shared" si="7"/>
        <v>4215944.1680000005</v>
      </c>
      <c r="AR23" s="595">
        <f t="shared" si="8"/>
        <v>696022.32800000021</v>
      </c>
      <c r="AS23" s="596">
        <f t="shared" si="9"/>
        <v>0.92402425713273983</v>
      </c>
      <c r="AT23" s="596">
        <f t="shared" si="10"/>
        <v>0.59886986213029736</v>
      </c>
      <c r="AU23" s="597">
        <f t="shared" si="11"/>
        <v>0.85801288554793365</v>
      </c>
      <c r="AV23" s="721">
        <f>'Comparativo YoY'!GB54</f>
        <v>11.769172412296186</v>
      </c>
      <c r="AW23" s="579"/>
      <c r="AX23" s="579"/>
    </row>
    <row r="24" spans="1:50" s="578" customFormat="1">
      <c r="A24" s="584" t="s">
        <v>96</v>
      </c>
      <c r="B24" s="585">
        <v>2803</v>
      </c>
      <c r="C24" s="585">
        <v>2723</v>
      </c>
      <c r="D24" s="585">
        <v>1878</v>
      </c>
      <c r="E24" s="586">
        <v>694746.1</v>
      </c>
      <c r="F24" s="586">
        <v>193603.36</v>
      </c>
      <c r="G24" s="587">
        <f>VLOOKUP($A$5:$A$31,'PF - Gênero'!$A$2:$D$28,4,)</f>
        <v>2789</v>
      </c>
      <c r="H24" s="587">
        <f>VLOOKUP($A$5:$A$31,'Relatórios - SICCAU e IGEO'!$A$3:$B$29,2,)</f>
        <v>61</v>
      </c>
      <c r="I24" s="587">
        <f t="shared" si="0"/>
        <v>2728</v>
      </c>
      <c r="J24" s="587">
        <v>1592</v>
      </c>
      <c r="K24" s="587">
        <v>989</v>
      </c>
      <c r="L24" s="587">
        <f t="shared" si="1"/>
        <v>603</v>
      </c>
      <c r="M24" s="588">
        <f t="shared" si="5"/>
        <v>58.357771260997069</v>
      </c>
      <c r="N24" s="589">
        <f t="shared" si="2"/>
        <v>1.2003317499811506</v>
      </c>
      <c r="O24" s="590">
        <f>VLOOKUP($A$5:$A$31,JAN!$A$5:$C$31,2,)</f>
        <v>81070.688000000009</v>
      </c>
      <c r="P24" s="590">
        <f>VLOOKUP($A$5:$A$31,JAN!$A$5:$C$31,3,)</f>
        <v>13076.752000000004</v>
      </c>
      <c r="Q24" s="590">
        <f>VLOOKUP($A$5:$A$31,FEV!$A$5:$C$31,2,)</f>
        <v>108622.96799999999</v>
      </c>
      <c r="R24" s="590">
        <f>VLOOKUP($A$5:$A$31,FEV!$A$5:$C$31,3,)</f>
        <v>21988.11199999999</v>
      </c>
      <c r="S24" s="590">
        <f>VLOOKUP($A$5:$A$31,MAR!$A$5:$S$31,2,)</f>
        <v>94694.432000000001</v>
      </c>
      <c r="T24" s="590">
        <f>VLOOKUP($A$5:$A$31,MAR!$A$5:$T$31,3,)</f>
        <v>22676.648000000001</v>
      </c>
      <c r="U24" s="591">
        <f>VLOOKUP($A$5:$A$31,ABR!$A$5:$B$31,2,)</f>
        <v>57831.776000000005</v>
      </c>
      <c r="V24" s="591">
        <f>VLOOKUP($A$5:$A$31,ABR!$A$5:$C$31,3,)</f>
        <v>17679.295999999998</v>
      </c>
      <c r="W24" s="591">
        <f>VLOOKUP($A$5:$A$31,MAI!$A$5:$C$31,2,)</f>
        <v>72613.824000000008</v>
      </c>
      <c r="X24" s="591">
        <f>VLOOKUP($A$5:$A$31,MAI!$A$5:$C$31,3,)</f>
        <v>14261.536000000002</v>
      </c>
      <c r="Y24" s="591">
        <f>VLOOKUP($A$5:$A$31,JUN!$A$5:$C$31,2,)</f>
        <v>87603.392000000007</v>
      </c>
      <c r="Z24" s="591">
        <f>VLOOKUP($A$5:$A$31,JUN!$A$5:$C$31,3,)</f>
        <v>11886.383999999998</v>
      </c>
      <c r="AA24" s="592">
        <f>VLOOKUP($A$5:$A$31,JUL!$A$5:$B$31,2,)</f>
        <v>76831.368000000002</v>
      </c>
      <c r="AB24" s="592">
        <f>VLOOKUP($A$5:$A$31,JUL!$A$5:$C$31,3,)</f>
        <v>9397.5919999999933</v>
      </c>
      <c r="AC24" s="592">
        <f>VLOOKUP($A$5:$A$31,AGO!$A$5:$B$31,2,)</f>
        <v>20956.800000000003</v>
      </c>
      <c r="AD24" s="592">
        <f>VLOOKUP($A$5:$A$31,AGO!$A$5:$C$31,3,)</f>
        <v>11588.807999999997</v>
      </c>
      <c r="AE24" s="592">
        <f>VLOOKUP($A$5:$A$31,SET!$A$5:$B$31,2,)</f>
        <v>12992.584000000001</v>
      </c>
      <c r="AF24" s="592">
        <f>VLOOKUP($A$5:$A$31,SET!$A$5:$C$31,3,)</f>
        <v>10501.048000000003</v>
      </c>
      <c r="AG24" s="592">
        <f>VLOOKUP($A$5:$A$31,OUT!$A$5:$B$31,2,)</f>
        <v>0</v>
      </c>
      <c r="AH24" s="592">
        <f>VLOOKUP($A$5:$A$31,OUT!$A$5:$C$31,3,)</f>
        <v>0</v>
      </c>
      <c r="AI24" s="593">
        <f>VLOOKUP($A$5:$A$31,NOV!$A$5:$B$31,2,)</f>
        <v>0</v>
      </c>
      <c r="AJ24" s="593">
        <f>VLOOKUP($A$5:$A$31,NOV!$A$5:$C$31,3,)</f>
        <v>0</v>
      </c>
      <c r="AK24" s="593">
        <f>VLOOKUP($A$5:$A$31,DEZ!$A$5:$B$31,2,)</f>
        <v>0</v>
      </c>
      <c r="AL24" s="593">
        <f>VLOOKUP($A$5:$A$31,DEZ!$A$5:$C$31,3,)</f>
        <v>0</v>
      </c>
      <c r="AM24" s="593">
        <f t="shared" si="6"/>
        <v>746274.00799999991</v>
      </c>
      <c r="AN24" s="594">
        <f t="shared" si="3"/>
        <v>84.006806060308733</v>
      </c>
      <c r="AO24" s="594">
        <f t="shared" si="4"/>
        <v>0.96982319010781914</v>
      </c>
      <c r="AP24" s="234"/>
      <c r="AQ24" s="595">
        <f t="shared" si="7"/>
        <v>613217.83200000005</v>
      </c>
      <c r="AR24" s="595">
        <f t="shared" si="8"/>
        <v>133056.17600000001</v>
      </c>
      <c r="AS24" s="596">
        <f t="shared" si="9"/>
        <v>0.88265026892558318</v>
      </c>
      <c r="AT24" s="596">
        <f t="shared" si="10"/>
        <v>0.68726170868108905</v>
      </c>
      <c r="AU24" s="597">
        <f t="shared" si="11"/>
        <v>0.84006806060308736</v>
      </c>
      <c r="AV24" s="721">
        <f>'Comparativo YoY'!GB55</f>
        <v>7.9656551624285328</v>
      </c>
      <c r="AW24" s="579"/>
      <c r="AX24" s="579"/>
    </row>
    <row r="25" spans="1:50" s="578" customFormat="1">
      <c r="A25" s="584" t="s">
        <v>98</v>
      </c>
      <c r="B25" s="585">
        <v>1461.8</v>
      </c>
      <c r="C25" s="585">
        <v>1442.8</v>
      </c>
      <c r="D25" s="585">
        <v>1030</v>
      </c>
      <c r="E25" s="586">
        <v>357610.5</v>
      </c>
      <c r="F25" s="586">
        <v>76550.48</v>
      </c>
      <c r="G25" s="587">
        <f>VLOOKUP($A$5:$A$31,'PF - Gênero'!$A$2:$D$28,4,)</f>
        <v>1471</v>
      </c>
      <c r="H25" s="587">
        <f>VLOOKUP($A$5:$A$31,'Relatórios - SICCAU e IGEO'!$A$3:$B$29,2,)</f>
        <v>12</v>
      </c>
      <c r="I25" s="587">
        <f t="shared" si="0"/>
        <v>1459</v>
      </c>
      <c r="J25" s="587">
        <v>929</v>
      </c>
      <c r="K25" s="587">
        <v>522</v>
      </c>
      <c r="L25" s="587">
        <f t="shared" si="1"/>
        <v>407</v>
      </c>
      <c r="M25" s="588">
        <f t="shared" si="5"/>
        <v>63.673749143248806</v>
      </c>
      <c r="N25" s="589">
        <f t="shared" si="2"/>
        <v>0.70044484656563377</v>
      </c>
      <c r="O25" s="590">
        <f>VLOOKUP($A$5:$A$31,JAN!$A$5:$C$31,2,)</f>
        <v>41901.192000000003</v>
      </c>
      <c r="P25" s="590">
        <f>VLOOKUP($A$5:$A$31,JAN!$A$5:$C$31,3,)</f>
        <v>8707.5120000000024</v>
      </c>
      <c r="Q25" s="590">
        <f>VLOOKUP($A$5:$A$31,FEV!$A$5:$C$31,2,)</f>
        <v>44577.128000000004</v>
      </c>
      <c r="R25" s="590">
        <f>VLOOKUP($A$5:$A$31,FEV!$A$5:$C$31,3,)</f>
        <v>10929.864000000001</v>
      </c>
      <c r="S25" s="590">
        <f>VLOOKUP($A$5:$A$31,MAR!$A$5:$S$31,2,)</f>
        <v>51722.112000000001</v>
      </c>
      <c r="T25" s="590">
        <f>VLOOKUP($A$5:$A$31,MAR!$A$5:$T$31,3,)</f>
        <v>10167.608</v>
      </c>
      <c r="U25" s="591">
        <f>VLOOKUP($A$5:$A$31,ABR!$A$5:$B$31,2,)</f>
        <v>28183.608000000004</v>
      </c>
      <c r="V25" s="591">
        <f>VLOOKUP($A$5:$A$31,ABR!$A$5:$C$31,3,)</f>
        <v>15040.512000000001</v>
      </c>
      <c r="W25" s="591">
        <f>VLOOKUP($A$5:$A$31,MAI!$A$5:$C$31,2,)</f>
        <v>34653.408000000003</v>
      </c>
      <c r="X25" s="591">
        <f>VLOOKUP($A$5:$A$31,MAI!$A$5:$C$31,3,)</f>
        <v>11613.936</v>
      </c>
      <c r="Y25" s="591">
        <f>VLOOKUP($A$5:$A$31,JUN!$A$5:$C$31,2,)</f>
        <v>34687.128000000004</v>
      </c>
      <c r="Z25" s="591">
        <f>VLOOKUP($A$5:$A$31,JUN!$A$5:$C$31,3,)</f>
        <v>5634.0479999999989</v>
      </c>
      <c r="AA25" s="592">
        <f>VLOOKUP($A$5:$A$31,JUL!$A$5:$B$31,2,)</f>
        <v>28630.832000000002</v>
      </c>
      <c r="AB25" s="592">
        <f>VLOOKUP($A$5:$A$31,JUL!$A$5:$C$31,3,)</f>
        <v>5106.2880000000005</v>
      </c>
      <c r="AC25" s="592">
        <f>VLOOKUP($A$5:$A$31,AGO!$A$5:$B$31,2,)</f>
        <v>25757.704000000002</v>
      </c>
      <c r="AD25" s="592">
        <f>VLOOKUP($A$5:$A$31,AGO!$A$5:$C$31,3,)</f>
        <v>10729.375999999998</v>
      </c>
      <c r="AE25" s="592">
        <f>VLOOKUP($A$5:$A$31,SET!$A$5:$B$31,2,)</f>
        <v>28683.847999999998</v>
      </c>
      <c r="AF25" s="592">
        <f>VLOOKUP($A$5:$A$31,SET!$A$5:$C$31,3,)</f>
        <v>17595.128000000004</v>
      </c>
      <c r="AG25" s="592">
        <f>VLOOKUP($A$5:$A$31,OUT!$A$5:$B$31,2,)</f>
        <v>0</v>
      </c>
      <c r="AH25" s="592">
        <f>VLOOKUP($A$5:$A$31,OUT!$A$5:$C$31,3,)</f>
        <v>0</v>
      </c>
      <c r="AI25" s="593">
        <f>VLOOKUP($A$5:$A$31,NOV!$A$5:$B$31,2,)</f>
        <v>0</v>
      </c>
      <c r="AJ25" s="593">
        <f>VLOOKUP($A$5:$A$31,NOV!$A$5:$C$31,3,)</f>
        <v>0</v>
      </c>
      <c r="AK25" s="593">
        <f>VLOOKUP($A$5:$A$31,DEZ!$A$5:$B$31,2,)</f>
        <v>0</v>
      </c>
      <c r="AL25" s="593">
        <f>VLOOKUP($A$5:$A$31,DEZ!$A$5:$C$31,3,)</f>
        <v>0</v>
      </c>
      <c r="AM25" s="593">
        <f t="shared" si="6"/>
        <v>414321.23200000008</v>
      </c>
      <c r="AN25" s="594">
        <f t="shared" si="3"/>
        <v>95.430324484710738</v>
      </c>
      <c r="AO25" s="594">
        <f t="shared" si="4"/>
        <v>0.53843271323961461</v>
      </c>
      <c r="AP25" s="234"/>
      <c r="AQ25" s="595">
        <f t="shared" si="7"/>
        <v>318796.96000000002</v>
      </c>
      <c r="AR25" s="595">
        <f t="shared" si="8"/>
        <v>95524.272000000026</v>
      </c>
      <c r="AS25" s="596">
        <f t="shared" si="9"/>
        <v>0.89146420477027388</v>
      </c>
      <c r="AT25" s="596">
        <f t="shared" si="10"/>
        <v>1.2478598697225678</v>
      </c>
      <c r="AU25" s="597">
        <f t="shared" si="11"/>
        <v>0.95430324484710738</v>
      </c>
      <c r="AV25" s="721">
        <f>'Comparativo YoY'!GB56</f>
        <v>13.052629241412745</v>
      </c>
      <c r="AW25" s="579"/>
      <c r="AX25" s="579"/>
    </row>
    <row r="26" spans="1:50" s="578" customFormat="1">
      <c r="A26" s="584" t="s">
        <v>99</v>
      </c>
      <c r="B26" s="585">
        <v>255</v>
      </c>
      <c r="C26" s="585">
        <v>246</v>
      </c>
      <c r="D26" s="585">
        <v>166</v>
      </c>
      <c r="E26" s="586">
        <v>60890.82</v>
      </c>
      <c r="F26" s="586">
        <v>16201.14</v>
      </c>
      <c r="G26" s="587">
        <f>VLOOKUP($A$5:$A$31,'PF - Gênero'!$A$2:$D$28,4,)</f>
        <v>253</v>
      </c>
      <c r="H26" s="587">
        <f>VLOOKUP($A$5:$A$31,'Relatórios - SICCAU e IGEO'!$A$3:$B$29,2,)</f>
        <v>8</v>
      </c>
      <c r="I26" s="587">
        <f t="shared" si="0"/>
        <v>245</v>
      </c>
      <c r="J26" s="587">
        <v>134</v>
      </c>
      <c r="K26" s="587">
        <v>73</v>
      </c>
      <c r="L26" s="587">
        <f t="shared" si="1"/>
        <v>61</v>
      </c>
      <c r="M26" s="588">
        <f t="shared" si="5"/>
        <v>54.693877551020407</v>
      </c>
      <c r="N26" s="589">
        <f t="shared" si="2"/>
        <v>0.10103294880494609</v>
      </c>
      <c r="O26" s="590">
        <f>VLOOKUP($A$5:$A$31,JAN!$A$5:$C$31,2,)</f>
        <v>10118.168</v>
      </c>
      <c r="P26" s="590">
        <f>VLOOKUP($A$5:$A$31,JAN!$A$5:$C$31,3,)</f>
        <v>779.41600000000039</v>
      </c>
      <c r="Q26" s="590">
        <f>VLOOKUP($A$5:$A$31,FEV!$A$5:$C$31,2,)</f>
        <v>11839.824000000001</v>
      </c>
      <c r="R26" s="590">
        <f>VLOOKUP($A$5:$A$31,FEV!$A$5:$C$31,3,)</f>
        <v>4241.9999999999991</v>
      </c>
      <c r="S26" s="590">
        <f>VLOOKUP($A$5:$A$31,MAR!$A$5:$S$31,2,)</f>
        <v>8702.5360000000001</v>
      </c>
      <c r="T26" s="590">
        <f>VLOOKUP($A$5:$A$31,MAR!$A$5:$T$31,3,)</f>
        <v>2528.1360000000004</v>
      </c>
      <c r="U26" s="591">
        <f>VLOOKUP($A$5:$A$31,ABR!$A$5:$B$31,2,)</f>
        <v>4868.6959999999999</v>
      </c>
      <c r="V26" s="591">
        <f>VLOOKUP($A$5:$A$31,ABR!$A$5:$C$31,3,)</f>
        <v>201.72800000000001</v>
      </c>
      <c r="W26" s="591">
        <f>VLOOKUP($A$5:$A$31,MAI!$A$5:$C$31,2,)</f>
        <v>5508.3919999999998</v>
      </c>
      <c r="X26" s="591">
        <f>VLOOKUP($A$5:$A$31,MAI!$A$5:$C$31,3,)</f>
        <v>182.84000000000003</v>
      </c>
      <c r="Y26" s="591">
        <f>VLOOKUP($A$5:$A$31,JUN!$A$5:$C$31,2,)</f>
        <v>6043.2400000000007</v>
      </c>
      <c r="Z26" s="591">
        <f>VLOOKUP($A$5:$A$31,JUN!$A$5:$C$31,3,)</f>
        <v>630.80799999999954</v>
      </c>
      <c r="AA26" s="592">
        <f>VLOOKUP($A$5:$A$31,JUL!$A$5:$B$31,2,)</f>
        <v>2730.6000000000004</v>
      </c>
      <c r="AB26" s="592">
        <f>VLOOKUP($A$5:$A$31,JUL!$A$5:$C$31,3,)</f>
        <v>192.36800000000005</v>
      </c>
      <c r="AC26" s="592">
        <f>VLOOKUP($A$5:$A$31,AGO!$A$5:$B$31,2,)</f>
        <v>1384.7600000000002</v>
      </c>
      <c r="AD26" s="592">
        <f>VLOOKUP($A$5:$A$31,AGO!$A$5:$C$31,3,)</f>
        <v>573.31999999999994</v>
      </c>
      <c r="AE26" s="592">
        <f>VLOOKUP($A$5:$A$31,SET!$A$5:$B$31,2,)</f>
        <v>1145.5040000000001</v>
      </c>
      <c r="AF26" s="592">
        <f>VLOOKUP($A$5:$A$31,SET!$A$5:$C$31,3,)</f>
        <v>1154.9279999999999</v>
      </c>
      <c r="AG26" s="592">
        <f>VLOOKUP($A$5:$A$31,OUT!$A$5:$B$31,2,)</f>
        <v>0</v>
      </c>
      <c r="AH26" s="592">
        <f>VLOOKUP($A$5:$A$31,OUT!$A$5:$C$31,3,)</f>
        <v>0</v>
      </c>
      <c r="AI26" s="593">
        <f>VLOOKUP($A$5:$A$31,NOV!$A$5:$B$31,2,)</f>
        <v>0</v>
      </c>
      <c r="AJ26" s="593">
        <f>VLOOKUP($A$5:$A$31,NOV!$A$5:$C$31,3,)</f>
        <v>0</v>
      </c>
      <c r="AK26" s="593">
        <f>VLOOKUP($A$5:$A$31,DEZ!$A$5:$B$31,2,)</f>
        <v>0</v>
      </c>
      <c r="AL26" s="593">
        <f>VLOOKUP($A$5:$A$31,DEZ!$A$5:$C$31,3,)</f>
        <v>0</v>
      </c>
      <c r="AM26" s="593">
        <f t="shared" si="6"/>
        <v>62827.263999999996</v>
      </c>
      <c r="AN26" s="594">
        <f t="shared" si="3"/>
        <v>81.496519221978531</v>
      </c>
      <c r="AO26" s="594">
        <f t="shared" si="4"/>
        <v>8.1647406910929352E-2</v>
      </c>
      <c r="AP26" s="234"/>
      <c r="AQ26" s="595">
        <f t="shared" si="7"/>
        <v>52341.72</v>
      </c>
      <c r="AR26" s="595">
        <f t="shared" si="8"/>
        <v>10485.544</v>
      </c>
      <c r="AS26" s="596">
        <f t="shared" si="9"/>
        <v>0.85959952583985566</v>
      </c>
      <c r="AT26" s="596">
        <f t="shared" si="10"/>
        <v>0.6472102580435698</v>
      </c>
      <c r="AU26" s="597">
        <f t="shared" si="11"/>
        <v>0.81496519221978536</v>
      </c>
      <c r="AV26" s="721">
        <f>'Comparativo YoY'!GB57</f>
        <v>11.415400901383848</v>
      </c>
      <c r="AW26" s="579"/>
      <c r="AX26" s="579"/>
    </row>
    <row r="27" spans="1:50" s="578" customFormat="1">
      <c r="A27" s="584" t="s">
        <v>97</v>
      </c>
      <c r="B27" s="585">
        <v>18256</v>
      </c>
      <c r="C27" s="585">
        <v>17104</v>
      </c>
      <c r="D27" s="585">
        <v>13671</v>
      </c>
      <c r="E27" s="586">
        <v>4736160.08</v>
      </c>
      <c r="F27" s="586">
        <v>1698548.27</v>
      </c>
      <c r="G27" s="587">
        <f>VLOOKUP($A$5:$A$31,'PF - Gênero'!$A$2:$D$28,4,)</f>
        <v>18080</v>
      </c>
      <c r="H27" s="587">
        <f>VLOOKUP($A$5:$A$31,'Relatórios - SICCAU e IGEO'!$A$3:$B$29,2,)</f>
        <v>843</v>
      </c>
      <c r="I27" s="587">
        <f t="shared" si="0"/>
        <v>17237</v>
      </c>
      <c r="J27" s="587">
        <v>12096</v>
      </c>
      <c r="K27" s="587">
        <v>7098</v>
      </c>
      <c r="L27" s="587">
        <f t="shared" si="1"/>
        <v>4998</v>
      </c>
      <c r="M27" s="588">
        <f t="shared" si="5"/>
        <v>70.174624354586072</v>
      </c>
      <c r="N27" s="589">
        <f t="shared" si="2"/>
        <v>9.1201085727211044</v>
      </c>
      <c r="O27" s="590">
        <f>VLOOKUP($A$5:$A$31,JAN!$A$5:$C$31,2,)</f>
        <v>988047.04800000007</v>
      </c>
      <c r="P27" s="590">
        <f>VLOOKUP($A$5:$A$31,JAN!$A$5:$C$31,3,)</f>
        <v>124074.58399999999</v>
      </c>
      <c r="Q27" s="590">
        <f>VLOOKUP($A$5:$A$31,FEV!$A$5:$C$31,2,)</f>
        <v>970484.2080000001</v>
      </c>
      <c r="R27" s="590">
        <f>VLOOKUP($A$5:$A$31,FEV!$A$5:$C$31,3,)</f>
        <v>120469.47200000007</v>
      </c>
      <c r="S27" s="590">
        <f>VLOOKUP($A$5:$A$31,MAR!$A$5:$S$31,2,)</f>
        <v>714152.4</v>
      </c>
      <c r="T27" s="590">
        <f>VLOOKUP($A$5:$A$31,MAR!$A$5:$T$31,3,)</f>
        <v>137496.39199999999</v>
      </c>
      <c r="U27" s="591">
        <f>VLOOKUP($A$5:$A$31,ABR!$A$5:$B$31,2,)</f>
        <v>349032.26400000002</v>
      </c>
      <c r="V27" s="591">
        <f>VLOOKUP($A$5:$A$31,ABR!$A$5:$C$31,3,)</f>
        <v>81205</v>
      </c>
      <c r="W27" s="591">
        <f>VLOOKUP($A$5:$A$31,MAI!$A$5:$C$31,2,)</f>
        <v>453470.88</v>
      </c>
      <c r="X27" s="591">
        <f>VLOOKUP($A$5:$A$31,MAI!$A$5:$C$31,3,)</f>
        <v>102612.984</v>
      </c>
      <c r="Y27" s="591">
        <f>VLOOKUP($A$5:$A$31,JUN!$A$5:$C$31,2,)</f>
        <v>524358.70400000003</v>
      </c>
      <c r="Z27" s="591">
        <f>VLOOKUP($A$5:$A$31,JUN!$A$5:$C$31,3,)</f>
        <v>99332.463999999978</v>
      </c>
      <c r="AA27" s="592">
        <f>VLOOKUP($A$5:$A$31,JUL!$A$5:$B$31,2,)</f>
        <v>404428.78399999999</v>
      </c>
      <c r="AB27" s="592">
        <f>VLOOKUP($A$5:$A$31,JUL!$A$5:$C$31,3,)</f>
        <v>79734.904000000097</v>
      </c>
      <c r="AC27" s="592">
        <f>VLOOKUP($A$5:$A$31,AGO!$A$5:$B$31,2,)</f>
        <v>128019.16800000001</v>
      </c>
      <c r="AD27" s="592">
        <f>VLOOKUP($A$5:$A$31,AGO!$A$5:$C$31,3,)</f>
        <v>85678.391999999978</v>
      </c>
      <c r="AE27" s="592">
        <f>VLOOKUP($A$5:$A$31,SET!$A$5:$B$31,2,)</f>
        <v>88909.256000000008</v>
      </c>
      <c r="AF27" s="592">
        <f>VLOOKUP($A$5:$A$31,SET!$A$5:$C$31,3,)</f>
        <v>81375.695999999996</v>
      </c>
      <c r="AG27" s="592">
        <f>VLOOKUP($A$5:$A$31,OUT!$A$5:$B$31,2,)</f>
        <v>0</v>
      </c>
      <c r="AH27" s="592">
        <f>VLOOKUP($A$5:$A$31,OUT!$A$5:$C$31,3,)</f>
        <v>0</v>
      </c>
      <c r="AI27" s="593">
        <f>VLOOKUP($A$5:$A$31,NOV!$A$5:$B$31,2,)</f>
        <v>0</v>
      </c>
      <c r="AJ27" s="593">
        <f>VLOOKUP($A$5:$A$31,NOV!$A$5:$C$31,3,)</f>
        <v>0</v>
      </c>
      <c r="AK27" s="593">
        <f>VLOOKUP($A$5:$A$31,DEZ!$A$5:$B$31,2,)</f>
        <v>0</v>
      </c>
      <c r="AL27" s="593">
        <f>VLOOKUP($A$5:$A$31,DEZ!$A$5:$C$31,3,)</f>
        <v>0</v>
      </c>
      <c r="AM27" s="593">
        <f t="shared" si="6"/>
        <v>5532882.5999999996</v>
      </c>
      <c r="AN27" s="594">
        <f t="shared" si="3"/>
        <v>85.984978635434189</v>
      </c>
      <c r="AO27" s="594">
        <f t="shared" si="4"/>
        <v>7.1902783643833468</v>
      </c>
      <c r="AP27" s="234"/>
      <c r="AQ27" s="595">
        <f t="shared" si="7"/>
        <v>4620902.7119999994</v>
      </c>
      <c r="AR27" s="595">
        <f t="shared" si="8"/>
        <v>911979.88800000004</v>
      </c>
      <c r="AS27" s="596">
        <f t="shared" si="9"/>
        <v>0.97566438506022779</v>
      </c>
      <c r="AT27" s="596">
        <f t="shared" si="10"/>
        <v>0.53691726288120145</v>
      </c>
      <c r="AU27" s="597">
        <f t="shared" si="11"/>
        <v>0.85984978635434195</v>
      </c>
      <c r="AV27" s="721">
        <f>'Comparativo YoY'!GB58</f>
        <v>3.8934246169327196</v>
      </c>
      <c r="AW27" s="579"/>
      <c r="AX27" s="579"/>
    </row>
    <row r="28" spans="1:50" s="578" customFormat="1">
      <c r="A28" s="584" t="s">
        <v>100</v>
      </c>
      <c r="B28" s="585">
        <v>11865</v>
      </c>
      <c r="C28" s="585">
        <v>11577</v>
      </c>
      <c r="D28" s="585">
        <v>9084</v>
      </c>
      <c r="E28" s="586">
        <v>3316553.47</v>
      </c>
      <c r="F28" s="586">
        <v>700847.52</v>
      </c>
      <c r="G28" s="587">
        <f>VLOOKUP($A$5:$A$31,'PF - Gênero'!$A$2:$D$28,4,)</f>
        <v>11846</v>
      </c>
      <c r="H28" s="587">
        <f>VLOOKUP($A$5:$A$31,'Relatórios - SICCAU e IGEO'!$A$3:$B$29,2,)</f>
        <v>234</v>
      </c>
      <c r="I28" s="587">
        <f t="shared" si="0"/>
        <v>11612</v>
      </c>
      <c r="J28" s="587">
        <v>8301</v>
      </c>
      <c r="K28" s="587">
        <v>5301</v>
      </c>
      <c r="L28" s="587">
        <f t="shared" si="1"/>
        <v>3000</v>
      </c>
      <c r="M28" s="588">
        <f t="shared" si="5"/>
        <v>71.486393386152258</v>
      </c>
      <c r="N28" s="589">
        <f t="shared" si="2"/>
        <v>6.2587649852974439</v>
      </c>
      <c r="O28" s="590">
        <f>VLOOKUP($A$5:$A$31,JAN!$A$5:$C$31,2,)</f>
        <v>551830.79200000002</v>
      </c>
      <c r="P28" s="590">
        <f>VLOOKUP($A$5:$A$31,JAN!$A$5:$C$31,3,)</f>
        <v>85075.73599999999</v>
      </c>
      <c r="Q28" s="590">
        <f>VLOOKUP($A$5:$A$31,FEV!$A$5:$C$31,2,)</f>
        <v>692159.32000000007</v>
      </c>
      <c r="R28" s="590">
        <f>VLOOKUP($A$5:$A$31,FEV!$A$5:$C$31,3,)</f>
        <v>106951.984</v>
      </c>
      <c r="S28" s="590">
        <f>VLOOKUP($A$5:$A$31,MAR!$A$5:$S$31,2,)</f>
        <v>516115.12800000003</v>
      </c>
      <c r="T28" s="590">
        <f>VLOOKUP($A$5:$A$31,MAR!$A$5:$T$31,3,)</f>
        <v>90482.296000000002</v>
      </c>
      <c r="U28" s="591">
        <f>VLOOKUP($A$5:$A$31,ABR!$A$5:$B$31,2,)</f>
        <v>262753.00800000003</v>
      </c>
      <c r="V28" s="591">
        <f>VLOOKUP($A$5:$A$31,ABR!$A$5:$C$31,3,)</f>
        <v>58745.464000000007</v>
      </c>
      <c r="W28" s="591">
        <f>VLOOKUP($A$5:$A$31,MAI!$A$5:$C$31,2,)</f>
        <v>315602.16000000003</v>
      </c>
      <c r="X28" s="591">
        <f>VLOOKUP($A$5:$A$31,MAI!$A$5:$C$31,3,)</f>
        <v>110921.58399999999</v>
      </c>
      <c r="Y28" s="591">
        <f>VLOOKUP($A$5:$A$31,JUN!$A$5:$C$31,2,)</f>
        <v>412829.95200000005</v>
      </c>
      <c r="Z28" s="591">
        <f>VLOOKUP($A$5:$A$31,JUN!$A$5:$C$31,3,)</f>
        <v>95189.280000000028</v>
      </c>
      <c r="AA28" s="592">
        <f>VLOOKUP($A$5:$A$31,JUL!$A$5:$B$31,2,)</f>
        <v>313105.44800000003</v>
      </c>
      <c r="AB28" s="592">
        <f>VLOOKUP($A$5:$A$31,JUL!$A$5:$C$31,3,)</f>
        <v>88985.712000000014</v>
      </c>
      <c r="AC28" s="592">
        <f>VLOOKUP($A$5:$A$31,AGO!$A$5:$B$31,2,)</f>
        <v>103556.376</v>
      </c>
      <c r="AD28" s="592">
        <f>VLOOKUP($A$5:$A$31,AGO!$A$5:$C$31,3,)</f>
        <v>88286.208000000013</v>
      </c>
      <c r="AE28" s="592">
        <f>VLOOKUP($A$5:$A$31,SET!$A$5:$B$31,2,)</f>
        <v>70843.888000000006</v>
      </c>
      <c r="AF28" s="592">
        <f>VLOOKUP($A$5:$A$31,SET!$A$5:$C$31,3,)</f>
        <v>65683.823999999993</v>
      </c>
      <c r="AG28" s="592">
        <f>VLOOKUP($A$5:$A$31,OUT!$A$5:$B$31,2,)</f>
        <v>0</v>
      </c>
      <c r="AH28" s="592">
        <f>VLOOKUP($A$5:$A$31,OUT!$A$5:$C$31,3,)</f>
        <v>0</v>
      </c>
      <c r="AI28" s="593">
        <f>VLOOKUP($A$5:$A$31,NOV!$A$5:$B$31,2,)</f>
        <v>0</v>
      </c>
      <c r="AJ28" s="593">
        <f>VLOOKUP($A$5:$A$31,NOV!$A$5:$C$31,3,)</f>
        <v>0</v>
      </c>
      <c r="AK28" s="593">
        <f>VLOOKUP($A$5:$A$31,DEZ!$A$5:$B$31,2,)</f>
        <v>0</v>
      </c>
      <c r="AL28" s="593">
        <f>VLOOKUP($A$5:$A$31,DEZ!$A$5:$C$31,3,)</f>
        <v>0</v>
      </c>
      <c r="AM28" s="593">
        <f t="shared" si="6"/>
        <v>4029118.1600000006</v>
      </c>
      <c r="AN28" s="594">
        <f t="shared" si="3"/>
        <v>100.29166045483551</v>
      </c>
      <c r="AO28" s="594">
        <f t="shared" si="4"/>
        <v>5.2360556382295265</v>
      </c>
      <c r="AP28" s="234"/>
      <c r="AQ28" s="595">
        <f t="shared" si="7"/>
        <v>3238796.0720000002</v>
      </c>
      <c r="AR28" s="595">
        <f t="shared" si="8"/>
        <v>790322.08800000011</v>
      </c>
      <c r="AS28" s="596">
        <f t="shared" si="9"/>
        <v>0.97655475821410476</v>
      </c>
      <c r="AT28" s="596">
        <f t="shared" si="10"/>
        <v>1.1276662404398607</v>
      </c>
      <c r="AU28" s="597">
        <f t="shared" si="11"/>
        <v>1.0029166045483551</v>
      </c>
      <c r="AV28" s="721">
        <f>'Comparativo YoY'!GB59</f>
        <v>9.6318994051602544</v>
      </c>
      <c r="AW28" s="579"/>
      <c r="AX28" s="579"/>
    </row>
    <row r="29" spans="1:50" s="578" customFormat="1">
      <c r="A29" s="584" t="s">
        <v>102</v>
      </c>
      <c r="B29" s="585">
        <v>1701</v>
      </c>
      <c r="C29" s="585">
        <v>1667</v>
      </c>
      <c r="D29" s="585">
        <v>1194</v>
      </c>
      <c r="E29" s="586">
        <v>437802.01</v>
      </c>
      <c r="F29" s="586">
        <v>73005.62</v>
      </c>
      <c r="G29" s="587">
        <f>VLOOKUP($A$5:$A$31,'PF - Gênero'!$A$2:$D$28,4,)</f>
        <v>1659</v>
      </c>
      <c r="H29" s="587">
        <f>VLOOKUP($A$5:$A$31,'Relatórios - SICCAU e IGEO'!$A$3:$B$29,2,)</f>
        <v>28</v>
      </c>
      <c r="I29" s="587">
        <f t="shared" si="0"/>
        <v>1631</v>
      </c>
      <c r="J29" s="587">
        <v>985</v>
      </c>
      <c r="K29" s="587">
        <v>641</v>
      </c>
      <c r="L29" s="587">
        <f t="shared" si="1"/>
        <v>344</v>
      </c>
      <c r="M29" s="588">
        <f t="shared" si="5"/>
        <v>60.392397302268549</v>
      </c>
      <c r="N29" s="589">
        <f t="shared" si="2"/>
        <v>0.74266757143934248</v>
      </c>
      <c r="O29" s="590">
        <f>VLOOKUP($A$5:$A$31,JAN!$A$5:$C$31,2,)</f>
        <v>66389.568000000014</v>
      </c>
      <c r="P29" s="590">
        <f>VLOOKUP($A$5:$A$31,JAN!$A$5:$C$31,3,)</f>
        <v>11842.119999999995</v>
      </c>
      <c r="Q29" s="590">
        <f>VLOOKUP($A$5:$A$31,FEV!$A$5:$C$31,2,)</f>
        <v>62505.52</v>
      </c>
      <c r="R29" s="590">
        <f>VLOOKUP($A$5:$A$31,FEV!$A$5:$C$31,3,)</f>
        <v>18528.352000000014</v>
      </c>
      <c r="S29" s="590">
        <f>VLOOKUP($A$5:$A$31,MAR!$A$5:$S$31,2,)</f>
        <v>55323.19200000001</v>
      </c>
      <c r="T29" s="590">
        <f>VLOOKUP($A$5:$A$31,MAR!$A$5:$T$31,3,)</f>
        <v>15698.032000000001</v>
      </c>
      <c r="U29" s="591">
        <f>VLOOKUP($A$5:$A$31,ABR!$A$5:$B$31,2,)</f>
        <v>32430.576000000001</v>
      </c>
      <c r="V29" s="591">
        <f>VLOOKUP($A$5:$A$31,ABR!$A$5:$C$31,3,)</f>
        <v>10193.976000000001</v>
      </c>
      <c r="W29" s="591">
        <f>VLOOKUP($A$5:$A$31,MAI!$A$5:$C$31,2,)</f>
        <v>39940.984000000004</v>
      </c>
      <c r="X29" s="591">
        <f>VLOOKUP($A$5:$A$31,MAI!$A$5:$C$31,3,)</f>
        <v>10310.168000000001</v>
      </c>
      <c r="Y29" s="591">
        <f>VLOOKUP($A$5:$A$31,JUN!$A$5:$C$31,2,)</f>
        <v>48740.528000000006</v>
      </c>
      <c r="Z29" s="591">
        <f>VLOOKUP($A$5:$A$31,JUN!$A$5:$C$31,3,)</f>
        <v>16579.735999999986</v>
      </c>
      <c r="AA29" s="592">
        <f>VLOOKUP($A$5:$A$31,JUL!$A$5:$B$31,2,)</f>
        <v>37506.488000000005</v>
      </c>
      <c r="AB29" s="592">
        <f>VLOOKUP($A$5:$A$31,JUL!$A$5:$C$31,3,)</f>
        <v>7572.1440000000002</v>
      </c>
      <c r="AC29" s="592">
        <f>VLOOKUP($A$5:$A$31,AGO!$A$5:$B$31,2,)</f>
        <v>18388.856</v>
      </c>
      <c r="AD29" s="592">
        <f>VLOOKUP($A$5:$A$31,AGO!$A$5:$C$31,3,)</f>
        <v>7129.5679999999993</v>
      </c>
      <c r="AE29" s="592">
        <f>VLOOKUP($A$5:$A$31,SET!$A$5:$B$31,2,)</f>
        <v>11831.24</v>
      </c>
      <c r="AF29" s="592">
        <f>VLOOKUP($A$5:$A$31,SET!$A$5:$C$31,3,)</f>
        <v>6730.3919999999989</v>
      </c>
      <c r="AG29" s="592">
        <f>VLOOKUP($A$5:$A$31,OUT!$A$5:$B$31,2,)</f>
        <v>0</v>
      </c>
      <c r="AH29" s="592">
        <f>VLOOKUP($A$5:$A$31,OUT!$A$5:$C$31,3,)</f>
        <v>0</v>
      </c>
      <c r="AI29" s="593">
        <f>VLOOKUP($A$5:$A$31,NOV!$A$5:$B$31,2,)</f>
        <v>0</v>
      </c>
      <c r="AJ29" s="593">
        <f>VLOOKUP($A$5:$A$31,NOV!$A$5:$C$31,3,)</f>
        <v>0</v>
      </c>
      <c r="AK29" s="593">
        <f>VLOOKUP($A$5:$A$31,DEZ!$A$5:$B$31,2,)</f>
        <v>0</v>
      </c>
      <c r="AL29" s="593">
        <f>VLOOKUP($A$5:$A$31,DEZ!$A$5:$C$31,3,)</f>
        <v>0</v>
      </c>
      <c r="AM29" s="593">
        <f t="shared" si="6"/>
        <v>477641.44000000006</v>
      </c>
      <c r="AN29" s="594">
        <f t="shared" si="3"/>
        <v>93.507107558279827</v>
      </c>
      <c r="AO29" s="594">
        <f t="shared" si="4"/>
        <v>0.62072072737724582</v>
      </c>
      <c r="AP29" s="234"/>
      <c r="AQ29" s="595">
        <f t="shared" si="7"/>
        <v>373056.95200000005</v>
      </c>
      <c r="AR29" s="595">
        <f t="shared" si="8"/>
        <v>104584.488</v>
      </c>
      <c r="AS29" s="596">
        <f t="shared" si="9"/>
        <v>0.8521133833990393</v>
      </c>
      <c r="AT29" s="596">
        <f t="shared" si="10"/>
        <v>1.4325539321493332</v>
      </c>
      <c r="AU29" s="597">
        <f t="shared" si="11"/>
        <v>0.93507107558279823</v>
      </c>
      <c r="AV29" s="721">
        <f>'Comparativo YoY'!GB60</f>
        <v>13.134765692638496</v>
      </c>
      <c r="AW29" s="579"/>
      <c r="AX29" s="579"/>
    </row>
    <row r="30" spans="1:50" s="578" customFormat="1">
      <c r="A30" s="584" t="s">
        <v>101</v>
      </c>
      <c r="B30" s="585">
        <v>67463</v>
      </c>
      <c r="C30" s="585">
        <v>63084</v>
      </c>
      <c r="D30" s="585">
        <v>46118</v>
      </c>
      <c r="E30" s="586">
        <v>16795375.52</v>
      </c>
      <c r="F30" s="586">
        <v>4054515.912</v>
      </c>
      <c r="G30" s="587">
        <f>VLOOKUP($A$5:$A$31,'PF - Gênero'!$A$2:$D$28,4,)</f>
        <v>66788</v>
      </c>
      <c r="H30" s="587">
        <f>VLOOKUP($A$5:$A$31,'Relatórios - SICCAU e IGEO'!$A$3:$B$29,2,)</f>
        <v>4159</v>
      </c>
      <c r="I30" s="587">
        <f t="shared" si="0"/>
        <v>62629</v>
      </c>
      <c r="J30" s="587">
        <v>40448</v>
      </c>
      <c r="K30" s="587">
        <v>25908</v>
      </c>
      <c r="L30" s="587">
        <f t="shared" si="1"/>
        <v>14540</v>
      </c>
      <c r="M30" s="588">
        <f t="shared" si="5"/>
        <v>64.583499656708554</v>
      </c>
      <c r="N30" s="589">
        <f t="shared" si="2"/>
        <v>30.496870994495968</v>
      </c>
      <c r="O30" s="590">
        <f>VLOOKUP($A$5:$A$31,JAN!$A$5:$C$31,2,)</f>
        <v>3071719.08</v>
      </c>
      <c r="P30" s="590">
        <f>VLOOKUP($A$5:$A$31,JAN!$A$5:$C$31,3,)</f>
        <v>411876.2800000002</v>
      </c>
      <c r="Q30" s="590">
        <f>VLOOKUP($A$5:$A$31,FEV!$A$5:$C$31,2,)</f>
        <v>3320795.6960000005</v>
      </c>
      <c r="R30" s="590">
        <f>VLOOKUP($A$5:$A$31,FEV!$A$5:$C$31,3,)</f>
        <v>513328.43200000003</v>
      </c>
      <c r="S30" s="590">
        <f>VLOOKUP($A$5:$A$31,MAR!$A$5:$S$31,2,)</f>
        <v>2762173.6880000001</v>
      </c>
      <c r="T30" s="590">
        <f>VLOOKUP($A$5:$A$31,MAR!$A$5:$T$31,3,)</f>
        <v>520882.19200000004</v>
      </c>
      <c r="U30" s="591">
        <f>VLOOKUP($A$5:$A$31,ABR!$A$5:$B$31,2,)</f>
        <v>1289127.952</v>
      </c>
      <c r="V30" s="591">
        <f>VLOOKUP($A$5:$A$31,ABR!$A$5:$C$31,3,)</f>
        <v>345118.984</v>
      </c>
      <c r="W30" s="591">
        <f>VLOOKUP($A$5:$A$31,MAI!$A$5:$C$31,2,)</f>
        <v>1538621.6</v>
      </c>
      <c r="X30" s="591">
        <f>VLOOKUP($A$5:$A$31,MAI!$A$5:$C$31,3,)</f>
        <v>399717.19200000004</v>
      </c>
      <c r="Y30" s="591">
        <f>VLOOKUP($A$5:$A$31,JUN!$A$5:$C$31,2,)</f>
        <v>1593098.4160000002</v>
      </c>
      <c r="Z30" s="591">
        <f>VLOOKUP($A$5:$A$31,JUN!$A$5:$C$31,3,)</f>
        <v>325029.02399999986</v>
      </c>
      <c r="AA30" s="592">
        <f>VLOOKUP($A$5:$A$31,JUL!$A$5:$B$31,2,)</f>
        <v>1193413.08</v>
      </c>
      <c r="AB30" s="592">
        <f>VLOOKUP($A$5:$A$31,JUL!$A$5:$C$31,3,)</f>
        <v>279459.55199999979</v>
      </c>
      <c r="AC30" s="592">
        <f>VLOOKUP($A$5:$A$31,AGO!$A$5:$B$31,2,)</f>
        <v>536718.13600000006</v>
      </c>
      <c r="AD30" s="592">
        <f>VLOOKUP($A$5:$A$31,AGO!$A$5:$C$31,3,)</f>
        <v>324729.82399999996</v>
      </c>
      <c r="AE30" s="592">
        <f>VLOOKUP($A$5:$A$31,SET!$A$5:$B$31,2,)</f>
        <v>408236.39199999999</v>
      </c>
      <c r="AF30" s="592">
        <f>VLOOKUP($A$5:$A$31,SET!$A$5:$C$31,3,)</f>
        <v>263065.52</v>
      </c>
      <c r="AG30" s="592">
        <f>VLOOKUP($A$5:$A$31,OUT!$A$5:$B$31,2,)</f>
        <v>0</v>
      </c>
      <c r="AH30" s="592">
        <f>VLOOKUP($A$5:$A$31,OUT!$A$5:$C$31,3,)</f>
        <v>0</v>
      </c>
      <c r="AI30" s="593">
        <f>VLOOKUP($A$5:$A$31,NOV!$A$5:$B$31,2,)</f>
        <v>0</v>
      </c>
      <c r="AJ30" s="593">
        <f>VLOOKUP($A$5:$A$31,NOV!$A$5:$C$31,3,)</f>
        <v>0</v>
      </c>
      <c r="AK30" s="593">
        <f>VLOOKUP($A$5:$A$31,DEZ!$A$5:$B$31,2,)</f>
        <v>0</v>
      </c>
      <c r="AL30" s="593">
        <f>VLOOKUP($A$5:$A$31,DEZ!$A$5:$C$31,3,)</f>
        <v>0</v>
      </c>
      <c r="AM30" s="593">
        <f t="shared" si="6"/>
        <v>19097111.039999999</v>
      </c>
      <c r="AN30" s="594">
        <f t="shared" si="3"/>
        <v>91.593335640540232</v>
      </c>
      <c r="AO30" s="594">
        <f t="shared" si="4"/>
        <v>24.817722380940875</v>
      </c>
      <c r="AP30" s="234"/>
      <c r="AQ30" s="595">
        <f t="shared" si="7"/>
        <v>15713904.039999999</v>
      </c>
      <c r="AR30" s="595">
        <f t="shared" si="8"/>
        <v>3383206.9999999995</v>
      </c>
      <c r="AS30" s="596">
        <f t="shared" si="9"/>
        <v>0.93560897291565881</v>
      </c>
      <c r="AT30" s="596">
        <f t="shared" si="10"/>
        <v>0.83442933100517558</v>
      </c>
      <c r="AU30" s="597">
        <f t="shared" si="11"/>
        <v>0.9159333564054023</v>
      </c>
      <c r="AV30" s="721">
        <f>'Comparativo YoY'!GB61</f>
        <v>7.4062482592466949</v>
      </c>
      <c r="AW30" s="579"/>
      <c r="AX30" s="579"/>
    </row>
    <row r="31" spans="1:50" s="578" customFormat="1">
      <c r="A31" s="584" t="s">
        <v>103</v>
      </c>
      <c r="B31" s="585">
        <v>923</v>
      </c>
      <c r="C31" s="585">
        <v>904</v>
      </c>
      <c r="D31" s="585">
        <v>639</v>
      </c>
      <c r="E31" s="586">
        <v>228245</v>
      </c>
      <c r="F31" s="586">
        <v>50794.41</v>
      </c>
      <c r="G31" s="587">
        <f>VLOOKUP($A$5:$A$31,'PF - Gênero'!$A$2:$D$28,4,)</f>
        <v>933</v>
      </c>
      <c r="H31" s="587">
        <f>VLOOKUP($A$5:$A$31,'Relatórios - SICCAU e IGEO'!$A$3:$B$29,2,)</f>
        <v>15</v>
      </c>
      <c r="I31" s="587">
        <f t="shared" si="0"/>
        <v>918</v>
      </c>
      <c r="J31" s="587">
        <v>551</v>
      </c>
      <c r="K31" s="587">
        <v>324</v>
      </c>
      <c r="L31" s="587">
        <f t="shared" si="1"/>
        <v>227</v>
      </c>
      <c r="M31" s="588">
        <f t="shared" si="5"/>
        <v>60.02178649237473</v>
      </c>
      <c r="N31" s="589">
        <f t="shared" si="2"/>
        <v>0.41544145366809926</v>
      </c>
      <c r="O31" s="590">
        <f>VLOOKUP($A$5:$A$31,JAN!$A$5:$C$31,2,)</f>
        <v>24559.64</v>
      </c>
      <c r="P31" s="590">
        <f>VLOOKUP($A$5:$A$31,JAN!$A$5:$C$31,3,)</f>
        <v>4399.840000000002</v>
      </c>
      <c r="Q31" s="590">
        <f>VLOOKUP($A$5:$A$31,FEV!$A$5:$C$31,2,)</f>
        <v>35064.384000000005</v>
      </c>
      <c r="R31" s="590">
        <f>VLOOKUP($A$5:$A$31,FEV!$A$5:$C$31,3,)</f>
        <v>5992.0079999999962</v>
      </c>
      <c r="S31" s="590">
        <f>VLOOKUP($A$5:$A$31,MAR!$A$5:$S$31,2,)</f>
        <v>31904.368000000002</v>
      </c>
      <c r="T31" s="590">
        <f>VLOOKUP($A$5:$A$31,MAR!$A$5:$T$31,3,)</f>
        <v>6929.0880000000006</v>
      </c>
      <c r="U31" s="591">
        <f>VLOOKUP($A$5:$A$31,ABR!$A$5:$B$31,2,)</f>
        <v>21321.328000000001</v>
      </c>
      <c r="V31" s="591">
        <f>VLOOKUP($A$5:$A$31,ABR!$A$5:$C$31,3,)</f>
        <v>5162.6480000000001</v>
      </c>
      <c r="W31" s="591">
        <f>VLOOKUP($A$5:$A$31,MAI!$A$5:$C$31,2,)</f>
        <v>19502.896000000001</v>
      </c>
      <c r="X31" s="591">
        <f>VLOOKUP($A$5:$A$31,MAI!$A$5:$C$31,3,)</f>
        <v>2883.0240000000003</v>
      </c>
      <c r="Y31" s="591">
        <f>VLOOKUP($A$5:$A$31,JUN!$A$5:$C$31,2,)</f>
        <v>29315.216</v>
      </c>
      <c r="Z31" s="591">
        <f>VLOOKUP($A$5:$A$31,JUN!$A$5:$C$31,3,)</f>
        <v>4467.2320000000063</v>
      </c>
      <c r="AA31" s="592">
        <f>VLOOKUP($A$5:$A$31,JUL!$A$5:$B$31,2,)</f>
        <v>17469.176000000003</v>
      </c>
      <c r="AB31" s="592">
        <f>VLOOKUP($A$5:$A$31,JUL!$A$5:$C$31,3,)</f>
        <v>3918.8399999999997</v>
      </c>
      <c r="AC31" s="592">
        <f>VLOOKUP($A$5:$A$31,AGO!$A$5:$B$31,2,)</f>
        <v>9519.2479999999996</v>
      </c>
      <c r="AD31" s="592">
        <f>VLOOKUP($A$5:$A$31,AGO!$A$5:$C$31,3,)</f>
        <v>2999.8720000000017</v>
      </c>
      <c r="AE31" s="592">
        <f>VLOOKUP($A$5:$A$31,SET!$A$5:$B$31,2,)</f>
        <v>7976.9440000000004</v>
      </c>
      <c r="AF31" s="592">
        <f>VLOOKUP($A$5:$A$31,SET!$A$5:$C$31,3,)</f>
        <v>1447.1520000000005</v>
      </c>
      <c r="AG31" s="592">
        <f>VLOOKUP($A$5:$A$31,OUT!$A$5:$B$31,2,)</f>
        <v>0</v>
      </c>
      <c r="AH31" s="592">
        <f>VLOOKUP($A$5:$A$31,OUT!$A$5:$C$31,3,)</f>
        <v>0</v>
      </c>
      <c r="AI31" s="593">
        <f>VLOOKUP($A$5:$A$31,NOV!$A$5:$B$31,2,)</f>
        <v>0</v>
      </c>
      <c r="AJ31" s="593">
        <f>VLOOKUP($A$5:$A$31,NOV!$A$5:$C$31,3,)</f>
        <v>0</v>
      </c>
      <c r="AK31" s="593">
        <f>VLOOKUP($A$5:$A$31,DEZ!$A$5:$B$31,2,)</f>
        <v>0</v>
      </c>
      <c r="AL31" s="593">
        <f>VLOOKUP($A$5:$A$31,DEZ!$A$5:$C$31,3,)</f>
        <v>0</v>
      </c>
      <c r="AM31" s="593">
        <f t="shared" si="6"/>
        <v>234832.90400000001</v>
      </c>
      <c r="AN31" s="594">
        <f t="shared" si="3"/>
        <v>84.157612001831566</v>
      </c>
      <c r="AO31" s="594">
        <f t="shared" si="4"/>
        <v>0.30517798242755262</v>
      </c>
      <c r="AP31" s="234"/>
      <c r="AQ31" s="595">
        <f t="shared" si="7"/>
        <v>196633.19999999998</v>
      </c>
      <c r="AR31" s="595">
        <f t="shared" si="8"/>
        <v>38199.704000000012</v>
      </c>
      <c r="AS31" s="596">
        <f t="shared" si="9"/>
        <v>0.8615005805165501</v>
      </c>
      <c r="AT31" s="596">
        <f t="shared" si="10"/>
        <v>0.75204543177093719</v>
      </c>
      <c r="AU31" s="597">
        <f t="shared" si="11"/>
        <v>0.84157612001831561</v>
      </c>
      <c r="AV31" s="721">
        <f>'Comparativo YoY'!GB62</f>
        <v>9.4183251932932421</v>
      </c>
      <c r="AW31" s="579"/>
      <c r="AX31" s="579"/>
    </row>
    <row r="32" spans="1:50" s="578" customFormat="1">
      <c r="A32" s="598" t="s">
        <v>418</v>
      </c>
      <c r="B32" s="599">
        <f t="shared" ref="B32:L32" si="12">SUM(B5:B31)</f>
        <v>217280.8</v>
      </c>
      <c r="C32" s="599">
        <f t="shared" si="12"/>
        <v>203796.8</v>
      </c>
      <c r="D32" s="599">
        <f t="shared" si="12"/>
        <v>150195</v>
      </c>
      <c r="E32" s="600">
        <f>SUM(E5:E31)</f>
        <v>54356181.709999993</v>
      </c>
      <c r="F32" s="600">
        <f t="shared" si="12"/>
        <v>13422753.852</v>
      </c>
      <c r="G32" s="601">
        <f t="shared" si="12"/>
        <v>215705</v>
      </c>
      <c r="H32" s="601">
        <f t="shared" si="12"/>
        <v>12071</v>
      </c>
      <c r="I32" s="601">
        <f t="shared" si="12"/>
        <v>203634</v>
      </c>
      <c r="J32" s="601">
        <f t="shared" si="12"/>
        <v>132630</v>
      </c>
      <c r="K32" s="601">
        <f t="shared" si="12"/>
        <v>83538</v>
      </c>
      <c r="L32" s="601">
        <f t="shared" si="12"/>
        <v>49092</v>
      </c>
      <c r="M32" s="602">
        <f t="shared" si="5"/>
        <v>65.131559562744926</v>
      </c>
      <c r="N32" s="603">
        <f t="shared" si="2"/>
        <v>100</v>
      </c>
      <c r="O32" s="604">
        <f t="shared" ref="O32:AL32" si="13">SUM(O5:O31)</f>
        <v>8938951.472000001</v>
      </c>
      <c r="P32" s="604">
        <f t="shared" si="13"/>
        <v>1299901.6480000003</v>
      </c>
      <c r="Q32" s="604">
        <f t="shared" si="13"/>
        <v>10338358.007999999</v>
      </c>
      <c r="R32" s="604">
        <f t="shared" si="13"/>
        <v>1519660.9280000001</v>
      </c>
      <c r="S32" s="604">
        <f>SUM(S5:S31)</f>
        <v>8968735.8160000034</v>
      </c>
      <c r="T32" s="604">
        <f t="shared" si="13"/>
        <v>1606809.176</v>
      </c>
      <c r="U32" s="604">
        <f t="shared" si="13"/>
        <v>4215646.8319999995</v>
      </c>
      <c r="V32" s="604">
        <f t="shared" si="13"/>
        <v>1085070.8800000001</v>
      </c>
      <c r="W32" s="604">
        <f t="shared" si="13"/>
        <v>4988685.8719999995</v>
      </c>
      <c r="X32" s="604">
        <f t="shared" si="13"/>
        <v>1289522.7520000001</v>
      </c>
      <c r="Y32" s="604">
        <f t="shared" si="13"/>
        <v>5487157.4160000011</v>
      </c>
      <c r="Z32" s="604">
        <f t="shared" si="13"/>
        <v>1132395.3039999998</v>
      </c>
      <c r="AA32" s="604">
        <f t="shared" si="13"/>
        <v>4266309.8079999993</v>
      </c>
      <c r="AB32" s="604">
        <f t="shared" si="13"/>
        <v>969793.41600000008</v>
      </c>
      <c r="AC32" s="604">
        <f t="shared" si="13"/>
        <v>1963197.5199999998</v>
      </c>
      <c r="AD32" s="604">
        <f t="shared" si="13"/>
        <v>1128397.6719999998</v>
      </c>
      <c r="AE32" s="604">
        <f t="shared" si="13"/>
        <v>1439839.328</v>
      </c>
      <c r="AF32" s="604">
        <f t="shared" si="13"/>
        <v>921158.92</v>
      </c>
      <c r="AG32" s="604">
        <f t="shared" si="13"/>
        <v>0</v>
      </c>
      <c r="AH32" s="604">
        <f t="shared" si="13"/>
        <v>0</v>
      </c>
      <c r="AI32" s="604">
        <f t="shared" si="13"/>
        <v>0</v>
      </c>
      <c r="AJ32" s="604">
        <f t="shared" si="13"/>
        <v>0</v>
      </c>
      <c r="AK32" s="604">
        <f t="shared" si="13"/>
        <v>0</v>
      </c>
      <c r="AL32" s="604">
        <f t="shared" si="13"/>
        <v>0</v>
      </c>
      <c r="AM32" s="605">
        <f>SUM(AM5:AM31)</f>
        <v>61559592.767999999</v>
      </c>
      <c r="AN32" s="606">
        <f t="shared" si="3"/>
        <v>90.824077211553544</v>
      </c>
      <c r="AO32" s="606">
        <f t="shared" si="4"/>
        <v>80</v>
      </c>
      <c r="AP32" s="234"/>
      <c r="AQ32" s="595">
        <f t="shared" si="7"/>
        <v>50606882.072000004</v>
      </c>
      <c r="AR32" s="595">
        <f t="shared" si="8"/>
        <v>10952710.696</v>
      </c>
      <c r="AS32" s="596">
        <f t="shared" si="9"/>
        <v>0.93102349134817497</v>
      </c>
      <c r="AT32" s="596">
        <f t="shared" si="10"/>
        <v>0.81598089458878353</v>
      </c>
      <c r="AU32" s="597">
        <f t="shared" si="11"/>
        <v>0.90824077211553544</v>
      </c>
      <c r="AV32" s="721">
        <f>'Comparativo YoY'!GB63</f>
        <v>9.8141442961695873</v>
      </c>
      <c r="AW32" s="579"/>
      <c r="AX32" s="579"/>
    </row>
    <row r="33" spans="1:50" s="578" customFormat="1">
      <c r="A33" s="607" t="s">
        <v>224</v>
      </c>
      <c r="B33" s="608"/>
      <c r="C33" s="608"/>
      <c r="D33" s="608"/>
      <c r="E33" s="609">
        <v>13589407.380000001</v>
      </c>
      <c r="F33" s="609">
        <v>3338414.43</v>
      </c>
      <c r="G33" s="610"/>
      <c r="H33" s="610"/>
      <c r="I33" s="610"/>
      <c r="J33" s="611"/>
      <c r="K33" s="611"/>
      <c r="L33" s="611"/>
      <c r="M33" s="602"/>
      <c r="N33" s="603"/>
      <c r="O33" s="612">
        <f>JAN!B67</f>
        <v>2234737.8680000002</v>
      </c>
      <c r="P33" s="612">
        <f>JAN!C67</f>
        <v>324975.41200000007</v>
      </c>
      <c r="Q33" s="612">
        <f>FEV!B67</f>
        <v>2584589.5019999999</v>
      </c>
      <c r="R33" s="612">
        <f>FEV!C67</f>
        <v>379915.23200000002</v>
      </c>
      <c r="S33" s="612">
        <f>MAR!$S$67</f>
        <v>2242183.9540000004</v>
      </c>
      <c r="T33" s="612">
        <f>MAR!$T$67</f>
        <v>401702.29399999999</v>
      </c>
      <c r="U33" s="612">
        <f>ABR!B67</f>
        <v>1053911.7079999999</v>
      </c>
      <c r="V33" s="612">
        <f>ABR!C67</f>
        <v>271267.72000000003</v>
      </c>
      <c r="W33" s="612">
        <f>MAI!B67</f>
        <v>1247171.4680000001</v>
      </c>
      <c r="X33" s="612">
        <f>MAI!C67</f>
        <v>322380.68800000002</v>
      </c>
      <c r="Y33" s="612">
        <f>JUN!B67</f>
        <v>1371789.3540000001</v>
      </c>
      <c r="Z33" s="612">
        <f>JUN!C67</f>
        <v>283098.82599999994</v>
      </c>
      <c r="AA33" s="612">
        <f>JUL!B67</f>
        <v>1066577.4519999998</v>
      </c>
      <c r="AB33" s="612">
        <f>JUL!C67</f>
        <v>242448.35400000002</v>
      </c>
      <c r="AC33" s="612">
        <f>AGO!B67</f>
        <v>490799.38</v>
      </c>
      <c r="AD33" s="612">
        <f>AGO!C67</f>
        <v>282099.41799999995</v>
      </c>
      <c r="AE33" s="612">
        <f>SET!B67</f>
        <v>359959.83199999994</v>
      </c>
      <c r="AF33" s="612">
        <f>SET!C67</f>
        <v>230289.73</v>
      </c>
      <c r="AG33" s="612">
        <f>OUT!B67</f>
        <v>0</v>
      </c>
      <c r="AH33" s="612">
        <f>OUT!C67</f>
        <v>0</v>
      </c>
      <c r="AI33" s="612">
        <f>NOV!B67</f>
        <v>0</v>
      </c>
      <c r="AJ33" s="612">
        <f>NOV!C67</f>
        <v>0</v>
      </c>
      <c r="AK33" s="612">
        <f>DEZ!B67</f>
        <v>0</v>
      </c>
      <c r="AL33" s="612">
        <f>DEZ!C67</f>
        <v>0</v>
      </c>
      <c r="AM33" s="605">
        <f>SUM(O33:AL33)</f>
        <v>15389898.192000002</v>
      </c>
      <c r="AN33" s="606">
        <f t="shared" si="3"/>
        <v>90.914816830766242</v>
      </c>
      <c r="AO33" s="606">
        <f t="shared" si="4"/>
        <v>20</v>
      </c>
      <c r="AP33" s="234"/>
      <c r="AQ33" s="595">
        <f t="shared" si="7"/>
        <v>12651720.518000001</v>
      </c>
      <c r="AR33" s="595">
        <f t="shared" si="8"/>
        <v>2738177.6740000001</v>
      </c>
      <c r="AS33" s="596">
        <f t="shared" si="9"/>
        <v>0.93099869363103904</v>
      </c>
      <c r="AT33" s="596">
        <f t="shared" si="10"/>
        <v>0.82020304291579516</v>
      </c>
      <c r="AU33" s="597">
        <f t="shared" si="11"/>
        <v>0.90914816830766243</v>
      </c>
      <c r="AV33" s="721">
        <f>'Comparativo YoY'!GB64</f>
        <v>9.8141442961695873</v>
      </c>
      <c r="AW33" s="579"/>
      <c r="AX33" s="579"/>
    </row>
    <row r="34" spans="1:50" s="578" customFormat="1">
      <c r="A34" s="607" t="s">
        <v>118</v>
      </c>
      <c r="B34" s="599">
        <f>SUM(B32:B33)</f>
        <v>217280.8</v>
      </c>
      <c r="C34" s="599">
        <f>SUM(C32:C33)</f>
        <v>203796.8</v>
      </c>
      <c r="D34" s="599">
        <f>D32</f>
        <v>150195</v>
      </c>
      <c r="E34" s="600">
        <f>E32+E33</f>
        <v>67945589.089999989</v>
      </c>
      <c r="F34" s="600">
        <f>F32+F33</f>
        <v>16761168.282</v>
      </c>
      <c r="G34" s="613">
        <f t="shared" ref="G34:L34" si="14">SUM(G32:G33)</f>
        <v>215705</v>
      </c>
      <c r="H34" s="613">
        <f t="shared" si="14"/>
        <v>12071</v>
      </c>
      <c r="I34" s="613">
        <f t="shared" si="14"/>
        <v>203634</v>
      </c>
      <c r="J34" s="613">
        <f t="shared" si="14"/>
        <v>132630</v>
      </c>
      <c r="K34" s="613">
        <f t="shared" si="14"/>
        <v>83538</v>
      </c>
      <c r="L34" s="613">
        <f t="shared" si="14"/>
        <v>49092</v>
      </c>
      <c r="M34" s="602">
        <f>J34/I34*100</f>
        <v>65.131559562744926</v>
      </c>
      <c r="N34" s="603">
        <f>J34/$J$32*100</f>
        <v>100</v>
      </c>
      <c r="O34" s="604">
        <f t="shared" ref="O34:AM34" si="15">O32+O33</f>
        <v>11173689.340000002</v>
      </c>
      <c r="P34" s="604">
        <f t="shared" si="15"/>
        <v>1624877.0600000003</v>
      </c>
      <c r="Q34" s="604">
        <f t="shared" si="15"/>
        <v>12922947.51</v>
      </c>
      <c r="R34" s="604">
        <f t="shared" si="15"/>
        <v>1899576.1600000001</v>
      </c>
      <c r="S34" s="604">
        <f t="shared" si="15"/>
        <v>11210919.770000003</v>
      </c>
      <c r="T34" s="604">
        <f t="shared" si="15"/>
        <v>2008511.47</v>
      </c>
      <c r="U34" s="604">
        <f t="shared" si="15"/>
        <v>5269558.5399999991</v>
      </c>
      <c r="V34" s="604">
        <f t="shared" si="15"/>
        <v>1356338.6</v>
      </c>
      <c r="W34" s="604">
        <f t="shared" si="15"/>
        <v>6235857.3399999999</v>
      </c>
      <c r="X34" s="604">
        <f t="shared" si="15"/>
        <v>1611903.4400000002</v>
      </c>
      <c r="Y34" s="604">
        <f t="shared" si="15"/>
        <v>6858946.7700000014</v>
      </c>
      <c r="Z34" s="604">
        <f t="shared" si="15"/>
        <v>1415494.1299999997</v>
      </c>
      <c r="AA34" s="604">
        <f t="shared" si="15"/>
        <v>5332887.2599999988</v>
      </c>
      <c r="AB34" s="604">
        <f t="shared" si="15"/>
        <v>1212241.77</v>
      </c>
      <c r="AC34" s="604">
        <f t="shared" si="15"/>
        <v>2453996.9</v>
      </c>
      <c r="AD34" s="604">
        <f t="shared" si="15"/>
        <v>1410497.0899999999</v>
      </c>
      <c r="AE34" s="604">
        <f t="shared" si="15"/>
        <v>1799799.16</v>
      </c>
      <c r="AF34" s="604">
        <f t="shared" si="15"/>
        <v>1151448.6500000001</v>
      </c>
      <c r="AG34" s="604">
        <f t="shared" si="15"/>
        <v>0</v>
      </c>
      <c r="AH34" s="604">
        <f t="shared" si="15"/>
        <v>0</v>
      </c>
      <c r="AI34" s="604">
        <f t="shared" si="15"/>
        <v>0</v>
      </c>
      <c r="AJ34" s="604">
        <f t="shared" si="15"/>
        <v>0</v>
      </c>
      <c r="AK34" s="604">
        <f t="shared" si="15"/>
        <v>0</v>
      </c>
      <c r="AL34" s="604">
        <f t="shared" si="15"/>
        <v>0</v>
      </c>
      <c r="AM34" s="605">
        <f t="shared" si="15"/>
        <v>76949490.960000008</v>
      </c>
      <c r="AN34" s="606">
        <f t="shared" si="3"/>
        <v>90.842210642141566</v>
      </c>
      <c r="AO34" s="606">
        <f t="shared" si="4"/>
        <v>100</v>
      </c>
      <c r="AP34" s="234"/>
      <c r="AQ34" s="595">
        <f t="shared" si="7"/>
        <v>63258602.589999996</v>
      </c>
      <c r="AR34" s="595">
        <f t="shared" si="8"/>
        <v>13690888.369999999</v>
      </c>
      <c r="AS34" s="596">
        <f t="shared" si="9"/>
        <v>0.9310185316990679</v>
      </c>
      <c r="AT34" s="596">
        <f t="shared" si="10"/>
        <v>0.81682184318278062</v>
      </c>
      <c r="AU34" s="597">
        <f t="shared" si="11"/>
        <v>0.90842210642141563</v>
      </c>
      <c r="AV34" s="721">
        <f>'Comparativo YoY'!GB65</f>
        <v>9.8141442961695873</v>
      </c>
      <c r="AW34" s="579"/>
      <c r="AX34" s="579"/>
    </row>
    <row r="35" spans="1:50">
      <c r="A35" s="408"/>
      <c r="B35" s="614"/>
      <c r="C35" s="615"/>
      <c r="D35" s="615"/>
      <c r="E35" s="615"/>
      <c r="F35" s="615"/>
      <c r="G35" s="615">
        <f>'PF - Gênero'!D29</f>
        <v>215705</v>
      </c>
      <c r="H35" s="615">
        <f>'Relatórios - SICCAU e IGEO'!B30</f>
        <v>12071</v>
      </c>
      <c r="I35" s="615">
        <f>G34-H34</f>
        <v>203634</v>
      </c>
      <c r="J35" s="615">
        <v>132630</v>
      </c>
      <c r="K35" s="615">
        <v>83538</v>
      </c>
      <c r="L35" s="565">
        <f>J35-K35</f>
        <v>49092</v>
      </c>
      <c r="M35" s="167"/>
      <c r="N35" s="167"/>
      <c r="O35" s="615">
        <f>JAN!$B$102</f>
        <v>11173689.340000004</v>
      </c>
      <c r="P35" s="615">
        <f>JAN!$C$102</f>
        <v>1624877.0600000003</v>
      </c>
      <c r="Q35" s="615">
        <f>FEV!$B$102</f>
        <v>12922947.51</v>
      </c>
      <c r="R35" s="615">
        <f>FEV!$C$102</f>
        <v>1899576.1600000004</v>
      </c>
      <c r="S35" s="615">
        <f>MAR!$S$102</f>
        <v>11210919.770000001</v>
      </c>
      <c r="T35" s="615">
        <f>MAR!$T$102</f>
        <v>2008511.4700000002</v>
      </c>
      <c r="U35" s="615">
        <f>ABR!$B$102</f>
        <v>5269558.54</v>
      </c>
      <c r="V35" s="615">
        <f>ABR!$C$102</f>
        <v>1356338.5999999999</v>
      </c>
      <c r="W35" s="565">
        <f>MAI!$B$102</f>
        <v>6235857.3400000008</v>
      </c>
      <c r="X35" s="565">
        <f>MAI!$C$102</f>
        <v>1611903.44</v>
      </c>
      <c r="Y35" s="565">
        <f>JUN!$B$102</f>
        <v>6858946.7699999996</v>
      </c>
      <c r="Z35" s="565">
        <f>JUN!$C$102</f>
        <v>1415494.13</v>
      </c>
      <c r="AA35" s="565">
        <f>JUL!B102</f>
        <v>5332887.26</v>
      </c>
      <c r="AB35" s="565">
        <f>JUL!C102</f>
        <v>1212241.77</v>
      </c>
      <c r="AC35" s="565">
        <f>AGO!B102</f>
        <v>2453996.9</v>
      </c>
      <c r="AD35" s="565">
        <f>AGO!C102</f>
        <v>1410497.09</v>
      </c>
      <c r="AE35" s="565">
        <f>SET!B102</f>
        <v>1799799.16</v>
      </c>
      <c r="AF35" s="565">
        <f>SET!C102</f>
        <v>1151448.6500000001</v>
      </c>
      <c r="AG35" s="565">
        <f>OUT!B102</f>
        <v>0</v>
      </c>
      <c r="AH35" s="565">
        <f>OUT!C102</f>
        <v>0</v>
      </c>
      <c r="AI35" s="565">
        <f>NOV!B102</f>
        <v>0</v>
      </c>
      <c r="AJ35" s="565">
        <f>NOV!C102</f>
        <v>0</v>
      </c>
      <c r="AK35" s="565">
        <f>DEZ!B102</f>
        <v>0</v>
      </c>
      <c r="AL35" s="565">
        <f>DEZ!C102</f>
        <v>0</v>
      </c>
      <c r="AM35" s="615">
        <f>'ARRECADAÇÃO MENSAL POR RECEITA'!$B$17+'ARRECADAÇÃO MENSAL POR RECEITA'!$C$17</f>
        <v>76949490.960000008</v>
      </c>
      <c r="AP35" s="616"/>
      <c r="AQ35" s="616"/>
      <c r="AR35" s="616"/>
      <c r="AS35" s="617"/>
      <c r="AT35" s="616"/>
      <c r="AU35" s="617"/>
      <c r="AV35" s="618"/>
    </row>
    <row r="36" spans="1:50">
      <c r="A36" s="409"/>
      <c r="B36" s="409"/>
      <c r="C36" s="166"/>
      <c r="D36" s="166"/>
      <c r="E36" s="578"/>
      <c r="F36" s="578"/>
      <c r="G36" s="578" t="b">
        <f t="shared" ref="G36:L36" si="16">G34=G35</f>
        <v>1</v>
      </c>
      <c r="H36" s="578" t="b">
        <f t="shared" si="16"/>
        <v>1</v>
      </c>
      <c r="I36" s="619" t="b">
        <f t="shared" si="16"/>
        <v>1</v>
      </c>
      <c r="J36" s="619" t="b">
        <f t="shared" si="16"/>
        <v>1</v>
      </c>
      <c r="K36" s="619" t="b">
        <f t="shared" si="16"/>
        <v>1</v>
      </c>
      <c r="L36" s="619" t="b">
        <f t="shared" si="16"/>
        <v>1</v>
      </c>
      <c r="M36" s="619"/>
      <c r="N36" s="619"/>
      <c r="O36" s="619" t="b">
        <f t="shared" ref="O36:AM36" si="17">O34=O35</f>
        <v>1</v>
      </c>
      <c r="P36" s="619" t="b">
        <f t="shared" si="17"/>
        <v>1</v>
      </c>
      <c r="Q36" s="619" t="b">
        <f t="shared" si="17"/>
        <v>1</v>
      </c>
      <c r="R36" s="619" t="b">
        <f t="shared" si="17"/>
        <v>1</v>
      </c>
      <c r="S36" s="619" t="b">
        <f>S34=S35</f>
        <v>1</v>
      </c>
      <c r="T36" s="619" t="b">
        <f t="shared" si="17"/>
        <v>1</v>
      </c>
      <c r="U36" s="619" t="b">
        <f t="shared" si="17"/>
        <v>1</v>
      </c>
      <c r="V36" s="619" t="b">
        <f t="shared" si="17"/>
        <v>1</v>
      </c>
      <c r="W36" s="619" t="b">
        <f t="shared" si="17"/>
        <v>1</v>
      </c>
      <c r="X36" s="619" t="b">
        <f t="shared" si="17"/>
        <v>1</v>
      </c>
      <c r="Y36" s="619" t="b">
        <f t="shared" si="17"/>
        <v>1</v>
      </c>
      <c r="Z36" s="619" t="b">
        <f t="shared" si="17"/>
        <v>1</v>
      </c>
      <c r="AA36" s="619" t="b">
        <f t="shared" si="17"/>
        <v>1</v>
      </c>
      <c r="AB36" s="619" t="b">
        <f t="shared" si="17"/>
        <v>1</v>
      </c>
      <c r="AC36" s="619" t="b">
        <f t="shared" si="17"/>
        <v>1</v>
      </c>
      <c r="AD36" s="619" t="b">
        <f t="shared" si="17"/>
        <v>1</v>
      </c>
      <c r="AE36" s="619" t="b">
        <f t="shared" si="17"/>
        <v>1</v>
      </c>
      <c r="AF36" s="619" t="b">
        <f t="shared" si="17"/>
        <v>1</v>
      </c>
      <c r="AG36" s="619" t="b">
        <f t="shared" si="17"/>
        <v>1</v>
      </c>
      <c r="AH36" s="619" t="b">
        <f t="shared" si="17"/>
        <v>1</v>
      </c>
      <c r="AI36" s="619" t="b">
        <f t="shared" si="17"/>
        <v>1</v>
      </c>
      <c r="AJ36" s="619" t="b">
        <f t="shared" si="17"/>
        <v>1</v>
      </c>
      <c r="AK36" s="619" t="b">
        <f t="shared" si="17"/>
        <v>1</v>
      </c>
      <c r="AL36" s="619" t="b">
        <f t="shared" si="17"/>
        <v>1</v>
      </c>
      <c r="AM36" s="619" t="b">
        <f t="shared" si="17"/>
        <v>1</v>
      </c>
      <c r="AP36" s="616"/>
      <c r="AQ36" s="616"/>
      <c r="AR36" s="616"/>
      <c r="AS36" s="617"/>
      <c r="AT36" s="616"/>
      <c r="AU36" s="617"/>
      <c r="AV36" s="618"/>
    </row>
    <row r="37" spans="1:50">
      <c r="A37" s="407"/>
      <c r="B37" s="620"/>
      <c r="C37" s="621"/>
      <c r="D37" s="621"/>
      <c r="E37" s="300"/>
      <c r="G37" s="622"/>
      <c r="H37" s="622"/>
      <c r="N37" s="623"/>
      <c r="O37" s="624"/>
      <c r="P37" s="624"/>
      <c r="Q37" s="623"/>
      <c r="R37" s="623"/>
      <c r="S37" s="624"/>
      <c r="T37" s="624"/>
      <c r="W37" s="165"/>
      <c r="X37" s="165"/>
      <c r="Y37" s="622"/>
      <c r="Z37" s="622"/>
      <c r="AP37" s="300"/>
      <c r="AQ37" s="407"/>
      <c r="AR37" s="407"/>
      <c r="AS37" s="407"/>
      <c r="AT37" s="407"/>
      <c r="AU37" s="407"/>
      <c r="AV37" s="407"/>
    </row>
    <row r="38" spans="1:50" ht="63">
      <c r="B38" s="626"/>
      <c r="C38" s="622"/>
      <c r="D38" s="622"/>
      <c r="E38" s="627"/>
      <c r="F38" s="627"/>
      <c r="G38" s="622"/>
      <c r="H38" s="628"/>
      <c r="I38" s="300"/>
      <c r="K38" s="629" t="s">
        <v>316</v>
      </c>
      <c r="N38" s="630"/>
      <c r="O38" s="875"/>
      <c r="P38" s="875"/>
      <c r="Q38" s="875"/>
      <c r="R38" s="875"/>
      <c r="S38" s="875"/>
      <c r="T38" s="631"/>
      <c r="W38" s="165"/>
      <c r="X38" s="165"/>
      <c r="Y38" s="622"/>
      <c r="Z38" s="622"/>
      <c r="AP38" s="300"/>
      <c r="AQ38" s="407"/>
      <c r="AR38" s="407"/>
      <c r="AS38" s="407"/>
      <c r="AT38" s="407"/>
      <c r="AU38" s="407"/>
      <c r="AV38" s="407"/>
    </row>
    <row r="39" spans="1:50">
      <c r="A39" s="874"/>
      <c r="B39" s="874"/>
      <c r="C39" s="874"/>
      <c r="D39" s="874"/>
      <c r="E39" s="874"/>
      <c r="F39" s="632"/>
    </row>
    <row r="40" spans="1:50">
      <c r="A40" s="874"/>
      <c r="B40" s="874"/>
      <c r="C40" s="874"/>
      <c r="D40" s="874"/>
      <c r="E40" s="874"/>
      <c r="F40" s="632"/>
    </row>
    <row r="41" spans="1:50">
      <c r="A41" s="874"/>
      <c r="B41" s="874"/>
      <c r="C41" s="874"/>
      <c r="D41" s="874"/>
      <c r="E41" s="874"/>
      <c r="F41" s="632"/>
    </row>
    <row r="42" spans="1:50">
      <c r="A42" s="874"/>
      <c r="B42" s="874"/>
      <c r="C42" s="874"/>
      <c r="D42" s="874"/>
      <c r="E42" s="874"/>
      <c r="F42" s="632"/>
    </row>
  </sheetData>
  <autoFilter ref="A2:AO36">
    <filterColumn colId="1" showButton="0"/>
    <filterColumn colId="2" showButton="0"/>
    <filterColumn colId="3" showButton="0"/>
    <filterColumn colId="4" showButton="0"/>
    <filterColumn colId="6" showButton="0"/>
    <filterColumn colId="7" showButton="0"/>
    <filterColumn colId="8" showButton="0"/>
    <filterColumn colId="9" showButton="0"/>
    <filterColumn colId="10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</autoFilter>
  <mergeCells count="35">
    <mergeCell ref="Y3:Z3"/>
    <mergeCell ref="AG3:AH3"/>
    <mergeCell ref="AE3:AF3"/>
    <mergeCell ref="G3:G4"/>
    <mergeCell ref="U3:V3"/>
    <mergeCell ref="S3:T3"/>
    <mergeCell ref="A39:E42"/>
    <mergeCell ref="O38:S38"/>
    <mergeCell ref="B3:B4"/>
    <mergeCell ref="A2:A4"/>
    <mergeCell ref="N2:N4"/>
    <mergeCell ref="M2:M4"/>
    <mergeCell ref="L3:L4"/>
    <mergeCell ref="K3:K4"/>
    <mergeCell ref="J3:J4"/>
    <mergeCell ref="O3:P3"/>
    <mergeCell ref="O2:AL2"/>
    <mergeCell ref="W3:X3"/>
    <mergeCell ref="AK3:AL3"/>
    <mergeCell ref="I3:I4"/>
    <mergeCell ref="AI3:AJ3"/>
    <mergeCell ref="Q3:R3"/>
    <mergeCell ref="A1:AO1"/>
    <mergeCell ref="B2:F2"/>
    <mergeCell ref="AC3:AD3"/>
    <mergeCell ref="AA3:AB3"/>
    <mergeCell ref="AO2:AO4"/>
    <mergeCell ref="AN2:AN4"/>
    <mergeCell ref="AM2:AM4"/>
    <mergeCell ref="D3:D4"/>
    <mergeCell ref="C3:C4"/>
    <mergeCell ref="E3:E4"/>
    <mergeCell ref="G2:L2"/>
    <mergeCell ref="H3:H4"/>
    <mergeCell ref="F3:F4"/>
  </mergeCells>
  <conditionalFormatting sqref="I36:AL36">
    <cfRule type="cellIs" dxfId="121" priority="4" operator="equal">
      <formula>TRUE</formula>
    </cfRule>
  </conditionalFormatting>
  <conditionalFormatting sqref="AM36">
    <cfRule type="cellIs" dxfId="120" priority="3" operator="equal">
      <formula>TRUE</formula>
    </cfRule>
  </conditionalFormatting>
  <conditionalFormatting sqref="G36:H36">
    <cfRule type="cellIs" dxfId="119" priority="2" operator="equal">
      <formula>TRUE</formula>
    </cfRule>
  </conditionalFormatting>
  <conditionalFormatting sqref="E36:F36">
    <cfRule type="cellIs" dxfId="118" priority="1" operator="equal">
      <formula>TRUE</formula>
    </cfRule>
  </conditionalFormatting>
  <printOptions horizontalCentered="1" verticalCentered="1"/>
  <pageMargins left="0" right="0" top="0.78740157480314965" bottom="0.78740157480314965" header="0.31496062992125984" footer="0.31496062992125984"/>
  <pageSetup paperSize="9" scale="1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tabColor theme="6"/>
    <pageSetUpPr fitToPage="1"/>
  </sheetPr>
  <dimension ref="A1:AU39"/>
  <sheetViews>
    <sheetView showGridLines="0" zoomScale="70" zoomScaleNormal="70" zoomScaleSheetLayoutView="50" workbookViewId="0">
      <pane xSplit="1" topLeftCell="B1" activePane="topRight" state="frozen"/>
      <selection activeCell="DQ31" sqref="DQ31:DV31"/>
      <selection pane="topRight" activeCell="F5" sqref="F5:H31"/>
    </sheetView>
  </sheetViews>
  <sheetFormatPr defaultRowHeight="15.75"/>
  <cols>
    <col min="1" max="8" width="18.140625" style="165" customWidth="1"/>
    <col min="9" max="9" width="18.140625" style="715" customWidth="1"/>
    <col min="10" max="19" width="18.140625" style="165" customWidth="1"/>
    <col min="20" max="35" width="18.140625" style="165" hidden="1" customWidth="1"/>
    <col min="36" max="38" width="18.140625" style="165" customWidth="1"/>
    <col min="39" max="39" width="11.28515625" style="165" bestFit="1" customWidth="1"/>
    <col min="40" max="41" width="12.42578125" style="165" bestFit="1" customWidth="1"/>
    <col min="42" max="42" width="8.5703125" style="165" bestFit="1" customWidth="1"/>
    <col min="43" max="43" width="11" style="165" bestFit="1" customWidth="1"/>
    <col min="44" max="44" width="6.85546875" style="165" bestFit="1" customWidth="1"/>
    <col min="45" max="45" width="9.140625" style="165"/>
    <col min="46" max="46" width="19" style="165" bestFit="1" customWidth="1"/>
    <col min="47" max="48" width="16" style="165" bestFit="1" customWidth="1"/>
    <col min="49" max="49" width="14" style="165" bestFit="1" customWidth="1"/>
    <col min="50" max="16384" width="9.140625" style="165"/>
  </cols>
  <sheetData>
    <row r="1" spans="1:44" s="578" customFormat="1">
      <c r="A1" s="866" t="s">
        <v>553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  <c r="T1" s="866"/>
      <c r="U1" s="866"/>
      <c r="V1" s="866"/>
      <c r="W1" s="866"/>
      <c r="X1" s="866"/>
      <c r="Y1" s="866"/>
      <c r="Z1" s="866"/>
      <c r="AA1" s="866"/>
      <c r="AB1" s="866"/>
      <c r="AC1" s="866"/>
      <c r="AD1" s="866"/>
      <c r="AE1" s="866"/>
      <c r="AF1" s="866"/>
      <c r="AG1" s="866"/>
      <c r="AH1" s="866"/>
      <c r="AI1" s="866"/>
      <c r="AJ1" s="866"/>
      <c r="AK1" s="866"/>
      <c r="AL1" s="866"/>
    </row>
    <row r="2" spans="1:44" s="578" customFormat="1">
      <c r="A2" s="887" t="s">
        <v>172</v>
      </c>
      <c r="B2" s="900" t="s">
        <v>166</v>
      </c>
      <c r="C2" s="901"/>
      <c r="D2" s="901"/>
      <c r="E2" s="902"/>
      <c r="F2" s="888" t="s">
        <v>167</v>
      </c>
      <c r="G2" s="889"/>
      <c r="H2" s="889"/>
      <c r="I2" s="890"/>
      <c r="J2" s="897" t="s">
        <v>335</v>
      </c>
      <c r="K2" s="897" t="s">
        <v>331</v>
      </c>
      <c r="L2" s="892" t="s">
        <v>340</v>
      </c>
      <c r="M2" s="892"/>
      <c r="N2" s="892"/>
      <c r="O2" s="892"/>
      <c r="P2" s="892"/>
      <c r="Q2" s="892"/>
      <c r="R2" s="892"/>
      <c r="S2" s="892"/>
      <c r="T2" s="892"/>
      <c r="U2" s="892"/>
      <c r="V2" s="892"/>
      <c r="W2" s="892"/>
      <c r="X2" s="892"/>
      <c r="Y2" s="892"/>
      <c r="Z2" s="892"/>
      <c r="AA2" s="892"/>
      <c r="AB2" s="892"/>
      <c r="AC2" s="892"/>
      <c r="AD2" s="892"/>
      <c r="AE2" s="892"/>
      <c r="AF2" s="892"/>
      <c r="AG2" s="892"/>
      <c r="AH2" s="892"/>
      <c r="AI2" s="892"/>
      <c r="AJ2" s="870" t="s">
        <v>333</v>
      </c>
      <c r="AK2" s="870" t="s">
        <v>332</v>
      </c>
      <c r="AL2" s="870" t="s">
        <v>331</v>
      </c>
    </row>
    <row r="3" spans="1:44" s="578" customFormat="1">
      <c r="A3" s="877"/>
      <c r="B3" s="903" t="s">
        <v>326</v>
      </c>
      <c r="C3" s="903" t="s">
        <v>339</v>
      </c>
      <c r="D3" s="903" t="s">
        <v>328</v>
      </c>
      <c r="E3" s="903" t="s">
        <v>327</v>
      </c>
      <c r="F3" s="893" t="s">
        <v>326</v>
      </c>
      <c r="G3" s="893" t="s">
        <v>574</v>
      </c>
      <c r="H3" s="893" t="s">
        <v>323</v>
      </c>
      <c r="I3" s="895" t="s">
        <v>322</v>
      </c>
      <c r="J3" s="898"/>
      <c r="K3" s="898"/>
      <c r="L3" s="892" t="s">
        <v>290</v>
      </c>
      <c r="M3" s="892"/>
      <c r="N3" s="892" t="s">
        <v>289</v>
      </c>
      <c r="O3" s="892"/>
      <c r="P3" s="892" t="s">
        <v>321</v>
      </c>
      <c r="Q3" s="892"/>
      <c r="R3" s="892" t="s">
        <v>288</v>
      </c>
      <c r="S3" s="892"/>
      <c r="T3" s="892" t="s">
        <v>287</v>
      </c>
      <c r="U3" s="892"/>
      <c r="V3" s="892" t="s">
        <v>286</v>
      </c>
      <c r="W3" s="892"/>
      <c r="X3" s="892" t="s">
        <v>285</v>
      </c>
      <c r="Y3" s="892"/>
      <c r="Z3" s="892" t="s">
        <v>284</v>
      </c>
      <c r="AA3" s="892"/>
      <c r="AB3" s="892" t="s">
        <v>283</v>
      </c>
      <c r="AC3" s="892"/>
      <c r="AD3" s="892" t="s">
        <v>282</v>
      </c>
      <c r="AE3" s="892"/>
      <c r="AF3" s="892" t="s">
        <v>281</v>
      </c>
      <c r="AG3" s="892"/>
      <c r="AH3" s="892" t="s">
        <v>280</v>
      </c>
      <c r="AI3" s="892"/>
      <c r="AJ3" s="871"/>
      <c r="AK3" s="871"/>
      <c r="AL3" s="871"/>
      <c r="AM3" s="233"/>
      <c r="AN3" s="233"/>
      <c r="AO3" s="233"/>
      <c r="AP3" s="233"/>
      <c r="AQ3" s="233"/>
      <c r="AR3" s="233"/>
    </row>
    <row r="4" spans="1:44" s="583" customFormat="1" ht="32.25" customHeight="1">
      <c r="A4" s="878"/>
      <c r="B4" s="904"/>
      <c r="C4" s="904"/>
      <c r="D4" s="904"/>
      <c r="E4" s="904"/>
      <c r="F4" s="894"/>
      <c r="G4" s="894"/>
      <c r="H4" s="894"/>
      <c r="I4" s="896"/>
      <c r="J4" s="899"/>
      <c r="K4" s="899"/>
      <c r="L4" s="656" t="s">
        <v>251</v>
      </c>
      <c r="M4" s="656" t="s">
        <v>320</v>
      </c>
      <c r="N4" s="656" t="s">
        <v>251</v>
      </c>
      <c r="O4" s="656" t="s">
        <v>320</v>
      </c>
      <c r="P4" s="656" t="s">
        <v>251</v>
      </c>
      <c r="Q4" s="656" t="s">
        <v>320</v>
      </c>
      <c r="R4" s="656" t="s">
        <v>251</v>
      </c>
      <c r="S4" s="656" t="s">
        <v>320</v>
      </c>
      <c r="T4" s="656" t="s">
        <v>251</v>
      </c>
      <c r="U4" s="656" t="s">
        <v>320</v>
      </c>
      <c r="V4" s="656" t="s">
        <v>251</v>
      </c>
      <c r="W4" s="656" t="s">
        <v>320</v>
      </c>
      <c r="X4" s="656" t="s">
        <v>251</v>
      </c>
      <c r="Y4" s="656" t="s">
        <v>320</v>
      </c>
      <c r="Z4" s="656" t="s">
        <v>251</v>
      </c>
      <c r="AA4" s="656" t="s">
        <v>320</v>
      </c>
      <c r="AB4" s="656" t="s">
        <v>251</v>
      </c>
      <c r="AC4" s="656" t="s">
        <v>320</v>
      </c>
      <c r="AD4" s="656" t="s">
        <v>251</v>
      </c>
      <c r="AE4" s="656" t="s">
        <v>320</v>
      </c>
      <c r="AF4" s="656" t="s">
        <v>251</v>
      </c>
      <c r="AG4" s="656" t="s">
        <v>320</v>
      </c>
      <c r="AH4" s="656" t="s">
        <v>251</v>
      </c>
      <c r="AI4" s="657" t="s">
        <v>320</v>
      </c>
      <c r="AJ4" s="872"/>
      <c r="AK4" s="872"/>
      <c r="AL4" s="872"/>
      <c r="AM4" s="388"/>
      <c r="AN4" s="388" t="s">
        <v>338</v>
      </c>
      <c r="AO4" s="388" t="s">
        <v>337</v>
      </c>
      <c r="AP4" s="581" t="s">
        <v>319</v>
      </c>
      <c r="AQ4" s="581" t="s">
        <v>318</v>
      </c>
      <c r="AR4" s="388" t="s">
        <v>336</v>
      </c>
    </row>
    <row r="5" spans="1:44" s="578" customFormat="1">
      <c r="A5" s="584" t="s">
        <v>77</v>
      </c>
      <c r="B5" s="585">
        <v>172</v>
      </c>
      <c r="C5" s="585">
        <v>83</v>
      </c>
      <c r="D5" s="585">
        <v>22368.199999999997</v>
      </c>
      <c r="E5" s="585">
        <v>10405.58</v>
      </c>
      <c r="F5" s="633">
        <f>VLOOKUP($A$5:$A$31,'Relatórios - SICCAU e IGEO'!$A$3:$H$29,8,)</f>
        <v>165</v>
      </c>
      <c r="G5" s="590">
        <v>53</v>
      </c>
      <c r="H5" s="590">
        <v>36</v>
      </c>
      <c r="I5" s="713">
        <f>G5-H5</f>
        <v>17</v>
      </c>
      <c r="J5" s="634">
        <f>G5/F5*100</f>
        <v>32.121212121212125</v>
      </c>
      <c r="K5" s="634">
        <f t="shared" ref="K5:K32" si="0">G5/$G$32*100</f>
        <v>0.36202185792349728</v>
      </c>
      <c r="L5" s="635">
        <f>VLOOKUP($A$5:$A$31,JAN!$A$5:$E$31,4,)</f>
        <v>831.87199999999996</v>
      </c>
      <c r="M5" s="635">
        <f>VLOOKUP($A$5:$A$31,JAN!$A$5:$E$31,5,)</f>
        <v>545.5440000000001</v>
      </c>
      <c r="N5" s="635">
        <f>VLOOKUP($A$5:$A$31,FEV!$A$5:$E$31,4,)</f>
        <v>1217.376</v>
      </c>
      <c r="O5" s="635">
        <f>VLOOKUP($A$5:$A$31,FEV!$A$5:$E$31,5,)</f>
        <v>713.68000000000018</v>
      </c>
      <c r="P5" s="635">
        <f>VLOOKUP($A$5:$A$31,MAR!$A$5:$U$31,4,)</f>
        <v>328.00800000000004</v>
      </c>
      <c r="Q5" s="635">
        <f>VLOOKUP($A$5:$A$31,MAR!$A$5:$V$31,5,)</f>
        <v>872.06399999999996</v>
      </c>
      <c r="R5" s="591">
        <f>VLOOKUP($A$5:$A$31,ABR!$A$5:$D$31,4,)</f>
        <v>721.12</v>
      </c>
      <c r="S5" s="591">
        <f>VLOOKUP($A$5:$A$31,ABR!$A$5:$E$31,5,)</f>
        <v>873.6</v>
      </c>
      <c r="T5" s="591">
        <f>VLOOKUP($A$5:$A$31,MAI!$A$5:$E$31,4,)</f>
        <v>935.5680000000001</v>
      </c>
      <c r="U5" s="591">
        <f>VLOOKUP($A$5:$A$31,MAI!$A$5:$E$31,5,)</f>
        <v>297.608</v>
      </c>
      <c r="V5" s="591">
        <f>VLOOKUP($A$5:$A$31,JUN!$A$5:$E$31,4,)</f>
        <v>811.58400000000006</v>
      </c>
      <c r="W5" s="591">
        <f>VLOOKUP($A$5:$A$31,JUN!$A$5:$E$31,5,)</f>
        <v>1414.1599999999999</v>
      </c>
      <c r="X5" s="591">
        <f>VLOOKUP($A$5:$A$31,JUL!$A$5:$E$31,4,)</f>
        <v>1622.3040000000001</v>
      </c>
      <c r="Y5" s="591">
        <f>VLOOKUP($A$5:$A$31,JUL!$A$5:$E$31,5,)</f>
        <v>169.6239999999998</v>
      </c>
      <c r="Z5" s="592">
        <f>VLOOKUP($A$5:$A$31,AGO!$A$5:$E$31,4,)</f>
        <v>3046.7840000000001</v>
      </c>
      <c r="AA5" s="592">
        <f>VLOOKUP($A$5:$A$31,AGO!$A$5:$E$31,5,)</f>
        <v>544.46400000000028</v>
      </c>
      <c r="AB5" s="592">
        <f>VLOOKUP($A$5:$A$31,SET!$A$5:$E$31,4,)</f>
        <v>1965.5119999999999</v>
      </c>
      <c r="AC5" s="592">
        <f>VLOOKUP($A$5:$A$31,SET!$A$5:$E$31,5,)</f>
        <v>663.30400000000009</v>
      </c>
      <c r="AD5" s="592">
        <f>VLOOKUP($A$5:$A$31,OUT!$A$5:$E$31,4,)</f>
        <v>0</v>
      </c>
      <c r="AE5" s="592">
        <f>VLOOKUP($A$5:$A$31,OUT!$A$5:$E$31,5,)</f>
        <v>0</v>
      </c>
      <c r="AF5" s="592">
        <f>VLOOKUP($A$5:$A$31,NOV!$A$5:$E$31,4,)</f>
        <v>0</v>
      </c>
      <c r="AG5" s="592">
        <f>VLOOKUP($A$5:$A$31,NOV!$A$5:$E$31,5,)</f>
        <v>0</v>
      </c>
      <c r="AH5" s="592">
        <f>VLOOKUP($A$5:$A$31,DEZ!$A$5:$E$31,4,)</f>
        <v>0</v>
      </c>
      <c r="AI5" s="592">
        <f>VLOOKUP($A$5:$A$31,DEZ!$A$5:$E$31,5,)</f>
        <v>0</v>
      </c>
      <c r="AJ5" s="593">
        <f>SUM(L5:AI5)</f>
        <v>17574.175999999999</v>
      </c>
      <c r="AK5" s="636">
        <f t="shared" ref="AK5:AK34" si="1">AJ5/(D5+E5)*100</f>
        <v>53.622670317552632</v>
      </c>
      <c r="AL5" s="594">
        <f t="shared" ref="AL5:AL34" si="2">AJ5/$AJ$34*100</f>
        <v>0.28107994760500893</v>
      </c>
      <c r="AM5" s="597"/>
      <c r="AN5" s="637">
        <f>L5+N5+P5+R5+T5+V5+X5+Z5+AB5+AD5+AF5+AH5</f>
        <v>11480.128000000001</v>
      </c>
      <c r="AO5" s="637">
        <f>M5+O5+Q5+S5+U5+W5+Y5+AA5+AC5+AE5+AG5+AI5</f>
        <v>6094.0479999999998</v>
      </c>
      <c r="AP5" s="596">
        <f>IFERROR(AN5/D5,)</f>
        <v>0.5132343237274346</v>
      </c>
      <c r="AQ5" s="596">
        <f>IFERROR(AO5/E5,)</f>
        <v>0.58565192906113839</v>
      </c>
      <c r="AR5" s="638">
        <f>'Comparativo YoY'!GD36</f>
        <v>2.7205963462338332</v>
      </c>
    </row>
    <row r="6" spans="1:44" s="578" customFormat="1">
      <c r="A6" s="584" t="s">
        <v>78</v>
      </c>
      <c r="B6" s="585">
        <v>174</v>
      </c>
      <c r="C6" s="585">
        <v>85</v>
      </c>
      <c r="D6" s="585">
        <v>21671.61</v>
      </c>
      <c r="E6" s="585">
        <v>22976.79</v>
      </c>
      <c r="F6" s="633">
        <f>VLOOKUP($A$5:$A$31,'Relatórios - SICCAU e IGEO'!$A$3:$H$29,8,)</f>
        <v>181</v>
      </c>
      <c r="G6" s="590">
        <v>64</v>
      </c>
      <c r="H6" s="590">
        <v>56</v>
      </c>
      <c r="I6" s="713">
        <f t="shared" ref="I6:I31" si="3">G6-H6</f>
        <v>8</v>
      </c>
      <c r="J6" s="634">
        <f t="shared" ref="J6:J32" si="4">G6/F6*100</f>
        <v>35.359116022099442</v>
      </c>
      <c r="K6" s="634">
        <f t="shared" si="0"/>
        <v>0.43715846994535518</v>
      </c>
      <c r="L6" s="635">
        <f>VLOOKUP($A$5:$A$31,JAN!$A$5:$E$31,4,)</f>
        <v>1153.1200000000001</v>
      </c>
      <c r="M6" s="635">
        <f>VLOOKUP($A$5:$A$31,JAN!$A$5:$E$31,5,)</f>
        <v>844.97599999999989</v>
      </c>
      <c r="N6" s="635">
        <f>VLOOKUP($A$5:$A$31,FEV!$A$5:$E$31,4,)</f>
        <v>2189.5840000000003</v>
      </c>
      <c r="O6" s="635">
        <f>VLOOKUP($A$5:$A$31,FEV!$A$5:$E$31,5,)</f>
        <v>375.45600000000013</v>
      </c>
      <c r="P6" s="635">
        <f>VLOOKUP($A$5:$A$31,MAR!$A$5:$U$31,4,)</f>
        <v>527.52800000000002</v>
      </c>
      <c r="Q6" s="635">
        <f>VLOOKUP($A$5:$A$31,MAR!$A$5:$V$31,5,)</f>
        <v>192.60000000000002</v>
      </c>
      <c r="R6" s="591">
        <f>VLOOKUP($A$5:$A$31,ABR!$A$5:$D$31,4,)</f>
        <v>793.83199999999999</v>
      </c>
      <c r="S6" s="591">
        <f>VLOOKUP($A$5:$A$31,ABR!$A$5:$E$31,5,)</f>
        <v>561.85600000000011</v>
      </c>
      <c r="T6" s="591">
        <f>VLOOKUP($A$5:$A$31,MAI!$A$5:$E$31,4,)</f>
        <v>544.43200000000002</v>
      </c>
      <c r="U6" s="591">
        <f>VLOOKUP($A$5:$A$31,MAI!$A$5:$E$31,5,)</f>
        <v>1943.9360000000001</v>
      </c>
      <c r="V6" s="591">
        <f>VLOOKUP($A$5:$A$31,JUN!$A$5:$E$31,4,)</f>
        <v>375.35200000000003</v>
      </c>
      <c r="W6" s="591">
        <f>VLOOKUP($A$5:$A$31,JUN!$A$5:$E$31,5,)</f>
        <v>0</v>
      </c>
      <c r="X6" s="591">
        <f>VLOOKUP($A$5:$A$31,JUL!$A$5:$E$31,4,)</f>
        <v>1237.664</v>
      </c>
      <c r="Y6" s="591">
        <f>VLOOKUP($A$5:$A$31,JUL!$A$5:$E$31,5,)</f>
        <v>365.69600000000014</v>
      </c>
      <c r="Z6" s="592">
        <f>VLOOKUP($A$5:$A$31,AGO!$A$5:$E$31,4,)</f>
        <v>3873.152</v>
      </c>
      <c r="AA6" s="592">
        <f>VLOOKUP($A$5:$A$31,AGO!$A$5:$E$31,5,)</f>
        <v>1213.8560000000004</v>
      </c>
      <c r="AB6" s="592">
        <f>VLOOKUP($A$5:$A$31,SET!$A$5:$E$31,4,)</f>
        <v>625.58400000000006</v>
      </c>
      <c r="AC6" s="592">
        <f>VLOOKUP($A$5:$A$31,SET!$A$5:$E$31,5,)</f>
        <v>548.24799999999993</v>
      </c>
      <c r="AD6" s="592">
        <f>VLOOKUP($A$5:$A$31,OUT!$A$5:$E$31,4,)</f>
        <v>0</v>
      </c>
      <c r="AE6" s="592">
        <f>VLOOKUP($A$5:$A$31,OUT!$A$5:$E$31,5,)</f>
        <v>0</v>
      </c>
      <c r="AF6" s="592">
        <f>VLOOKUP($A$5:$A$31,NOV!$A$5:$E$31,4,)</f>
        <v>0</v>
      </c>
      <c r="AG6" s="592">
        <f>VLOOKUP($A$5:$A$31,NOV!$A$5:$E$31,5,)</f>
        <v>0</v>
      </c>
      <c r="AH6" s="592">
        <f>VLOOKUP($A$5:$A$31,DEZ!$A$5:$E$31,4,)</f>
        <v>0</v>
      </c>
      <c r="AI6" s="592">
        <f>VLOOKUP($A$5:$A$31,DEZ!$A$5:$E$31,5,)</f>
        <v>0</v>
      </c>
      <c r="AJ6" s="593">
        <f t="shared" ref="AJ6:AJ31" si="5">SUM(L6:AI6)</f>
        <v>17366.872000000003</v>
      </c>
      <c r="AK6" s="636">
        <f t="shared" si="1"/>
        <v>38.896963832970506</v>
      </c>
      <c r="AL6" s="594">
        <f t="shared" si="2"/>
        <v>0.27776434421863638</v>
      </c>
      <c r="AM6" s="597"/>
      <c r="AN6" s="637">
        <f t="shared" ref="AN6:AN34" si="6">L6+N6+P6+R6+T6+V6+X6+Z6+AB6+AD6+AF6+AH6</f>
        <v>11320.248000000001</v>
      </c>
      <c r="AO6" s="637">
        <f t="shared" ref="AO6:AO34" si="7">M6+O6+Q6+S6+U6+W6+Y6+AA6+AC6+AE6+AG6+AI6</f>
        <v>6046.6240000000007</v>
      </c>
      <c r="AP6" s="596">
        <f t="shared" ref="AP6:AP34" si="8">IFERROR(AN6/D6,)</f>
        <v>0.52235380758513106</v>
      </c>
      <c r="AQ6" s="596">
        <f t="shared" ref="AQ6:AQ34" si="9">IFERROR(AO6/E6,)</f>
        <v>0.26316226069873122</v>
      </c>
      <c r="AR6" s="638">
        <f>'Comparativo YoY'!GD37</f>
        <v>-6.9034157553493571</v>
      </c>
    </row>
    <row r="7" spans="1:44" s="578" customFormat="1">
      <c r="A7" s="584" t="s">
        <v>80</v>
      </c>
      <c r="B7" s="585">
        <v>292</v>
      </c>
      <c r="C7" s="585">
        <v>143</v>
      </c>
      <c r="D7" s="585">
        <v>38358.76</v>
      </c>
      <c r="E7" s="585">
        <v>25790.080000000002</v>
      </c>
      <c r="F7" s="633">
        <f>VLOOKUP($A$5:$A$31,'Relatórios - SICCAU e IGEO'!$A$3:$H$29,8,)</f>
        <v>308</v>
      </c>
      <c r="G7" s="590">
        <v>83</v>
      </c>
      <c r="H7" s="590">
        <v>60</v>
      </c>
      <c r="I7" s="713">
        <f t="shared" si="3"/>
        <v>23</v>
      </c>
      <c r="J7" s="634">
        <f t="shared" si="4"/>
        <v>26.948051948051948</v>
      </c>
      <c r="K7" s="634">
        <f t="shared" si="0"/>
        <v>0.56693989071038253</v>
      </c>
      <c r="L7" s="635">
        <f>VLOOKUP($A$5:$A$31,JAN!$A$5:$E$31,4,)</f>
        <v>852.16000000000008</v>
      </c>
      <c r="M7" s="635">
        <f>VLOOKUP($A$5:$A$31,JAN!$A$5:$E$31,5,)</f>
        <v>883.19200000000001</v>
      </c>
      <c r="N7" s="635">
        <f>VLOOKUP($A$5:$A$31,FEV!$A$5:$E$31,4,)</f>
        <v>1501.424</v>
      </c>
      <c r="O7" s="635">
        <f>VLOOKUP($A$5:$A$31,FEV!$A$5:$E$31,5,)</f>
        <v>2429.7520000000004</v>
      </c>
      <c r="P7" s="635">
        <f>VLOOKUP($A$5:$A$31,MAR!$A$5:$U$31,4,)</f>
        <v>1870.0160000000001</v>
      </c>
      <c r="Q7" s="635">
        <f>VLOOKUP($A$5:$A$31,MAR!$A$5:$V$31,5,)</f>
        <v>3016.5200000000004</v>
      </c>
      <c r="R7" s="591">
        <f>VLOOKUP($A$5:$A$31,ABR!$A$5:$D$31,4,)</f>
        <v>1935.9520000000002</v>
      </c>
      <c r="S7" s="591">
        <f>VLOOKUP($A$5:$A$31,ABR!$A$5:$E$31,5,)</f>
        <v>1550.9840000000002</v>
      </c>
      <c r="T7" s="591">
        <f>VLOOKUP($A$5:$A$31,MAI!$A$5:$E$31,4,)</f>
        <v>1073.6479999999999</v>
      </c>
      <c r="U7" s="591">
        <f>VLOOKUP($A$5:$A$31,MAI!$A$5:$E$31,5,)</f>
        <v>1288.92</v>
      </c>
      <c r="V7" s="591">
        <f>VLOOKUP($A$5:$A$31,JUN!$A$5:$E$31,4,)</f>
        <v>1056.7440000000001</v>
      </c>
      <c r="W7" s="591">
        <f>VLOOKUP($A$5:$A$31,JUN!$A$5:$E$31,5,)</f>
        <v>1646.5519999999997</v>
      </c>
      <c r="X7" s="591">
        <f>VLOOKUP($A$5:$A$31,JUL!$A$5:$E$31,4,)</f>
        <v>1403.3600000000001</v>
      </c>
      <c r="Y7" s="591">
        <f>VLOOKUP($A$5:$A$31,JUL!$A$5:$E$31,5,)</f>
        <v>1444.2480000000003</v>
      </c>
      <c r="Z7" s="592">
        <f>VLOOKUP($A$5:$A$31,AGO!$A$5:$E$31,4,)</f>
        <v>3873.9920000000002</v>
      </c>
      <c r="AA7" s="592">
        <f>VLOOKUP($A$5:$A$31,AGO!$A$5:$E$31,5,)</f>
        <v>657.03200000000072</v>
      </c>
      <c r="AB7" s="592">
        <f>VLOOKUP($A$5:$A$31,SET!$A$5:$E$31,4,)</f>
        <v>2031.7360000000001</v>
      </c>
      <c r="AC7" s="592">
        <f>VLOOKUP($A$5:$A$31,SET!$A$5:$E$31,5,)</f>
        <v>670.60799999999983</v>
      </c>
      <c r="AD7" s="592">
        <f>VLOOKUP($A$5:$A$31,OUT!$A$5:$E$31,4,)</f>
        <v>0</v>
      </c>
      <c r="AE7" s="592">
        <f>VLOOKUP($A$5:$A$31,OUT!$A$5:$E$31,5,)</f>
        <v>0</v>
      </c>
      <c r="AF7" s="592">
        <f>VLOOKUP($A$5:$A$31,NOV!$A$5:$E$31,4,)</f>
        <v>0</v>
      </c>
      <c r="AG7" s="592">
        <f>VLOOKUP($A$5:$A$31,NOV!$A$5:$E$31,5,)</f>
        <v>0</v>
      </c>
      <c r="AH7" s="592">
        <f>VLOOKUP($A$5:$A$31,DEZ!$A$5:$E$31,4,)</f>
        <v>0</v>
      </c>
      <c r="AI7" s="592">
        <f>VLOOKUP($A$5:$A$31,DEZ!$A$5:$E$31,5,)</f>
        <v>0</v>
      </c>
      <c r="AJ7" s="593">
        <f t="shared" si="5"/>
        <v>29186.84</v>
      </c>
      <c r="AK7" s="636">
        <f t="shared" si="1"/>
        <v>45.498624760790683</v>
      </c>
      <c r="AL7" s="594">
        <f t="shared" si="2"/>
        <v>0.46681195510707185</v>
      </c>
      <c r="AM7" s="597"/>
      <c r="AN7" s="637">
        <f t="shared" si="6"/>
        <v>15599.032000000003</v>
      </c>
      <c r="AO7" s="637">
        <f t="shared" si="7"/>
        <v>13587.808000000003</v>
      </c>
      <c r="AP7" s="596">
        <f t="shared" si="8"/>
        <v>0.40666152920480231</v>
      </c>
      <c r="AQ7" s="596">
        <f t="shared" si="9"/>
        <v>0.52686180112663483</v>
      </c>
      <c r="AR7" s="638">
        <f>'Comparativo YoY'!GD38</f>
        <v>-14.063498810071962</v>
      </c>
    </row>
    <row r="8" spans="1:44" s="578" customFormat="1">
      <c r="A8" s="584" t="s">
        <v>79</v>
      </c>
      <c r="B8" s="585">
        <v>350</v>
      </c>
      <c r="C8" s="585">
        <v>110</v>
      </c>
      <c r="D8" s="585">
        <v>30504.54</v>
      </c>
      <c r="E8" s="585">
        <v>29503.100000000002</v>
      </c>
      <c r="F8" s="633">
        <f>VLOOKUP($A$5:$A$31,'Relatórios - SICCAU e IGEO'!$A$3:$H$29,8,)</f>
        <v>336</v>
      </c>
      <c r="G8" s="590">
        <v>82</v>
      </c>
      <c r="H8" s="590">
        <v>59</v>
      </c>
      <c r="I8" s="713">
        <f t="shared" si="3"/>
        <v>23</v>
      </c>
      <c r="J8" s="634">
        <f t="shared" si="4"/>
        <v>24.404761904761905</v>
      </c>
      <c r="K8" s="634">
        <f t="shared" si="0"/>
        <v>0.56010928961748641</v>
      </c>
      <c r="L8" s="635">
        <f>VLOOKUP($A$5:$A$31,JAN!$A$5:$E$31,4,)</f>
        <v>1326.424</v>
      </c>
      <c r="M8" s="635">
        <f>VLOOKUP($A$5:$A$31,JAN!$A$5:$E$31,5,)</f>
        <v>3782.328</v>
      </c>
      <c r="N8" s="635">
        <f>VLOOKUP($A$5:$A$31,FEV!$A$5:$E$31,4,)</f>
        <v>1684.0320000000002</v>
      </c>
      <c r="O8" s="635">
        <f>VLOOKUP($A$5:$A$31,FEV!$A$5:$E$31,5,)</f>
        <v>2639.8080000000004</v>
      </c>
      <c r="P8" s="635">
        <f>VLOOKUP($A$5:$A$31,MAR!$A$5:$U$31,4,)</f>
        <v>1677.5439999999999</v>
      </c>
      <c r="Q8" s="635">
        <f>VLOOKUP($A$5:$A$31,MAR!$A$5:$V$31,5,)</f>
        <v>1891.232</v>
      </c>
      <c r="R8" s="591">
        <f>VLOOKUP($A$5:$A$31,ABR!$A$5:$D$31,4,)</f>
        <v>1971.4560000000001</v>
      </c>
      <c r="S8" s="591">
        <f>VLOOKUP($A$5:$A$31,ABR!$A$5:$E$31,5,)</f>
        <v>1698.8320000000001</v>
      </c>
      <c r="T8" s="591">
        <f>VLOOKUP($A$5:$A$31,MAI!$A$5:$E$31,4,)</f>
        <v>1095.624</v>
      </c>
      <c r="U8" s="591">
        <f>VLOOKUP($A$5:$A$31,MAI!$A$5:$E$31,5,)</f>
        <v>799.98400000000004</v>
      </c>
      <c r="V8" s="591">
        <f>VLOOKUP($A$5:$A$31,JUN!$A$5:$E$31,4,)</f>
        <v>1449.2719999999999</v>
      </c>
      <c r="W8" s="591">
        <f>VLOOKUP($A$5:$A$31,JUN!$A$5:$E$31,5,)</f>
        <v>729.49600000000009</v>
      </c>
      <c r="X8" s="591">
        <f>VLOOKUP($A$5:$A$31,JUL!$A$5:$E$31,4,)</f>
        <v>1082.104</v>
      </c>
      <c r="Y8" s="591">
        <f>VLOOKUP($A$5:$A$31,JUL!$A$5:$E$31,5,)</f>
        <v>1515.0879999999997</v>
      </c>
      <c r="Z8" s="592">
        <f>VLOOKUP($A$5:$A$31,AGO!$A$5:$E$31,4,)</f>
        <v>2217.7440000000001</v>
      </c>
      <c r="AA8" s="592">
        <f>VLOOKUP($A$5:$A$31,AGO!$A$5:$E$31,5,)</f>
        <v>0</v>
      </c>
      <c r="AB8" s="592">
        <f>VLOOKUP($A$5:$A$31,SET!$A$5:$E$31,4,)</f>
        <v>2832.0480000000002</v>
      </c>
      <c r="AC8" s="592">
        <f>VLOOKUP($A$5:$A$31,SET!$A$5:$E$31,5,)</f>
        <v>779.41600000000005</v>
      </c>
      <c r="AD8" s="592">
        <f>VLOOKUP($A$5:$A$31,OUT!$A$5:$E$31,4,)</f>
        <v>0</v>
      </c>
      <c r="AE8" s="592">
        <f>VLOOKUP($A$5:$A$31,OUT!$A$5:$E$31,5,)</f>
        <v>0</v>
      </c>
      <c r="AF8" s="592">
        <f>VLOOKUP($A$5:$A$31,NOV!$A$5:$E$31,4,)</f>
        <v>0</v>
      </c>
      <c r="AG8" s="592">
        <f>VLOOKUP($A$5:$A$31,NOV!$A$5:$E$31,5,)</f>
        <v>0</v>
      </c>
      <c r="AH8" s="592">
        <f>VLOOKUP($A$5:$A$31,DEZ!$A$5:$E$31,4,)</f>
        <v>0</v>
      </c>
      <c r="AI8" s="592">
        <f>VLOOKUP($A$5:$A$31,DEZ!$A$5:$E$31,5,)</f>
        <v>0</v>
      </c>
      <c r="AJ8" s="593">
        <f t="shared" si="5"/>
        <v>29172.431999999997</v>
      </c>
      <c r="AK8" s="636">
        <f t="shared" si="1"/>
        <v>48.614529749878507</v>
      </c>
      <c r="AL8" s="594">
        <f t="shared" si="2"/>
        <v>0.46658151472198106</v>
      </c>
      <c r="AM8" s="597"/>
      <c r="AN8" s="637">
        <f t="shared" si="6"/>
        <v>15336.248</v>
      </c>
      <c r="AO8" s="637">
        <f t="shared" si="7"/>
        <v>13836.183999999999</v>
      </c>
      <c r="AP8" s="596">
        <f t="shared" si="8"/>
        <v>0.5027529672632336</v>
      </c>
      <c r="AQ8" s="596">
        <f t="shared" si="9"/>
        <v>0.4689739044371608</v>
      </c>
      <c r="AR8" s="638">
        <f>'Comparativo YoY'!GD39</f>
        <v>4.0717307091593398</v>
      </c>
    </row>
    <row r="9" spans="1:44" s="578" customFormat="1">
      <c r="A9" s="584" t="s">
        <v>81</v>
      </c>
      <c r="B9" s="585">
        <v>1140</v>
      </c>
      <c r="C9" s="585">
        <v>568</v>
      </c>
      <c r="D9" s="585">
        <v>167980.98</v>
      </c>
      <c r="E9" s="585">
        <v>99609.25</v>
      </c>
      <c r="F9" s="633">
        <f>VLOOKUP($A$5:$A$31,'Relatórios - SICCAU e IGEO'!$A$3:$H$29,8,)</f>
        <v>1068</v>
      </c>
      <c r="G9" s="590">
        <v>357</v>
      </c>
      <c r="H9" s="590">
        <v>280</v>
      </c>
      <c r="I9" s="713">
        <f t="shared" si="3"/>
        <v>77</v>
      </c>
      <c r="J9" s="634">
        <f t="shared" si="4"/>
        <v>33.426966292134829</v>
      </c>
      <c r="K9" s="634">
        <f t="shared" si="0"/>
        <v>2.4385245901639343</v>
      </c>
      <c r="L9" s="635">
        <f>VLOOKUP($A$5:$A$31,JAN!$A$5:$E$31,4,)</f>
        <v>8068.4800000000005</v>
      </c>
      <c r="M9" s="635">
        <f>VLOOKUP($A$5:$A$31,JAN!$A$5:$E$31,5,)</f>
        <v>2671.848</v>
      </c>
      <c r="N9" s="635">
        <f>VLOOKUP($A$5:$A$31,FEV!$A$5:$E$31,4,)</f>
        <v>8301.8080000000009</v>
      </c>
      <c r="O9" s="635">
        <f>VLOOKUP($A$5:$A$31,FEV!$A$5:$E$31,5,)</f>
        <v>5451.7439999999988</v>
      </c>
      <c r="P9" s="635">
        <f>VLOOKUP($A$5:$A$31,MAR!$A$5:$U$31,4,)</f>
        <v>4164.4160000000002</v>
      </c>
      <c r="Q9" s="635">
        <f>VLOOKUP($A$5:$A$31,MAR!$A$5:$V$31,5,)</f>
        <v>7230.344000000001</v>
      </c>
      <c r="R9" s="591">
        <f>VLOOKUP($A$5:$A$31,ABR!$A$5:$D$31,4,)</f>
        <v>5298.9360000000006</v>
      </c>
      <c r="S9" s="591">
        <f>VLOOKUP($A$5:$A$31,ABR!$A$5:$E$31,5,)</f>
        <v>9397.8559999999998</v>
      </c>
      <c r="T9" s="591">
        <f>VLOOKUP($A$5:$A$31,MAI!$A$5:$E$31,4,)</f>
        <v>2776.2640000000001</v>
      </c>
      <c r="U9" s="591">
        <f>VLOOKUP($A$5:$A$31,MAI!$A$5:$E$31,5,)</f>
        <v>12345.944000000001</v>
      </c>
      <c r="V9" s="591">
        <f>VLOOKUP($A$5:$A$31,JUN!$A$5:$E$31,4,)</f>
        <v>2508.84</v>
      </c>
      <c r="W9" s="591">
        <f>VLOOKUP($A$5:$A$31,JUN!$A$5:$E$31,5,)</f>
        <v>4115.1760000000004</v>
      </c>
      <c r="X9" s="591">
        <f>VLOOKUP($A$5:$A$31,JUL!$A$5:$E$31,4,)</f>
        <v>4893.6959999999999</v>
      </c>
      <c r="Y9" s="591">
        <f>VLOOKUP($A$5:$A$31,JUL!$A$5:$E$31,5,)</f>
        <v>3589.0879999999997</v>
      </c>
      <c r="Z9" s="592">
        <f>VLOOKUP($A$5:$A$31,AGO!$A$5:$E$31,4,)</f>
        <v>21264.944000000003</v>
      </c>
      <c r="AA9" s="592">
        <f>VLOOKUP($A$5:$A$31,AGO!$A$5:$E$31,5,)</f>
        <v>5403.4640000000018</v>
      </c>
      <c r="AB9" s="592">
        <f>VLOOKUP($A$5:$A$31,SET!$A$5:$E$31,4,)</f>
        <v>9504.9120000000003</v>
      </c>
      <c r="AC9" s="592">
        <f>VLOOKUP($A$5:$A$31,SET!$A$5:$E$31,5,)</f>
        <v>3140.2240000000006</v>
      </c>
      <c r="AD9" s="592">
        <f>VLOOKUP($A$5:$A$31,OUT!$A$5:$E$31,4,)</f>
        <v>0</v>
      </c>
      <c r="AE9" s="592">
        <f>VLOOKUP($A$5:$A$31,OUT!$A$5:$E$31,5,)</f>
        <v>0</v>
      </c>
      <c r="AF9" s="592">
        <f>VLOOKUP($A$5:$A$31,NOV!$A$5:$E$31,4,)</f>
        <v>0</v>
      </c>
      <c r="AG9" s="592">
        <f>VLOOKUP($A$5:$A$31,NOV!$A$5:$E$31,5,)</f>
        <v>0</v>
      </c>
      <c r="AH9" s="592">
        <f>VLOOKUP($A$5:$A$31,DEZ!$A$5:$E$31,4,)</f>
        <v>0</v>
      </c>
      <c r="AI9" s="592">
        <f>VLOOKUP($A$5:$A$31,DEZ!$A$5:$E$31,5,)</f>
        <v>0</v>
      </c>
      <c r="AJ9" s="593">
        <f t="shared" si="5"/>
        <v>120127.98400000001</v>
      </c>
      <c r="AK9" s="636">
        <f t="shared" si="1"/>
        <v>44.892514947201178</v>
      </c>
      <c r="AL9" s="594">
        <f t="shared" si="2"/>
        <v>1.921317246886304</v>
      </c>
      <c r="AM9" s="597"/>
      <c r="AN9" s="637">
        <f t="shared" si="6"/>
        <v>66782.296000000002</v>
      </c>
      <c r="AO9" s="637">
        <f t="shared" si="7"/>
        <v>53345.688000000002</v>
      </c>
      <c r="AP9" s="596">
        <f t="shared" si="8"/>
        <v>0.39755867598819816</v>
      </c>
      <c r="AQ9" s="596">
        <f t="shared" si="9"/>
        <v>0.53554953982687348</v>
      </c>
      <c r="AR9" s="638">
        <f>'Comparativo YoY'!GD40</f>
        <v>-6.9014966604681121</v>
      </c>
    </row>
    <row r="10" spans="1:44" s="578" customFormat="1">
      <c r="A10" s="584" t="s">
        <v>82</v>
      </c>
      <c r="B10" s="585">
        <v>499</v>
      </c>
      <c r="C10" s="585">
        <v>287</v>
      </c>
      <c r="D10" s="585">
        <v>83922</v>
      </c>
      <c r="E10" s="585">
        <v>56778.33</v>
      </c>
      <c r="F10" s="633">
        <f>VLOOKUP($A$5:$A$31,'Relatórios - SICCAU e IGEO'!$A$3:$H$29,8,)</f>
        <v>470</v>
      </c>
      <c r="G10" s="590">
        <v>226</v>
      </c>
      <c r="H10" s="590">
        <v>181</v>
      </c>
      <c r="I10" s="713">
        <f t="shared" si="3"/>
        <v>45</v>
      </c>
      <c r="J10" s="634">
        <f t="shared" si="4"/>
        <v>48.085106382978722</v>
      </c>
      <c r="K10" s="634">
        <f t="shared" si="0"/>
        <v>1.5437158469945356</v>
      </c>
      <c r="L10" s="635">
        <f>VLOOKUP($A$5:$A$31,JAN!$A$5:$E$31,4,)</f>
        <v>5424.0640000000003</v>
      </c>
      <c r="M10" s="635">
        <f>VLOOKUP($A$5:$A$31,JAN!$A$5:$E$31,5,)</f>
        <v>10186.048000000001</v>
      </c>
      <c r="N10" s="635">
        <f>VLOOKUP($A$5:$A$31,FEV!$A$5:$E$31,4,)</f>
        <v>3817.8080000000004</v>
      </c>
      <c r="O10" s="635">
        <f>VLOOKUP($A$5:$A$31,FEV!$A$5:$E$31,5,)</f>
        <v>11347.024000000001</v>
      </c>
      <c r="P10" s="635">
        <f>VLOOKUP($A$5:$A$31,MAR!$A$5:$U$31,4,)</f>
        <v>2607.2000000000003</v>
      </c>
      <c r="Q10" s="635">
        <f>VLOOKUP($A$5:$A$31,MAR!$A$5:$V$31,5,)</f>
        <v>10533.128000000001</v>
      </c>
      <c r="R10" s="591">
        <f>VLOOKUP($A$5:$A$31,ABR!$A$5:$D$31,4,)</f>
        <v>963.75200000000007</v>
      </c>
      <c r="S10" s="591">
        <f>VLOOKUP($A$5:$A$31,ABR!$A$5:$E$31,5,)</f>
        <v>3322.4160000000006</v>
      </c>
      <c r="T10" s="591">
        <f>VLOOKUP($A$5:$A$31,MAI!$A$5:$E$31,4,)</f>
        <v>2852.36</v>
      </c>
      <c r="U10" s="591">
        <f>VLOOKUP($A$5:$A$31,MAI!$A$5:$E$31,5,)</f>
        <v>5126.2400000000007</v>
      </c>
      <c r="V10" s="591">
        <f>VLOOKUP($A$5:$A$31,JUN!$A$5:$E$31,4,)</f>
        <v>1824.3440000000001</v>
      </c>
      <c r="W10" s="591">
        <f>VLOOKUP($A$5:$A$31,JUN!$A$5:$E$31,5,)</f>
        <v>3408.8399999999997</v>
      </c>
      <c r="X10" s="591">
        <f>VLOOKUP($A$5:$A$31,JUL!$A$5:$E$31,4,)</f>
        <v>4761.8239999999996</v>
      </c>
      <c r="Y10" s="591">
        <f>VLOOKUP($A$5:$A$31,JUL!$A$5:$E$31,5,)</f>
        <v>5578.5680000000002</v>
      </c>
      <c r="Z10" s="592">
        <f>VLOOKUP($A$5:$A$31,AGO!$A$5:$E$31,4,)</f>
        <v>12949.304</v>
      </c>
      <c r="AA10" s="592">
        <f>VLOOKUP($A$5:$A$31,AGO!$A$5:$E$31,5,)</f>
        <v>4652.2000000000016</v>
      </c>
      <c r="AB10" s="592">
        <f>VLOOKUP($A$5:$A$31,SET!$A$5:$E$31,4,)</f>
        <v>4082.5120000000006</v>
      </c>
      <c r="AC10" s="592">
        <f>VLOOKUP($A$5:$A$31,SET!$A$5:$E$31,5,)</f>
        <v>2203.4479999999999</v>
      </c>
      <c r="AD10" s="592">
        <f>VLOOKUP($A$5:$A$31,OUT!$A$5:$E$31,4,)</f>
        <v>0</v>
      </c>
      <c r="AE10" s="592">
        <f>VLOOKUP($A$5:$A$31,OUT!$A$5:$E$31,5,)</f>
        <v>0</v>
      </c>
      <c r="AF10" s="592">
        <f>VLOOKUP($A$5:$A$31,NOV!$A$5:$E$31,4,)</f>
        <v>0</v>
      </c>
      <c r="AG10" s="592">
        <f>VLOOKUP($A$5:$A$31,NOV!$A$5:$E$31,5,)</f>
        <v>0</v>
      </c>
      <c r="AH10" s="592">
        <f>VLOOKUP($A$5:$A$31,DEZ!$A$5:$E$31,4,)</f>
        <v>0</v>
      </c>
      <c r="AI10" s="592">
        <f>VLOOKUP($A$5:$A$31,DEZ!$A$5:$E$31,5,)</f>
        <v>0</v>
      </c>
      <c r="AJ10" s="593">
        <f t="shared" si="5"/>
        <v>95641.079999999987</v>
      </c>
      <c r="AK10" s="636">
        <f t="shared" si="1"/>
        <v>67.975021806985083</v>
      </c>
      <c r="AL10" s="594">
        <f t="shared" si="2"/>
        <v>1.529675687513683</v>
      </c>
      <c r="AM10" s="597"/>
      <c r="AN10" s="637">
        <f t="shared" si="6"/>
        <v>39283.168000000005</v>
      </c>
      <c r="AO10" s="637">
        <f t="shared" si="7"/>
        <v>56357.911999999997</v>
      </c>
      <c r="AP10" s="596">
        <f t="shared" si="8"/>
        <v>0.4680914182216821</v>
      </c>
      <c r="AQ10" s="596">
        <f t="shared" si="9"/>
        <v>0.99259544970766123</v>
      </c>
      <c r="AR10" s="638">
        <f>'Comparativo YoY'!GD41</f>
        <v>-8.0162662285908937</v>
      </c>
    </row>
    <row r="11" spans="1:44" s="578" customFormat="1">
      <c r="A11" s="584" t="s">
        <v>83</v>
      </c>
      <c r="B11" s="585">
        <v>924</v>
      </c>
      <c r="C11" s="585">
        <v>459</v>
      </c>
      <c r="D11" s="585">
        <v>117069.78</v>
      </c>
      <c r="E11" s="585">
        <v>65835.459999999992</v>
      </c>
      <c r="F11" s="633">
        <f>VLOOKUP($A$5:$A$31,'Relatórios - SICCAU e IGEO'!$A$3:$H$29,8,)</f>
        <v>833</v>
      </c>
      <c r="G11" s="590">
        <v>379</v>
      </c>
      <c r="H11" s="590">
        <v>308</v>
      </c>
      <c r="I11" s="713">
        <f t="shared" si="3"/>
        <v>71</v>
      </c>
      <c r="J11" s="634">
        <f t="shared" si="4"/>
        <v>45.498199279711891</v>
      </c>
      <c r="K11" s="634">
        <f t="shared" si="0"/>
        <v>2.5887978142076502</v>
      </c>
      <c r="L11" s="635">
        <f>VLOOKUP($A$5:$A$31,JAN!$A$5:$E$31,4,)</f>
        <v>6695.5520000000006</v>
      </c>
      <c r="M11" s="635">
        <f>VLOOKUP($A$5:$A$31,JAN!$A$5:$E$31,5,)</f>
        <v>4898.4159999999993</v>
      </c>
      <c r="N11" s="635">
        <f>VLOOKUP($A$5:$A$31,FEV!$A$5:$E$31,4,)</f>
        <v>8834.4080000000013</v>
      </c>
      <c r="O11" s="635">
        <f>VLOOKUP($A$5:$A$31,FEV!$A$5:$E$31,5,)</f>
        <v>4019.7280000000001</v>
      </c>
      <c r="P11" s="635">
        <f>VLOOKUP($A$5:$A$31,MAR!$A$5:$U$31,4,)</f>
        <v>4580.3599999999997</v>
      </c>
      <c r="Q11" s="635">
        <f>VLOOKUP($A$5:$A$31,MAR!$A$5:$V$31,5,)</f>
        <v>3325.056</v>
      </c>
      <c r="R11" s="591">
        <f>VLOOKUP($A$5:$A$31,ABR!$A$5:$D$31,4,)</f>
        <v>2867.56</v>
      </c>
      <c r="S11" s="591">
        <f>VLOOKUP($A$5:$A$31,ABR!$A$5:$E$31,5,)</f>
        <v>3417.1040000000003</v>
      </c>
      <c r="T11" s="591">
        <f>VLOOKUP($A$5:$A$31,MAI!$A$5:$E$31,4,)</f>
        <v>2974.1040000000003</v>
      </c>
      <c r="U11" s="591">
        <f>VLOOKUP($A$5:$A$31,MAI!$A$5:$E$31,5,)</f>
        <v>17085.472000000002</v>
      </c>
      <c r="V11" s="591">
        <f>VLOOKUP($A$5:$A$31,JUN!$A$5:$E$31,4,)</f>
        <v>2974.92</v>
      </c>
      <c r="W11" s="591">
        <f>VLOOKUP($A$5:$A$31,JUN!$A$5:$E$31,5,)</f>
        <v>4249.9600000000009</v>
      </c>
      <c r="X11" s="591">
        <f>VLOOKUP($A$5:$A$31,JUL!$A$5:$E$31,4,)</f>
        <v>5902.5280000000002</v>
      </c>
      <c r="Y11" s="591">
        <f>VLOOKUP($A$5:$A$31,JUL!$A$5:$E$31,5,)</f>
        <v>2792.2640000000001</v>
      </c>
      <c r="Z11" s="592">
        <f>VLOOKUP($A$5:$A$31,AGO!$A$5:$E$31,4,)</f>
        <v>22826.896000000001</v>
      </c>
      <c r="AA11" s="592">
        <f>VLOOKUP($A$5:$A$31,AGO!$A$5:$E$31,5,)</f>
        <v>4580.0959999999995</v>
      </c>
      <c r="AB11" s="592">
        <f>VLOOKUP($A$5:$A$31,SET!$A$5:$E$31,4,)</f>
        <v>10434.92</v>
      </c>
      <c r="AC11" s="592">
        <f>VLOOKUP($A$5:$A$31,SET!$A$5:$E$31,5,)</f>
        <v>5038.0720000000019</v>
      </c>
      <c r="AD11" s="592">
        <f>VLOOKUP($A$5:$A$31,OUT!$A$5:$E$31,4,)</f>
        <v>0</v>
      </c>
      <c r="AE11" s="592">
        <f>VLOOKUP($A$5:$A$31,OUT!$A$5:$E$31,5,)</f>
        <v>0</v>
      </c>
      <c r="AF11" s="592">
        <f>VLOOKUP($A$5:$A$31,NOV!$A$5:$E$31,4,)</f>
        <v>0</v>
      </c>
      <c r="AG11" s="592">
        <f>VLOOKUP($A$5:$A$31,NOV!$A$5:$E$31,5,)</f>
        <v>0</v>
      </c>
      <c r="AH11" s="592">
        <f>VLOOKUP($A$5:$A$31,DEZ!$A$5:$E$31,4,)</f>
        <v>0</v>
      </c>
      <c r="AI11" s="592">
        <f>VLOOKUP($A$5:$A$31,DEZ!$A$5:$E$31,5,)</f>
        <v>0</v>
      </c>
      <c r="AJ11" s="593">
        <f t="shared" si="5"/>
        <v>117497.41600000001</v>
      </c>
      <c r="AK11" s="636">
        <f t="shared" si="1"/>
        <v>64.239502378390043</v>
      </c>
      <c r="AL11" s="594">
        <f t="shared" si="2"/>
        <v>1.8792441553449759</v>
      </c>
      <c r="AM11" s="597"/>
      <c r="AN11" s="637">
        <f t="shared" si="6"/>
        <v>68091.248000000007</v>
      </c>
      <c r="AO11" s="637">
        <f t="shared" si="7"/>
        <v>49406.168000000005</v>
      </c>
      <c r="AP11" s="596">
        <f t="shared" si="8"/>
        <v>0.58162958878029847</v>
      </c>
      <c r="AQ11" s="596">
        <f t="shared" si="9"/>
        <v>0.75044919561585821</v>
      </c>
      <c r="AR11" s="638">
        <f>'Comparativo YoY'!GD42</f>
        <v>-12.447586825864207</v>
      </c>
    </row>
    <row r="12" spans="1:44" s="578" customFormat="1">
      <c r="A12" s="584" t="s">
        <v>84</v>
      </c>
      <c r="B12" s="585">
        <v>484</v>
      </c>
      <c r="C12" s="585">
        <v>369</v>
      </c>
      <c r="D12" s="585">
        <v>99098.45</v>
      </c>
      <c r="E12" s="585">
        <v>20060.740000000002</v>
      </c>
      <c r="F12" s="633">
        <f>VLOOKUP($A$5:$A$31,'Relatórios - SICCAU e IGEO'!$A$3:$H$29,8,)</f>
        <v>493</v>
      </c>
      <c r="G12" s="590">
        <v>313</v>
      </c>
      <c r="H12" s="590">
        <v>254</v>
      </c>
      <c r="I12" s="713">
        <f t="shared" si="3"/>
        <v>59</v>
      </c>
      <c r="J12" s="634">
        <f t="shared" si="4"/>
        <v>63.488843813387419</v>
      </c>
      <c r="K12" s="634">
        <f t="shared" si="0"/>
        <v>2.1379781420765029</v>
      </c>
      <c r="L12" s="635">
        <f>VLOOKUP($A$5:$A$31,JAN!$A$5:$E$31,4,)</f>
        <v>4260.7760000000007</v>
      </c>
      <c r="M12" s="635">
        <f>VLOOKUP($A$5:$A$31,JAN!$A$5:$E$31,5,)</f>
        <v>2837.6800000000003</v>
      </c>
      <c r="N12" s="635">
        <f>VLOOKUP($A$5:$A$31,FEV!$A$5:$E$31,4,)</f>
        <v>9363.6240000000016</v>
      </c>
      <c r="O12" s="635">
        <f>VLOOKUP($A$5:$A$31,FEV!$A$5:$E$31,5,)</f>
        <v>2749.1439999999989</v>
      </c>
      <c r="P12" s="635">
        <f>VLOOKUP($A$5:$A$31,MAR!$A$5:$U$31,4,)</f>
        <v>6242.4160000000011</v>
      </c>
      <c r="Q12" s="635">
        <f>VLOOKUP($A$5:$A$31,MAR!$A$5:$V$31,5,)</f>
        <v>5766.424</v>
      </c>
      <c r="R12" s="591">
        <f>VLOOKUP($A$5:$A$31,ABR!$A$5:$D$31,4,)</f>
        <v>2253.8080000000004</v>
      </c>
      <c r="S12" s="591">
        <f>VLOOKUP($A$5:$A$31,ABR!$A$5:$E$31,5,)</f>
        <v>3926.288</v>
      </c>
      <c r="T12" s="591">
        <f>VLOOKUP($A$5:$A$31,MAI!$A$5:$E$31,4,)</f>
        <v>1680.6480000000001</v>
      </c>
      <c r="U12" s="591">
        <f>VLOOKUP($A$5:$A$31,MAI!$A$5:$E$31,5,)</f>
        <v>1266.3920000000001</v>
      </c>
      <c r="V12" s="591">
        <f>VLOOKUP($A$5:$A$31,JUN!$A$5:$E$31,4,)</f>
        <v>2192.944</v>
      </c>
      <c r="W12" s="591">
        <f>VLOOKUP($A$5:$A$31,JUN!$A$5:$E$31,5,)</f>
        <v>3340.7680000000009</v>
      </c>
      <c r="X12" s="591">
        <f>VLOOKUP($A$5:$A$31,JUL!$A$5:$E$31,4,)</f>
        <v>5440.9440000000004</v>
      </c>
      <c r="Y12" s="591">
        <f>VLOOKUP($A$5:$A$31,JUL!$A$5:$E$31,5,)</f>
        <v>2738.2000000000003</v>
      </c>
      <c r="Z12" s="592">
        <f>VLOOKUP($A$5:$A$31,AGO!$A$5:$E$31,4,)</f>
        <v>18249.232</v>
      </c>
      <c r="AA12" s="592">
        <f>VLOOKUP($A$5:$A$31,AGO!$A$5:$E$31,5,)</f>
        <v>1700.3919999999985</v>
      </c>
      <c r="AB12" s="592">
        <f>VLOOKUP($A$5:$A$31,SET!$A$5:$E$31,4,)</f>
        <v>5577.3760000000002</v>
      </c>
      <c r="AC12" s="592">
        <f>VLOOKUP($A$5:$A$31,SET!$A$5:$E$31,5,)</f>
        <v>2398.96</v>
      </c>
      <c r="AD12" s="592">
        <f>VLOOKUP($A$5:$A$31,OUT!$A$5:$E$31,4,)</f>
        <v>0</v>
      </c>
      <c r="AE12" s="592">
        <f>VLOOKUP($A$5:$A$31,OUT!$A$5:$E$31,5,)</f>
        <v>0</v>
      </c>
      <c r="AF12" s="592">
        <f>VLOOKUP($A$5:$A$31,NOV!$A$5:$E$31,4,)</f>
        <v>0</v>
      </c>
      <c r="AG12" s="592">
        <f>VLOOKUP($A$5:$A$31,NOV!$A$5:$E$31,5,)</f>
        <v>0</v>
      </c>
      <c r="AH12" s="592">
        <f>VLOOKUP($A$5:$A$31,DEZ!$A$5:$E$31,4,)</f>
        <v>0</v>
      </c>
      <c r="AI12" s="592">
        <f>VLOOKUP($A$5:$A$31,DEZ!$A$5:$E$31,5,)</f>
        <v>0</v>
      </c>
      <c r="AJ12" s="593">
        <f t="shared" si="5"/>
        <v>81986.016000000018</v>
      </c>
      <c r="AK12" s="636">
        <f t="shared" si="1"/>
        <v>68.803770821201468</v>
      </c>
      <c r="AL12" s="594">
        <f t="shared" si="2"/>
        <v>1.3112776998263493</v>
      </c>
      <c r="AM12" s="597"/>
      <c r="AN12" s="637">
        <f t="shared" si="6"/>
        <v>55261.768000000011</v>
      </c>
      <c r="AO12" s="637">
        <f t="shared" si="7"/>
        <v>26724.248</v>
      </c>
      <c r="AP12" s="596">
        <f t="shared" si="8"/>
        <v>0.55764512966650859</v>
      </c>
      <c r="AQ12" s="596">
        <f t="shared" si="9"/>
        <v>1.3321666100054135</v>
      </c>
      <c r="AR12" s="638">
        <f>'Comparativo YoY'!GD43</f>
        <v>-2.3737423060142362</v>
      </c>
    </row>
    <row r="13" spans="1:44" s="578" customFormat="1">
      <c r="A13" s="584" t="s">
        <v>85</v>
      </c>
      <c r="B13" s="585">
        <v>811</v>
      </c>
      <c r="C13" s="585">
        <v>329</v>
      </c>
      <c r="D13" s="585">
        <v>80298.62</v>
      </c>
      <c r="E13" s="585">
        <v>111529.82</v>
      </c>
      <c r="F13" s="633">
        <f>VLOOKUP($A$5:$A$31,'Relatórios - SICCAU e IGEO'!$A$3:$H$29,8,)</f>
        <v>773</v>
      </c>
      <c r="G13" s="590">
        <v>301</v>
      </c>
      <c r="H13" s="590">
        <v>246</v>
      </c>
      <c r="I13" s="713">
        <f t="shared" si="3"/>
        <v>55</v>
      </c>
      <c r="J13" s="634">
        <f t="shared" si="4"/>
        <v>38.939197930142306</v>
      </c>
      <c r="K13" s="634">
        <f t="shared" si="0"/>
        <v>2.0560109289617485</v>
      </c>
      <c r="L13" s="635">
        <f>VLOOKUP($A$5:$A$31,JAN!$A$5:$E$31,4,)</f>
        <v>4981.0720000000001</v>
      </c>
      <c r="M13" s="635">
        <f>VLOOKUP($A$5:$A$31,JAN!$A$5:$E$31,5,)</f>
        <v>7602.4080000000004</v>
      </c>
      <c r="N13" s="635">
        <f>VLOOKUP($A$5:$A$31,FEV!$A$5:$E$31,4,)</f>
        <v>8991.64</v>
      </c>
      <c r="O13" s="635">
        <f>VLOOKUP($A$5:$A$31,FEV!$A$5:$E$31,5,)</f>
        <v>6025.7600000000011</v>
      </c>
      <c r="P13" s="635">
        <f>VLOOKUP($A$5:$A$31,MAR!$A$5:$U$31,4,)</f>
        <v>4145.7920000000004</v>
      </c>
      <c r="Q13" s="635">
        <f>VLOOKUP($A$5:$A$31,MAR!$A$5:$V$31,5,)</f>
        <v>10226.040000000001</v>
      </c>
      <c r="R13" s="591">
        <f>VLOOKUP($A$5:$A$31,ABR!$A$5:$D$31,4,)</f>
        <v>4380.8320000000003</v>
      </c>
      <c r="S13" s="591">
        <f>VLOOKUP($A$5:$A$31,ABR!$A$5:$E$31,5,)</f>
        <v>4824.1040000000003</v>
      </c>
      <c r="T13" s="591">
        <f>VLOOKUP($A$5:$A$31,MAI!$A$5:$E$31,4,)</f>
        <v>3055.2400000000002</v>
      </c>
      <c r="U13" s="591">
        <f>VLOOKUP($A$5:$A$31,MAI!$A$5:$E$31,5,)</f>
        <v>1677.5439999999999</v>
      </c>
      <c r="V13" s="591">
        <f>VLOOKUP($A$5:$A$31,JUN!$A$5:$E$31,4,)</f>
        <v>3335.9120000000003</v>
      </c>
      <c r="W13" s="591">
        <f>VLOOKUP($A$5:$A$31,JUN!$A$5:$E$31,5,)</f>
        <v>5580.6639999999998</v>
      </c>
      <c r="X13" s="591">
        <f>VLOOKUP($A$5:$A$31,JUL!$A$5:$E$31,4,)</f>
        <v>5713.1440000000002</v>
      </c>
      <c r="Y13" s="591">
        <f>VLOOKUP($A$5:$A$31,JUL!$A$5:$E$31,5,)</f>
        <v>3860.9759999999997</v>
      </c>
      <c r="Z13" s="592">
        <f>VLOOKUP($A$5:$A$31,AGO!$A$5:$E$31,4,)</f>
        <v>13932.608</v>
      </c>
      <c r="AA13" s="592">
        <f>VLOOKUP($A$5:$A$31,AGO!$A$5:$E$31,5,)</f>
        <v>3350.6560000000027</v>
      </c>
      <c r="AB13" s="592">
        <f>VLOOKUP($A$5:$A$31,SET!$A$5:$E$31,4,)</f>
        <v>6610.8960000000006</v>
      </c>
      <c r="AC13" s="592">
        <f>VLOOKUP($A$5:$A$31,SET!$A$5:$E$31,5,)</f>
        <v>4882.6879999999992</v>
      </c>
      <c r="AD13" s="592">
        <f>VLOOKUP($A$5:$A$31,OUT!$A$5:$E$31,4,)</f>
        <v>0</v>
      </c>
      <c r="AE13" s="592">
        <f>VLOOKUP($A$5:$A$31,OUT!$A$5:$E$31,5,)</f>
        <v>0</v>
      </c>
      <c r="AF13" s="592">
        <f>VLOOKUP($A$5:$A$31,NOV!$A$5:$E$31,4,)</f>
        <v>0</v>
      </c>
      <c r="AG13" s="592">
        <f>VLOOKUP($A$5:$A$31,NOV!$A$5:$E$31,5,)</f>
        <v>0</v>
      </c>
      <c r="AH13" s="592">
        <f>VLOOKUP($A$5:$A$31,DEZ!$A$5:$E$31,4,)</f>
        <v>0</v>
      </c>
      <c r="AI13" s="592">
        <f>VLOOKUP($A$5:$A$31,DEZ!$A$5:$E$31,5,)</f>
        <v>0</v>
      </c>
      <c r="AJ13" s="593">
        <f t="shared" si="5"/>
        <v>103177.976</v>
      </c>
      <c r="AK13" s="636">
        <f t="shared" si="1"/>
        <v>53.786589725694476</v>
      </c>
      <c r="AL13" s="594">
        <f t="shared" si="2"/>
        <v>1.6502201917216983</v>
      </c>
      <c r="AM13" s="597"/>
      <c r="AN13" s="637">
        <f t="shared" si="6"/>
        <v>55147.136000000006</v>
      </c>
      <c r="AO13" s="637">
        <f t="shared" si="7"/>
        <v>48030.840000000004</v>
      </c>
      <c r="AP13" s="596">
        <f t="shared" si="8"/>
        <v>0.68677563823637333</v>
      </c>
      <c r="AQ13" s="596">
        <f t="shared" si="9"/>
        <v>0.43065468948125263</v>
      </c>
      <c r="AR13" s="638">
        <f>'Comparativo YoY'!GD44</f>
        <v>-15.655046103907324</v>
      </c>
    </row>
    <row r="14" spans="1:44" s="578" customFormat="1">
      <c r="A14" s="584" t="s">
        <v>86</v>
      </c>
      <c r="B14" s="585">
        <v>340</v>
      </c>
      <c r="C14" s="585">
        <v>135</v>
      </c>
      <c r="D14" s="585">
        <v>40883.160000000003</v>
      </c>
      <c r="E14" s="585">
        <v>50933.57</v>
      </c>
      <c r="F14" s="633">
        <f>VLOOKUP($A$5:$A$31,'Relatórios - SICCAU e IGEO'!$A$3:$H$29,8,)</f>
        <v>329</v>
      </c>
      <c r="G14" s="590">
        <v>96</v>
      </c>
      <c r="H14" s="590">
        <v>76</v>
      </c>
      <c r="I14" s="713">
        <f t="shared" si="3"/>
        <v>20</v>
      </c>
      <c r="J14" s="634">
        <f t="shared" si="4"/>
        <v>29.179331306990878</v>
      </c>
      <c r="K14" s="634">
        <f t="shared" si="0"/>
        <v>0.65573770491803274</v>
      </c>
      <c r="L14" s="635">
        <f>VLOOKUP($A$5:$A$31,JAN!$A$5:$E$31,4,)</f>
        <v>2333.3040000000001</v>
      </c>
      <c r="M14" s="635">
        <f>VLOOKUP($A$5:$A$31,JAN!$A$5:$E$31,5,)</f>
        <v>1187.9279999999999</v>
      </c>
      <c r="N14" s="635">
        <f>VLOOKUP($A$5:$A$31,FEV!$A$5:$E$31,4,)</f>
        <v>3229.4240000000004</v>
      </c>
      <c r="O14" s="635">
        <f>VLOOKUP($A$5:$A$31,FEV!$A$5:$E$31,5,)</f>
        <v>2153.5439999999999</v>
      </c>
      <c r="P14" s="635">
        <f>VLOOKUP($A$5:$A$31,MAR!$A$5:$U$31,4,)</f>
        <v>1724.6080000000002</v>
      </c>
      <c r="Q14" s="635">
        <f>VLOOKUP($A$5:$A$31,MAR!$A$5:$V$31,5,)</f>
        <v>1578.44</v>
      </c>
      <c r="R14" s="591">
        <f>VLOOKUP($A$5:$A$31,ABR!$A$5:$D$31,4,)</f>
        <v>676.31200000000001</v>
      </c>
      <c r="S14" s="591">
        <f>VLOOKUP($A$5:$A$31,ABR!$A$5:$E$31,5,)</f>
        <v>283.84000000000003</v>
      </c>
      <c r="T14" s="591">
        <f>VLOOKUP($A$5:$A$31,MAI!$A$5:$E$31,4,)</f>
        <v>1073.6559999999999</v>
      </c>
      <c r="U14" s="591">
        <f>VLOOKUP($A$5:$A$31,MAI!$A$5:$E$31,5,)</f>
        <v>2534.92</v>
      </c>
      <c r="V14" s="591">
        <f>VLOOKUP($A$5:$A$31,JUN!$A$5:$E$31,4,)</f>
        <v>1635</v>
      </c>
      <c r="W14" s="591">
        <f>VLOOKUP($A$5:$A$31,JUN!$A$5:$E$31,5,)</f>
        <v>1708.7360000000001</v>
      </c>
      <c r="X14" s="591">
        <f>VLOOKUP($A$5:$A$31,JUL!$A$5:$E$31,4,)</f>
        <v>1680.6400000000003</v>
      </c>
      <c r="Y14" s="591">
        <f>VLOOKUP($A$5:$A$31,JUL!$A$5:$E$31,5,)</f>
        <v>683.43200000000002</v>
      </c>
      <c r="Z14" s="592">
        <f>VLOOKUP($A$5:$A$31,AGO!$A$5:$E$31,4,)</f>
        <v>3638.5519999999997</v>
      </c>
      <c r="AA14" s="592">
        <f>VLOOKUP($A$5:$A$31,AGO!$A$5:$E$31,5,)</f>
        <v>2291.2239999999997</v>
      </c>
      <c r="AB14" s="592">
        <f>VLOOKUP($A$5:$A$31,SET!$A$5:$E$31,4,)</f>
        <v>1743.616</v>
      </c>
      <c r="AC14" s="592">
        <f>VLOOKUP($A$5:$A$31,SET!$A$5:$E$31,5,)</f>
        <v>1217.0880000000002</v>
      </c>
      <c r="AD14" s="592">
        <f>VLOOKUP($A$5:$A$31,OUT!$A$5:$E$31,4,)</f>
        <v>0</v>
      </c>
      <c r="AE14" s="592">
        <f>VLOOKUP($A$5:$A$31,OUT!$A$5:$E$31,5,)</f>
        <v>0</v>
      </c>
      <c r="AF14" s="592">
        <f>VLOOKUP($A$5:$A$31,NOV!$A$5:$E$31,4,)</f>
        <v>0</v>
      </c>
      <c r="AG14" s="592">
        <f>VLOOKUP($A$5:$A$31,NOV!$A$5:$E$31,5,)</f>
        <v>0</v>
      </c>
      <c r="AH14" s="592">
        <f>VLOOKUP($A$5:$A$31,DEZ!$A$5:$E$31,4,)</f>
        <v>0</v>
      </c>
      <c r="AI14" s="592">
        <f>VLOOKUP($A$5:$A$31,DEZ!$A$5:$E$31,5,)</f>
        <v>0</v>
      </c>
      <c r="AJ14" s="593">
        <f t="shared" si="5"/>
        <v>31374.263999999999</v>
      </c>
      <c r="AK14" s="636">
        <f t="shared" si="1"/>
        <v>34.170530795422572</v>
      </c>
      <c r="AL14" s="594">
        <f t="shared" si="2"/>
        <v>0.50179743740279592</v>
      </c>
      <c r="AM14" s="597"/>
      <c r="AN14" s="637">
        <f t="shared" si="6"/>
        <v>17735.112000000001</v>
      </c>
      <c r="AO14" s="637">
        <f t="shared" si="7"/>
        <v>13639.152000000002</v>
      </c>
      <c r="AP14" s="596">
        <f t="shared" si="8"/>
        <v>0.43379993131646377</v>
      </c>
      <c r="AQ14" s="596">
        <f t="shared" si="9"/>
        <v>0.26778315362539878</v>
      </c>
      <c r="AR14" s="638">
        <f>'Comparativo YoY'!GD45</f>
        <v>-0.86266991540850313</v>
      </c>
    </row>
    <row r="15" spans="1:44" s="578" customFormat="1">
      <c r="A15" s="584" t="s">
        <v>89</v>
      </c>
      <c r="B15" s="585">
        <v>2127</v>
      </c>
      <c r="C15" s="585">
        <v>1408</v>
      </c>
      <c r="D15" s="585">
        <v>366538.9</v>
      </c>
      <c r="E15" s="585">
        <v>109991.88</v>
      </c>
      <c r="F15" s="633">
        <f>VLOOKUP($A$5:$A$31,'Relatórios - SICCAU e IGEO'!$A$3:$H$29,8,)</f>
        <v>2035</v>
      </c>
      <c r="G15" s="590">
        <v>1071</v>
      </c>
      <c r="H15" s="590">
        <v>893</v>
      </c>
      <c r="I15" s="713">
        <f t="shared" si="3"/>
        <v>178</v>
      </c>
      <c r="J15" s="634">
        <f t="shared" si="4"/>
        <v>52.628992628992634</v>
      </c>
      <c r="K15" s="634">
        <f t="shared" si="0"/>
        <v>7.3155737704918042</v>
      </c>
      <c r="L15" s="635">
        <f>VLOOKUP($A$5:$A$31,JAN!$A$5:$E$31,4,)</f>
        <v>25196.232000000004</v>
      </c>
      <c r="M15" s="635">
        <f>VLOOKUP($A$5:$A$31,JAN!$A$5:$E$31,5,)</f>
        <v>15688.647999999999</v>
      </c>
      <c r="N15" s="635">
        <f>VLOOKUP($A$5:$A$31,FEV!$A$5:$E$31,4,)</f>
        <v>21225.335999999999</v>
      </c>
      <c r="O15" s="635">
        <f>VLOOKUP($A$5:$A$31,FEV!$A$5:$E$31,5,)</f>
        <v>26778.776000000002</v>
      </c>
      <c r="P15" s="635">
        <f>VLOOKUP($A$5:$A$31,MAR!$A$5:$U$31,4,)</f>
        <v>14554.6</v>
      </c>
      <c r="Q15" s="635">
        <f>VLOOKUP($A$5:$A$31,MAR!$A$5:$V$31,5,)</f>
        <v>24738.736000000001</v>
      </c>
      <c r="R15" s="591">
        <f>VLOOKUP($A$5:$A$31,ABR!$A$5:$D$31,4,)</f>
        <v>6416.4800000000005</v>
      </c>
      <c r="S15" s="591">
        <f>VLOOKUP($A$5:$A$31,ABR!$A$5:$E$31,5,)</f>
        <v>17481.655999999999</v>
      </c>
      <c r="T15" s="591">
        <f>VLOOKUP($A$5:$A$31,MAI!$A$5:$E$31,4,)</f>
        <v>6900.1039999999994</v>
      </c>
      <c r="U15" s="591">
        <f>VLOOKUP($A$5:$A$31,MAI!$A$5:$E$31,5,)</f>
        <v>16732.816000000003</v>
      </c>
      <c r="V15" s="591">
        <f>VLOOKUP($A$5:$A$31,JUN!$A$5:$E$31,4,)</f>
        <v>9902.6080000000002</v>
      </c>
      <c r="W15" s="591">
        <f>VLOOKUP($A$5:$A$31,JUN!$A$5:$E$31,5,)</f>
        <v>19942.152000000002</v>
      </c>
      <c r="X15" s="591">
        <f>VLOOKUP($A$5:$A$31,JUL!$A$5:$E$31,4,)</f>
        <v>20318.760000000002</v>
      </c>
      <c r="Y15" s="591">
        <f>VLOOKUP($A$5:$A$31,JUL!$A$5:$E$31,5,)</f>
        <v>19959.04</v>
      </c>
      <c r="Z15" s="592">
        <f>VLOOKUP($A$5:$A$31,AGO!$A$5:$E$31,4,)</f>
        <v>60329.864000000001</v>
      </c>
      <c r="AA15" s="592">
        <f>VLOOKUP($A$5:$A$31,AGO!$A$5:$E$31,5,)</f>
        <v>21787.335999999999</v>
      </c>
      <c r="AB15" s="592">
        <f>VLOOKUP($A$5:$A$31,SET!$A$5:$E$31,4,)</f>
        <v>21143.504000000001</v>
      </c>
      <c r="AC15" s="592">
        <f>VLOOKUP($A$5:$A$31,SET!$A$5:$E$31,5,)</f>
        <v>12731.887999999999</v>
      </c>
      <c r="AD15" s="592">
        <f>VLOOKUP($A$5:$A$31,OUT!$A$5:$E$31,4,)</f>
        <v>0</v>
      </c>
      <c r="AE15" s="592">
        <f>VLOOKUP($A$5:$A$31,OUT!$A$5:$E$31,5,)</f>
        <v>0</v>
      </c>
      <c r="AF15" s="592">
        <f>VLOOKUP($A$5:$A$31,NOV!$A$5:$E$31,4,)</f>
        <v>0</v>
      </c>
      <c r="AG15" s="592">
        <f>VLOOKUP($A$5:$A$31,NOV!$A$5:$E$31,5,)</f>
        <v>0</v>
      </c>
      <c r="AH15" s="592">
        <f>VLOOKUP($A$5:$A$31,DEZ!$A$5:$E$31,4,)</f>
        <v>0</v>
      </c>
      <c r="AI15" s="592">
        <f>VLOOKUP($A$5:$A$31,DEZ!$A$5:$E$31,5,)</f>
        <v>0</v>
      </c>
      <c r="AJ15" s="593">
        <f t="shared" si="5"/>
        <v>361828.53600000002</v>
      </c>
      <c r="AK15" s="636">
        <f t="shared" si="1"/>
        <v>75.929730289405441</v>
      </c>
      <c r="AL15" s="594">
        <f t="shared" si="2"/>
        <v>5.7870563001575208</v>
      </c>
      <c r="AM15" s="597"/>
      <c r="AN15" s="637">
        <f t="shared" si="6"/>
        <v>185987.48800000001</v>
      </c>
      <c r="AO15" s="637">
        <f t="shared" si="7"/>
        <v>175841.04800000004</v>
      </c>
      <c r="AP15" s="596">
        <f t="shared" si="8"/>
        <v>0.5074154148440998</v>
      </c>
      <c r="AQ15" s="596">
        <f t="shared" si="9"/>
        <v>1.5986729929518437</v>
      </c>
      <c r="AR15" s="638">
        <f>'Comparativo YoY'!GD46</f>
        <v>-8.0006362031459162</v>
      </c>
    </row>
    <row r="16" spans="1:44" s="578" customFormat="1">
      <c r="A16" s="584" t="s">
        <v>88</v>
      </c>
      <c r="B16" s="585">
        <v>686</v>
      </c>
      <c r="C16" s="585">
        <v>331</v>
      </c>
      <c r="D16" s="585">
        <v>87773.540000000008</v>
      </c>
      <c r="E16" s="585">
        <v>64930.83</v>
      </c>
      <c r="F16" s="633">
        <f>VLOOKUP($A$5:$A$31,'Relatórios - SICCAU e IGEO'!$A$3:$H$29,8,)</f>
        <v>698</v>
      </c>
      <c r="G16" s="590">
        <v>232</v>
      </c>
      <c r="H16" s="590">
        <v>183</v>
      </c>
      <c r="I16" s="713">
        <f t="shared" si="3"/>
        <v>49</v>
      </c>
      <c r="J16" s="634">
        <f t="shared" si="4"/>
        <v>33.237822349570202</v>
      </c>
      <c r="K16" s="634">
        <f t="shared" si="0"/>
        <v>1.5846994535519126</v>
      </c>
      <c r="L16" s="635">
        <f>VLOOKUP($A$5:$A$31,JAN!$A$5:$E$31,4,)</f>
        <v>3286.8960000000002</v>
      </c>
      <c r="M16" s="635">
        <f>VLOOKUP($A$5:$A$31,JAN!$A$5:$E$31,5,)</f>
        <v>5973.1440000000002</v>
      </c>
      <c r="N16" s="635">
        <f>VLOOKUP($A$5:$A$31,FEV!$A$5:$E$31,4,)</f>
        <v>4857.6400000000003</v>
      </c>
      <c r="O16" s="635">
        <f>VLOOKUP($A$5:$A$31,FEV!$A$5:$E$31,5,)</f>
        <v>5558.68</v>
      </c>
      <c r="P16" s="635">
        <f>VLOOKUP($A$5:$A$31,MAR!$A$5:$U$31,4,)</f>
        <v>2732.3040000000001</v>
      </c>
      <c r="Q16" s="635">
        <f>VLOOKUP($A$5:$A$31,MAR!$A$5:$V$31,5,)</f>
        <v>2647.9279999999999</v>
      </c>
      <c r="R16" s="591">
        <f>VLOOKUP($A$5:$A$31,ABR!$A$5:$D$31,4,)</f>
        <v>2475.3200000000002</v>
      </c>
      <c r="S16" s="591">
        <f>VLOOKUP($A$5:$A$31,ABR!$A$5:$E$31,5,)</f>
        <v>9229.344000000001</v>
      </c>
      <c r="T16" s="591">
        <f>VLOOKUP($A$5:$A$31,MAI!$A$5:$E$31,4,)</f>
        <v>1215.68</v>
      </c>
      <c r="U16" s="591">
        <f>VLOOKUP($A$5:$A$31,MAI!$A$5:$E$31,5,)</f>
        <v>4961.7360000000008</v>
      </c>
      <c r="V16" s="591">
        <f>VLOOKUP($A$5:$A$31,JUN!$A$5:$E$31,4,)</f>
        <v>3802.5680000000002</v>
      </c>
      <c r="W16" s="591">
        <f>VLOOKUP($A$5:$A$31,JUN!$A$5:$E$31,5,)</f>
        <v>9111.3040000000019</v>
      </c>
      <c r="X16" s="591">
        <f>VLOOKUP($A$5:$A$31,JUL!$A$5:$E$31,4,)</f>
        <v>4047.72</v>
      </c>
      <c r="Y16" s="591">
        <f>VLOOKUP($A$5:$A$31,JUL!$A$5:$E$31,5,)</f>
        <v>5051.800000000002</v>
      </c>
      <c r="Z16" s="592">
        <f>VLOOKUP($A$5:$A$31,AGO!$A$5:$E$31,4,)</f>
        <v>9888.5440000000017</v>
      </c>
      <c r="AA16" s="592">
        <f>VLOOKUP($A$5:$A$31,AGO!$A$5:$E$31,5,)</f>
        <v>3818.0880000000006</v>
      </c>
      <c r="AB16" s="592">
        <f>VLOOKUP($A$5:$A$31,SET!$A$5:$E$31,4,)</f>
        <v>8090.3520000000008</v>
      </c>
      <c r="AC16" s="592">
        <f>VLOOKUP($A$5:$A$31,SET!$A$5:$E$31,5,)</f>
        <v>9450.9760000000006</v>
      </c>
      <c r="AD16" s="592">
        <f>VLOOKUP($A$5:$A$31,OUT!$A$5:$E$31,4,)</f>
        <v>0</v>
      </c>
      <c r="AE16" s="592">
        <f>VLOOKUP($A$5:$A$31,OUT!$A$5:$E$31,5,)</f>
        <v>0</v>
      </c>
      <c r="AF16" s="592">
        <f>VLOOKUP($A$5:$A$31,NOV!$A$5:$E$31,4,)</f>
        <v>0</v>
      </c>
      <c r="AG16" s="592">
        <f>VLOOKUP($A$5:$A$31,NOV!$A$5:$E$31,5,)</f>
        <v>0</v>
      </c>
      <c r="AH16" s="592">
        <f>VLOOKUP($A$5:$A$31,DEZ!$A$5:$E$31,4,)</f>
        <v>0</v>
      </c>
      <c r="AI16" s="592">
        <f>VLOOKUP($A$5:$A$31,DEZ!$A$5:$E$31,5,)</f>
        <v>0</v>
      </c>
      <c r="AJ16" s="593">
        <f t="shared" si="5"/>
        <v>96200.024000000005</v>
      </c>
      <c r="AK16" s="636">
        <f t="shared" si="1"/>
        <v>62.997557961176888</v>
      </c>
      <c r="AL16" s="594">
        <f t="shared" si="2"/>
        <v>1.5386153925806028</v>
      </c>
      <c r="AM16" s="597"/>
      <c r="AN16" s="637">
        <f t="shared" si="6"/>
        <v>40397.024000000005</v>
      </c>
      <c r="AO16" s="637">
        <f t="shared" si="7"/>
        <v>55803.000000000015</v>
      </c>
      <c r="AP16" s="596">
        <f t="shared" si="8"/>
        <v>0.46024148051907215</v>
      </c>
      <c r="AQ16" s="596">
        <f t="shared" si="9"/>
        <v>0.8594222498002877</v>
      </c>
      <c r="AR16" s="638">
        <f>'Comparativo YoY'!GD47</f>
        <v>-22.759810189357452</v>
      </c>
    </row>
    <row r="17" spans="1:47" s="578" customFormat="1">
      <c r="A17" s="584" t="s">
        <v>87</v>
      </c>
      <c r="B17" s="585">
        <v>756</v>
      </c>
      <c r="C17" s="585">
        <v>370</v>
      </c>
      <c r="D17" s="585">
        <v>102373.44</v>
      </c>
      <c r="E17" s="585">
        <v>58593.32</v>
      </c>
      <c r="F17" s="633">
        <f>VLOOKUP($A$5:$A$31,'Relatórios - SICCAU e IGEO'!$A$3:$H$29,8,)</f>
        <v>710</v>
      </c>
      <c r="G17" s="590">
        <v>307</v>
      </c>
      <c r="H17" s="590">
        <v>232</v>
      </c>
      <c r="I17" s="713">
        <f t="shared" si="3"/>
        <v>75</v>
      </c>
      <c r="J17" s="634">
        <f t="shared" si="4"/>
        <v>43.239436619718305</v>
      </c>
      <c r="K17" s="634">
        <f t="shared" si="0"/>
        <v>2.0969945355191255</v>
      </c>
      <c r="L17" s="635">
        <f>VLOOKUP($A$5:$A$31,JAN!$A$5:$E$31,4,)</f>
        <v>4037.6239999999998</v>
      </c>
      <c r="M17" s="635">
        <f>VLOOKUP($A$5:$A$31,JAN!$A$5:$E$31,5,)</f>
        <v>5388.68</v>
      </c>
      <c r="N17" s="635">
        <f>VLOOKUP($A$5:$A$31,FEV!$A$5:$E$31,4,)</f>
        <v>5579.5839999999998</v>
      </c>
      <c r="O17" s="635">
        <f>VLOOKUP($A$5:$A$31,FEV!$A$5:$E$31,5,)</f>
        <v>5913.44</v>
      </c>
      <c r="P17" s="635">
        <f>VLOOKUP($A$5:$A$31,MAR!$A$5:$U$31,4,)</f>
        <v>3964.9040000000005</v>
      </c>
      <c r="Q17" s="635">
        <f>VLOOKUP($A$5:$A$31,MAR!$A$5:$V$31,5,)</f>
        <v>3148.9680000000003</v>
      </c>
      <c r="R17" s="591">
        <f>VLOOKUP($A$5:$A$31,ABR!$A$5:$D$31,4,)</f>
        <v>2723.848</v>
      </c>
      <c r="S17" s="591">
        <f>VLOOKUP($A$5:$A$31,ABR!$A$5:$E$31,5,)</f>
        <v>6540.2720000000008</v>
      </c>
      <c r="T17" s="591">
        <f>VLOOKUP($A$5:$A$31,MAI!$A$5:$E$31,4,)</f>
        <v>2360.328</v>
      </c>
      <c r="U17" s="591">
        <f>VLOOKUP($A$5:$A$31,MAI!$A$5:$E$31,5,)</f>
        <v>2813.6960000000004</v>
      </c>
      <c r="V17" s="591">
        <f>VLOOKUP($A$5:$A$31,JUN!$A$5:$E$31,4,)</f>
        <v>2926.7520000000004</v>
      </c>
      <c r="W17" s="591">
        <f>VLOOKUP($A$5:$A$31,JUN!$A$5:$E$31,5,)</f>
        <v>1567.8640000000005</v>
      </c>
      <c r="X17" s="591">
        <f>VLOOKUP($A$5:$A$31,JUL!$A$5:$E$31,4,)</f>
        <v>3967.1440000000002</v>
      </c>
      <c r="Y17" s="591">
        <f>VLOOKUP($A$5:$A$31,JUL!$A$5:$E$31,5,)</f>
        <v>2140.12</v>
      </c>
      <c r="Z17" s="592">
        <f>VLOOKUP($A$5:$A$31,AGO!$A$5:$E$31,4,)</f>
        <v>20357.296000000002</v>
      </c>
      <c r="AA17" s="592">
        <f>VLOOKUP($A$5:$A$31,AGO!$A$5:$E$31,5,)</f>
        <v>2055.0240000000022</v>
      </c>
      <c r="AB17" s="592">
        <f>VLOOKUP($A$5:$A$31,SET!$A$5:$E$31,4,)</f>
        <v>17485.760000000002</v>
      </c>
      <c r="AC17" s="592">
        <f>VLOOKUP($A$5:$A$31,SET!$A$5:$E$31,5,)</f>
        <v>1725.6159999999975</v>
      </c>
      <c r="AD17" s="592">
        <f>VLOOKUP($A$5:$A$31,OUT!$A$5:$E$31,4,)</f>
        <v>0</v>
      </c>
      <c r="AE17" s="592">
        <f>VLOOKUP($A$5:$A$31,OUT!$A$5:$E$31,5,)</f>
        <v>0</v>
      </c>
      <c r="AF17" s="592">
        <f>VLOOKUP($A$5:$A$31,NOV!$A$5:$E$31,4,)</f>
        <v>0</v>
      </c>
      <c r="AG17" s="592">
        <f>VLOOKUP($A$5:$A$31,NOV!$A$5:$E$31,5,)</f>
        <v>0</v>
      </c>
      <c r="AH17" s="592">
        <f>VLOOKUP($A$5:$A$31,DEZ!$A$5:$E$31,4,)</f>
        <v>0</v>
      </c>
      <c r="AI17" s="592">
        <f>VLOOKUP($A$5:$A$31,DEZ!$A$5:$E$31,5,)</f>
        <v>0</v>
      </c>
      <c r="AJ17" s="593">
        <f t="shared" si="5"/>
        <v>94696.92</v>
      </c>
      <c r="AK17" s="636">
        <f t="shared" si="1"/>
        <v>58.830108775252718</v>
      </c>
      <c r="AL17" s="594">
        <f t="shared" si="2"/>
        <v>1.5145748689415495</v>
      </c>
      <c r="AM17" s="597"/>
      <c r="AN17" s="637">
        <f t="shared" si="6"/>
        <v>63403.240000000005</v>
      </c>
      <c r="AO17" s="637">
        <f t="shared" si="7"/>
        <v>31293.68</v>
      </c>
      <c r="AP17" s="596">
        <f t="shared" si="8"/>
        <v>0.61933290509725969</v>
      </c>
      <c r="AQ17" s="596">
        <f t="shared" si="9"/>
        <v>0.534082724788423</v>
      </c>
      <c r="AR17" s="638">
        <f>'Comparativo YoY'!GD48</f>
        <v>3.3455383369398248</v>
      </c>
    </row>
    <row r="18" spans="1:47" s="578" customFormat="1">
      <c r="A18" s="584" t="s">
        <v>90</v>
      </c>
      <c r="B18" s="585">
        <v>513</v>
      </c>
      <c r="C18" s="585">
        <v>186</v>
      </c>
      <c r="D18" s="585">
        <v>50489.86</v>
      </c>
      <c r="E18" s="585">
        <v>38300.33</v>
      </c>
      <c r="F18" s="633">
        <f>VLOOKUP($A$5:$A$31,'Relatórios - SICCAU e IGEO'!$A$3:$H$29,8,)</f>
        <v>488</v>
      </c>
      <c r="G18" s="590">
        <v>150</v>
      </c>
      <c r="H18" s="590">
        <v>114</v>
      </c>
      <c r="I18" s="713">
        <f t="shared" si="3"/>
        <v>36</v>
      </c>
      <c r="J18" s="634">
        <f t="shared" si="4"/>
        <v>30.737704918032787</v>
      </c>
      <c r="K18" s="634">
        <f t="shared" si="0"/>
        <v>1.0245901639344261</v>
      </c>
      <c r="L18" s="635">
        <f>VLOOKUP($A$5:$A$31,JAN!$A$5:$E$31,4,)</f>
        <v>1405.048</v>
      </c>
      <c r="M18" s="635">
        <f>VLOOKUP($A$5:$A$31,JAN!$A$5:$E$31,5,)</f>
        <v>1310.6240000000003</v>
      </c>
      <c r="N18" s="635">
        <f>VLOOKUP($A$5:$A$31,FEV!$A$5:$E$31,4,)</f>
        <v>3922.36</v>
      </c>
      <c r="O18" s="635">
        <f>VLOOKUP($A$5:$A$31,FEV!$A$5:$E$31,5,)</f>
        <v>2245.7919999999999</v>
      </c>
      <c r="P18" s="635">
        <f>VLOOKUP($A$5:$A$31,MAR!$A$5:$U$31,4,)</f>
        <v>2289.3200000000002</v>
      </c>
      <c r="Q18" s="635">
        <f>VLOOKUP($A$5:$A$31,MAR!$A$5:$V$31,5,)</f>
        <v>2591.4960000000001</v>
      </c>
      <c r="R18" s="591">
        <f>VLOOKUP($A$5:$A$31,ABR!$A$5:$D$31,4,)</f>
        <v>2294.4</v>
      </c>
      <c r="S18" s="591">
        <f>VLOOKUP($A$5:$A$31,ABR!$A$5:$E$31,5,)</f>
        <v>2613.4639999999999</v>
      </c>
      <c r="T18" s="591">
        <f>VLOOKUP($A$5:$A$31,MAI!$A$5:$E$31,4,)</f>
        <v>1816.4720000000002</v>
      </c>
      <c r="U18" s="591">
        <f>VLOOKUP($A$5:$A$31,MAI!$A$5:$E$31,5,)</f>
        <v>1918.8560000000002</v>
      </c>
      <c r="V18" s="591">
        <f>VLOOKUP($A$5:$A$31,JUN!$A$5:$E$31,4,)</f>
        <v>1555.5200000000002</v>
      </c>
      <c r="W18" s="591">
        <f>VLOOKUP($A$5:$A$31,JUN!$A$5:$E$31,5,)</f>
        <v>2517.2800000000002</v>
      </c>
      <c r="X18" s="591">
        <f>VLOOKUP($A$5:$A$31,JUL!$A$5:$E$31,4,)</f>
        <v>2485.4639999999999</v>
      </c>
      <c r="Y18" s="591">
        <f>VLOOKUP($A$5:$A$31,JUL!$A$5:$E$31,5,)</f>
        <v>1962.2480000000005</v>
      </c>
      <c r="Z18" s="592">
        <f>VLOOKUP($A$5:$A$31,AGO!$A$5:$E$31,4,)</f>
        <v>8250.32</v>
      </c>
      <c r="AA18" s="592">
        <f>VLOOKUP($A$5:$A$31,AGO!$A$5:$E$31,5,)</f>
        <v>1943.8240000000005</v>
      </c>
      <c r="AB18" s="592">
        <f>VLOOKUP($A$5:$A$31,SET!$A$5:$E$31,4,)</f>
        <v>5228.1760000000004</v>
      </c>
      <c r="AC18" s="592">
        <f>VLOOKUP($A$5:$A$31,SET!$A$5:$E$31,5,)</f>
        <v>743.00799999999947</v>
      </c>
      <c r="AD18" s="592">
        <f>VLOOKUP($A$5:$A$31,OUT!$A$5:$E$31,4,)</f>
        <v>0</v>
      </c>
      <c r="AE18" s="592">
        <f>VLOOKUP($A$5:$A$31,OUT!$A$5:$E$31,5,)</f>
        <v>0</v>
      </c>
      <c r="AF18" s="592">
        <f>VLOOKUP($A$5:$A$31,NOV!$A$5:$E$31,4,)</f>
        <v>0</v>
      </c>
      <c r="AG18" s="592">
        <f>VLOOKUP($A$5:$A$31,NOV!$A$5:$E$31,5,)</f>
        <v>0</v>
      </c>
      <c r="AH18" s="592">
        <f>VLOOKUP($A$5:$A$31,DEZ!$A$5:$E$31,4,)</f>
        <v>0</v>
      </c>
      <c r="AI18" s="592">
        <f>VLOOKUP($A$5:$A$31,DEZ!$A$5:$E$31,5,)</f>
        <v>0</v>
      </c>
      <c r="AJ18" s="593">
        <f t="shared" si="5"/>
        <v>47093.672000000006</v>
      </c>
      <c r="AK18" s="636">
        <f t="shared" si="1"/>
        <v>53.039273820677714</v>
      </c>
      <c r="AL18" s="594">
        <f t="shared" si="2"/>
        <v>0.75321237583414891</v>
      </c>
      <c r="AM18" s="597"/>
      <c r="AN18" s="637">
        <f t="shared" si="6"/>
        <v>29247.08</v>
      </c>
      <c r="AO18" s="637">
        <f t="shared" si="7"/>
        <v>17846.592000000001</v>
      </c>
      <c r="AP18" s="596">
        <f t="shared" si="8"/>
        <v>0.5792664111170045</v>
      </c>
      <c r="AQ18" s="596">
        <f t="shared" si="9"/>
        <v>0.4659644446927742</v>
      </c>
      <c r="AR18" s="638">
        <f>'Comparativo YoY'!GD49</f>
        <v>8.2346896923509547</v>
      </c>
    </row>
    <row r="19" spans="1:47" s="578" customFormat="1">
      <c r="A19" s="584" t="s">
        <v>91</v>
      </c>
      <c r="B19" s="585">
        <v>562</v>
      </c>
      <c r="C19" s="585">
        <v>210</v>
      </c>
      <c r="D19" s="585">
        <v>62991.5</v>
      </c>
      <c r="E19" s="585">
        <v>28773.33</v>
      </c>
      <c r="F19" s="633">
        <f>VLOOKUP($A$5:$A$31,'Relatórios - SICCAU e IGEO'!$A$3:$H$29,8,)</f>
        <v>515</v>
      </c>
      <c r="G19" s="590">
        <v>116</v>
      </c>
      <c r="H19" s="590">
        <v>89</v>
      </c>
      <c r="I19" s="713">
        <f t="shared" si="3"/>
        <v>27</v>
      </c>
      <c r="J19" s="634">
        <f t="shared" si="4"/>
        <v>22.524271844660191</v>
      </c>
      <c r="K19" s="634">
        <f t="shared" si="0"/>
        <v>0.79234972677595628</v>
      </c>
      <c r="L19" s="635">
        <f>VLOOKUP($A$5:$A$31,JAN!$A$5:$E$31,4,)</f>
        <v>2110.1120000000001</v>
      </c>
      <c r="M19" s="635">
        <f>VLOOKUP($A$5:$A$31,JAN!$A$5:$E$31,5,)</f>
        <v>3750.0239999999999</v>
      </c>
      <c r="N19" s="635">
        <f>VLOOKUP($A$5:$A$31,FEV!$A$5:$E$31,4,)</f>
        <v>2755.7200000000003</v>
      </c>
      <c r="O19" s="635">
        <f>VLOOKUP($A$5:$A$31,FEV!$A$5:$E$31,5,)</f>
        <v>4714.9039999999995</v>
      </c>
      <c r="P19" s="635">
        <f>VLOOKUP($A$5:$A$31,MAR!$A$5:$U$31,4,)</f>
        <v>796.36000000000013</v>
      </c>
      <c r="Q19" s="635">
        <f>VLOOKUP($A$5:$A$31,MAR!$A$5:$V$31,5,)</f>
        <v>7264.4320000000007</v>
      </c>
      <c r="R19" s="591">
        <f>VLOOKUP($A$5:$A$31,ABR!$A$5:$D$31,4,)</f>
        <v>524.13599999999997</v>
      </c>
      <c r="S19" s="591">
        <f>VLOOKUP($A$5:$A$31,ABR!$A$5:$E$31,5,)</f>
        <v>2089.8880000000004</v>
      </c>
      <c r="T19" s="591">
        <f>VLOOKUP($A$5:$A$31,MAI!$A$5:$E$31,4,)</f>
        <v>1342.48</v>
      </c>
      <c r="U19" s="591">
        <f>VLOOKUP($A$5:$A$31,MAI!$A$5:$E$31,5,)</f>
        <v>1585.5200000000002</v>
      </c>
      <c r="V19" s="591">
        <f>VLOOKUP($A$5:$A$31,JUN!$A$5:$E$31,4,)</f>
        <v>1088.864</v>
      </c>
      <c r="W19" s="591">
        <f>VLOOKUP($A$5:$A$31,JUN!$A$5:$E$31,5,)</f>
        <v>1796.576</v>
      </c>
      <c r="X19" s="591">
        <f>VLOOKUP($A$5:$A$31,JUL!$A$5:$E$31,4,)</f>
        <v>1979.9040000000002</v>
      </c>
      <c r="Y19" s="591">
        <f>VLOOKUP($A$5:$A$31,JUL!$A$5:$E$31,5,)</f>
        <v>3249.6000000000004</v>
      </c>
      <c r="Z19" s="592">
        <f>VLOOKUP($A$5:$A$31,AGO!$A$5:$E$31,4,)</f>
        <v>6284.0879999999997</v>
      </c>
      <c r="AA19" s="592">
        <f>VLOOKUP($A$5:$A$31,AGO!$A$5:$E$31,5,)</f>
        <v>3371.1920000000009</v>
      </c>
      <c r="AB19" s="592">
        <f>VLOOKUP($A$5:$A$31,SET!$A$5:$E$31,4,)</f>
        <v>5721.8720000000003</v>
      </c>
      <c r="AC19" s="592">
        <f>VLOOKUP($A$5:$A$31,SET!$A$5:$E$31,5,)</f>
        <v>5996.3600000000006</v>
      </c>
      <c r="AD19" s="592">
        <f>VLOOKUP($A$5:$A$31,OUT!$A$5:$E$31,4,)</f>
        <v>0</v>
      </c>
      <c r="AE19" s="592">
        <f>VLOOKUP($A$5:$A$31,OUT!$A$5:$E$31,5,)</f>
        <v>0</v>
      </c>
      <c r="AF19" s="592">
        <f>VLOOKUP($A$5:$A$31,NOV!$A$5:$E$31,4,)</f>
        <v>0</v>
      </c>
      <c r="AG19" s="592">
        <f>VLOOKUP($A$5:$A$31,NOV!$A$5:$E$31,5,)</f>
        <v>0</v>
      </c>
      <c r="AH19" s="592">
        <f>VLOOKUP($A$5:$A$31,DEZ!$A$5:$E$31,4,)</f>
        <v>0</v>
      </c>
      <c r="AI19" s="592">
        <f>VLOOKUP($A$5:$A$31,DEZ!$A$5:$E$31,5,)</f>
        <v>0</v>
      </c>
      <c r="AJ19" s="593">
        <f t="shared" si="5"/>
        <v>56422.031999999999</v>
      </c>
      <c r="AK19" s="636">
        <f t="shared" si="1"/>
        <v>61.485464529275532</v>
      </c>
      <c r="AL19" s="594">
        <f t="shared" si="2"/>
        <v>0.9024094101668344</v>
      </c>
      <c r="AM19" s="597"/>
      <c r="AN19" s="637">
        <f t="shared" si="6"/>
        <v>22603.536</v>
      </c>
      <c r="AO19" s="637">
        <f t="shared" si="7"/>
        <v>33818.496000000006</v>
      </c>
      <c r="AP19" s="596">
        <f t="shared" si="8"/>
        <v>0.35883469991983047</v>
      </c>
      <c r="AQ19" s="596">
        <f t="shared" si="9"/>
        <v>1.1753417487652631</v>
      </c>
      <c r="AR19" s="638">
        <f>'Comparativo YoY'!GD50</f>
        <v>-7.9946705631544432</v>
      </c>
    </row>
    <row r="20" spans="1:47" s="578" customFormat="1">
      <c r="A20" s="584" t="s">
        <v>93</v>
      </c>
      <c r="B20" s="585">
        <v>625</v>
      </c>
      <c r="C20" s="585">
        <v>404</v>
      </c>
      <c r="D20" s="585">
        <v>108536.37999999999</v>
      </c>
      <c r="E20" s="585">
        <v>48179.87</v>
      </c>
      <c r="F20" s="633">
        <f>VLOOKUP($A$5:$A$31,'Relatórios - SICCAU e IGEO'!$A$3:$H$29,8,)</f>
        <v>591</v>
      </c>
      <c r="G20" s="590">
        <v>294</v>
      </c>
      <c r="H20" s="590">
        <v>220</v>
      </c>
      <c r="I20" s="713">
        <f t="shared" si="3"/>
        <v>74</v>
      </c>
      <c r="J20" s="634">
        <f t="shared" si="4"/>
        <v>49.746192893401016</v>
      </c>
      <c r="K20" s="634">
        <f t="shared" si="0"/>
        <v>2.0081967213114753</v>
      </c>
      <c r="L20" s="635">
        <f>VLOOKUP($A$5:$A$31,JAN!$A$5:$E$31,4,)</f>
        <v>6274.5280000000002</v>
      </c>
      <c r="M20" s="635">
        <f>VLOOKUP($A$5:$A$31,JAN!$A$5:$E$31,5,)</f>
        <v>7136.4320000000007</v>
      </c>
      <c r="N20" s="635">
        <f>VLOOKUP($A$5:$A$31,FEV!$A$5:$E$31,4,)</f>
        <v>7924.7360000000008</v>
      </c>
      <c r="O20" s="635">
        <f>VLOOKUP($A$5:$A$31,FEV!$A$5:$E$31,5,)</f>
        <v>5938.3999999999987</v>
      </c>
      <c r="P20" s="635">
        <f>VLOOKUP($A$5:$A$31,MAR!$A$5:$U$31,4,)</f>
        <v>4309.8160000000007</v>
      </c>
      <c r="Q20" s="635">
        <f>VLOOKUP($A$5:$A$31,MAR!$A$5:$V$31,5,)</f>
        <v>4657.3919999999998</v>
      </c>
      <c r="R20" s="591">
        <f>VLOOKUP($A$5:$A$31,ABR!$A$5:$D$31,4,)</f>
        <v>1626.5360000000001</v>
      </c>
      <c r="S20" s="591">
        <f>VLOOKUP($A$5:$A$31,ABR!$A$5:$E$31,5,)</f>
        <v>5188.6400000000003</v>
      </c>
      <c r="T20" s="591">
        <f>VLOOKUP($A$5:$A$31,MAI!$A$5:$E$31,4,)</f>
        <v>2000.768</v>
      </c>
      <c r="U20" s="591">
        <f>VLOOKUP($A$5:$A$31,MAI!$A$5:$E$31,5,)</f>
        <v>2596.4240000000004</v>
      </c>
      <c r="V20" s="591">
        <f>VLOOKUP($A$5:$A$31,JUN!$A$5:$E$31,4,)</f>
        <v>2031.2</v>
      </c>
      <c r="W20" s="591">
        <f>VLOOKUP($A$5:$A$31,JUN!$A$5:$E$31,5,)</f>
        <v>7381.5119999999997</v>
      </c>
      <c r="X20" s="591">
        <f>VLOOKUP($A$5:$A$31,JUL!$A$5:$E$31,4,)</f>
        <v>7004.9360000000006</v>
      </c>
      <c r="Y20" s="591">
        <f>VLOOKUP($A$5:$A$31,JUL!$A$5:$E$31,5,)</f>
        <v>3322.9279999999999</v>
      </c>
      <c r="Z20" s="592">
        <f>VLOOKUP($A$5:$A$31,AGO!$A$5:$E$31,4,)</f>
        <v>16491.592000000001</v>
      </c>
      <c r="AA20" s="592">
        <f>VLOOKUP($A$5:$A$31,AGO!$A$5:$E$31,5,)</f>
        <v>2416.6880000000006</v>
      </c>
      <c r="AB20" s="592">
        <f>VLOOKUP($A$5:$A$31,SET!$A$5:$E$31,4,)</f>
        <v>6709.4880000000012</v>
      </c>
      <c r="AC20" s="592">
        <f>VLOOKUP($A$5:$A$31,SET!$A$5:$E$31,5,)</f>
        <v>1967.976000000001</v>
      </c>
      <c r="AD20" s="592">
        <f>VLOOKUP($A$5:$A$31,OUT!$A$5:$E$31,4,)</f>
        <v>0</v>
      </c>
      <c r="AE20" s="592">
        <f>VLOOKUP($A$5:$A$31,OUT!$A$5:$E$31,5,)</f>
        <v>0</v>
      </c>
      <c r="AF20" s="592">
        <f>VLOOKUP($A$5:$A$31,NOV!$A$5:$E$31,4,)</f>
        <v>0</v>
      </c>
      <c r="AG20" s="592">
        <f>VLOOKUP($A$5:$A$31,NOV!$A$5:$E$31,5,)</f>
        <v>0</v>
      </c>
      <c r="AH20" s="592">
        <f>VLOOKUP($A$5:$A$31,DEZ!$A$5:$E$31,4,)</f>
        <v>0</v>
      </c>
      <c r="AI20" s="592">
        <f>VLOOKUP($A$5:$A$31,DEZ!$A$5:$E$31,5,)</f>
        <v>0</v>
      </c>
      <c r="AJ20" s="593">
        <f t="shared" si="5"/>
        <v>94979.991999999998</v>
      </c>
      <c r="AK20" s="636">
        <f t="shared" si="1"/>
        <v>60.606345544894033</v>
      </c>
      <c r="AL20" s="594">
        <f t="shared" si="2"/>
        <v>1.5191022995834438</v>
      </c>
      <c r="AM20" s="597"/>
      <c r="AN20" s="637">
        <f t="shared" si="6"/>
        <v>54373.600000000006</v>
      </c>
      <c r="AO20" s="637">
        <f t="shared" si="7"/>
        <v>40606.392</v>
      </c>
      <c r="AP20" s="596">
        <f t="shared" si="8"/>
        <v>0.50097119509605914</v>
      </c>
      <c r="AQ20" s="596">
        <f t="shared" si="9"/>
        <v>0.84280825166194917</v>
      </c>
      <c r="AR20" s="638">
        <f>'Comparativo YoY'!GD51</f>
        <v>-13.743683495140559</v>
      </c>
    </row>
    <row r="21" spans="1:47" s="578" customFormat="1">
      <c r="A21" s="798" t="s">
        <v>94</v>
      </c>
      <c r="B21" s="585">
        <v>275</v>
      </c>
      <c r="C21" s="585">
        <v>155</v>
      </c>
      <c r="D21" s="585">
        <v>58238.9</v>
      </c>
      <c r="E21" s="585">
        <v>45000</v>
      </c>
      <c r="F21" s="633">
        <f>VLOOKUP($A$5:$A$31,'Relatórios - SICCAU e IGEO'!$A$3:$H$29,8,)</f>
        <v>313</v>
      </c>
      <c r="G21" s="590">
        <v>121</v>
      </c>
      <c r="H21" s="590">
        <v>91</v>
      </c>
      <c r="I21" s="713">
        <f t="shared" si="3"/>
        <v>30</v>
      </c>
      <c r="J21" s="634">
        <f t="shared" si="4"/>
        <v>38.658146964856229</v>
      </c>
      <c r="K21" s="634">
        <f t="shared" si="0"/>
        <v>0.82650273224043713</v>
      </c>
      <c r="L21" s="635">
        <f>VLOOKUP($A$5:$A$31,JAN!$A$5:$E$31,4,)</f>
        <v>3652.1280000000002</v>
      </c>
      <c r="M21" s="635">
        <f>VLOOKUP($A$5:$A$31,JAN!$A$5:$E$31,5,)</f>
        <v>3014.6080000000002</v>
      </c>
      <c r="N21" s="635">
        <f>VLOOKUP($A$5:$A$31,FEV!$A$5:$E$31,4,)</f>
        <v>1947.7919999999999</v>
      </c>
      <c r="O21" s="635">
        <f>VLOOKUP($A$5:$A$31,FEV!$A$5:$E$31,5,)</f>
        <v>1226.7600000000002</v>
      </c>
      <c r="P21" s="635">
        <f>VLOOKUP($A$5:$A$31,MAR!$A$5:$U$31,4,)</f>
        <v>733.80000000000007</v>
      </c>
      <c r="Q21" s="635">
        <f>VLOOKUP($A$5:$A$31,MAR!$A$5:$V$31,5,)</f>
        <v>2142.8240000000001</v>
      </c>
      <c r="R21" s="591">
        <f>VLOOKUP($A$5:$A$31,ABR!$A$5:$D$31,4,)</f>
        <v>1165.8</v>
      </c>
      <c r="S21" s="591">
        <f>VLOOKUP($A$5:$A$31,ABR!$A$5:$E$31,5,)</f>
        <v>1410.2240000000002</v>
      </c>
      <c r="T21" s="591">
        <f>VLOOKUP($A$5:$A$31,MAI!$A$5:$E$31,4,)</f>
        <v>542.74400000000003</v>
      </c>
      <c r="U21" s="591">
        <f>VLOOKUP($A$5:$A$31,MAI!$A$5:$E$31,5,)</f>
        <v>603.39200000000005</v>
      </c>
      <c r="V21" s="591">
        <f>VLOOKUP($A$5:$A$31,JUN!$A$5:$E$31,4,)</f>
        <v>361.82400000000001</v>
      </c>
      <c r="W21" s="591">
        <f>VLOOKUP($A$5:$A$31,JUN!$A$5:$E$31,5,)</f>
        <v>1356.8720000000001</v>
      </c>
      <c r="X21" s="591">
        <f>VLOOKUP($A$5:$A$31,JUL!$A$5:$E$31,4,)</f>
        <v>1959.616</v>
      </c>
      <c r="Y21" s="591">
        <f>VLOOKUP($A$5:$A$31,JUL!$A$5:$E$31,5,)</f>
        <v>219.416</v>
      </c>
      <c r="Z21" s="592">
        <f>VLOOKUP($A$5:$A$31,AGO!$A$5:$E$31,4,)</f>
        <v>8461.7520000000004</v>
      </c>
      <c r="AA21" s="592">
        <f>VLOOKUP($A$5:$A$31,AGO!$A$5:$E$31,5,)</f>
        <v>2118.559999999999</v>
      </c>
      <c r="AB21" s="592">
        <f>VLOOKUP($A$5:$A$31,SET!$A$5:$E$31,4,)</f>
        <v>3753.52</v>
      </c>
      <c r="AC21" s="592">
        <f>VLOOKUP($A$5:$A$31,SET!$A$5:$E$31,5,)</f>
        <v>835.86400000000003</v>
      </c>
      <c r="AD21" s="592">
        <f>VLOOKUP($A$5:$A$31,OUT!$A$5:$E$31,4,)</f>
        <v>0</v>
      </c>
      <c r="AE21" s="592">
        <f>VLOOKUP($A$5:$A$31,OUT!$A$5:$E$31,5,)</f>
        <v>0</v>
      </c>
      <c r="AF21" s="592">
        <f>VLOOKUP($A$5:$A$31,NOV!$A$5:$E$31,4,)</f>
        <v>0</v>
      </c>
      <c r="AG21" s="592">
        <f>VLOOKUP($A$5:$A$31,NOV!$A$5:$E$31,5,)</f>
        <v>0</v>
      </c>
      <c r="AH21" s="592">
        <f>VLOOKUP($A$5:$A$31,DEZ!$A$5:$E$31,4,)</f>
        <v>0</v>
      </c>
      <c r="AI21" s="592">
        <f>VLOOKUP($A$5:$A$31,DEZ!$A$5:$E$31,5,)</f>
        <v>0</v>
      </c>
      <c r="AJ21" s="593">
        <f t="shared" si="5"/>
        <v>35507.495999999999</v>
      </c>
      <c r="AK21" s="636">
        <f t="shared" si="1"/>
        <v>34.393524146421555</v>
      </c>
      <c r="AL21" s="594">
        <f t="shared" si="2"/>
        <v>0.56790401525881296</v>
      </c>
      <c r="AM21" s="597"/>
      <c r="AN21" s="637">
        <f t="shared" si="6"/>
        <v>22578.975999999999</v>
      </c>
      <c r="AO21" s="637">
        <f t="shared" si="7"/>
        <v>12928.519999999999</v>
      </c>
      <c r="AP21" s="596">
        <f t="shared" si="8"/>
        <v>0.38769578408932859</v>
      </c>
      <c r="AQ21" s="596">
        <f t="shared" si="9"/>
        <v>0.28730044444444441</v>
      </c>
      <c r="AR21" s="638">
        <f>'Comparativo YoY'!GD52</f>
        <v>5.7634731250576436</v>
      </c>
    </row>
    <row r="22" spans="1:47" s="578" customFormat="1">
      <c r="A22" s="584" t="s">
        <v>92</v>
      </c>
      <c r="B22" s="585">
        <v>2791</v>
      </c>
      <c r="C22" s="585">
        <v>1303</v>
      </c>
      <c r="D22" s="585">
        <v>492458.63</v>
      </c>
      <c r="E22" s="585">
        <v>185014.2</v>
      </c>
      <c r="F22" s="633">
        <f>VLOOKUP($A$5:$A$31,'Relatórios - SICCAU e IGEO'!$A$3:$H$29,8,)</f>
        <v>2819</v>
      </c>
      <c r="G22" s="590">
        <v>1556</v>
      </c>
      <c r="H22" s="590">
        <v>1183</v>
      </c>
      <c r="I22" s="713">
        <f t="shared" si="3"/>
        <v>373</v>
      </c>
      <c r="J22" s="634">
        <f t="shared" si="4"/>
        <v>55.19687832564739</v>
      </c>
      <c r="K22" s="634">
        <f t="shared" si="0"/>
        <v>10.628415300546449</v>
      </c>
      <c r="L22" s="635">
        <f>VLOOKUP($A$5:$A$31,JAN!$A$5:$E$31,4,)</f>
        <v>28915.944000000003</v>
      </c>
      <c r="M22" s="635">
        <f>VLOOKUP($A$5:$A$31,JAN!$A$5:$E$31,5,)</f>
        <v>17315.824000000001</v>
      </c>
      <c r="N22" s="635">
        <f>VLOOKUP($A$5:$A$31,FEV!$A$5:$E$31,4,)</f>
        <v>22059.760000000002</v>
      </c>
      <c r="O22" s="635">
        <f>VLOOKUP($A$5:$A$31,FEV!$A$5:$E$31,5,)</f>
        <v>23697.528000000002</v>
      </c>
      <c r="P22" s="635">
        <f>VLOOKUP($A$5:$A$31,MAR!$A$5:$U$31,4,)</f>
        <v>19388.28</v>
      </c>
      <c r="Q22" s="635">
        <f>VLOOKUP($A$5:$A$31,MAR!$A$5:$V$31,5,)</f>
        <v>27291.896000000004</v>
      </c>
      <c r="R22" s="591">
        <f>VLOOKUP($A$5:$A$31,ABR!$A$5:$D$31,4,)</f>
        <v>9982.3520000000008</v>
      </c>
      <c r="S22" s="591">
        <f>VLOOKUP($A$5:$A$31,ABR!$A$5:$E$31,5,)</f>
        <v>12931.567999999999</v>
      </c>
      <c r="T22" s="591">
        <f>VLOOKUP($A$5:$A$31,MAI!$A$5:$E$31,4,)</f>
        <v>7121.576</v>
      </c>
      <c r="U22" s="591">
        <f>VLOOKUP($A$5:$A$31,MAI!$A$5:$E$31,5,)</f>
        <v>17452.52</v>
      </c>
      <c r="V22" s="591">
        <f>VLOOKUP($A$5:$A$31,JUN!$A$5:$E$31,4,)</f>
        <v>9131.8320000000003</v>
      </c>
      <c r="W22" s="591">
        <f>VLOOKUP($A$5:$A$31,JUN!$A$5:$E$31,5,)</f>
        <v>13625.696</v>
      </c>
      <c r="X22" s="591">
        <f>VLOOKUP($A$5:$A$31,JUL!$A$5:$E$31,4,)</f>
        <v>44274.728000000003</v>
      </c>
      <c r="Y22" s="591">
        <f>VLOOKUP($A$5:$A$31,JUL!$A$5:$E$31,5,)</f>
        <v>20774.943999999996</v>
      </c>
      <c r="Z22" s="592">
        <f>VLOOKUP($A$5:$A$31,AGO!$A$5:$E$31,4,)</f>
        <v>96151.888000000006</v>
      </c>
      <c r="AA22" s="592">
        <f>VLOOKUP($A$5:$A$31,AGO!$A$5:$E$31,5,)</f>
        <v>25729.479999999996</v>
      </c>
      <c r="AB22" s="592">
        <f>VLOOKUP($A$5:$A$31,SET!$A$5:$E$31,4,)</f>
        <v>37486.991999999998</v>
      </c>
      <c r="AC22" s="592">
        <f>VLOOKUP($A$5:$A$31,SET!$A$5:$E$31,5,)</f>
        <v>12346.936000000005</v>
      </c>
      <c r="AD22" s="592">
        <f>VLOOKUP($A$5:$A$31,OUT!$A$5:$E$31,4,)</f>
        <v>0</v>
      </c>
      <c r="AE22" s="592">
        <f>VLOOKUP($A$5:$A$31,OUT!$A$5:$E$31,5,)</f>
        <v>0</v>
      </c>
      <c r="AF22" s="592">
        <f>VLOOKUP($A$5:$A$31,NOV!$A$5:$E$31,4,)</f>
        <v>0</v>
      </c>
      <c r="AG22" s="592">
        <f>VLOOKUP($A$5:$A$31,NOV!$A$5:$E$31,5,)</f>
        <v>0</v>
      </c>
      <c r="AH22" s="592">
        <f>VLOOKUP($A$5:$A$31,DEZ!$A$5:$E$31,4,)</f>
        <v>0</v>
      </c>
      <c r="AI22" s="592">
        <f>VLOOKUP($A$5:$A$31,DEZ!$A$5:$E$31,5,)</f>
        <v>0</v>
      </c>
      <c r="AJ22" s="593">
        <f t="shared" si="5"/>
        <v>445679.74399999995</v>
      </c>
      <c r="AK22" s="636">
        <f t="shared" si="1"/>
        <v>65.78562626636996</v>
      </c>
      <c r="AL22" s="594">
        <f t="shared" si="2"/>
        <v>7.1281657297692815</v>
      </c>
      <c r="AM22" s="597"/>
      <c r="AN22" s="637">
        <f t="shared" si="6"/>
        <v>274513.35200000001</v>
      </c>
      <c r="AO22" s="637">
        <f t="shared" si="7"/>
        <v>171166.39200000002</v>
      </c>
      <c r="AP22" s="596">
        <f t="shared" si="8"/>
        <v>0.55743434123593283</v>
      </c>
      <c r="AQ22" s="596">
        <f t="shared" si="9"/>
        <v>0.92515272881757193</v>
      </c>
      <c r="AR22" s="638">
        <f>'Comparativo YoY'!GD53</f>
        <v>-15.412087243284873</v>
      </c>
    </row>
    <row r="23" spans="1:47" s="578" customFormat="1">
      <c r="A23" s="584" t="s">
        <v>95</v>
      </c>
      <c r="B23" s="585">
        <v>3226</v>
      </c>
      <c r="C23" s="585">
        <v>1905</v>
      </c>
      <c r="D23" s="585">
        <v>536205.69999999995</v>
      </c>
      <c r="E23" s="585">
        <v>227054.9</v>
      </c>
      <c r="F23" s="633">
        <f>VLOOKUP($A$5:$A$31,'Relatórios - SICCAU e IGEO'!$A$3:$H$29,8,)</f>
        <v>2983</v>
      </c>
      <c r="G23" s="590">
        <v>1293</v>
      </c>
      <c r="H23" s="590">
        <v>1007</v>
      </c>
      <c r="I23" s="713">
        <f t="shared" si="3"/>
        <v>286</v>
      </c>
      <c r="J23" s="634">
        <f t="shared" si="4"/>
        <v>43.34562520952062</v>
      </c>
      <c r="K23" s="634">
        <f t="shared" si="0"/>
        <v>8.8319672131147531</v>
      </c>
      <c r="L23" s="635">
        <f>VLOOKUP($A$5:$A$31,JAN!$A$5:$E$31,4,)</f>
        <v>36010.576000000001</v>
      </c>
      <c r="M23" s="635">
        <f>VLOOKUP($A$5:$A$31,JAN!$A$5:$E$31,5,)</f>
        <v>20486.864000000001</v>
      </c>
      <c r="N23" s="635">
        <f>VLOOKUP($A$5:$A$31,FEV!$A$5:$E$31,4,)</f>
        <v>37906.800000000003</v>
      </c>
      <c r="O23" s="635">
        <f>VLOOKUP($A$5:$A$31,FEV!$A$5:$E$31,5,)</f>
        <v>23268.800000000003</v>
      </c>
      <c r="P23" s="635">
        <f>VLOOKUP($A$5:$A$31,MAR!$A$5:$U$31,4,)</f>
        <v>20595.528000000002</v>
      </c>
      <c r="Q23" s="635">
        <f>VLOOKUP($A$5:$A$31,MAR!$A$5:$V$31,5,)</f>
        <v>17732.088</v>
      </c>
      <c r="R23" s="591">
        <f>VLOOKUP($A$5:$A$31,ABR!$A$5:$D$31,4,)</f>
        <v>11487.216</v>
      </c>
      <c r="S23" s="591">
        <f>VLOOKUP($A$5:$A$31,ABR!$A$5:$E$31,5,)</f>
        <v>7708.4720000000007</v>
      </c>
      <c r="T23" s="591">
        <f>VLOOKUP($A$5:$A$31,MAI!$A$5:$E$31,4,)</f>
        <v>12107.744000000001</v>
      </c>
      <c r="U23" s="591">
        <f>VLOOKUP($A$5:$A$31,MAI!$A$5:$E$31,5,)</f>
        <v>13079.64</v>
      </c>
      <c r="V23" s="591">
        <f>VLOOKUP($A$5:$A$31,JUN!$A$5:$E$31,4,)</f>
        <v>9068.496000000001</v>
      </c>
      <c r="W23" s="591">
        <f>VLOOKUP($A$5:$A$31,JUN!$A$5:$E$31,5,)</f>
        <v>8610.4719999999998</v>
      </c>
      <c r="X23" s="591">
        <f>VLOOKUP($A$5:$A$31,JUL!$A$5:$E$31,4,)</f>
        <v>19166.240000000002</v>
      </c>
      <c r="Y23" s="591">
        <f>VLOOKUP($A$5:$A$31,JUL!$A$5:$E$31,5,)</f>
        <v>10655.016000000007</v>
      </c>
      <c r="Z23" s="592">
        <f>VLOOKUP($A$5:$A$31,AGO!$A$5:$E$31,4,)</f>
        <v>78332.36</v>
      </c>
      <c r="AA23" s="592">
        <f>VLOOKUP($A$5:$A$31,AGO!$A$5:$E$31,5,)</f>
        <v>14584.496000000008</v>
      </c>
      <c r="AB23" s="592">
        <f>VLOOKUP($A$5:$A$31,SET!$A$5:$E$31,4,)</f>
        <v>37508.184000000001</v>
      </c>
      <c r="AC23" s="592">
        <f>VLOOKUP($A$5:$A$31,SET!$A$5:$E$31,5,)</f>
        <v>9473.5200000000023</v>
      </c>
      <c r="AD23" s="592">
        <f>VLOOKUP($A$5:$A$31,OUT!$A$5:$E$31,4,)</f>
        <v>0</v>
      </c>
      <c r="AE23" s="592">
        <f>VLOOKUP($A$5:$A$31,OUT!$A$5:$E$31,5,)</f>
        <v>0</v>
      </c>
      <c r="AF23" s="592">
        <f>VLOOKUP($A$5:$A$31,NOV!$A$5:$E$31,4,)</f>
        <v>0</v>
      </c>
      <c r="AG23" s="592">
        <f>VLOOKUP($A$5:$A$31,NOV!$A$5:$E$31,5,)</f>
        <v>0</v>
      </c>
      <c r="AH23" s="592">
        <f>VLOOKUP($A$5:$A$31,DEZ!$A$5:$E$31,4,)</f>
        <v>0</v>
      </c>
      <c r="AI23" s="592">
        <f>VLOOKUP($A$5:$A$31,DEZ!$A$5:$E$31,5,)</f>
        <v>0</v>
      </c>
      <c r="AJ23" s="593">
        <f t="shared" si="5"/>
        <v>387782.51200000005</v>
      </c>
      <c r="AK23" s="636">
        <f t="shared" si="1"/>
        <v>50.806043440471058</v>
      </c>
      <c r="AL23" s="594">
        <f t="shared" si="2"/>
        <v>6.2021620902794403</v>
      </c>
      <c r="AM23" s="597"/>
      <c r="AN23" s="637">
        <f t="shared" si="6"/>
        <v>262183.14400000003</v>
      </c>
      <c r="AO23" s="637">
        <f t="shared" si="7"/>
        <v>125599.36800000002</v>
      </c>
      <c r="AP23" s="596">
        <f t="shared" si="8"/>
        <v>0.48896000919050292</v>
      </c>
      <c r="AQ23" s="596">
        <f t="shared" si="9"/>
        <v>0.55316739695994233</v>
      </c>
      <c r="AR23" s="638">
        <f>'Comparativo YoY'!GD54</f>
        <v>-2.2472966556209428</v>
      </c>
    </row>
    <row r="24" spans="1:47" s="578" customFormat="1">
      <c r="A24" s="584" t="s">
        <v>96</v>
      </c>
      <c r="B24" s="585">
        <v>316</v>
      </c>
      <c r="C24" s="585">
        <v>149</v>
      </c>
      <c r="D24" s="585">
        <v>58238.9</v>
      </c>
      <c r="E24" s="585">
        <v>45000</v>
      </c>
      <c r="F24" s="633">
        <f>VLOOKUP($A$5:$A$31,'Relatórios - SICCAU e IGEO'!$A$3:$H$29,8,)</f>
        <v>328</v>
      </c>
      <c r="G24" s="590">
        <v>94</v>
      </c>
      <c r="H24" s="590">
        <v>74</v>
      </c>
      <c r="I24" s="713">
        <f t="shared" si="3"/>
        <v>20</v>
      </c>
      <c r="J24" s="634">
        <f t="shared" si="4"/>
        <v>28.658536585365852</v>
      </c>
      <c r="K24" s="634">
        <f t="shared" si="0"/>
        <v>0.64207650273224037</v>
      </c>
      <c r="L24" s="635">
        <f>VLOOKUP($A$5:$A$31,JAN!$A$5:$E$31,4,)</f>
        <v>1704.3200000000002</v>
      </c>
      <c r="M24" s="635">
        <f>VLOOKUP($A$5:$A$31,JAN!$A$5:$E$31,5,)</f>
        <v>1134.9599999999998</v>
      </c>
      <c r="N24" s="635">
        <f>VLOOKUP($A$5:$A$31,FEV!$A$5:$E$31,4,)</f>
        <v>1846.3520000000001</v>
      </c>
      <c r="O24" s="635">
        <f>VLOOKUP($A$5:$A$31,FEV!$A$5:$E$31,5,)</f>
        <v>2038.0640000000003</v>
      </c>
      <c r="P24" s="635">
        <f>VLOOKUP($A$5:$A$31,MAR!$A$5:$U$31,4,)</f>
        <v>1065.2</v>
      </c>
      <c r="Q24" s="635">
        <f>VLOOKUP($A$5:$A$31,MAR!$A$5:$V$31,5,)</f>
        <v>1899.5919999999999</v>
      </c>
      <c r="R24" s="591">
        <f>VLOOKUP($A$5:$A$31,ABR!$A$5:$D$31,4,)</f>
        <v>202.89600000000002</v>
      </c>
      <c r="S24" s="591">
        <f>VLOOKUP($A$5:$A$31,ABR!$A$5:$E$31,5,)</f>
        <v>475.01600000000002</v>
      </c>
      <c r="T24" s="591">
        <f>VLOOKUP($A$5:$A$31,MAI!$A$5:$E$31,4,)</f>
        <v>852.15200000000004</v>
      </c>
      <c r="U24" s="591">
        <f>VLOOKUP($A$5:$A$31,MAI!$A$5:$E$31,5,)</f>
        <v>937.92800000000011</v>
      </c>
      <c r="V24" s="591">
        <f>VLOOKUP($A$5:$A$31,JUN!$A$5:$E$31,4,)</f>
        <v>764.23199999999997</v>
      </c>
      <c r="W24" s="591">
        <f>VLOOKUP($A$5:$A$31,JUN!$A$5:$E$31,5,)</f>
        <v>1436.2240000000002</v>
      </c>
      <c r="X24" s="591">
        <f>VLOOKUP($A$5:$A$31,JUL!$A$5:$E$31,4,)</f>
        <v>1246.1120000000001</v>
      </c>
      <c r="Y24" s="591">
        <f>VLOOKUP($A$5:$A$31,JUL!$A$5:$E$31,5,)</f>
        <v>1613.8720000000001</v>
      </c>
      <c r="Z24" s="592">
        <f>VLOOKUP($A$5:$A$31,AGO!$A$5:$E$31,4,)</f>
        <v>6381.0400000000009</v>
      </c>
      <c r="AA24" s="592">
        <f>VLOOKUP($A$5:$A$31,AGO!$A$5:$E$31,5,)</f>
        <v>1357.1680000000001</v>
      </c>
      <c r="AB24" s="592">
        <f>VLOOKUP($A$5:$A$31,SET!$A$5:$E$31,4,)</f>
        <v>3580.2160000000003</v>
      </c>
      <c r="AC24" s="592">
        <f>VLOOKUP($A$5:$A$31,SET!$A$5:$E$31,5,)</f>
        <v>1074.2559999999999</v>
      </c>
      <c r="AD24" s="592">
        <f>VLOOKUP($A$5:$A$31,OUT!$A$5:$E$31,4,)</f>
        <v>0</v>
      </c>
      <c r="AE24" s="592">
        <f>VLOOKUP($A$5:$A$31,OUT!$A$5:$E$31,5,)</f>
        <v>0</v>
      </c>
      <c r="AF24" s="592">
        <f>VLOOKUP($A$5:$A$31,NOV!$A$5:$E$31,4,)</f>
        <v>0</v>
      </c>
      <c r="AG24" s="592">
        <f>VLOOKUP($A$5:$A$31,NOV!$A$5:$E$31,5,)</f>
        <v>0</v>
      </c>
      <c r="AH24" s="592">
        <f>VLOOKUP($A$5:$A$31,DEZ!$A$5:$E$31,4,)</f>
        <v>0</v>
      </c>
      <c r="AI24" s="592">
        <f>VLOOKUP($A$5:$A$31,DEZ!$A$5:$E$31,5,)</f>
        <v>0</v>
      </c>
      <c r="AJ24" s="593">
        <f t="shared" si="5"/>
        <v>29609.600000000002</v>
      </c>
      <c r="AK24" s="636">
        <f t="shared" si="1"/>
        <v>28.680662037274711</v>
      </c>
      <c r="AL24" s="594">
        <f t="shared" si="2"/>
        <v>0.47357354430758369</v>
      </c>
      <c r="AM24" s="597"/>
      <c r="AN24" s="637">
        <f t="shared" si="6"/>
        <v>17642.52</v>
      </c>
      <c r="AO24" s="637">
        <f t="shared" si="7"/>
        <v>11967.079999999998</v>
      </c>
      <c r="AP24" s="596">
        <f t="shared" si="8"/>
        <v>0.30293360623226057</v>
      </c>
      <c r="AQ24" s="596">
        <f t="shared" si="9"/>
        <v>0.26593511111111107</v>
      </c>
      <c r="AR24" s="638">
        <f>'Comparativo YoY'!GD55</f>
        <v>-20.950025900097813</v>
      </c>
    </row>
    <row r="25" spans="1:47" s="578" customFormat="1">
      <c r="A25" s="584" t="s">
        <v>98</v>
      </c>
      <c r="B25" s="585">
        <v>241</v>
      </c>
      <c r="C25" s="585">
        <v>109</v>
      </c>
      <c r="D25" s="585">
        <v>34600.170000000006</v>
      </c>
      <c r="E25" s="585">
        <v>19144.309999999998</v>
      </c>
      <c r="F25" s="633">
        <f>VLOOKUP($A$5:$A$31,'Relatórios - SICCAU e IGEO'!$A$3:$H$29,8,)</f>
        <v>246</v>
      </c>
      <c r="G25" s="590">
        <v>74</v>
      </c>
      <c r="H25" s="590">
        <v>53</v>
      </c>
      <c r="I25" s="713">
        <f t="shared" si="3"/>
        <v>21</v>
      </c>
      <c r="J25" s="634">
        <f t="shared" si="4"/>
        <v>30.081300813008134</v>
      </c>
      <c r="K25" s="634">
        <f t="shared" si="0"/>
        <v>0.50546448087431695</v>
      </c>
      <c r="L25" s="635">
        <f>VLOOKUP($A$5:$A$31,JAN!$A$5:$E$31,4,)</f>
        <v>1301.9120000000003</v>
      </c>
      <c r="M25" s="635">
        <f>VLOOKUP($A$5:$A$31,JAN!$A$5:$E$31,5,)</f>
        <v>2109.6320000000001</v>
      </c>
      <c r="N25" s="635">
        <f>VLOOKUP($A$5:$A$31,FEV!$A$5:$E$31,4,)</f>
        <v>1673.8880000000001</v>
      </c>
      <c r="O25" s="635">
        <f>VLOOKUP($A$5:$A$31,FEV!$A$5:$E$31,5,)</f>
        <v>3411.5519999999992</v>
      </c>
      <c r="P25" s="635">
        <f>VLOOKUP($A$5:$A$31,MAR!$A$5:$U$31,4,)</f>
        <v>561.34399999999994</v>
      </c>
      <c r="Q25" s="635">
        <f>VLOOKUP($A$5:$A$31,MAR!$A$5:$V$31,5,)</f>
        <v>2007.9360000000001</v>
      </c>
      <c r="R25" s="591">
        <f>VLOOKUP($A$5:$A$31,ABR!$A$5:$D$31,4,)</f>
        <v>557.95200000000011</v>
      </c>
      <c r="S25" s="591">
        <f>VLOOKUP($A$5:$A$31,ABR!$A$5:$E$31,5,)</f>
        <v>1973.9840000000002</v>
      </c>
      <c r="T25" s="591">
        <f>VLOOKUP($A$5:$A$31,MAI!$A$5:$E$31,4,)</f>
        <v>405.79200000000003</v>
      </c>
      <c r="U25" s="591">
        <f>VLOOKUP($A$5:$A$31,MAI!$A$5:$E$31,5,)</f>
        <v>2155.248</v>
      </c>
      <c r="V25" s="591">
        <f>VLOOKUP($A$5:$A$31,JUN!$A$5:$E$31,4,)</f>
        <v>1727.992</v>
      </c>
      <c r="W25" s="591">
        <f>VLOOKUP($A$5:$A$31,JUN!$A$5:$E$31,5,)</f>
        <v>2814.9120000000003</v>
      </c>
      <c r="X25" s="591">
        <f>VLOOKUP($A$5:$A$31,JUL!$A$5:$E$31,4,)</f>
        <v>2341.752</v>
      </c>
      <c r="Y25" s="591">
        <f>VLOOKUP($A$5:$A$31,JUL!$A$5:$E$31,5,)</f>
        <v>2167.88</v>
      </c>
      <c r="Z25" s="592">
        <f>VLOOKUP($A$5:$A$31,AGO!$A$5:$E$31,4,)</f>
        <v>3091.3119999999999</v>
      </c>
      <c r="AA25" s="592">
        <f>VLOOKUP($A$5:$A$31,AGO!$A$5:$E$31,5,)</f>
        <v>1481.2079999999999</v>
      </c>
      <c r="AB25" s="592">
        <f>VLOOKUP($A$5:$A$31,SET!$A$5:$E$31,4,)</f>
        <v>4335.424</v>
      </c>
      <c r="AC25" s="592">
        <f>VLOOKUP($A$5:$A$31,SET!$A$5:$E$31,5,)</f>
        <v>3253.0080000000012</v>
      </c>
      <c r="AD25" s="592">
        <f>VLOOKUP($A$5:$A$31,OUT!$A$5:$E$31,4,)</f>
        <v>0</v>
      </c>
      <c r="AE25" s="592">
        <f>VLOOKUP($A$5:$A$31,OUT!$A$5:$E$31,5,)</f>
        <v>0</v>
      </c>
      <c r="AF25" s="592">
        <f>VLOOKUP($A$5:$A$31,NOV!$A$5:$E$31,4,)</f>
        <v>0</v>
      </c>
      <c r="AG25" s="592">
        <f>VLOOKUP($A$5:$A$31,NOV!$A$5:$E$31,5,)</f>
        <v>0</v>
      </c>
      <c r="AH25" s="592">
        <f>VLOOKUP($A$5:$A$31,DEZ!$A$5:$E$31,4,)</f>
        <v>0</v>
      </c>
      <c r="AI25" s="592">
        <f>VLOOKUP($A$5:$A$31,DEZ!$A$5:$E$31,5,)</f>
        <v>0</v>
      </c>
      <c r="AJ25" s="593">
        <f t="shared" si="5"/>
        <v>37372.727999999996</v>
      </c>
      <c r="AK25" s="636">
        <f t="shared" si="1"/>
        <v>69.537798114336567</v>
      </c>
      <c r="AL25" s="594">
        <f t="shared" si="2"/>
        <v>0.59773638480098579</v>
      </c>
      <c r="AM25" s="597"/>
      <c r="AN25" s="637">
        <f t="shared" si="6"/>
        <v>15997.368000000002</v>
      </c>
      <c r="AO25" s="637">
        <f t="shared" si="7"/>
        <v>21375.360000000001</v>
      </c>
      <c r="AP25" s="596">
        <f t="shared" si="8"/>
        <v>0.46234940464165347</v>
      </c>
      <c r="AQ25" s="596">
        <f t="shared" si="9"/>
        <v>1.116538543306079</v>
      </c>
      <c r="AR25" s="638">
        <f>'Comparativo YoY'!GD56</f>
        <v>-10.153422710720207</v>
      </c>
    </row>
    <row r="26" spans="1:47" s="578" customFormat="1">
      <c r="A26" s="584" t="s">
        <v>99</v>
      </c>
      <c r="B26" s="585">
        <v>64</v>
      </c>
      <c r="C26" s="585">
        <v>25</v>
      </c>
      <c r="D26" s="585">
        <v>6861.2</v>
      </c>
      <c r="E26" s="585">
        <v>5896.87</v>
      </c>
      <c r="F26" s="633">
        <f>VLOOKUP($A$5:$A$31,'Relatórios - SICCAU e IGEO'!$A$3:$H$29,8,)</f>
        <v>67</v>
      </c>
      <c r="G26" s="590">
        <v>15</v>
      </c>
      <c r="H26" s="590">
        <v>12</v>
      </c>
      <c r="I26" s="713">
        <f t="shared" si="3"/>
        <v>3</v>
      </c>
      <c r="J26" s="634">
        <f t="shared" si="4"/>
        <v>22.388059701492537</v>
      </c>
      <c r="K26" s="634">
        <f t="shared" si="0"/>
        <v>0.10245901639344263</v>
      </c>
      <c r="L26" s="635">
        <f>VLOOKUP($A$5:$A$31,JAN!$A$5:$E$31,4,)</f>
        <v>628.97600000000011</v>
      </c>
      <c r="M26" s="635">
        <f>VLOOKUP($A$5:$A$31,JAN!$A$5:$E$31,5,)</f>
        <v>120.37600000000003</v>
      </c>
      <c r="N26" s="635">
        <f>VLOOKUP($A$5:$A$31,FEV!$A$5:$E$31,4,)</f>
        <v>439.608</v>
      </c>
      <c r="O26" s="635">
        <f>VLOOKUP($A$5:$A$31,FEV!$A$5:$E$31,5,)</f>
        <v>678.072</v>
      </c>
      <c r="P26" s="635">
        <f>VLOOKUP($A$5:$A$31,MAR!$A$5:$U$31,4,)</f>
        <v>223.18400000000003</v>
      </c>
      <c r="Q26" s="635">
        <f>VLOOKUP($A$5:$A$31,MAR!$A$5:$V$31,5,)</f>
        <v>950.84799999999996</v>
      </c>
      <c r="R26" s="591">
        <f>VLOOKUP($A$5:$A$31,ABR!$A$5:$D$31,4,)</f>
        <v>20.288</v>
      </c>
      <c r="S26" s="591">
        <f>VLOOKUP($A$5:$A$31,ABR!$A$5:$E$31,5,)</f>
        <v>0</v>
      </c>
      <c r="T26" s="591">
        <f>VLOOKUP($A$5:$A$31,MAI!$A$5:$E$31,4,)</f>
        <v>40.576000000000001</v>
      </c>
      <c r="U26" s="591">
        <f>VLOOKUP($A$5:$A$31,MAI!$A$5:$E$31,5,)</f>
        <v>179.03200000000001</v>
      </c>
      <c r="V26" s="591">
        <f>VLOOKUP($A$5:$A$31,JUN!$A$5:$E$31,4,)</f>
        <v>0</v>
      </c>
      <c r="W26" s="591">
        <f>VLOOKUP($A$5:$A$31,JUN!$A$5:$E$31,5,)</f>
        <v>38.095999999999997</v>
      </c>
      <c r="X26" s="591">
        <f>VLOOKUP($A$5:$A$31,JUL!$A$5:$E$31,4,)</f>
        <v>118.352</v>
      </c>
      <c r="Y26" s="591">
        <f>VLOOKUP($A$5:$A$31,JUL!$A$5:$E$31,5,)</f>
        <v>0</v>
      </c>
      <c r="Z26" s="592">
        <f>VLOOKUP($A$5:$A$31,AGO!$A$5:$E$31,4,)</f>
        <v>667.84799999999996</v>
      </c>
      <c r="AA26" s="592">
        <f>VLOOKUP($A$5:$A$31,AGO!$A$5:$E$31,5,)</f>
        <v>0</v>
      </c>
      <c r="AB26" s="592">
        <f>VLOOKUP($A$5:$A$31,SET!$A$5:$E$31,4,)</f>
        <v>211.34400000000002</v>
      </c>
      <c r="AC26" s="592">
        <f>VLOOKUP($A$5:$A$31,SET!$A$5:$E$31,5,)</f>
        <v>0</v>
      </c>
      <c r="AD26" s="592">
        <f>VLOOKUP($A$5:$A$31,OUT!$A$5:$E$31,4,)</f>
        <v>0</v>
      </c>
      <c r="AE26" s="592">
        <f>VLOOKUP($A$5:$A$31,OUT!$A$5:$E$31,5,)</f>
        <v>0</v>
      </c>
      <c r="AF26" s="592">
        <f>VLOOKUP($A$5:$A$31,NOV!$A$5:$E$31,4,)</f>
        <v>0</v>
      </c>
      <c r="AG26" s="592">
        <f>VLOOKUP($A$5:$A$31,NOV!$A$5:$E$31,5,)</f>
        <v>0</v>
      </c>
      <c r="AH26" s="592">
        <f>VLOOKUP($A$5:$A$31,DEZ!$A$5:$E$31,4,)</f>
        <v>0</v>
      </c>
      <c r="AI26" s="592">
        <f>VLOOKUP($A$5:$A$31,DEZ!$A$5:$E$31,5,)</f>
        <v>0</v>
      </c>
      <c r="AJ26" s="593">
        <f t="shared" si="5"/>
        <v>4316.6000000000004</v>
      </c>
      <c r="AK26" s="636">
        <f t="shared" si="1"/>
        <v>33.834271171109741</v>
      </c>
      <c r="AL26" s="594">
        <f t="shared" si="2"/>
        <v>6.9039350796975166E-2</v>
      </c>
      <c r="AM26" s="597"/>
      <c r="AN26" s="637">
        <f t="shared" si="6"/>
        <v>2350.1760000000004</v>
      </c>
      <c r="AO26" s="637">
        <f t="shared" si="7"/>
        <v>1966.424</v>
      </c>
      <c r="AP26" s="596">
        <f t="shared" si="8"/>
        <v>0.34253133562642107</v>
      </c>
      <c r="AQ26" s="596">
        <f t="shared" si="9"/>
        <v>0.33346911157953285</v>
      </c>
      <c r="AR26" s="638">
        <f>'Comparativo YoY'!GD57</f>
        <v>-14.93117748624357</v>
      </c>
    </row>
    <row r="27" spans="1:47" s="578" customFormat="1">
      <c r="A27" s="584" t="s">
        <v>97</v>
      </c>
      <c r="B27" s="585">
        <v>3413</v>
      </c>
      <c r="C27" s="585">
        <v>2026</v>
      </c>
      <c r="D27" s="585">
        <v>58238.9</v>
      </c>
      <c r="E27" s="585">
        <v>45000</v>
      </c>
      <c r="F27" s="633">
        <f>VLOOKUP($A$5:$A$31,'Relatórios - SICCAU e IGEO'!$A$3:$H$29,8,)</f>
        <v>3292</v>
      </c>
      <c r="G27" s="590">
        <v>1725</v>
      </c>
      <c r="H27" s="590">
        <v>1356</v>
      </c>
      <c r="I27" s="713">
        <f t="shared" si="3"/>
        <v>369</v>
      </c>
      <c r="J27" s="634">
        <f t="shared" si="4"/>
        <v>52.399756986634259</v>
      </c>
      <c r="K27" s="634">
        <f t="shared" si="0"/>
        <v>11.782786885245903</v>
      </c>
      <c r="L27" s="635">
        <f>VLOOKUP($A$5:$A$31,JAN!$A$5:$E$31,4,)</f>
        <v>50172.640000000007</v>
      </c>
      <c r="M27" s="635">
        <f>VLOOKUP($A$5:$A$31,JAN!$A$5:$E$31,5,)</f>
        <v>16190.415999999997</v>
      </c>
      <c r="N27" s="635">
        <f>VLOOKUP($A$5:$A$31,FEV!$A$5:$E$31,4,)</f>
        <v>26247.736000000001</v>
      </c>
      <c r="O27" s="635">
        <f>VLOOKUP($A$5:$A$31,FEV!$A$5:$E$31,5,)</f>
        <v>35195.887999999999</v>
      </c>
      <c r="P27" s="635">
        <f>VLOOKUP($A$5:$A$31,MAR!$A$5:$U$31,4,)</f>
        <v>11733.416000000001</v>
      </c>
      <c r="Q27" s="635">
        <f>VLOOKUP($A$5:$A$31,MAR!$A$5:$V$31,5,)</f>
        <v>30845.4</v>
      </c>
      <c r="R27" s="591">
        <f>VLOOKUP($A$5:$A$31,ABR!$A$5:$D$31,4,)</f>
        <v>9877.4720000000016</v>
      </c>
      <c r="S27" s="591">
        <f>VLOOKUP($A$5:$A$31,ABR!$A$5:$E$31,5,)</f>
        <v>17939.935999999998</v>
      </c>
      <c r="T27" s="591">
        <f>VLOOKUP($A$5:$A$31,MAI!$A$5:$E$31,4,)</f>
        <v>12020.928</v>
      </c>
      <c r="U27" s="591">
        <f>VLOOKUP($A$5:$A$31,MAI!$A$5:$E$31,5,)</f>
        <v>20886.192000000003</v>
      </c>
      <c r="V27" s="591">
        <f>VLOOKUP($A$5:$A$31,JUN!$A$5:$E$31,4,)</f>
        <v>11502.400000000001</v>
      </c>
      <c r="W27" s="591">
        <f>VLOOKUP($A$5:$A$31,JUN!$A$5:$E$31,5,)</f>
        <v>12524.903999999999</v>
      </c>
      <c r="X27" s="591">
        <f>VLOOKUP($A$5:$A$31,JUL!$A$5:$E$31,4,)</f>
        <v>27116.208000000002</v>
      </c>
      <c r="Y27" s="591">
        <f>VLOOKUP($A$5:$A$31,JUL!$A$5:$E$31,5,)</f>
        <v>15989.368</v>
      </c>
      <c r="Z27" s="592">
        <f>VLOOKUP($A$5:$A$31,AGO!$A$5:$E$31,4,)</f>
        <v>123189.72</v>
      </c>
      <c r="AA27" s="592">
        <f>VLOOKUP($A$5:$A$31,AGO!$A$5:$E$31,5,)</f>
        <v>14353.056000000006</v>
      </c>
      <c r="AB27" s="592">
        <f>VLOOKUP($A$5:$A$31,SET!$A$5:$E$31,4,)</f>
        <v>41676.880000000005</v>
      </c>
      <c r="AC27" s="592">
        <f>VLOOKUP($A$5:$A$31,SET!$A$5:$E$31,5,)</f>
        <v>10738.72800000001</v>
      </c>
      <c r="AD27" s="592">
        <f>VLOOKUP($A$5:$A$31,OUT!$A$5:$E$31,4,)</f>
        <v>0</v>
      </c>
      <c r="AE27" s="592">
        <f>VLOOKUP($A$5:$A$31,OUT!$A$5:$E$31,5,)</f>
        <v>0</v>
      </c>
      <c r="AF27" s="592">
        <f>VLOOKUP($A$5:$A$31,NOV!$A$5:$E$31,4,)</f>
        <v>0</v>
      </c>
      <c r="AG27" s="592">
        <f>VLOOKUP($A$5:$A$31,NOV!$A$5:$E$31,5,)</f>
        <v>0</v>
      </c>
      <c r="AH27" s="592">
        <f>VLOOKUP($A$5:$A$31,DEZ!$A$5:$E$31,4,)</f>
        <v>0</v>
      </c>
      <c r="AI27" s="592">
        <f>VLOOKUP($A$5:$A$31,DEZ!$A$5:$E$31,5,)</f>
        <v>0</v>
      </c>
      <c r="AJ27" s="593">
        <f t="shared" si="5"/>
        <v>488201.28800000006</v>
      </c>
      <c r="AK27" s="636">
        <f t="shared" si="1"/>
        <v>472.88501524134807</v>
      </c>
      <c r="AL27" s="594">
        <f t="shared" si="2"/>
        <v>7.8082518606697642</v>
      </c>
      <c r="AM27" s="597"/>
      <c r="AN27" s="637">
        <f t="shared" si="6"/>
        <v>313537.40000000002</v>
      </c>
      <c r="AO27" s="637">
        <f t="shared" si="7"/>
        <v>174663.88800000001</v>
      </c>
      <c r="AP27" s="596">
        <f t="shared" si="8"/>
        <v>5.3836422047806538</v>
      </c>
      <c r="AQ27" s="596">
        <f t="shared" si="9"/>
        <v>3.8814197333333333</v>
      </c>
      <c r="AR27" s="638">
        <f>'Comparativo YoY'!GD58</f>
        <v>-11.760787597165617</v>
      </c>
    </row>
    <row r="28" spans="1:47" s="578" customFormat="1">
      <c r="A28" s="584" t="s">
        <v>100</v>
      </c>
      <c r="B28" s="585">
        <v>2159</v>
      </c>
      <c r="C28" s="585">
        <v>1224</v>
      </c>
      <c r="D28" s="585">
        <v>341605.97</v>
      </c>
      <c r="E28" s="585">
        <v>196070.56</v>
      </c>
      <c r="F28" s="633">
        <f>VLOOKUP($A$5:$A$31,'Relatórios - SICCAU e IGEO'!$A$3:$H$29,8,)</f>
        <v>2101</v>
      </c>
      <c r="G28" s="590">
        <v>1048</v>
      </c>
      <c r="H28" s="590">
        <v>832</v>
      </c>
      <c r="I28" s="713">
        <f t="shared" si="3"/>
        <v>216</v>
      </c>
      <c r="J28" s="634">
        <f t="shared" si="4"/>
        <v>49.881009043312709</v>
      </c>
      <c r="K28" s="634">
        <f t="shared" si="0"/>
        <v>7.1584699453551908</v>
      </c>
      <c r="L28" s="635">
        <f>VLOOKUP($A$5:$A$31,JAN!$A$5:$E$31,4,)</f>
        <v>17618.096000000001</v>
      </c>
      <c r="M28" s="635">
        <f>VLOOKUP($A$5:$A$31,JAN!$A$5:$E$31,5,)</f>
        <v>18097.256000000005</v>
      </c>
      <c r="N28" s="635">
        <f>VLOOKUP($A$5:$A$31,FEV!$A$5:$E$31,4,)</f>
        <v>20401.960000000003</v>
      </c>
      <c r="O28" s="635">
        <f>VLOOKUP($A$5:$A$31,FEV!$A$5:$E$31,5,)</f>
        <v>28650.312000000002</v>
      </c>
      <c r="P28" s="635">
        <f>VLOOKUP($A$5:$A$31,MAR!$A$5:$U$31,4,)</f>
        <v>13354.128000000001</v>
      </c>
      <c r="Q28" s="635">
        <f>VLOOKUP($A$5:$A$31,MAR!$A$5:$V$31,5,)</f>
        <v>30945.256000000001</v>
      </c>
      <c r="R28" s="591">
        <f>VLOOKUP($A$5:$A$31,ABR!$A$5:$D$31,4,)</f>
        <v>9168.2880000000005</v>
      </c>
      <c r="S28" s="591">
        <f>VLOOKUP($A$5:$A$31,ABR!$A$5:$E$31,5,)</f>
        <v>22138.063999999998</v>
      </c>
      <c r="T28" s="591">
        <f>VLOOKUP($A$5:$A$31,MAI!$A$5:$E$31,4,)</f>
        <v>10899.6</v>
      </c>
      <c r="U28" s="591">
        <f>VLOOKUP($A$5:$A$31,MAI!$A$5:$E$31,5,)</f>
        <v>39991.112000000001</v>
      </c>
      <c r="V28" s="591">
        <f>VLOOKUP($A$5:$A$31,JUN!$A$5:$E$31,4,)</f>
        <v>9691.8320000000003</v>
      </c>
      <c r="W28" s="591">
        <f>VLOOKUP($A$5:$A$31,JUN!$A$5:$E$31,5,)</f>
        <v>24699.256000000001</v>
      </c>
      <c r="X28" s="591">
        <f>VLOOKUP($A$5:$A$31,JUL!$A$5:$E$31,4,)</f>
        <v>17864.024000000001</v>
      </c>
      <c r="Y28" s="591">
        <f>VLOOKUP($A$5:$A$31,JUL!$A$5:$E$31,5,)</f>
        <v>14954.559999999998</v>
      </c>
      <c r="Z28" s="592">
        <f>VLOOKUP($A$5:$A$31,AGO!$A$5:$E$31,4,)</f>
        <v>70588.968000000008</v>
      </c>
      <c r="AA28" s="592">
        <f>VLOOKUP($A$5:$A$31,AGO!$A$5:$E$31,5,)</f>
        <v>15612.047999999999</v>
      </c>
      <c r="AB28" s="592">
        <f>VLOOKUP($A$5:$A$31,SET!$A$5:$E$31,4,)</f>
        <v>42756.72</v>
      </c>
      <c r="AC28" s="592">
        <f>VLOOKUP($A$5:$A$31,SET!$A$5:$E$31,5,)</f>
        <v>25799.43199999999</v>
      </c>
      <c r="AD28" s="592">
        <f>VLOOKUP($A$5:$A$31,OUT!$A$5:$E$31,4,)</f>
        <v>0</v>
      </c>
      <c r="AE28" s="592">
        <f>VLOOKUP($A$5:$A$31,OUT!$A$5:$E$31,5,)</f>
        <v>0</v>
      </c>
      <c r="AF28" s="592">
        <f>VLOOKUP($A$5:$A$31,NOV!$A$5:$E$31,4,)</f>
        <v>0</v>
      </c>
      <c r="AG28" s="592">
        <f>VLOOKUP($A$5:$A$31,NOV!$A$5:$E$31,5,)</f>
        <v>0</v>
      </c>
      <c r="AH28" s="592">
        <f>VLOOKUP($A$5:$A$31,DEZ!$A$5:$E$31,4,)</f>
        <v>0</v>
      </c>
      <c r="AI28" s="592">
        <f>VLOOKUP($A$5:$A$31,DEZ!$A$5:$E$31,5,)</f>
        <v>0</v>
      </c>
      <c r="AJ28" s="593">
        <f t="shared" si="5"/>
        <v>433230.91199999995</v>
      </c>
      <c r="AK28" s="636">
        <f t="shared" si="1"/>
        <v>80.57463694760861</v>
      </c>
      <c r="AL28" s="594">
        <f t="shared" si="2"/>
        <v>6.9290601189967731</v>
      </c>
      <c r="AM28" s="597"/>
      <c r="AN28" s="637">
        <f t="shared" si="6"/>
        <v>212343.61600000001</v>
      </c>
      <c r="AO28" s="637">
        <f t="shared" si="7"/>
        <v>220887.296</v>
      </c>
      <c r="AP28" s="596">
        <f t="shared" si="8"/>
        <v>0.6216039374253326</v>
      </c>
      <c r="AQ28" s="596">
        <f t="shared" si="9"/>
        <v>1.1265704346435284</v>
      </c>
      <c r="AR28" s="638">
        <f>'Comparativo YoY'!GD59</f>
        <v>-11.170461827611888</v>
      </c>
    </row>
    <row r="29" spans="1:47" s="578" customFormat="1">
      <c r="A29" s="584" t="s">
        <v>102</v>
      </c>
      <c r="B29" s="585">
        <v>201</v>
      </c>
      <c r="C29" s="585">
        <v>122</v>
      </c>
      <c r="D29" s="585">
        <v>58238.9</v>
      </c>
      <c r="E29" s="585">
        <v>45000</v>
      </c>
      <c r="F29" s="633">
        <f>VLOOKUP($A$5:$A$31,'Relatórios - SICCAU e IGEO'!$A$3:$H$29,8,)</f>
        <v>195</v>
      </c>
      <c r="G29" s="590">
        <v>93</v>
      </c>
      <c r="H29" s="590">
        <v>74</v>
      </c>
      <c r="I29" s="713">
        <f t="shared" si="3"/>
        <v>19</v>
      </c>
      <c r="J29" s="634">
        <f t="shared" si="4"/>
        <v>47.692307692307693</v>
      </c>
      <c r="K29" s="634">
        <f t="shared" si="0"/>
        <v>0.63524590163934425</v>
      </c>
      <c r="L29" s="635">
        <f>VLOOKUP($A$5:$A$31,JAN!$A$5:$E$31,4,)</f>
        <v>2397.5439999999999</v>
      </c>
      <c r="M29" s="635">
        <f>VLOOKUP($A$5:$A$31,JAN!$A$5:$E$31,5,)</f>
        <v>1317.5360000000001</v>
      </c>
      <c r="N29" s="635">
        <f>VLOOKUP($A$5:$A$31,FEV!$A$5:$E$31,4,)</f>
        <v>1274.856</v>
      </c>
      <c r="O29" s="635">
        <f>VLOOKUP($A$5:$A$31,FEV!$A$5:$E$31,5,)</f>
        <v>773.58399999999983</v>
      </c>
      <c r="P29" s="635">
        <f>VLOOKUP($A$5:$A$31,MAR!$A$5:$U$31,4,)</f>
        <v>923.16800000000012</v>
      </c>
      <c r="Q29" s="635">
        <f>VLOOKUP($A$5:$A$31,MAR!$A$5:$V$31,5,)</f>
        <v>1025</v>
      </c>
      <c r="R29" s="591">
        <f>VLOOKUP($A$5:$A$31,ABR!$A$5:$D$31,4,)</f>
        <v>913.024</v>
      </c>
      <c r="S29" s="591">
        <f>VLOOKUP($A$5:$A$31,ABR!$A$5:$E$31,5,)</f>
        <v>1194.6479999999999</v>
      </c>
      <c r="T29" s="591">
        <f>VLOOKUP($A$5:$A$31,MAI!$A$5:$E$31,4,)</f>
        <v>941.76800000000003</v>
      </c>
      <c r="U29" s="591">
        <f>VLOOKUP($A$5:$A$31,MAI!$A$5:$E$31,5,)</f>
        <v>4216.3680000000004</v>
      </c>
      <c r="V29" s="591">
        <f>VLOOKUP($A$5:$A$31,JUN!$A$5:$E$31,4,)</f>
        <v>769.29600000000005</v>
      </c>
      <c r="W29" s="591">
        <f>VLOOKUP($A$5:$A$31,JUN!$A$5:$E$31,5,)</f>
        <v>772.54399999999998</v>
      </c>
      <c r="X29" s="591">
        <f>VLOOKUP($A$5:$A$31,JUL!$A$5:$E$31,4,)</f>
        <v>1799</v>
      </c>
      <c r="Y29" s="591">
        <f>VLOOKUP($A$5:$A$31,JUL!$A$5:$E$31,5,)</f>
        <v>101.74399999999987</v>
      </c>
      <c r="Z29" s="592">
        <f>VLOOKUP($A$5:$A$31,AGO!$A$5:$E$31,4,)</f>
        <v>3980.6080000000002</v>
      </c>
      <c r="AA29" s="592">
        <f>VLOOKUP($A$5:$A$31,AGO!$A$5:$E$31,5,)</f>
        <v>3020.0479999999998</v>
      </c>
      <c r="AB29" s="592">
        <f>VLOOKUP($A$5:$A$31,SET!$A$5:$E$31,4,)</f>
        <v>941.18400000000008</v>
      </c>
      <c r="AC29" s="592">
        <f>VLOOKUP($A$5:$A$31,SET!$A$5:$E$31,5,)</f>
        <v>1642.7200000000003</v>
      </c>
      <c r="AD29" s="592">
        <f>VLOOKUP($A$5:$A$31,OUT!$A$5:$E$31,4,)</f>
        <v>0</v>
      </c>
      <c r="AE29" s="592">
        <f>VLOOKUP($A$5:$A$31,OUT!$A$5:$E$31,5,)</f>
        <v>0</v>
      </c>
      <c r="AF29" s="592">
        <f>VLOOKUP($A$5:$A$31,NOV!$A$5:$E$31,4,)</f>
        <v>0</v>
      </c>
      <c r="AG29" s="592">
        <f>VLOOKUP($A$5:$A$31,NOV!$A$5:$E$31,5,)</f>
        <v>0</v>
      </c>
      <c r="AH29" s="592">
        <f>VLOOKUP($A$5:$A$31,DEZ!$A$5:$E$31,4,)</f>
        <v>0</v>
      </c>
      <c r="AI29" s="592">
        <f>VLOOKUP($A$5:$A$31,DEZ!$A$5:$E$31,5,)</f>
        <v>0</v>
      </c>
      <c r="AJ29" s="593">
        <f t="shared" si="5"/>
        <v>28004.639999999999</v>
      </c>
      <c r="AK29" s="636">
        <f t="shared" si="1"/>
        <v>27.126054229558822</v>
      </c>
      <c r="AL29" s="594">
        <f t="shared" si="2"/>
        <v>0.44790394405388551</v>
      </c>
      <c r="AM29" s="597"/>
      <c r="AN29" s="637">
        <f t="shared" si="6"/>
        <v>13940.447999999999</v>
      </c>
      <c r="AO29" s="637">
        <f t="shared" si="7"/>
        <v>14064.192000000003</v>
      </c>
      <c r="AP29" s="596">
        <f t="shared" si="8"/>
        <v>0.23936660891603376</v>
      </c>
      <c r="AQ29" s="596">
        <f t="shared" si="9"/>
        <v>0.31253760000000008</v>
      </c>
      <c r="AR29" s="638">
        <f>'Comparativo YoY'!GD60</f>
        <v>-2.5037435716952672</v>
      </c>
    </row>
    <row r="30" spans="1:47" s="578" customFormat="1">
      <c r="A30" s="584" t="s">
        <v>101</v>
      </c>
      <c r="B30" s="585">
        <v>8228</v>
      </c>
      <c r="C30" s="585">
        <v>4832</v>
      </c>
      <c r="D30" s="585">
        <v>1218522.2080000001</v>
      </c>
      <c r="E30" s="585">
        <v>507349.61600000004</v>
      </c>
      <c r="F30" s="633">
        <f>VLOOKUP($A$5:$A$31,'Relatórios - SICCAU e IGEO'!$A$3:$H$29,8,)</f>
        <v>8410</v>
      </c>
      <c r="G30" s="590">
        <v>4432</v>
      </c>
      <c r="H30" s="590">
        <v>3425</v>
      </c>
      <c r="I30" s="713">
        <f t="shared" si="3"/>
        <v>1007</v>
      </c>
      <c r="J30" s="634">
        <f t="shared" si="4"/>
        <v>52.699167657550539</v>
      </c>
      <c r="K30" s="634">
        <f t="shared" si="0"/>
        <v>30.273224043715846</v>
      </c>
      <c r="L30" s="635">
        <f>VLOOKUP($A$5:$A$31,JAN!$A$5:$E$31,4,)</f>
        <v>109741.11200000002</v>
      </c>
      <c r="M30" s="635">
        <f>VLOOKUP($A$5:$A$31,JAN!$A$5:$E$31,5,)</f>
        <v>64372.064000000006</v>
      </c>
      <c r="N30" s="635">
        <f>VLOOKUP($A$5:$A$31,FEV!$A$5:$E$31,4,)</f>
        <v>100539.39200000001</v>
      </c>
      <c r="O30" s="635">
        <f>VLOOKUP($A$5:$A$31,FEV!$A$5:$E$31,5,)</f>
        <v>80940.640000000014</v>
      </c>
      <c r="P30" s="635">
        <f>VLOOKUP($A$5:$A$31,MAR!$A$5:$U$31,4,)</f>
        <v>56169.768000000011</v>
      </c>
      <c r="Q30" s="635">
        <f>VLOOKUP($A$5:$A$31,MAR!$A$5:$V$31,5,)</f>
        <v>93335.216000000015</v>
      </c>
      <c r="R30" s="591">
        <f>VLOOKUP($A$5:$A$31,ABR!$A$5:$D$31,4,)</f>
        <v>29190.528000000006</v>
      </c>
      <c r="S30" s="591">
        <f>VLOOKUP($A$5:$A$31,ABR!$A$5:$E$31,5,)</f>
        <v>56751.528000000006</v>
      </c>
      <c r="T30" s="591">
        <f>VLOOKUP($A$5:$A$31,MAI!$A$5:$E$31,4,)</f>
        <v>28406.184000000005</v>
      </c>
      <c r="U30" s="591">
        <f>VLOOKUP($A$5:$A$31,MAI!$A$5:$E$31,5,)</f>
        <v>69605.208000000013</v>
      </c>
      <c r="V30" s="591">
        <f>VLOOKUP($A$5:$A$31,JUN!$A$5:$E$31,4,)</f>
        <v>30339.304</v>
      </c>
      <c r="W30" s="591">
        <f>VLOOKUP($A$5:$A$31,JUN!$A$5:$E$31,5,)</f>
        <v>68904.552000000011</v>
      </c>
      <c r="X30" s="591">
        <f>VLOOKUP($A$5:$A$31,JUL!$A$5:$E$31,4,)</f>
        <v>54922.92</v>
      </c>
      <c r="Y30" s="591">
        <f>VLOOKUP($A$5:$A$31,JUL!$A$5:$E$31,5,)</f>
        <v>47690.504000000008</v>
      </c>
      <c r="Z30" s="592">
        <f>VLOOKUP($A$5:$A$31,AGO!$A$5:$E$31,4,)</f>
        <v>282244.21600000001</v>
      </c>
      <c r="AA30" s="592">
        <f>VLOOKUP($A$5:$A$31,AGO!$A$5:$E$31,5,)</f>
        <v>183847.71999999994</v>
      </c>
      <c r="AB30" s="592">
        <f>VLOOKUP($A$5:$A$31,SET!$A$5:$E$31,4,)</f>
        <v>152503.47200000001</v>
      </c>
      <c r="AC30" s="592">
        <f>VLOOKUP($A$5:$A$31,SET!$A$5:$E$31,5,)</f>
        <v>181900.568</v>
      </c>
      <c r="AD30" s="592">
        <f>VLOOKUP($A$5:$A$31,OUT!$A$5:$E$31,4,)</f>
        <v>0</v>
      </c>
      <c r="AE30" s="592">
        <f>VLOOKUP($A$5:$A$31,OUT!$A$5:$E$31,5,)</f>
        <v>0</v>
      </c>
      <c r="AF30" s="592">
        <f>VLOOKUP($A$5:$A$31,NOV!$A$5:$E$31,4,)</f>
        <v>0</v>
      </c>
      <c r="AG30" s="592">
        <f>VLOOKUP($A$5:$A$31,NOV!$A$5:$E$31,5,)</f>
        <v>0</v>
      </c>
      <c r="AH30" s="592">
        <f>VLOOKUP($A$5:$A$31,DEZ!$A$5:$E$31,4,)</f>
        <v>0</v>
      </c>
      <c r="AI30" s="592">
        <f>VLOOKUP($A$5:$A$31,DEZ!$A$5:$E$31,5,)</f>
        <v>0</v>
      </c>
      <c r="AJ30" s="593">
        <f t="shared" si="5"/>
        <v>1691404.8960000002</v>
      </c>
      <c r="AK30" s="636">
        <f t="shared" si="1"/>
        <v>98.0029265487331</v>
      </c>
      <c r="AL30" s="594">
        <f t="shared" si="2"/>
        <v>27.052192919118124</v>
      </c>
      <c r="AM30" s="597"/>
      <c r="AN30" s="637">
        <f t="shared" si="6"/>
        <v>844056.89599999995</v>
      </c>
      <c r="AO30" s="637">
        <f t="shared" si="7"/>
        <v>847348</v>
      </c>
      <c r="AP30" s="596">
        <f t="shared" si="8"/>
        <v>0.69268897231292803</v>
      </c>
      <c r="AQ30" s="596">
        <f t="shared" si="9"/>
        <v>1.6701461344951525</v>
      </c>
      <c r="AR30" s="638">
        <f>'Comparativo YoY'!GD61</f>
        <v>-13.385251420531347</v>
      </c>
    </row>
    <row r="31" spans="1:47" s="578" customFormat="1">
      <c r="A31" s="584" t="s">
        <v>103</v>
      </c>
      <c r="B31" s="585">
        <v>241</v>
      </c>
      <c r="C31" s="585">
        <v>100</v>
      </c>
      <c r="D31" s="585">
        <v>58238.9</v>
      </c>
      <c r="E31" s="585">
        <v>45000</v>
      </c>
      <c r="F31" s="633">
        <f>VLOOKUP($A$5:$A$31,'Relatórios - SICCAU e IGEO'!$A$3:$H$29,8,)</f>
        <v>234</v>
      </c>
      <c r="G31" s="590">
        <v>65</v>
      </c>
      <c r="H31" s="590">
        <v>54</v>
      </c>
      <c r="I31" s="713">
        <f t="shared" si="3"/>
        <v>11</v>
      </c>
      <c r="J31" s="634">
        <f t="shared" si="4"/>
        <v>27.777777777777779</v>
      </c>
      <c r="K31" s="634">
        <f t="shared" si="0"/>
        <v>0.44398907103825136</v>
      </c>
      <c r="L31" s="635">
        <f>VLOOKUP($A$5:$A$31,JAN!$A$5:$E$31,4,)</f>
        <v>1055.056</v>
      </c>
      <c r="M31" s="635">
        <f>VLOOKUP($A$5:$A$31,JAN!$A$5:$E$31,5,)</f>
        <v>115.42400000000001</v>
      </c>
      <c r="N31" s="635">
        <f>VLOOKUP($A$5:$A$31,FEV!$A$5:$E$31,4,)</f>
        <v>869.06399999999996</v>
      </c>
      <c r="O31" s="635">
        <f>VLOOKUP($A$5:$A$31,FEV!$A$5:$E$31,5,)</f>
        <v>3496.4320000000002</v>
      </c>
      <c r="P31" s="635">
        <f>VLOOKUP($A$5:$A$31,MAR!$A$5:$U$31,4,)</f>
        <v>20.288</v>
      </c>
      <c r="Q31" s="635">
        <f>VLOOKUP($A$5:$A$31,MAR!$A$5:$V$31,5,)</f>
        <v>1280.7040000000002</v>
      </c>
      <c r="R31" s="591">
        <f>VLOOKUP($A$5:$A$31,ABR!$A$5:$D$31,4,)</f>
        <v>963.75200000000007</v>
      </c>
      <c r="S31" s="591">
        <f>VLOOKUP($A$5:$A$31,ABR!$A$5:$E$31,5,)</f>
        <v>2451.0240000000003</v>
      </c>
      <c r="T31" s="591">
        <f>VLOOKUP($A$5:$A$31,MAI!$A$5:$E$31,4,)</f>
        <v>1051.672</v>
      </c>
      <c r="U31" s="591">
        <f>VLOOKUP($A$5:$A$31,MAI!$A$5:$E$31,5,)</f>
        <v>2902.9520000000002</v>
      </c>
      <c r="V31" s="591">
        <f>VLOOKUP($A$5:$A$31,JUN!$A$5:$E$31,4,)</f>
        <v>658</v>
      </c>
      <c r="W31" s="591">
        <f>VLOOKUP($A$5:$A$31,JUN!$A$5:$E$31,5,)</f>
        <v>1259.1040000000003</v>
      </c>
      <c r="X31" s="591">
        <f>VLOOKUP($A$5:$A$31,JUL!$A$5:$E$31,4,)</f>
        <v>1477.7520000000002</v>
      </c>
      <c r="Y31" s="591">
        <f>VLOOKUP($A$5:$A$31,JUL!$A$5:$E$31,5,)</f>
        <v>724.65600000000018</v>
      </c>
      <c r="Z31" s="592">
        <f>VLOOKUP($A$5:$A$31,AGO!$A$5:$E$31,4,)</f>
        <v>3709.0160000000005</v>
      </c>
      <c r="AA31" s="592">
        <f>VLOOKUP($A$5:$A$31,AGO!$A$5:$E$31,5,)</f>
        <v>2137.0719999999997</v>
      </c>
      <c r="AB31" s="592">
        <f>VLOOKUP($A$5:$A$31,SET!$A$5:$E$31,4,)</f>
        <v>1090.5520000000001</v>
      </c>
      <c r="AC31" s="592">
        <f>VLOOKUP($A$5:$A$31,SET!$A$5:$E$31,5,)</f>
        <v>1201.864</v>
      </c>
      <c r="AD31" s="592">
        <f>VLOOKUP($A$5:$A$31,OUT!$A$5:$E$31,4,)</f>
        <v>0</v>
      </c>
      <c r="AE31" s="592">
        <f>VLOOKUP($A$5:$A$31,OUT!$A$5:$E$31,5,)</f>
        <v>0</v>
      </c>
      <c r="AF31" s="592">
        <f>VLOOKUP($A$5:$A$31,NOV!$A$5:$E$31,4,)</f>
        <v>0</v>
      </c>
      <c r="AG31" s="592">
        <f>VLOOKUP($A$5:$A$31,NOV!$A$5:$E$31,5,)</f>
        <v>0</v>
      </c>
      <c r="AH31" s="592">
        <f>VLOOKUP($A$5:$A$31,DEZ!$A$5:$E$31,4,)</f>
        <v>0</v>
      </c>
      <c r="AI31" s="592">
        <f>VLOOKUP($A$5:$A$31,DEZ!$A$5:$E$31,5,)</f>
        <v>0</v>
      </c>
      <c r="AJ31" s="593">
        <f t="shared" si="5"/>
        <v>26464.384000000002</v>
      </c>
      <c r="AK31" s="636">
        <f t="shared" si="1"/>
        <v>25.63412047203138</v>
      </c>
      <c r="AL31" s="594">
        <f t="shared" si="2"/>
        <v>0.42326921433578668</v>
      </c>
      <c r="AM31" s="597"/>
      <c r="AN31" s="637">
        <f t="shared" si="6"/>
        <v>10895.152000000002</v>
      </c>
      <c r="AO31" s="637">
        <f t="shared" si="7"/>
        <v>15569.232</v>
      </c>
      <c r="AP31" s="596">
        <f t="shared" si="8"/>
        <v>0.18707688503732045</v>
      </c>
      <c r="AQ31" s="596">
        <f t="shared" si="9"/>
        <v>0.34598293333333335</v>
      </c>
      <c r="AR31" s="638">
        <f>'Comparativo YoY'!GD62</f>
        <v>-17.580493519694073</v>
      </c>
      <c r="AS31" s="165"/>
      <c r="AT31" s="165"/>
      <c r="AU31" s="165"/>
    </row>
    <row r="32" spans="1:47" s="578" customFormat="1">
      <c r="A32" s="598" t="s">
        <v>418</v>
      </c>
      <c r="B32" s="599">
        <f>SUM(B5:B31)</f>
        <v>31610</v>
      </c>
      <c r="C32" s="599">
        <f>SUM(C5:C31)</f>
        <v>17427</v>
      </c>
      <c r="D32" s="599">
        <f t="shared" ref="D32:I32" si="10">SUM(D5:D31)</f>
        <v>4402308.0980000002</v>
      </c>
      <c r="E32" s="599">
        <f t="shared" si="10"/>
        <v>2207722.736</v>
      </c>
      <c r="F32" s="639">
        <f t="shared" si="10"/>
        <v>30981</v>
      </c>
      <c r="G32" s="639">
        <f>SUM(G5:G31)</f>
        <v>14640</v>
      </c>
      <c r="H32" s="639">
        <f t="shared" si="10"/>
        <v>11448</v>
      </c>
      <c r="I32" s="714">
        <f t="shared" si="10"/>
        <v>3192</v>
      </c>
      <c r="J32" s="640">
        <f t="shared" si="4"/>
        <v>47.25476905199961</v>
      </c>
      <c r="K32" s="640">
        <f t="shared" si="0"/>
        <v>100</v>
      </c>
      <c r="L32" s="641">
        <f t="shared" ref="L32:AJ32" si="11">SUM(L5:L31)</f>
        <v>331435.56800000003</v>
      </c>
      <c r="M32" s="641">
        <f t="shared" si="11"/>
        <v>218962.88000000003</v>
      </c>
      <c r="N32" s="641">
        <f t="shared" si="11"/>
        <v>310603.71200000006</v>
      </c>
      <c r="O32" s="641">
        <f t="shared" si="11"/>
        <v>292433.26399999997</v>
      </c>
      <c r="P32" s="641">
        <f t="shared" si="11"/>
        <v>181283.296</v>
      </c>
      <c r="Q32" s="641">
        <f t="shared" si="11"/>
        <v>299137.56</v>
      </c>
      <c r="R32" s="641">
        <f t="shared" si="11"/>
        <v>111453.848</v>
      </c>
      <c r="S32" s="641">
        <f t="shared" si="11"/>
        <v>197974.60799999998</v>
      </c>
      <c r="T32" s="641">
        <f t="shared" si="11"/>
        <v>108088.11200000002</v>
      </c>
      <c r="U32" s="641">
        <f t="shared" si="11"/>
        <v>246985.60000000003</v>
      </c>
      <c r="V32" s="641">
        <f t="shared" si="11"/>
        <v>113487.63199999998</v>
      </c>
      <c r="W32" s="641">
        <f t="shared" si="11"/>
        <v>204553.67200000002</v>
      </c>
      <c r="X32" s="641">
        <f t="shared" si="11"/>
        <v>245828.84000000005</v>
      </c>
      <c r="Y32" s="641">
        <f t="shared" si="11"/>
        <v>173314.88</v>
      </c>
      <c r="Z32" s="641">
        <f t="shared" si="11"/>
        <v>904273.6399999999</v>
      </c>
      <c r="AA32" s="641">
        <f t="shared" si="11"/>
        <v>324026.39199999993</v>
      </c>
      <c r="AB32" s="641">
        <f t="shared" si="11"/>
        <v>435632.75200000009</v>
      </c>
      <c r="AC32" s="641">
        <f t="shared" si="11"/>
        <v>302424.77600000001</v>
      </c>
      <c r="AD32" s="641">
        <f t="shared" si="11"/>
        <v>0</v>
      </c>
      <c r="AE32" s="641">
        <f t="shared" si="11"/>
        <v>0</v>
      </c>
      <c r="AF32" s="641">
        <f t="shared" si="11"/>
        <v>0</v>
      </c>
      <c r="AG32" s="641">
        <f t="shared" si="11"/>
        <v>0</v>
      </c>
      <c r="AH32" s="641">
        <f t="shared" si="11"/>
        <v>0</v>
      </c>
      <c r="AI32" s="641">
        <f t="shared" si="11"/>
        <v>0</v>
      </c>
      <c r="AJ32" s="605">
        <f t="shared" si="11"/>
        <v>5001901.0319999997</v>
      </c>
      <c r="AK32" s="642">
        <f t="shared" si="1"/>
        <v>75.671372155659739</v>
      </c>
      <c r="AL32" s="642">
        <f t="shared" si="2"/>
        <v>80</v>
      </c>
      <c r="AM32" s="597"/>
      <c r="AN32" s="637">
        <f t="shared" si="6"/>
        <v>2742087.4000000004</v>
      </c>
      <c r="AO32" s="637">
        <f t="shared" si="7"/>
        <v>2259813.6320000002</v>
      </c>
      <c r="AP32" s="596">
        <f t="shared" si="8"/>
        <v>0.62287494172562574</v>
      </c>
      <c r="AQ32" s="596">
        <f t="shared" si="9"/>
        <v>1.023594854168318</v>
      </c>
      <c r="AR32" s="638">
        <f>'Comparativo YoY'!GD63</f>
        <v>-10.551925517798324</v>
      </c>
    </row>
    <row r="33" spans="1:44" s="578" customFormat="1">
      <c r="A33" s="607" t="s">
        <v>224</v>
      </c>
      <c r="B33" s="608"/>
      <c r="C33" s="608"/>
      <c r="D33" s="599">
        <v>1186094.26</v>
      </c>
      <c r="E33" s="599">
        <v>592289.79</v>
      </c>
      <c r="F33" s="643"/>
      <c r="G33" s="644"/>
      <c r="H33" s="644"/>
      <c r="I33" s="714"/>
      <c r="J33" s="640"/>
      <c r="K33" s="640"/>
      <c r="L33" s="645">
        <f>JAN!$D$67</f>
        <v>82858.892000000007</v>
      </c>
      <c r="M33" s="645">
        <f>JAN!$E$67</f>
        <v>54740.72</v>
      </c>
      <c r="N33" s="645">
        <f>FEV!$D$67</f>
        <v>77650.928000000029</v>
      </c>
      <c r="O33" s="645">
        <f>FEV!$E$67</f>
        <v>73108.315999999992</v>
      </c>
      <c r="P33" s="645">
        <f>MAR!$U$67</f>
        <v>45320.824000000008</v>
      </c>
      <c r="Q33" s="645">
        <f>MAR!$V$67</f>
        <v>74784.390000000014</v>
      </c>
      <c r="R33" s="645">
        <f>ABR!D67</f>
        <v>27863.462000000003</v>
      </c>
      <c r="S33" s="645">
        <f>ABR!E67</f>
        <v>49493.651999999995</v>
      </c>
      <c r="T33" s="645">
        <f>MAI!D67</f>
        <v>27022.028000000006</v>
      </c>
      <c r="U33" s="645">
        <f>MAI!E67</f>
        <v>61746.400000000009</v>
      </c>
      <c r="V33" s="645">
        <f>JUN!D67</f>
        <v>28371.907999999996</v>
      </c>
      <c r="W33" s="645">
        <f>JUN!E67</f>
        <v>51138.418000000005</v>
      </c>
      <c r="X33" s="645">
        <f>JUL!D67</f>
        <v>61457.210000000014</v>
      </c>
      <c r="Y33" s="645">
        <f>JUL!E67</f>
        <v>43328.72</v>
      </c>
      <c r="Z33" s="645">
        <f>AGO!D67</f>
        <v>226068.40999999997</v>
      </c>
      <c r="AA33" s="645">
        <f>AGO!E67</f>
        <v>81006.597999999998</v>
      </c>
      <c r="AB33" s="645">
        <f>SET!D67</f>
        <v>108908.18800000002</v>
      </c>
      <c r="AC33" s="645">
        <f>SET!E67</f>
        <v>75606.193999999989</v>
      </c>
      <c r="AD33" s="645">
        <f>OUT!D67</f>
        <v>0</v>
      </c>
      <c r="AE33" s="645">
        <f>OUT!E67</f>
        <v>0</v>
      </c>
      <c r="AF33" s="645">
        <f>NOV!D67</f>
        <v>0</v>
      </c>
      <c r="AG33" s="645">
        <f>NOV!E67</f>
        <v>0</v>
      </c>
      <c r="AH33" s="645">
        <f>DEZ!D67</f>
        <v>0</v>
      </c>
      <c r="AI33" s="645">
        <f>DEZ!E67</f>
        <v>0</v>
      </c>
      <c r="AJ33" s="605">
        <f>SUM(L33:AI33)</f>
        <v>1250475.2579999999</v>
      </c>
      <c r="AK33" s="642">
        <f t="shared" si="1"/>
        <v>70.315253783343351</v>
      </c>
      <c r="AL33" s="642">
        <f t="shared" si="2"/>
        <v>20</v>
      </c>
      <c r="AM33" s="597"/>
      <c r="AN33" s="637">
        <f t="shared" si="6"/>
        <v>685521.85000000009</v>
      </c>
      <c r="AO33" s="637">
        <f t="shared" si="7"/>
        <v>564953.40800000005</v>
      </c>
      <c r="AP33" s="596">
        <f t="shared" si="8"/>
        <v>0.57796574279012203</v>
      </c>
      <c r="AQ33" s="596">
        <f t="shared" si="9"/>
        <v>0.95384627177179604</v>
      </c>
      <c r="AR33" s="638">
        <f>'Comparativo YoY'!GD64</f>
        <v>-10.551925517798296</v>
      </c>
    </row>
    <row r="34" spans="1:44" s="578" customFormat="1">
      <c r="A34" s="607" t="s">
        <v>118</v>
      </c>
      <c r="B34" s="599">
        <f>SUM(B32:B33)</f>
        <v>31610</v>
      </c>
      <c r="C34" s="599">
        <f>SUM(C32:C33)</f>
        <v>17427</v>
      </c>
      <c r="D34" s="599">
        <f>D32+D33</f>
        <v>5588402.358</v>
      </c>
      <c r="E34" s="599">
        <f>E32+E33</f>
        <v>2800012.5260000001</v>
      </c>
      <c r="F34" s="639">
        <f>F32</f>
        <v>30981</v>
      </c>
      <c r="G34" s="639">
        <f>G32</f>
        <v>14640</v>
      </c>
      <c r="H34" s="639">
        <f>H32</f>
        <v>11448</v>
      </c>
      <c r="I34" s="714">
        <f>I32</f>
        <v>3192</v>
      </c>
      <c r="J34" s="640">
        <f>G34/F34*100</f>
        <v>47.25476905199961</v>
      </c>
      <c r="K34" s="640">
        <f>G34/$G$32*100</f>
        <v>100</v>
      </c>
      <c r="L34" s="646">
        <f t="shared" ref="L34:AJ34" si="12">L32+L33</f>
        <v>414294.46</v>
      </c>
      <c r="M34" s="646">
        <f t="shared" si="12"/>
        <v>273703.60000000003</v>
      </c>
      <c r="N34" s="646">
        <f t="shared" si="12"/>
        <v>388254.64000000007</v>
      </c>
      <c r="O34" s="646">
        <f t="shared" si="12"/>
        <v>365541.57999999996</v>
      </c>
      <c r="P34" s="646">
        <f t="shared" si="12"/>
        <v>226604.12</v>
      </c>
      <c r="Q34" s="646">
        <f t="shared" si="12"/>
        <v>373921.95</v>
      </c>
      <c r="R34" s="646">
        <f t="shared" si="12"/>
        <v>139317.31</v>
      </c>
      <c r="S34" s="646">
        <f t="shared" si="12"/>
        <v>247468.25999999998</v>
      </c>
      <c r="T34" s="646">
        <f t="shared" si="12"/>
        <v>135110.14000000001</v>
      </c>
      <c r="U34" s="646">
        <f t="shared" si="12"/>
        <v>308732.00000000006</v>
      </c>
      <c r="V34" s="646">
        <f t="shared" si="12"/>
        <v>141859.53999999998</v>
      </c>
      <c r="W34" s="646">
        <f t="shared" si="12"/>
        <v>255692.09000000003</v>
      </c>
      <c r="X34" s="646">
        <f t="shared" si="12"/>
        <v>307286.05000000005</v>
      </c>
      <c r="Y34" s="646">
        <f t="shared" si="12"/>
        <v>216643.6</v>
      </c>
      <c r="Z34" s="646">
        <f t="shared" si="12"/>
        <v>1130342.0499999998</v>
      </c>
      <c r="AA34" s="646">
        <f t="shared" si="12"/>
        <v>405032.98999999993</v>
      </c>
      <c r="AB34" s="646">
        <f t="shared" si="12"/>
        <v>544540.94000000018</v>
      </c>
      <c r="AC34" s="646">
        <f t="shared" si="12"/>
        <v>378030.97</v>
      </c>
      <c r="AD34" s="646">
        <f t="shared" si="12"/>
        <v>0</v>
      </c>
      <c r="AE34" s="646">
        <f t="shared" si="12"/>
        <v>0</v>
      </c>
      <c r="AF34" s="646">
        <f t="shared" si="12"/>
        <v>0</v>
      </c>
      <c r="AG34" s="646">
        <f t="shared" si="12"/>
        <v>0</v>
      </c>
      <c r="AH34" s="646">
        <f t="shared" si="12"/>
        <v>0</v>
      </c>
      <c r="AI34" s="646">
        <f t="shared" si="12"/>
        <v>0</v>
      </c>
      <c r="AJ34" s="605">
        <f t="shared" si="12"/>
        <v>6252376.2899999991</v>
      </c>
      <c r="AK34" s="642">
        <f t="shared" si="1"/>
        <v>74.535849459779769</v>
      </c>
      <c r="AL34" s="642">
        <f t="shared" si="2"/>
        <v>100</v>
      </c>
      <c r="AM34" s="597"/>
      <c r="AN34" s="637">
        <f t="shared" si="6"/>
        <v>3427609.25</v>
      </c>
      <c r="AO34" s="637">
        <f t="shared" si="7"/>
        <v>2824767.04</v>
      </c>
      <c r="AP34" s="596">
        <f t="shared" si="8"/>
        <v>0.61334331897080629</v>
      </c>
      <c r="AQ34" s="596">
        <f t="shared" si="9"/>
        <v>1.0088408583069317</v>
      </c>
      <c r="AR34" s="638">
        <f>'Comparativo YoY'!GD65</f>
        <v>-10.55192551779831</v>
      </c>
    </row>
    <row r="35" spans="1:44">
      <c r="A35" s="167"/>
      <c r="B35" s="647"/>
      <c r="C35" s="647"/>
      <c r="D35" s="647"/>
      <c r="E35" s="647"/>
      <c r="F35" s="647">
        <f>'Relatórios - SICCAU e IGEO'!H30</f>
        <v>30981</v>
      </c>
      <c r="G35" s="647">
        <v>14640</v>
      </c>
      <c r="H35" s="647">
        <v>11448</v>
      </c>
      <c r="I35" s="715">
        <f>G35-H35</f>
        <v>3192</v>
      </c>
      <c r="J35" s="647"/>
      <c r="K35" s="647"/>
      <c r="L35" s="647">
        <f>JAN!$D$102</f>
        <v>414294.46000000008</v>
      </c>
      <c r="M35" s="647">
        <f>JAN!$E$102</f>
        <v>273703.60000000003</v>
      </c>
      <c r="N35" s="647">
        <f>FEV!$D$102</f>
        <v>388254.64</v>
      </c>
      <c r="O35" s="647">
        <f>FEV!$E$102</f>
        <v>365541.57999999996</v>
      </c>
      <c r="P35" s="647">
        <f>MAR!$U$102</f>
        <v>226604.11999999997</v>
      </c>
      <c r="Q35" s="647">
        <f>MAR!$V$102</f>
        <v>373921.94999999995</v>
      </c>
      <c r="R35" s="647">
        <f>ABR!D102</f>
        <v>139317.31</v>
      </c>
      <c r="S35" s="647">
        <f>ABR!E102</f>
        <v>247468.26</v>
      </c>
      <c r="T35" s="647">
        <f>MAI!D102</f>
        <v>135110.14000000001</v>
      </c>
      <c r="U35" s="647">
        <f>MAI!E102</f>
        <v>308732.00000000006</v>
      </c>
      <c r="V35" s="647">
        <f>JUN!D102</f>
        <v>141859.54</v>
      </c>
      <c r="W35" s="647">
        <f>JUN!E102</f>
        <v>255692.09000000003</v>
      </c>
      <c r="X35" s="647">
        <f>JUL!D102</f>
        <v>307286.05000000005</v>
      </c>
      <c r="Y35" s="647">
        <f>JUL!E102</f>
        <v>216643.60000000003</v>
      </c>
      <c r="Z35" s="648">
        <f>AGO!D102</f>
        <v>1130342.05</v>
      </c>
      <c r="AA35" s="648">
        <f>AGO!E102</f>
        <v>405032.99</v>
      </c>
      <c r="AB35" s="648">
        <f>SET!D102</f>
        <v>544540.93999999994</v>
      </c>
      <c r="AC35" s="648">
        <f>SET!E102</f>
        <v>378030.97000000003</v>
      </c>
      <c r="AD35" s="648">
        <f>OUT!D102</f>
        <v>0</v>
      </c>
      <c r="AE35" s="648">
        <f>OUT!E102</f>
        <v>0</v>
      </c>
      <c r="AF35" s="648">
        <f>NOV!D102</f>
        <v>0</v>
      </c>
      <c r="AG35" s="648">
        <f>NOV!E102</f>
        <v>0</v>
      </c>
      <c r="AH35" s="648">
        <f>DEZ!D102</f>
        <v>0</v>
      </c>
      <c r="AI35" s="648">
        <f>DEZ!E102</f>
        <v>0</v>
      </c>
      <c r="AJ35" s="647">
        <f>'ARRECADAÇÃO MENSAL POR RECEITA'!$D$17+'ARRECADAÇÃO MENSAL POR RECEITA'!$E$17</f>
        <v>6252376.290000001</v>
      </c>
      <c r="AM35" s="597"/>
      <c r="AN35" s="649"/>
      <c r="AO35" s="597"/>
      <c r="AP35" s="597"/>
      <c r="AQ35" s="597"/>
      <c r="AR35" s="638"/>
    </row>
    <row r="36" spans="1:44">
      <c r="A36" s="167"/>
      <c r="B36" s="622"/>
      <c r="C36" s="622"/>
      <c r="F36" s="165" t="b">
        <f>F34=F35</f>
        <v>1</v>
      </c>
      <c r="G36" s="165" t="b">
        <f t="shared" ref="G36:I36" si="13">G34=G35</f>
        <v>1</v>
      </c>
      <c r="H36" s="165" t="b">
        <f t="shared" si="13"/>
        <v>1</v>
      </c>
      <c r="I36" s="165" t="b">
        <f t="shared" si="13"/>
        <v>1</v>
      </c>
      <c r="L36" s="165" t="b">
        <f t="shared" ref="L36:AJ36" si="14">L34=L35</f>
        <v>1</v>
      </c>
      <c r="M36" s="165" t="b">
        <f t="shared" si="14"/>
        <v>1</v>
      </c>
      <c r="N36" s="165" t="b">
        <f t="shared" si="14"/>
        <v>1</v>
      </c>
      <c r="O36" s="165" t="b">
        <f t="shared" si="14"/>
        <v>1</v>
      </c>
      <c r="P36" s="165" t="b">
        <f t="shared" si="14"/>
        <v>1</v>
      </c>
      <c r="Q36" s="165" t="b">
        <f t="shared" si="14"/>
        <v>1</v>
      </c>
      <c r="R36" s="165" t="b">
        <f t="shared" si="14"/>
        <v>1</v>
      </c>
      <c r="S36" s="165" t="b">
        <f t="shared" si="14"/>
        <v>1</v>
      </c>
      <c r="T36" s="165" t="b">
        <f t="shared" si="14"/>
        <v>1</v>
      </c>
      <c r="U36" s="165" t="b">
        <f t="shared" si="14"/>
        <v>1</v>
      </c>
      <c r="V36" s="165" t="b">
        <f t="shared" si="14"/>
        <v>1</v>
      </c>
      <c r="W36" s="165" t="b">
        <f t="shared" si="14"/>
        <v>1</v>
      </c>
      <c r="X36" s="165" t="b">
        <f t="shared" si="14"/>
        <v>1</v>
      </c>
      <c r="Y36" s="165" t="b">
        <f t="shared" si="14"/>
        <v>1</v>
      </c>
      <c r="Z36" s="165" t="b">
        <f t="shared" si="14"/>
        <v>1</v>
      </c>
      <c r="AA36" s="165" t="b">
        <f t="shared" si="14"/>
        <v>1</v>
      </c>
      <c r="AB36" s="165" t="b">
        <f t="shared" si="14"/>
        <v>1</v>
      </c>
      <c r="AC36" s="165" t="b">
        <f t="shared" si="14"/>
        <v>1</v>
      </c>
      <c r="AD36" s="165" t="b">
        <f t="shared" si="14"/>
        <v>1</v>
      </c>
      <c r="AE36" s="165" t="b">
        <f t="shared" si="14"/>
        <v>1</v>
      </c>
      <c r="AF36" s="165" t="b">
        <f t="shared" si="14"/>
        <v>1</v>
      </c>
      <c r="AG36" s="165" t="b">
        <f t="shared" si="14"/>
        <v>1</v>
      </c>
      <c r="AH36" s="165" t="b">
        <f t="shared" si="14"/>
        <v>1</v>
      </c>
      <c r="AI36" s="165" t="b">
        <f t="shared" si="14"/>
        <v>1</v>
      </c>
      <c r="AJ36" s="165" t="b">
        <f t="shared" si="14"/>
        <v>1</v>
      </c>
      <c r="AM36" s="650"/>
      <c r="AN36" s="651"/>
      <c r="AO36" s="650"/>
      <c r="AP36" s="650"/>
      <c r="AQ36" s="650"/>
      <c r="AR36" s="652"/>
    </row>
    <row r="37" spans="1:44">
      <c r="A37" s="891"/>
      <c r="B37" s="891"/>
      <c r="C37" s="891"/>
      <c r="D37" s="891"/>
      <c r="E37" s="891"/>
      <c r="F37" s="891"/>
      <c r="G37" s="891"/>
      <c r="H37" s="577"/>
      <c r="I37" s="716"/>
    </row>
    <row r="38" spans="1:44">
      <c r="B38" s="622"/>
      <c r="C38" s="622"/>
      <c r="F38" s="622"/>
      <c r="K38" s="623"/>
      <c r="L38" s="624"/>
      <c r="M38" s="624"/>
      <c r="N38" s="623"/>
      <c r="O38" s="623"/>
      <c r="P38" s="624"/>
      <c r="Q38" s="624"/>
      <c r="V38" s="622"/>
      <c r="W38" s="622"/>
    </row>
    <row r="39" spans="1:44" ht="63">
      <c r="B39" s="622"/>
      <c r="C39" s="622"/>
      <c r="D39" s="627"/>
      <c r="E39" s="627"/>
      <c r="F39" s="622"/>
      <c r="H39" s="629" t="s">
        <v>316</v>
      </c>
      <c r="K39" s="630"/>
      <c r="L39" s="875"/>
      <c r="M39" s="875"/>
      <c r="N39" s="875"/>
      <c r="O39" s="875"/>
      <c r="P39" s="875"/>
      <c r="Q39" s="631"/>
      <c r="V39" s="622"/>
      <c r="W39" s="622"/>
    </row>
  </sheetData>
  <mergeCells count="32">
    <mergeCell ref="X3:Y3"/>
    <mergeCell ref="V3:W3"/>
    <mergeCell ref="T3:U3"/>
    <mergeCell ref="R3:S3"/>
    <mergeCell ref="P3:Q3"/>
    <mergeCell ref="A1:AL1"/>
    <mergeCell ref="B2:E2"/>
    <mergeCell ref="AH3:AI3"/>
    <mergeCell ref="AF3:AG3"/>
    <mergeCell ref="AD3:AE3"/>
    <mergeCell ref="AB3:AC3"/>
    <mergeCell ref="Z3:AA3"/>
    <mergeCell ref="AL2:AL4"/>
    <mergeCell ref="L2:AI2"/>
    <mergeCell ref="B3:B4"/>
    <mergeCell ref="C3:C4"/>
    <mergeCell ref="D3:D4"/>
    <mergeCell ref="E3:E4"/>
    <mergeCell ref="F3:F4"/>
    <mergeCell ref="AK2:AK4"/>
    <mergeCell ref="AJ2:AJ4"/>
    <mergeCell ref="A2:A4"/>
    <mergeCell ref="L39:P39"/>
    <mergeCell ref="F2:I2"/>
    <mergeCell ref="A37:G37"/>
    <mergeCell ref="N3:O3"/>
    <mergeCell ref="L3:M3"/>
    <mergeCell ref="G3:G4"/>
    <mergeCell ref="H3:H4"/>
    <mergeCell ref="I3:I4"/>
    <mergeCell ref="J2:J4"/>
    <mergeCell ref="K2:K4"/>
  </mergeCells>
  <conditionalFormatting sqref="F36:AJ36">
    <cfRule type="cellIs" dxfId="117" priority="2" operator="equal">
      <formula>TRUE</formula>
    </cfRule>
  </conditionalFormatting>
  <conditionalFormatting sqref="D36:E36">
    <cfRule type="cellIs" dxfId="116" priority="1" operator="equal">
      <formula>TRUE</formula>
    </cfRule>
  </conditionalFormatting>
  <printOptions horizontalCentered="1"/>
  <pageMargins left="0.51181102362204722" right="0.51181102362204722" top="0.78740157480314965" bottom="0.78740157480314965" header="0.31496062992125984" footer="0.31496062992125984"/>
  <pageSetup paperSize="9" scale="19" orientation="landscape" r:id="rId1"/>
  <colBreaks count="1" manualBreakCount="1">
    <brk id="38" max="72" man="1"/>
  </colBreaks>
  <ignoredErrors>
    <ignoredError sqref="AJ3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pageSetUpPr fitToPage="1"/>
  </sheetPr>
  <dimension ref="A1:Z104"/>
  <sheetViews>
    <sheetView topLeftCell="K1" zoomScale="70" zoomScaleNormal="70" workbookViewId="0">
      <selection activeCell="EF33" sqref="EF33"/>
    </sheetView>
  </sheetViews>
  <sheetFormatPr defaultRowHeight="15"/>
  <cols>
    <col min="1" max="1" width="19.28515625" style="10" customWidth="1"/>
    <col min="2" max="11" width="21.140625" style="10" customWidth="1"/>
    <col min="12" max="12" width="19.5703125" style="10" customWidth="1"/>
    <col min="13" max="13" width="13.140625" style="10" customWidth="1"/>
    <col min="14" max="18" width="21.140625" style="10" customWidth="1"/>
    <col min="19" max="24" width="16.7109375" style="10" customWidth="1"/>
    <col min="25" max="25" width="18" style="10" bestFit="1" customWidth="1"/>
    <col min="26" max="16384" width="9.140625" style="10"/>
  </cols>
  <sheetData>
    <row r="1" spans="1:25">
      <c r="A1" s="370"/>
    </row>
    <row r="2" spans="1:25" ht="46.5">
      <c r="A2" s="837" t="s">
        <v>53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</row>
    <row r="3" spans="1:25" ht="35.1" customHeight="1">
      <c r="A3" s="835" t="s">
        <v>33</v>
      </c>
      <c r="B3" s="833" t="s">
        <v>27</v>
      </c>
      <c r="C3" s="834"/>
      <c r="D3" s="833" t="s">
        <v>29</v>
      </c>
      <c r="E3" s="834"/>
      <c r="F3" s="835" t="s">
        <v>28</v>
      </c>
      <c r="G3" s="835" t="s">
        <v>36</v>
      </c>
      <c r="H3" s="835" t="s">
        <v>30</v>
      </c>
      <c r="I3" s="835" t="s">
        <v>31</v>
      </c>
      <c r="J3" s="835" t="s">
        <v>41</v>
      </c>
      <c r="K3" s="835" t="s">
        <v>35</v>
      </c>
      <c r="L3" s="835" t="s">
        <v>40</v>
      </c>
      <c r="M3" s="835" t="s">
        <v>42</v>
      </c>
      <c r="N3" s="835" t="s">
        <v>45</v>
      </c>
      <c r="O3" s="835" t="s">
        <v>279</v>
      </c>
      <c r="P3" s="833" t="s">
        <v>49</v>
      </c>
      <c r="Q3" s="834"/>
      <c r="R3" s="835" t="s">
        <v>34</v>
      </c>
      <c r="S3" s="357"/>
      <c r="T3" s="357"/>
      <c r="U3" s="357"/>
      <c r="V3" s="357"/>
      <c r="W3" s="357"/>
      <c r="X3" s="357"/>
    </row>
    <row r="4" spans="1:25" ht="35.1" customHeight="1">
      <c r="A4" s="836"/>
      <c r="B4" s="361" t="s">
        <v>43</v>
      </c>
      <c r="C4" s="361" t="s">
        <v>44</v>
      </c>
      <c r="D4" s="361" t="s">
        <v>43</v>
      </c>
      <c r="E4" s="361" t="s">
        <v>44</v>
      </c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362" t="s">
        <v>50</v>
      </c>
      <c r="Q4" s="362" t="s">
        <v>51</v>
      </c>
      <c r="R4" s="836"/>
      <c r="S4" s="372" t="s">
        <v>173</v>
      </c>
      <c r="T4" s="372" t="s">
        <v>291</v>
      </c>
      <c r="U4" s="372" t="s">
        <v>174</v>
      </c>
      <c r="V4" s="372" t="s">
        <v>292</v>
      </c>
      <c r="W4" s="372" t="s">
        <v>28</v>
      </c>
      <c r="X4" s="372" t="s">
        <v>175</v>
      </c>
      <c r="Y4" s="726"/>
    </row>
    <row r="5" spans="1:25">
      <c r="A5" s="2" t="s">
        <v>77</v>
      </c>
      <c r="B5" s="16">
        <f t="shared" ref="B5:O20" si="0">B75*0.8</f>
        <v>13954.04</v>
      </c>
      <c r="C5" s="16">
        <f t="shared" si="0"/>
        <v>6155.8240000000023</v>
      </c>
      <c r="D5" s="16">
        <f t="shared" si="0"/>
        <v>831.87199999999996</v>
      </c>
      <c r="E5" s="16">
        <f t="shared" si="0"/>
        <v>545.5440000000001</v>
      </c>
      <c r="F5" s="16">
        <f t="shared" si="0"/>
        <v>15245.951999999999</v>
      </c>
      <c r="G5" s="16">
        <f t="shared" si="0"/>
        <v>260.85599999999999</v>
      </c>
      <c r="H5" s="16">
        <f t="shared" si="0"/>
        <v>376.91200000000003</v>
      </c>
      <c r="I5" s="16">
        <f t="shared" si="0"/>
        <v>0</v>
      </c>
      <c r="J5" s="16">
        <f t="shared" si="0"/>
        <v>1374.5360000000001</v>
      </c>
      <c r="K5" s="16">
        <f t="shared" si="0"/>
        <v>173.904</v>
      </c>
      <c r="L5" s="16">
        <f t="shared" si="0"/>
        <v>0</v>
      </c>
      <c r="M5" s="16">
        <f t="shared" si="0"/>
        <v>0</v>
      </c>
      <c r="N5" s="16">
        <f t="shared" si="0"/>
        <v>48.216000000000008</v>
      </c>
      <c r="O5" s="16">
        <f>O75*0.8</f>
        <v>0</v>
      </c>
      <c r="P5" s="16">
        <f t="shared" ref="P5:Q30" si="1">P75*0.8</f>
        <v>0</v>
      </c>
      <c r="Q5" s="16">
        <f t="shared" si="1"/>
        <v>0</v>
      </c>
      <c r="R5" s="8">
        <f>SUM(B5:Q5)</f>
        <v>38967.656000000003</v>
      </c>
      <c r="S5" s="363">
        <f>B5</f>
        <v>13954.04</v>
      </c>
      <c r="T5" s="363">
        <f>C5</f>
        <v>6155.8240000000023</v>
      </c>
      <c r="U5" s="363">
        <f>D5</f>
        <v>831.87199999999996</v>
      </c>
      <c r="V5" s="363">
        <f>E5</f>
        <v>545.5440000000001</v>
      </c>
      <c r="W5" s="363">
        <f>F5+G5</f>
        <v>15506.807999999999</v>
      </c>
      <c r="X5" s="363">
        <f>SUM(H5:Q5)</f>
        <v>1973.5680000000002</v>
      </c>
      <c r="Y5" s="371"/>
    </row>
    <row r="6" spans="1:25">
      <c r="A6" s="2" t="s">
        <v>78</v>
      </c>
      <c r="B6" s="16">
        <f t="shared" ref="B6:N6" si="2">B76*0.8</f>
        <v>80737.26400000001</v>
      </c>
      <c r="C6" s="16">
        <f t="shared" si="2"/>
        <v>18091.863999999998</v>
      </c>
      <c r="D6" s="16">
        <f t="shared" si="2"/>
        <v>1153.1200000000001</v>
      </c>
      <c r="E6" s="16">
        <f t="shared" si="2"/>
        <v>844.97599999999989</v>
      </c>
      <c r="F6" s="16">
        <f t="shared" si="2"/>
        <v>51271.44</v>
      </c>
      <c r="G6" s="16">
        <f t="shared" si="2"/>
        <v>2069.6640000000002</v>
      </c>
      <c r="H6" s="16">
        <f t="shared" si="2"/>
        <v>2125.4080000000004</v>
      </c>
      <c r="I6" s="16">
        <f t="shared" si="2"/>
        <v>457.12799999999999</v>
      </c>
      <c r="J6" s="16">
        <f t="shared" si="2"/>
        <v>3783.4560000000001</v>
      </c>
      <c r="K6" s="16">
        <f t="shared" si="2"/>
        <v>86.951999999999998</v>
      </c>
      <c r="L6" s="16">
        <f t="shared" si="2"/>
        <v>0</v>
      </c>
      <c r="M6" s="16">
        <f t="shared" si="2"/>
        <v>0</v>
      </c>
      <c r="N6" s="16">
        <f t="shared" si="2"/>
        <v>98.936000000000007</v>
      </c>
      <c r="O6" s="16">
        <f t="shared" si="0"/>
        <v>0</v>
      </c>
      <c r="P6" s="16">
        <f t="shared" si="1"/>
        <v>0</v>
      </c>
      <c r="Q6" s="16">
        <f t="shared" si="1"/>
        <v>0</v>
      </c>
      <c r="R6" s="8">
        <f t="shared" ref="R6:R31" si="3">SUM(B6:Q6)</f>
        <v>160720.20799999996</v>
      </c>
      <c r="S6" s="363">
        <f t="shared" ref="S6:S31" si="4">B6</f>
        <v>80737.26400000001</v>
      </c>
      <c r="T6" s="363">
        <f t="shared" ref="T6:T31" si="5">C6</f>
        <v>18091.863999999998</v>
      </c>
      <c r="U6" s="363">
        <f t="shared" ref="U6:U31" si="6">D6</f>
        <v>1153.1200000000001</v>
      </c>
      <c r="V6" s="363">
        <f t="shared" ref="V6:V31" si="7">E6</f>
        <v>844.97599999999989</v>
      </c>
      <c r="W6" s="363">
        <f t="shared" ref="W6:W31" si="8">F6+G6</f>
        <v>53341.103999999999</v>
      </c>
      <c r="X6" s="363">
        <f t="shared" ref="X6:X31" si="9">SUM(H6:Q6)</f>
        <v>6551.88</v>
      </c>
      <c r="Y6" s="371"/>
    </row>
    <row r="7" spans="1:25">
      <c r="A7" s="2" t="s">
        <v>79</v>
      </c>
      <c r="B7" s="16">
        <f t="shared" ref="B7:N7" si="10">B77*0.8</f>
        <v>14083.384</v>
      </c>
      <c r="C7" s="16">
        <f t="shared" si="10"/>
        <v>8773.4640000000018</v>
      </c>
      <c r="D7" s="16">
        <f t="shared" si="10"/>
        <v>1326.424</v>
      </c>
      <c r="E7" s="16">
        <f t="shared" si="10"/>
        <v>3782.328</v>
      </c>
      <c r="F7" s="16">
        <f t="shared" si="10"/>
        <v>20682</v>
      </c>
      <c r="G7" s="16">
        <f t="shared" si="10"/>
        <v>2513.0160000000001</v>
      </c>
      <c r="H7" s="16">
        <f t="shared" si="10"/>
        <v>863.82400000000007</v>
      </c>
      <c r="I7" s="16">
        <f t="shared" si="10"/>
        <v>260.85599999999999</v>
      </c>
      <c r="J7" s="16">
        <f t="shared" si="10"/>
        <v>2787.96</v>
      </c>
      <c r="K7" s="16">
        <f t="shared" si="10"/>
        <v>0</v>
      </c>
      <c r="L7" s="16">
        <f t="shared" si="10"/>
        <v>0</v>
      </c>
      <c r="M7" s="16">
        <f t="shared" si="10"/>
        <v>0</v>
      </c>
      <c r="N7" s="16">
        <f t="shared" si="10"/>
        <v>0</v>
      </c>
      <c r="O7" s="16">
        <f t="shared" si="0"/>
        <v>0</v>
      </c>
      <c r="P7" s="16">
        <f t="shared" si="1"/>
        <v>0</v>
      </c>
      <c r="Q7" s="16">
        <f t="shared" si="1"/>
        <v>0</v>
      </c>
      <c r="R7" s="8">
        <f t="shared" si="3"/>
        <v>55073.256000000008</v>
      </c>
      <c r="S7" s="363">
        <f t="shared" si="4"/>
        <v>14083.384</v>
      </c>
      <c r="T7" s="363">
        <f t="shared" si="5"/>
        <v>8773.4640000000018</v>
      </c>
      <c r="U7" s="363">
        <f t="shared" si="6"/>
        <v>1326.424</v>
      </c>
      <c r="V7" s="363">
        <f t="shared" si="7"/>
        <v>3782.328</v>
      </c>
      <c r="W7" s="363">
        <f t="shared" si="8"/>
        <v>23195.016</v>
      </c>
      <c r="X7" s="363">
        <f t="shared" si="9"/>
        <v>3912.6400000000003</v>
      </c>
      <c r="Y7" s="371"/>
    </row>
    <row r="8" spans="1:25">
      <c r="A8" s="2" t="s">
        <v>80</v>
      </c>
      <c r="B8" s="16">
        <f t="shared" ref="B8:N8" si="11">B78*0.8</f>
        <v>43704.776000000005</v>
      </c>
      <c r="C8" s="16">
        <f t="shared" si="11"/>
        <v>10111.896000000002</v>
      </c>
      <c r="D8" s="16">
        <f t="shared" si="11"/>
        <v>852.16000000000008</v>
      </c>
      <c r="E8" s="16">
        <f t="shared" si="11"/>
        <v>883.19200000000001</v>
      </c>
      <c r="F8" s="16">
        <f t="shared" si="11"/>
        <v>41435.208000000006</v>
      </c>
      <c r="G8" s="16">
        <f t="shared" si="11"/>
        <v>1391.232</v>
      </c>
      <c r="H8" s="16">
        <f t="shared" si="11"/>
        <v>1428.9680000000001</v>
      </c>
      <c r="I8" s="16">
        <f t="shared" si="11"/>
        <v>0</v>
      </c>
      <c r="J8" s="16">
        <f t="shared" si="11"/>
        <v>2093.5120000000002</v>
      </c>
      <c r="K8" s="16">
        <f t="shared" si="11"/>
        <v>0</v>
      </c>
      <c r="L8" s="16">
        <f t="shared" si="11"/>
        <v>0</v>
      </c>
      <c r="M8" s="16">
        <f t="shared" si="11"/>
        <v>609.51200000000006</v>
      </c>
      <c r="N8" s="16">
        <f t="shared" si="11"/>
        <v>121.79200000000002</v>
      </c>
      <c r="O8" s="16">
        <f t="shared" si="0"/>
        <v>0</v>
      </c>
      <c r="P8" s="16">
        <f t="shared" si="1"/>
        <v>0</v>
      </c>
      <c r="Q8" s="16">
        <f t="shared" si="1"/>
        <v>0</v>
      </c>
      <c r="R8" s="8">
        <f t="shared" si="3"/>
        <v>102632.24800000002</v>
      </c>
      <c r="S8" s="363">
        <f t="shared" si="4"/>
        <v>43704.776000000005</v>
      </c>
      <c r="T8" s="363">
        <f t="shared" si="5"/>
        <v>10111.896000000002</v>
      </c>
      <c r="U8" s="363">
        <f t="shared" si="6"/>
        <v>852.16000000000008</v>
      </c>
      <c r="V8" s="363">
        <f t="shared" si="7"/>
        <v>883.19200000000001</v>
      </c>
      <c r="W8" s="363">
        <f t="shared" si="8"/>
        <v>42826.44</v>
      </c>
      <c r="X8" s="363">
        <f t="shared" si="9"/>
        <v>4253.7840000000006</v>
      </c>
      <c r="Y8" s="371"/>
    </row>
    <row r="9" spans="1:25">
      <c r="A9" s="2" t="s">
        <v>81</v>
      </c>
      <c r="B9" s="16">
        <f t="shared" ref="B9:N9" si="12">B79*0.8</f>
        <v>231566.07999999999</v>
      </c>
      <c r="C9" s="16">
        <f t="shared" si="12"/>
        <v>30706.631999999998</v>
      </c>
      <c r="D9" s="16">
        <f t="shared" si="12"/>
        <v>8068.4800000000005</v>
      </c>
      <c r="E9" s="16">
        <f t="shared" si="12"/>
        <v>2671.848</v>
      </c>
      <c r="F9" s="16">
        <f t="shared" si="12"/>
        <v>136877.23200000002</v>
      </c>
      <c r="G9" s="16">
        <f t="shared" si="12"/>
        <v>3912.84</v>
      </c>
      <c r="H9" s="16">
        <f t="shared" si="12"/>
        <v>4230.456000000001</v>
      </c>
      <c r="I9" s="16">
        <f t="shared" si="12"/>
        <v>0</v>
      </c>
      <c r="J9" s="16">
        <f t="shared" si="12"/>
        <v>6908.0800000000008</v>
      </c>
      <c r="K9" s="16">
        <f t="shared" si="12"/>
        <v>347.80799999999999</v>
      </c>
      <c r="L9" s="16">
        <f t="shared" si="12"/>
        <v>0</v>
      </c>
      <c r="M9" s="16">
        <f t="shared" si="12"/>
        <v>0</v>
      </c>
      <c r="N9" s="16">
        <f t="shared" si="12"/>
        <v>697.56000000000006</v>
      </c>
      <c r="O9" s="16">
        <f t="shared" si="0"/>
        <v>0</v>
      </c>
      <c r="P9" s="16">
        <f t="shared" si="1"/>
        <v>0</v>
      </c>
      <c r="Q9" s="16">
        <f t="shared" si="1"/>
        <v>0</v>
      </c>
      <c r="R9" s="8">
        <f t="shared" si="3"/>
        <v>425987.01600000006</v>
      </c>
      <c r="S9" s="363">
        <f t="shared" si="4"/>
        <v>231566.07999999999</v>
      </c>
      <c r="T9" s="363">
        <f t="shared" si="5"/>
        <v>30706.631999999998</v>
      </c>
      <c r="U9" s="363">
        <f t="shared" si="6"/>
        <v>8068.4800000000005</v>
      </c>
      <c r="V9" s="363">
        <f t="shared" si="7"/>
        <v>2671.848</v>
      </c>
      <c r="W9" s="363">
        <f t="shared" si="8"/>
        <v>140790.07200000001</v>
      </c>
      <c r="X9" s="363">
        <f t="shared" si="9"/>
        <v>12183.904</v>
      </c>
      <c r="Y9" s="371"/>
    </row>
    <row r="10" spans="1:25">
      <c r="A10" s="2" t="s">
        <v>82</v>
      </c>
      <c r="B10" s="16">
        <f t="shared" ref="B10:N10" si="13">B80*0.8</f>
        <v>191930.12</v>
      </c>
      <c r="C10" s="16">
        <f t="shared" si="13"/>
        <v>32234.296000000028</v>
      </c>
      <c r="D10" s="16">
        <f t="shared" si="13"/>
        <v>5424.0640000000003</v>
      </c>
      <c r="E10" s="16">
        <f t="shared" si="13"/>
        <v>10186.048000000001</v>
      </c>
      <c r="F10" s="16">
        <f t="shared" si="13"/>
        <v>89312.423999999999</v>
      </c>
      <c r="G10" s="16">
        <f t="shared" si="13"/>
        <v>3113.0879999999997</v>
      </c>
      <c r="H10" s="16">
        <f t="shared" si="13"/>
        <v>4969.8960000000006</v>
      </c>
      <c r="I10" s="16">
        <f t="shared" si="13"/>
        <v>235.08000000000004</v>
      </c>
      <c r="J10" s="16">
        <f t="shared" si="13"/>
        <v>9289.7440000000006</v>
      </c>
      <c r="K10" s="16">
        <f t="shared" si="13"/>
        <v>260.85599999999999</v>
      </c>
      <c r="L10" s="16">
        <f t="shared" si="13"/>
        <v>0</v>
      </c>
      <c r="M10" s="16">
        <f t="shared" si="13"/>
        <v>0</v>
      </c>
      <c r="N10" s="16">
        <f t="shared" si="13"/>
        <v>448.96800000000007</v>
      </c>
      <c r="O10" s="16">
        <f t="shared" si="0"/>
        <v>0</v>
      </c>
      <c r="P10" s="16">
        <f t="shared" si="1"/>
        <v>0</v>
      </c>
      <c r="Q10" s="16">
        <f t="shared" si="1"/>
        <v>0</v>
      </c>
      <c r="R10" s="8">
        <f t="shared" si="3"/>
        <v>347404.58400000009</v>
      </c>
      <c r="S10" s="363">
        <f t="shared" si="4"/>
        <v>191930.12</v>
      </c>
      <c r="T10" s="363">
        <f t="shared" si="5"/>
        <v>32234.296000000028</v>
      </c>
      <c r="U10" s="363">
        <f t="shared" si="6"/>
        <v>5424.0640000000003</v>
      </c>
      <c r="V10" s="363">
        <f t="shared" si="7"/>
        <v>10186.048000000001</v>
      </c>
      <c r="W10" s="363">
        <f t="shared" si="8"/>
        <v>92425.512000000002</v>
      </c>
      <c r="X10" s="363">
        <f t="shared" si="9"/>
        <v>15204.544000000002</v>
      </c>
      <c r="Y10" s="371"/>
    </row>
    <row r="11" spans="1:25">
      <c r="A11" s="2" t="s">
        <v>83</v>
      </c>
      <c r="B11" s="16">
        <f t="shared" ref="B11:N11" si="14">B81*0.8</f>
        <v>252936.65600000002</v>
      </c>
      <c r="C11" s="16">
        <f t="shared" si="14"/>
        <v>43282.104000000014</v>
      </c>
      <c r="D11" s="16">
        <f t="shared" si="14"/>
        <v>6695.5520000000006</v>
      </c>
      <c r="E11" s="16">
        <f t="shared" si="14"/>
        <v>4898.4159999999993</v>
      </c>
      <c r="F11" s="16">
        <f t="shared" si="14"/>
        <v>104984.064</v>
      </c>
      <c r="G11" s="16">
        <f t="shared" si="14"/>
        <v>4408.7759999999998</v>
      </c>
      <c r="H11" s="16">
        <f t="shared" si="14"/>
        <v>5782.1360000000004</v>
      </c>
      <c r="I11" s="16">
        <f t="shared" si="14"/>
        <v>0</v>
      </c>
      <c r="J11" s="16">
        <f t="shared" si="14"/>
        <v>10007.136</v>
      </c>
      <c r="K11" s="16">
        <f t="shared" si="14"/>
        <v>434.76000000000005</v>
      </c>
      <c r="L11" s="16">
        <f t="shared" si="14"/>
        <v>173.904</v>
      </c>
      <c r="M11" s="16">
        <f t="shared" si="14"/>
        <v>1103.3920000000001</v>
      </c>
      <c r="N11" s="16">
        <f t="shared" si="14"/>
        <v>811.84</v>
      </c>
      <c r="O11" s="16">
        <f t="shared" si="0"/>
        <v>0</v>
      </c>
      <c r="P11" s="16">
        <f t="shared" si="1"/>
        <v>0</v>
      </c>
      <c r="Q11" s="16">
        <f t="shared" si="1"/>
        <v>0</v>
      </c>
      <c r="R11" s="8">
        <f t="shared" si="3"/>
        <v>435518.73600000009</v>
      </c>
      <c r="S11" s="363">
        <f t="shared" si="4"/>
        <v>252936.65600000002</v>
      </c>
      <c r="T11" s="363">
        <f t="shared" si="5"/>
        <v>43282.104000000014</v>
      </c>
      <c r="U11" s="363">
        <f t="shared" si="6"/>
        <v>6695.5520000000006</v>
      </c>
      <c r="V11" s="363">
        <f t="shared" si="7"/>
        <v>4898.4159999999993</v>
      </c>
      <c r="W11" s="363">
        <f t="shared" si="8"/>
        <v>109392.84</v>
      </c>
      <c r="X11" s="363">
        <f t="shared" si="9"/>
        <v>18313.168000000001</v>
      </c>
      <c r="Y11" s="371"/>
    </row>
    <row r="12" spans="1:25">
      <c r="A12" s="2" t="s">
        <v>84</v>
      </c>
      <c r="B12" s="16">
        <f t="shared" ref="B12:N12" si="15">B82*0.8</f>
        <v>147594.65600000002</v>
      </c>
      <c r="C12" s="16">
        <f t="shared" si="15"/>
        <v>23181.047999999995</v>
      </c>
      <c r="D12" s="16">
        <f t="shared" si="15"/>
        <v>4260.7760000000007</v>
      </c>
      <c r="E12" s="16">
        <f t="shared" si="15"/>
        <v>2837.6800000000003</v>
      </c>
      <c r="F12" s="16">
        <f t="shared" si="15"/>
        <v>93114.6</v>
      </c>
      <c r="G12" s="16">
        <f t="shared" si="15"/>
        <v>2495.8320000000003</v>
      </c>
      <c r="H12" s="16">
        <f t="shared" si="15"/>
        <v>1985.9439999999995</v>
      </c>
      <c r="I12" s="16">
        <f t="shared" si="15"/>
        <v>266.30400000000003</v>
      </c>
      <c r="J12" s="16">
        <f t="shared" si="15"/>
        <v>5067.2479999999996</v>
      </c>
      <c r="K12" s="16">
        <f t="shared" si="15"/>
        <v>0</v>
      </c>
      <c r="L12" s="16">
        <f t="shared" si="15"/>
        <v>0</v>
      </c>
      <c r="M12" s="16">
        <f t="shared" si="15"/>
        <v>0</v>
      </c>
      <c r="N12" s="16">
        <f t="shared" si="15"/>
        <v>448.96800000000007</v>
      </c>
      <c r="O12" s="16">
        <f t="shared" si="0"/>
        <v>0</v>
      </c>
      <c r="P12" s="16">
        <f t="shared" si="1"/>
        <v>0</v>
      </c>
      <c r="Q12" s="16">
        <f t="shared" si="1"/>
        <v>0</v>
      </c>
      <c r="R12" s="8">
        <f t="shared" si="3"/>
        <v>281253.05600000004</v>
      </c>
      <c r="S12" s="363">
        <f t="shared" si="4"/>
        <v>147594.65600000002</v>
      </c>
      <c r="T12" s="363">
        <f t="shared" si="5"/>
        <v>23181.047999999995</v>
      </c>
      <c r="U12" s="363">
        <f t="shared" si="6"/>
        <v>4260.7760000000007</v>
      </c>
      <c r="V12" s="363">
        <f t="shared" si="7"/>
        <v>2837.6800000000003</v>
      </c>
      <c r="W12" s="363">
        <f t="shared" si="8"/>
        <v>95610.432000000001</v>
      </c>
      <c r="X12" s="363">
        <f t="shared" si="9"/>
        <v>7768.463999999999</v>
      </c>
      <c r="Y12" s="371"/>
    </row>
    <row r="13" spans="1:25">
      <c r="A13" s="2" t="s">
        <v>85</v>
      </c>
      <c r="B13" s="16">
        <f t="shared" ref="B13:N13" si="16">B83*0.8</f>
        <v>170713.60800000001</v>
      </c>
      <c r="C13" s="16">
        <f t="shared" si="16"/>
        <v>33011.752</v>
      </c>
      <c r="D13" s="16">
        <f t="shared" si="16"/>
        <v>4981.0720000000001</v>
      </c>
      <c r="E13" s="16">
        <f t="shared" si="16"/>
        <v>7602.4080000000004</v>
      </c>
      <c r="F13" s="16">
        <f t="shared" si="16"/>
        <v>166170.09600000002</v>
      </c>
      <c r="G13" s="16">
        <f t="shared" si="16"/>
        <v>2860.8240000000005</v>
      </c>
      <c r="H13" s="16">
        <f t="shared" si="16"/>
        <v>3364.7280000000001</v>
      </c>
      <c r="I13" s="16">
        <f t="shared" si="16"/>
        <v>1384.4160000000002</v>
      </c>
      <c r="J13" s="16">
        <f t="shared" si="16"/>
        <v>8257.0160000000014</v>
      </c>
      <c r="K13" s="16">
        <f t="shared" si="16"/>
        <v>86.951999999999998</v>
      </c>
      <c r="L13" s="16">
        <f t="shared" si="16"/>
        <v>0</v>
      </c>
      <c r="M13" s="16">
        <f t="shared" si="16"/>
        <v>0</v>
      </c>
      <c r="N13" s="16">
        <f t="shared" si="16"/>
        <v>350.03200000000004</v>
      </c>
      <c r="O13" s="16">
        <f t="shared" si="0"/>
        <v>0</v>
      </c>
      <c r="P13" s="16">
        <f t="shared" si="1"/>
        <v>0</v>
      </c>
      <c r="Q13" s="16">
        <f t="shared" si="1"/>
        <v>0</v>
      </c>
      <c r="R13" s="8">
        <f t="shared" si="3"/>
        <v>398782.9040000001</v>
      </c>
      <c r="S13" s="363">
        <f t="shared" si="4"/>
        <v>170713.60800000001</v>
      </c>
      <c r="T13" s="363">
        <f t="shared" si="5"/>
        <v>33011.752</v>
      </c>
      <c r="U13" s="363">
        <f t="shared" si="6"/>
        <v>4981.0720000000001</v>
      </c>
      <c r="V13" s="363">
        <f t="shared" si="7"/>
        <v>7602.4080000000004</v>
      </c>
      <c r="W13" s="363">
        <f t="shared" si="8"/>
        <v>169030.92</v>
      </c>
      <c r="X13" s="363">
        <f t="shared" si="9"/>
        <v>13443.144</v>
      </c>
      <c r="Y13" s="371"/>
    </row>
    <row r="14" spans="1:25">
      <c r="A14" s="2" t="s">
        <v>86</v>
      </c>
      <c r="B14" s="16">
        <f t="shared" ref="B14:N14" si="17">B84*0.8</f>
        <v>51888.304000000004</v>
      </c>
      <c r="C14" s="16">
        <f t="shared" si="17"/>
        <v>8598.5120000000043</v>
      </c>
      <c r="D14" s="16">
        <f t="shared" si="17"/>
        <v>2333.3040000000001</v>
      </c>
      <c r="E14" s="16">
        <f t="shared" si="17"/>
        <v>1187.9279999999999</v>
      </c>
      <c r="F14" s="16">
        <f t="shared" si="17"/>
        <v>42722.304000000004</v>
      </c>
      <c r="G14" s="16">
        <f t="shared" si="17"/>
        <v>852.33600000000013</v>
      </c>
      <c r="H14" s="16">
        <f t="shared" si="17"/>
        <v>805.70400000000006</v>
      </c>
      <c r="I14" s="16">
        <f t="shared" si="17"/>
        <v>0</v>
      </c>
      <c r="J14" s="16">
        <f t="shared" si="17"/>
        <v>1941.576</v>
      </c>
      <c r="K14" s="16">
        <f t="shared" si="17"/>
        <v>0</v>
      </c>
      <c r="L14" s="16">
        <f t="shared" si="17"/>
        <v>0</v>
      </c>
      <c r="M14" s="16">
        <f t="shared" si="17"/>
        <v>0</v>
      </c>
      <c r="N14" s="16">
        <f t="shared" si="17"/>
        <v>76.08</v>
      </c>
      <c r="O14" s="16">
        <f t="shared" si="0"/>
        <v>0</v>
      </c>
      <c r="P14" s="16">
        <f t="shared" si="1"/>
        <v>0</v>
      </c>
      <c r="Q14" s="16">
        <f t="shared" si="1"/>
        <v>0</v>
      </c>
      <c r="R14" s="8">
        <f t="shared" si="3"/>
        <v>110406.04800000001</v>
      </c>
      <c r="S14" s="363">
        <f t="shared" si="4"/>
        <v>51888.304000000004</v>
      </c>
      <c r="T14" s="363">
        <f t="shared" si="5"/>
        <v>8598.5120000000043</v>
      </c>
      <c r="U14" s="363">
        <f t="shared" si="6"/>
        <v>2333.3040000000001</v>
      </c>
      <c r="V14" s="363">
        <f t="shared" si="7"/>
        <v>1187.9279999999999</v>
      </c>
      <c r="W14" s="363">
        <f t="shared" si="8"/>
        <v>43574.640000000007</v>
      </c>
      <c r="X14" s="363">
        <f t="shared" si="9"/>
        <v>2823.36</v>
      </c>
      <c r="Y14" s="371"/>
    </row>
    <row r="15" spans="1:25">
      <c r="A15" s="2" t="s">
        <v>87</v>
      </c>
      <c r="B15" s="16">
        <f t="shared" ref="B15:N15" si="18">B85*0.8</f>
        <v>117466.10400000001</v>
      </c>
      <c r="C15" s="16">
        <f t="shared" si="18"/>
        <v>24164.480000000007</v>
      </c>
      <c r="D15" s="16">
        <f t="shared" si="18"/>
        <v>4037.6239999999998</v>
      </c>
      <c r="E15" s="16">
        <f t="shared" si="18"/>
        <v>5388.68</v>
      </c>
      <c r="F15" s="16">
        <f t="shared" si="18"/>
        <v>141095.95200000002</v>
      </c>
      <c r="G15" s="16">
        <f t="shared" si="18"/>
        <v>2321.9279999999999</v>
      </c>
      <c r="H15" s="16">
        <f t="shared" si="18"/>
        <v>2430.3200000000002</v>
      </c>
      <c r="I15" s="16">
        <f t="shared" si="18"/>
        <v>0</v>
      </c>
      <c r="J15" s="16">
        <f t="shared" si="18"/>
        <v>4789.2960000000003</v>
      </c>
      <c r="K15" s="16">
        <f t="shared" si="18"/>
        <v>591.48</v>
      </c>
      <c r="L15" s="16">
        <f t="shared" si="18"/>
        <v>0</v>
      </c>
      <c r="M15" s="16">
        <f t="shared" si="18"/>
        <v>0</v>
      </c>
      <c r="N15" s="16">
        <f t="shared" si="18"/>
        <v>322.16800000000001</v>
      </c>
      <c r="O15" s="16">
        <f t="shared" si="0"/>
        <v>0</v>
      </c>
      <c r="P15" s="16">
        <f t="shared" si="1"/>
        <v>0</v>
      </c>
      <c r="Q15" s="16">
        <f t="shared" si="1"/>
        <v>0</v>
      </c>
      <c r="R15" s="8">
        <f t="shared" si="3"/>
        <v>302608.03200000001</v>
      </c>
      <c r="S15" s="363">
        <f t="shared" si="4"/>
        <v>117466.10400000001</v>
      </c>
      <c r="T15" s="363">
        <f t="shared" si="5"/>
        <v>24164.480000000007</v>
      </c>
      <c r="U15" s="363">
        <f t="shared" si="6"/>
        <v>4037.6239999999998</v>
      </c>
      <c r="V15" s="363">
        <f t="shared" si="7"/>
        <v>5388.68</v>
      </c>
      <c r="W15" s="363">
        <f t="shared" si="8"/>
        <v>143417.88</v>
      </c>
      <c r="X15" s="363">
        <f t="shared" si="9"/>
        <v>8133.2639999999992</v>
      </c>
      <c r="Y15" s="371"/>
    </row>
    <row r="16" spans="1:25">
      <c r="A16" s="2" t="s">
        <v>88</v>
      </c>
      <c r="B16" s="16">
        <f t="shared" ref="B16:N16" si="19">B86*0.8</f>
        <v>161989.60800000001</v>
      </c>
      <c r="C16" s="16">
        <f t="shared" si="19"/>
        <v>27042.232000000004</v>
      </c>
      <c r="D16" s="16">
        <f t="shared" si="19"/>
        <v>3286.8960000000002</v>
      </c>
      <c r="E16" s="16">
        <f t="shared" si="19"/>
        <v>5973.1440000000002</v>
      </c>
      <c r="F16" s="16">
        <f t="shared" si="19"/>
        <v>105745.32</v>
      </c>
      <c r="G16" s="16">
        <f t="shared" si="19"/>
        <v>974.6880000000001</v>
      </c>
      <c r="H16" s="16">
        <f t="shared" si="19"/>
        <v>3586.848</v>
      </c>
      <c r="I16" s="16">
        <f t="shared" si="19"/>
        <v>776.62400000000002</v>
      </c>
      <c r="J16" s="16">
        <f t="shared" si="19"/>
        <v>6428.1760000000004</v>
      </c>
      <c r="K16" s="16">
        <f t="shared" si="19"/>
        <v>347.80799999999999</v>
      </c>
      <c r="L16" s="16">
        <f t="shared" si="19"/>
        <v>0</v>
      </c>
      <c r="M16" s="16">
        <f t="shared" si="19"/>
        <v>0</v>
      </c>
      <c r="N16" s="16">
        <f t="shared" si="19"/>
        <v>276.45600000000002</v>
      </c>
      <c r="O16" s="16">
        <f t="shared" si="0"/>
        <v>0</v>
      </c>
      <c r="P16" s="16">
        <f t="shared" si="1"/>
        <v>36.463999999999999</v>
      </c>
      <c r="Q16" s="16">
        <f t="shared" si="1"/>
        <v>0</v>
      </c>
      <c r="R16" s="8">
        <f t="shared" si="3"/>
        <v>316464.26400000008</v>
      </c>
      <c r="S16" s="363">
        <f t="shared" si="4"/>
        <v>161989.60800000001</v>
      </c>
      <c r="T16" s="363">
        <f t="shared" si="5"/>
        <v>27042.232000000004</v>
      </c>
      <c r="U16" s="363">
        <f t="shared" si="6"/>
        <v>3286.8960000000002</v>
      </c>
      <c r="V16" s="363">
        <f t="shared" si="7"/>
        <v>5973.1440000000002</v>
      </c>
      <c r="W16" s="363">
        <f t="shared" si="8"/>
        <v>106720.008</v>
      </c>
      <c r="X16" s="363">
        <f t="shared" si="9"/>
        <v>11452.376000000002</v>
      </c>
      <c r="Y16" s="371"/>
    </row>
    <row r="17" spans="1:25">
      <c r="A17" s="2" t="s">
        <v>89</v>
      </c>
      <c r="B17" s="16">
        <f t="shared" ref="B17:N17" si="20">B87*0.8</f>
        <v>791285.48</v>
      </c>
      <c r="C17" s="16">
        <f t="shared" si="20"/>
        <v>111609.44</v>
      </c>
      <c r="D17" s="16">
        <f t="shared" si="20"/>
        <v>25196.232000000004</v>
      </c>
      <c r="E17" s="16">
        <f t="shared" si="20"/>
        <v>15688.647999999999</v>
      </c>
      <c r="F17" s="16">
        <f t="shared" si="20"/>
        <v>326877.67200000002</v>
      </c>
      <c r="G17" s="16">
        <f t="shared" si="20"/>
        <v>13217.735999999999</v>
      </c>
      <c r="H17" s="16">
        <f t="shared" si="20"/>
        <v>14832.447999999999</v>
      </c>
      <c r="I17" s="16">
        <f t="shared" si="20"/>
        <v>0</v>
      </c>
      <c r="J17" s="16">
        <f t="shared" si="20"/>
        <v>24876.736000000001</v>
      </c>
      <c r="K17" s="16">
        <f t="shared" si="20"/>
        <v>782.5680000000001</v>
      </c>
      <c r="L17" s="16">
        <f t="shared" si="20"/>
        <v>0</v>
      </c>
      <c r="M17" s="16">
        <f t="shared" si="20"/>
        <v>0</v>
      </c>
      <c r="N17" s="16">
        <f t="shared" si="20"/>
        <v>1524.424</v>
      </c>
      <c r="O17" s="16">
        <f t="shared" si="0"/>
        <v>0</v>
      </c>
      <c r="P17" s="16">
        <f t="shared" si="1"/>
        <v>0</v>
      </c>
      <c r="Q17" s="16">
        <f t="shared" si="1"/>
        <v>574.096</v>
      </c>
      <c r="R17" s="8">
        <f t="shared" si="3"/>
        <v>1326465.4800000002</v>
      </c>
      <c r="S17" s="363">
        <f t="shared" si="4"/>
        <v>791285.48</v>
      </c>
      <c r="T17" s="363">
        <f t="shared" si="5"/>
        <v>111609.44</v>
      </c>
      <c r="U17" s="363">
        <f t="shared" si="6"/>
        <v>25196.232000000004</v>
      </c>
      <c r="V17" s="363">
        <f t="shared" si="7"/>
        <v>15688.647999999999</v>
      </c>
      <c r="W17" s="363">
        <f t="shared" si="8"/>
        <v>340095.408</v>
      </c>
      <c r="X17" s="363">
        <f t="shared" si="9"/>
        <v>42590.271999999997</v>
      </c>
      <c r="Y17" s="371"/>
    </row>
    <row r="18" spans="1:25">
      <c r="A18" s="2" t="s">
        <v>90</v>
      </c>
      <c r="B18" s="16">
        <f t="shared" ref="B18:N18" si="21">B88*0.8</f>
        <v>82368.168000000005</v>
      </c>
      <c r="C18" s="16">
        <f t="shared" si="21"/>
        <v>19167.431999999997</v>
      </c>
      <c r="D18" s="16">
        <f t="shared" si="21"/>
        <v>1405.048</v>
      </c>
      <c r="E18" s="16">
        <f t="shared" si="21"/>
        <v>1310.6240000000003</v>
      </c>
      <c r="F18" s="16">
        <f t="shared" si="21"/>
        <v>56211.552000000003</v>
      </c>
      <c r="G18" s="16">
        <f t="shared" si="21"/>
        <v>2156.616</v>
      </c>
      <c r="H18" s="16">
        <f t="shared" si="21"/>
        <v>1863.808</v>
      </c>
      <c r="I18" s="16">
        <f t="shared" si="21"/>
        <v>0</v>
      </c>
      <c r="J18" s="16">
        <f t="shared" si="21"/>
        <v>4069.6640000000002</v>
      </c>
      <c r="K18" s="16">
        <f t="shared" si="21"/>
        <v>426.16800000000006</v>
      </c>
      <c r="L18" s="16">
        <f t="shared" si="21"/>
        <v>0</v>
      </c>
      <c r="M18" s="16">
        <f t="shared" si="21"/>
        <v>0</v>
      </c>
      <c r="N18" s="16">
        <f t="shared" si="21"/>
        <v>299.31200000000001</v>
      </c>
      <c r="O18" s="16">
        <f t="shared" si="0"/>
        <v>0</v>
      </c>
      <c r="P18" s="16">
        <f t="shared" si="1"/>
        <v>0</v>
      </c>
      <c r="Q18" s="16">
        <f t="shared" si="1"/>
        <v>0</v>
      </c>
      <c r="R18" s="8">
        <f t="shared" si="3"/>
        <v>169278.39199999999</v>
      </c>
      <c r="S18" s="363">
        <f t="shared" si="4"/>
        <v>82368.168000000005</v>
      </c>
      <c r="T18" s="363">
        <f t="shared" si="5"/>
        <v>19167.431999999997</v>
      </c>
      <c r="U18" s="363">
        <f t="shared" si="6"/>
        <v>1405.048</v>
      </c>
      <c r="V18" s="363">
        <f t="shared" si="7"/>
        <v>1310.6240000000003</v>
      </c>
      <c r="W18" s="363">
        <f t="shared" si="8"/>
        <v>58368.168000000005</v>
      </c>
      <c r="X18" s="363">
        <f t="shared" si="9"/>
        <v>6658.9519999999993</v>
      </c>
      <c r="Y18" s="371"/>
    </row>
    <row r="19" spans="1:25">
      <c r="A19" s="2" t="s">
        <v>91</v>
      </c>
      <c r="B19" s="16">
        <f t="shared" ref="B19:N19" si="22">B89*0.8</f>
        <v>84675.912000000011</v>
      </c>
      <c r="C19" s="16">
        <f t="shared" si="22"/>
        <v>22427.247999999992</v>
      </c>
      <c r="D19" s="16">
        <f t="shared" si="22"/>
        <v>2110.1120000000001</v>
      </c>
      <c r="E19" s="16">
        <f t="shared" si="22"/>
        <v>3750.0239999999999</v>
      </c>
      <c r="F19" s="16">
        <f t="shared" si="22"/>
        <v>68482.44</v>
      </c>
      <c r="G19" s="16">
        <f t="shared" si="22"/>
        <v>3191.4480000000003</v>
      </c>
      <c r="H19" s="16">
        <f t="shared" si="22"/>
        <v>2769.6000000000004</v>
      </c>
      <c r="I19" s="16">
        <f t="shared" si="22"/>
        <v>0</v>
      </c>
      <c r="J19" s="16">
        <f t="shared" si="22"/>
        <v>5052.84</v>
      </c>
      <c r="K19" s="16">
        <f t="shared" si="22"/>
        <v>86.951999999999998</v>
      </c>
      <c r="L19" s="16">
        <f t="shared" si="22"/>
        <v>0</v>
      </c>
      <c r="M19" s="16">
        <f t="shared" si="22"/>
        <v>0</v>
      </c>
      <c r="N19" s="16">
        <f t="shared" si="22"/>
        <v>220.72800000000004</v>
      </c>
      <c r="O19" s="16">
        <f t="shared" si="0"/>
        <v>0</v>
      </c>
      <c r="P19" s="16">
        <f t="shared" si="1"/>
        <v>0</v>
      </c>
      <c r="Q19" s="16">
        <f t="shared" si="1"/>
        <v>0</v>
      </c>
      <c r="R19" s="8">
        <f t="shared" si="3"/>
        <v>192767.304</v>
      </c>
      <c r="S19" s="363">
        <f t="shared" si="4"/>
        <v>84675.912000000011</v>
      </c>
      <c r="T19" s="363">
        <f t="shared" si="5"/>
        <v>22427.247999999992</v>
      </c>
      <c r="U19" s="363">
        <f t="shared" si="6"/>
        <v>2110.1120000000001</v>
      </c>
      <c r="V19" s="363">
        <f t="shared" si="7"/>
        <v>3750.0239999999999</v>
      </c>
      <c r="W19" s="363">
        <f t="shared" si="8"/>
        <v>71673.888000000006</v>
      </c>
      <c r="X19" s="363">
        <f t="shared" si="9"/>
        <v>8130.1200000000008</v>
      </c>
      <c r="Y19" s="371"/>
    </row>
    <row r="20" spans="1:25">
      <c r="A20" s="2" t="s">
        <v>92</v>
      </c>
      <c r="B20" s="16">
        <f t="shared" ref="B20:N20" si="23">B90*0.8</f>
        <v>654530.46400000004</v>
      </c>
      <c r="C20" s="16">
        <f t="shared" si="23"/>
        <v>75913.848000000056</v>
      </c>
      <c r="D20" s="16">
        <f t="shared" si="23"/>
        <v>28915.944000000003</v>
      </c>
      <c r="E20" s="16">
        <f t="shared" si="23"/>
        <v>17315.824000000001</v>
      </c>
      <c r="F20" s="16">
        <f t="shared" si="23"/>
        <v>407005.48800000001</v>
      </c>
      <c r="G20" s="16">
        <f t="shared" si="23"/>
        <v>7617.4080000000004</v>
      </c>
      <c r="H20" s="16">
        <f t="shared" si="23"/>
        <v>7255.9920000000002</v>
      </c>
      <c r="I20" s="16">
        <f t="shared" si="23"/>
        <v>1181.624</v>
      </c>
      <c r="J20" s="16">
        <f t="shared" si="23"/>
        <v>18162.128000000004</v>
      </c>
      <c r="K20" s="16">
        <f t="shared" si="23"/>
        <v>2252.16</v>
      </c>
      <c r="L20" s="16">
        <f t="shared" si="23"/>
        <v>173.904</v>
      </c>
      <c r="M20" s="16">
        <f t="shared" si="23"/>
        <v>0</v>
      </c>
      <c r="N20" s="16">
        <f t="shared" si="23"/>
        <v>1100.816</v>
      </c>
      <c r="O20" s="16">
        <f t="shared" si="0"/>
        <v>0</v>
      </c>
      <c r="P20" s="16">
        <f t="shared" si="1"/>
        <v>0</v>
      </c>
      <c r="Q20" s="16">
        <f t="shared" si="1"/>
        <v>0</v>
      </c>
      <c r="R20" s="8">
        <f t="shared" si="3"/>
        <v>1221425.6000000006</v>
      </c>
      <c r="S20" s="363">
        <f t="shared" si="4"/>
        <v>654530.46400000004</v>
      </c>
      <c r="T20" s="363">
        <f t="shared" si="5"/>
        <v>75913.848000000056</v>
      </c>
      <c r="U20" s="363">
        <f t="shared" si="6"/>
        <v>28915.944000000003</v>
      </c>
      <c r="V20" s="363">
        <f t="shared" si="7"/>
        <v>17315.824000000001</v>
      </c>
      <c r="W20" s="363">
        <f t="shared" si="8"/>
        <v>414622.89600000001</v>
      </c>
      <c r="X20" s="363">
        <f t="shared" si="9"/>
        <v>30126.624000000003</v>
      </c>
      <c r="Y20" s="371"/>
    </row>
    <row r="21" spans="1:25">
      <c r="A21" s="2" t="s">
        <v>93</v>
      </c>
      <c r="B21" s="16">
        <f t="shared" ref="B21:O31" si="24">B91*0.8</f>
        <v>203885.11200000002</v>
      </c>
      <c r="C21" s="16">
        <f t="shared" si="24"/>
        <v>45186.383999999984</v>
      </c>
      <c r="D21" s="16">
        <f t="shared" si="24"/>
        <v>6274.5280000000002</v>
      </c>
      <c r="E21" s="16">
        <f t="shared" si="24"/>
        <v>7136.4320000000007</v>
      </c>
      <c r="F21" s="16">
        <f t="shared" si="24"/>
        <v>109929.36000000002</v>
      </c>
      <c r="G21" s="16">
        <f t="shared" si="24"/>
        <v>3895.6559999999999</v>
      </c>
      <c r="H21" s="16">
        <f t="shared" si="24"/>
        <v>4055.7440000000006</v>
      </c>
      <c r="I21" s="16">
        <f t="shared" si="24"/>
        <v>470.16000000000008</v>
      </c>
      <c r="J21" s="16">
        <f t="shared" si="24"/>
        <v>10460.104000000001</v>
      </c>
      <c r="K21" s="16">
        <f t="shared" si="24"/>
        <v>165.31200000000001</v>
      </c>
      <c r="L21" s="16">
        <f t="shared" si="24"/>
        <v>0</v>
      </c>
      <c r="M21" s="16">
        <f t="shared" si="24"/>
        <v>0</v>
      </c>
      <c r="N21" s="16">
        <f t="shared" si="24"/>
        <v>405.76</v>
      </c>
      <c r="O21" s="16">
        <f t="shared" si="24"/>
        <v>0</v>
      </c>
      <c r="P21" s="16">
        <f t="shared" si="1"/>
        <v>0</v>
      </c>
      <c r="Q21" s="16">
        <f t="shared" si="1"/>
        <v>0</v>
      </c>
      <c r="R21" s="8">
        <f t="shared" si="3"/>
        <v>391864.55199999997</v>
      </c>
      <c r="S21" s="363">
        <f t="shared" si="4"/>
        <v>203885.11200000002</v>
      </c>
      <c r="T21" s="363">
        <f t="shared" si="5"/>
        <v>45186.383999999984</v>
      </c>
      <c r="U21" s="363">
        <f t="shared" si="6"/>
        <v>6274.5280000000002</v>
      </c>
      <c r="V21" s="363">
        <f t="shared" si="7"/>
        <v>7136.4320000000007</v>
      </c>
      <c r="W21" s="363">
        <f t="shared" si="8"/>
        <v>113825.01600000002</v>
      </c>
      <c r="X21" s="363">
        <f t="shared" si="9"/>
        <v>15557.080000000002</v>
      </c>
      <c r="Y21" s="371"/>
    </row>
    <row r="22" spans="1:25">
      <c r="A22" s="2" t="s">
        <v>94</v>
      </c>
      <c r="B22" s="16">
        <f t="shared" ref="B22:N22" si="25">B92*0.8</f>
        <v>60009.648000000001</v>
      </c>
      <c r="C22" s="16">
        <f t="shared" si="25"/>
        <v>8050.8</v>
      </c>
      <c r="D22" s="16">
        <f t="shared" si="25"/>
        <v>3652.1280000000002</v>
      </c>
      <c r="E22" s="16">
        <f t="shared" si="25"/>
        <v>3014.6080000000002</v>
      </c>
      <c r="F22" s="16">
        <f t="shared" si="25"/>
        <v>29677.440000000002</v>
      </c>
      <c r="G22" s="16">
        <f t="shared" si="25"/>
        <v>1034.8320000000001</v>
      </c>
      <c r="H22" s="16">
        <f t="shared" si="25"/>
        <v>902.38400000000001</v>
      </c>
      <c r="I22" s="16">
        <f t="shared" si="25"/>
        <v>0</v>
      </c>
      <c r="J22" s="16">
        <f t="shared" si="25"/>
        <v>2246.5439999999999</v>
      </c>
      <c r="K22" s="16">
        <f t="shared" si="25"/>
        <v>347.80799999999999</v>
      </c>
      <c r="L22" s="16">
        <f t="shared" si="25"/>
        <v>0</v>
      </c>
      <c r="M22" s="16">
        <f t="shared" si="25"/>
        <v>0</v>
      </c>
      <c r="N22" s="16">
        <f t="shared" si="25"/>
        <v>25.36</v>
      </c>
      <c r="O22" s="16">
        <f t="shared" si="24"/>
        <v>0</v>
      </c>
      <c r="P22" s="16">
        <f t="shared" si="1"/>
        <v>0</v>
      </c>
      <c r="Q22" s="16">
        <f t="shared" si="1"/>
        <v>0</v>
      </c>
      <c r="R22" s="8">
        <f t="shared" si="3"/>
        <v>108961.55200000001</v>
      </c>
      <c r="S22" s="363">
        <f t="shared" si="4"/>
        <v>60009.648000000001</v>
      </c>
      <c r="T22" s="363">
        <f t="shared" si="5"/>
        <v>8050.8</v>
      </c>
      <c r="U22" s="363">
        <f t="shared" si="6"/>
        <v>3652.1280000000002</v>
      </c>
      <c r="V22" s="363">
        <f t="shared" si="7"/>
        <v>3014.6080000000002</v>
      </c>
      <c r="W22" s="363">
        <f t="shared" si="8"/>
        <v>30712.272000000001</v>
      </c>
      <c r="X22" s="363">
        <f t="shared" si="9"/>
        <v>3522.096</v>
      </c>
      <c r="Y22" s="371"/>
    </row>
    <row r="23" spans="1:25">
      <c r="A23" s="2" t="s">
        <v>95</v>
      </c>
      <c r="B23" s="16">
        <f t="shared" ref="B23:N23" si="26">B93*0.8</f>
        <v>747995.91200000001</v>
      </c>
      <c r="C23" s="16">
        <f t="shared" si="26"/>
        <v>92360.152000000002</v>
      </c>
      <c r="D23" s="16">
        <f t="shared" si="26"/>
        <v>36010.576000000001</v>
      </c>
      <c r="E23" s="16">
        <f t="shared" si="26"/>
        <v>20486.864000000001</v>
      </c>
      <c r="F23" s="16">
        <f t="shared" si="26"/>
        <v>354001.2</v>
      </c>
      <c r="G23" s="16">
        <f t="shared" si="26"/>
        <v>11686.968000000001</v>
      </c>
      <c r="H23" s="16">
        <f t="shared" si="26"/>
        <v>10306.192000000003</v>
      </c>
      <c r="I23" s="16">
        <f t="shared" si="26"/>
        <v>4273.68</v>
      </c>
      <c r="J23" s="16">
        <f t="shared" si="26"/>
        <v>21848.584000000003</v>
      </c>
      <c r="K23" s="16">
        <f t="shared" si="26"/>
        <v>852.33600000000013</v>
      </c>
      <c r="L23" s="16">
        <f t="shared" si="26"/>
        <v>347.80799999999999</v>
      </c>
      <c r="M23" s="16">
        <f t="shared" si="26"/>
        <v>0</v>
      </c>
      <c r="N23" s="16">
        <f t="shared" si="26"/>
        <v>2245.712</v>
      </c>
      <c r="O23" s="16">
        <f t="shared" si="24"/>
        <v>0</v>
      </c>
      <c r="P23" s="16">
        <f t="shared" si="1"/>
        <v>0</v>
      </c>
      <c r="Q23" s="16">
        <f t="shared" si="1"/>
        <v>0</v>
      </c>
      <c r="R23" s="8">
        <f t="shared" si="3"/>
        <v>1302415.9839999999</v>
      </c>
      <c r="S23" s="363">
        <f t="shared" si="4"/>
        <v>747995.91200000001</v>
      </c>
      <c r="T23" s="363">
        <f t="shared" si="5"/>
        <v>92360.152000000002</v>
      </c>
      <c r="U23" s="363">
        <f t="shared" si="6"/>
        <v>36010.576000000001</v>
      </c>
      <c r="V23" s="363">
        <f t="shared" si="7"/>
        <v>20486.864000000001</v>
      </c>
      <c r="W23" s="363">
        <f t="shared" si="8"/>
        <v>365688.16800000001</v>
      </c>
      <c r="X23" s="363">
        <f t="shared" si="9"/>
        <v>39874.312000000005</v>
      </c>
      <c r="Y23" s="371"/>
    </row>
    <row r="24" spans="1:25">
      <c r="A24" s="2" t="s">
        <v>96</v>
      </c>
      <c r="B24" s="16">
        <f t="shared" ref="B24:N24" si="27">B94*0.8</f>
        <v>81070.688000000009</v>
      </c>
      <c r="C24" s="16">
        <f t="shared" si="27"/>
        <v>13076.752000000004</v>
      </c>
      <c r="D24" s="16">
        <f t="shared" si="27"/>
        <v>1704.3200000000002</v>
      </c>
      <c r="E24" s="16">
        <f t="shared" si="27"/>
        <v>1134.9599999999998</v>
      </c>
      <c r="F24" s="16">
        <f t="shared" si="27"/>
        <v>52921.464000000007</v>
      </c>
      <c r="G24" s="16">
        <f t="shared" si="27"/>
        <v>678.43200000000013</v>
      </c>
      <c r="H24" s="16">
        <f t="shared" si="27"/>
        <v>1674.2239999999999</v>
      </c>
      <c r="I24" s="16">
        <f t="shared" si="27"/>
        <v>0</v>
      </c>
      <c r="J24" s="16">
        <f t="shared" si="27"/>
        <v>2350.1680000000001</v>
      </c>
      <c r="K24" s="16">
        <f t="shared" si="27"/>
        <v>0</v>
      </c>
      <c r="L24" s="16">
        <f t="shared" si="27"/>
        <v>173.904</v>
      </c>
      <c r="M24" s="16">
        <f t="shared" si="27"/>
        <v>0</v>
      </c>
      <c r="N24" s="16">
        <f t="shared" si="27"/>
        <v>147.15200000000002</v>
      </c>
      <c r="O24" s="16">
        <f t="shared" si="24"/>
        <v>0</v>
      </c>
      <c r="P24" s="16">
        <f t="shared" si="1"/>
        <v>0</v>
      </c>
      <c r="Q24" s="16">
        <f t="shared" si="1"/>
        <v>0</v>
      </c>
      <c r="R24" s="8">
        <f t="shared" si="3"/>
        <v>154932.06400000004</v>
      </c>
      <c r="S24" s="363">
        <f t="shared" si="4"/>
        <v>81070.688000000009</v>
      </c>
      <c r="T24" s="363">
        <f t="shared" si="5"/>
        <v>13076.752000000004</v>
      </c>
      <c r="U24" s="363">
        <f t="shared" si="6"/>
        <v>1704.3200000000002</v>
      </c>
      <c r="V24" s="363">
        <f t="shared" si="7"/>
        <v>1134.9599999999998</v>
      </c>
      <c r="W24" s="363">
        <f t="shared" si="8"/>
        <v>53599.896000000008</v>
      </c>
      <c r="X24" s="363">
        <f t="shared" si="9"/>
        <v>4345.4480000000003</v>
      </c>
      <c r="Y24" s="371"/>
    </row>
    <row r="25" spans="1:25">
      <c r="A25" s="2" t="s">
        <v>97</v>
      </c>
      <c r="B25" s="16">
        <f t="shared" ref="B25:N25" si="28">B95*0.8</f>
        <v>988047.04800000007</v>
      </c>
      <c r="C25" s="16">
        <f t="shared" si="28"/>
        <v>124074.58399999999</v>
      </c>
      <c r="D25" s="16">
        <f t="shared" si="28"/>
        <v>50172.640000000007</v>
      </c>
      <c r="E25" s="16">
        <f t="shared" si="28"/>
        <v>16190.415999999997</v>
      </c>
      <c r="F25" s="16">
        <f t="shared" si="28"/>
        <v>547799.68799999997</v>
      </c>
      <c r="G25" s="16">
        <f t="shared" si="28"/>
        <v>8217.48</v>
      </c>
      <c r="H25" s="16">
        <f t="shared" si="28"/>
        <v>12801.536000000002</v>
      </c>
      <c r="I25" s="16">
        <f t="shared" si="28"/>
        <v>0</v>
      </c>
      <c r="J25" s="16">
        <f t="shared" si="28"/>
        <v>28388.920000000002</v>
      </c>
      <c r="K25" s="16">
        <f t="shared" si="28"/>
        <v>1295.6880000000001</v>
      </c>
      <c r="L25" s="16">
        <f t="shared" si="28"/>
        <v>0</v>
      </c>
      <c r="M25" s="16">
        <f t="shared" si="28"/>
        <v>0</v>
      </c>
      <c r="N25" s="16">
        <f t="shared" si="28"/>
        <v>1757.992</v>
      </c>
      <c r="O25" s="16">
        <f t="shared" si="24"/>
        <v>0</v>
      </c>
      <c r="P25" s="16">
        <f t="shared" si="1"/>
        <v>0</v>
      </c>
      <c r="Q25" s="16">
        <f t="shared" si="1"/>
        <v>0</v>
      </c>
      <c r="R25" s="8">
        <f t="shared" si="3"/>
        <v>1778745.9919999999</v>
      </c>
      <c r="S25" s="363">
        <f t="shared" si="4"/>
        <v>988047.04800000007</v>
      </c>
      <c r="T25" s="363">
        <f t="shared" si="5"/>
        <v>124074.58399999999</v>
      </c>
      <c r="U25" s="363">
        <f t="shared" si="6"/>
        <v>50172.640000000007</v>
      </c>
      <c r="V25" s="363">
        <f t="shared" si="7"/>
        <v>16190.415999999997</v>
      </c>
      <c r="W25" s="363">
        <f t="shared" si="8"/>
        <v>556017.16799999995</v>
      </c>
      <c r="X25" s="363">
        <f t="shared" si="9"/>
        <v>44244.136000000006</v>
      </c>
      <c r="Y25" s="371"/>
    </row>
    <row r="26" spans="1:25">
      <c r="A26" s="2" t="s">
        <v>98</v>
      </c>
      <c r="B26" s="16">
        <f t="shared" ref="B26:N26" si="29">B96*0.8</f>
        <v>41901.192000000003</v>
      </c>
      <c r="C26" s="16">
        <f t="shared" si="29"/>
        <v>8707.5120000000024</v>
      </c>
      <c r="D26" s="16">
        <f t="shared" si="29"/>
        <v>1301.9120000000003</v>
      </c>
      <c r="E26" s="16">
        <f t="shared" si="29"/>
        <v>2109.6320000000001</v>
      </c>
      <c r="F26" s="16">
        <f t="shared" si="29"/>
        <v>44286.408000000003</v>
      </c>
      <c r="G26" s="16">
        <f t="shared" si="29"/>
        <v>1208.7360000000001</v>
      </c>
      <c r="H26" s="16">
        <f t="shared" si="29"/>
        <v>625.90400000000011</v>
      </c>
      <c r="I26" s="16">
        <f t="shared" si="29"/>
        <v>0</v>
      </c>
      <c r="J26" s="16">
        <f t="shared" si="29"/>
        <v>2036.152</v>
      </c>
      <c r="K26" s="16">
        <f t="shared" si="29"/>
        <v>339.21600000000001</v>
      </c>
      <c r="L26" s="16">
        <f t="shared" si="29"/>
        <v>0</v>
      </c>
      <c r="M26" s="16">
        <f t="shared" si="29"/>
        <v>0</v>
      </c>
      <c r="N26" s="16">
        <f t="shared" si="29"/>
        <v>73.576000000000008</v>
      </c>
      <c r="O26" s="16">
        <f t="shared" si="24"/>
        <v>0</v>
      </c>
      <c r="P26" s="16">
        <f t="shared" si="1"/>
        <v>0</v>
      </c>
      <c r="Q26" s="16">
        <f t="shared" si="1"/>
        <v>0</v>
      </c>
      <c r="R26" s="8">
        <f t="shared" si="3"/>
        <v>102590.24000000002</v>
      </c>
      <c r="S26" s="363">
        <f t="shared" si="4"/>
        <v>41901.192000000003</v>
      </c>
      <c r="T26" s="363">
        <f t="shared" si="5"/>
        <v>8707.5120000000024</v>
      </c>
      <c r="U26" s="363">
        <f t="shared" si="6"/>
        <v>1301.9120000000003</v>
      </c>
      <c r="V26" s="363">
        <f t="shared" si="7"/>
        <v>2109.6320000000001</v>
      </c>
      <c r="W26" s="363">
        <f t="shared" si="8"/>
        <v>45495.144</v>
      </c>
      <c r="X26" s="363">
        <f t="shared" si="9"/>
        <v>3074.848</v>
      </c>
      <c r="Y26" s="371"/>
    </row>
    <row r="27" spans="1:25">
      <c r="A27" s="2" t="s">
        <v>99</v>
      </c>
      <c r="B27" s="16">
        <f t="shared" ref="B27:N27" si="30">B97*0.8</f>
        <v>10118.168</v>
      </c>
      <c r="C27" s="16">
        <f t="shared" si="30"/>
        <v>779.41600000000039</v>
      </c>
      <c r="D27" s="16">
        <f t="shared" si="30"/>
        <v>628.97600000000011</v>
      </c>
      <c r="E27" s="16">
        <f t="shared" si="30"/>
        <v>120.37600000000003</v>
      </c>
      <c r="F27" s="16">
        <f t="shared" si="30"/>
        <v>10391.280000000001</v>
      </c>
      <c r="G27" s="16">
        <f t="shared" si="30"/>
        <v>347.80799999999999</v>
      </c>
      <c r="H27" s="16">
        <f t="shared" si="30"/>
        <v>43.080000000000005</v>
      </c>
      <c r="I27" s="16">
        <f t="shared" si="30"/>
        <v>0</v>
      </c>
      <c r="J27" s="16">
        <f t="shared" si="30"/>
        <v>188.56799999999998</v>
      </c>
      <c r="K27" s="16">
        <f t="shared" si="30"/>
        <v>0</v>
      </c>
      <c r="L27" s="16">
        <f t="shared" si="30"/>
        <v>0</v>
      </c>
      <c r="M27" s="16">
        <f t="shared" si="30"/>
        <v>0</v>
      </c>
      <c r="N27" s="16">
        <f t="shared" si="30"/>
        <v>0</v>
      </c>
      <c r="O27" s="16">
        <f t="shared" si="24"/>
        <v>0</v>
      </c>
      <c r="P27" s="16">
        <f t="shared" si="1"/>
        <v>0</v>
      </c>
      <c r="Q27" s="16">
        <f t="shared" si="1"/>
        <v>0</v>
      </c>
      <c r="R27" s="8">
        <f t="shared" si="3"/>
        <v>22617.672000000002</v>
      </c>
      <c r="S27" s="363">
        <f t="shared" si="4"/>
        <v>10118.168</v>
      </c>
      <c r="T27" s="363">
        <f t="shared" si="5"/>
        <v>779.41600000000039</v>
      </c>
      <c r="U27" s="363">
        <f t="shared" si="6"/>
        <v>628.97600000000011</v>
      </c>
      <c r="V27" s="363">
        <f t="shared" si="7"/>
        <v>120.37600000000003</v>
      </c>
      <c r="W27" s="363">
        <f t="shared" si="8"/>
        <v>10739.088</v>
      </c>
      <c r="X27" s="363">
        <f t="shared" si="9"/>
        <v>231.648</v>
      </c>
      <c r="Y27" s="371"/>
    </row>
    <row r="28" spans="1:25">
      <c r="A28" s="2" t="s">
        <v>100</v>
      </c>
      <c r="B28" s="16">
        <f t="shared" ref="B28:N28" si="31">B98*0.8</f>
        <v>551830.79200000002</v>
      </c>
      <c r="C28" s="16">
        <f t="shared" si="31"/>
        <v>85075.73599999999</v>
      </c>
      <c r="D28" s="16">
        <f t="shared" si="31"/>
        <v>17618.096000000001</v>
      </c>
      <c r="E28" s="16">
        <f t="shared" si="31"/>
        <v>18097.256000000005</v>
      </c>
      <c r="F28" s="16">
        <f t="shared" si="31"/>
        <v>301908.36000000004</v>
      </c>
      <c r="G28" s="16">
        <f t="shared" si="31"/>
        <v>3200.0400000000004</v>
      </c>
      <c r="H28" s="16">
        <f t="shared" si="31"/>
        <v>12951.208000000001</v>
      </c>
      <c r="I28" s="16">
        <f t="shared" si="31"/>
        <v>0</v>
      </c>
      <c r="J28" s="16">
        <f t="shared" si="31"/>
        <v>21065.039999999997</v>
      </c>
      <c r="K28" s="16">
        <f t="shared" si="31"/>
        <v>260.85599999999999</v>
      </c>
      <c r="L28" s="16">
        <f t="shared" si="31"/>
        <v>0</v>
      </c>
      <c r="M28" s="16">
        <f t="shared" si="31"/>
        <v>0</v>
      </c>
      <c r="N28" s="16">
        <f t="shared" si="31"/>
        <v>1080.4639999999999</v>
      </c>
      <c r="O28" s="16">
        <f t="shared" si="24"/>
        <v>0</v>
      </c>
      <c r="P28" s="16">
        <f t="shared" si="1"/>
        <v>0</v>
      </c>
      <c r="Q28" s="16">
        <f t="shared" si="1"/>
        <v>0</v>
      </c>
      <c r="R28" s="8">
        <f t="shared" si="3"/>
        <v>1013087.8480000003</v>
      </c>
      <c r="S28" s="363">
        <f t="shared" si="4"/>
        <v>551830.79200000002</v>
      </c>
      <c r="T28" s="363">
        <f t="shared" si="5"/>
        <v>85075.73599999999</v>
      </c>
      <c r="U28" s="363">
        <f t="shared" si="6"/>
        <v>17618.096000000001</v>
      </c>
      <c r="V28" s="363">
        <f t="shared" si="7"/>
        <v>18097.256000000005</v>
      </c>
      <c r="W28" s="363">
        <f t="shared" si="8"/>
        <v>305108.40000000002</v>
      </c>
      <c r="X28" s="363">
        <f t="shared" si="9"/>
        <v>35357.567999999999</v>
      </c>
      <c r="Y28" s="371"/>
    </row>
    <row r="29" spans="1:25">
      <c r="A29" s="2" t="s">
        <v>101</v>
      </c>
      <c r="B29" s="16">
        <f t="shared" ref="B29:N29" si="32">B99*0.8</f>
        <v>3071719.08</v>
      </c>
      <c r="C29" s="16">
        <f t="shared" si="32"/>
        <v>411876.2800000002</v>
      </c>
      <c r="D29" s="16">
        <f t="shared" si="32"/>
        <v>109741.11200000002</v>
      </c>
      <c r="E29" s="16">
        <f t="shared" si="32"/>
        <v>64372.064000000006</v>
      </c>
      <c r="F29" s="16">
        <f t="shared" si="32"/>
        <v>1861147.824</v>
      </c>
      <c r="G29" s="16">
        <f t="shared" si="32"/>
        <v>29782.608000000004</v>
      </c>
      <c r="H29" s="16">
        <f t="shared" si="32"/>
        <v>61969.608000000022</v>
      </c>
      <c r="I29" s="16">
        <f t="shared" si="32"/>
        <v>5902.6720000000005</v>
      </c>
      <c r="J29" s="16">
        <f t="shared" si="32"/>
        <v>92396.36</v>
      </c>
      <c r="K29" s="16">
        <f t="shared" si="32"/>
        <v>4078.152</v>
      </c>
      <c r="L29" s="16">
        <f t="shared" si="32"/>
        <v>521.71199999999999</v>
      </c>
      <c r="M29" s="16">
        <f t="shared" si="32"/>
        <v>0</v>
      </c>
      <c r="N29" s="16">
        <f t="shared" si="32"/>
        <v>7619.2960000000012</v>
      </c>
      <c r="O29" s="16">
        <f t="shared" si="24"/>
        <v>0</v>
      </c>
      <c r="P29" s="16">
        <f>P99</f>
        <v>290.58</v>
      </c>
      <c r="Q29" s="16">
        <f>Q99</f>
        <v>6064.08</v>
      </c>
      <c r="R29" s="8">
        <f t="shared" si="3"/>
        <v>5727481.4280000012</v>
      </c>
      <c r="S29" s="363">
        <f t="shared" si="4"/>
        <v>3071719.08</v>
      </c>
      <c r="T29" s="363">
        <f t="shared" si="5"/>
        <v>411876.2800000002</v>
      </c>
      <c r="U29" s="363">
        <f t="shared" si="6"/>
        <v>109741.11200000002</v>
      </c>
      <c r="V29" s="363">
        <f t="shared" si="7"/>
        <v>64372.064000000006</v>
      </c>
      <c r="W29" s="363">
        <f t="shared" si="8"/>
        <v>1890930.432</v>
      </c>
      <c r="X29" s="363">
        <f t="shared" si="9"/>
        <v>178842.46</v>
      </c>
      <c r="Y29" s="371"/>
    </row>
    <row r="30" spans="1:25">
      <c r="A30" s="2" t="s">
        <v>102</v>
      </c>
      <c r="B30" s="16">
        <f t="shared" ref="B30:N30" si="33">B100*0.8</f>
        <v>66389.568000000014</v>
      </c>
      <c r="C30" s="16">
        <f t="shared" si="33"/>
        <v>11842.119999999995</v>
      </c>
      <c r="D30" s="16">
        <f t="shared" si="33"/>
        <v>2397.5439999999999</v>
      </c>
      <c r="E30" s="16">
        <f t="shared" si="33"/>
        <v>1317.5360000000001</v>
      </c>
      <c r="F30" s="16">
        <f t="shared" si="33"/>
        <v>49599.072</v>
      </c>
      <c r="G30" s="16">
        <f t="shared" si="33"/>
        <v>669.84</v>
      </c>
      <c r="H30" s="16">
        <f t="shared" si="33"/>
        <v>1044.6480000000001</v>
      </c>
      <c r="I30" s="16">
        <f t="shared" si="33"/>
        <v>0</v>
      </c>
      <c r="J30" s="16">
        <f t="shared" si="33"/>
        <v>2561.4480000000003</v>
      </c>
      <c r="K30" s="16">
        <f t="shared" si="33"/>
        <v>86.951999999999998</v>
      </c>
      <c r="L30" s="16">
        <f t="shared" si="33"/>
        <v>0</v>
      </c>
      <c r="M30" s="16">
        <f t="shared" si="33"/>
        <v>0</v>
      </c>
      <c r="N30" s="16">
        <f t="shared" si="33"/>
        <v>76.08</v>
      </c>
      <c r="O30" s="16">
        <f t="shared" si="24"/>
        <v>0</v>
      </c>
      <c r="P30" s="16">
        <f t="shared" si="1"/>
        <v>0</v>
      </c>
      <c r="Q30" s="16">
        <f t="shared" si="1"/>
        <v>405.8</v>
      </c>
      <c r="R30" s="8">
        <f t="shared" si="3"/>
        <v>136390.60799999998</v>
      </c>
      <c r="S30" s="363">
        <f t="shared" si="4"/>
        <v>66389.568000000014</v>
      </c>
      <c r="T30" s="363">
        <f t="shared" si="5"/>
        <v>11842.119999999995</v>
      </c>
      <c r="U30" s="363">
        <f t="shared" si="6"/>
        <v>2397.5439999999999</v>
      </c>
      <c r="V30" s="363">
        <f t="shared" si="7"/>
        <v>1317.5360000000001</v>
      </c>
      <c r="W30" s="363">
        <f t="shared" si="8"/>
        <v>50268.911999999997</v>
      </c>
      <c r="X30" s="363">
        <f t="shared" si="9"/>
        <v>4174.9280000000008</v>
      </c>
      <c r="Y30" s="371"/>
    </row>
    <row r="31" spans="1:25">
      <c r="A31" s="2" t="s">
        <v>103</v>
      </c>
      <c r="B31" s="16">
        <f t="shared" ref="B31:N31" si="34">B101*0.8</f>
        <v>24559.64</v>
      </c>
      <c r="C31" s="16">
        <f t="shared" si="34"/>
        <v>4399.840000000002</v>
      </c>
      <c r="D31" s="16">
        <f t="shared" si="34"/>
        <v>1055.056</v>
      </c>
      <c r="E31" s="16">
        <f t="shared" si="34"/>
        <v>115.42400000000001</v>
      </c>
      <c r="F31" s="16">
        <f t="shared" si="34"/>
        <v>24209.088000000003</v>
      </c>
      <c r="G31" s="16">
        <f t="shared" si="34"/>
        <v>1365.4560000000001</v>
      </c>
      <c r="H31" s="16">
        <f t="shared" si="34"/>
        <v>510.38399999999996</v>
      </c>
      <c r="I31" s="16">
        <f t="shared" si="34"/>
        <v>0</v>
      </c>
      <c r="J31" s="16">
        <f t="shared" si="34"/>
        <v>908.2560000000002</v>
      </c>
      <c r="K31" s="16">
        <f t="shared" si="34"/>
        <v>0</v>
      </c>
      <c r="L31" s="16">
        <f t="shared" si="34"/>
        <v>0</v>
      </c>
      <c r="M31" s="16">
        <f t="shared" si="34"/>
        <v>0</v>
      </c>
      <c r="N31" s="16">
        <f t="shared" si="34"/>
        <v>0</v>
      </c>
      <c r="O31" s="16">
        <f t="shared" si="24"/>
        <v>0</v>
      </c>
      <c r="P31" s="16">
        <f>P101*0.8</f>
        <v>0</v>
      </c>
      <c r="Q31" s="16">
        <f>Q101*0.8</f>
        <v>0</v>
      </c>
      <c r="R31" s="8">
        <f t="shared" si="3"/>
        <v>57123.144000000008</v>
      </c>
      <c r="S31" s="363">
        <f t="shared" si="4"/>
        <v>24559.64</v>
      </c>
      <c r="T31" s="363">
        <f t="shared" si="5"/>
        <v>4399.840000000002</v>
      </c>
      <c r="U31" s="363">
        <f t="shared" si="6"/>
        <v>1055.056</v>
      </c>
      <c r="V31" s="363">
        <f t="shared" si="7"/>
        <v>115.42400000000001</v>
      </c>
      <c r="W31" s="363">
        <f t="shared" si="8"/>
        <v>25574.544000000002</v>
      </c>
      <c r="X31" s="363">
        <f t="shared" si="9"/>
        <v>1418.64</v>
      </c>
      <c r="Y31" s="371"/>
    </row>
    <row r="32" spans="1:25">
      <c r="A32" s="4" t="s">
        <v>37</v>
      </c>
      <c r="B32" s="5">
        <f t="shared" ref="B32:S32" si="35">SUM(B5:B31)</f>
        <v>8938951.472000001</v>
      </c>
      <c r="C32" s="5">
        <f t="shared" si="35"/>
        <v>1299901.6480000003</v>
      </c>
      <c r="D32" s="5">
        <f t="shared" si="35"/>
        <v>331435.56800000003</v>
      </c>
      <c r="E32" s="5">
        <f t="shared" si="35"/>
        <v>218962.88</v>
      </c>
      <c r="F32" s="5">
        <f t="shared" si="35"/>
        <v>5253104.9279999994</v>
      </c>
      <c r="G32" s="5">
        <f t="shared" si="35"/>
        <v>115446.14400000001</v>
      </c>
      <c r="H32" s="5">
        <f t="shared" si="35"/>
        <v>165557.90400000001</v>
      </c>
      <c r="I32" s="5">
        <f t="shared" si="35"/>
        <v>15208.544</v>
      </c>
      <c r="J32" s="5">
        <f t="shared" si="35"/>
        <v>299339.24800000002</v>
      </c>
      <c r="K32" s="5">
        <f t="shared" si="35"/>
        <v>13304.688</v>
      </c>
      <c r="L32" s="5">
        <f t="shared" si="35"/>
        <v>1391.232</v>
      </c>
      <c r="M32" s="5">
        <f t="shared" si="35"/>
        <v>1712.904</v>
      </c>
      <c r="N32" s="5">
        <f t="shared" si="35"/>
        <v>20277.688000000002</v>
      </c>
      <c r="O32" s="5">
        <f>SUM(O5:O31)</f>
        <v>0</v>
      </c>
      <c r="P32" s="5">
        <f t="shared" si="35"/>
        <v>327.04399999999998</v>
      </c>
      <c r="Q32" s="5">
        <f t="shared" si="35"/>
        <v>7043.9759999999997</v>
      </c>
      <c r="R32" s="5">
        <f t="shared" si="35"/>
        <v>16681965.868000003</v>
      </c>
      <c r="S32" s="363">
        <f t="shared" si="35"/>
        <v>8938951.472000001</v>
      </c>
      <c r="T32" s="363">
        <f t="shared" ref="T32:X32" si="36">SUM(T5:T31)</f>
        <v>1299901.6480000003</v>
      </c>
      <c r="U32" s="363">
        <f t="shared" si="36"/>
        <v>331435.56800000003</v>
      </c>
      <c r="V32" s="363">
        <f t="shared" si="36"/>
        <v>218962.88</v>
      </c>
      <c r="W32" s="363">
        <f t="shared" si="36"/>
        <v>5368551.0719999997</v>
      </c>
      <c r="X32" s="363">
        <f t="shared" si="36"/>
        <v>524163.22799999994</v>
      </c>
      <c r="Y32" s="371"/>
    </row>
    <row r="33" spans="1:25">
      <c r="A33" s="351" t="s">
        <v>48</v>
      </c>
      <c r="B33" s="352"/>
      <c r="C33" s="353"/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4"/>
      <c r="Q33" s="353"/>
      <c r="R33" s="352"/>
      <c r="S33" s="357"/>
      <c r="T33" s="357"/>
      <c r="U33" s="357"/>
      <c r="V33" s="357"/>
      <c r="W33" s="357"/>
      <c r="X33" s="357"/>
      <c r="Y33" s="371"/>
    </row>
    <row r="34" spans="1:25">
      <c r="A34" s="364"/>
      <c r="B34" s="364"/>
      <c r="C34" s="365"/>
      <c r="D34" s="365"/>
      <c r="E34" s="365"/>
      <c r="F34" s="365"/>
      <c r="G34" s="365"/>
      <c r="H34" s="365"/>
      <c r="I34" s="365"/>
      <c r="J34" s="365"/>
      <c r="K34" s="365"/>
      <c r="L34" s="365"/>
      <c r="M34" s="365"/>
      <c r="N34" s="365"/>
      <c r="O34" s="365"/>
      <c r="P34" s="365"/>
      <c r="Q34" s="365"/>
      <c r="R34" s="366"/>
      <c r="S34" s="357"/>
      <c r="T34" s="357"/>
      <c r="U34" s="357"/>
      <c r="V34" s="357"/>
      <c r="W34" s="357"/>
      <c r="X34" s="357"/>
    </row>
    <row r="35" spans="1:25">
      <c r="A35" s="358"/>
      <c r="B35" s="358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60"/>
      <c r="S35" s="357"/>
      <c r="T35" s="357"/>
      <c r="U35" s="357"/>
      <c r="V35" s="357"/>
      <c r="W35" s="357"/>
      <c r="X35" s="357"/>
    </row>
    <row r="36" spans="1:25">
      <c r="A36" s="367"/>
      <c r="B36" s="367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9"/>
      <c r="S36" s="357"/>
      <c r="T36" s="357"/>
      <c r="U36" s="357"/>
      <c r="V36" s="357"/>
      <c r="W36" s="357"/>
      <c r="X36" s="357"/>
    </row>
    <row r="37" spans="1:25" ht="46.5">
      <c r="A37" s="837" t="s">
        <v>54</v>
      </c>
      <c r="B37" s="838"/>
      <c r="C37" s="838"/>
      <c r="D37" s="838"/>
      <c r="E37" s="838"/>
      <c r="F37" s="838"/>
      <c r="G37" s="838"/>
      <c r="H37" s="838"/>
      <c r="I37" s="838"/>
      <c r="J37" s="838"/>
      <c r="K37" s="838"/>
      <c r="L37" s="838"/>
      <c r="M37" s="838"/>
      <c r="N37" s="838"/>
      <c r="O37" s="838"/>
      <c r="P37" s="838"/>
      <c r="Q37" s="838"/>
      <c r="R37" s="839"/>
      <c r="S37" s="357"/>
      <c r="T37" s="357"/>
      <c r="U37" s="357"/>
      <c r="V37" s="357"/>
      <c r="W37" s="357"/>
      <c r="X37" s="357"/>
    </row>
    <row r="38" spans="1:25" ht="35.1" customHeight="1">
      <c r="A38" s="835" t="s">
        <v>33</v>
      </c>
      <c r="B38" s="833" t="s">
        <v>27</v>
      </c>
      <c r="C38" s="834"/>
      <c r="D38" s="833" t="s">
        <v>29</v>
      </c>
      <c r="E38" s="834"/>
      <c r="F38" s="835" t="s">
        <v>28</v>
      </c>
      <c r="G38" s="835" t="s">
        <v>36</v>
      </c>
      <c r="H38" s="835" t="s">
        <v>30</v>
      </c>
      <c r="I38" s="835" t="s">
        <v>31</v>
      </c>
      <c r="J38" s="835" t="s">
        <v>41</v>
      </c>
      <c r="K38" s="835" t="s">
        <v>35</v>
      </c>
      <c r="L38" s="835" t="s">
        <v>40</v>
      </c>
      <c r="M38" s="835" t="s">
        <v>42</v>
      </c>
      <c r="N38" s="835" t="s">
        <v>45</v>
      </c>
      <c r="O38" s="835" t="s">
        <v>279</v>
      </c>
      <c r="P38" s="833" t="s">
        <v>49</v>
      </c>
      <c r="Q38" s="834"/>
      <c r="R38" s="835" t="s">
        <v>34</v>
      </c>
      <c r="S38" s="357"/>
      <c r="T38" s="357"/>
      <c r="U38" s="357"/>
      <c r="V38" s="357"/>
      <c r="W38" s="357"/>
      <c r="X38" s="357"/>
    </row>
    <row r="39" spans="1:25" ht="35.1" customHeight="1">
      <c r="A39" s="836"/>
      <c r="B39" s="361" t="s">
        <v>43</v>
      </c>
      <c r="C39" s="361" t="s">
        <v>44</v>
      </c>
      <c r="D39" s="361" t="s">
        <v>43</v>
      </c>
      <c r="E39" s="361" t="s">
        <v>44</v>
      </c>
      <c r="F39" s="836"/>
      <c r="G39" s="836"/>
      <c r="H39" s="836"/>
      <c r="I39" s="836"/>
      <c r="J39" s="836"/>
      <c r="K39" s="836"/>
      <c r="L39" s="836"/>
      <c r="M39" s="836"/>
      <c r="N39" s="836"/>
      <c r="O39" s="836"/>
      <c r="P39" s="362" t="s">
        <v>50</v>
      </c>
      <c r="Q39" s="362" t="s">
        <v>51</v>
      </c>
      <c r="R39" s="836"/>
      <c r="S39" s="372" t="s">
        <v>173</v>
      </c>
      <c r="T39" s="372" t="s">
        <v>291</v>
      </c>
      <c r="U39" s="372" t="s">
        <v>174</v>
      </c>
      <c r="V39" s="372" t="s">
        <v>292</v>
      </c>
      <c r="W39" s="372" t="s">
        <v>28</v>
      </c>
      <c r="X39" s="372" t="s">
        <v>175</v>
      </c>
      <c r="Y39" s="726"/>
    </row>
    <row r="40" spans="1:25">
      <c r="A40" s="2" t="s">
        <v>77</v>
      </c>
      <c r="B40" s="16">
        <f t="shared" ref="B40:Q55" si="37">B75*0.2</f>
        <v>3488.51</v>
      </c>
      <c r="C40" s="16">
        <f t="shared" si="37"/>
        <v>1538.9560000000006</v>
      </c>
      <c r="D40" s="16">
        <f t="shared" si="37"/>
        <v>207.96799999999999</v>
      </c>
      <c r="E40" s="16">
        <f t="shared" si="37"/>
        <v>136.38600000000002</v>
      </c>
      <c r="F40" s="16">
        <f t="shared" si="37"/>
        <v>3811.4879999999998</v>
      </c>
      <c r="G40" s="16">
        <f t="shared" si="37"/>
        <v>65.213999999999999</v>
      </c>
      <c r="H40" s="16">
        <f t="shared" si="37"/>
        <v>94.228000000000009</v>
      </c>
      <c r="I40" s="16">
        <f t="shared" si="37"/>
        <v>0</v>
      </c>
      <c r="J40" s="16">
        <f t="shared" si="37"/>
        <v>343.63400000000001</v>
      </c>
      <c r="K40" s="16">
        <f t="shared" si="37"/>
        <v>43.475999999999999</v>
      </c>
      <c r="L40" s="16">
        <f t="shared" si="37"/>
        <v>0</v>
      </c>
      <c r="M40" s="16">
        <f t="shared" si="37"/>
        <v>0</v>
      </c>
      <c r="N40" s="16">
        <f t="shared" si="37"/>
        <v>12.054000000000002</v>
      </c>
      <c r="O40" s="16">
        <f t="shared" si="37"/>
        <v>0</v>
      </c>
      <c r="P40" s="16">
        <f t="shared" si="37"/>
        <v>0</v>
      </c>
      <c r="Q40" s="16">
        <f t="shared" si="37"/>
        <v>0</v>
      </c>
      <c r="R40" s="8">
        <f>SUM(B40:Q40)</f>
        <v>9741.9140000000007</v>
      </c>
      <c r="S40" s="363">
        <f>B40</f>
        <v>3488.51</v>
      </c>
      <c r="T40" s="363">
        <f>C40</f>
        <v>1538.9560000000006</v>
      </c>
      <c r="U40" s="363">
        <f>D40</f>
        <v>207.96799999999999</v>
      </c>
      <c r="V40" s="363">
        <f>E40</f>
        <v>136.38600000000002</v>
      </c>
      <c r="W40" s="363">
        <f>F40+G40</f>
        <v>3876.7019999999998</v>
      </c>
      <c r="X40" s="363">
        <f>SUM(H40:Q40)</f>
        <v>493.39200000000005</v>
      </c>
      <c r="Y40" s="363"/>
    </row>
    <row r="41" spans="1:25">
      <c r="A41" s="2" t="s">
        <v>78</v>
      </c>
      <c r="B41" s="16">
        <f t="shared" ref="B41:N41" si="38">B76*0.2</f>
        <v>20184.316000000003</v>
      </c>
      <c r="C41" s="16">
        <f t="shared" si="38"/>
        <v>4522.9659999999994</v>
      </c>
      <c r="D41" s="16">
        <f t="shared" si="38"/>
        <v>288.28000000000003</v>
      </c>
      <c r="E41" s="16">
        <f t="shared" si="38"/>
        <v>211.24399999999997</v>
      </c>
      <c r="F41" s="16">
        <f t="shared" si="38"/>
        <v>12817.86</v>
      </c>
      <c r="G41" s="16">
        <f t="shared" si="38"/>
        <v>517.41600000000005</v>
      </c>
      <c r="H41" s="16">
        <f t="shared" si="38"/>
        <v>531.35200000000009</v>
      </c>
      <c r="I41" s="16">
        <f t="shared" si="38"/>
        <v>114.282</v>
      </c>
      <c r="J41" s="16">
        <f t="shared" si="38"/>
        <v>945.86400000000003</v>
      </c>
      <c r="K41" s="16">
        <f t="shared" si="38"/>
        <v>21.738</v>
      </c>
      <c r="L41" s="16">
        <f t="shared" si="38"/>
        <v>0</v>
      </c>
      <c r="M41" s="16">
        <f t="shared" si="38"/>
        <v>0</v>
      </c>
      <c r="N41" s="16">
        <f t="shared" si="38"/>
        <v>24.734000000000002</v>
      </c>
      <c r="O41" s="16">
        <f t="shared" si="37"/>
        <v>0</v>
      </c>
      <c r="P41" s="16">
        <f t="shared" si="37"/>
        <v>0</v>
      </c>
      <c r="Q41" s="16">
        <f t="shared" si="37"/>
        <v>0</v>
      </c>
      <c r="R41" s="8">
        <f t="shared" ref="R41:R66" si="39">SUM(B41:Q41)</f>
        <v>40180.051999999989</v>
      </c>
      <c r="S41" s="363">
        <f t="shared" ref="S41:S66" si="40">B41</f>
        <v>20184.316000000003</v>
      </c>
      <c r="T41" s="363">
        <f t="shared" ref="T41:T66" si="41">C41</f>
        <v>4522.9659999999994</v>
      </c>
      <c r="U41" s="363">
        <f t="shared" ref="U41:U66" si="42">D41</f>
        <v>288.28000000000003</v>
      </c>
      <c r="V41" s="363">
        <f t="shared" ref="V41:V66" si="43">E41</f>
        <v>211.24399999999997</v>
      </c>
      <c r="W41" s="363">
        <f t="shared" ref="W41:W66" si="44">F41+G41</f>
        <v>13335.276</v>
      </c>
      <c r="X41" s="363">
        <f t="shared" ref="X41:X66" si="45">SUM(H41:Q41)</f>
        <v>1637.97</v>
      </c>
      <c r="Y41" s="363"/>
    </row>
    <row r="42" spans="1:25">
      <c r="A42" s="2" t="s">
        <v>79</v>
      </c>
      <c r="B42" s="16">
        <f t="shared" ref="B42:N42" si="46">B77*0.2</f>
        <v>3520.846</v>
      </c>
      <c r="C42" s="16">
        <f t="shared" si="46"/>
        <v>2193.3660000000004</v>
      </c>
      <c r="D42" s="16">
        <f t="shared" si="46"/>
        <v>331.60599999999999</v>
      </c>
      <c r="E42" s="16">
        <f t="shared" si="46"/>
        <v>945.58199999999999</v>
      </c>
      <c r="F42" s="16">
        <f t="shared" si="46"/>
        <v>5170.5</v>
      </c>
      <c r="G42" s="16">
        <f t="shared" si="46"/>
        <v>628.25400000000002</v>
      </c>
      <c r="H42" s="16">
        <f t="shared" si="46"/>
        <v>215.95600000000002</v>
      </c>
      <c r="I42" s="16">
        <f t="shared" si="46"/>
        <v>65.213999999999999</v>
      </c>
      <c r="J42" s="16">
        <f t="shared" si="46"/>
        <v>696.99</v>
      </c>
      <c r="K42" s="16">
        <f t="shared" si="46"/>
        <v>0</v>
      </c>
      <c r="L42" s="16">
        <f t="shared" si="46"/>
        <v>0</v>
      </c>
      <c r="M42" s="16">
        <f t="shared" si="46"/>
        <v>0</v>
      </c>
      <c r="N42" s="16">
        <f t="shared" si="46"/>
        <v>0</v>
      </c>
      <c r="O42" s="16">
        <f t="shared" si="37"/>
        <v>0</v>
      </c>
      <c r="P42" s="16">
        <f t="shared" si="37"/>
        <v>0</v>
      </c>
      <c r="Q42" s="16">
        <f t="shared" si="37"/>
        <v>0</v>
      </c>
      <c r="R42" s="8">
        <f t="shared" si="39"/>
        <v>13768.314000000002</v>
      </c>
      <c r="S42" s="363">
        <f t="shared" si="40"/>
        <v>3520.846</v>
      </c>
      <c r="T42" s="363">
        <f t="shared" si="41"/>
        <v>2193.3660000000004</v>
      </c>
      <c r="U42" s="363">
        <f t="shared" si="42"/>
        <v>331.60599999999999</v>
      </c>
      <c r="V42" s="363">
        <f t="shared" si="43"/>
        <v>945.58199999999999</v>
      </c>
      <c r="W42" s="363">
        <f t="shared" si="44"/>
        <v>5798.7539999999999</v>
      </c>
      <c r="X42" s="363">
        <f t="shared" si="45"/>
        <v>978.16000000000008</v>
      </c>
      <c r="Y42" s="363"/>
    </row>
    <row r="43" spans="1:25">
      <c r="A43" s="2" t="s">
        <v>80</v>
      </c>
      <c r="B43" s="16">
        <f t="shared" ref="B43:N43" si="47">B78*0.2</f>
        <v>10926.194000000001</v>
      </c>
      <c r="C43" s="16">
        <f t="shared" si="47"/>
        <v>2527.9740000000006</v>
      </c>
      <c r="D43" s="16">
        <f t="shared" si="47"/>
        <v>213.04000000000002</v>
      </c>
      <c r="E43" s="16">
        <f t="shared" si="47"/>
        <v>220.798</v>
      </c>
      <c r="F43" s="16">
        <f t="shared" si="47"/>
        <v>10358.802000000001</v>
      </c>
      <c r="G43" s="16">
        <f t="shared" si="47"/>
        <v>347.80799999999999</v>
      </c>
      <c r="H43" s="16">
        <f t="shared" si="47"/>
        <v>357.24200000000002</v>
      </c>
      <c r="I43" s="16">
        <f t="shared" si="47"/>
        <v>0</v>
      </c>
      <c r="J43" s="16">
        <f t="shared" si="47"/>
        <v>523.37800000000004</v>
      </c>
      <c r="K43" s="16">
        <f t="shared" si="47"/>
        <v>0</v>
      </c>
      <c r="L43" s="16">
        <f t="shared" si="47"/>
        <v>0</v>
      </c>
      <c r="M43" s="16">
        <f t="shared" si="47"/>
        <v>152.37800000000001</v>
      </c>
      <c r="N43" s="16">
        <f t="shared" si="47"/>
        <v>30.448000000000004</v>
      </c>
      <c r="O43" s="16">
        <f t="shared" si="37"/>
        <v>0</v>
      </c>
      <c r="P43" s="16">
        <f t="shared" si="37"/>
        <v>0</v>
      </c>
      <c r="Q43" s="16">
        <f t="shared" si="37"/>
        <v>0</v>
      </c>
      <c r="R43" s="8">
        <f t="shared" si="39"/>
        <v>25658.062000000005</v>
      </c>
      <c r="S43" s="363">
        <f t="shared" si="40"/>
        <v>10926.194000000001</v>
      </c>
      <c r="T43" s="363">
        <f t="shared" si="41"/>
        <v>2527.9740000000006</v>
      </c>
      <c r="U43" s="363">
        <f t="shared" si="42"/>
        <v>213.04000000000002</v>
      </c>
      <c r="V43" s="363">
        <f t="shared" si="43"/>
        <v>220.798</v>
      </c>
      <c r="W43" s="363">
        <f t="shared" si="44"/>
        <v>10706.61</v>
      </c>
      <c r="X43" s="363">
        <f t="shared" si="45"/>
        <v>1063.4460000000001</v>
      </c>
      <c r="Y43" s="363"/>
    </row>
    <row r="44" spans="1:25">
      <c r="A44" s="2" t="s">
        <v>81</v>
      </c>
      <c r="B44" s="16">
        <f t="shared" ref="B44:N44" si="48">B79*0.2</f>
        <v>57891.519999999997</v>
      </c>
      <c r="C44" s="16">
        <f t="shared" si="48"/>
        <v>7676.6579999999994</v>
      </c>
      <c r="D44" s="16">
        <f t="shared" si="48"/>
        <v>2017.1200000000001</v>
      </c>
      <c r="E44" s="16">
        <f t="shared" si="48"/>
        <v>667.96199999999999</v>
      </c>
      <c r="F44" s="16">
        <f t="shared" si="48"/>
        <v>34219.308000000005</v>
      </c>
      <c r="G44" s="16">
        <f t="shared" si="48"/>
        <v>978.21</v>
      </c>
      <c r="H44" s="16">
        <f t="shared" si="48"/>
        <v>1057.6140000000003</v>
      </c>
      <c r="I44" s="16">
        <f t="shared" si="48"/>
        <v>0</v>
      </c>
      <c r="J44" s="16">
        <f t="shared" si="48"/>
        <v>1727.0200000000002</v>
      </c>
      <c r="K44" s="16">
        <f t="shared" si="48"/>
        <v>86.951999999999998</v>
      </c>
      <c r="L44" s="16">
        <f t="shared" si="48"/>
        <v>0</v>
      </c>
      <c r="M44" s="16">
        <f t="shared" si="48"/>
        <v>0</v>
      </c>
      <c r="N44" s="16">
        <f t="shared" si="48"/>
        <v>174.39000000000001</v>
      </c>
      <c r="O44" s="16">
        <f t="shared" si="37"/>
        <v>0</v>
      </c>
      <c r="P44" s="16">
        <f t="shared" si="37"/>
        <v>0</v>
      </c>
      <c r="Q44" s="16">
        <f t="shared" si="37"/>
        <v>0</v>
      </c>
      <c r="R44" s="8">
        <f t="shared" si="39"/>
        <v>106496.75400000002</v>
      </c>
      <c r="S44" s="363">
        <f t="shared" si="40"/>
        <v>57891.519999999997</v>
      </c>
      <c r="T44" s="363">
        <f t="shared" si="41"/>
        <v>7676.6579999999994</v>
      </c>
      <c r="U44" s="363">
        <f t="shared" si="42"/>
        <v>2017.1200000000001</v>
      </c>
      <c r="V44" s="363">
        <f t="shared" si="43"/>
        <v>667.96199999999999</v>
      </c>
      <c r="W44" s="363">
        <f t="shared" si="44"/>
        <v>35197.518000000004</v>
      </c>
      <c r="X44" s="363">
        <f t="shared" si="45"/>
        <v>3045.9760000000001</v>
      </c>
      <c r="Y44" s="363"/>
    </row>
    <row r="45" spans="1:25">
      <c r="A45" s="2" t="s">
        <v>82</v>
      </c>
      <c r="B45" s="16">
        <f t="shared" ref="B45:N45" si="49">B80*0.2</f>
        <v>47982.53</v>
      </c>
      <c r="C45" s="16">
        <f t="shared" si="49"/>
        <v>8058.5740000000069</v>
      </c>
      <c r="D45" s="16">
        <f t="shared" si="49"/>
        <v>1356.0160000000001</v>
      </c>
      <c r="E45" s="16">
        <f t="shared" si="49"/>
        <v>2546.5120000000002</v>
      </c>
      <c r="F45" s="16">
        <f t="shared" si="49"/>
        <v>22328.106</v>
      </c>
      <c r="G45" s="16">
        <f t="shared" si="49"/>
        <v>778.27199999999993</v>
      </c>
      <c r="H45" s="16">
        <f t="shared" si="49"/>
        <v>1242.4740000000002</v>
      </c>
      <c r="I45" s="16">
        <f t="shared" si="49"/>
        <v>58.77000000000001</v>
      </c>
      <c r="J45" s="16">
        <f t="shared" si="49"/>
        <v>2322.4360000000001</v>
      </c>
      <c r="K45" s="16">
        <f t="shared" si="49"/>
        <v>65.213999999999999</v>
      </c>
      <c r="L45" s="16">
        <f t="shared" si="49"/>
        <v>0</v>
      </c>
      <c r="M45" s="16">
        <f t="shared" si="49"/>
        <v>0</v>
      </c>
      <c r="N45" s="16">
        <f t="shared" si="49"/>
        <v>112.24200000000002</v>
      </c>
      <c r="O45" s="16">
        <f t="shared" si="37"/>
        <v>0</v>
      </c>
      <c r="P45" s="16">
        <f t="shared" si="37"/>
        <v>0</v>
      </c>
      <c r="Q45" s="16">
        <f t="shared" si="37"/>
        <v>0</v>
      </c>
      <c r="R45" s="8">
        <f t="shared" si="39"/>
        <v>86851.146000000022</v>
      </c>
      <c r="S45" s="363">
        <f t="shared" si="40"/>
        <v>47982.53</v>
      </c>
      <c r="T45" s="363">
        <f t="shared" si="41"/>
        <v>8058.5740000000069</v>
      </c>
      <c r="U45" s="363">
        <f t="shared" si="42"/>
        <v>1356.0160000000001</v>
      </c>
      <c r="V45" s="363">
        <f t="shared" si="43"/>
        <v>2546.5120000000002</v>
      </c>
      <c r="W45" s="363">
        <f t="shared" si="44"/>
        <v>23106.378000000001</v>
      </c>
      <c r="X45" s="363">
        <f t="shared" si="45"/>
        <v>3801.1360000000004</v>
      </c>
      <c r="Y45" s="363"/>
    </row>
    <row r="46" spans="1:25">
      <c r="A46" s="2" t="s">
        <v>83</v>
      </c>
      <c r="B46" s="16">
        <f t="shared" ref="B46:N46" si="50">B81*0.2</f>
        <v>63234.164000000004</v>
      </c>
      <c r="C46" s="16">
        <f t="shared" si="50"/>
        <v>10820.526000000003</v>
      </c>
      <c r="D46" s="16">
        <f t="shared" si="50"/>
        <v>1673.8880000000001</v>
      </c>
      <c r="E46" s="16">
        <f t="shared" si="50"/>
        <v>1224.6039999999998</v>
      </c>
      <c r="F46" s="16">
        <f t="shared" si="50"/>
        <v>26246.016</v>
      </c>
      <c r="G46" s="16">
        <f t="shared" si="50"/>
        <v>1102.194</v>
      </c>
      <c r="H46" s="16">
        <f t="shared" si="50"/>
        <v>1445.5340000000001</v>
      </c>
      <c r="I46" s="16">
        <f t="shared" si="50"/>
        <v>0</v>
      </c>
      <c r="J46" s="16">
        <f t="shared" si="50"/>
        <v>2501.7840000000001</v>
      </c>
      <c r="K46" s="16">
        <f t="shared" si="50"/>
        <v>108.69000000000001</v>
      </c>
      <c r="L46" s="16">
        <f t="shared" si="50"/>
        <v>43.475999999999999</v>
      </c>
      <c r="M46" s="16">
        <f t="shared" si="50"/>
        <v>275.84800000000001</v>
      </c>
      <c r="N46" s="16">
        <f t="shared" si="50"/>
        <v>202.96</v>
      </c>
      <c r="O46" s="16">
        <f t="shared" si="37"/>
        <v>0</v>
      </c>
      <c r="P46" s="16">
        <f t="shared" si="37"/>
        <v>0</v>
      </c>
      <c r="Q46" s="16">
        <f t="shared" si="37"/>
        <v>0</v>
      </c>
      <c r="R46" s="8">
        <f t="shared" si="39"/>
        <v>108879.68400000002</v>
      </c>
      <c r="S46" s="363">
        <f t="shared" si="40"/>
        <v>63234.164000000004</v>
      </c>
      <c r="T46" s="363">
        <f t="shared" si="41"/>
        <v>10820.526000000003</v>
      </c>
      <c r="U46" s="363">
        <f t="shared" si="42"/>
        <v>1673.8880000000001</v>
      </c>
      <c r="V46" s="363">
        <f t="shared" si="43"/>
        <v>1224.6039999999998</v>
      </c>
      <c r="W46" s="363">
        <f t="shared" si="44"/>
        <v>27348.21</v>
      </c>
      <c r="X46" s="363">
        <f t="shared" si="45"/>
        <v>4578.2920000000004</v>
      </c>
      <c r="Y46" s="363"/>
    </row>
    <row r="47" spans="1:25">
      <c r="A47" s="2" t="s">
        <v>84</v>
      </c>
      <c r="B47" s="16">
        <f t="shared" ref="B47:N47" si="51">B82*0.2</f>
        <v>36898.664000000004</v>
      </c>
      <c r="C47" s="16">
        <f t="shared" si="51"/>
        <v>5795.2619999999988</v>
      </c>
      <c r="D47" s="16">
        <f t="shared" si="51"/>
        <v>1065.1940000000002</v>
      </c>
      <c r="E47" s="16">
        <f t="shared" si="51"/>
        <v>709.42000000000007</v>
      </c>
      <c r="F47" s="16">
        <f t="shared" si="51"/>
        <v>23278.65</v>
      </c>
      <c r="G47" s="16">
        <f t="shared" si="51"/>
        <v>623.95800000000008</v>
      </c>
      <c r="H47" s="16">
        <f t="shared" si="51"/>
        <v>496.48599999999988</v>
      </c>
      <c r="I47" s="16">
        <f t="shared" si="51"/>
        <v>66.576000000000008</v>
      </c>
      <c r="J47" s="16">
        <f t="shared" si="51"/>
        <v>1266.8119999999999</v>
      </c>
      <c r="K47" s="16">
        <f t="shared" si="51"/>
        <v>0</v>
      </c>
      <c r="L47" s="16">
        <f t="shared" si="51"/>
        <v>0</v>
      </c>
      <c r="M47" s="16">
        <f t="shared" si="51"/>
        <v>0</v>
      </c>
      <c r="N47" s="16">
        <f t="shared" si="51"/>
        <v>112.24200000000002</v>
      </c>
      <c r="O47" s="16">
        <f t="shared" si="37"/>
        <v>0</v>
      </c>
      <c r="P47" s="16">
        <f t="shared" si="37"/>
        <v>0</v>
      </c>
      <c r="Q47" s="16">
        <f t="shared" si="37"/>
        <v>0</v>
      </c>
      <c r="R47" s="8">
        <f t="shared" si="39"/>
        <v>70313.26400000001</v>
      </c>
      <c r="S47" s="363">
        <f t="shared" si="40"/>
        <v>36898.664000000004</v>
      </c>
      <c r="T47" s="363">
        <f t="shared" si="41"/>
        <v>5795.2619999999988</v>
      </c>
      <c r="U47" s="363">
        <f t="shared" si="42"/>
        <v>1065.1940000000002</v>
      </c>
      <c r="V47" s="363">
        <f t="shared" si="43"/>
        <v>709.42000000000007</v>
      </c>
      <c r="W47" s="363">
        <f t="shared" si="44"/>
        <v>23902.608</v>
      </c>
      <c r="X47" s="363">
        <f t="shared" si="45"/>
        <v>1942.1159999999998</v>
      </c>
      <c r="Y47" s="363"/>
    </row>
    <row r="48" spans="1:25">
      <c r="A48" s="2" t="s">
        <v>85</v>
      </c>
      <c r="B48" s="16">
        <f t="shared" ref="B48:N48" si="52">B83*0.2</f>
        <v>42678.402000000002</v>
      </c>
      <c r="C48" s="16">
        <f t="shared" si="52"/>
        <v>8252.9380000000001</v>
      </c>
      <c r="D48" s="16">
        <f t="shared" si="52"/>
        <v>1245.268</v>
      </c>
      <c r="E48" s="16">
        <f t="shared" si="52"/>
        <v>1900.6020000000001</v>
      </c>
      <c r="F48" s="16">
        <f t="shared" si="52"/>
        <v>41542.524000000005</v>
      </c>
      <c r="G48" s="16">
        <f t="shared" si="52"/>
        <v>715.20600000000013</v>
      </c>
      <c r="H48" s="16">
        <f t="shared" si="52"/>
        <v>841.18200000000002</v>
      </c>
      <c r="I48" s="16">
        <f t="shared" si="52"/>
        <v>346.10400000000004</v>
      </c>
      <c r="J48" s="16">
        <f t="shared" si="52"/>
        <v>2064.2540000000004</v>
      </c>
      <c r="K48" s="16">
        <f t="shared" si="52"/>
        <v>21.738</v>
      </c>
      <c r="L48" s="16">
        <f t="shared" si="52"/>
        <v>0</v>
      </c>
      <c r="M48" s="16">
        <f t="shared" si="52"/>
        <v>0</v>
      </c>
      <c r="N48" s="16">
        <f t="shared" si="52"/>
        <v>87.50800000000001</v>
      </c>
      <c r="O48" s="16">
        <f t="shared" si="37"/>
        <v>0</v>
      </c>
      <c r="P48" s="16">
        <f t="shared" si="37"/>
        <v>0</v>
      </c>
      <c r="Q48" s="16">
        <f t="shared" si="37"/>
        <v>0</v>
      </c>
      <c r="R48" s="8">
        <f t="shared" si="39"/>
        <v>99695.726000000024</v>
      </c>
      <c r="S48" s="363">
        <f t="shared" si="40"/>
        <v>42678.402000000002</v>
      </c>
      <c r="T48" s="363">
        <f t="shared" si="41"/>
        <v>8252.9380000000001</v>
      </c>
      <c r="U48" s="363">
        <f t="shared" si="42"/>
        <v>1245.268</v>
      </c>
      <c r="V48" s="363">
        <f t="shared" si="43"/>
        <v>1900.6020000000001</v>
      </c>
      <c r="W48" s="363">
        <f t="shared" si="44"/>
        <v>42257.73</v>
      </c>
      <c r="X48" s="363">
        <f t="shared" si="45"/>
        <v>3360.7860000000001</v>
      </c>
      <c r="Y48" s="363"/>
    </row>
    <row r="49" spans="1:25">
      <c r="A49" s="2" t="s">
        <v>86</v>
      </c>
      <c r="B49" s="16">
        <f t="shared" ref="B49:N49" si="53">B84*0.2</f>
        <v>12972.076000000001</v>
      </c>
      <c r="C49" s="16">
        <f t="shared" si="53"/>
        <v>2149.6280000000011</v>
      </c>
      <c r="D49" s="16">
        <f t="shared" si="53"/>
        <v>583.32600000000002</v>
      </c>
      <c r="E49" s="16">
        <f t="shared" si="53"/>
        <v>296.98199999999997</v>
      </c>
      <c r="F49" s="16">
        <f t="shared" si="53"/>
        <v>10680.576000000001</v>
      </c>
      <c r="G49" s="16">
        <f t="shared" si="53"/>
        <v>213.08400000000003</v>
      </c>
      <c r="H49" s="16">
        <f t="shared" si="53"/>
        <v>201.42600000000002</v>
      </c>
      <c r="I49" s="16">
        <f t="shared" si="53"/>
        <v>0</v>
      </c>
      <c r="J49" s="16">
        <f t="shared" si="53"/>
        <v>485.39400000000001</v>
      </c>
      <c r="K49" s="16">
        <f t="shared" si="53"/>
        <v>0</v>
      </c>
      <c r="L49" s="16">
        <f t="shared" si="53"/>
        <v>0</v>
      </c>
      <c r="M49" s="16">
        <f t="shared" si="53"/>
        <v>0</v>
      </c>
      <c r="N49" s="16">
        <f t="shared" si="53"/>
        <v>19.02</v>
      </c>
      <c r="O49" s="16">
        <f t="shared" si="37"/>
        <v>0</v>
      </c>
      <c r="P49" s="16">
        <f t="shared" si="37"/>
        <v>0</v>
      </c>
      <c r="Q49" s="16">
        <f t="shared" si="37"/>
        <v>0</v>
      </c>
      <c r="R49" s="8">
        <f t="shared" si="39"/>
        <v>27601.512000000002</v>
      </c>
      <c r="S49" s="363">
        <f t="shared" si="40"/>
        <v>12972.076000000001</v>
      </c>
      <c r="T49" s="363">
        <f t="shared" si="41"/>
        <v>2149.6280000000011</v>
      </c>
      <c r="U49" s="363">
        <f t="shared" si="42"/>
        <v>583.32600000000002</v>
      </c>
      <c r="V49" s="363">
        <f t="shared" si="43"/>
        <v>296.98199999999997</v>
      </c>
      <c r="W49" s="363">
        <f t="shared" si="44"/>
        <v>10893.660000000002</v>
      </c>
      <c r="X49" s="363">
        <f t="shared" si="45"/>
        <v>705.84</v>
      </c>
      <c r="Y49" s="363"/>
    </row>
    <row r="50" spans="1:25">
      <c r="A50" s="2" t="s">
        <v>87</v>
      </c>
      <c r="B50" s="16">
        <f t="shared" ref="B50:N50" si="54">B85*0.2</f>
        <v>29366.526000000002</v>
      </c>
      <c r="C50" s="16">
        <f t="shared" si="54"/>
        <v>6041.1200000000017</v>
      </c>
      <c r="D50" s="16">
        <f t="shared" si="54"/>
        <v>1009.4059999999999</v>
      </c>
      <c r="E50" s="16">
        <f t="shared" si="54"/>
        <v>1347.17</v>
      </c>
      <c r="F50" s="16">
        <f t="shared" si="54"/>
        <v>35273.988000000005</v>
      </c>
      <c r="G50" s="16">
        <f t="shared" si="54"/>
        <v>580.48199999999997</v>
      </c>
      <c r="H50" s="16">
        <f t="shared" si="54"/>
        <v>607.58000000000004</v>
      </c>
      <c r="I50" s="16">
        <f t="shared" si="54"/>
        <v>0</v>
      </c>
      <c r="J50" s="16">
        <f t="shared" si="54"/>
        <v>1197.3240000000001</v>
      </c>
      <c r="K50" s="16">
        <f t="shared" si="54"/>
        <v>147.87</v>
      </c>
      <c r="L50" s="16">
        <f t="shared" si="54"/>
        <v>0</v>
      </c>
      <c r="M50" s="16">
        <f t="shared" si="54"/>
        <v>0</v>
      </c>
      <c r="N50" s="16">
        <f t="shared" si="54"/>
        <v>80.542000000000002</v>
      </c>
      <c r="O50" s="16">
        <f t="shared" si="37"/>
        <v>0</v>
      </c>
      <c r="P50" s="16">
        <f t="shared" si="37"/>
        <v>0</v>
      </c>
      <c r="Q50" s="16">
        <f t="shared" si="37"/>
        <v>0</v>
      </c>
      <c r="R50" s="8">
        <f t="shared" si="39"/>
        <v>75652.008000000002</v>
      </c>
      <c r="S50" s="363">
        <f t="shared" si="40"/>
        <v>29366.526000000002</v>
      </c>
      <c r="T50" s="363">
        <f t="shared" si="41"/>
        <v>6041.1200000000017</v>
      </c>
      <c r="U50" s="363">
        <f t="shared" si="42"/>
        <v>1009.4059999999999</v>
      </c>
      <c r="V50" s="363">
        <f t="shared" si="43"/>
        <v>1347.17</v>
      </c>
      <c r="W50" s="363">
        <f t="shared" si="44"/>
        <v>35854.47</v>
      </c>
      <c r="X50" s="363">
        <f t="shared" si="45"/>
        <v>2033.3159999999998</v>
      </c>
      <c r="Y50" s="363"/>
    </row>
    <row r="51" spans="1:25">
      <c r="A51" s="2" t="s">
        <v>88</v>
      </c>
      <c r="B51" s="16">
        <f t="shared" ref="B51:N51" si="55">B86*0.2</f>
        <v>40497.402000000002</v>
      </c>
      <c r="C51" s="16">
        <f t="shared" si="55"/>
        <v>6760.5580000000009</v>
      </c>
      <c r="D51" s="16">
        <f t="shared" si="55"/>
        <v>821.72400000000005</v>
      </c>
      <c r="E51" s="16">
        <f t="shared" si="55"/>
        <v>1493.2860000000001</v>
      </c>
      <c r="F51" s="16">
        <f t="shared" si="55"/>
        <v>26436.33</v>
      </c>
      <c r="G51" s="16">
        <f t="shared" si="55"/>
        <v>243.67200000000003</v>
      </c>
      <c r="H51" s="16">
        <f t="shared" si="55"/>
        <v>896.71199999999999</v>
      </c>
      <c r="I51" s="16">
        <f t="shared" si="55"/>
        <v>194.15600000000001</v>
      </c>
      <c r="J51" s="16">
        <f t="shared" si="55"/>
        <v>1607.0440000000001</v>
      </c>
      <c r="K51" s="16">
        <f t="shared" si="55"/>
        <v>86.951999999999998</v>
      </c>
      <c r="L51" s="16">
        <f t="shared" si="55"/>
        <v>0</v>
      </c>
      <c r="M51" s="16">
        <f t="shared" si="55"/>
        <v>0</v>
      </c>
      <c r="N51" s="16">
        <f t="shared" si="55"/>
        <v>69.114000000000004</v>
      </c>
      <c r="O51" s="16">
        <f t="shared" si="37"/>
        <v>0</v>
      </c>
      <c r="P51" s="16">
        <f>P86*0.2</f>
        <v>9.1159999999999997</v>
      </c>
      <c r="Q51" s="16">
        <f t="shared" ref="Q51:Q65" si="56">Q86*0.2</f>
        <v>0</v>
      </c>
      <c r="R51" s="8">
        <f t="shared" si="39"/>
        <v>79116.066000000021</v>
      </c>
      <c r="S51" s="363">
        <f t="shared" si="40"/>
        <v>40497.402000000002</v>
      </c>
      <c r="T51" s="363">
        <f t="shared" si="41"/>
        <v>6760.5580000000009</v>
      </c>
      <c r="U51" s="363">
        <f t="shared" si="42"/>
        <v>821.72400000000005</v>
      </c>
      <c r="V51" s="363">
        <f t="shared" si="43"/>
        <v>1493.2860000000001</v>
      </c>
      <c r="W51" s="363">
        <f t="shared" si="44"/>
        <v>26680.002</v>
      </c>
      <c r="X51" s="363">
        <f t="shared" si="45"/>
        <v>2863.0940000000005</v>
      </c>
      <c r="Y51" s="363"/>
    </row>
    <row r="52" spans="1:25">
      <c r="A52" s="2" t="s">
        <v>89</v>
      </c>
      <c r="B52" s="16">
        <f t="shared" ref="B52:N52" si="57">B87*0.2</f>
        <v>197821.37</v>
      </c>
      <c r="C52" s="16">
        <f t="shared" si="57"/>
        <v>27902.36</v>
      </c>
      <c r="D52" s="16">
        <f t="shared" si="57"/>
        <v>6299.0580000000009</v>
      </c>
      <c r="E52" s="16">
        <f t="shared" si="57"/>
        <v>3922.1619999999998</v>
      </c>
      <c r="F52" s="16">
        <f t="shared" si="57"/>
        <v>81719.418000000005</v>
      </c>
      <c r="G52" s="16">
        <f t="shared" si="57"/>
        <v>3304.4339999999997</v>
      </c>
      <c r="H52" s="16">
        <f t="shared" si="57"/>
        <v>3708.1119999999996</v>
      </c>
      <c r="I52" s="16">
        <f t="shared" si="57"/>
        <v>0</v>
      </c>
      <c r="J52" s="16">
        <f t="shared" si="57"/>
        <v>6219.1840000000002</v>
      </c>
      <c r="K52" s="16">
        <f t="shared" si="57"/>
        <v>195.64200000000002</v>
      </c>
      <c r="L52" s="16">
        <f t="shared" si="57"/>
        <v>0</v>
      </c>
      <c r="M52" s="16">
        <f t="shared" si="57"/>
        <v>0</v>
      </c>
      <c r="N52" s="16">
        <f t="shared" si="57"/>
        <v>381.10599999999999</v>
      </c>
      <c r="O52" s="16">
        <f t="shared" si="37"/>
        <v>0</v>
      </c>
      <c r="P52" s="16">
        <f>P87*0.2</f>
        <v>0</v>
      </c>
      <c r="Q52" s="16">
        <f t="shared" si="56"/>
        <v>143.524</v>
      </c>
      <c r="R52" s="8">
        <f t="shared" si="39"/>
        <v>331616.37000000005</v>
      </c>
      <c r="S52" s="363">
        <f t="shared" si="40"/>
        <v>197821.37</v>
      </c>
      <c r="T52" s="363">
        <f t="shared" si="41"/>
        <v>27902.36</v>
      </c>
      <c r="U52" s="363">
        <f t="shared" si="42"/>
        <v>6299.0580000000009</v>
      </c>
      <c r="V52" s="363">
        <f t="shared" si="43"/>
        <v>3922.1619999999998</v>
      </c>
      <c r="W52" s="363">
        <f t="shared" si="44"/>
        <v>85023.851999999999</v>
      </c>
      <c r="X52" s="363">
        <f t="shared" si="45"/>
        <v>10647.567999999999</v>
      </c>
      <c r="Y52" s="363"/>
    </row>
    <row r="53" spans="1:25">
      <c r="A53" s="2" t="s">
        <v>90</v>
      </c>
      <c r="B53" s="16">
        <f t="shared" ref="B53:N53" si="58">B88*0.2</f>
        <v>20592.042000000001</v>
      </c>
      <c r="C53" s="16">
        <f t="shared" si="58"/>
        <v>4791.8579999999993</v>
      </c>
      <c r="D53" s="16">
        <f t="shared" si="58"/>
        <v>351.262</v>
      </c>
      <c r="E53" s="16">
        <f t="shared" si="58"/>
        <v>327.65600000000006</v>
      </c>
      <c r="F53" s="16">
        <f t="shared" si="58"/>
        <v>14052.888000000001</v>
      </c>
      <c r="G53" s="16">
        <f t="shared" si="58"/>
        <v>539.154</v>
      </c>
      <c r="H53" s="16">
        <f t="shared" si="58"/>
        <v>465.952</v>
      </c>
      <c r="I53" s="16">
        <f t="shared" si="58"/>
        <v>0</v>
      </c>
      <c r="J53" s="16">
        <f t="shared" si="58"/>
        <v>1017.4160000000001</v>
      </c>
      <c r="K53" s="16">
        <f t="shared" si="58"/>
        <v>106.54200000000002</v>
      </c>
      <c r="L53" s="16">
        <f t="shared" si="58"/>
        <v>0</v>
      </c>
      <c r="M53" s="16">
        <f t="shared" si="58"/>
        <v>0</v>
      </c>
      <c r="N53" s="16">
        <f t="shared" si="58"/>
        <v>74.828000000000003</v>
      </c>
      <c r="O53" s="16">
        <f t="shared" si="37"/>
        <v>0</v>
      </c>
      <c r="P53" s="16">
        <v>0</v>
      </c>
      <c r="Q53" s="16">
        <f t="shared" si="56"/>
        <v>0</v>
      </c>
      <c r="R53" s="8">
        <f t="shared" si="39"/>
        <v>42319.597999999998</v>
      </c>
      <c r="S53" s="363">
        <f t="shared" si="40"/>
        <v>20592.042000000001</v>
      </c>
      <c r="T53" s="363">
        <f t="shared" si="41"/>
        <v>4791.8579999999993</v>
      </c>
      <c r="U53" s="363">
        <f t="shared" si="42"/>
        <v>351.262</v>
      </c>
      <c r="V53" s="363">
        <f t="shared" si="43"/>
        <v>327.65600000000006</v>
      </c>
      <c r="W53" s="363">
        <f t="shared" si="44"/>
        <v>14592.042000000001</v>
      </c>
      <c r="X53" s="363">
        <f t="shared" si="45"/>
        <v>1664.7379999999998</v>
      </c>
      <c r="Y53" s="363"/>
    </row>
    <row r="54" spans="1:25">
      <c r="A54" s="2" t="s">
        <v>91</v>
      </c>
      <c r="B54" s="16">
        <f t="shared" ref="B54:N54" si="59">B89*0.2</f>
        <v>21168.978000000003</v>
      </c>
      <c r="C54" s="16">
        <f t="shared" si="59"/>
        <v>5606.8119999999981</v>
      </c>
      <c r="D54" s="16">
        <f t="shared" si="59"/>
        <v>527.52800000000002</v>
      </c>
      <c r="E54" s="16">
        <f t="shared" si="59"/>
        <v>937.50599999999997</v>
      </c>
      <c r="F54" s="16">
        <f t="shared" si="59"/>
        <v>17120.61</v>
      </c>
      <c r="G54" s="16">
        <f t="shared" si="59"/>
        <v>797.86200000000008</v>
      </c>
      <c r="H54" s="16">
        <f t="shared" si="59"/>
        <v>692.40000000000009</v>
      </c>
      <c r="I54" s="16">
        <f t="shared" si="59"/>
        <v>0</v>
      </c>
      <c r="J54" s="16">
        <f t="shared" si="59"/>
        <v>1263.21</v>
      </c>
      <c r="K54" s="16">
        <f t="shared" si="59"/>
        <v>21.738</v>
      </c>
      <c r="L54" s="16">
        <f t="shared" si="59"/>
        <v>0</v>
      </c>
      <c r="M54" s="16">
        <f t="shared" si="59"/>
        <v>0</v>
      </c>
      <c r="N54" s="16">
        <f t="shared" si="59"/>
        <v>55.182000000000009</v>
      </c>
      <c r="O54" s="16">
        <f t="shared" si="37"/>
        <v>0</v>
      </c>
      <c r="P54" s="16">
        <v>0</v>
      </c>
      <c r="Q54" s="16">
        <f t="shared" si="56"/>
        <v>0</v>
      </c>
      <c r="R54" s="8">
        <f t="shared" si="39"/>
        <v>48191.826000000001</v>
      </c>
      <c r="S54" s="363">
        <f t="shared" si="40"/>
        <v>21168.978000000003</v>
      </c>
      <c r="T54" s="363">
        <f t="shared" si="41"/>
        <v>5606.8119999999981</v>
      </c>
      <c r="U54" s="363">
        <f t="shared" si="42"/>
        <v>527.52800000000002</v>
      </c>
      <c r="V54" s="363">
        <f t="shared" si="43"/>
        <v>937.50599999999997</v>
      </c>
      <c r="W54" s="363">
        <f t="shared" si="44"/>
        <v>17918.472000000002</v>
      </c>
      <c r="X54" s="363">
        <f t="shared" si="45"/>
        <v>2032.5300000000002</v>
      </c>
      <c r="Y54" s="363"/>
    </row>
    <row r="55" spans="1:25">
      <c r="A55" s="2" t="s">
        <v>92</v>
      </c>
      <c r="B55" s="16">
        <f t="shared" ref="B55:N55" si="60">B90*0.2</f>
        <v>163632.61600000001</v>
      </c>
      <c r="C55" s="16">
        <f t="shared" si="60"/>
        <v>18978.462000000014</v>
      </c>
      <c r="D55" s="16">
        <f t="shared" si="60"/>
        <v>7228.9860000000008</v>
      </c>
      <c r="E55" s="16">
        <f t="shared" si="60"/>
        <v>4328.9560000000001</v>
      </c>
      <c r="F55" s="16">
        <f t="shared" si="60"/>
        <v>101751.372</v>
      </c>
      <c r="G55" s="16">
        <f t="shared" si="60"/>
        <v>1904.3520000000001</v>
      </c>
      <c r="H55" s="16">
        <f t="shared" si="60"/>
        <v>1813.998</v>
      </c>
      <c r="I55" s="16">
        <f t="shared" si="60"/>
        <v>295.40600000000001</v>
      </c>
      <c r="J55" s="16">
        <f t="shared" si="60"/>
        <v>4540.5320000000011</v>
      </c>
      <c r="K55" s="16">
        <f t="shared" si="60"/>
        <v>563.04</v>
      </c>
      <c r="L55" s="16">
        <f t="shared" si="60"/>
        <v>43.475999999999999</v>
      </c>
      <c r="M55" s="16">
        <f t="shared" si="60"/>
        <v>0</v>
      </c>
      <c r="N55" s="16">
        <f t="shared" si="60"/>
        <v>275.20400000000001</v>
      </c>
      <c r="O55" s="16">
        <f t="shared" si="37"/>
        <v>0</v>
      </c>
      <c r="P55" s="16">
        <v>0</v>
      </c>
      <c r="Q55" s="16">
        <f t="shared" si="56"/>
        <v>0</v>
      </c>
      <c r="R55" s="8">
        <f t="shared" si="39"/>
        <v>305356.40000000014</v>
      </c>
      <c r="S55" s="363">
        <f t="shared" si="40"/>
        <v>163632.61600000001</v>
      </c>
      <c r="T55" s="363">
        <f t="shared" si="41"/>
        <v>18978.462000000014</v>
      </c>
      <c r="U55" s="363">
        <f t="shared" si="42"/>
        <v>7228.9860000000008</v>
      </c>
      <c r="V55" s="363">
        <f t="shared" si="43"/>
        <v>4328.9560000000001</v>
      </c>
      <c r="W55" s="363">
        <f t="shared" si="44"/>
        <v>103655.724</v>
      </c>
      <c r="X55" s="363">
        <f t="shared" si="45"/>
        <v>7531.6560000000009</v>
      </c>
      <c r="Y55" s="363"/>
    </row>
    <row r="56" spans="1:25">
      <c r="A56" s="2" t="s">
        <v>93</v>
      </c>
      <c r="B56" s="16">
        <f t="shared" ref="B56:O66" si="61">B91*0.2</f>
        <v>50971.278000000006</v>
      </c>
      <c r="C56" s="16">
        <f t="shared" si="61"/>
        <v>11296.595999999996</v>
      </c>
      <c r="D56" s="16">
        <f t="shared" si="61"/>
        <v>1568.6320000000001</v>
      </c>
      <c r="E56" s="16">
        <f t="shared" si="61"/>
        <v>1784.1080000000002</v>
      </c>
      <c r="F56" s="16">
        <f t="shared" si="61"/>
        <v>27482.340000000004</v>
      </c>
      <c r="G56" s="16">
        <f t="shared" si="61"/>
        <v>973.91399999999999</v>
      </c>
      <c r="H56" s="16">
        <f t="shared" si="61"/>
        <v>1013.9360000000001</v>
      </c>
      <c r="I56" s="16">
        <f t="shared" si="61"/>
        <v>117.54000000000002</v>
      </c>
      <c r="J56" s="16">
        <f t="shared" si="61"/>
        <v>2615.0260000000003</v>
      </c>
      <c r="K56" s="16">
        <f t="shared" si="61"/>
        <v>41.328000000000003</v>
      </c>
      <c r="L56" s="16">
        <f t="shared" si="61"/>
        <v>0</v>
      </c>
      <c r="M56" s="16">
        <f t="shared" si="61"/>
        <v>0</v>
      </c>
      <c r="N56" s="16">
        <f t="shared" si="61"/>
        <v>101.44</v>
      </c>
      <c r="O56" s="16">
        <f t="shared" si="61"/>
        <v>0</v>
      </c>
      <c r="P56" s="16">
        <v>0</v>
      </c>
      <c r="Q56" s="16">
        <f t="shared" si="56"/>
        <v>0</v>
      </c>
      <c r="R56" s="8">
        <f t="shared" si="39"/>
        <v>97966.137999999992</v>
      </c>
      <c r="S56" s="363">
        <f t="shared" si="40"/>
        <v>50971.278000000006</v>
      </c>
      <c r="T56" s="363">
        <f t="shared" si="41"/>
        <v>11296.595999999996</v>
      </c>
      <c r="U56" s="363">
        <f t="shared" si="42"/>
        <v>1568.6320000000001</v>
      </c>
      <c r="V56" s="363">
        <f t="shared" si="43"/>
        <v>1784.1080000000002</v>
      </c>
      <c r="W56" s="363">
        <f t="shared" si="44"/>
        <v>28456.254000000004</v>
      </c>
      <c r="X56" s="363">
        <f t="shared" si="45"/>
        <v>3889.2700000000004</v>
      </c>
      <c r="Y56" s="363"/>
    </row>
    <row r="57" spans="1:25">
      <c r="A57" s="2" t="s">
        <v>94</v>
      </c>
      <c r="B57" s="16">
        <f t="shared" ref="B57:N57" si="62">B92*0.2</f>
        <v>15002.412</v>
      </c>
      <c r="C57" s="16">
        <f t="shared" si="62"/>
        <v>2012.7</v>
      </c>
      <c r="D57" s="16">
        <f t="shared" si="62"/>
        <v>913.03200000000004</v>
      </c>
      <c r="E57" s="16">
        <f t="shared" si="62"/>
        <v>753.65200000000004</v>
      </c>
      <c r="F57" s="16">
        <f t="shared" si="62"/>
        <v>7419.3600000000006</v>
      </c>
      <c r="G57" s="16">
        <f t="shared" si="62"/>
        <v>258.70800000000003</v>
      </c>
      <c r="H57" s="16">
        <f t="shared" si="62"/>
        <v>225.596</v>
      </c>
      <c r="I57" s="16">
        <f t="shared" si="62"/>
        <v>0</v>
      </c>
      <c r="J57" s="16">
        <f t="shared" si="62"/>
        <v>561.63599999999997</v>
      </c>
      <c r="K57" s="16">
        <f t="shared" si="62"/>
        <v>86.951999999999998</v>
      </c>
      <c r="L57" s="16">
        <f t="shared" si="62"/>
        <v>0</v>
      </c>
      <c r="M57" s="16">
        <f t="shared" si="62"/>
        <v>0</v>
      </c>
      <c r="N57" s="16">
        <f t="shared" si="62"/>
        <v>6.34</v>
      </c>
      <c r="O57" s="16">
        <f t="shared" si="61"/>
        <v>0</v>
      </c>
      <c r="P57" s="16">
        <v>0</v>
      </c>
      <c r="Q57" s="16">
        <f t="shared" si="56"/>
        <v>0</v>
      </c>
      <c r="R57" s="8">
        <f t="shared" si="39"/>
        <v>27240.388000000003</v>
      </c>
      <c r="S57" s="363">
        <f t="shared" si="40"/>
        <v>15002.412</v>
      </c>
      <c r="T57" s="363">
        <f t="shared" si="41"/>
        <v>2012.7</v>
      </c>
      <c r="U57" s="363">
        <f t="shared" si="42"/>
        <v>913.03200000000004</v>
      </c>
      <c r="V57" s="363">
        <f t="shared" si="43"/>
        <v>753.65200000000004</v>
      </c>
      <c r="W57" s="363">
        <f t="shared" si="44"/>
        <v>7678.0680000000002</v>
      </c>
      <c r="X57" s="363">
        <f t="shared" si="45"/>
        <v>880.524</v>
      </c>
      <c r="Y57" s="363"/>
    </row>
    <row r="58" spans="1:25">
      <c r="A58" s="2" t="s">
        <v>95</v>
      </c>
      <c r="B58" s="16">
        <f t="shared" ref="B58:N58" si="63">B93*0.2</f>
        <v>186998.978</v>
      </c>
      <c r="C58" s="16">
        <f t="shared" si="63"/>
        <v>23090.038</v>
      </c>
      <c r="D58" s="16">
        <f t="shared" si="63"/>
        <v>9002.6440000000002</v>
      </c>
      <c r="E58" s="16">
        <f t="shared" si="63"/>
        <v>5121.7160000000003</v>
      </c>
      <c r="F58" s="16">
        <f t="shared" si="63"/>
        <v>88500.3</v>
      </c>
      <c r="G58" s="16">
        <f t="shared" si="63"/>
        <v>2921.7420000000002</v>
      </c>
      <c r="H58" s="16">
        <f t="shared" si="63"/>
        <v>2576.5480000000007</v>
      </c>
      <c r="I58" s="16">
        <f t="shared" si="63"/>
        <v>1068.42</v>
      </c>
      <c r="J58" s="16">
        <f t="shared" si="63"/>
        <v>5462.1460000000006</v>
      </c>
      <c r="K58" s="16">
        <f t="shared" si="63"/>
        <v>213.08400000000003</v>
      </c>
      <c r="L58" s="16">
        <f t="shared" si="63"/>
        <v>86.951999999999998</v>
      </c>
      <c r="M58" s="16">
        <f t="shared" si="63"/>
        <v>0</v>
      </c>
      <c r="N58" s="16">
        <f t="shared" si="63"/>
        <v>561.428</v>
      </c>
      <c r="O58" s="16">
        <f t="shared" si="61"/>
        <v>0</v>
      </c>
      <c r="P58" s="16">
        <v>0</v>
      </c>
      <c r="Q58" s="16">
        <f t="shared" si="56"/>
        <v>0</v>
      </c>
      <c r="R58" s="8">
        <f t="shared" si="39"/>
        <v>325603.99599999998</v>
      </c>
      <c r="S58" s="363">
        <f t="shared" si="40"/>
        <v>186998.978</v>
      </c>
      <c r="T58" s="363">
        <f t="shared" si="41"/>
        <v>23090.038</v>
      </c>
      <c r="U58" s="363">
        <f t="shared" si="42"/>
        <v>9002.6440000000002</v>
      </c>
      <c r="V58" s="363">
        <f t="shared" si="43"/>
        <v>5121.7160000000003</v>
      </c>
      <c r="W58" s="363">
        <f t="shared" si="44"/>
        <v>91422.042000000001</v>
      </c>
      <c r="X58" s="363">
        <f t="shared" si="45"/>
        <v>9968.5780000000013</v>
      </c>
      <c r="Y58" s="363"/>
    </row>
    <row r="59" spans="1:25">
      <c r="A59" s="2" t="s">
        <v>96</v>
      </c>
      <c r="B59" s="16">
        <f t="shared" ref="B59:N59" si="64">B94*0.2</f>
        <v>20267.672000000002</v>
      </c>
      <c r="C59" s="16">
        <f t="shared" si="64"/>
        <v>3269.188000000001</v>
      </c>
      <c r="D59" s="16">
        <f t="shared" si="64"/>
        <v>426.08000000000004</v>
      </c>
      <c r="E59" s="16">
        <f t="shared" si="64"/>
        <v>283.73999999999995</v>
      </c>
      <c r="F59" s="16">
        <f t="shared" si="64"/>
        <v>13230.366000000002</v>
      </c>
      <c r="G59" s="16">
        <f t="shared" si="64"/>
        <v>169.60800000000003</v>
      </c>
      <c r="H59" s="16">
        <f t="shared" si="64"/>
        <v>418.55599999999998</v>
      </c>
      <c r="I59" s="16">
        <f t="shared" si="64"/>
        <v>0</v>
      </c>
      <c r="J59" s="16">
        <f t="shared" si="64"/>
        <v>587.54200000000003</v>
      </c>
      <c r="K59" s="16">
        <f t="shared" si="64"/>
        <v>0</v>
      </c>
      <c r="L59" s="16">
        <f t="shared" si="64"/>
        <v>43.475999999999999</v>
      </c>
      <c r="M59" s="16">
        <f t="shared" si="64"/>
        <v>0</v>
      </c>
      <c r="N59" s="16">
        <f t="shared" si="64"/>
        <v>36.788000000000004</v>
      </c>
      <c r="O59" s="16">
        <f t="shared" si="61"/>
        <v>0</v>
      </c>
      <c r="P59" s="16">
        <v>0</v>
      </c>
      <c r="Q59" s="16">
        <f t="shared" si="56"/>
        <v>0</v>
      </c>
      <c r="R59" s="8">
        <f t="shared" si="39"/>
        <v>38733.016000000011</v>
      </c>
      <c r="S59" s="363">
        <f t="shared" si="40"/>
        <v>20267.672000000002</v>
      </c>
      <c r="T59" s="363">
        <f t="shared" si="41"/>
        <v>3269.188000000001</v>
      </c>
      <c r="U59" s="363">
        <f t="shared" si="42"/>
        <v>426.08000000000004</v>
      </c>
      <c r="V59" s="363">
        <f t="shared" si="43"/>
        <v>283.73999999999995</v>
      </c>
      <c r="W59" s="363">
        <f t="shared" si="44"/>
        <v>13399.974000000002</v>
      </c>
      <c r="X59" s="363">
        <f t="shared" si="45"/>
        <v>1086.3620000000001</v>
      </c>
      <c r="Y59" s="363"/>
    </row>
    <row r="60" spans="1:25">
      <c r="A60" s="2" t="s">
        <v>97</v>
      </c>
      <c r="B60" s="16">
        <f t="shared" ref="B60:N60" si="65">B95*0.2</f>
        <v>247011.76200000002</v>
      </c>
      <c r="C60" s="16">
        <f t="shared" si="65"/>
        <v>31018.645999999997</v>
      </c>
      <c r="D60" s="16">
        <f t="shared" si="65"/>
        <v>12543.160000000002</v>
      </c>
      <c r="E60" s="16">
        <f t="shared" si="65"/>
        <v>4047.6039999999994</v>
      </c>
      <c r="F60" s="16">
        <f t="shared" si="65"/>
        <v>136949.92199999999</v>
      </c>
      <c r="G60" s="16">
        <f t="shared" si="65"/>
        <v>2054.37</v>
      </c>
      <c r="H60" s="16">
        <f t="shared" si="65"/>
        <v>3200.3840000000005</v>
      </c>
      <c r="I60" s="16">
        <f t="shared" si="65"/>
        <v>0</v>
      </c>
      <c r="J60" s="16">
        <f t="shared" si="65"/>
        <v>7097.2300000000005</v>
      </c>
      <c r="K60" s="16">
        <f t="shared" si="65"/>
        <v>323.92200000000003</v>
      </c>
      <c r="L60" s="16">
        <f t="shared" si="65"/>
        <v>0</v>
      </c>
      <c r="M60" s="16">
        <f t="shared" si="65"/>
        <v>0</v>
      </c>
      <c r="N60" s="16">
        <f t="shared" si="65"/>
        <v>439.49799999999999</v>
      </c>
      <c r="O60" s="16">
        <f t="shared" si="61"/>
        <v>0</v>
      </c>
      <c r="P60" s="16">
        <v>0</v>
      </c>
      <c r="Q60" s="16">
        <f t="shared" si="56"/>
        <v>0</v>
      </c>
      <c r="R60" s="8">
        <f t="shared" si="39"/>
        <v>444686.49799999996</v>
      </c>
      <c r="S60" s="363">
        <f t="shared" si="40"/>
        <v>247011.76200000002</v>
      </c>
      <c r="T60" s="363">
        <f t="shared" si="41"/>
        <v>31018.645999999997</v>
      </c>
      <c r="U60" s="363">
        <f t="shared" si="42"/>
        <v>12543.160000000002</v>
      </c>
      <c r="V60" s="363">
        <f t="shared" si="43"/>
        <v>4047.6039999999994</v>
      </c>
      <c r="W60" s="363">
        <f t="shared" si="44"/>
        <v>139004.29199999999</v>
      </c>
      <c r="X60" s="363">
        <f t="shared" si="45"/>
        <v>11061.034000000001</v>
      </c>
      <c r="Y60" s="363"/>
    </row>
    <row r="61" spans="1:25">
      <c r="A61" s="2" t="s">
        <v>98</v>
      </c>
      <c r="B61" s="16">
        <f t="shared" ref="B61:N61" si="66">B96*0.2</f>
        <v>10475.298000000001</v>
      </c>
      <c r="C61" s="16">
        <f t="shared" si="66"/>
        <v>2176.8780000000006</v>
      </c>
      <c r="D61" s="16">
        <f t="shared" si="66"/>
        <v>325.47800000000007</v>
      </c>
      <c r="E61" s="16">
        <f t="shared" si="66"/>
        <v>527.40800000000002</v>
      </c>
      <c r="F61" s="16">
        <f t="shared" si="66"/>
        <v>11071.602000000001</v>
      </c>
      <c r="G61" s="16">
        <f t="shared" si="66"/>
        <v>302.18400000000003</v>
      </c>
      <c r="H61" s="16">
        <f t="shared" si="66"/>
        <v>156.47600000000003</v>
      </c>
      <c r="I61" s="16">
        <f t="shared" si="66"/>
        <v>0</v>
      </c>
      <c r="J61" s="16">
        <f t="shared" si="66"/>
        <v>509.03800000000001</v>
      </c>
      <c r="K61" s="16">
        <f t="shared" si="66"/>
        <v>84.804000000000002</v>
      </c>
      <c r="L61" s="16">
        <f t="shared" si="66"/>
        <v>0</v>
      </c>
      <c r="M61" s="16">
        <f t="shared" si="66"/>
        <v>0</v>
      </c>
      <c r="N61" s="16">
        <f t="shared" si="66"/>
        <v>18.394000000000002</v>
      </c>
      <c r="O61" s="16">
        <f t="shared" si="61"/>
        <v>0</v>
      </c>
      <c r="P61" s="16">
        <v>0</v>
      </c>
      <c r="Q61" s="16">
        <f t="shared" si="56"/>
        <v>0</v>
      </c>
      <c r="R61" s="8">
        <f t="shared" si="39"/>
        <v>25647.560000000005</v>
      </c>
      <c r="S61" s="363">
        <f t="shared" si="40"/>
        <v>10475.298000000001</v>
      </c>
      <c r="T61" s="363">
        <f t="shared" si="41"/>
        <v>2176.8780000000006</v>
      </c>
      <c r="U61" s="363">
        <f t="shared" si="42"/>
        <v>325.47800000000007</v>
      </c>
      <c r="V61" s="363">
        <f t="shared" si="43"/>
        <v>527.40800000000002</v>
      </c>
      <c r="W61" s="363">
        <f t="shared" si="44"/>
        <v>11373.786</v>
      </c>
      <c r="X61" s="363">
        <f t="shared" si="45"/>
        <v>768.71199999999999</v>
      </c>
      <c r="Y61" s="363"/>
    </row>
    <row r="62" spans="1:25">
      <c r="A62" s="2" t="s">
        <v>99</v>
      </c>
      <c r="B62" s="16">
        <f t="shared" ref="B62:N62" si="67">B97*0.2</f>
        <v>2529.5419999999999</v>
      </c>
      <c r="C62" s="16">
        <f t="shared" si="67"/>
        <v>194.8540000000001</v>
      </c>
      <c r="D62" s="16">
        <f t="shared" si="67"/>
        <v>157.24400000000003</v>
      </c>
      <c r="E62" s="16">
        <f t="shared" si="67"/>
        <v>30.094000000000008</v>
      </c>
      <c r="F62" s="16">
        <f t="shared" si="67"/>
        <v>2597.8200000000002</v>
      </c>
      <c r="G62" s="16">
        <f t="shared" si="67"/>
        <v>86.951999999999998</v>
      </c>
      <c r="H62" s="16">
        <f t="shared" si="67"/>
        <v>10.770000000000001</v>
      </c>
      <c r="I62" s="16">
        <f t="shared" si="67"/>
        <v>0</v>
      </c>
      <c r="J62" s="16">
        <f t="shared" si="67"/>
        <v>47.141999999999996</v>
      </c>
      <c r="K62" s="16">
        <f t="shared" si="67"/>
        <v>0</v>
      </c>
      <c r="L62" s="16">
        <f t="shared" si="67"/>
        <v>0</v>
      </c>
      <c r="M62" s="16">
        <f t="shared" si="67"/>
        <v>0</v>
      </c>
      <c r="N62" s="16">
        <f t="shared" si="67"/>
        <v>0</v>
      </c>
      <c r="O62" s="16">
        <f t="shared" si="61"/>
        <v>0</v>
      </c>
      <c r="P62" s="16">
        <v>0</v>
      </c>
      <c r="Q62" s="16">
        <f t="shared" si="56"/>
        <v>0</v>
      </c>
      <c r="R62" s="8">
        <f t="shared" si="39"/>
        <v>5654.4180000000006</v>
      </c>
      <c r="S62" s="363">
        <f t="shared" si="40"/>
        <v>2529.5419999999999</v>
      </c>
      <c r="T62" s="363">
        <f t="shared" si="41"/>
        <v>194.8540000000001</v>
      </c>
      <c r="U62" s="363">
        <f t="shared" si="42"/>
        <v>157.24400000000003</v>
      </c>
      <c r="V62" s="363">
        <f t="shared" si="43"/>
        <v>30.094000000000008</v>
      </c>
      <c r="W62" s="363">
        <f t="shared" si="44"/>
        <v>2684.7719999999999</v>
      </c>
      <c r="X62" s="363">
        <f t="shared" si="45"/>
        <v>57.911999999999999</v>
      </c>
      <c r="Y62" s="363"/>
    </row>
    <row r="63" spans="1:25">
      <c r="A63" s="2" t="s">
        <v>100</v>
      </c>
      <c r="B63" s="16">
        <f t="shared" ref="B63:N63" si="68">B98*0.2</f>
        <v>137957.698</v>
      </c>
      <c r="C63" s="16">
        <f t="shared" si="68"/>
        <v>21268.933999999997</v>
      </c>
      <c r="D63" s="16">
        <f t="shared" si="68"/>
        <v>4404.5240000000003</v>
      </c>
      <c r="E63" s="16">
        <f t="shared" si="68"/>
        <v>4524.3140000000012</v>
      </c>
      <c r="F63" s="16">
        <f t="shared" si="68"/>
        <v>75477.090000000011</v>
      </c>
      <c r="G63" s="16">
        <f t="shared" si="68"/>
        <v>800.0100000000001</v>
      </c>
      <c r="H63" s="16">
        <f t="shared" si="68"/>
        <v>3237.8020000000001</v>
      </c>
      <c r="I63" s="16">
        <f t="shared" si="68"/>
        <v>0</v>
      </c>
      <c r="J63" s="16">
        <f t="shared" si="68"/>
        <v>5266.2599999999993</v>
      </c>
      <c r="K63" s="16">
        <f t="shared" si="68"/>
        <v>65.213999999999999</v>
      </c>
      <c r="L63" s="16">
        <f t="shared" si="68"/>
        <v>0</v>
      </c>
      <c r="M63" s="16">
        <f t="shared" si="68"/>
        <v>0</v>
      </c>
      <c r="N63" s="16">
        <f t="shared" si="68"/>
        <v>270.11599999999999</v>
      </c>
      <c r="O63" s="16">
        <f t="shared" si="61"/>
        <v>0</v>
      </c>
      <c r="P63" s="16">
        <v>0</v>
      </c>
      <c r="Q63" s="16">
        <f t="shared" si="56"/>
        <v>0</v>
      </c>
      <c r="R63" s="8">
        <f t="shared" si="39"/>
        <v>253271.96200000009</v>
      </c>
      <c r="S63" s="363">
        <f t="shared" si="40"/>
        <v>137957.698</v>
      </c>
      <c r="T63" s="363">
        <f t="shared" si="41"/>
        <v>21268.933999999997</v>
      </c>
      <c r="U63" s="363">
        <f t="shared" si="42"/>
        <v>4404.5240000000003</v>
      </c>
      <c r="V63" s="363">
        <f t="shared" si="43"/>
        <v>4524.3140000000012</v>
      </c>
      <c r="W63" s="363">
        <f t="shared" si="44"/>
        <v>76277.100000000006</v>
      </c>
      <c r="X63" s="363">
        <f t="shared" si="45"/>
        <v>8839.3919999999998</v>
      </c>
      <c r="Y63" s="363"/>
    </row>
    <row r="64" spans="1:25">
      <c r="A64" s="2" t="s">
        <v>101</v>
      </c>
      <c r="B64" s="16">
        <f t="shared" ref="B64:N64" si="69">B99*0.2</f>
        <v>767929.77</v>
      </c>
      <c r="C64" s="16">
        <f t="shared" si="69"/>
        <v>102969.07000000005</v>
      </c>
      <c r="D64" s="16">
        <f t="shared" si="69"/>
        <v>27435.278000000006</v>
      </c>
      <c r="E64" s="16">
        <f t="shared" si="69"/>
        <v>16093.016000000001</v>
      </c>
      <c r="F64" s="16">
        <f t="shared" si="69"/>
        <v>465286.95600000001</v>
      </c>
      <c r="G64" s="16">
        <f t="shared" si="69"/>
        <v>7445.652000000001</v>
      </c>
      <c r="H64" s="16">
        <f t="shared" si="69"/>
        <v>15492.402000000006</v>
      </c>
      <c r="I64" s="16">
        <f t="shared" si="69"/>
        <v>1475.6680000000001</v>
      </c>
      <c r="J64" s="16">
        <f t="shared" si="69"/>
        <v>23099.09</v>
      </c>
      <c r="K64" s="16">
        <f t="shared" si="69"/>
        <v>1019.538</v>
      </c>
      <c r="L64" s="16">
        <f t="shared" si="69"/>
        <v>130.428</v>
      </c>
      <c r="M64" s="16">
        <f t="shared" si="69"/>
        <v>0</v>
      </c>
      <c r="N64" s="16">
        <f t="shared" si="69"/>
        <v>1904.8240000000003</v>
      </c>
      <c r="O64" s="16">
        <f t="shared" si="61"/>
        <v>0</v>
      </c>
      <c r="P64" s="16">
        <v>0</v>
      </c>
      <c r="Q64" s="16">
        <v>0</v>
      </c>
      <c r="R64" s="8">
        <f t="shared" si="39"/>
        <v>1430281.6920000003</v>
      </c>
      <c r="S64" s="363">
        <f t="shared" si="40"/>
        <v>767929.77</v>
      </c>
      <c r="T64" s="363">
        <f t="shared" si="41"/>
        <v>102969.07000000005</v>
      </c>
      <c r="U64" s="363">
        <f t="shared" si="42"/>
        <v>27435.278000000006</v>
      </c>
      <c r="V64" s="363">
        <f t="shared" si="43"/>
        <v>16093.016000000001</v>
      </c>
      <c r="W64" s="363">
        <f t="shared" si="44"/>
        <v>472732.60800000001</v>
      </c>
      <c r="X64" s="363">
        <f t="shared" si="45"/>
        <v>43121.950000000004</v>
      </c>
      <c r="Y64" s="363"/>
    </row>
    <row r="65" spans="1:26">
      <c r="A65" s="2" t="s">
        <v>102</v>
      </c>
      <c r="B65" s="16">
        <f t="shared" ref="B65:N65" si="70">B100*0.2</f>
        <v>16597.392000000003</v>
      </c>
      <c r="C65" s="16">
        <f t="shared" si="70"/>
        <v>2960.5299999999988</v>
      </c>
      <c r="D65" s="16">
        <f t="shared" si="70"/>
        <v>599.38599999999997</v>
      </c>
      <c r="E65" s="16">
        <f t="shared" si="70"/>
        <v>329.38400000000001</v>
      </c>
      <c r="F65" s="16">
        <f t="shared" si="70"/>
        <v>12399.768</v>
      </c>
      <c r="G65" s="16">
        <f t="shared" si="70"/>
        <v>167.46</v>
      </c>
      <c r="H65" s="16">
        <f t="shared" si="70"/>
        <v>261.16200000000003</v>
      </c>
      <c r="I65" s="16">
        <f t="shared" si="70"/>
        <v>0</v>
      </c>
      <c r="J65" s="16">
        <f t="shared" si="70"/>
        <v>640.36200000000008</v>
      </c>
      <c r="K65" s="16">
        <f t="shared" si="70"/>
        <v>21.738</v>
      </c>
      <c r="L65" s="16">
        <f t="shared" si="70"/>
        <v>0</v>
      </c>
      <c r="M65" s="16">
        <f t="shared" si="70"/>
        <v>0</v>
      </c>
      <c r="N65" s="16">
        <f t="shared" si="70"/>
        <v>19.02</v>
      </c>
      <c r="O65" s="16">
        <f t="shared" si="61"/>
        <v>0</v>
      </c>
      <c r="P65" s="16">
        <v>0</v>
      </c>
      <c r="Q65" s="16">
        <f t="shared" si="56"/>
        <v>101.45</v>
      </c>
      <c r="R65" s="8">
        <f t="shared" si="39"/>
        <v>34097.651999999995</v>
      </c>
      <c r="S65" s="363">
        <f t="shared" si="40"/>
        <v>16597.392000000003</v>
      </c>
      <c r="T65" s="363">
        <f t="shared" si="41"/>
        <v>2960.5299999999988</v>
      </c>
      <c r="U65" s="363">
        <f t="shared" si="42"/>
        <v>599.38599999999997</v>
      </c>
      <c r="V65" s="363">
        <f t="shared" si="43"/>
        <v>329.38400000000001</v>
      </c>
      <c r="W65" s="363">
        <f t="shared" si="44"/>
        <v>12567.227999999999</v>
      </c>
      <c r="X65" s="363">
        <f t="shared" si="45"/>
        <v>1043.7320000000002</v>
      </c>
      <c r="Y65" s="363"/>
    </row>
    <row r="66" spans="1:26">
      <c r="A66" s="2" t="s">
        <v>103</v>
      </c>
      <c r="B66" s="16">
        <f t="shared" ref="B66:N66" si="71">B101*0.2</f>
        <v>6139.91</v>
      </c>
      <c r="C66" s="16">
        <f t="shared" si="71"/>
        <v>1099.9600000000005</v>
      </c>
      <c r="D66" s="16">
        <f t="shared" si="71"/>
        <v>263.76400000000001</v>
      </c>
      <c r="E66" s="16">
        <f t="shared" si="71"/>
        <v>28.856000000000002</v>
      </c>
      <c r="F66" s="16">
        <f t="shared" si="71"/>
        <v>6052.2720000000008</v>
      </c>
      <c r="G66" s="16">
        <f t="shared" si="71"/>
        <v>341.36400000000003</v>
      </c>
      <c r="H66" s="16">
        <f t="shared" si="71"/>
        <v>127.59599999999999</v>
      </c>
      <c r="I66" s="16">
        <f t="shared" si="71"/>
        <v>0</v>
      </c>
      <c r="J66" s="16">
        <f t="shared" si="71"/>
        <v>227.06400000000005</v>
      </c>
      <c r="K66" s="16">
        <f t="shared" si="71"/>
        <v>0</v>
      </c>
      <c r="L66" s="16">
        <f t="shared" si="71"/>
        <v>0</v>
      </c>
      <c r="M66" s="16">
        <f t="shared" si="71"/>
        <v>0</v>
      </c>
      <c r="N66" s="16">
        <f t="shared" si="71"/>
        <v>0</v>
      </c>
      <c r="O66" s="16">
        <f t="shared" si="61"/>
        <v>0</v>
      </c>
      <c r="P66" s="16">
        <v>0</v>
      </c>
      <c r="Q66" s="16">
        <f>Q101*0.2</f>
        <v>0</v>
      </c>
      <c r="R66" s="8">
        <f t="shared" si="39"/>
        <v>14280.786000000002</v>
      </c>
      <c r="S66" s="363">
        <f t="shared" si="40"/>
        <v>6139.91</v>
      </c>
      <c r="T66" s="363">
        <f t="shared" si="41"/>
        <v>1099.9600000000005</v>
      </c>
      <c r="U66" s="363">
        <f t="shared" si="42"/>
        <v>263.76400000000001</v>
      </c>
      <c r="V66" s="363">
        <f t="shared" si="43"/>
        <v>28.856000000000002</v>
      </c>
      <c r="W66" s="363">
        <f t="shared" si="44"/>
        <v>6393.6360000000004</v>
      </c>
      <c r="X66" s="363">
        <f t="shared" si="45"/>
        <v>354.66</v>
      </c>
      <c r="Y66" s="363"/>
    </row>
    <row r="67" spans="1:26">
      <c r="A67" s="6" t="s">
        <v>37</v>
      </c>
      <c r="B67" s="7">
        <f t="shared" ref="B67:S67" si="72">SUM(B40:B66)</f>
        <v>2234737.8680000002</v>
      </c>
      <c r="C67" s="7">
        <f t="shared" si="72"/>
        <v>324975.41200000007</v>
      </c>
      <c r="D67" s="7">
        <f t="shared" si="72"/>
        <v>82858.892000000007</v>
      </c>
      <c r="E67" s="7">
        <f t="shared" si="72"/>
        <v>54740.72</v>
      </c>
      <c r="F67" s="7">
        <f t="shared" si="72"/>
        <v>1313276.2319999998</v>
      </c>
      <c r="G67" s="7">
        <f t="shared" si="72"/>
        <v>28861.536000000004</v>
      </c>
      <c r="H67" s="7">
        <f t="shared" si="72"/>
        <v>41389.476000000002</v>
      </c>
      <c r="I67" s="7">
        <f t="shared" si="72"/>
        <v>3802.136</v>
      </c>
      <c r="J67" s="7">
        <f t="shared" si="72"/>
        <v>74834.812000000005</v>
      </c>
      <c r="K67" s="7">
        <f t="shared" si="72"/>
        <v>3326.172</v>
      </c>
      <c r="L67" s="7">
        <f t="shared" si="72"/>
        <v>347.80799999999999</v>
      </c>
      <c r="M67" s="7">
        <f t="shared" si="72"/>
        <v>428.226</v>
      </c>
      <c r="N67" s="7">
        <f t="shared" si="72"/>
        <v>5069.4220000000005</v>
      </c>
      <c r="O67" s="7">
        <f>SUM(O40:O66)</f>
        <v>0</v>
      </c>
      <c r="P67" s="7">
        <f t="shared" si="72"/>
        <v>9.1159999999999997</v>
      </c>
      <c r="Q67" s="7">
        <f t="shared" si="72"/>
        <v>244.97399999999999</v>
      </c>
      <c r="R67" s="9">
        <f t="shared" si="72"/>
        <v>4168902.8020000006</v>
      </c>
      <c r="S67" s="363">
        <f t="shared" si="72"/>
        <v>2234737.8680000002</v>
      </c>
      <c r="T67" s="363">
        <f t="shared" ref="T67" si="73">SUM(T40:T66)</f>
        <v>324975.41200000007</v>
      </c>
      <c r="U67" s="363">
        <f t="shared" ref="U67" si="74">SUM(U40:U66)</f>
        <v>82858.892000000007</v>
      </c>
      <c r="V67" s="363">
        <f t="shared" ref="V67" si="75">SUM(V40:V66)</f>
        <v>54740.72</v>
      </c>
      <c r="W67" s="363">
        <f t="shared" ref="W67" si="76">SUM(W40:W66)</f>
        <v>1342137.7679999999</v>
      </c>
      <c r="X67" s="363">
        <f t="shared" ref="X67" si="77">SUM(X40:X66)</f>
        <v>129452.14200000001</v>
      </c>
      <c r="Y67" s="363"/>
    </row>
    <row r="68" spans="1:26">
      <c r="A68" s="351" t="s">
        <v>47</v>
      </c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4"/>
      <c r="Q68" s="355"/>
      <c r="R68" s="356"/>
      <c r="S68" s="357"/>
      <c r="T68" s="357"/>
      <c r="U68" s="357"/>
      <c r="V68" s="357"/>
      <c r="W68" s="357"/>
      <c r="X68" s="357"/>
    </row>
    <row r="69" spans="1:26">
      <c r="A69" s="358"/>
      <c r="B69" s="358"/>
      <c r="C69" s="359"/>
      <c r="D69" s="359"/>
      <c r="E69" s="359"/>
      <c r="F69" s="359"/>
      <c r="G69" s="359"/>
      <c r="H69" s="359"/>
      <c r="I69" s="359"/>
      <c r="J69" s="359"/>
      <c r="K69" s="359"/>
      <c r="L69" s="357"/>
      <c r="M69" s="357"/>
      <c r="N69" s="357"/>
      <c r="O69" s="357"/>
      <c r="P69" s="357"/>
      <c r="Q69" s="357"/>
      <c r="R69" s="360"/>
      <c r="S69" s="357"/>
      <c r="T69" s="357"/>
      <c r="U69" s="357"/>
      <c r="V69" s="357"/>
      <c r="W69" s="357"/>
      <c r="X69" s="357"/>
    </row>
    <row r="70" spans="1:26">
      <c r="A70" s="357"/>
      <c r="B70" s="357"/>
      <c r="C70" s="357"/>
      <c r="D70" s="357"/>
      <c r="E70" s="357"/>
      <c r="F70" s="357"/>
      <c r="G70" s="357"/>
      <c r="H70" s="357"/>
      <c r="I70" s="357"/>
      <c r="J70" s="357"/>
      <c r="K70" s="357"/>
      <c r="L70" s="253"/>
      <c r="M70" s="253"/>
      <c r="N70" s="253"/>
      <c r="O70" s="253"/>
      <c r="P70" s="253"/>
      <c r="Q70" s="253"/>
      <c r="R70" s="357"/>
      <c r="S70" s="357"/>
      <c r="T70" s="357"/>
      <c r="U70" s="357"/>
      <c r="V70" s="357"/>
      <c r="W70" s="357"/>
      <c r="X70" s="357"/>
    </row>
    <row r="71" spans="1:26">
      <c r="A71" s="357"/>
      <c r="B71" s="357"/>
      <c r="C71" s="357"/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7"/>
      <c r="X71" s="357"/>
    </row>
    <row r="72" spans="1:26" ht="46.5" customHeight="1">
      <c r="A72" s="837" t="s">
        <v>46</v>
      </c>
      <c r="B72" s="838"/>
      <c r="C72" s="838"/>
      <c r="D72" s="838"/>
      <c r="E72" s="838"/>
      <c r="F72" s="838"/>
      <c r="G72" s="838"/>
      <c r="H72" s="838"/>
      <c r="I72" s="838"/>
      <c r="J72" s="838"/>
      <c r="K72" s="838"/>
      <c r="L72" s="838"/>
      <c r="M72" s="838"/>
      <c r="N72" s="838"/>
      <c r="O72" s="838"/>
      <c r="P72" s="838"/>
      <c r="Q72" s="838"/>
      <c r="R72" s="839"/>
      <c r="S72" s="357"/>
      <c r="T72" s="357"/>
      <c r="U72" s="357"/>
      <c r="V72" s="357"/>
      <c r="W72" s="357"/>
      <c r="X72" s="357"/>
    </row>
    <row r="73" spans="1:26" ht="35.1" customHeight="1">
      <c r="A73" s="835" t="s">
        <v>33</v>
      </c>
      <c r="B73" s="833" t="s">
        <v>27</v>
      </c>
      <c r="C73" s="834"/>
      <c r="D73" s="833" t="s">
        <v>29</v>
      </c>
      <c r="E73" s="834"/>
      <c r="F73" s="835" t="s">
        <v>28</v>
      </c>
      <c r="G73" s="835" t="s">
        <v>36</v>
      </c>
      <c r="H73" s="835" t="s">
        <v>30</v>
      </c>
      <c r="I73" s="835" t="s">
        <v>31</v>
      </c>
      <c r="J73" s="835" t="s">
        <v>41</v>
      </c>
      <c r="K73" s="835" t="s">
        <v>35</v>
      </c>
      <c r="L73" s="835" t="s">
        <v>40</v>
      </c>
      <c r="M73" s="835" t="s">
        <v>42</v>
      </c>
      <c r="N73" s="835" t="s">
        <v>45</v>
      </c>
      <c r="O73" s="835" t="s">
        <v>279</v>
      </c>
      <c r="P73" s="833" t="s">
        <v>49</v>
      </c>
      <c r="Q73" s="834"/>
      <c r="R73" s="835" t="s">
        <v>34</v>
      </c>
      <c r="S73" s="357"/>
      <c r="T73" s="357"/>
      <c r="U73" s="357"/>
      <c r="V73" s="357"/>
      <c r="W73" s="357"/>
      <c r="X73" s="357"/>
      <c r="Y73" s="357"/>
      <c r="Z73" s="357"/>
    </row>
    <row r="74" spans="1:26" ht="35.1" customHeight="1">
      <c r="A74" s="836"/>
      <c r="B74" s="361" t="s">
        <v>43</v>
      </c>
      <c r="C74" s="361" t="s">
        <v>44</v>
      </c>
      <c r="D74" s="361" t="s">
        <v>43</v>
      </c>
      <c r="E74" s="361" t="s">
        <v>44</v>
      </c>
      <c r="F74" s="836"/>
      <c r="G74" s="836"/>
      <c r="H74" s="836"/>
      <c r="I74" s="836"/>
      <c r="J74" s="836"/>
      <c r="K74" s="836"/>
      <c r="L74" s="836"/>
      <c r="M74" s="836"/>
      <c r="N74" s="836"/>
      <c r="O74" s="836"/>
      <c r="P74" s="362" t="s">
        <v>50</v>
      </c>
      <c r="Q74" s="362" t="s">
        <v>51</v>
      </c>
      <c r="R74" s="836"/>
      <c r="S74" s="372" t="s">
        <v>173</v>
      </c>
      <c r="T74" s="372" t="s">
        <v>291</v>
      </c>
      <c r="U74" s="372" t="s">
        <v>174</v>
      </c>
      <c r="V74" s="372" t="s">
        <v>292</v>
      </c>
      <c r="W74" s="372" t="s">
        <v>28</v>
      </c>
      <c r="X74" s="372" t="s">
        <v>175</v>
      </c>
      <c r="Y74" s="726"/>
      <c r="Z74" s="357"/>
    </row>
    <row r="75" spans="1:26">
      <c r="A75" s="2" t="s">
        <v>77</v>
      </c>
      <c r="B75" s="16">
        <v>17442.55</v>
      </c>
      <c r="C75" s="16">
        <v>7694.7800000000025</v>
      </c>
      <c r="D75" s="16">
        <v>1039.8399999999999</v>
      </c>
      <c r="E75" s="16">
        <v>681.93000000000006</v>
      </c>
      <c r="F75" s="16">
        <v>19057.439999999999</v>
      </c>
      <c r="G75" s="16">
        <v>326.07</v>
      </c>
      <c r="H75" s="16">
        <v>471.14</v>
      </c>
      <c r="I75" s="16">
        <v>0</v>
      </c>
      <c r="J75" s="16">
        <v>1718.17</v>
      </c>
      <c r="K75" s="16">
        <v>217.38</v>
      </c>
      <c r="L75" s="16">
        <v>0</v>
      </c>
      <c r="M75" s="16">
        <v>0</v>
      </c>
      <c r="N75" s="16">
        <v>60.27</v>
      </c>
      <c r="O75" s="16">
        <v>0</v>
      </c>
      <c r="P75" s="16">
        <v>0</v>
      </c>
      <c r="Q75" s="16">
        <v>0</v>
      </c>
      <c r="R75" s="8">
        <f t="shared" ref="R75:R101" si="78">SUM(B75:Q75)</f>
        <v>48709.569999999992</v>
      </c>
      <c r="S75" s="363">
        <f>B75</f>
        <v>17442.55</v>
      </c>
      <c r="T75" s="363">
        <f>C75</f>
        <v>7694.7800000000025</v>
      </c>
      <c r="U75" s="363">
        <f>D75</f>
        <v>1039.8399999999999</v>
      </c>
      <c r="V75" s="363">
        <f>E75</f>
        <v>681.93000000000006</v>
      </c>
      <c r="W75" s="363">
        <f>F75+G75</f>
        <v>19383.509999999998</v>
      </c>
      <c r="X75" s="363">
        <f>SUM(H75:Q75)</f>
        <v>2466.96</v>
      </c>
      <c r="Y75" s="357"/>
      <c r="Z75" s="357"/>
    </row>
    <row r="76" spans="1:26">
      <c r="A76" s="2" t="s">
        <v>78</v>
      </c>
      <c r="B76" s="16">
        <v>100921.58</v>
      </c>
      <c r="C76" s="16">
        <v>22614.829999999998</v>
      </c>
      <c r="D76" s="16">
        <v>1441.4</v>
      </c>
      <c r="E76" s="16">
        <v>1056.2199999999998</v>
      </c>
      <c r="F76" s="16">
        <v>64089.3</v>
      </c>
      <c r="G76" s="16">
        <v>2587.08</v>
      </c>
      <c r="H76" s="16">
        <v>2656.76</v>
      </c>
      <c r="I76" s="16">
        <v>571.41</v>
      </c>
      <c r="J76" s="16">
        <v>4729.32</v>
      </c>
      <c r="K76" s="16">
        <v>108.69</v>
      </c>
      <c r="L76" s="16">
        <v>0</v>
      </c>
      <c r="M76" s="16">
        <v>0</v>
      </c>
      <c r="N76" s="16">
        <v>123.67</v>
      </c>
      <c r="O76" s="16">
        <v>0</v>
      </c>
      <c r="P76" s="16">
        <v>0</v>
      </c>
      <c r="Q76" s="16">
        <v>0</v>
      </c>
      <c r="R76" s="8">
        <f t="shared" si="78"/>
        <v>200900.26000000004</v>
      </c>
      <c r="S76" s="363">
        <f t="shared" ref="S76:S101" si="79">B76</f>
        <v>100921.58</v>
      </c>
      <c r="T76" s="363">
        <f t="shared" ref="T76:T101" si="80">C76</f>
        <v>22614.829999999998</v>
      </c>
      <c r="U76" s="363">
        <f t="shared" ref="U76:U101" si="81">D76</f>
        <v>1441.4</v>
      </c>
      <c r="V76" s="363">
        <f t="shared" ref="V76:V101" si="82">E76</f>
        <v>1056.2199999999998</v>
      </c>
      <c r="W76" s="363">
        <f t="shared" ref="W76:W101" si="83">F76+G76</f>
        <v>66676.38</v>
      </c>
      <c r="X76" s="363">
        <f t="shared" ref="X76:X101" si="84">SUM(H76:Q76)</f>
        <v>8189.8499999999995</v>
      </c>
      <c r="Y76" s="357"/>
      <c r="Z76" s="357"/>
    </row>
    <row r="77" spans="1:26">
      <c r="A77" s="2" t="s">
        <v>79</v>
      </c>
      <c r="B77" s="16">
        <v>17604.23</v>
      </c>
      <c r="C77" s="16">
        <v>10966.830000000002</v>
      </c>
      <c r="D77" s="16">
        <v>1658.03</v>
      </c>
      <c r="E77" s="16">
        <v>4727.91</v>
      </c>
      <c r="F77" s="16">
        <v>25852.5</v>
      </c>
      <c r="G77" s="16">
        <v>3141.27</v>
      </c>
      <c r="H77" s="16">
        <v>1079.78</v>
      </c>
      <c r="I77" s="16">
        <v>326.07</v>
      </c>
      <c r="J77" s="16">
        <v>3484.95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8">
        <f t="shared" si="78"/>
        <v>68841.569999999992</v>
      </c>
      <c r="S77" s="363">
        <f t="shared" si="79"/>
        <v>17604.23</v>
      </c>
      <c r="T77" s="363">
        <f t="shared" si="80"/>
        <v>10966.830000000002</v>
      </c>
      <c r="U77" s="363">
        <f t="shared" si="81"/>
        <v>1658.03</v>
      </c>
      <c r="V77" s="363">
        <f t="shared" si="82"/>
        <v>4727.91</v>
      </c>
      <c r="W77" s="363">
        <f t="shared" si="83"/>
        <v>28993.77</v>
      </c>
      <c r="X77" s="363">
        <f t="shared" si="84"/>
        <v>4890.7999999999993</v>
      </c>
      <c r="Y77" s="357"/>
      <c r="Z77" s="357"/>
    </row>
    <row r="78" spans="1:26">
      <c r="A78" s="2" t="s">
        <v>80</v>
      </c>
      <c r="B78" s="16">
        <v>54630.97</v>
      </c>
      <c r="C78" s="16">
        <v>12639.870000000003</v>
      </c>
      <c r="D78" s="16">
        <v>1065.2</v>
      </c>
      <c r="E78" s="16">
        <v>1103.99</v>
      </c>
      <c r="F78" s="16">
        <v>51794.01</v>
      </c>
      <c r="G78" s="16">
        <v>1739.04</v>
      </c>
      <c r="H78" s="16">
        <v>1786.21</v>
      </c>
      <c r="I78" s="16">
        <v>0</v>
      </c>
      <c r="J78" s="16">
        <v>2616.89</v>
      </c>
      <c r="K78" s="16">
        <v>0</v>
      </c>
      <c r="L78" s="16">
        <v>0</v>
      </c>
      <c r="M78" s="16">
        <v>761.89</v>
      </c>
      <c r="N78" s="16">
        <v>152.24</v>
      </c>
      <c r="O78" s="16">
        <v>0</v>
      </c>
      <c r="P78" s="16">
        <v>0</v>
      </c>
      <c r="Q78" s="16">
        <v>0</v>
      </c>
      <c r="R78" s="8">
        <f t="shared" si="78"/>
        <v>128290.31000000001</v>
      </c>
      <c r="S78" s="363">
        <f t="shared" si="79"/>
        <v>54630.97</v>
      </c>
      <c r="T78" s="363">
        <f t="shared" si="80"/>
        <v>12639.870000000003</v>
      </c>
      <c r="U78" s="363">
        <f t="shared" si="81"/>
        <v>1065.2</v>
      </c>
      <c r="V78" s="363">
        <f t="shared" si="82"/>
        <v>1103.99</v>
      </c>
      <c r="W78" s="363">
        <f t="shared" si="83"/>
        <v>53533.05</v>
      </c>
      <c r="X78" s="363">
        <f t="shared" si="84"/>
        <v>5317.2300000000005</v>
      </c>
      <c r="Y78" s="357"/>
      <c r="Z78" s="357"/>
    </row>
    <row r="79" spans="1:26">
      <c r="A79" s="2" t="s">
        <v>81</v>
      </c>
      <c r="B79" s="16">
        <v>289457.59999999998</v>
      </c>
      <c r="C79" s="16">
        <v>38383.289999999994</v>
      </c>
      <c r="D79" s="16">
        <v>10085.6</v>
      </c>
      <c r="E79" s="16">
        <v>3339.8099999999995</v>
      </c>
      <c r="F79" s="16">
        <v>171096.54</v>
      </c>
      <c r="G79" s="16">
        <v>4891.05</v>
      </c>
      <c r="H79" s="16">
        <v>5288.0700000000006</v>
      </c>
      <c r="I79" s="16">
        <v>0</v>
      </c>
      <c r="J79" s="16">
        <v>8635.1</v>
      </c>
      <c r="K79" s="16">
        <v>434.76</v>
      </c>
      <c r="L79" s="16">
        <v>0</v>
      </c>
      <c r="M79" s="16">
        <v>0</v>
      </c>
      <c r="N79" s="16">
        <v>871.95</v>
      </c>
      <c r="O79" s="16">
        <v>0</v>
      </c>
      <c r="P79" s="16">
        <v>0</v>
      </c>
      <c r="Q79" s="16">
        <v>0</v>
      </c>
      <c r="R79" s="8">
        <f t="shared" si="78"/>
        <v>532483.7699999999</v>
      </c>
      <c r="S79" s="363">
        <f t="shared" si="79"/>
        <v>289457.59999999998</v>
      </c>
      <c r="T79" s="363">
        <f t="shared" si="80"/>
        <v>38383.289999999994</v>
      </c>
      <c r="U79" s="363">
        <f t="shared" si="81"/>
        <v>10085.6</v>
      </c>
      <c r="V79" s="363">
        <f t="shared" si="82"/>
        <v>3339.8099999999995</v>
      </c>
      <c r="W79" s="363">
        <f t="shared" si="83"/>
        <v>175987.59</v>
      </c>
      <c r="X79" s="363">
        <f t="shared" si="84"/>
        <v>15229.880000000003</v>
      </c>
      <c r="Y79" s="357"/>
      <c r="Z79" s="357"/>
    </row>
    <row r="80" spans="1:26">
      <c r="A80" s="2" t="s">
        <v>82</v>
      </c>
      <c r="B80" s="16">
        <v>239912.65</v>
      </c>
      <c r="C80" s="16">
        <v>40292.870000000032</v>
      </c>
      <c r="D80" s="16">
        <v>6780.08</v>
      </c>
      <c r="E80" s="16">
        <v>12732.56</v>
      </c>
      <c r="F80" s="16">
        <v>111640.53</v>
      </c>
      <c r="G80" s="16">
        <v>3891.3599999999997</v>
      </c>
      <c r="H80" s="16">
        <v>6212.3700000000008</v>
      </c>
      <c r="I80" s="16">
        <v>293.85000000000002</v>
      </c>
      <c r="J80" s="16">
        <v>11612.18</v>
      </c>
      <c r="K80" s="16">
        <v>326.07</v>
      </c>
      <c r="L80" s="16">
        <v>0</v>
      </c>
      <c r="M80" s="16">
        <v>0</v>
      </c>
      <c r="N80" s="16">
        <v>561.21</v>
      </c>
      <c r="O80" s="16">
        <v>0</v>
      </c>
      <c r="P80" s="16">
        <v>0</v>
      </c>
      <c r="Q80" s="16">
        <v>0</v>
      </c>
      <c r="R80" s="8">
        <f t="shared" si="78"/>
        <v>434255.73000000004</v>
      </c>
      <c r="S80" s="363">
        <f t="shared" si="79"/>
        <v>239912.65</v>
      </c>
      <c r="T80" s="363">
        <f t="shared" si="80"/>
        <v>40292.870000000032</v>
      </c>
      <c r="U80" s="363">
        <f t="shared" si="81"/>
        <v>6780.08</v>
      </c>
      <c r="V80" s="363">
        <f t="shared" si="82"/>
        <v>12732.56</v>
      </c>
      <c r="W80" s="363">
        <f t="shared" si="83"/>
        <v>115531.89</v>
      </c>
      <c r="X80" s="363">
        <f t="shared" si="84"/>
        <v>19005.68</v>
      </c>
      <c r="Y80" s="357"/>
      <c r="Z80" s="357"/>
    </row>
    <row r="81" spans="1:26">
      <c r="A81" s="2" t="s">
        <v>83</v>
      </c>
      <c r="B81" s="16">
        <v>316170.82</v>
      </c>
      <c r="C81" s="16">
        <v>54102.630000000012</v>
      </c>
      <c r="D81" s="16">
        <v>8369.44</v>
      </c>
      <c r="E81" s="16">
        <v>6123.0199999999986</v>
      </c>
      <c r="F81" s="16">
        <v>131230.07999999999</v>
      </c>
      <c r="G81" s="16">
        <v>5510.9699999999993</v>
      </c>
      <c r="H81" s="16">
        <v>7227.67</v>
      </c>
      <c r="I81" s="16">
        <v>0</v>
      </c>
      <c r="J81" s="16">
        <v>12508.92</v>
      </c>
      <c r="K81" s="16">
        <v>543.45000000000005</v>
      </c>
      <c r="L81" s="16">
        <v>217.38</v>
      </c>
      <c r="M81" s="16">
        <v>1379.24</v>
      </c>
      <c r="N81" s="16">
        <v>1014.8</v>
      </c>
      <c r="O81" s="16">
        <v>0</v>
      </c>
      <c r="P81" s="16">
        <v>0</v>
      </c>
      <c r="Q81" s="16">
        <v>0</v>
      </c>
      <c r="R81" s="8">
        <f t="shared" si="78"/>
        <v>544398.42000000004</v>
      </c>
      <c r="S81" s="363">
        <f t="shared" si="79"/>
        <v>316170.82</v>
      </c>
      <c r="T81" s="363">
        <f t="shared" si="80"/>
        <v>54102.630000000012</v>
      </c>
      <c r="U81" s="363">
        <f t="shared" si="81"/>
        <v>8369.44</v>
      </c>
      <c r="V81" s="363">
        <f t="shared" si="82"/>
        <v>6123.0199999999986</v>
      </c>
      <c r="W81" s="363">
        <f t="shared" si="83"/>
        <v>136741.04999999999</v>
      </c>
      <c r="X81" s="363">
        <f t="shared" si="84"/>
        <v>22891.460000000003</v>
      </c>
      <c r="Y81" s="357"/>
      <c r="Z81" s="357"/>
    </row>
    <row r="82" spans="1:26">
      <c r="A82" s="2" t="s">
        <v>84</v>
      </c>
      <c r="B82" s="16">
        <v>184493.32</v>
      </c>
      <c r="C82" s="16">
        <v>28976.309999999994</v>
      </c>
      <c r="D82" s="16">
        <v>5325.97</v>
      </c>
      <c r="E82" s="16">
        <v>3547.1000000000004</v>
      </c>
      <c r="F82" s="16">
        <v>116393.25</v>
      </c>
      <c r="G82" s="16">
        <v>3119.79</v>
      </c>
      <c r="H82" s="16">
        <v>2482.4299999999994</v>
      </c>
      <c r="I82" s="16">
        <v>332.88</v>
      </c>
      <c r="J82" s="16">
        <v>6334.0599999999995</v>
      </c>
      <c r="K82" s="16">
        <v>0</v>
      </c>
      <c r="L82" s="16">
        <v>0</v>
      </c>
      <c r="M82" s="16">
        <v>0</v>
      </c>
      <c r="N82" s="16">
        <v>561.21</v>
      </c>
      <c r="O82" s="16">
        <v>0</v>
      </c>
      <c r="P82" s="16">
        <v>0</v>
      </c>
      <c r="Q82" s="16">
        <v>0</v>
      </c>
      <c r="R82" s="8">
        <f t="shared" si="78"/>
        <v>351566.32</v>
      </c>
      <c r="S82" s="363">
        <f t="shared" si="79"/>
        <v>184493.32</v>
      </c>
      <c r="T82" s="363">
        <f t="shared" si="80"/>
        <v>28976.309999999994</v>
      </c>
      <c r="U82" s="363">
        <f t="shared" si="81"/>
        <v>5325.97</v>
      </c>
      <c r="V82" s="363">
        <f t="shared" si="82"/>
        <v>3547.1000000000004</v>
      </c>
      <c r="W82" s="363">
        <f t="shared" si="83"/>
        <v>119513.04</v>
      </c>
      <c r="X82" s="363">
        <f t="shared" si="84"/>
        <v>9710.5799999999981</v>
      </c>
      <c r="Y82" s="357"/>
      <c r="Z82" s="357"/>
    </row>
    <row r="83" spans="1:26">
      <c r="A83" s="2" t="s">
        <v>85</v>
      </c>
      <c r="B83" s="16">
        <v>213392.01</v>
      </c>
      <c r="C83" s="16">
        <v>41264.689999999995</v>
      </c>
      <c r="D83" s="16">
        <v>6226.34</v>
      </c>
      <c r="E83" s="16">
        <v>9503.01</v>
      </c>
      <c r="F83" s="16">
        <v>207712.62</v>
      </c>
      <c r="G83" s="16">
        <v>3576.03</v>
      </c>
      <c r="H83" s="16">
        <v>4205.91</v>
      </c>
      <c r="I83" s="16">
        <v>1730.52</v>
      </c>
      <c r="J83" s="16">
        <v>10321.27</v>
      </c>
      <c r="K83" s="16">
        <v>108.69</v>
      </c>
      <c r="L83" s="16">
        <v>0</v>
      </c>
      <c r="M83" s="16">
        <v>0</v>
      </c>
      <c r="N83" s="16">
        <v>437.54</v>
      </c>
      <c r="O83" s="16">
        <v>0</v>
      </c>
      <c r="P83" s="16">
        <v>0</v>
      </c>
      <c r="Q83" s="16">
        <v>0</v>
      </c>
      <c r="R83" s="8">
        <f t="shared" si="78"/>
        <v>498478.63</v>
      </c>
      <c r="S83" s="363">
        <f t="shared" si="79"/>
        <v>213392.01</v>
      </c>
      <c r="T83" s="363">
        <f t="shared" si="80"/>
        <v>41264.689999999995</v>
      </c>
      <c r="U83" s="363">
        <f t="shared" si="81"/>
        <v>6226.34</v>
      </c>
      <c r="V83" s="363">
        <f t="shared" si="82"/>
        <v>9503.01</v>
      </c>
      <c r="W83" s="363">
        <f t="shared" si="83"/>
        <v>211288.65</v>
      </c>
      <c r="X83" s="363">
        <f t="shared" si="84"/>
        <v>16803.93</v>
      </c>
      <c r="Y83" s="357"/>
      <c r="Z83" s="357"/>
    </row>
    <row r="84" spans="1:26">
      <c r="A84" s="2" t="s">
        <v>86</v>
      </c>
      <c r="B84" s="16">
        <v>64860.38</v>
      </c>
      <c r="C84" s="16">
        <v>10748.140000000005</v>
      </c>
      <c r="D84" s="16">
        <v>2916.63</v>
      </c>
      <c r="E84" s="16">
        <v>1484.9099999999999</v>
      </c>
      <c r="F84" s="16">
        <v>53402.879999999997</v>
      </c>
      <c r="G84" s="16">
        <v>1065.42</v>
      </c>
      <c r="H84" s="16">
        <v>1007.13</v>
      </c>
      <c r="I84" s="16">
        <v>0</v>
      </c>
      <c r="J84" s="16">
        <v>2426.9699999999998</v>
      </c>
      <c r="K84" s="16">
        <v>0</v>
      </c>
      <c r="L84" s="16">
        <v>0</v>
      </c>
      <c r="M84" s="16">
        <v>0</v>
      </c>
      <c r="N84" s="16">
        <v>95.1</v>
      </c>
      <c r="O84" s="16">
        <v>0</v>
      </c>
      <c r="P84" s="16">
        <v>0</v>
      </c>
      <c r="Q84" s="16">
        <v>0</v>
      </c>
      <c r="R84" s="8">
        <f t="shared" si="78"/>
        <v>138007.56000000003</v>
      </c>
      <c r="S84" s="363">
        <f t="shared" si="79"/>
        <v>64860.38</v>
      </c>
      <c r="T84" s="363">
        <f t="shared" si="80"/>
        <v>10748.140000000005</v>
      </c>
      <c r="U84" s="363">
        <f t="shared" si="81"/>
        <v>2916.63</v>
      </c>
      <c r="V84" s="363">
        <f t="shared" si="82"/>
        <v>1484.9099999999999</v>
      </c>
      <c r="W84" s="363">
        <f t="shared" si="83"/>
        <v>54468.299999999996</v>
      </c>
      <c r="X84" s="363">
        <f t="shared" si="84"/>
        <v>3529.2</v>
      </c>
      <c r="Y84" s="357"/>
      <c r="Z84" s="357"/>
    </row>
    <row r="85" spans="1:26">
      <c r="A85" s="2" t="s">
        <v>87</v>
      </c>
      <c r="B85" s="16">
        <v>146832.63</v>
      </c>
      <c r="C85" s="16">
        <v>30205.600000000006</v>
      </c>
      <c r="D85" s="16">
        <v>5047.03</v>
      </c>
      <c r="E85" s="16">
        <v>6735.85</v>
      </c>
      <c r="F85" s="16">
        <v>176369.94</v>
      </c>
      <c r="G85" s="16">
        <v>2902.41</v>
      </c>
      <c r="H85" s="16">
        <v>3037.9</v>
      </c>
      <c r="I85" s="16">
        <v>0</v>
      </c>
      <c r="J85" s="16">
        <v>5986.62</v>
      </c>
      <c r="K85" s="16">
        <v>739.35</v>
      </c>
      <c r="L85" s="16">
        <v>0</v>
      </c>
      <c r="M85" s="16">
        <v>0</v>
      </c>
      <c r="N85" s="16">
        <v>402.71</v>
      </c>
      <c r="O85" s="16">
        <v>0</v>
      </c>
      <c r="P85" s="16">
        <v>0</v>
      </c>
      <c r="Q85" s="16">
        <v>0</v>
      </c>
      <c r="R85" s="8">
        <f t="shared" si="78"/>
        <v>378260.04000000004</v>
      </c>
      <c r="S85" s="363">
        <f t="shared" si="79"/>
        <v>146832.63</v>
      </c>
      <c r="T85" s="363">
        <f t="shared" si="80"/>
        <v>30205.600000000006</v>
      </c>
      <c r="U85" s="363">
        <f t="shared" si="81"/>
        <v>5047.03</v>
      </c>
      <c r="V85" s="363">
        <f t="shared" si="82"/>
        <v>6735.85</v>
      </c>
      <c r="W85" s="363">
        <f t="shared" si="83"/>
        <v>179272.35</v>
      </c>
      <c r="X85" s="363">
        <f t="shared" si="84"/>
        <v>10166.58</v>
      </c>
      <c r="Y85" s="357"/>
      <c r="Z85" s="357"/>
    </row>
    <row r="86" spans="1:26">
      <c r="A86" s="2" t="s">
        <v>88</v>
      </c>
      <c r="B86" s="16">
        <v>202487.01</v>
      </c>
      <c r="C86" s="16">
        <v>33802.79</v>
      </c>
      <c r="D86" s="16">
        <v>4108.62</v>
      </c>
      <c r="E86" s="16">
        <v>7466.4299999999994</v>
      </c>
      <c r="F86" s="16">
        <v>132181.65</v>
      </c>
      <c r="G86" s="16">
        <v>1218.3600000000001</v>
      </c>
      <c r="H86" s="16">
        <v>4483.5599999999995</v>
      </c>
      <c r="I86" s="16">
        <v>970.78</v>
      </c>
      <c r="J86" s="16">
        <v>8035.22</v>
      </c>
      <c r="K86" s="16">
        <v>434.76</v>
      </c>
      <c r="L86" s="16">
        <v>0</v>
      </c>
      <c r="M86" s="16">
        <v>0</v>
      </c>
      <c r="N86" s="16">
        <v>345.57</v>
      </c>
      <c r="O86" s="16">
        <v>0</v>
      </c>
      <c r="P86" s="16">
        <v>45.58</v>
      </c>
      <c r="Q86" s="16">
        <v>0</v>
      </c>
      <c r="R86" s="8">
        <f t="shared" si="78"/>
        <v>395580.33</v>
      </c>
      <c r="S86" s="363">
        <f t="shared" si="79"/>
        <v>202487.01</v>
      </c>
      <c r="T86" s="363">
        <f t="shared" si="80"/>
        <v>33802.79</v>
      </c>
      <c r="U86" s="363">
        <f t="shared" si="81"/>
        <v>4108.62</v>
      </c>
      <c r="V86" s="363">
        <f t="shared" si="82"/>
        <v>7466.4299999999994</v>
      </c>
      <c r="W86" s="363">
        <f t="shared" si="83"/>
        <v>133400.00999999998</v>
      </c>
      <c r="X86" s="363">
        <f t="shared" si="84"/>
        <v>14315.47</v>
      </c>
      <c r="Y86" s="357"/>
      <c r="Z86" s="357"/>
    </row>
    <row r="87" spans="1:26">
      <c r="A87" s="2" t="s">
        <v>89</v>
      </c>
      <c r="B87" s="16">
        <v>989106.85</v>
      </c>
      <c r="C87" s="16">
        <v>139511.79999999999</v>
      </c>
      <c r="D87" s="16">
        <v>31495.29</v>
      </c>
      <c r="E87" s="16">
        <v>19610.809999999998</v>
      </c>
      <c r="F87" s="16">
        <v>408597.09</v>
      </c>
      <c r="G87" s="16">
        <v>16522.169999999998</v>
      </c>
      <c r="H87" s="16">
        <v>18540.559999999998</v>
      </c>
      <c r="I87" s="16">
        <v>0</v>
      </c>
      <c r="J87" s="16">
        <v>31095.919999999998</v>
      </c>
      <c r="K87" s="16">
        <v>978.21</v>
      </c>
      <c r="L87" s="16">
        <v>0</v>
      </c>
      <c r="M87" s="16">
        <v>0</v>
      </c>
      <c r="N87" s="16">
        <v>1905.53</v>
      </c>
      <c r="O87" s="16">
        <v>0</v>
      </c>
      <c r="P87" s="16">
        <v>0</v>
      </c>
      <c r="Q87" s="16">
        <v>717.62</v>
      </c>
      <c r="R87" s="8">
        <f t="shared" si="78"/>
        <v>1658081.85</v>
      </c>
      <c r="S87" s="363">
        <f t="shared" si="79"/>
        <v>989106.85</v>
      </c>
      <c r="T87" s="363">
        <f t="shared" si="80"/>
        <v>139511.79999999999</v>
      </c>
      <c r="U87" s="363">
        <f t="shared" si="81"/>
        <v>31495.29</v>
      </c>
      <c r="V87" s="363">
        <f t="shared" si="82"/>
        <v>19610.809999999998</v>
      </c>
      <c r="W87" s="363">
        <f t="shared" si="83"/>
        <v>425119.26</v>
      </c>
      <c r="X87" s="363">
        <f t="shared" si="84"/>
        <v>53237.84</v>
      </c>
      <c r="Y87" s="357"/>
      <c r="Z87" s="357"/>
    </row>
    <row r="88" spans="1:26">
      <c r="A88" s="2" t="s">
        <v>90</v>
      </c>
      <c r="B88" s="16">
        <v>102960.21</v>
      </c>
      <c r="C88" s="16">
        <v>23959.289999999994</v>
      </c>
      <c r="D88" s="16">
        <v>1756.31</v>
      </c>
      <c r="E88" s="16">
        <v>1638.2800000000002</v>
      </c>
      <c r="F88" s="16">
        <v>70264.44</v>
      </c>
      <c r="G88" s="16">
        <v>2695.77</v>
      </c>
      <c r="H88" s="16">
        <v>2329.7599999999998</v>
      </c>
      <c r="I88" s="16">
        <v>0</v>
      </c>
      <c r="J88" s="16">
        <v>5087.08</v>
      </c>
      <c r="K88" s="16">
        <v>532.71</v>
      </c>
      <c r="L88" s="16">
        <v>0</v>
      </c>
      <c r="M88" s="16">
        <v>0</v>
      </c>
      <c r="N88" s="16">
        <v>374.14</v>
      </c>
      <c r="O88" s="16">
        <v>0</v>
      </c>
      <c r="P88" s="16">
        <v>0</v>
      </c>
      <c r="Q88" s="16">
        <v>0</v>
      </c>
      <c r="R88" s="8">
        <f t="shared" si="78"/>
        <v>211597.99</v>
      </c>
      <c r="S88" s="363">
        <f t="shared" si="79"/>
        <v>102960.21</v>
      </c>
      <c r="T88" s="363">
        <f t="shared" si="80"/>
        <v>23959.289999999994</v>
      </c>
      <c r="U88" s="363">
        <f t="shared" si="81"/>
        <v>1756.31</v>
      </c>
      <c r="V88" s="363">
        <f t="shared" si="82"/>
        <v>1638.2800000000002</v>
      </c>
      <c r="W88" s="363">
        <f t="shared" si="83"/>
        <v>72960.210000000006</v>
      </c>
      <c r="X88" s="363">
        <f t="shared" si="84"/>
        <v>8323.69</v>
      </c>
      <c r="Y88" s="357"/>
      <c r="Z88" s="357"/>
    </row>
    <row r="89" spans="1:26">
      <c r="A89" s="2" t="s">
        <v>91</v>
      </c>
      <c r="B89" s="16">
        <v>105844.89</v>
      </c>
      <c r="C89" s="16">
        <v>28034.05999999999</v>
      </c>
      <c r="D89" s="16">
        <v>2637.64</v>
      </c>
      <c r="E89" s="16">
        <v>4687.53</v>
      </c>
      <c r="F89" s="16">
        <v>85603.05</v>
      </c>
      <c r="G89" s="16">
        <v>3989.31</v>
      </c>
      <c r="H89" s="16">
        <v>3462</v>
      </c>
      <c r="I89" s="16">
        <v>0</v>
      </c>
      <c r="J89" s="16">
        <v>6316.05</v>
      </c>
      <c r="K89" s="16">
        <v>108.69</v>
      </c>
      <c r="L89" s="16">
        <v>0</v>
      </c>
      <c r="M89" s="16">
        <v>0</v>
      </c>
      <c r="N89" s="16">
        <v>275.91000000000003</v>
      </c>
      <c r="O89" s="16">
        <v>0</v>
      </c>
      <c r="P89" s="16">
        <v>0</v>
      </c>
      <c r="Q89" s="16">
        <v>0</v>
      </c>
      <c r="R89" s="8">
        <f t="shared" si="78"/>
        <v>240959.12999999998</v>
      </c>
      <c r="S89" s="363">
        <f t="shared" si="79"/>
        <v>105844.89</v>
      </c>
      <c r="T89" s="363">
        <f t="shared" si="80"/>
        <v>28034.05999999999</v>
      </c>
      <c r="U89" s="363">
        <f t="shared" si="81"/>
        <v>2637.64</v>
      </c>
      <c r="V89" s="363">
        <f t="shared" si="82"/>
        <v>4687.53</v>
      </c>
      <c r="W89" s="363">
        <f t="shared" si="83"/>
        <v>89592.36</v>
      </c>
      <c r="X89" s="363">
        <f t="shared" si="84"/>
        <v>10162.65</v>
      </c>
      <c r="Y89" s="357"/>
      <c r="Z89" s="357"/>
    </row>
    <row r="90" spans="1:26">
      <c r="A90" s="2" t="s">
        <v>92</v>
      </c>
      <c r="B90" s="16">
        <v>818163.08</v>
      </c>
      <c r="C90" s="16">
        <v>94892.31000000007</v>
      </c>
      <c r="D90" s="16">
        <v>36144.93</v>
      </c>
      <c r="E90" s="16">
        <v>21644.78</v>
      </c>
      <c r="F90" s="16">
        <v>508756.86</v>
      </c>
      <c r="G90" s="16">
        <v>9521.76</v>
      </c>
      <c r="H90" s="16">
        <v>9069.99</v>
      </c>
      <c r="I90" s="16">
        <v>1477.03</v>
      </c>
      <c r="J90" s="16">
        <v>22702.660000000003</v>
      </c>
      <c r="K90" s="16">
        <v>2815.2</v>
      </c>
      <c r="L90" s="16">
        <v>217.38</v>
      </c>
      <c r="M90" s="16">
        <v>0</v>
      </c>
      <c r="N90" s="16">
        <v>1376.02</v>
      </c>
      <c r="O90" s="16">
        <v>0</v>
      </c>
      <c r="P90" s="16">
        <v>0</v>
      </c>
      <c r="Q90" s="16">
        <v>0</v>
      </c>
      <c r="R90" s="8">
        <f t="shared" si="78"/>
        <v>1526781.9999999998</v>
      </c>
      <c r="S90" s="363">
        <f t="shared" si="79"/>
        <v>818163.08</v>
      </c>
      <c r="T90" s="363">
        <f t="shared" si="80"/>
        <v>94892.31000000007</v>
      </c>
      <c r="U90" s="363">
        <f t="shared" si="81"/>
        <v>36144.93</v>
      </c>
      <c r="V90" s="363">
        <f t="shared" si="82"/>
        <v>21644.78</v>
      </c>
      <c r="W90" s="363">
        <f t="shared" si="83"/>
        <v>518278.62</v>
      </c>
      <c r="X90" s="363">
        <f t="shared" si="84"/>
        <v>37658.28</v>
      </c>
      <c r="Y90" s="357"/>
      <c r="Z90" s="357"/>
    </row>
    <row r="91" spans="1:26">
      <c r="A91" s="2" t="s">
        <v>93</v>
      </c>
      <c r="B91" s="16">
        <v>254856.39</v>
      </c>
      <c r="C91" s="16">
        <v>56482.979999999974</v>
      </c>
      <c r="D91" s="16">
        <v>7843.16</v>
      </c>
      <c r="E91" s="16">
        <v>8920.5400000000009</v>
      </c>
      <c r="F91" s="16">
        <v>137411.70000000001</v>
      </c>
      <c r="G91" s="16">
        <v>4869.57</v>
      </c>
      <c r="H91" s="16">
        <v>5069.68</v>
      </c>
      <c r="I91" s="16">
        <v>587.70000000000005</v>
      </c>
      <c r="J91" s="16">
        <v>13075.130000000001</v>
      </c>
      <c r="K91" s="16">
        <v>206.64</v>
      </c>
      <c r="L91" s="16">
        <v>0</v>
      </c>
      <c r="M91" s="16">
        <v>0</v>
      </c>
      <c r="N91" s="16">
        <v>507.2</v>
      </c>
      <c r="O91" s="16">
        <v>0</v>
      </c>
      <c r="P91" s="16">
        <v>0</v>
      </c>
      <c r="Q91" s="16">
        <v>0</v>
      </c>
      <c r="R91" s="8">
        <f t="shared" si="78"/>
        <v>489830.69</v>
      </c>
      <c r="S91" s="363">
        <f t="shared" si="79"/>
        <v>254856.39</v>
      </c>
      <c r="T91" s="363">
        <f t="shared" si="80"/>
        <v>56482.979999999974</v>
      </c>
      <c r="U91" s="363">
        <f t="shared" si="81"/>
        <v>7843.16</v>
      </c>
      <c r="V91" s="363">
        <f t="shared" si="82"/>
        <v>8920.5400000000009</v>
      </c>
      <c r="W91" s="363">
        <f t="shared" si="83"/>
        <v>142281.27000000002</v>
      </c>
      <c r="X91" s="363">
        <f t="shared" si="84"/>
        <v>19446.350000000002</v>
      </c>
      <c r="Y91" s="357"/>
      <c r="Z91" s="357"/>
    </row>
    <row r="92" spans="1:26">
      <c r="A92" s="2" t="s">
        <v>94</v>
      </c>
      <c r="B92" s="16">
        <v>75012.06</v>
      </c>
      <c r="C92" s="16">
        <v>10063.5</v>
      </c>
      <c r="D92" s="16">
        <v>4565.16</v>
      </c>
      <c r="E92" s="16">
        <v>3768.26</v>
      </c>
      <c r="F92" s="16">
        <v>37096.800000000003</v>
      </c>
      <c r="G92" s="16">
        <v>1293.54</v>
      </c>
      <c r="H92" s="16">
        <v>1127.98</v>
      </c>
      <c r="I92" s="16">
        <v>0</v>
      </c>
      <c r="J92" s="16">
        <v>2808.18</v>
      </c>
      <c r="K92" s="16">
        <v>434.76</v>
      </c>
      <c r="L92" s="16">
        <v>0</v>
      </c>
      <c r="M92" s="16">
        <v>0</v>
      </c>
      <c r="N92" s="16">
        <v>31.7</v>
      </c>
      <c r="O92" s="16">
        <v>0</v>
      </c>
      <c r="P92" s="16">
        <v>0</v>
      </c>
      <c r="Q92" s="16">
        <v>0</v>
      </c>
      <c r="R92" s="8">
        <f t="shared" si="78"/>
        <v>136201.94000000003</v>
      </c>
      <c r="S92" s="363">
        <f t="shared" si="79"/>
        <v>75012.06</v>
      </c>
      <c r="T92" s="363">
        <f t="shared" si="80"/>
        <v>10063.5</v>
      </c>
      <c r="U92" s="363">
        <f t="shared" si="81"/>
        <v>4565.16</v>
      </c>
      <c r="V92" s="363">
        <f t="shared" si="82"/>
        <v>3768.26</v>
      </c>
      <c r="W92" s="363">
        <f t="shared" si="83"/>
        <v>38390.340000000004</v>
      </c>
      <c r="X92" s="363">
        <f t="shared" si="84"/>
        <v>4402.62</v>
      </c>
      <c r="Y92" s="357"/>
      <c r="Z92" s="357"/>
    </row>
    <row r="93" spans="1:26">
      <c r="A93" s="2" t="s">
        <v>95</v>
      </c>
      <c r="B93" s="16">
        <v>934994.89</v>
      </c>
      <c r="C93" s="16">
        <v>115450.19</v>
      </c>
      <c r="D93" s="16">
        <v>45013.22</v>
      </c>
      <c r="E93" s="16">
        <v>25608.58</v>
      </c>
      <c r="F93" s="16">
        <v>442501.5</v>
      </c>
      <c r="G93" s="16">
        <v>14608.710000000001</v>
      </c>
      <c r="H93" s="16">
        <v>12882.740000000002</v>
      </c>
      <c r="I93" s="16">
        <v>5342.1</v>
      </c>
      <c r="J93" s="16">
        <v>27310.73</v>
      </c>
      <c r="K93" s="16">
        <v>1065.42</v>
      </c>
      <c r="L93" s="16">
        <v>434.76</v>
      </c>
      <c r="M93" s="16">
        <v>0</v>
      </c>
      <c r="N93" s="16">
        <v>2807.14</v>
      </c>
      <c r="O93" s="16">
        <v>0</v>
      </c>
      <c r="P93" s="16">
        <v>0</v>
      </c>
      <c r="Q93" s="16">
        <v>0</v>
      </c>
      <c r="R93" s="8">
        <f t="shared" si="78"/>
        <v>1628019.98</v>
      </c>
      <c r="S93" s="363">
        <f t="shared" si="79"/>
        <v>934994.89</v>
      </c>
      <c r="T93" s="363">
        <f t="shared" si="80"/>
        <v>115450.19</v>
      </c>
      <c r="U93" s="363">
        <f t="shared" si="81"/>
        <v>45013.22</v>
      </c>
      <c r="V93" s="363">
        <f t="shared" si="82"/>
        <v>25608.58</v>
      </c>
      <c r="W93" s="363">
        <f t="shared" si="83"/>
        <v>457110.21</v>
      </c>
      <c r="X93" s="363">
        <f t="shared" si="84"/>
        <v>49842.890000000007</v>
      </c>
      <c r="Y93" s="357"/>
      <c r="Z93" s="357"/>
    </row>
    <row r="94" spans="1:26">
      <c r="A94" s="2" t="s">
        <v>96</v>
      </c>
      <c r="B94" s="16">
        <v>101338.36</v>
      </c>
      <c r="C94" s="16">
        <v>16345.940000000004</v>
      </c>
      <c r="D94" s="16">
        <v>2130.4</v>
      </c>
      <c r="E94" s="16">
        <v>1418.6999999999998</v>
      </c>
      <c r="F94" s="16">
        <v>66151.83</v>
      </c>
      <c r="G94" s="16">
        <v>848.04000000000008</v>
      </c>
      <c r="H94" s="16">
        <v>2092.7799999999997</v>
      </c>
      <c r="I94" s="16">
        <v>0</v>
      </c>
      <c r="J94" s="16">
        <v>2937.71</v>
      </c>
      <c r="K94" s="16">
        <v>0</v>
      </c>
      <c r="L94" s="16">
        <v>217.38</v>
      </c>
      <c r="M94" s="16">
        <v>0</v>
      </c>
      <c r="N94" s="16">
        <v>183.94</v>
      </c>
      <c r="O94" s="16">
        <v>0</v>
      </c>
      <c r="P94" s="16">
        <v>0</v>
      </c>
      <c r="Q94" s="16">
        <v>0</v>
      </c>
      <c r="R94" s="8">
        <f t="shared" si="78"/>
        <v>193665.08</v>
      </c>
      <c r="S94" s="363">
        <f t="shared" si="79"/>
        <v>101338.36</v>
      </c>
      <c r="T94" s="363">
        <f t="shared" si="80"/>
        <v>16345.940000000004</v>
      </c>
      <c r="U94" s="363">
        <f t="shared" si="81"/>
        <v>2130.4</v>
      </c>
      <c r="V94" s="363">
        <f t="shared" si="82"/>
        <v>1418.6999999999998</v>
      </c>
      <c r="W94" s="363">
        <f t="shared" si="83"/>
        <v>66999.87</v>
      </c>
      <c r="X94" s="363">
        <f t="shared" si="84"/>
        <v>5431.8099999999995</v>
      </c>
      <c r="Y94" s="357"/>
      <c r="Z94" s="357"/>
    </row>
    <row r="95" spans="1:26">
      <c r="A95" s="2" t="s">
        <v>97</v>
      </c>
      <c r="B95" s="16">
        <v>1235058.81</v>
      </c>
      <c r="C95" s="16">
        <v>155093.22999999998</v>
      </c>
      <c r="D95" s="16">
        <v>62715.8</v>
      </c>
      <c r="E95" s="16">
        <v>20238.019999999997</v>
      </c>
      <c r="F95" s="16">
        <v>684749.61</v>
      </c>
      <c r="G95" s="16">
        <v>10271.849999999999</v>
      </c>
      <c r="H95" s="16">
        <v>16001.920000000002</v>
      </c>
      <c r="I95" s="16">
        <v>0</v>
      </c>
      <c r="J95" s="16">
        <v>35486.15</v>
      </c>
      <c r="K95" s="16">
        <v>1619.61</v>
      </c>
      <c r="L95" s="16">
        <v>0</v>
      </c>
      <c r="M95" s="16">
        <v>0</v>
      </c>
      <c r="N95" s="16">
        <v>2197.4899999999998</v>
      </c>
      <c r="O95" s="16">
        <v>0</v>
      </c>
      <c r="P95" s="16">
        <v>0</v>
      </c>
      <c r="Q95" s="16">
        <v>0</v>
      </c>
      <c r="R95" s="8">
        <f t="shared" si="78"/>
        <v>2223432.4900000002</v>
      </c>
      <c r="S95" s="363">
        <f t="shared" si="79"/>
        <v>1235058.81</v>
      </c>
      <c r="T95" s="363">
        <f t="shared" si="80"/>
        <v>155093.22999999998</v>
      </c>
      <c r="U95" s="363">
        <f t="shared" si="81"/>
        <v>62715.8</v>
      </c>
      <c r="V95" s="363">
        <f t="shared" si="82"/>
        <v>20238.019999999997</v>
      </c>
      <c r="W95" s="363">
        <f t="shared" si="83"/>
        <v>695021.46</v>
      </c>
      <c r="X95" s="363">
        <f t="shared" si="84"/>
        <v>55305.170000000006</v>
      </c>
      <c r="Y95" s="357"/>
      <c r="Z95" s="357"/>
    </row>
    <row r="96" spans="1:26">
      <c r="A96" s="2" t="s">
        <v>98</v>
      </c>
      <c r="B96" s="16">
        <v>52376.49</v>
      </c>
      <c r="C96" s="16">
        <v>10884.390000000003</v>
      </c>
      <c r="D96" s="16">
        <v>1627.39</v>
      </c>
      <c r="E96" s="16">
        <v>2637.04</v>
      </c>
      <c r="F96" s="16">
        <v>55358.01</v>
      </c>
      <c r="G96" s="16">
        <v>1510.92</v>
      </c>
      <c r="H96" s="16">
        <v>782.38000000000011</v>
      </c>
      <c r="I96" s="16">
        <v>0</v>
      </c>
      <c r="J96" s="16">
        <v>2545.19</v>
      </c>
      <c r="K96" s="16">
        <v>424.02</v>
      </c>
      <c r="L96" s="16">
        <v>0</v>
      </c>
      <c r="M96" s="16">
        <v>0</v>
      </c>
      <c r="N96" s="16">
        <v>91.97</v>
      </c>
      <c r="O96" s="16">
        <v>0</v>
      </c>
      <c r="P96" s="16">
        <v>0</v>
      </c>
      <c r="Q96" s="16">
        <v>0</v>
      </c>
      <c r="R96" s="8">
        <f t="shared" si="78"/>
        <v>128237.80000000002</v>
      </c>
      <c r="S96" s="363">
        <f t="shared" si="79"/>
        <v>52376.49</v>
      </c>
      <c r="T96" s="363">
        <f t="shared" si="80"/>
        <v>10884.390000000003</v>
      </c>
      <c r="U96" s="363">
        <f t="shared" si="81"/>
        <v>1627.39</v>
      </c>
      <c r="V96" s="363">
        <f t="shared" si="82"/>
        <v>2637.04</v>
      </c>
      <c r="W96" s="363">
        <f t="shared" si="83"/>
        <v>56868.93</v>
      </c>
      <c r="X96" s="363">
        <f t="shared" si="84"/>
        <v>3843.56</v>
      </c>
      <c r="Y96" s="357"/>
      <c r="Z96" s="357"/>
    </row>
    <row r="97" spans="1:26">
      <c r="A97" s="2" t="s">
        <v>99</v>
      </c>
      <c r="B97" s="16">
        <v>12647.71</v>
      </c>
      <c r="C97" s="16">
        <v>974.27000000000044</v>
      </c>
      <c r="D97" s="16">
        <v>786.22</v>
      </c>
      <c r="E97" s="16">
        <v>150.47000000000003</v>
      </c>
      <c r="F97" s="16">
        <v>12989.1</v>
      </c>
      <c r="G97" s="16">
        <v>434.76</v>
      </c>
      <c r="H97" s="16">
        <v>53.85</v>
      </c>
      <c r="I97" s="16">
        <v>0</v>
      </c>
      <c r="J97" s="16">
        <v>235.70999999999998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8">
        <f t="shared" si="78"/>
        <v>28272.089999999993</v>
      </c>
      <c r="S97" s="363">
        <f t="shared" si="79"/>
        <v>12647.71</v>
      </c>
      <c r="T97" s="363">
        <f t="shared" si="80"/>
        <v>974.27000000000044</v>
      </c>
      <c r="U97" s="363">
        <f t="shared" si="81"/>
        <v>786.22</v>
      </c>
      <c r="V97" s="363">
        <f t="shared" si="82"/>
        <v>150.47000000000003</v>
      </c>
      <c r="W97" s="363">
        <f t="shared" si="83"/>
        <v>13423.86</v>
      </c>
      <c r="X97" s="363">
        <f t="shared" si="84"/>
        <v>289.56</v>
      </c>
      <c r="Y97" s="357"/>
      <c r="Z97" s="357"/>
    </row>
    <row r="98" spans="1:26">
      <c r="A98" s="2" t="s">
        <v>100</v>
      </c>
      <c r="B98" s="16">
        <v>689788.49</v>
      </c>
      <c r="C98" s="16">
        <v>106344.66999999998</v>
      </c>
      <c r="D98" s="16">
        <v>22022.62</v>
      </c>
      <c r="E98" s="16">
        <v>22621.570000000003</v>
      </c>
      <c r="F98" s="16">
        <v>377385.45</v>
      </c>
      <c r="G98" s="16">
        <v>4000.05</v>
      </c>
      <c r="H98" s="16">
        <v>16189.01</v>
      </c>
      <c r="I98" s="16">
        <v>0</v>
      </c>
      <c r="J98" s="16">
        <v>26331.299999999996</v>
      </c>
      <c r="K98" s="16">
        <v>326.07</v>
      </c>
      <c r="L98" s="16">
        <v>0</v>
      </c>
      <c r="M98" s="16">
        <v>0</v>
      </c>
      <c r="N98" s="16">
        <v>1350.58</v>
      </c>
      <c r="O98" s="16">
        <v>0</v>
      </c>
      <c r="P98" s="16">
        <v>0</v>
      </c>
      <c r="Q98" s="16">
        <v>0</v>
      </c>
      <c r="R98" s="8">
        <f t="shared" si="78"/>
        <v>1266359.81</v>
      </c>
      <c r="S98" s="363">
        <f t="shared" si="79"/>
        <v>689788.49</v>
      </c>
      <c r="T98" s="363">
        <f t="shared" si="80"/>
        <v>106344.66999999998</v>
      </c>
      <c r="U98" s="363">
        <f t="shared" si="81"/>
        <v>22022.62</v>
      </c>
      <c r="V98" s="363">
        <f t="shared" si="82"/>
        <v>22621.570000000003</v>
      </c>
      <c r="W98" s="363">
        <f t="shared" si="83"/>
        <v>381385.5</v>
      </c>
      <c r="X98" s="363">
        <f t="shared" si="84"/>
        <v>44196.959999999999</v>
      </c>
      <c r="Y98" s="357"/>
      <c r="Z98" s="357"/>
    </row>
    <row r="99" spans="1:26">
      <c r="A99" s="2" t="s">
        <v>101</v>
      </c>
      <c r="B99" s="16">
        <v>3839648.85</v>
      </c>
      <c r="C99" s="16">
        <v>514845.35000000021</v>
      </c>
      <c r="D99" s="16">
        <v>137176.39000000001</v>
      </c>
      <c r="E99" s="16">
        <v>80465.08</v>
      </c>
      <c r="F99" s="16">
        <v>2326434.7799999998</v>
      </c>
      <c r="G99" s="16">
        <v>37228.26</v>
      </c>
      <c r="H99" s="16">
        <v>77462.010000000024</v>
      </c>
      <c r="I99" s="16">
        <v>7378.34</v>
      </c>
      <c r="J99" s="16">
        <v>115495.45</v>
      </c>
      <c r="K99" s="16">
        <v>5097.6899999999996</v>
      </c>
      <c r="L99" s="16">
        <v>652.14</v>
      </c>
      <c r="M99" s="16">
        <v>0</v>
      </c>
      <c r="N99" s="16">
        <v>9524.1200000000008</v>
      </c>
      <c r="O99" s="16">
        <v>0</v>
      </c>
      <c r="P99" s="16">
        <v>290.58</v>
      </c>
      <c r="Q99" s="16">
        <v>6064.08</v>
      </c>
      <c r="R99" s="8">
        <f t="shared" si="78"/>
        <v>7157763.1199999992</v>
      </c>
      <c r="S99" s="363">
        <f t="shared" si="79"/>
        <v>3839648.85</v>
      </c>
      <c r="T99" s="363">
        <f t="shared" si="80"/>
        <v>514845.35000000021</v>
      </c>
      <c r="U99" s="363">
        <f t="shared" si="81"/>
        <v>137176.39000000001</v>
      </c>
      <c r="V99" s="363">
        <f t="shared" si="82"/>
        <v>80465.08</v>
      </c>
      <c r="W99" s="363">
        <f t="shared" si="83"/>
        <v>2363663.0399999996</v>
      </c>
      <c r="X99" s="363">
        <f t="shared" si="84"/>
        <v>221964.41</v>
      </c>
      <c r="Y99" s="357"/>
      <c r="Z99" s="357"/>
    </row>
    <row r="100" spans="1:26">
      <c r="A100" s="2" t="s">
        <v>102</v>
      </c>
      <c r="B100" s="16">
        <v>82986.960000000006</v>
      </c>
      <c r="C100" s="16">
        <v>14802.649999999992</v>
      </c>
      <c r="D100" s="16">
        <v>2996.93</v>
      </c>
      <c r="E100" s="16">
        <v>1646.92</v>
      </c>
      <c r="F100" s="16">
        <v>61998.84</v>
      </c>
      <c r="G100" s="16">
        <v>837.3</v>
      </c>
      <c r="H100" s="16">
        <v>1305.8100000000002</v>
      </c>
      <c r="I100" s="16">
        <v>0</v>
      </c>
      <c r="J100" s="16">
        <v>3201.8100000000004</v>
      </c>
      <c r="K100" s="16">
        <v>108.69</v>
      </c>
      <c r="L100" s="16">
        <v>0</v>
      </c>
      <c r="M100" s="16">
        <v>0</v>
      </c>
      <c r="N100" s="16">
        <v>95.1</v>
      </c>
      <c r="O100" s="16">
        <v>0</v>
      </c>
      <c r="P100" s="16">
        <v>0</v>
      </c>
      <c r="Q100" s="16">
        <v>507.25</v>
      </c>
      <c r="R100" s="8">
        <f t="shared" si="78"/>
        <v>170488.25999999998</v>
      </c>
      <c r="S100" s="363">
        <f t="shared" si="79"/>
        <v>82986.960000000006</v>
      </c>
      <c r="T100" s="363">
        <f t="shared" si="80"/>
        <v>14802.649999999992</v>
      </c>
      <c r="U100" s="363">
        <f t="shared" si="81"/>
        <v>2996.93</v>
      </c>
      <c r="V100" s="363">
        <f t="shared" si="82"/>
        <v>1646.92</v>
      </c>
      <c r="W100" s="363">
        <f t="shared" si="83"/>
        <v>62836.14</v>
      </c>
      <c r="X100" s="363">
        <f t="shared" si="84"/>
        <v>5218.6600000000008</v>
      </c>
      <c r="Y100" s="357"/>
      <c r="Z100" s="357"/>
    </row>
    <row r="101" spans="1:26">
      <c r="A101" s="2" t="s">
        <v>103</v>
      </c>
      <c r="B101" s="16">
        <v>30699.55</v>
      </c>
      <c r="C101" s="16">
        <v>5499.800000000002</v>
      </c>
      <c r="D101" s="16">
        <v>1318.82</v>
      </c>
      <c r="E101" s="16">
        <v>144.28</v>
      </c>
      <c r="F101" s="16">
        <v>30261.360000000001</v>
      </c>
      <c r="G101" s="16">
        <v>1706.8200000000002</v>
      </c>
      <c r="H101" s="16">
        <v>637.9799999999999</v>
      </c>
      <c r="I101" s="16">
        <v>0</v>
      </c>
      <c r="J101" s="16">
        <v>1135.3200000000002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8">
        <f t="shared" si="78"/>
        <v>71403.930000000008</v>
      </c>
      <c r="S101" s="363">
        <f t="shared" si="79"/>
        <v>30699.55</v>
      </c>
      <c r="T101" s="363">
        <f t="shared" si="80"/>
        <v>5499.800000000002</v>
      </c>
      <c r="U101" s="363">
        <f t="shared" si="81"/>
        <v>1318.82</v>
      </c>
      <c r="V101" s="363">
        <f t="shared" si="82"/>
        <v>144.28</v>
      </c>
      <c r="W101" s="363">
        <f t="shared" si="83"/>
        <v>31968.18</v>
      </c>
      <c r="X101" s="363">
        <f t="shared" si="84"/>
        <v>1773.3000000000002</v>
      </c>
      <c r="Y101" s="357"/>
      <c r="Z101" s="357"/>
    </row>
    <row r="102" spans="1:26">
      <c r="A102" s="6" t="s">
        <v>37</v>
      </c>
      <c r="B102" s="5">
        <f t="shared" ref="B102:S102" si="85">SUM(B75:B101)</f>
        <v>11173689.340000004</v>
      </c>
      <c r="C102" s="5">
        <f t="shared" si="85"/>
        <v>1624877.0600000003</v>
      </c>
      <c r="D102" s="5">
        <f t="shared" si="85"/>
        <v>414294.46000000008</v>
      </c>
      <c r="E102" s="5">
        <f t="shared" si="85"/>
        <v>273703.60000000003</v>
      </c>
      <c r="F102" s="5">
        <f t="shared" si="85"/>
        <v>6566381.1600000001</v>
      </c>
      <c r="G102" s="5">
        <f t="shared" si="85"/>
        <v>144307.67999999996</v>
      </c>
      <c r="H102" s="5">
        <f t="shared" si="85"/>
        <v>206947.38000000003</v>
      </c>
      <c r="I102" s="5">
        <f t="shared" si="85"/>
        <v>19010.68</v>
      </c>
      <c r="J102" s="5">
        <f t="shared" si="85"/>
        <v>374174.06</v>
      </c>
      <c r="K102" s="5">
        <f t="shared" si="85"/>
        <v>16630.859999999997</v>
      </c>
      <c r="L102" s="5">
        <f t="shared" si="85"/>
        <v>1739.04</v>
      </c>
      <c r="M102" s="5">
        <f t="shared" si="85"/>
        <v>2141.13</v>
      </c>
      <c r="N102" s="5">
        <f t="shared" si="85"/>
        <v>25347.11</v>
      </c>
      <c r="O102" s="5">
        <f t="shared" si="85"/>
        <v>0</v>
      </c>
      <c r="P102" s="5">
        <f t="shared" si="85"/>
        <v>336.15999999999997</v>
      </c>
      <c r="Q102" s="5">
        <f t="shared" si="85"/>
        <v>7288.95</v>
      </c>
      <c r="R102" s="5">
        <f t="shared" si="85"/>
        <v>20850868.670000002</v>
      </c>
      <c r="S102" s="363">
        <f t="shared" si="85"/>
        <v>11173689.340000004</v>
      </c>
      <c r="T102" s="363">
        <f t="shared" ref="T102" si="86">SUM(T75:T101)</f>
        <v>1624877.0600000003</v>
      </c>
      <c r="U102" s="363">
        <f t="shared" ref="U102" si="87">SUM(U75:U101)</f>
        <v>414294.46000000008</v>
      </c>
      <c r="V102" s="363">
        <f t="shared" ref="V102" si="88">SUM(V75:V101)</f>
        <v>273703.60000000003</v>
      </c>
      <c r="W102" s="363">
        <f t="shared" ref="W102" si="89">SUM(W75:W101)</f>
        <v>6710688.8399999989</v>
      </c>
      <c r="X102" s="363">
        <f>SUM(X75:X101)</f>
        <v>653615.37000000011</v>
      </c>
      <c r="Y102" s="357"/>
      <c r="Z102" s="357"/>
    </row>
    <row r="103" spans="1:26">
      <c r="A103" s="370"/>
      <c r="B103" s="357"/>
      <c r="C103" s="357"/>
      <c r="D103" s="357"/>
      <c r="E103" s="357"/>
      <c r="F103" s="357"/>
      <c r="G103" s="357"/>
      <c r="H103" s="390"/>
      <c r="I103" s="390"/>
      <c r="J103" s="390"/>
      <c r="K103" s="390"/>
      <c r="L103" s="390"/>
      <c r="M103" s="390"/>
      <c r="N103" s="390"/>
      <c r="O103" s="390"/>
      <c r="P103" s="363"/>
      <c r="Q103" s="357"/>
      <c r="R103" s="363"/>
      <c r="S103" s="357"/>
      <c r="T103" s="357"/>
      <c r="U103" s="357"/>
      <c r="V103" s="357"/>
      <c r="W103" s="357"/>
      <c r="X103" s="390"/>
    </row>
    <row r="104" spans="1:26">
      <c r="A104" s="370"/>
      <c r="B104" s="357"/>
      <c r="C104" s="357"/>
      <c r="D104" s="357"/>
      <c r="E104" s="357"/>
      <c r="F104" s="357"/>
      <c r="G104" s="357"/>
      <c r="H104" s="357"/>
      <c r="I104" s="357"/>
      <c r="J104" s="357"/>
      <c r="K104" s="357"/>
      <c r="L104" s="357"/>
      <c r="M104" s="357"/>
      <c r="N104" s="357"/>
      <c r="O104" s="357"/>
      <c r="P104" s="357"/>
      <c r="Q104" s="357"/>
      <c r="R104" s="357"/>
      <c r="S104" s="357"/>
      <c r="T104" s="357"/>
      <c r="U104" s="357"/>
      <c r="V104" s="357"/>
      <c r="W104" s="357"/>
      <c r="X104" s="357"/>
    </row>
  </sheetData>
  <mergeCells count="48">
    <mergeCell ref="M73:M74"/>
    <mergeCell ref="N73:N74"/>
    <mergeCell ref="P73:Q73"/>
    <mergeCell ref="R73:R74"/>
    <mergeCell ref="N3:N4"/>
    <mergeCell ref="M3:M4"/>
    <mergeCell ref="O38:O39"/>
    <mergeCell ref="O73:O74"/>
    <mergeCell ref="P3:Q3"/>
    <mergeCell ref="R3:R4"/>
    <mergeCell ref="O3:O4"/>
    <mergeCell ref="A73:A74"/>
    <mergeCell ref="B73:C73"/>
    <mergeCell ref="A37:R37"/>
    <mergeCell ref="A38:A39"/>
    <mergeCell ref="B38:C38"/>
    <mergeCell ref="D38:E38"/>
    <mergeCell ref="F38:F39"/>
    <mergeCell ref="G38:G39"/>
    <mergeCell ref="G73:G74"/>
    <mergeCell ref="H73:H74"/>
    <mergeCell ref="I73:I74"/>
    <mergeCell ref="A72:R72"/>
    <mergeCell ref="J73:J74"/>
    <mergeCell ref="K73:K74"/>
    <mergeCell ref="L73:L74"/>
    <mergeCell ref="H38:H39"/>
    <mergeCell ref="I38:I39"/>
    <mergeCell ref="J38:J39"/>
    <mergeCell ref="K38:K39"/>
    <mergeCell ref="L38:L39"/>
    <mergeCell ref="M38:M39"/>
    <mergeCell ref="D73:E73"/>
    <mergeCell ref="F73:F74"/>
    <mergeCell ref="A2:R2"/>
    <mergeCell ref="A3:A4"/>
    <mergeCell ref="B3:C3"/>
    <mergeCell ref="D3:E3"/>
    <mergeCell ref="F3:F4"/>
    <mergeCell ref="G3:G4"/>
    <mergeCell ref="H3:H4"/>
    <mergeCell ref="I3:I4"/>
    <mergeCell ref="N38:N39"/>
    <mergeCell ref="P38:Q38"/>
    <mergeCell ref="R38:R39"/>
    <mergeCell ref="J3:J4"/>
    <mergeCell ref="K3:K4"/>
    <mergeCell ref="L3:L4"/>
  </mergeCells>
  <pageMargins left="0.511811024" right="0.511811024" top="0.78740157499999996" bottom="0.78740157499999996" header="0.31496062000000002" footer="0.31496062000000002"/>
  <pageSetup paperSize="9" scale="15" orientation="landscape" r:id="rId1"/>
  <ignoredErrors>
    <ignoredError sqref="X104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>
    <tabColor theme="6"/>
    <pageSetUpPr fitToPage="1"/>
  </sheetPr>
  <dimension ref="A1:W67"/>
  <sheetViews>
    <sheetView showGridLines="0" zoomScale="85" zoomScaleNormal="85" zoomScaleSheetLayoutView="64" workbookViewId="0">
      <pane xSplit="1" topLeftCell="B1" activePane="topRight" state="frozen"/>
      <selection activeCell="DQ31" sqref="DQ31:DV31"/>
      <selection pane="topRight" activeCell="DQ31" sqref="DQ31:DV31"/>
    </sheetView>
  </sheetViews>
  <sheetFormatPr defaultRowHeight="15.75"/>
  <cols>
    <col min="1" max="1" width="12.28515625" style="165" bestFit="1" customWidth="1"/>
    <col min="2" max="3" width="17.5703125" style="165" customWidth="1"/>
    <col min="4" max="4" width="15.5703125" style="165" bestFit="1" customWidth="1"/>
    <col min="5" max="5" width="14.28515625" style="165" bestFit="1" customWidth="1"/>
    <col min="6" max="6" width="13" style="165" bestFit="1" customWidth="1"/>
    <col min="7" max="21" width="16.28515625" style="165" customWidth="1"/>
    <col min="22" max="22" width="8.140625" style="165" bestFit="1" customWidth="1"/>
    <col min="23" max="23" width="5.5703125" style="165" bestFit="1" customWidth="1"/>
    <col min="24" max="16384" width="9.140625" style="165"/>
  </cols>
  <sheetData>
    <row r="1" spans="1:23" ht="16.5" thickBot="1">
      <c r="A1" s="658"/>
      <c r="B1" s="907" t="s">
        <v>28</v>
      </c>
      <c r="C1" s="907"/>
      <c r="D1" s="908"/>
      <c r="E1" s="907"/>
      <c r="F1" s="907"/>
      <c r="G1" s="907"/>
      <c r="H1" s="907"/>
      <c r="I1" s="907"/>
      <c r="J1" s="907"/>
      <c r="K1" s="907"/>
      <c r="L1" s="907"/>
      <c r="M1" s="907"/>
      <c r="N1" s="907"/>
      <c r="O1" s="907"/>
      <c r="P1" s="907"/>
      <c r="Q1" s="907"/>
      <c r="R1" s="907"/>
      <c r="S1" s="907"/>
      <c r="T1" s="907"/>
      <c r="U1" s="907"/>
    </row>
    <row r="2" spans="1:23" s="578" customFormat="1">
      <c r="A2" s="909" t="s">
        <v>172</v>
      </c>
      <c r="B2" s="910" t="s">
        <v>166</v>
      </c>
      <c r="C2" s="911"/>
      <c r="D2" s="915" t="s">
        <v>167</v>
      </c>
      <c r="E2" s="914" t="s">
        <v>344</v>
      </c>
      <c r="F2" s="914" t="s">
        <v>343</v>
      </c>
      <c r="G2" s="913" t="s">
        <v>334</v>
      </c>
      <c r="H2" s="913"/>
      <c r="I2" s="913"/>
      <c r="J2" s="913"/>
      <c r="K2" s="913"/>
      <c r="L2" s="913"/>
      <c r="M2" s="913"/>
      <c r="N2" s="913"/>
      <c r="O2" s="913"/>
      <c r="P2" s="913"/>
      <c r="Q2" s="913"/>
      <c r="R2" s="913"/>
      <c r="S2" s="912" t="s">
        <v>333</v>
      </c>
      <c r="T2" s="912" t="s">
        <v>332</v>
      </c>
      <c r="U2" s="912" t="s">
        <v>331</v>
      </c>
    </row>
    <row r="3" spans="1:23" s="578" customFormat="1">
      <c r="A3" s="909"/>
      <c r="B3" s="599" t="s">
        <v>342</v>
      </c>
      <c r="C3" s="659" t="s">
        <v>341</v>
      </c>
      <c r="D3" s="916"/>
      <c r="E3" s="914"/>
      <c r="F3" s="914"/>
      <c r="G3" s="660" t="s">
        <v>290</v>
      </c>
      <c r="H3" s="660" t="s">
        <v>289</v>
      </c>
      <c r="I3" s="660" t="s">
        <v>321</v>
      </c>
      <c r="J3" s="660" t="s">
        <v>288</v>
      </c>
      <c r="K3" s="660" t="s">
        <v>287</v>
      </c>
      <c r="L3" s="660" t="s">
        <v>286</v>
      </c>
      <c r="M3" s="660" t="s">
        <v>285</v>
      </c>
      <c r="N3" s="660" t="s">
        <v>284</v>
      </c>
      <c r="O3" s="660" t="s">
        <v>283</v>
      </c>
      <c r="P3" s="660" t="s">
        <v>282</v>
      </c>
      <c r="Q3" s="660" t="s">
        <v>281</v>
      </c>
      <c r="R3" s="660" t="s">
        <v>280</v>
      </c>
      <c r="S3" s="912"/>
      <c r="T3" s="912"/>
      <c r="U3" s="912"/>
    </row>
    <row r="4" spans="1:23">
      <c r="A4" s="584" t="s">
        <v>77</v>
      </c>
      <c r="B4" s="661">
        <v>2852</v>
      </c>
      <c r="C4" s="661">
        <v>247987.1</v>
      </c>
      <c r="D4" s="661">
        <f>VLOOKUP($A$4:$A$30,'Relatórios - SICCAU e IGEO'!$A$3:$G$29,7,)</f>
        <v>2236</v>
      </c>
      <c r="E4" s="662">
        <f>D4/B4*100</f>
        <v>78.401122019635338</v>
      </c>
      <c r="F4" s="663">
        <f>D4/$D$33*100</f>
        <v>0.29493622465804015</v>
      </c>
      <c r="G4" s="664">
        <f>VLOOKUP($A$4:$A$30,JAN!$A$5:$W$31,23,)</f>
        <v>15506.807999999999</v>
      </c>
      <c r="H4" s="664">
        <f>VLOOKUP($A$4:$A$30,FEV!$A$5:$W$31,23,)</f>
        <v>16757.471999999998</v>
      </c>
      <c r="I4" s="664">
        <f>VLOOKUP($A$4:$A$30,MAR!$A$5:$W$31,23,)</f>
        <v>23390.088</v>
      </c>
      <c r="J4" s="665">
        <f>VLOOKUP($A$4:$A$30,ABR!$A$5:$W$31,23,)</f>
        <v>17042.592000000001</v>
      </c>
      <c r="K4" s="665">
        <f>VLOOKUP($A$4:$A$30,MAI!$A$5:$W$31,23,)</f>
        <v>23998.752000000004</v>
      </c>
      <c r="L4" s="665">
        <f>VLOOKUP($A$4:$A$30,JUN!$A$5:$W$31,23,)</f>
        <v>28868.064000000002</v>
      </c>
      <c r="M4" s="654">
        <f>VLOOKUP($A$4:$A$30,JUL!$A$5:$W$31,23,)</f>
        <v>25216.080000000002</v>
      </c>
      <c r="N4" s="654">
        <f>VLOOKUP($A$4:$A$30,AGO!$A$5:$W$31,23,)</f>
        <v>24520.464000000004</v>
      </c>
      <c r="O4" s="654">
        <f>VLOOKUP($A$4:$A$30,SET!$A$5:$W$31,23,)</f>
        <v>23911.8</v>
      </c>
      <c r="P4" s="654">
        <f>VLOOKUP($A$4:$A$30,OUT!$A$5:$W$31,23,)</f>
        <v>0</v>
      </c>
      <c r="Q4" s="654">
        <f>VLOOKUP($A$4:$A$30,NOV!$A$5:$W$31,23,)</f>
        <v>0</v>
      </c>
      <c r="R4" s="654">
        <f>VLOOKUP($A$4:$A$30,DEZ!$A$5:$W$31,23,)</f>
        <v>0</v>
      </c>
      <c r="S4" s="666">
        <f>SUM(G4:R4)</f>
        <v>199212.12000000002</v>
      </c>
      <c r="T4" s="667">
        <f t="shared" ref="T4:T33" si="0">S4/C4*100</f>
        <v>80.331646283213928</v>
      </c>
      <c r="U4" s="668">
        <f t="shared" ref="U4:U33" si="1">S4/$S$33*100</f>
        <v>0.2395415066065113</v>
      </c>
      <c r="V4" s="669">
        <f>S4/(C4)</f>
        <v>0.80331646283213931</v>
      </c>
      <c r="W4" s="670">
        <f>'Comparativo YoY'!GF36</f>
        <v>16.373480134185442</v>
      </c>
    </row>
    <row r="5" spans="1:23">
      <c r="A5" s="584" t="s">
        <v>78</v>
      </c>
      <c r="B5" s="661">
        <v>7722</v>
      </c>
      <c r="C5" s="661">
        <v>671443.34000000008</v>
      </c>
      <c r="D5" s="661">
        <f>VLOOKUP($A$4:$A$30,'Relatórios - SICCAU e IGEO'!$A$3:$G$29,7,)</f>
        <v>6861</v>
      </c>
      <c r="E5" s="662">
        <f t="shared" ref="E5:E31" si="2">D5/B5*100</f>
        <v>88.850038850038842</v>
      </c>
      <c r="F5" s="663">
        <f t="shared" ref="F5:F30" si="3">D5/$D$33*100</f>
        <v>0.90498990938229595</v>
      </c>
      <c r="G5" s="664">
        <f>VLOOKUP($A$4:$A$30,JAN!$A$5:$W$31,23,)</f>
        <v>53341.103999999999</v>
      </c>
      <c r="H5" s="664">
        <f>VLOOKUP($A$4:$A$30,FEV!$A$5:$W$31,23,)</f>
        <v>67188.12000000001</v>
      </c>
      <c r="I5" s="664">
        <f>VLOOKUP($A$4:$A$30,MAR!$A$5:$W$31,23,)</f>
        <v>75822.144</v>
      </c>
      <c r="J5" s="665">
        <f>VLOOKUP($A$4:$A$30,ABR!$A$5:$W$31,23,)</f>
        <v>74430.911999999997</v>
      </c>
      <c r="K5" s="665">
        <f>VLOOKUP($A$4:$A$30,MAI!$A$5:$W$31,23,)</f>
        <v>71213.687999999995</v>
      </c>
      <c r="L5" s="665">
        <f>VLOOKUP($A$4:$A$30,JUN!$A$5:$W$31,23,)</f>
        <v>55301.472000000002</v>
      </c>
      <c r="M5" s="654">
        <f>VLOOKUP($A$4:$A$30,JUL!$A$5:$W$31,23,)</f>
        <v>57040.512000000002</v>
      </c>
      <c r="N5" s="654">
        <f>VLOOKUP($A$4:$A$30,AGO!$A$5:$W$31,23,)</f>
        <v>76169.952000000005</v>
      </c>
      <c r="O5" s="654">
        <f>VLOOKUP($A$4:$A$30,SET!$A$5:$W$31,23,)</f>
        <v>75387.384000000005</v>
      </c>
      <c r="P5" s="654">
        <f>VLOOKUP($A$4:$A$30,OUT!$A$5:$W$31,23,)</f>
        <v>0</v>
      </c>
      <c r="Q5" s="654">
        <f>VLOOKUP($A$4:$A$30,NOV!$A$5:$W$31,23,)</f>
        <v>0</v>
      </c>
      <c r="R5" s="654">
        <f>VLOOKUP($A$4:$A$30,DEZ!$A$5:$W$31,23,)</f>
        <v>0</v>
      </c>
      <c r="S5" s="666">
        <f t="shared" ref="S5:S33" si="4">SUM(G5:R5)</f>
        <v>605895.28799999994</v>
      </c>
      <c r="T5" s="667">
        <f t="shared" si="0"/>
        <v>90.237738898415444</v>
      </c>
      <c r="U5" s="668">
        <f t="shared" si="1"/>
        <v>0.72855542189554545</v>
      </c>
      <c r="V5" s="669">
        <f t="shared" ref="V5:V33" si="5">S5/(C5)</f>
        <v>0.90237738898415443</v>
      </c>
      <c r="W5" s="670">
        <f>'Comparativo YoY'!GF37</f>
        <v>40.92782331169488</v>
      </c>
    </row>
    <row r="6" spans="1:23">
      <c r="A6" s="584" t="s">
        <v>80</v>
      </c>
      <c r="B6" s="661">
        <v>7792</v>
      </c>
      <c r="C6" s="661">
        <v>677529.99</v>
      </c>
      <c r="D6" s="661">
        <f>VLOOKUP($A$4:$A$30,'Relatórios - SICCAU e IGEO'!$A$3:$G$29,7,)</f>
        <v>6159</v>
      </c>
      <c r="E6" s="662">
        <f t="shared" si="2"/>
        <v>79.042607802874741</v>
      </c>
      <c r="F6" s="663">
        <f t="shared" si="3"/>
        <v>0.81239365280360887</v>
      </c>
      <c r="G6" s="664">
        <f>VLOOKUP($A$4:$A$30,JAN!$A$5:$W$31,23,)</f>
        <v>42826.44</v>
      </c>
      <c r="H6" s="664">
        <f>VLOOKUP($A$4:$A$30,FEV!$A$5:$W$31,23,)</f>
        <v>54171.096000000005</v>
      </c>
      <c r="I6" s="664">
        <f>VLOOKUP($A$4:$A$30,MAR!$A$5:$W$31,23,)</f>
        <v>66605.232000000004</v>
      </c>
      <c r="J6" s="665">
        <f>VLOOKUP($A$4:$A$30,ABR!$A$5:$W$31,23,)</f>
        <v>57736.127999999997</v>
      </c>
      <c r="K6" s="665">
        <f>VLOOKUP($A$4:$A$30,MAI!$A$5:$W$31,23,)</f>
        <v>65214</v>
      </c>
      <c r="L6" s="665">
        <f>VLOOKUP($A$4:$A$30,JUN!$A$5:$W$31,23,)</f>
        <v>67474.752000000008</v>
      </c>
      <c r="M6" s="654">
        <f>VLOOKUP($A$4:$A$30,JUL!$A$5:$W$31,23,)</f>
        <v>59909.928000000007</v>
      </c>
      <c r="N6" s="654">
        <f>VLOOKUP($A$4:$A$30,AGO!$A$5:$W$31,23,)</f>
        <v>72778.824000000008</v>
      </c>
      <c r="O6" s="654">
        <f>VLOOKUP($A$4:$A$30,SET!$A$5:$W$31,23,)</f>
        <v>57562.224000000002</v>
      </c>
      <c r="P6" s="654">
        <f>VLOOKUP($A$4:$A$30,OUT!$A$5:$W$31,23,)</f>
        <v>0</v>
      </c>
      <c r="Q6" s="654">
        <f>VLOOKUP($A$4:$A$30,NOV!$A$5:$W$31,23,)</f>
        <v>0</v>
      </c>
      <c r="R6" s="654">
        <f>VLOOKUP($A$4:$A$30,DEZ!$A$5:$W$31,23,)</f>
        <v>0</v>
      </c>
      <c r="S6" s="666">
        <f t="shared" si="4"/>
        <v>544278.62400000007</v>
      </c>
      <c r="T6" s="667">
        <f t="shared" si="0"/>
        <v>80.332772280677943</v>
      </c>
      <c r="U6" s="668">
        <f t="shared" si="1"/>
        <v>0.65446480669288043</v>
      </c>
      <c r="V6" s="669">
        <f t="shared" si="5"/>
        <v>0.80332772280677944</v>
      </c>
      <c r="W6" s="670">
        <f>'Comparativo YoY'!GF38</f>
        <v>27.698816537868339</v>
      </c>
    </row>
    <row r="7" spans="1:23">
      <c r="A7" s="584" t="s">
        <v>79</v>
      </c>
      <c r="B7" s="661">
        <v>3587</v>
      </c>
      <c r="C7" s="661">
        <v>311896.82</v>
      </c>
      <c r="D7" s="661">
        <f>VLOOKUP($A$4:$A$30,'Relatórios - SICCAU e IGEO'!$A$3:$G$29,7,)</f>
        <v>3083</v>
      </c>
      <c r="E7" s="662">
        <f t="shared" si="2"/>
        <v>85.949261221076114</v>
      </c>
      <c r="F7" s="663">
        <f t="shared" si="3"/>
        <v>0.40665848864970389</v>
      </c>
      <c r="G7" s="664">
        <f>VLOOKUP($A$4:$A$30,JAN!$A$5:$W$31,23,)</f>
        <v>23195.016</v>
      </c>
      <c r="H7" s="664">
        <f>VLOOKUP($A$4:$A$30,FEV!$A$5:$W$31,23,)</f>
        <v>20607.624</v>
      </c>
      <c r="I7" s="664">
        <f>VLOOKUP($A$4:$A$30,MAR!$A$5:$W$31,23,)</f>
        <v>33737.375999999997</v>
      </c>
      <c r="J7" s="665">
        <f>VLOOKUP($A$4:$A$30,ABR!$A$5:$W$31,23,)</f>
        <v>26930.856000000003</v>
      </c>
      <c r="K7" s="665">
        <f>VLOOKUP($A$4:$A$30,MAI!$A$5:$W$31,23,)</f>
        <v>31389.672000000002</v>
      </c>
      <c r="L7" s="665">
        <f>VLOOKUP($A$4:$A$30,JUN!$A$5:$W$31,23,)</f>
        <v>38154.536</v>
      </c>
      <c r="M7" s="654">
        <f>VLOOKUP($A$4:$A$30,JUL!$A$5:$W$31,23,)</f>
        <v>32780.904000000002</v>
      </c>
      <c r="N7" s="654">
        <f>VLOOKUP($A$4:$A$30,AGO!$A$5:$W$31,23,)</f>
        <v>35893.784</v>
      </c>
      <c r="O7" s="654">
        <f>VLOOKUP($A$4:$A$30,SET!$A$5:$W$31,23,)</f>
        <v>37998.023999999998</v>
      </c>
      <c r="P7" s="654">
        <f>VLOOKUP($A$4:$A$30,OUT!$A$5:$W$31,23,)</f>
        <v>0</v>
      </c>
      <c r="Q7" s="654">
        <f>VLOOKUP($A$4:$A$30,NOV!$A$5:$W$31,23,)</f>
        <v>0</v>
      </c>
      <c r="R7" s="654">
        <f>VLOOKUP($A$4:$A$30,DEZ!$A$5:$W$31,23,)</f>
        <v>0</v>
      </c>
      <c r="S7" s="666">
        <f t="shared" si="4"/>
        <v>280687.79199999996</v>
      </c>
      <c r="T7" s="667">
        <f t="shared" si="0"/>
        <v>89.9937973077122</v>
      </c>
      <c r="U7" s="668">
        <f t="shared" si="1"/>
        <v>0.33751147561571582</v>
      </c>
      <c r="V7" s="669">
        <f t="shared" si="5"/>
        <v>0.89993797307712198</v>
      </c>
      <c r="W7" s="670">
        <f>'Comparativo YoY'!GF39</f>
        <v>25.592882861114902</v>
      </c>
    </row>
    <row r="8" spans="1:23">
      <c r="A8" s="584" t="s">
        <v>81</v>
      </c>
      <c r="B8" s="661">
        <v>18732</v>
      </c>
      <c r="C8" s="661">
        <v>1628784.86</v>
      </c>
      <c r="D8" s="661">
        <f>VLOOKUP($A$4:$A$30,'Relatórios - SICCAU e IGEO'!$A$3:$G$29,7,)</f>
        <v>20099</v>
      </c>
      <c r="E8" s="662">
        <f t="shared" si="2"/>
        <v>107.29767243220158</v>
      </c>
      <c r="F8" s="663">
        <f t="shared" si="3"/>
        <v>2.6511284344373656</v>
      </c>
      <c r="G8" s="664">
        <f>VLOOKUP($A$4:$A$30,JAN!$A$5:$W$31,23,)</f>
        <v>140790.07200000001</v>
      </c>
      <c r="H8" s="664">
        <f>VLOOKUP($A$4:$A$30,FEV!$A$5:$W$31,23,)</f>
        <v>185468.61600000001</v>
      </c>
      <c r="I8" s="664">
        <f>VLOOKUP($A$4:$A$30,MAR!$A$5:$W$31,23,)</f>
        <v>223205.78400000001</v>
      </c>
      <c r="J8" s="665">
        <f>VLOOKUP($A$4:$A$30,ABR!$A$5:$W$31,23,)</f>
        <v>179990.64</v>
      </c>
      <c r="K8" s="665">
        <f>VLOOKUP($A$4:$A$30,MAI!$A$5:$W$31,23,)</f>
        <v>243639.50400000002</v>
      </c>
      <c r="L8" s="665">
        <f>VLOOKUP($A$4:$A$30,JUN!$A$5:$W$31,23,)</f>
        <v>179468.92800000001</v>
      </c>
      <c r="M8" s="654">
        <f>VLOOKUP($A$4:$A$30,JUL!$A$5:$W$31,23,)</f>
        <v>194859.432</v>
      </c>
      <c r="N8" s="654">
        <f>VLOOKUP($A$4:$A$30,AGO!$A$5:$W$31,23,)</f>
        <v>233292.21600000001</v>
      </c>
      <c r="O8" s="654">
        <f>VLOOKUP($A$4:$A$30,SET!$A$5:$W$31,23,)</f>
        <v>195728.95199999999</v>
      </c>
      <c r="P8" s="654">
        <f>VLOOKUP($A$4:$A$30,OUT!$A$5:$W$31,23,)</f>
        <v>0</v>
      </c>
      <c r="Q8" s="654">
        <f>VLOOKUP($A$4:$A$30,NOV!$A$5:$W$31,23,)</f>
        <v>0</v>
      </c>
      <c r="R8" s="654">
        <f>VLOOKUP($A$4:$A$30,DEZ!$A$5:$W$31,23,)</f>
        <v>0</v>
      </c>
      <c r="S8" s="666">
        <f t="shared" si="4"/>
        <v>1776444.1440000003</v>
      </c>
      <c r="T8" s="667">
        <f t="shared" si="0"/>
        <v>109.06561005239209</v>
      </c>
      <c r="U8" s="668">
        <f t="shared" si="1"/>
        <v>2.1360753886664847</v>
      </c>
      <c r="V8" s="669">
        <f t="shared" si="5"/>
        <v>1.0906561005239208</v>
      </c>
      <c r="W8" s="670">
        <f>'Comparativo YoY'!GF40</f>
        <v>44.654072180614861</v>
      </c>
    </row>
    <row r="9" spans="1:23">
      <c r="A9" s="584" t="s">
        <v>82</v>
      </c>
      <c r="B9" s="661">
        <v>12245</v>
      </c>
      <c r="C9" s="661">
        <v>1064727.24</v>
      </c>
      <c r="D9" s="661">
        <f>VLOOKUP($A$4:$A$30,'Relatórios - SICCAU e IGEO'!$A$3:$G$29,7,)</f>
        <v>12660</v>
      </c>
      <c r="E9" s="662">
        <f t="shared" si="2"/>
        <v>103.38913842384648</v>
      </c>
      <c r="F9" s="663">
        <f t="shared" si="3"/>
        <v>1.6698983024019627</v>
      </c>
      <c r="G9" s="664">
        <f>VLOOKUP($A$4:$A$30,JAN!$A$5:$W$31,23,)</f>
        <v>92425.512000000002</v>
      </c>
      <c r="H9" s="664">
        <f>VLOOKUP($A$4:$A$30,FEV!$A$5:$W$31,23,)</f>
        <v>109385.61599999999</v>
      </c>
      <c r="I9" s="664">
        <f>VLOOKUP($A$4:$A$30,MAR!$A$5:$W$31,23,)</f>
        <v>118950.336</v>
      </c>
      <c r="J9" s="665">
        <f>VLOOKUP($A$4:$A$30,ABR!$A$5:$W$31,23,)</f>
        <v>101472.98400000001</v>
      </c>
      <c r="K9" s="665">
        <f>VLOOKUP($A$4:$A$30,MAI!$A$5:$W$31,23,)</f>
        <v>138253.68</v>
      </c>
      <c r="L9" s="665">
        <f>VLOOKUP($A$4:$A$30,JUN!$A$5:$W$31,23,)</f>
        <v>139036.24799999999</v>
      </c>
      <c r="M9" s="654">
        <f>VLOOKUP($A$4:$A$30,JUL!$A$5:$W$31,23,)</f>
        <v>134253.88800000001</v>
      </c>
      <c r="N9" s="654">
        <f>VLOOKUP($A$4:$A$30,AGO!$A$5:$W$31,23,)</f>
        <v>146340.21600000001</v>
      </c>
      <c r="O9" s="654">
        <f>VLOOKUP($A$4:$A$30,SET!$A$5:$W$31,23,)</f>
        <v>137471.11199999999</v>
      </c>
      <c r="P9" s="654">
        <f>VLOOKUP($A$4:$A$30,OUT!$A$5:$W$31,23,)</f>
        <v>0</v>
      </c>
      <c r="Q9" s="654">
        <f>VLOOKUP($A$4:$A$30,NOV!$A$5:$W$31,23,)</f>
        <v>0</v>
      </c>
      <c r="R9" s="654">
        <f>VLOOKUP($A$4:$A$30,DEZ!$A$5:$W$31,23,)</f>
        <v>0</v>
      </c>
      <c r="S9" s="666">
        <f t="shared" si="4"/>
        <v>1117589.5920000002</v>
      </c>
      <c r="T9" s="667">
        <f t="shared" si="0"/>
        <v>104.96487269359243</v>
      </c>
      <c r="U9" s="668">
        <f t="shared" si="1"/>
        <v>1.3438393940862448</v>
      </c>
      <c r="V9" s="669">
        <f t="shared" si="5"/>
        <v>1.0496487269359243</v>
      </c>
      <c r="W9" s="670">
        <f>'Comparativo YoY'!GF41</f>
        <v>41.79140631808653</v>
      </c>
    </row>
    <row r="10" spans="1:23">
      <c r="A10" s="584" t="s">
        <v>83</v>
      </c>
      <c r="B10" s="661">
        <v>18872</v>
      </c>
      <c r="C10" s="661">
        <v>1640958.15</v>
      </c>
      <c r="D10" s="661">
        <f>VLOOKUP($A$4:$A$30,'Relatórios - SICCAU e IGEO'!$A$3:$G$29,7,)</f>
        <v>13599</v>
      </c>
      <c r="E10" s="662">
        <f t="shared" si="2"/>
        <v>72.059135226791014</v>
      </c>
      <c r="F10" s="663">
        <f t="shared" si="3"/>
        <v>1.7937556883384116</v>
      </c>
      <c r="G10" s="664">
        <f>VLOOKUP($A$4:$A$30,JAN!$A$5:$W$31,23,)</f>
        <v>109392.84</v>
      </c>
      <c r="H10" s="664">
        <f>VLOOKUP($A$4:$A$30,FEV!$A$5:$W$31,23,)</f>
        <v>123037.08</v>
      </c>
      <c r="I10" s="664">
        <f>VLOOKUP($A$4:$A$30,MAR!$A$5:$W$31,23,)</f>
        <v>145122.88800000001</v>
      </c>
      <c r="J10" s="665">
        <f>VLOOKUP($A$4:$A$30,ABR!$A$5:$W$31,23,)</f>
        <v>129471.52800000001</v>
      </c>
      <c r="K10" s="665">
        <f>VLOOKUP($A$4:$A$30,MAI!$A$5:$W$31,23,)</f>
        <v>161035.10399999999</v>
      </c>
      <c r="L10" s="665">
        <f>VLOOKUP($A$4:$A$30,JUN!$A$5:$W$31,23,)</f>
        <v>135645.12</v>
      </c>
      <c r="M10" s="654">
        <f>VLOOKUP($A$4:$A$30,JUL!$A$5:$W$31,23,)</f>
        <v>133558.272</v>
      </c>
      <c r="N10" s="654">
        <f>VLOOKUP($A$4:$A$30,AGO!$A$5:$W$31,23,)</f>
        <v>140949.19200000001</v>
      </c>
      <c r="O10" s="654">
        <f>VLOOKUP($A$4:$A$30,SET!$A$5:$W$31,23,)</f>
        <v>129558.48000000001</v>
      </c>
      <c r="P10" s="654">
        <f>VLOOKUP($A$4:$A$30,OUT!$A$5:$W$31,23,)</f>
        <v>0</v>
      </c>
      <c r="Q10" s="654">
        <f>VLOOKUP($A$4:$A$30,NOV!$A$5:$W$31,23,)</f>
        <v>0</v>
      </c>
      <c r="R10" s="654">
        <f>VLOOKUP($A$4:$A$30,DEZ!$A$5:$W$31,23,)</f>
        <v>0</v>
      </c>
      <c r="S10" s="666">
        <f t="shared" si="4"/>
        <v>1207770.504</v>
      </c>
      <c r="T10" s="667">
        <f t="shared" si="0"/>
        <v>73.601542123423442</v>
      </c>
      <c r="U10" s="668">
        <f t="shared" si="1"/>
        <v>1.4522769305555578</v>
      </c>
      <c r="V10" s="669">
        <f t="shared" si="5"/>
        <v>0.73601542123423447</v>
      </c>
      <c r="W10" s="670">
        <f>'Comparativo YoY'!GF42</f>
        <v>21.712589560446176</v>
      </c>
    </row>
    <row r="11" spans="1:23">
      <c r="A11" s="584" t="s">
        <v>84</v>
      </c>
      <c r="B11" s="661">
        <v>17680</v>
      </c>
      <c r="C11" s="661">
        <v>1537311.36</v>
      </c>
      <c r="D11" s="661">
        <f>VLOOKUP($A$4:$A$30,'Relatórios - SICCAU e IGEO'!$A$3:$G$29,7,)</f>
        <v>13420</v>
      </c>
      <c r="E11" s="662">
        <f t="shared" si="2"/>
        <v>75.904977375565608</v>
      </c>
      <c r="F11" s="663">
        <f t="shared" si="3"/>
        <v>1.7701449619458405</v>
      </c>
      <c r="G11" s="664">
        <f>VLOOKUP($A$4:$A$30,JAN!$A$5:$W$31,23,)</f>
        <v>95610.432000000001</v>
      </c>
      <c r="H11" s="664">
        <f>VLOOKUP($A$4:$A$30,FEV!$A$5:$W$31,23,)</f>
        <v>113211.504</v>
      </c>
      <c r="I11" s="664">
        <f>VLOOKUP($A$4:$A$30,MAR!$A$5:$W$31,23,)</f>
        <v>146079.35999999999</v>
      </c>
      <c r="J11" s="665">
        <f>VLOOKUP($A$4:$A$30,ABR!$A$5:$W$31,23,)</f>
        <v>119124.24000000002</v>
      </c>
      <c r="K11" s="665">
        <f>VLOOKUP($A$4:$A$30,MAI!$A$5:$W$31,23,)</f>
        <v>143122.99200000003</v>
      </c>
      <c r="L11" s="665">
        <f>VLOOKUP($A$4:$A$30,JUN!$A$5:$W$31,23,)</f>
        <v>137210.25599999999</v>
      </c>
      <c r="M11" s="654">
        <f>VLOOKUP($A$4:$A$30,JUL!$A$5:$W$31,23,)</f>
        <v>142862.136</v>
      </c>
      <c r="N11" s="654">
        <f>VLOOKUP($A$4:$A$30,AGO!$A$5:$W$31,23,)</f>
        <v>146427.16800000001</v>
      </c>
      <c r="O11" s="654">
        <f>VLOOKUP($A$4:$A$30,SET!$A$5:$W$31,23,)</f>
        <v>139818.81599999999</v>
      </c>
      <c r="P11" s="654">
        <f>VLOOKUP($A$4:$A$30,OUT!$A$5:$W$31,23,)</f>
        <v>0</v>
      </c>
      <c r="Q11" s="654">
        <f>VLOOKUP($A$4:$A$30,NOV!$A$5:$W$31,23,)</f>
        <v>0</v>
      </c>
      <c r="R11" s="654">
        <f>VLOOKUP($A$4:$A$30,DEZ!$A$5:$W$31,23,)</f>
        <v>0</v>
      </c>
      <c r="S11" s="666">
        <f t="shared" si="4"/>
        <v>1183466.9040000001</v>
      </c>
      <c r="T11" s="667">
        <f t="shared" si="0"/>
        <v>76.982902409567828</v>
      </c>
      <c r="U11" s="668">
        <f t="shared" si="1"/>
        <v>1.4230532017986832</v>
      </c>
      <c r="V11" s="669">
        <f t="shared" si="5"/>
        <v>0.76982902409567833</v>
      </c>
      <c r="W11" s="670">
        <f>'Comparativo YoY'!GF43</f>
        <v>30.904654653913866</v>
      </c>
    </row>
    <row r="12" spans="1:23">
      <c r="A12" s="584" t="s">
        <v>85</v>
      </c>
      <c r="B12" s="661">
        <v>33171</v>
      </c>
      <c r="C12" s="661">
        <v>2884284.79</v>
      </c>
      <c r="D12" s="661">
        <f>VLOOKUP($A$4:$A$30,'Relatórios - SICCAU e IGEO'!$A$3:$G$29,7,)</f>
        <v>25310</v>
      </c>
      <c r="E12" s="662">
        <f t="shared" si="2"/>
        <v>76.301588737149913</v>
      </c>
      <c r="F12" s="663">
        <f t="shared" si="3"/>
        <v>3.3384775698099269</v>
      </c>
      <c r="G12" s="664">
        <f>VLOOKUP($A$4:$A$30,JAN!$A$5:$W$31,23,)</f>
        <v>169030.92</v>
      </c>
      <c r="H12" s="664">
        <f>VLOOKUP($A$4:$A$30,FEV!$A$5:$W$31,23,)</f>
        <v>212423.736</v>
      </c>
      <c r="I12" s="664">
        <f>VLOOKUP($A$4:$A$30,MAR!$A$5:$W$31,23,)</f>
        <v>301027.82400000002</v>
      </c>
      <c r="J12" s="665">
        <f>VLOOKUP($A$4:$A$30,ABR!$A$5:$W$31,23,)</f>
        <v>231379.272</v>
      </c>
      <c r="K12" s="665">
        <f>VLOOKUP($A$4:$A$30,MAI!$A$5:$W$31,23,)</f>
        <v>275985.64800000004</v>
      </c>
      <c r="L12" s="665">
        <f>VLOOKUP($A$4:$A$30,JUN!$A$5:$W$31,23,)</f>
        <v>259725.62400000004</v>
      </c>
      <c r="M12" s="654">
        <f>VLOOKUP($A$4:$A$30,JUL!$A$5:$W$31,23,)</f>
        <v>241900.46400000001</v>
      </c>
      <c r="N12" s="654">
        <f>VLOOKUP($A$4:$A$30,AGO!$A$5:$W$31,23,)</f>
        <v>278333.35200000007</v>
      </c>
      <c r="O12" s="654">
        <f>VLOOKUP($A$4:$A$30,SET!$A$5:$W$31,23,)</f>
        <v>245291.592</v>
      </c>
      <c r="P12" s="654">
        <f>VLOOKUP($A$4:$A$30,OUT!$A$5:$W$31,23,)</f>
        <v>0</v>
      </c>
      <c r="Q12" s="654">
        <f>VLOOKUP($A$4:$A$30,NOV!$A$5:$W$31,23,)</f>
        <v>0</v>
      </c>
      <c r="R12" s="654">
        <f>VLOOKUP($A$4:$A$30,DEZ!$A$5:$W$31,23,)</f>
        <v>0</v>
      </c>
      <c r="S12" s="666">
        <f t="shared" si="4"/>
        <v>2215098.432</v>
      </c>
      <c r="T12" s="667">
        <f t="shared" si="0"/>
        <v>76.798880598749747</v>
      </c>
      <c r="U12" s="668">
        <f t="shared" si="1"/>
        <v>2.6635327995254547</v>
      </c>
      <c r="V12" s="669">
        <f t="shared" si="5"/>
        <v>0.76798880598749752</v>
      </c>
      <c r="W12" s="670">
        <f>'Comparativo YoY'!GF44</f>
        <v>19.034911121231147</v>
      </c>
    </row>
    <row r="13" spans="1:23">
      <c r="A13" s="584" t="s">
        <v>86</v>
      </c>
      <c r="B13" s="661">
        <v>5633</v>
      </c>
      <c r="C13" s="661">
        <v>489800.62</v>
      </c>
      <c r="D13" s="661">
        <f>VLOOKUP($A$4:$A$30,'Relatórios - SICCAU e IGEO'!$A$3:$G$29,7,)</f>
        <v>5965</v>
      </c>
      <c r="E13" s="662">
        <f t="shared" si="2"/>
        <v>105.8938398721818</v>
      </c>
      <c r="F13" s="663">
        <f t="shared" si="3"/>
        <v>0.7868043739200401</v>
      </c>
      <c r="G13" s="664">
        <f>VLOOKUP($A$4:$A$30,JAN!$A$5:$W$31,23,)</f>
        <v>43574.640000000007</v>
      </c>
      <c r="H13" s="664">
        <f>VLOOKUP($A$4:$A$30,FEV!$A$5:$W$31,23,)</f>
        <v>58170.887999999999</v>
      </c>
      <c r="I13" s="664">
        <f>VLOOKUP($A$4:$A$30,MAR!$A$5:$W$31,23,)</f>
        <v>62866.296000000002</v>
      </c>
      <c r="J13" s="665">
        <f>VLOOKUP($A$4:$A$30,ABR!$A$5:$W$31,23,)</f>
        <v>54605.856</v>
      </c>
      <c r="K13" s="665">
        <f>VLOOKUP($A$4:$A$30,MAI!$A$5:$W$31,23,)</f>
        <v>59301.264000000003</v>
      </c>
      <c r="L13" s="665">
        <f>VLOOKUP($A$4:$A$30,JUN!$A$5:$W$31,23,)</f>
        <v>59822.975999999995</v>
      </c>
      <c r="M13" s="654">
        <f>VLOOKUP($A$4:$A$30,JUL!$A$5:$W$31,23,)</f>
        <v>61562.016000000003</v>
      </c>
      <c r="N13" s="654">
        <f>VLOOKUP($A$4:$A$30,AGO!$A$5:$W$31,23,)</f>
        <v>69213.792000000001</v>
      </c>
      <c r="O13" s="654">
        <f>VLOOKUP($A$4:$A$30,SET!$A$5:$W$31,23,)</f>
        <v>60692.496000000006</v>
      </c>
      <c r="P13" s="654">
        <f>VLOOKUP($A$4:$A$30,OUT!$A$5:$W$31,23,)</f>
        <v>0</v>
      </c>
      <c r="Q13" s="654">
        <f>VLOOKUP($A$4:$A$30,NOV!$A$5:$W$31,23,)</f>
        <v>0</v>
      </c>
      <c r="R13" s="654">
        <f>VLOOKUP($A$4:$A$30,DEZ!$A$5:$W$31,23,)</f>
        <v>0</v>
      </c>
      <c r="S13" s="666">
        <f t="shared" si="4"/>
        <v>529810.22400000005</v>
      </c>
      <c r="T13" s="667">
        <f t="shared" si="0"/>
        <v>108.16854907206938</v>
      </c>
      <c r="U13" s="668">
        <f t="shared" si="1"/>
        <v>0.63706735951855353</v>
      </c>
      <c r="V13" s="669">
        <f t="shared" si="5"/>
        <v>1.0816854907206939</v>
      </c>
      <c r="W13" s="670">
        <f>'Comparativo YoY'!GF45</f>
        <v>57.572919158535427</v>
      </c>
    </row>
    <row r="14" spans="1:23">
      <c r="A14" s="584" t="s">
        <v>89</v>
      </c>
      <c r="B14" s="661">
        <v>61690</v>
      </c>
      <c r="C14" s="661">
        <v>5364068.88</v>
      </c>
      <c r="D14" s="661">
        <f>VLOOKUP($A$4:$A$30,'Relatórios - SICCAU e IGEO'!$A$3:$G$29,7,)</f>
        <v>47515</v>
      </c>
      <c r="E14" s="662">
        <f t="shared" si="2"/>
        <v>77.02220781325984</v>
      </c>
      <c r="F14" s="663">
        <f t="shared" si="3"/>
        <v>6.2673947739833533</v>
      </c>
      <c r="G14" s="664">
        <f>VLOOKUP($A$4:$A$30,JAN!$A$5:$W$31,23,)</f>
        <v>340095.408</v>
      </c>
      <c r="H14" s="664">
        <f>VLOOKUP($A$4:$A$30,FEV!$A$5:$W$31,23,)</f>
        <v>389284.10399999999</v>
      </c>
      <c r="I14" s="664">
        <f>VLOOKUP($A$4:$A$30,MAR!$A$5:$W$31,23,)</f>
        <v>501600.10400000005</v>
      </c>
      <c r="J14" s="665">
        <f>VLOOKUP($A$4:$A$30,ABR!$A$5:$W$31,23,)</f>
        <v>449976.6</v>
      </c>
      <c r="K14" s="665">
        <f>VLOOKUP($A$4:$A$30,MAI!$A$5:$W$31,23,)</f>
        <v>521190.288</v>
      </c>
      <c r="L14" s="665">
        <f>VLOOKUP($A$4:$A$30,JUN!$A$5:$W$31,23,)</f>
        <v>490061.47200000001</v>
      </c>
      <c r="M14" s="654">
        <f>VLOOKUP($A$4:$A$30,JUL!$A$5:$W$31,23,)</f>
        <v>482061.88800000004</v>
      </c>
      <c r="N14" s="654">
        <f>VLOOKUP($A$4:$A$30,AGO!$A$5:$W$31,23,)</f>
        <v>518668.68000000005</v>
      </c>
      <c r="O14" s="654">
        <f>VLOOKUP($A$4:$A$30,SET!$A$5:$W$31,23,)</f>
        <v>496669.82400000002</v>
      </c>
      <c r="P14" s="654">
        <f>VLOOKUP($A$4:$A$30,OUT!$A$5:$W$31,23,)</f>
        <v>0</v>
      </c>
      <c r="Q14" s="654">
        <f>VLOOKUP($A$4:$A$30,NOV!$A$5:$W$31,23,)</f>
        <v>0</v>
      </c>
      <c r="R14" s="654">
        <f>VLOOKUP($A$4:$A$30,DEZ!$A$5:$W$31,23,)</f>
        <v>0</v>
      </c>
      <c r="S14" s="666">
        <f t="shared" si="4"/>
        <v>4189608.3680000002</v>
      </c>
      <c r="T14" s="667">
        <f t="shared" si="0"/>
        <v>78.105044169380619</v>
      </c>
      <c r="U14" s="668">
        <f t="shared" si="1"/>
        <v>5.0377712990653727</v>
      </c>
      <c r="V14" s="669">
        <f t="shared" si="5"/>
        <v>0.78105044169380622</v>
      </c>
      <c r="W14" s="670">
        <f>'Comparativo YoY'!GF46</f>
        <v>26.543294083483033</v>
      </c>
    </row>
    <row r="15" spans="1:23">
      <c r="A15" s="584" t="s">
        <v>88</v>
      </c>
      <c r="B15" s="661">
        <v>23789</v>
      </c>
      <c r="C15" s="661">
        <v>2068501.13</v>
      </c>
      <c r="D15" s="661">
        <f>VLOOKUP($A$4:$A$30,'Relatórios - SICCAU e IGEO'!$A$3:$G$29,7,)</f>
        <v>16284</v>
      </c>
      <c r="E15" s="662">
        <f t="shared" si="2"/>
        <v>68.451805456303333</v>
      </c>
      <c r="F15" s="663">
        <f t="shared" si="3"/>
        <v>2.1479165842269796</v>
      </c>
      <c r="G15" s="664">
        <f>VLOOKUP($A$4:$A$30,JAN!$A$5:$W$31,23,)</f>
        <v>106720.008</v>
      </c>
      <c r="H15" s="664">
        <f>VLOOKUP($A$4:$A$30,FEV!$A$5:$W$31,23,)</f>
        <v>139820.88</v>
      </c>
      <c r="I15" s="664">
        <f>VLOOKUP($A$4:$A$30,MAR!$A$5:$W$31,23,)</f>
        <v>190975.46400000001</v>
      </c>
      <c r="J15" s="665">
        <f>VLOOKUP($A$4:$A$30,ABR!$A$5:$W$31,23,)</f>
        <v>138132.36000000002</v>
      </c>
      <c r="K15" s="665">
        <f>VLOOKUP($A$4:$A$30,MAI!$A$5:$W$31,23,)</f>
        <v>180251.49600000001</v>
      </c>
      <c r="L15" s="665">
        <f>VLOOKUP($A$4:$A$30,JUN!$A$5:$W$31,23,)</f>
        <v>164339.28</v>
      </c>
      <c r="M15" s="654">
        <f>VLOOKUP($A$4:$A$30,JUL!$A$5:$W$31,23,)</f>
        <v>173034.48</v>
      </c>
      <c r="N15" s="654">
        <f>VLOOKUP($A$4:$A$30,AGO!$A$5:$W$31,23,)</f>
        <v>172773.62400000001</v>
      </c>
      <c r="O15" s="654">
        <f>VLOOKUP($A$4:$A$30,SET!$A$5:$W$31,23,)</f>
        <v>159817.77599999998</v>
      </c>
      <c r="P15" s="654">
        <f>VLOOKUP($A$4:$A$30,OUT!$A$5:$W$31,23,)</f>
        <v>0</v>
      </c>
      <c r="Q15" s="654">
        <f>VLOOKUP($A$4:$A$30,NOV!$A$5:$W$31,23,)</f>
        <v>0</v>
      </c>
      <c r="R15" s="654">
        <f>VLOOKUP($A$4:$A$30,DEZ!$A$5:$W$31,23,)</f>
        <v>0</v>
      </c>
      <c r="S15" s="666">
        <f t="shared" si="4"/>
        <v>1425865.3680000002</v>
      </c>
      <c r="T15" s="667">
        <f t="shared" si="0"/>
        <v>68.932298238580131</v>
      </c>
      <c r="U15" s="668">
        <f t="shared" si="1"/>
        <v>1.71452388774723</v>
      </c>
      <c r="V15" s="669">
        <f t="shared" si="5"/>
        <v>0.68932298238580136</v>
      </c>
      <c r="W15" s="670">
        <f>'Comparativo YoY'!GF47</f>
        <v>11.849481575746125</v>
      </c>
    </row>
    <row r="16" spans="1:23">
      <c r="A16" s="584" t="s">
        <v>87</v>
      </c>
      <c r="B16" s="661">
        <v>35676</v>
      </c>
      <c r="C16" s="661">
        <v>3102099.55</v>
      </c>
      <c r="D16" s="661">
        <f>VLOOKUP($A$4:$A$30,'Relatórios - SICCAU e IGEO'!$A$3:$G$29,7,)</f>
        <v>25520</v>
      </c>
      <c r="E16" s="662">
        <f t="shared" si="2"/>
        <v>71.53268303621482</v>
      </c>
      <c r="F16" s="663">
        <f t="shared" si="3"/>
        <v>3.3661773046838936</v>
      </c>
      <c r="G16" s="664">
        <f>VLOOKUP($A$4:$A$30,JAN!$A$5:$W$31,23,)</f>
        <v>143417.88</v>
      </c>
      <c r="H16" s="664">
        <f>VLOOKUP($A$4:$A$30,FEV!$A$5:$W$31,23,)</f>
        <v>210684.69600000003</v>
      </c>
      <c r="I16" s="664">
        <f>VLOOKUP($A$4:$A$30,MAR!$A$5:$W$31,23,)</f>
        <v>278768.11200000002</v>
      </c>
      <c r="J16" s="665">
        <f>VLOOKUP($A$4:$A$30,ABR!$A$5:$W$31,23,)</f>
        <v>237639.81600000005</v>
      </c>
      <c r="K16" s="665">
        <f>VLOOKUP($A$4:$A$30,MAI!$A$5:$W$31,23,)</f>
        <v>279289.82400000002</v>
      </c>
      <c r="L16" s="665">
        <f>VLOOKUP($A$4:$A$30,JUN!$A$5:$W$31,23,)</f>
        <v>284419.99199999997</v>
      </c>
      <c r="M16" s="654">
        <f>VLOOKUP($A$4:$A$30,JUL!$A$5:$W$31,23,)</f>
        <v>260334.288</v>
      </c>
      <c r="N16" s="654">
        <f>VLOOKUP($A$4:$A$30,AGO!$A$5:$W$31,23,)</f>
        <v>275376.984</v>
      </c>
      <c r="O16" s="654">
        <f>VLOOKUP($A$4:$A$30,SET!$A$5:$W$31,23,)</f>
        <v>250421.75999999998</v>
      </c>
      <c r="P16" s="654">
        <f>VLOOKUP($A$4:$A$30,OUT!$A$5:$W$31,23,)</f>
        <v>0</v>
      </c>
      <c r="Q16" s="654">
        <f>VLOOKUP($A$4:$A$30,NOV!$A$5:$W$31,23,)</f>
        <v>0</v>
      </c>
      <c r="R16" s="654">
        <f>VLOOKUP($A$4:$A$30,DEZ!$A$5:$W$31,23,)</f>
        <v>0</v>
      </c>
      <c r="S16" s="666">
        <f t="shared" si="4"/>
        <v>2220353.352</v>
      </c>
      <c r="T16" s="667">
        <f t="shared" si="0"/>
        <v>71.575825218117188</v>
      </c>
      <c r="U16" s="668">
        <f t="shared" si="1"/>
        <v>2.6698515488761299</v>
      </c>
      <c r="V16" s="669">
        <f t="shared" si="5"/>
        <v>0.71575825218117195</v>
      </c>
      <c r="W16" s="670">
        <f>'Comparativo YoY'!GF48</f>
        <v>14.547695244418989</v>
      </c>
    </row>
    <row r="17" spans="1:23">
      <c r="A17" s="584" t="s">
        <v>90</v>
      </c>
      <c r="B17" s="661">
        <v>10675</v>
      </c>
      <c r="C17" s="661">
        <v>928212.6</v>
      </c>
      <c r="D17" s="661">
        <f>VLOOKUP($A$4:$A$30,'Relatórios - SICCAU e IGEO'!$A$3:$G$29,7,)</f>
        <v>9011</v>
      </c>
      <c r="E17" s="662">
        <f t="shared" si="2"/>
        <v>84.412177985948475</v>
      </c>
      <c r="F17" s="663">
        <f t="shared" si="3"/>
        <v>1.1885824330919499</v>
      </c>
      <c r="G17" s="664">
        <f>VLOOKUP($A$4:$A$30,JAN!$A$5:$W$31,23,)</f>
        <v>58368.168000000005</v>
      </c>
      <c r="H17" s="664">
        <f>VLOOKUP($A$4:$A$30,FEV!$A$5:$W$31,23,)</f>
        <v>72208.584000000003</v>
      </c>
      <c r="I17" s="664">
        <f>VLOOKUP($A$4:$A$30,MAR!$A$5:$W$31,23,)</f>
        <v>95746.592000000004</v>
      </c>
      <c r="J17" s="665">
        <f>VLOOKUP($A$4:$A$30,ABR!$A$5:$W$31,23,)</f>
        <v>88586.695999999996</v>
      </c>
      <c r="K17" s="665">
        <f>VLOOKUP($A$4:$A$30,MAI!$A$5:$W$31,23,)</f>
        <v>104081.54400000002</v>
      </c>
      <c r="L17" s="665">
        <f>VLOOKUP($A$4:$A$30,JUN!$A$5:$W$31,23,)</f>
        <v>102750.96</v>
      </c>
      <c r="M17" s="654">
        <f>VLOOKUP($A$4:$A$30,JUL!$A$5:$W$31,23,)</f>
        <v>84604.288</v>
      </c>
      <c r="N17" s="654">
        <f>VLOOKUP($A$4:$A$30,AGO!$A$5:$W$31,23,)</f>
        <v>110168.18399999999</v>
      </c>
      <c r="O17" s="654">
        <f>VLOOKUP($A$4:$A$30,SET!$A$5:$W$31,23,)</f>
        <v>87734.568000000014</v>
      </c>
      <c r="P17" s="654">
        <f>VLOOKUP($A$4:$A$30,OUT!$A$5:$W$31,23,)</f>
        <v>0</v>
      </c>
      <c r="Q17" s="654">
        <f>VLOOKUP($A$4:$A$30,NOV!$A$5:$W$31,23,)</f>
        <v>0</v>
      </c>
      <c r="R17" s="654">
        <f>VLOOKUP($A$4:$A$30,DEZ!$A$5:$W$31,23,)</f>
        <v>0</v>
      </c>
      <c r="S17" s="666">
        <f t="shared" si="4"/>
        <v>804249.58400000003</v>
      </c>
      <c r="T17" s="667">
        <f t="shared" si="0"/>
        <v>86.644975946243349</v>
      </c>
      <c r="U17" s="668">
        <f t="shared" si="1"/>
        <v>0.96706544280046791</v>
      </c>
      <c r="V17" s="669">
        <f t="shared" si="5"/>
        <v>0.86644975946243352</v>
      </c>
      <c r="W17" s="670">
        <f>'Comparativo YoY'!GF49</f>
        <v>48.69292114619779</v>
      </c>
    </row>
    <row r="18" spans="1:23">
      <c r="A18" s="584" t="s">
        <v>91</v>
      </c>
      <c r="B18" s="661">
        <v>10098</v>
      </c>
      <c r="C18" s="661">
        <v>878041.3</v>
      </c>
      <c r="D18" s="661">
        <f>VLOOKUP($A$4:$A$30,'Relatórios - SICCAU e IGEO'!$A$3:$G$29,7,)</f>
        <v>9065</v>
      </c>
      <c r="E18" s="662">
        <f t="shared" si="2"/>
        <v>89.77025153495741</v>
      </c>
      <c r="F18" s="663">
        <f t="shared" si="3"/>
        <v>1.1957052220595412</v>
      </c>
      <c r="G18" s="664">
        <f>VLOOKUP($A$4:$A$30,JAN!$A$5:$W$31,23,)</f>
        <v>71673.888000000006</v>
      </c>
      <c r="H18" s="664">
        <f>VLOOKUP($A$4:$A$30,FEV!$A$5:$W$31,23,)</f>
        <v>77300.327999999994</v>
      </c>
      <c r="I18" s="664">
        <f>VLOOKUP($A$4:$A$30,MAR!$A$5:$W$31,23,)</f>
        <v>103994.592</v>
      </c>
      <c r="J18" s="665">
        <f>VLOOKUP($A$4:$A$30,ABR!$A$5:$W$31,23,)</f>
        <v>81734.880000000019</v>
      </c>
      <c r="K18" s="665">
        <f>VLOOKUP($A$4:$A$30,MAI!$A$5:$W$31,23,)</f>
        <v>99733.944000000003</v>
      </c>
      <c r="L18" s="665">
        <f>VLOOKUP($A$4:$A$30,JUN!$A$5:$W$31,23,)</f>
        <v>89038.848000000013</v>
      </c>
      <c r="M18" s="654">
        <f>VLOOKUP($A$4:$A$30,JUL!$A$5:$W$31,23,)</f>
        <v>80865.36</v>
      </c>
      <c r="N18" s="654">
        <f>VLOOKUP($A$4:$A$30,AGO!$A$5:$W$31,23,)</f>
        <v>96951.48</v>
      </c>
      <c r="O18" s="654">
        <f>VLOOKUP($A$4:$A$30,SET!$A$5:$W$31,23,)</f>
        <v>97386.239999999991</v>
      </c>
      <c r="P18" s="654">
        <f>VLOOKUP($A$4:$A$30,OUT!$A$5:$W$31,23,)</f>
        <v>0</v>
      </c>
      <c r="Q18" s="654">
        <f>VLOOKUP($A$4:$A$30,NOV!$A$5:$W$31,23,)</f>
        <v>0</v>
      </c>
      <c r="R18" s="654">
        <f>VLOOKUP($A$4:$A$30,DEZ!$A$5:$W$31,23,)</f>
        <v>0</v>
      </c>
      <c r="S18" s="666">
        <f t="shared" si="4"/>
        <v>798679.56</v>
      </c>
      <c r="T18" s="667">
        <f t="shared" si="0"/>
        <v>90.961502608134722</v>
      </c>
      <c r="U18" s="668">
        <f t="shared" si="1"/>
        <v>0.9603677983961294</v>
      </c>
      <c r="V18" s="669">
        <f t="shared" si="5"/>
        <v>0.90961502608134726</v>
      </c>
      <c r="W18" s="670">
        <f>'Comparativo YoY'!GF50</f>
        <v>38.721972628295731</v>
      </c>
    </row>
    <row r="19" spans="1:23">
      <c r="A19" s="584" t="s">
        <v>93</v>
      </c>
      <c r="B19" s="661">
        <v>21744</v>
      </c>
      <c r="C19" s="661">
        <v>1890684.29</v>
      </c>
      <c r="D19" s="661">
        <f>VLOOKUP($A$4:$A$30,'Relatórios - SICCAU e IGEO'!$A$3:$G$29,7,)</f>
        <v>15581</v>
      </c>
      <c r="E19" s="662">
        <f t="shared" si="2"/>
        <v>71.656548933039005</v>
      </c>
      <c r="F19" s="663">
        <f t="shared" si="3"/>
        <v>2.0551884241488927</v>
      </c>
      <c r="G19" s="664">
        <f>VLOOKUP($A$4:$A$30,JAN!$A$5:$W$31,23,)</f>
        <v>113825.01600000002</v>
      </c>
      <c r="H19" s="664">
        <f>VLOOKUP($A$4:$A$30,FEV!$A$5:$W$31,23,)</f>
        <v>138253.68000000002</v>
      </c>
      <c r="I19" s="664">
        <f>VLOOKUP($A$4:$A$30,MAR!$A$5:$W$31,23,)</f>
        <v>174425.71200000003</v>
      </c>
      <c r="J19" s="665">
        <f>VLOOKUP($A$4:$A$30,ABR!$A$5:$W$31,23,)</f>
        <v>152079.04800000001</v>
      </c>
      <c r="K19" s="665">
        <f>VLOOKUP($A$4:$A$30,MAI!$A$5:$W$31,23,)</f>
        <v>170078.11199999999</v>
      </c>
      <c r="L19" s="665">
        <f>VLOOKUP($A$4:$A$30,JUN!$A$5:$W$31,23,)</f>
        <v>132080.08799999999</v>
      </c>
      <c r="M19" s="654">
        <f>VLOOKUP($A$4:$A$30,JUL!$A$5:$W$31,23,)</f>
        <v>152252.95199999999</v>
      </c>
      <c r="N19" s="654">
        <f>VLOOKUP($A$4:$A$30,AGO!$A$5:$W$31,23,)</f>
        <v>171121.53600000002</v>
      </c>
      <c r="O19" s="654">
        <f>VLOOKUP($A$4:$A$30,SET!$A$5:$W$31,23,)</f>
        <v>171208.48800000001</v>
      </c>
      <c r="P19" s="654">
        <f>VLOOKUP($A$4:$A$30,OUT!$A$5:$W$31,23,)</f>
        <v>0</v>
      </c>
      <c r="Q19" s="654">
        <f>VLOOKUP($A$4:$A$30,NOV!$A$5:$W$31,23,)</f>
        <v>0</v>
      </c>
      <c r="R19" s="654">
        <f>VLOOKUP($A$4:$A$30,DEZ!$A$5:$W$31,23,)</f>
        <v>0</v>
      </c>
      <c r="S19" s="666">
        <f t="shared" si="4"/>
        <v>1375324.6320000002</v>
      </c>
      <c r="T19" s="667">
        <f t="shared" si="0"/>
        <v>72.742162151249488</v>
      </c>
      <c r="U19" s="668">
        <f t="shared" si="1"/>
        <v>1.6537514606155779</v>
      </c>
      <c r="V19" s="669">
        <f t="shared" si="5"/>
        <v>0.7274216215124949</v>
      </c>
      <c r="W19" s="670">
        <f>'Comparativo YoY'!GF51</f>
        <v>35.953086554860164</v>
      </c>
    </row>
    <row r="20" spans="1:23">
      <c r="A20" s="798" t="s">
        <v>94</v>
      </c>
      <c r="B20" s="777">
        <v>6019</v>
      </c>
      <c r="C20" s="661">
        <v>521167.17000000004</v>
      </c>
      <c r="D20" s="661">
        <f>VLOOKUP($A$4:$A$30,'Relatórios - SICCAU e IGEO'!$A$3:$G$29,7,)</f>
        <v>4449</v>
      </c>
      <c r="E20" s="662">
        <f t="shared" si="2"/>
        <v>73.915932879215816</v>
      </c>
      <c r="F20" s="663">
        <f t="shared" si="3"/>
        <v>0.586838668829884</v>
      </c>
      <c r="G20" s="664">
        <f>VLOOKUP($A$4:$A$30,JAN!$A$5:$W$31,23,)</f>
        <v>30712.272000000001</v>
      </c>
      <c r="H20" s="664">
        <f>VLOOKUP($A$4:$A$30,FEV!$A$5:$W$31,23,)</f>
        <v>40163.232000000004</v>
      </c>
      <c r="I20" s="664">
        <f>VLOOKUP($A$4:$A$30,MAR!$A$5:$W$31,23,)</f>
        <v>46346.216000000008</v>
      </c>
      <c r="J20" s="665">
        <f>VLOOKUP($A$4:$A$30,ABR!$A$5:$W$31,23,)</f>
        <v>43128.192000000003</v>
      </c>
      <c r="K20" s="665">
        <f>VLOOKUP($A$4:$A$30,MAI!$A$5:$W$31,23,)</f>
        <v>46345.416000000005</v>
      </c>
      <c r="L20" s="665">
        <f>VLOOKUP($A$4:$A$30,JUN!$A$5:$W$31,23,)</f>
        <v>47214.936000000002</v>
      </c>
      <c r="M20" s="654">
        <f>VLOOKUP($A$4:$A$30,JUL!$A$5:$W$31,23,)</f>
        <v>48953.976000000002</v>
      </c>
      <c r="N20" s="654">
        <f>VLOOKUP($A$4:$A$30,AGO!$A$5:$W$31,23,)</f>
        <v>52953.768000000004</v>
      </c>
      <c r="O20" s="654">
        <f>VLOOKUP($A$4:$A$30,SET!$A$5:$W$31,23,)</f>
        <v>41823.912000000004</v>
      </c>
      <c r="P20" s="654">
        <f>VLOOKUP($A$4:$A$30,OUT!$A$5:$W$31,23,)</f>
        <v>0</v>
      </c>
      <c r="Q20" s="654">
        <f>VLOOKUP($A$4:$A$30,NOV!$A$5:$W$31,23,)</f>
        <v>0</v>
      </c>
      <c r="R20" s="654">
        <f>VLOOKUP($A$4:$A$30,DEZ!$A$5:$W$31,23,)</f>
        <v>0</v>
      </c>
      <c r="S20" s="666">
        <f t="shared" si="4"/>
        <v>397641.92000000004</v>
      </c>
      <c r="T20" s="667">
        <f t="shared" si="0"/>
        <v>76.298343965142706</v>
      </c>
      <c r="U20" s="668">
        <f t="shared" si="1"/>
        <v>0.478142316876633</v>
      </c>
      <c r="V20" s="669">
        <f t="shared" si="5"/>
        <v>0.76298343965142701</v>
      </c>
      <c r="W20" s="670">
        <f>'Comparativo YoY'!GF52</f>
        <v>47.922474649048752</v>
      </c>
    </row>
    <row r="21" spans="1:23">
      <c r="A21" s="584" t="s">
        <v>92</v>
      </c>
      <c r="B21" s="661">
        <v>74309</v>
      </c>
      <c r="C21" s="661">
        <v>6434187.1500000004</v>
      </c>
      <c r="D21" s="661">
        <f>VLOOKUP($A$4:$A$30,'Relatórios - SICCAU e IGEO'!$A$3:$G$29,7,)</f>
        <v>56658</v>
      </c>
      <c r="E21" s="662">
        <f t="shared" si="2"/>
        <v>76.246484275121446</v>
      </c>
      <c r="F21" s="663">
        <f t="shared" si="3"/>
        <v>7.4733884689960828</v>
      </c>
      <c r="G21" s="664">
        <f>VLOOKUP($A$4:$A$30,JAN!$A$5:$W$31,23,)</f>
        <v>414622.89600000001</v>
      </c>
      <c r="H21" s="664">
        <f>VLOOKUP($A$4:$A$30,FEV!$A$5:$W$31,23,)</f>
        <v>499191.43200000003</v>
      </c>
      <c r="I21" s="664">
        <f>VLOOKUP($A$4:$A$30,MAR!$A$5:$W$31,23,)</f>
        <v>622489.36800000002</v>
      </c>
      <c r="J21" s="665">
        <f>VLOOKUP($A$4:$A$30,ABR!$A$5:$W$31,23,)</f>
        <v>535624.31999999995</v>
      </c>
      <c r="K21" s="665">
        <f>VLOOKUP($A$4:$A$30,MAI!$A$5:$W$31,23,)</f>
        <v>579795.93599999999</v>
      </c>
      <c r="L21" s="665">
        <f>VLOOKUP($A$4:$A$30,JUN!$A$5:$W$31,23,)</f>
        <v>547188.93599999999</v>
      </c>
      <c r="M21" s="654">
        <f>VLOOKUP($A$4:$A$30,JUL!$A$5:$W$31,23,)</f>
        <v>585708.6719999999</v>
      </c>
      <c r="N21" s="654">
        <f>VLOOKUP($A$4:$A$30,AGO!$A$5:$W$31,23,)</f>
        <v>626663.0639999999</v>
      </c>
      <c r="O21" s="654">
        <f>VLOOKUP($A$4:$A$30,SET!$A$5:$W$31,23,)</f>
        <v>551101.77600000007</v>
      </c>
      <c r="P21" s="654">
        <f>VLOOKUP($A$4:$A$30,OUT!$A$5:$W$31,23,)</f>
        <v>0</v>
      </c>
      <c r="Q21" s="654">
        <f>VLOOKUP($A$4:$A$30,NOV!$A$5:$W$31,23,)</f>
        <v>0</v>
      </c>
      <c r="R21" s="654">
        <f>VLOOKUP($A$4:$A$30,DEZ!$A$5:$W$31,23,)</f>
        <v>0</v>
      </c>
      <c r="S21" s="666">
        <f t="shared" si="4"/>
        <v>4962386.3999999985</v>
      </c>
      <c r="T21" s="667">
        <f t="shared" si="0"/>
        <v>77.125304009846801</v>
      </c>
      <c r="U21" s="668">
        <f t="shared" si="1"/>
        <v>5.9669939490612389</v>
      </c>
      <c r="V21" s="669">
        <f t="shared" si="5"/>
        <v>0.77125304009846807</v>
      </c>
      <c r="W21" s="670">
        <f>'Comparativo YoY'!GF53</f>
        <v>10.951801802396744</v>
      </c>
    </row>
    <row r="22" spans="1:23">
      <c r="A22" s="584" t="s">
        <v>95</v>
      </c>
      <c r="B22" s="661">
        <v>65385</v>
      </c>
      <c r="C22" s="661">
        <v>5685356.5199999996</v>
      </c>
      <c r="D22" s="661">
        <f>VLOOKUP($A$4:$A$30,'Relatórios - SICCAU e IGEO'!$A$3:$G$29,7,)</f>
        <v>51144</v>
      </c>
      <c r="E22" s="662">
        <f t="shared" si="2"/>
        <v>78.219775177793068</v>
      </c>
      <c r="F22" s="663">
        <f t="shared" si="3"/>
        <v>6.7460725733053701</v>
      </c>
      <c r="G22" s="664">
        <f>VLOOKUP($A$4:$A$30,JAN!$A$5:$W$31,23,)</f>
        <v>365688.16800000001</v>
      </c>
      <c r="H22" s="664">
        <f>VLOOKUP($A$4:$A$30,FEV!$A$5:$W$31,23,)</f>
        <v>455707.87200000009</v>
      </c>
      <c r="I22" s="664">
        <f>VLOOKUP($A$4:$A$30,MAR!$A$5:$W$31,23,)</f>
        <v>526033.82400000002</v>
      </c>
      <c r="J22" s="665">
        <f>VLOOKUP($A$4:$A$30,ABR!$A$5:$W$31,23,)</f>
        <v>459515.54400000005</v>
      </c>
      <c r="K22" s="665">
        <f>VLOOKUP($A$4:$A$30,MAI!$A$5:$W$31,23,)</f>
        <v>568926.93599999999</v>
      </c>
      <c r="L22" s="665">
        <f>VLOOKUP($A$4:$A$30,JUN!$A$5:$W$31,23,)</f>
        <v>519790.46399999998</v>
      </c>
      <c r="M22" s="654">
        <f>VLOOKUP($A$4:$A$30,JUL!$A$5:$W$31,23,)</f>
        <v>525077.35200000007</v>
      </c>
      <c r="N22" s="654">
        <f>VLOOKUP($A$4:$A$30,AGO!$A$5:$W$31,23,)</f>
        <v>585960.93599999999</v>
      </c>
      <c r="O22" s="654">
        <f>VLOOKUP($A$4:$A$30,SET!$A$5:$W$31,23,)</f>
        <v>519364.29600000003</v>
      </c>
      <c r="P22" s="654">
        <f>VLOOKUP($A$4:$A$30,OUT!$A$5:$W$31,23,)</f>
        <v>0</v>
      </c>
      <c r="Q22" s="654">
        <f>VLOOKUP($A$4:$A$30,NOV!$A$5:$W$31,23,)</f>
        <v>0</v>
      </c>
      <c r="R22" s="654">
        <f>VLOOKUP($A$4:$A$30,DEZ!$A$5:$W$31,23,)</f>
        <v>0</v>
      </c>
      <c r="S22" s="666">
        <f t="shared" si="4"/>
        <v>4526065.392</v>
      </c>
      <c r="T22" s="667">
        <f t="shared" si="0"/>
        <v>79.609174483221338</v>
      </c>
      <c r="U22" s="668">
        <f t="shared" si="1"/>
        <v>5.4423421777714633</v>
      </c>
      <c r="V22" s="669">
        <f t="shared" si="5"/>
        <v>0.79609174483221334</v>
      </c>
      <c r="W22" s="670">
        <f>'Comparativo YoY'!GF54</f>
        <v>38.582571603351312</v>
      </c>
    </row>
    <row r="23" spans="1:23">
      <c r="A23" s="584" t="s">
        <v>96</v>
      </c>
      <c r="B23" s="661">
        <v>10564</v>
      </c>
      <c r="C23" s="661">
        <v>918560.92999999993</v>
      </c>
      <c r="D23" s="661">
        <f>VLOOKUP($A$4:$A$30,'Relatórios - SICCAU e IGEO'!$A$3:$G$29,7,)</f>
        <v>7489</v>
      </c>
      <c r="E23" s="662">
        <f t="shared" si="2"/>
        <v>70.891707686482391</v>
      </c>
      <c r="F23" s="663">
        <f t="shared" si="3"/>
        <v>0.98782530700539484</v>
      </c>
      <c r="G23" s="664">
        <f>VLOOKUP($A$4:$A$30,JAN!$A$5:$W$31,23,)</f>
        <v>53599.896000000008</v>
      </c>
      <c r="H23" s="664">
        <f>VLOOKUP($A$4:$A$30,FEV!$A$5:$W$31,23,)</f>
        <v>69561.600000000006</v>
      </c>
      <c r="I23" s="664">
        <f>VLOOKUP($A$4:$A$30,MAR!$A$5:$W$31,23,)</f>
        <v>74865.672000000006</v>
      </c>
      <c r="J23" s="665">
        <f>VLOOKUP($A$4:$A$30,ABR!$A$5:$W$31,23,)</f>
        <v>71822.352000000014</v>
      </c>
      <c r="K23" s="665">
        <f>VLOOKUP($A$4:$A$30,MAI!$A$5:$W$31,23,)</f>
        <v>82865.256000000008</v>
      </c>
      <c r="L23" s="665">
        <f>VLOOKUP($A$4:$A$30,JUN!$A$5:$W$31,23,)</f>
        <v>76865.567999999999</v>
      </c>
      <c r="M23" s="654">
        <f>VLOOKUP($A$4:$A$30,JUL!$A$5:$W$31,23,)</f>
        <v>75561.288000000015</v>
      </c>
      <c r="N23" s="654">
        <f>VLOOKUP($A$4:$A$30,AGO!$A$5:$W$31,23,)</f>
        <v>83213.064000000013</v>
      </c>
      <c r="O23" s="654">
        <f>VLOOKUP($A$4:$A$30,SET!$A$5:$W$31,23,)</f>
        <v>79126.319999999992</v>
      </c>
      <c r="P23" s="654">
        <f>VLOOKUP($A$4:$A$30,OUT!$A$5:$W$31,23,)</f>
        <v>0</v>
      </c>
      <c r="Q23" s="654">
        <f>VLOOKUP($A$4:$A$30,NOV!$A$5:$W$31,23,)</f>
        <v>0</v>
      </c>
      <c r="R23" s="654">
        <f>VLOOKUP($A$4:$A$30,DEZ!$A$5:$W$31,23,)</f>
        <v>0</v>
      </c>
      <c r="S23" s="666">
        <f t="shared" si="4"/>
        <v>667481.01599999995</v>
      </c>
      <c r="T23" s="667">
        <f t="shared" si="0"/>
        <v>72.66594889900226</v>
      </c>
      <c r="U23" s="668">
        <f t="shared" si="1"/>
        <v>0.80260883827693241</v>
      </c>
      <c r="V23" s="669">
        <f t="shared" si="5"/>
        <v>0.72665948899002264</v>
      </c>
      <c r="W23" s="670">
        <f>'Comparativo YoY'!GF55</f>
        <v>34.39676982123791</v>
      </c>
    </row>
    <row r="24" spans="1:23">
      <c r="A24" s="584" t="s">
        <v>98</v>
      </c>
      <c r="B24" s="661">
        <v>11007</v>
      </c>
      <c r="C24" s="661">
        <v>955515.52</v>
      </c>
      <c r="D24" s="661">
        <f>VLOOKUP($A$4:$A$30,'Relatórios - SICCAU e IGEO'!$A$3:$G$29,7,)</f>
        <v>7167</v>
      </c>
      <c r="E24" s="662">
        <f t="shared" si="2"/>
        <v>65.113109839193243</v>
      </c>
      <c r="F24" s="663">
        <f t="shared" si="3"/>
        <v>0.94535238019864665</v>
      </c>
      <c r="G24" s="664">
        <f>VLOOKUP($A$4:$A$30,JAN!$A$5:$W$31,23,)</f>
        <v>45495.144</v>
      </c>
      <c r="H24" s="664">
        <f>VLOOKUP($A$4:$A$30,FEV!$A$5:$W$31,23,)</f>
        <v>56431.847999999998</v>
      </c>
      <c r="I24" s="664">
        <f>VLOOKUP($A$4:$A$30,MAR!$A$5:$W$31,23,)</f>
        <v>72865.775999999998</v>
      </c>
      <c r="J24" s="665">
        <f>VLOOKUP($A$4:$A$30,ABR!$A$5:$W$31,23,)</f>
        <v>71561.495999999999</v>
      </c>
      <c r="K24" s="665">
        <f>VLOOKUP($A$4:$A$30,MAI!$A$5:$W$31,23,)</f>
        <v>85908.576000000001</v>
      </c>
      <c r="L24" s="665">
        <f>VLOOKUP($A$4:$A$30,JUN!$A$5:$W$31,23,)</f>
        <v>73474.44</v>
      </c>
      <c r="M24" s="654">
        <f>VLOOKUP($A$4:$A$30,JUL!$A$5:$W$31,23,)</f>
        <v>75648.239999999991</v>
      </c>
      <c r="N24" s="654">
        <f>VLOOKUP($A$4:$A$30,AGO!$A$5:$W$31,23,)</f>
        <v>79734.984000000011</v>
      </c>
      <c r="O24" s="654">
        <f>VLOOKUP($A$4:$A$30,SET!$A$5:$W$31,23,)</f>
        <v>69474.648000000001</v>
      </c>
      <c r="P24" s="654">
        <f>VLOOKUP($A$4:$A$30,OUT!$A$5:$W$31,23,)</f>
        <v>0</v>
      </c>
      <c r="Q24" s="654">
        <f>VLOOKUP($A$4:$A$30,NOV!$A$5:$W$31,23,)</f>
        <v>0</v>
      </c>
      <c r="R24" s="654">
        <f>VLOOKUP($A$4:$A$30,DEZ!$A$5:$W$31,23,)</f>
        <v>0</v>
      </c>
      <c r="S24" s="666">
        <f t="shared" si="4"/>
        <v>630595.152</v>
      </c>
      <c r="T24" s="667">
        <f t="shared" si="0"/>
        <v>65.995280955771392</v>
      </c>
      <c r="U24" s="668">
        <f t="shared" si="1"/>
        <v>0.75825563609705071</v>
      </c>
      <c r="V24" s="669">
        <f t="shared" si="5"/>
        <v>0.65995280955771396</v>
      </c>
      <c r="W24" s="670">
        <f>'Comparativo YoY'!GF56</f>
        <v>6.5315204307446351</v>
      </c>
    </row>
    <row r="25" spans="1:23">
      <c r="A25" s="584" t="s">
        <v>99</v>
      </c>
      <c r="B25" s="661">
        <v>1377</v>
      </c>
      <c r="C25" s="661">
        <v>119732.91</v>
      </c>
      <c r="D25" s="661">
        <f>VLOOKUP($A$4:$A$30,'Relatórios - SICCAU e IGEO'!$A$3:$G$29,7,)</f>
        <v>1296</v>
      </c>
      <c r="E25" s="662">
        <f t="shared" si="2"/>
        <v>94.117647058823522</v>
      </c>
      <c r="F25" s="663">
        <f t="shared" si="3"/>
        <v>0.17094693522219145</v>
      </c>
      <c r="G25" s="664">
        <f>VLOOKUP($A$4:$A$30,JAN!$A$5:$W$31,23,)</f>
        <v>10739.088</v>
      </c>
      <c r="H25" s="664">
        <f>VLOOKUP($A$4:$A$30,FEV!$A$5:$W$31,23,)</f>
        <v>13303.656000000001</v>
      </c>
      <c r="I25" s="664">
        <f>VLOOKUP($A$4:$A$30,MAR!$A$5:$W$31,23,)</f>
        <v>12694.992000000002</v>
      </c>
      <c r="J25" s="665">
        <f>VLOOKUP($A$4:$A$30,ABR!$A$5:$W$31,23,)</f>
        <v>12260.232</v>
      </c>
      <c r="K25" s="665">
        <f>VLOOKUP($A$4:$A$30,MAI!$A$5:$W$31,23,)</f>
        <v>17216.496000000003</v>
      </c>
      <c r="L25" s="665">
        <f>VLOOKUP($A$4:$A$30,JUN!$A$5:$W$31,23,)</f>
        <v>13042.800000000001</v>
      </c>
      <c r="M25" s="654">
        <f>VLOOKUP($A$4:$A$30,JUL!$A$5:$W$31,23,)</f>
        <v>11129.856</v>
      </c>
      <c r="N25" s="654">
        <f>VLOOKUP($A$4:$A$30,AGO!$A$5:$W$31,23,)</f>
        <v>11999.376</v>
      </c>
      <c r="O25" s="654">
        <f>VLOOKUP($A$4:$A$30,SET!$A$5:$W$31,23,)</f>
        <v>11651.568000000001</v>
      </c>
      <c r="P25" s="654">
        <f>VLOOKUP($A$4:$A$30,OUT!$A$5:$W$31,23,)</f>
        <v>0</v>
      </c>
      <c r="Q25" s="654">
        <f>VLOOKUP($A$4:$A$30,NOV!$A$5:$W$31,23,)</f>
        <v>0</v>
      </c>
      <c r="R25" s="654">
        <f>VLOOKUP($A$4:$A$30,DEZ!$A$5:$W$31,23,)</f>
        <v>0</v>
      </c>
      <c r="S25" s="666">
        <f t="shared" si="4"/>
        <v>114038.06400000001</v>
      </c>
      <c r="T25" s="667">
        <f t="shared" si="0"/>
        <v>95.243708684604769</v>
      </c>
      <c r="U25" s="668">
        <f t="shared" si="1"/>
        <v>0.13712443630964702</v>
      </c>
      <c r="V25" s="669">
        <f t="shared" si="5"/>
        <v>0.95243708684604766</v>
      </c>
      <c r="W25" s="670">
        <f>'Comparativo YoY'!GF57</f>
        <v>31.181993629046161</v>
      </c>
    </row>
    <row r="26" spans="1:23">
      <c r="A26" s="584" t="s">
        <v>97</v>
      </c>
      <c r="B26" s="661">
        <v>101133</v>
      </c>
      <c r="C26" s="661">
        <v>8793716.6199999992</v>
      </c>
      <c r="D26" s="661">
        <f>VLOOKUP($A$4:$A$30,'Relatórios - SICCAU e IGEO'!$A$3:$G$29,7,)</f>
        <v>73503</v>
      </c>
      <c r="E26" s="662">
        <f t="shared" si="2"/>
        <v>72.679540802705347</v>
      </c>
      <c r="F26" s="663">
        <f t="shared" si="3"/>
        <v>9.6953029163863711</v>
      </c>
      <c r="G26" s="664">
        <f>VLOOKUP($A$4:$A$30,JAN!$A$5:$W$31,23,)</f>
        <v>556017.16799999995</v>
      </c>
      <c r="H26" s="664">
        <f>VLOOKUP($A$4:$A$30,FEV!$A$5:$W$31,23,)</f>
        <v>672825.98400000005</v>
      </c>
      <c r="I26" s="664">
        <f>VLOOKUP($A$4:$A$30,MAR!$A$5:$W$31,23,)</f>
        <v>769786.0560000001</v>
      </c>
      <c r="J26" s="665">
        <f>VLOOKUP($A$4:$A$30,ABR!$A$5:$W$31,23,)</f>
        <v>668660.88000000012</v>
      </c>
      <c r="K26" s="665">
        <f>VLOOKUP($A$4:$A$30,MAI!$A$5:$W$31,23,)</f>
        <v>764742.84</v>
      </c>
      <c r="L26" s="665">
        <f>VLOOKUP($A$4:$A$30,JUN!$A$5:$W$31,23,)</f>
        <v>720484.27200000011</v>
      </c>
      <c r="M26" s="654">
        <f>VLOOKUP($A$4:$A$30,JUL!$A$5:$W$31,23,)</f>
        <v>721266.84000000008</v>
      </c>
      <c r="N26" s="654">
        <f>VLOOKUP($A$4:$A$30,AGO!$A$5:$W$31,23,)</f>
        <v>817348.8</v>
      </c>
      <c r="O26" s="654">
        <f>VLOOKUP($A$4:$A$30,SET!$A$5:$W$31,23,)</f>
        <v>736918.20000000007</v>
      </c>
      <c r="P26" s="654">
        <f>VLOOKUP($A$4:$A$30,OUT!$A$5:$W$31,23,)</f>
        <v>0</v>
      </c>
      <c r="Q26" s="654">
        <f>VLOOKUP($A$4:$A$30,NOV!$A$5:$W$31,23,)</f>
        <v>0</v>
      </c>
      <c r="R26" s="654">
        <f>VLOOKUP($A$4:$A$30,DEZ!$A$5:$W$31,23,)</f>
        <v>0</v>
      </c>
      <c r="S26" s="666">
        <f t="shared" si="4"/>
        <v>6428051.04</v>
      </c>
      <c r="T26" s="667">
        <f t="shared" si="0"/>
        <v>73.098228175562937</v>
      </c>
      <c r="U26" s="668">
        <f t="shared" si="1"/>
        <v>7.7293742502471829</v>
      </c>
      <c r="V26" s="669">
        <f t="shared" si="5"/>
        <v>0.7309822817556294</v>
      </c>
      <c r="W26" s="670">
        <f>'Comparativo YoY'!GF58</f>
        <v>14.304658767721406</v>
      </c>
    </row>
    <row r="27" spans="1:23">
      <c r="A27" s="584" t="s">
        <v>100</v>
      </c>
      <c r="B27" s="661">
        <v>62006</v>
      </c>
      <c r="C27" s="661">
        <v>5391545.71</v>
      </c>
      <c r="D27" s="661">
        <f>VLOOKUP($A$4:$A$30,'Relatórios - SICCAU e IGEO'!$A$3:$G$29,7,)</f>
        <v>47797</v>
      </c>
      <c r="E27" s="662">
        <f t="shared" si="2"/>
        <v>77.084475695900394</v>
      </c>
      <c r="F27" s="663">
        <f t="shared" si="3"/>
        <v>6.3045915608141083</v>
      </c>
      <c r="G27" s="664">
        <f>VLOOKUP($A$4:$A$30,JAN!$A$5:$W$31,23,)</f>
        <v>305108.40000000002</v>
      </c>
      <c r="H27" s="664">
        <f>VLOOKUP($A$4:$A$30,FEV!$A$5:$W$31,23,)</f>
        <v>402918.38400000002</v>
      </c>
      <c r="I27" s="664">
        <f>VLOOKUP($A$4:$A$30,MAR!$A$5:$W$31,23,)</f>
        <v>557275.36800000002</v>
      </c>
      <c r="J27" s="665">
        <f>VLOOKUP($A$4:$A$30,ABR!$A$5:$W$31,23,)</f>
        <v>440759.68800000002</v>
      </c>
      <c r="K27" s="665">
        <f>VLOOKUP($A$4:$A$30,MAI!$A$5:$W$31,23,)</f>
        <v>504843.31200000003</v>
      </c>
      <c r="L27" s="665">
        <f>VLOOKUP($A$4:$A$30,JUN!$A$5:$W$31,23,)</f>
        <v>478236.00000000006</v>
      </c>
      <c r="M27" s="654">
        <f>VLOOKUP($A$4:$A$30,JUL!$A$5:$W$31,23,)</f>
        <v>484670.44799999997</v>
      </c>
      <c r="N27" s="654">
        <f>VLOOKUP($A$4:$A$30,AGO!$A$5:$W$31,23,)</f>
        <v>517103.54399999999</v>
      </c>
      <c r="O27" s="654">
        <f>VLOOKUP($A$4:$A$30,SET!$A$5:$W$31,23,)</f>
        <v>471627.64800000004</v>
      </c>
      <c r="P27" s="654">
        <f>VLOOKUP($A$4:$A$30,OUT!$A$5:$W$31,23,)</f>
        <v>0</v>
      </c>
      <c r="Q27" s="654">
        <f>VLOOKUP($A$4:$A$30,NOV!$A$5:$W$31,23,)</f>
        <v>0</v>
      </c>
      <c r="R27" s="654">
        <f>VLOOKUP($A$4:$A$30,DEZ!$A$5:$W$31,23,)</f>
        <v>0</v>
      </c>
      <c r="S27" s="666">
        <f t="shared" si="4"/>
        <v>4162542.7920000004</v>
      </c>
      <c r="T27" s="667">
        <f t="shared" si="0"/>
        <v>77.204998638507334</v>
      </c>
      <c r="U27" s="668">
        <f t="shared" si="1"/>
        <v>5.0052264476165105</v>
      </c>
      <c r="V27" s="669">
        <f t="shared" si="5"/>
        <v>0.77204998638507327</v>
      </c>
      <c r="W27" s="670">
        <f>'Comparativo YoY'!GF59</f>
        <v>21.084079897068818</v>
      </c>
    </row>
    <row r="28" spans="1:23">
      <c r="A28" s="584" t="s">
        <v>102</v>
      </c>
      <c r="B28" s="661">
        <v>7457</v>
      </c>
      <c r="C28" s="661">
        <v>648401.06000000006</v>
      </c>
      <c r="D28" s="661">
        <f>VLOOKUP($A$4:$A$30,'Relatórios - SICCAU e IGEO'!$A$3:$G$29,7,)</f>
        <v>6702</v>
      </c>
      <c r="E28" s="662">
        <f t="shared" si="2"/>
        <v>89.875284967144964</v>
      </c>
      <c r="F28" s="663">
        <f t="shared" si="3"/>
        <v>0.88401725297772149</v>
      </c>
      <c r="G28" s="664">
        <f>VLOOKUP($A$4:$A$30,JAN!$A$5:$W$31,23,)</f>
        <v>50268.911999999997</v>
      </c>
      <c r="H28" s="664">
        <f>VLOOKUP($A$4:$A$30,FEV!$A$5:$W$31,23,)</f>
        <v>59292.671999999999</v>
      </c>
      <c r="I28" s="664">
        <f>VLOOKUP($A$4:$A$30,MAR!$A$5:$W$31,23,)</f>
        <v>83995.631999999998</v>
      </c>
      <c r="J28" s="665">
        <f>VLOOKUP($A$4:$A$30,ABR!$A$5:$W$31,23,)</f>
        <v>64518.384000000005</v>
      </c>
      <c r="K28" s="665">
        <f>VLOOKUP($A$4:$A$30,MAI!$A$5:$W$31,23,)</f>
        <v>70952.831999999995</v>
      </c>
      <c r="L28" s="665">
        <f>VLOOKUP($A$4:$A$30,JUN!$A$5:$W$31,23,)</f>
        <v>53562.432000000008</v>
      </c>
      <c r="M28" s="654">
        <f>VLOOKUP($A$4:$A$30,JUL!$A$5:$W$31,23,)</f>
        <v>59475.168000000005</v>
      </c>
      <c r="N28" s="654">
        <f>VLOOKUP($A$4:$A$30,AGO!$A$5:$W$31,23,)</f>
        <v>72257.112000000008</v>
      </c>
      <c r="O28" s="654">
        <f>VLOOKUP($A$4:$A$30,SET!$A$5:$W$31,23,)</f>
        <v>73996.152000000002</v>
      </c>
      <c r="P28" s="654">
        <f>VLOOKUP($A$4:$A$30,OUT!$A$5:$W$31,23,)</f>
        <v>0</v>
      </c>
      <c r="Q28" s="654">
        <f>VLOOKUP($A$4:$A$30,NOV!$A$5:$W$31,23,)</f>
        <v>0</v>
      </c>
      <c r="R28" s="654">
        <f>VLOOKUP($A$4:$A$30,DEZ!$A$5:$W$31,23,)</f>
        <v>0</v>
      </c>
      <c r="S28" s="666">
        <f t="shared" si="4"/>
        <v>588319.29600000009</v>
      </c>
      <c r="T28" s="667">
        <f t="shared" si="0"/>
        <v>90.733857837925186</v>
      </c>
      <c r="U28" s="668">
        <f t="shared" si="1"/>
        <v>0.70742126799073313</v>
      </c>
      <c r="V28" s="669">
        <f t="shared" si="5"/>
        <v>0.90733857837925191</v>
      </c>
      <c r="W28" s="670">
        <f>'Comparativo YoY'!GF60</f>
        <v>35.577908717227984</v>
      </c>
    </row>
    <row r="29" spans="1:23">
      <c r="A29" s="584" t="s">
        <v>101</v>
      </c>
      <c r="B29" s="661">
        <v>358796</v>
      </c>
      <c r="C29" s="661">
        <v>31198029.792000003</v>
      </c>
      <c r="D29" s="661">
        <f>VLOOKUP($A$4:$A$30,'Relatórios - SICCAU e IGEO'!$A$3:$G$29,7,)</f>
        <v>265567</v>
      </c>
      <c r="E29" s="662">
        <f t="shared" si="2"/>
        <v>74.016154026243328</v>
      </c>
      <c r="F29" s="663">
        <f t="shared" si="3"/>
        <v>35.029216625117066</v>
      </c>
      <c r="G29" s="664">
        <f>VLOOKUP($A$4:$A$30,JAN!$A$5:$W$31,23,)</f>
        <v>1890930.432</v>
      </c>
      <c r="H29" s="664">
        <f>VLOOKUP($A$4:$A$30,FEV!$A$5:$W$31,23,)</f>
        <v>2280100.8480000002</v>
      </c>
      <c r="I29" s="664">
        <f>VLOOKUP($A$4:$A$30,MAR!$A$5:$W$31,23,)</f>
        <v>2854112.4480000003</v>
      </c>
      <c r="J29" s="665">
        <f>VLOOKUP($A$4:$A$30,ABR!$A$5:$W$31,23,)</f>
        <v>2434221.2400000002</v>
      </c>
      <c r="K29" s="665">
        <f>VLOOKUP($A$4:$A$30,MAI!$A$5:$W$31,23,)</f>
        <v>2888980.2</v>
      </c>
      <c r="L29" s="665">
        <f>VLOOKUP($A$4:$A$30,JUN!$A$5:$W$31,23,)</f>
        <v>2716293.5280000004</v>
      </c>
      <c r="M29" s="654">
        <f>VLOOKUP($A$4:$A$30,JUL!$A$5:$W$31,23,)</f>
        <v>2650731.7200000002</v>
      </c>
      <c r="N29" s="654">
        <f>VLOOKUP($A$4:$A$30,AGO!$A$5:$W$31,23,)</f>
        <v>2908979.16</v>
      </c>
      <c r="O29" s="654">
        <f>VLOOKUP($A$4:$A$30,SET!$A$5:$W$31,23,)</f>
        <v>2603951.5440000002</v>
      </c>
      <c r="P29" s="654">
        <f>VLOOKUP($A$4:$A$30,OUT!$A$5:$W$31,23,)</f>
        <v>0</v>
      </c>
      <c r="Q29" s="654">
        <f>VLOOKUP($A$4:$A$30,NOV!$A$5:$W$31,23,)</f>
        <v>0</v>
      </c>
      <c r="R29" s="654">
        <f>VLOOKUP($A$4:$A$30,DEZ!$A$5:$W$31,23,)</f>
        <v>0</v>
      </c>
      <c r="S29" s="666">
        <f t="shared" si="4"/>
        <v>23228301.120000001</v>
      </c>
      <c r="T29" s="667">
        <f t="shared" si="0"/>
        <v>74.45438469949903</v>
      </c>
      <c r="U29" s="668">
        <f t="shared" si="1"/>
        <v>27.930741594409586</v>
      </c>
      <c r="V29" s="669">
        <f t="shared" si="5"/>
        <v>0.74454384699499032</v>
      </c>
      <c r="W29" s="670">
        <f>'Comparativo YoY'!GF61</f>
        <v>18.603400999865144</v>
      </c>
    </row>
    <row r="30" spans="1:23">
      <c r="A30" s="584" t="s">
        <v>103</v>
      </c>
      <c r="B30" s="661">
        <v>5747</v>
      </c>
      <c r="C30" s="661">
        <v>499713.14999999997</v>
      </c>
      <c r="D30" s="661">
        <f>VLOOKUP($A$4:$A$30,'Relatórios - SICCAU e IGEO'!$A$3:$G$29,7,)</f>
        <v>3990</v>
      </c>
      <c r="E30" s="662">
        <f t="shared" si="2"/>
        <v>69.427527405602916</v>
      </c>
      <c r="F30" s="663">
        <f t="shared" si="3"/>
        <v>0.52629496260535791</v>
      </c>
      <c r="G30" s="664">
        <f>VLOOKUP($A$4:$A$30,JAN!$A$5:$W$31,23,)</f>
        <v>25574.544000000002</v>
      </c>
      <c r="H30" s="664">
        <f>VLOOKUP($A$4:$A$30,FEV!$A$5:$W$31,23,)</f>
        <v>33389.567999999999</v>
      </c>
      <c r="I30" s="664">
        <f>VLOOKUP($A$4:$A$30,MAR!$A$5:$W$31,23,)</f>
        <v>41128.296000000002</v>
      </c>
      <c r="J30" s="665">
        <f>VLOOKUP($A$4:$A$30,ABR!$A$5:$W$31,23,)</f>
        <v>41302.200000000004</v>
      </c>
      <c r="K30" s="665">
        <f>VLOOKUP($A$4:$A$30,MAI!$A$5:$W$31,23,)</f>
        <v>52779.864000000001</v>
      </c>
      <c r="L30" s="665">
        <f>VLOOKUP($A$4:$A$30,JUN!$A$5:$W$31,23,)</f>
        <v>43215.144</v>
      </c>
      <c r="M30" s="654">
        <f>VLOOKUP($A$4:$A$30,JUL!$A$5:$W$31,23,)</f>
        <v>35041.656000000003</v>
      </c>
      <c r="N30" s="654">
        <f>VLOOKUP($A$4:$A$30,AGO!$A$5:$W$31,23,)</f>
        <v>41215.248000000007</v>
      </c>
      <c r="O30" s="654">
        <f>VLOOKUP($A$4:$A$30,SET!$A$5:$W$31,23,)</f>
        <v>37737.168000000005</v>
      </c>
      <c r="P30" s="654">
        <f>VLOOKUP($A$4:$A$30,OUT!$A$5:$W$31,23,)</f>
        <v>0</v>
      </c>
      <c r="Q30" s="654">
        <f>VLOOKUP($A$4:$A$30,NOV!$A$5:$W$31,23,)</f>
        <v>0</v>
      </c>
      <c r="R30" s="654">
        <f>VLOOKUP($A$4:$A$30,DEZ!$A$5:$W$31,23,)</f>
        <v>0</v>
      </c>
      <c r="S30" s="666">
        <f t="shared" si="4"/>
        <v>351383.68800000002</v>
      </c>
      <c r="T30" s="667">
        <f t="shared" si="0"/>
        <v>70.31707850794001</v>
      </c>
      <c r="U30" s="668">
        <f t="shared" si="1"/>
        <v>0.42251936288049297</v>
      </c>
      <c r="V30" s="669">
        <f t="shared" si="5"/>
        <v>0.70317078507940012</v>
      </c>
      <c r="W30" s="670">
        <f>'Comparativo YoY'!GF62</f>
        <v>21.341023615258223</v>
      </c>
    </row>
    <row r="31" spans="1:23">
      <c r="A31" s="598" t="s">
        <v>418</v>
      </c>
      <c r="B31" s="671">
        <f>SUM(B4:B30)</f>
        <v>995758</v>
      </c>
      <c r="C31" s="672">
        <f>SUM(C4:C30)</f>
        <v>86552258.552000016</v>
      </c>
      <c r="D31" s="673">
        <f>SUM(D4:D30)</f>
        <v>758130</v>
      </c>
      <c r="E31" s="674">
        <f t="shared" si="2"/>
        <v>76.135968779562901</v>
      </c>
      <c r="F31" s="675">
        <f t="shared" ref="F31" si="6">D31/$D$33*100</f>
        <v>100</v>
      </c>
      <c r="G31" s="676">
        <f t="shared" ref="G31:R31" si="7">SUM(G4:G30)</f>
        <v>5368551.0720000006</v>
      </c>
      <c r="H31" s="676">
        <f t="shared" si="7"/>
        <v>6570861.120000001</v>
      </c>
      <c r="I31" s="676">
        <f t="shared" si="7"/>
        <v>8203911.5520000011</v>
      </c>
      <c r="J31" s="676">
        <f t="shared" si="7"/>
        <v>6983708.9359999998</v>
      </c>
      <c r="K31" s="676">
        <f t="shared" si="7"/>
        <v>8231137.1760000009</v>
      </c>
      <c r="L31" s="676">
        <f t="shared" si="7"/>
        <v>7652767.1360000009</v>
      </c>
      <c r="M31" s="676">
        <f t="shared" si="7"/>
        <v>7590362.1039999994</v>
      </c>
      <c r="N31" s="676">
        <f t="shared" si="7"/>
        <v>8366408.5039999997</v>
      </c>
      <c r="O31" s="677">
        <f t="shared" si="7"/>
        <v>7563432.7679999992</v>
      </c>
      <c r="P31" s="677">
        <f t="shared" si="7"/>
        <v>0</v>
      </c>
      <c r="Q31" s="677">
        <f t="shared" si="7"/>
        <v>0</v>
      </c>
      <c r="R31" s="677">
        <f t="shared" si="7"/>
        <v>0</v>
      </c>
      <c r="S31" s="678">
        <f t="shared" si="4"/>
        <v>66531140.368000008</v>
      </c>
      <c r="T31" s="679">
        <f t="shared" si="0"/>
        <v>76.868173611008146</v>
      </c>
      <c r="U31" s="680">
        <f t="shared" si="1"/>
        <v>80.000000000000014</v>
      </c>
      <c r="V31" s="669">
        <f t="shared" si="5"/>
        <v>0.76868173611008139</v>
      </c>
      <c r="W31" s="670">
        <f>'Comparativo YoY'!GF63</f>
        <v>21.800448912436195</v>
      </c>
    </row>
    <row r="32" spans="1:23">
      <c r="A32" s="681" t="s">
        <v>224</v>
      </c>
      <c r="B32" s="682"/>
      <c r="C32" s="672">
        <v>21638045.420000002</v>
      </c>
      <c r="D32" s="673"/>
      <c r="E32" s="674"/>
      <c r="F32" s="675"/>
      <c r="G32" s="683">
        <f>JAN!W67</f>
        <v>1342137.7679999999</v>
      </c>
      <c r="H32" s="683">
        <f>FEV!$W$67</f>
        <v>1642715.2800000003</v>
      </c>
      <c r="I32" s="683">
        <f>MAR!$W$67</f>
        <v>2050977.888</v>
      </c>
      <c r="J32" s="683">
        <f>ABR!$W$67</f>
        <v>1745927.2339999999</v>
      </c>
      <c r="K32" s="683">
        <f>MAI!$W$67</f>
        <v>2057784.2940000007</v>
      </c>
      <c r="L32" s="683">
        <f>JUN!$W$67</f>
        <v>1913191.7840000007</v>
      </c>
      <c r="M32" s="683">
        <f>JUL!$W$67</f>
        <v>1897590.5259999998</v>
      </c>
      <c r="N32" s="683">
        <f>AGO!$W$67</f>
        <v>2091602.1259999999</v>
      </c>
      <c r="O32" s="684">
        <f>SET!$W$67</f>
        <v>1890858.192</v>
      </c>
      <c r="P32" s="684">
        <f>OUT!$W$67</f>
        <v>0</v>
      </c>
      <c r="Q32" s="684">
        <f>NOV!$W$67</f>
        <v>0</v>
      </c>
      <c r="R32" s="684">
        <f>DEZ!$W$67</f>
        <v>0</v>
      </c>
      <c r="S32" s="678">
        <f t="shared" si="4"/>
        <v>16632785.092000002</v>
      </c>
      <c r="T32" s="679">
        <f t="shared" si="0"/>
        <v>76.868241882080312</v>
      </c>
      <c r="U32" s="680">
        <f t="shared" si="1"/>
        <v>20.000000000000004</v>
      </c>
      <c r="V32" s="669">
        <f t="shared" si="5"/>
        <v>0.76868241882080313</v>
      </c>
      <c r="W32" s="670">
        <f>'Comparativo YoY'!GF64</f>
        <v>21.800448912436224</v>
      </c>
    </row>
    <row r="33" spans="1:23">
      <c r="A33" s="681" t="s">
        <v>118</v>
      </c>
      <c r="B33" s="671">
        <f>B31</f>
        <v>995758</v>
      </c>
      <c r="C33" s="672">
        <f>C31+C32</f>
        <v>108190303.97200002</v>
      </c>
      <c r="D33" s="673">
        <f>D31</f>
        <v>758130</v>
      </c>
      <c r="E33" s="674">
        <f>D33/B33*100</f>
        <v>76.135968779562901</v>
      </c>
      <c r="F33" s="675">
        <f>D33/$D$33*100</f>
        <v>100</v>
      </c>
      <c r="G33" s="676">
        <f t="shared" ref="G33:R33" si="8">SUM(G31:G32)</f>
        <v>6710688.8400000008</v>
      </c>
      <c r="H33" s="676">
        <f t="shared" si="8"/>
        <v>8213576.4000000013</v>
      </c>
      <c r="I33" s="676">
        <f t="shared" si="8"/>
        <v>10254889.440000001</v>
      </c>
      <c r="J33" s="676">
        <f t="shared" si="8"/>
        <v>8729636.1699999999</v>
      </c>
      <c r="K33" s="676">
        <f t="shared" si="8"/>
        <v>10288921.470000003</v>
      </c>
      <c r="L33" s="676">
        <f t="shared" si="8"/>
        <v>9565958.9200000018</v>
      </c>
      <c r="M33" s="676">
        <f t="shared" si="8"/>
        <v>9487952.629999999</v>
      </c>
      <c r="N33" s="676">
        <f t="shared" si="8"/>
        <v>10458010.629999999</v>
      </c>
      <c r="O33" s="676">
        <f t="shared" si="8"/>
        <v>9454290.959999999</v>
      </c>
      <c r="P33" s="677">
        <f t="shared" si="8"/>
        <v>0</v>
      </c>
      <c r="Q33" s="677">
        <f t="shared" si="8"/>
        <v>0</v>
      </c>
      <c r="R33" s="677">
        <f t="shared" si="8"/>
        <v>0</v>
      </c>
      <c r="S33" s="678">
        <f t="shared" si="4"/>
        <v>83163925.459999993</v>
      </c>
      <c r="T33" s="679">
        <f t="shared" si="0"/>
        <v>76.868187265212853</v>
      </c>
      <c r="U33" s="680">
        <f t="shared" si="1"/>
        <v>100</v>
      </c>
      <c r="V33" s="669">
        <f t="shared" si="5"/>
        <v>0.76868187265212851</v>
      </c>
      <c r="W33" s="670">
        <f>'Comparativo YoY'!GF65</f>
        <v>21.800448912436195</v>
      </c>
    </row>
    <row r="34" spans="1:23">
      <c r="B34" s="685"/>
      <c r="C34" s="685"/>
      <c r="D34" s="686">
        <f>'Relatórios - SICCAU e IGEO'!G30</f>
        <v>758130</v>
      </c>
      <c r="E34" s="686"/>
      <c r="F34" s="686"/>
      <c r="G34" s="687">
        <f>JAN!W102</f>
        <v>6710688.8399999989</v>
      </c>
      <c r="H34" s="687">
        <f>FEV!W102</f>
        <v>8213576.3999999994</v>
      </c>
      <c r="I34" s="687">
        <f>MAR!$W$102</f>
        <v>10254889.439999999</v>
      </c>
      <c r="J34" s="687">
        <f>ABR!$W$102</f>
        <v>8729636.1700000018</v>
      </c>
      <c r="K34" s="687">
        <f>MAI!$W$102</f>
        <v>10288921.469999999</v>
      </c>
      <c r="L34" s="687">
        <f>JUN!$W$102</f>
        <v>9565958.9199999981</v>
      </c>
      <c r="M34" s="687">
        <f>JUL!$W$102</f>
        <v>9487952.6300000027</v>
      </c>
      <c r="N34" s="687">
        <f>AGO!$W$102</f>
        <v>10458010.630000001</v>
      </c>
      <c r="O34" s="687">
        <f>SET!$W$102</f>
        <v>9454290.959999999</v>
      </c>
      <c r="P34" s="687">
        <f>OUT!$W$102</f>
        <v>0</v>
      </c>
      <c r="Q34" s="687">
        <f>NOV!$W$102</f>
        <v>0</v>
      </c>
      <c r="R34" s="687">
        <f>DEZ!$W$102</f>
        <v>0</v>
      </c>
      <c r="S34" s="687">
        <f>'ARRECADAÇÃO MENSAL POR RECEITA'!$F$17</f>
        <v>83163925.459999979</v>
      </c>
      <c r="T34" s="648">
        <f>S33-S34</f>
        <v>0</v>
      </c>
      <c r="V34" s="669"/>
      <c r="W34" s="670"/>
    </row>
    <row r="35" spans="1:23">
      <c r="B35" s="621"/>
      <c r="C35" s="300"/>
      <c r="D35" s="165" t="b">
        <f>D33=D34</f>
        <v>1</v>
      </c>
      <c r="E35" s="688"/>
      <c r="F35" s="688"/>
      <c r="G35" s="165" t="b">
        <f t="shared" ref="G35:S35" si="9">G33=G34</f>
        <v>1</v>
      </c>
      <c r="H35" s="165" t="b">
        <f t="shared" si="9"/>
        <v>1</v>
      </c>
      <c r="I35" s="165" t="b">
        <f t="shared" si="9"/>
        <v>1</v>
      </c>
      <c r="J35" s="165" t="b">
        <f t="shared" si="9"/>
        <v>1</v>
      </c>
      <c r="K35" s="165" t="b">
        <f t="shared" si="9"/>
        <v>1</v>
      </c>
      <c r="L35" s="165" t="b">
        <f t="shared" si="9"/>
        <v>1</v>
      </c>
      <c r="M35" s="165" t="b">
        <f t="shared" si="9"/>
        <v>1</v>
      </c>
      <c r="N35" s="165" t="b">
        <f t="shared" si="9"/>
        <v>1</v>
      </c>
      <c r="O35" s="165" t="b">
        <f t="shared" si="9"/>
        <v>1</v>
      </c>
      <c r="P35" s="165" t="b">
        <f t="shared" si="9"/>
        <v>1</v>
      </c>
      <c r="Q35" s="165" t="b">
        <f t="shared" si="9"/>
        <v>1</v>
      </c>
      <c r="R35" s="165" t="b">
        <f t="shared" si="9"/>
        <v>1</v>
      </c>
      <c r="S35" s="165" t="b">
        <f t="shared" si="9"/>
        <v>1</v>
      </c>
      <c r="V35" s="669"/>
      <c r="W35" s="670"/>
    </row>
    <row r="36" spans="1:23">
      <c r="A36" s="167"/>
      <c r="B36" s="622"/>
      <c r="D36" s="578"/>
      <c r="E36" s="583"/>
      <c r="F36" s="689"/>
      <c r="G36" s="689"/>
      <c r="H36" s="690"/>
      <c r="S36" s="622"/>
    </row>
    <row r="37" spans="1:23" hidden="1">
      <c r="A37" s="167"/>
      <c r="B37" s="622"/>
      <c r="F37" s="906" t="s">
        <v>618</v>
      </c>
      <c r="G37" s="906"/>
      <c r="H37" s="906"/>
      <c r="I37" s="906"/>
      <c r="J37" s="906"/>
      <c r="K37" s="906"/>
      <c r="L37" s="906"/>
      <c r="M37" s="906"/>
      <c r="N37" s="906"/>
      <c r="O37" s="906"/>
      <c r="P37" s="906"/>
      <c r="Q37" s="906"/>
      <c r="R37" s="906"/>
      <c r="S37" s="906"/>
    </row>
    <row r="38" spans="1:23" hidden="1">
      <c r="A38" s="167"/>
      <c r="B38" s="622"/>
      <c r="D38" s="618"/>
      <c r="F38" s="736" t="s">
        <v>172</v>
      </c>
      <c r="G38" s="736" t="s">
        <v>290</v>
      </c>
      <c r="H38" s="736" t="s">
        <v>289</v>
      </c>
      <c r="I38" s="736" t="s">
        <v>321</v>
      </c>
      <c r="J38" s="736" t="s">
        <v>288</v>
      </c>
      <c r="K38" s="736" t="s">
        <v>287</v>
      </c>
      <c r="L38" s="736" t="s">
        <v>286</v>
      </c>
      <c r="M38" s="736" t="s">
        <v>285</v>
      </c>
      <c r="N38" s="736" t="s">
        <v>284</v>
      </c>
      <c r="O38" s="736" t="s">
        <v>283</v>
      </c>
      <c r="P38" s="736" t="s">
        <v>282</v>
      </c>
      <c r="Q38" s="736" t="s">
        <v>281</v>
      </c>
      <c r="R38" s="736" t="s">
        <v>280</v>
      </c>
      <c r="S38" s="736" t="s">
        <v>118</v>
      </c>
    </row>
    <row r="39" spans="1:23" hidden="1">
      <c r="A39" s="583"/>
      <c r="B39" s="583"/>
      <c r="C39" s="583"/>
      <c r="D39" s="618"/>
      <c r="F39" s="655" t="str">
        <f>A4</f>
        <v>AC</v>
      </c>
      <c r="G39" s="664">
        <v>204</v>
      </c>
      <c r="H39" s="664">
        <v>178</v>
      </c>
      <c r="I39" s="664">
        <v>261</v>
      </c>
      <c r="J39" s="665">
        <v>207</v>
      </c>
      <c r="K39" s="665"/>
      <c r="L39" s="665"/>
      <c r="M39" s="654"/>
      <c r="N39" s="654"/>
      <c r="O39" s="654"/>
      <c r="P39" s="654"/>
      <c r="Q39" s="654"/>
      <c r="R39" s="654"/>
      <c r="S39" s="772">
        <f>SUM(G39:R39)</f>
        <v>850</v>
      </c>
      <c r="T39" s="905" t="s">
        <v>622</v>
      </c>
    </row>
    <row r="40" spans="1:23" hidden="1">
      <c r="A40" s="583"/>
      <c r="B40" s="583"/>
      <c r="C40" s="583"/>
      <c r="D40" s="618"/>
      <c r="F40" s="655" t="str">
        <f t="shared" ref="F40:F65" si="10">A5</f>
        <v>AL</v>
      </c>
      <c r="G40" s="664">
        <v>679</v>
      </c>
      <c r="H40" s="664">
        <v>714</v>
      </c>
      <c r="I40" s="664">
        <v>902</v>
      </c>
      <c r="J40" s="665">
        <v>821</v>
      </c>
      <c r="K40" s="665"/>
      <c r="L40" s="665"/>
      <c r="M40" s="654"/>
      <c r="N40" s="654"/>
      <c r="O40" s="654"/>
      <c r="P40" s="654"/>
      <c r="Q40" s="654"/>
      <c r="R40" s="654"/>
      <c r="S40" s="772">
        <f t="shared" ref="S40:S65" si="11">SUM(G40:R40)</f>
        <v>3116</v>
      </c>
      <c r="T40" s="905"/>
    </row>
    <row r="41" spans="1:23" hidden="1">
      <c r="A41" s="583"/>
      <c r="B41" s="583"/>
      <c r="C41" s="583"/>
      <c r="D41" s="618"/>
      <c r="F41" s="655" t="str">
        <f t="shared" si="10"/>
        <v>AM</v>
      </c>
      <c r="G41" s="664">
        <v>534</v>
      </c>
      <c r="H41" s="664">
        <v>593</v>
      </c>
      <c r="I41" s="664">
        <v>760</v>
      </c>
      <c r="J41" s="665">
        <v>641</v>
      </c>
      <c r="K41" s="665"/>
      <c r="L41" s="665"/>
      <c r="M41" s="654"/>
      <c r="N41" s="654"/>
      <c r="O41" s="654"/>
      <c r="P41" s="654"/>
      <c r="Q41" s="654"/>
      <c r="R41" s="654"/>
      <c r="S41" s="772">
        <f t="shared" si="11"/>
        <v>2528</v>
      </c>
      <c r="T41" s="905"/>
    </row>
    <row r="42" spans="1:23" hidden="1">
      <c r="A42" s="583"/>
      <c r="B42" s="583"/>
      <c r="C42" s="583"/>
      <c r="D42" s="618"/>
      <c r="F42" s="655" t="str">
        <f t="shared" si="10"/>
        <v>AP</v>
      </c>
      <c r="G42" s="664">
        <v>275</v>
      </c>
      <c r="H42" s="664">
        <v>224</v>
      </c>
      <c r="I42" s="664">
        <v>385</v>
      </c>
      <c r="J42" s="665">
        <v>275</v>
      </c>
      <c r="K42" s="665"/>
      <c r="L42" s="665"/>
      <c r="M42" s="654"/>
      <c r="N42" s="654"/>
      <c r="O42" s="654"/>
      <c r="P42" s="654"/>
      <c r="Q42" s="654"/>
      <c r="R42" s="654"/>
      <c r="S42" s="772">
        <f t="shared" si="11"/>
        <v>1159</v>
      </c>
      <c r="T42" s="905"/>
    </row>
    <row r="43" spans="1:23" hidden="1">
      <c r="A43" s="583"/>
      <c r="B43" s="583"/>
      <c r="C43" s="583"/>
      <c r="D43" s="618"/>
      <c r="F43" s="655" t="str">
        <f t="shared" si="10"/>
        <v>BA</v>
      </c>
      <c r="G43" s="664">
        <v>1725</v>
      </c>
      <c r="H43" s="664">
        <v>2083</v>
      </c>
      <c r="I43" s="664">
        <v>2520</v>
      </c>
      <c r="J43" s="665">
        <v>2024</v>
      </c>
      <c r="K43" s="665"/>
      <c r="L43" s="665"/>
      <c r="M43" s="654"/>
      <c r="N43" s="654"/>
      <c r="O43" s="654"/>
      <c r="P43" s="654"/>
      <c r="Q43" s="654"/>
      <c r="R43" s="654"/>
      <c r="S43" s="772">
        <f t="shared" si="11"/>
        <v>8352</v>
      </c>
      <c r="T43" s="905"/>
    </row>
    <row r="44" spans="1:23" hidden="1">
      <c r="D44" s="618"/>
      <c r="F44" s="655" t="str">
        <f t="shared" si="10"/>
        <v>CE</v>
      </c>
      <c r="G44" s="664">
        <v>1100</v>
      </c>
      <c r="H44" s="664">
        <v>1236</v>
      </c>
      <c r="I44" s="664">
        <v>1334</v>
      </c>
      <c r="J44" s="665">
        <v>1155</v>
      </c>
      <c r="K44" s="665"/>
      <c r="L44" s="665"/>
      <c r="M44" s="654"/>
      <c r="N44" s="654"/>
      <c r="O44" s="654"/>
      <c r="P44" s="654"/>
      <c r="Q44" s="654"/>
      <c r="R44" s="654"/>
      <c r="S44" s="772">
        <f t="shared" si="11"/>
        <v>4825</v>
      </c>
    </row>
    <row r="45" spans="1:23" hidden="1">
      <c r="D45" s="618"/>
      <c r="F45" s="655" t="str">
        <f t="shared" si="10"/>
        <v>DF</v>
      </c>
      <c r="G45" s="664">
        <v>1367</v>
      </c>
      <c r="H45" s="664">
        <v>1399</v>
      </c>
      <c r="I45" s="664">
        <v>1614</v>
      </c>
      <c r="J45" s="665">
        <v>1422</v>
      </c>
      <c r="K45" s="665"/>
      <c r="L45" s="665"/>
      <c r="M45" s="654"/>
      <c r="N45" s="654"/>
      <c r="O45" s="654"/>
      <c r="P45" s="654"/>
      <c r="Q45" s="654"/>
      <c r="R45" s="654"/>
      <c r="S45" s="772">
        <f t="shared" si="11"/>
        <v>5802</v>
      </c>
    </row>
    <row r="46" spans="1:23" hidden="1">
      <c r="D46" s="618"/>
      <c r="F46" s="655" t="str">
        <f t="shared" si="10"/>
        <v>ES</v>
      </c>
      <c r="G46" s="664">
        <v>1165</v>
      </c>
      <c r="H46" s="664">
        <v>1277</v>
      </c>
      <c r="I46" s="664">
        <v>1683</v>
      </c>
      <c r="J46" s="665">
        <v>1311</v>
      </c>
      <c r="K46" s="665"/>
      <c r="L46" s="665"/>
      <c r="M46" s="654"/>
      <c r="N46" s="654"/>
      <c r="O46" s="654"/>
      <c r="P46" s="654"/>
      <c r="Q46" s="654"/>
      <c r="R46" s="654"/>
      <c r="S46" s="772">
        <f t="shared" si="11"/>
        <v>5436</v>
      </c>
    </row>
    <row r="47" spans="1:23" hidden="1">
      <c r="D47" s="618"/>
      <c r="F47" s="655" t="str">
        <f t="shared" si="10"/>
        <v>GO</v>
      </c>
      <c r="G47" s="664">
        <v>2134</v>
      </c>
      <c r="H47" s="664">
        <v>2476</v>
      </c>
      <c r="I47" s="664">
        <v>3378</v>
      </c>
      <c r="J47" s="665">
        <v>2626</v>
      </c>
      <c r="K47" s="665"/>
      <c r="L47" s="665"/>
      <c r="M47" s="654"/>
      <c r="N47" s="654"/>
      <c r="O47" s="654"/>
      <c r="P47" s="654"/>
      <c r="Q47" s="654"/>
      <c r="R47" s="654"/>
      <c r="S47" s="772">
        <f t="shared" si="11"/>
        <v>10614</v>
      </c>
    </row>
    <row r="48" spans="1:23" hidden="1">
      <c r="D48" s="618"/>
      <c r="F48" s="655" t="str">
        <f t="shared" si="10"/>
        <v>MA</v>
      </c>
      <c r="G48" s="664">
        <v>530</v>
      </c>
      <c r="H48" s="664">
        <v>652</v>
      </c>
      <c r="I48" s="664">
        <v>700</v>
      </c>
      <c r="J48" s="665">
        <v>611</v>
      </c>
      <c r="K48" s="665"/>
      <c r="L48" s="665"/>
      <c r="M48" s="654"/>
      <c r="N48" s="654"/>
      <c r="O48" s="654"/>
      <c r="P48" s="654"/>
      <c r="Q48" s="654"/>
      <c r="R48" s="654"/>
      <c r="S48" s="772">
        <f t="shared" si="11"/>
        <v>2493</v>
      </c>
    </row>
    <row r="49" spans="4:19" hidden="1">
      <c r="D49" s="618"/>
      <c r="F49" s="655" t="str">
        <f t="shared" si="10"/>
        <v>MG</v>
      </c>
      <c r="G49" s="664">
        <v>4091</v>
      </c>
      <c r="H49" s="664">
        <v>4349</v>
      </c>
      <c r="I49" s="664">
        <v>5847</v>
      </c>
      <c r="J49" s="665">
        <v>4913</v>
      </c>
      <c r="K49" s="665"/>
      <c r="L49" s="665"/>
      <c r="M49" s="654"/>
      <c r="N49" s="654"/>
      <c r="O49" s="654"/>
      <c r="P49" s="654"/>
      <c r="Q49" s="654"/>
      <c r="R49" s="654"/>
      <c r="S49" s="772">
        <f t="shared" si="11"/>
        <v>19200</v>
      </c>
    </row>
    <row r="50" spans="4:19" hidden="1">
      <c r="D50" s="618"/>
      <c r="F50" s="655" t="str">
        <f t="shared" si="10"/>
        <v>MS</v>
      </c>
      <c r="G50" s="664">
        <v>1326</v>
      </c>
      <c r="H50" s="664">
        <v>1564</v>
      </c>
      <c r="I50" s="664">
        <v>2166</v>
      </c>
      <c r="J50" s="665">
        <v>1592</v>
      </c>
      <c r="K50" s="665"/>
      <c r="L50" s="665"/>
      <c r="M50" s="654"/>
      <c r="N50" s="654"/>
      <c r="O50" s="654"/>
      <c r="P50" s="654"/>
      <c r="Q50" s="654"/>
      <c r="R50" s="654"/>
      <c r="S50" s="772">
        <f t="shared" si="11"/>
        <v>6648</v>
      </c>
    </row>
    <row r="51" spans="4:19" hidden="1">
      <c r="D51" s="618"/>
      <c r="F51" s="655" t="str">
        <f t="shared" si="10"/>
        <v>MT</v>
      </c>
      <c r="G51" s="664">
        <v>1810</v>
      </c>
      <c r="H51" s="664">
        <v>2454</v>
      </c>
      <c r="I51" s="664">
        <v>3220</v>
      </c>
      <c r="J51" s="665">
        <v>2686</v>
      </c>
      <c r="K51" s="665"/>
      <c r="L51" s="665"/>
      <c r="M51" s="654"/>
      <c r="N51" s="654"/>
      <c r="O51" s="654"/>
      <c r="P51" s="654"/>
      <c r="Q51" s="654"/>
      <c r="R51" s="654"/>
      <c r="S51" s="772">
        <f t="shared" si="11"/>
        <v>10170</v>
      </c>
    </row>
    <row r="52" spans="4:19" hidden="1">
      <c r="D52" s="618"/>
      <c r="F52" s="655" t="str">
        <f t="shared" si="10"/>
        <v>PA</v>
      </c>
      <c r="G52" s="664">
        <v>726</v>
      </c>
      <c r="H52" s="664">
        <v>791</v>
      </c>
      <c r="I52" s="664">
        <v>1091</v>
      </c>
      <c r="J52" s="665">
        <v>1011</v>
      </c>
      <c r="K52" s="665"/>
      <c r="L52" s="665"/>
      <c r="M52" s="654"/>
      <c r="N52" s="654"/>
      <c r="O52" s="654"/>
      <c r="P52" s="654"/>
      <c r="Q52" s="654"/>
      <c r="R52" s="654"/>
      <c r="S52" s="772">
        <f t="shared" si="11"/>
        <v>3619</v>
      </c>
    </row>
    <row r="53" spans="4:19" hidden="1">
      <c r="D53" s="618"/>
      <c r="F53" s="655" t="str">
        <f t="shared" si="10"/>
        <v>PB</v>
      </c>
      <c r="G53" s="664">
        <v>851</v>
      </c>
      <c r="H53" s="664">
        <v>889</v>
      </c>
      <c r="I53" s="664">
        <v>1174</v>
      </c>
      <c r="J53" s="665">
        <v>898</v>
      </c>
      <c r="K53" s="665"/>
      <c r="L53" s="665"/>
      <c r="M53" s="654"/>
      <c r="N53" s="654"/>
      <c r="O53" s="654"/>
      <c r="P53" s="654"/>
      <c r="Q53" s="654"/>
      <c r="R53" s="654"/>
      <c r="S53" s="772">
        <f t="shared" si="11"/>
        <v>3812</v>
      </c>
    </row>
    <row r="54" spans="4:19" hidden="1">
      <c r="D54" s="618"/>
      <c r="F54" s="655" t="str">
        <f t="shared" si="10"/>
        <v>PE</v>
      </c>
      <c r="G54" s="664">
        <v>1397</v>
      </c>
      <c r="H54" s="664">
        <v>1560</v>
      </c>
      <c r="I54" s="664">
        <v>1969</v>
      </c>
      <c r="J54" s="665">
        <v>1667</v>
      </c>
      <c r="K54" s="665"/>
      <c r="L54" s="665"/>
      <c r="M54" s="654"/>
      <c r="N54" s="654"/>
      <c r="O54" s="654"/>
      <c r="P54" s="654"/>
      <c r="Q54" s="654"/>
      <c r="R54" s="654"/>
      <c r="S54" s="772">
        <f t="shared" si="11"/>
        <v>6593</v>
      </c>
    </row>
    <row r="55" spans="4:19" hidden="1">
      <c r="D55" s="618"/>
      <c r="F55" s="655" t="str">
        <f t="shared" si="10"/>
        <v>PI</v>
      </c>
      <c r="G55" s="664">
        <v>366</v>
      </c>
      <c r="H55" s="664">
        <v>445</v>
      </c>
      <c r="I55" s="664">
        <v>518</v>
      </c>
      <c r="J55" s="665">
        <v>478</v>
      </c>
      <c r="K55" s="665"/>
      <c r="L55" s="665"/>
      <c r="M55" s="654"/>
      <c r="N55" s="654"/>
      <c r="O55" s="654"/>
      <c r="P55" s="654"/>
      <c r="Q55" s="654"/>
      <c r="R55" s="654"/>
      <c r="S55" s="772">
        <f t="shared" si="11"/>
        <v>1807</v>
      </c>
    </row>
    <row r="56" spans="4:19" hidden="1">
      <c r="D56" s="618"/>
      <c r="F56" s="655" t="str">
        <f t="shared" si="10"/>
        <v>PR</v>
      </c>
      <c r="G56" s="664">
        <v>5049</v>
      </c>
      <c r="H56" s="664">
        <v>5624</v>
      </c>
      <c r="I56" s="664">
        <v>7162</v>
      </c>
      <c r="J56" s="665">
        <v>6003</v>
      </c>
      <c r="K56" s="665"/>
      <c r="L56" s="665"/>
      <c r="M56" s="654"/>
      <c r="N56" s="654"/>
      <c r="O56" s="654"/>
      <c r="P56" s="654"/>
      <c r="Q56" s="654"/>
      <c r="R56" s="654"/>
      <c r="S56" s="772">
        <f t="shared" si="11"/>
        <v>23838</v>
      </c>
    </row>
    <row r="57" spans="4:19" hidden="1">
      <c r="D57" s="618"/>
      <c r="F57" s="655" t="str">
        <f t="shared" si="10"/>
        <v>RJ</v>
      </c>
      <c r="G57" s="664">
        <v>4464</v>
      </c>
      <c r="H57" s="664">
        <v>5001</v>
      </c>
      <c r="I57" s="664">
        <v>6025</v>
      </c>
      <c r="J57" s="665">
        <v>5065</v>
      </c>
      <c r="K57" s="665"/>
      <c r="L57" s="665"/>
      <c r="M57" s="654"/>
      <c r="N57" s="654"/>
      <c r="O57" s="654"/>
      <c r="P57" s="654"/>
      <c r="Q57" s="654"/>
      <c r="R57" s="654"/>
      <c r="S57" s="772">
        <f t="shared" si="11"/>
        <v>20555</v>
      </c>
    </row>
    <row r="58" spans="4:19" hidden="1">
      <c r="D58" s="618"/>
      <c r="F58" s="655" t="str">
        <f t="shared" si="10"/>
        <v>RN</v>
      </c>
      <c r="G58" s="664">
        <v>654</v>
      </c>
      <c r="H58" s="664">
        <v>767</v>
      </c>
      <c r="I58" s="664">
        <v>894</v>
      </c>
      <c r="J58" s="665">
        <v>791</v>
      </c>
      <c r="K58" s="665"/>
      <c r="L58" s="665"/>
      <c r="M58" s="654"/>
      <c r="N58" s="654"/>
      <c r="O58" s="654"/>
      <c r="P58" s="654"/>
      <c r="Q58" s="654"/>
      <c r="R58" s="654"/>
      <c r="S58" s="772">
        <f t="shared" si="11"/>
        <v>3106</v>
      </c>
    </row>
    <row r="59" spans="4:19" hidden="1">
      <c r="D59" s="618"/>
      <c r="F59" s="655" t="str">
        <f t="shared" si="10"/>
        <v>RO</v>
      </c>
      <c r="G59" s="664">
        <v>555</v>
      </c>
      <c r="H59" s="664">
        <v>633</v>
      </c>
      <c r="I59" s="664">
        <v>820</v>
      </c>
      <c r="J59" s="665">
        <v>816</v>
      </c>
      <c r="K59" s="665"/>
      <c r="L59" s="665"/>
      <c r="M59" s="654"/>
      <c r="N59" s="654"/>
      <c r="O59" s="654"/>
      <c r="P59" s="654"/>
      <c r="Q59" s="654"/>
      <c r="R59" s="654"/>
      <c r="S59" s="772">
        <f t="shared" si="11"/>
        <v>2824</v>
      </c>
    </row>
    <row r="60" spans="4:19" hidden="1">
      <c r="D60" s="618"/>
      <c r="F60" s="655" t="str">
        <f t="shared" si="10"/>
        <v>RR</v>
      </c>
      <c r="G60" s="664">
        <v>129</v>
      </c>
      <c r="H60" s="664">
        <v>144</v>
      </c>
      <c r="I60" s="664">
        <v>145</v>
      </c>
      <c r="J60" s="665">
        <v>145</v>
      </c>
      <c r="K60" s="665"/>
      <c r="L60" s="665"/>
      <c r="M60" s="654"/>
      <c r="N60" s="654"/>
      <c r="O60" s="654"/>
      <c r="P60" s="654"/>
      <c r="Q60" s="654"/>
      <c r="R60" s="654"/>
      <c r="S60" s="772">
        <f t="shared" si="11"/>
        <v>563</v>
      </c>
    </row>
    <row r="61" spans="4:19" hidden="1">
      <c r="D61" s="618"/>
      <c r="F61" s="655" t="str">
        <f t="shared" si="10"/>
        <v>RS</v>
      </c>
      <c r="G61" s="664">
        <v>6803</v>
      </c>
      <c r="H61" s="664">
        <v>7579</v>
      </c>
      <c r="I61" s="664">
        <v>8797</v>
      </c>
      <c r="J61" s="665">
        <v>7546</v>
      </c>
      <c r="K61" s="665"/>
      <c r="L61" s="665"/>
      <c r="M61" s="654"/>
      <c r="N61" s="654"/>
      <c r="O61" s="654"/>
      <c r="P61" s="654"/>
      <c r="Q61" s="654"/>
      <c r="R61" s="654"/>
      <c r="S61" s="772">
        <f t="shared" si="11"/>
        <v>30725</v>
      </c>
    </row>
    <row r="62" spans="4:19" hidden="1">
      <c r="D62" s="618"/>
      <c r="F62" s="655" t="str">
        <f t="shared" si="10"/>
        <v>SC</v>
      </c>
      <c r="G62" s="664">
        <v>3992</v>
      </c>
      <c r="H62" s="664">
        <v>4531</v>
      </c>
      <c r="I62" s="664">
        <v>6453</v>
      </c>
      <c r="J62" s="665">
        <v>4932</v>
      </c>
      <c r="K62" s="665"/>
      <c r="L62" s="665"/>
      <c r="M62" s="654"/>
      <c r="N62" s="654"/>
      <c r="O62" s="654"/>
      <c r="P62" s="654"/>
      <c r="Q62" s="654"/>
      <c r="R62" s="654"/>
      <c r="S62" s="772">
        <f t="shared" si="11"/>
        <v>19908</v>
      </c>
    </row>
    <row r="63" spans="4:19" hidden="1">
      <c r="D63" s="618"/>
      <c r="F63" s="655" t="str">
        <f t="shared" si="10"/>
        <v>SE</v>
      </c>
      <c r="G63" s="664">
        <v>601</v>
      </c>
      <c r="H63" s="664">
        <v>670</v>
      </c>
      <c r="I63" s="664">
        <v>961</v>
      </c>
      <c r="J63" s="665">
        <v>732</v>
      </c>
      <c r="K63" s="665"/>
      <c r="L63" s="665"/>
      <c r="M63" s="654"/>
      <c r="N63" s="654"/>
      <c r="O63" s="654"/>
      <c r="P63" s="654"/>
      <c r="Q63" s="654"/>
      <c r="R63" s="654"/>
      <c r="S63" s="772">
        <f t="shared" si="11"/>
        <v>2964</v>
      </c>
    </row>
    <row r="64" spans="4:19" hidden="1">
      <c r="D64" s="618"/>
      <c r="F64" s="655" t="str">
        <f t="shared" si="10"/>
        <v>SP</v>
      </c>
      <c r="G64" s="664">
        <v>23130</v>
      </c>
      <c r="H64" s="664">
        <v>25601</v>
      </c>
      <c r="I64" s="664">
        <v>32744</v>
      </c>
      <c r="J64" s="665">
        <v>27573</v>
      </c>
      <c r="K64" s="665"/>
      <c r="L64" s="665"/>
      <c r="M64" s="654"/>
      <c r="N64" s="654"/>
      <c r="O64" s="654"/>
      <c r="P64" s="654"/>
      <c r="Q64" s="654"/>
      <c r="R64" s="654"/>
      <c r="S64" s="772">
        <f t="shared" si="11"/>
        <v>109048</v>
      </c>
    </row>
    <row r="65" spans="6:19" hidden="1">
      <c r="F65" s="655" t="str">
        <f t="shared" si="10"/>
        <v>TO</v>
      </c>
      <c r="G65" s="664">
        <v>308</v>
      </c>
      <c r="H65" s="664">
        <v>375</v>
      </c>
      <c r="I65" s="664">
        <v>501</v>
      </c>
      <c r="J65" s="665">
        <v>458</v>
      </c>
      <c r="K65" s="665"/>
      <c r="L65" s="665"/>
      <c r="M65" s="654"/>
      <c r="N65" s="654"/>
      <c r="O65" s="654"/>
      <c r="P65" s="654"/>
      <c r="Q65" s="654"/>
      <c r="R65" s="654"/>
      <c r="S65" s="772">
        <f t="shared" si="11"/>
        <v>1642</v>
      </c>
    </row>
    <row r="66" spans="6:19" hidden="1">
      <c r="F66" s="165" t="s">
        <v>118</v>
      </c>
      <c r="G66" s="676">
        <f t="shared" ref="G66:R66" si="12">SUM(G39:G65)</f>
        <v>65965</v>
      </c>
      <c r="H66" s="676">
        <f t="shared" si="12"/>
        <v>73809</v>
      </c>
      <c r="I66" s="676">
        <f t="shared" si="12"/>
        <v>94024</v>
      </c>
      <c r="J66" s="676">
        <f t="shared" si="12"/>
        <v>78399</v>
      </c>
      <c r="K66" s="676">
        <f t="shared" si="12"/>
        <v>0</v>
      </c>
      <c r="L66" s="676">
        <f t="shared" si="12"/>
        <v>0</v>
      </c>
      <c r="M66" s="676">
        <f t="shared" si="12"/>
        <v>0</v>
      </c>
      <c r="N66" s="676">
        <f t="shared" si="12"/>
        <v>0</v>
      </c>
      <c r="O66" s="677">
        <f t="shared" si="12"/>
        <v>0</v>
      </c>
      <c r="P66" s="677">
        <f t="shared" si="12"/>
        <v>0</v>
      </c>
      <c r="Q66" s="677">
        <f t="shared" si="12"/>
        <v>0</v>
      </c>
      <c r="R66" s="677">
        <f t="shared" si="12"/>
        <v>0</v>
      </c>
      <c r="S66" s="773">
        <f t="shared" ref="S66" si="13">SUM(S39:S65)</f>
        <v>312197</v>
      </c>
    </row>
    <row r="67" spans="6:19" hidden="1">
      <c r="J67" s="780" t="b">
        <v>1</v>
      </c>
      <c r="S67" s="780" t="b">
        <f>SUM(G66:R66)=S66</f>
        <v>1</v>
      </c>
    </row>
  </sheetData>
  <mergeCells count="12">
    <mergeCell ref="T39:T43"/>
    <mergeCell ref="F37:S37"/>
    <mergeCell ref="B1:U1"/>
    <mergeCell ref="A2:A3"/>
    <mergeCell ref="B2:C2"/>
    <mergeCell ref="T2:T3"/>
    <mergeCell ref="U2:U3"/>
    <mergeCell ref="S2:S3"/>
    <mergeCell ref="G2:R2"/>
    <mergeCell ref="E2:E3"/>
    <mergeCell ref="F2:F3"/>
    <mergeCell ref="D2:D3"/>
  </mergeCells>
  <phoneticPr fontId="68" type="noConversion"/>
  <conditionalFormatting sqref="I35 C35:D35">
    <cfRule type="cellIs" dxfId="115" priority="10" operator="equal">
      <formula>TRUE</formula>
    </cfRule>
  </conditionalFormatting>
  <conditionalFormatting sqref="G35:H35">
    <cfRule type="cellIs" dxfId="114" priority="9" operator="equal">
      <formula>TRUE</formula>
    </cfRule>
  </conditionalFormatting>
  <conditionalFormatting sqref="J35:R35">
    <cfRule type="cellIs" dxfId="113" priority="7" operator="equal">
      <formula>TRUE</formula>
    </cfRule>
  </conditionalFormatting>
  <conditionalFormatting sqref="S35">
    <cfRule type="cellIs" dxfId="112" priority="6" operator="equal">
      <formula>TRUE</formula>
    </cfRule>
  </conditionalFormatting>
  <conditionalFormatting sqref="D34">
    <cfRule type="cellIs" dxfId="111" priority="54" operator="equal">
      <formula>#REF!</formula>
    </cfRule>
  </conditionalFormatting>
  <conditionalFormatting sqref="J67">
    <cfRule type="cellIs" dxfId="110" priority="3" operator="equal">
      <formula>FALSE</formula>
    </cfRule>
    <cfRule type="cellIs" dxfId="109" priority="4" operator="equal">
      <formula>TRUE</formula>
    </cfRule>
  </conditionalFormatting>
  <conditionalFormatting sqref="S67">
    <cfRule type="cellIs" dxfId="108" priority="1" operator="equal">
      <formula>FALSE</formula>
    </cfRule>
    <cfRule type="cellIs" dxfId="107" priority="2" operator="equal">
      <formula>TRUE</formula>
    </cfRule>
  </conditionalFormatting>
  <printOptions horizontalCentered="1"/>
  <pageMargins left="0.51181102362204722" right="0.51181102362204722" top="0.78740157480314965" bottom="0.78740157480314965" header="0.31496062992125984" footer="0.31496062992125984"/>
  <pageSetup paperSize="9" scale="2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2">
    <tabColor theme="6"/>
    <pageSetUpPr fitToPage="1"/>
  </sheetPr>
  <dimension ref="A1:S1048573"/>
  <sheetViews>
    <sheetView showGridLines="0" zoomScale="85" zoomScaleNormal="85" zoomScaleSheetLayoutView="50" workbookViewId="0">
      <pane xSplit="1" topLeftCell="C1" activePane="topRight" state="frozen"/>
      <selection activeCell="DQ31" sqref="DQ31:DV31"/>
      <selection pane="topRight" activeCell="DQ31" sqref="DQ31:DV31"/>
    </sheetView>
  </sheetViews>
  <sheetFormatPr defaultRowHeight="15.75"/>
  <cols>
    <col min="1" max="1" width="14.140625" style="165" bestFit="1" customWidth="1"/>
    <col min="2" max="2" width="22.85546875" style="165" customWidth="1"/>
    <col min="3" max="3" width="17" style="165" bestFit="1" customWidth="1"/>
    <col min="4" max="4" width="17.28515625" style="165" bestFit="1" customWidth="1"/>
    <col min="5" max="6" width="17" style="165" bestFit="1" customWidth="1"/>
    <col min="7" max="7" width="16.28515625" style="165" bestFit="1" customWidth="1"/>
    <col min="8" max="8" width="17" style="165" bestFit="1" customWidth="1"/>
    <col min="9" max="9" width="16" style="165" bestFit="1" customWidth="1"/>
    <col min="10" max="10" width="15.42578125" style="165" bestFit="1" customWidth="1"/>
    <col min="11" max="11" width="17.28515625" style="165" bestFit="1" customWidth="1"/>
    <col min="12" max="12" width="15.7109375" style="165" bestFit="1" customWidth="1"/>
    <col min="13" max="13" width="17.85546875" style="165" bestFit="1" customWidth="1"/>
    <col min="14" max="14" width="17.28515625" style="165" bestFit="1" customWidth="1"/>
    <col min="15" max="15" width="21.42578125" style="165" bestFit="1" customWidth="1"/>
    <col min="16" max="16" width="20.140625" style="165" bestFit="1" customWidth="1"/>
    <col min="17" max="17" width="22.7109375" style="165" bestFit="1" customWidth="1"/>
    <col min="18" max="18" width="8.42578125" style="165" bestFit="1" customWidth="1"/>
    <col min="19" max="16384" width="9.140625" style="165"/>
  </cols>
  <sheetData>
    <row r="1" spans="1:18" s="583" customFormat="1" ht="48" customHeight="1">
      <c r="A1" s="912" t="s">
        <v>172</v>
      </c>
      <c r="B1" s="691" t="s">
        <v>166</v>
      </c>
      <c r="C1" s="918" t="s">
        <v>132</v>
      </c>
      <c r="D1" s="918"/>
      <c r="E1" s="918"/>
      <c r="F1" s="918"/>
      <c r="G1" s="918"/>
      <c r="H1" s="918"/>
      <c r="I1" s="918"/>
      <c r="J1" s="918"/>
      <c r="K1" s="918"/>
      <c r="L1" s="918"/>
      <c r="M1" s="918"/>
      <c r="N1" s="918"/>
      <c r="O1" s="912" t="s">
        <v>333</v>
      </c>
      <c r="P1" s="912" t="s">
        <v>332</v>
      </c>
      <c r="Q1" s="912" t="s">
        <v>331</v>
      </c>
      <c r="R1" s="917"/>
    </row>
    <row r="2" spans="1:18" s="583" customFormat="1">
      <c r="A2" s="912"/>
      <c r="B2" s="691" t="s">
        <v>345</v>
      </c>
      <c r="C2" s="692" t="s">
        <v>290</v>
      </c>
      <c r="D2" s="692" t="s">
        <v>289</v>
      </c>
      <c r="E2" s="692" t="s">
        <v>321</v>
      </c>
      <c r="F2" s="692" t="s">
        <v>288</v>
      </c>
      <c r="G2" s="692" t="s">
        <v>287</v>
      </c>
      <c r="H2" s="692" t="s">
        <v>286</v>
      </c>
      <c r="I2" s="692" t="s">
        <v>285</v>
      </c>
      <c r="J2" s="692" t="s">
        <v>284</v>
      </c>
      <c r="K2" s="692" t="s">
        <v>283</v>
      </c>
      <c r="L2" s="692" t="s">
        <v>282</v>
      </c>
      <c r="M2" s="692" t="s">
        <v>281</v>
      </c>
      <c r="N2" s="692" t="s">
        <v>280</v>
      </c>
      <c r="O2" s="912"/>
      <c r="P2" s="912"/>
      <c r="Q2" s="912"/>
      <c r="R2" s="917"/>
    </row>
    <row r="3" spans="1:18" s="583" customFormat="1">
      <c r="A3" s="584" t="s">
        <v>77</v>
      </c>
      <c r="B3" s="693">
        <v>28255.510000000002</v>
      </c>
      <c r="C3" s="694">
        <f>VLOOKUP($A$3:$A$29,JAN!$A$5:$X$31,24,)</f>
        <v>1973.5680000000002</v>
      </c>
      <c r="D3" s="694">
        <f>VLOOKUP($A$3:$A$29,FEV!$A$5:$X$31,24,)</f>
        <v>3646.0640000000003</v>
      </c>
      <c r="E3" s="694">
        <f>VLOOKUP($A$3:$A$29,MAR!$A$5:$X$31,24,)</f>
        <v>4330.0239999999994</v>
      </c>
      <c r="F3" s="695">
        <f>VLOOKUP($A$3:$A$29,ABR!$A$5:$X$31,24,)</f>
        <v>2913.52</v>
      </c>
      <c r="G3" s="695">
        <f>VLOOKUP($A$3:$A$29,MAI!$A$5:$X$31,24,)</f>
        <v>3701.5520000000006</v>
      </c>
      <c r="H3" s="695">
        <f>VLOOKUP($A$3:$A$29,JUN!$A$5:$X$31,24,)</f>
        <v>2419.04</v>
      </c>
      <c r="I3" s="696">
        <f>VLOOKUP($A$3:$A$29,JUL!$A$5:$X$31,24,)</f>
        <v>3805.5200000000004</v>
      </c>
      <c r="J3" s="696">
        <f>VLOOKUP($A$3:$A$29,AGO!$A$5:$X$31,24,)</f>
        <v>4929.9040000000005</v>
      </c>
      <c r="K3" s="696">
        <f>VLOOKUP($A$3:$A$29,SET!$A$5:$X$31,24,)</f>
        <v>3060.7280000000001</v>
      </c>
      <c r="L3" s="696">
        <f>VLOOKUP($A$3:$A$29,OUT!$A$5:$X$31,24,)</f>
        <v>0</v>
      </c>
      <c r="M3" s="697">
        <f>VLOOKUP($A$3:$A$29,NOV!$A$5:$X$31,24,)</f>
        <v>0</v>
      </c>
      <c r="N3" s="697">
        <f>VLOOKUP($A$3:$A$29,DEZ!$A$5:$X$31,24,)</f>
        <v>0</v>
      </c>
      <c r="O3" s="697">
        <f t="shared" ref="O3:O32" si="0">SUM(C3:N3)</f>
        <v>30779.920000000002</v>
      </c>
      <c r="P3" s="698">
        <f t="shared" ref="P3:P32" si="1">O3/B3*100</f>
        <v>108.93422203315389</v>
      </c>
      <c r="Q3" s="699">
        <f t="shared" ref="Q3:Q32" si="2">O3/$O$32*100</f>
        <v>0.38060457113411206</v>
      </c>
      <c r="R3" s="700">
        <f>IFERROR(O3/B3,)</f>
        <v>1.0893422203315388</v>
      </c>
    </row>
    <row r="4" spans="1:18" s="583" customFormat="1">
      <c r="A4" s="584" t="s">
        <v>78</v>
      </c>
      <c r="B4" s="693">
        <v>65757.320000000007</v>
      </c>
      <c r="C4" s="694">
        <f>VLOOKUP($A$3:$A$29,JAN!$A$5:$X$31,24,)</f>
        <v>6551.88</v>
      </c>
      <c r="D4" s="694">
        <f>VLOOKUP($A$3:$A$29,FEV!$A$5:$X$31,24,)</f>
        <v>5885.6080000000002</v>
      </c>
      <c r="E4" s="694">
        <f>VLOOKUP($A$3:$A$29,MAR!$A$5:$X$31,24,)</f>
        <v>5611.8879999999999</v>
      </c>
      <c r="F4" s="695">
        <f>VLOOKUP($A$3:$A$29,ABR!$A$5:$X$31,24,)</f>
        <v>5178.9440000000004</v>
      </c>
      <c r="G4" s="695">
        <f>VLOOKUP($A$3:$A$29,MAI!$A$5:$X$31,24,)</f>
        <v>5095.8720000000003</v>
      </c>
      <c r="H4" s="695">
        <f>VLOOKUP($A$3:$A$29,JUN!$A$5:$X$31,24,)</f>
        <v>6789.5120000000015</v>
      </c>
      <c r="I4" s="696">
        <f>VLOOKUP($A$3:$A$29,JUL!$A$5:$X$31,24,)</f>
        <v>4916.16</v>
      </c>
      <c r="J4" s="696">
        <f>VLOOKUP($A$3:$A$29,AGO!$A$5:$X$31,24,)</f>
        <v>9229.119999999999</v>
      </c>
      <c r="K4" s="696">
        <f>VLOOKUP($A$3:$A$29,SET!$A$5:$X$31,24,)</f>
        <v>6780.4480000000012</v>
      </c>
      <c r="L4" s="696">
        <f>VLOOKUP($A$3:$A$29,OUT!$A$5:$X$31,24,)</f>
        <v>0</v>
      </c>
      <c r="M4" s="697">
        <f>VLOOKUP($A$3:$A$29,NOV!$A$5:$X$31,24,)</f>
        <v>0</v>
      </c>
      <c r="N4" s="697">
        <f>VLOOKUP($A$3:$A$29,DEZ!$A$5:$X$31,24,)</f>
        <v>0</v>
      </c>
      <c r="O4" s="697">
        <f t="shared" si="0"/>
        <v>56039.432000000001</v>
      </c>
      <c r="P4" s="698">
        <f t="shared" si="1"/>
        <v>85.221587497787311</v>
      </c>
      <c r="Q4" s="699">
        <f t="shared" si="2"/>
        <v>0.69294734953694603</v>
      </c>
      <c r="R4" s="700">
        <f t="shared" ref="R4:R34" si="3">IFERROR(O4/B4,)</f>
        <v>0.8522158749778731</v>
      </c>
    </row>
    <row r="5" spans="1:18" s="583" customFormat="1">
      <c r="A5" s="584" t="s">
        <v>80</v>
      </c>
      <c r="B5" s="693">
        <v>64497.72</v>
      </c>
      <c r="C5" s="694">
        <f>VLOOKUP($A$3:$A$29,JAN!$A$5:$X$31,24,)</f>
        <v>4253.7840000000006</v>
      </c>
      <c r="D5" s="694">
        <f>VLOOKUP($A$3:$A$29,FEV!$A$5:$X$31,24,)</f>
        <v>6205.112000000001</v>
      </c>
      <c r="E5" s="694">
        <f>VLOOKUP($A$3:$A$29,MAR!$A$5:$X$31,24,)</f>
        <v>6999.1840000000002</v>
      </c>
      <c r="F5" s="695">
        <f>VLOOKUP($A$3:$A$29,ABR!$A$5:$X$31,24,)</f>
        <v>5589.8079999999991</v>
      </c>
      <c r="G5" s="695">
        <f>VLOOKUP($A$3:$A$29,MAI!$A$5:$X$31,24,)</f>
        <v>5128.9119999999994</v>
      </c>
      <c r="H5" s="695">
        <f>VLOOKUP($A$3:$A$29,JUN!$A$5:$X$31,24,)</f>
        <v>5866.952000000002</v>
      </c>
      <c r="I5" s="696">
        <f>VLOOKUP($A$3:$A$29,JUL!$A$5:$X$31,24,)</f>
        <v>7086.1760000000013</v>
      </c>
      <c r="J5" s="696">
        <f>VLOOKUP($A$3:$A$29,AGO!$A$5:$X$31,24,)</f>
        <v>7465.4560000000001</v>
      </c>
      <c r="K5" s="696">
        <f>VLOOKUP($A$3:$A$29,SET!$A$5:$X$31,24,)</f>
        <v>6657.8740000000016</v>
      </c>
      <c r="L5" s="696">
        <f>VLOOKUP($A$3:$A$29,OUT!$A$5:$X$31,24,)</f>
        <v>0</v>
      </c>
      <c r="M5" s="697">
        <f>VLOOKUP($A$3:$A$29,NOV!$A$5:$X$31,24,)</f>
        <v>0</v>
      </c>
      <c r="N5" s="697">
        <f>VLOOKUP($A$3:$A$29,DEZ!$A$5:$X$31,24,)</f>
        <v>0</v>
      </c>
      <c r="O5" s="697">
        <f t="shared" si="0"/>
        <v>55253.258000000002</v>
      </c>
      <c r="P5" s="698">
        <f t="shared" si="1"/>
        <v>85.666994120102231</v>
      </c>
      <c r="Q5" s="699">
        <f t="shared" si="2"/>
        <v>0.68322603063466203</v>
      </c>
      <c r="R5" s="700">
        <f t="shared" si="3"/>
        <v>0.85666994120102236</v>
      </c>
    </row>
    <row r="6" spans="1:18" s="583" customFormat="1">
      <c r="A6" s="584" t="s">
        <v>79</v>
      </c>
      <c r="B6" s="693">
        <v>34372.410000000003</v>
      </c>
      <c r="C6" s="694">
        <f>VLOOKUP($A$3:$A$29,JAN!$A$5:$X$31,24,)</f>
        <v>3912.6400000000003</v>
      </c>
      <c r="D6" s="694">
        <f>VLOOKUP($A$3:$A$29,FEV!$A$5:$X$31,24,)</f>
        <v>4466.32</v>
      </c>
      <c r="E6" s="694">
        <f>VLOOKUP($A$3:$A$29,MAR!$A$5:$X$31,24,)</f>
        <v>4404.04</v>
      </c>
      <c r="F6" s="695">
        <f>VLOOKUP($A$3:$A$29,ABR!$A$5:$X$31,24,)</f>
        <v>4281.4640000000009</v>
      </c>
      <c r="G6" s="695">
        <f>VLOOKUP($A$3:$A$29,MAI!$A$5:$X$31,24,)</f>
        <v>3140.76</v>
      </c>
      <c r="H6" s="695">
        <f>VLOOKUP($A$3:$A$29,JUN!$A$5:$X$31,24,)</f>
        <v>2553.3680000000004</v>
      </c>
      <c r="I6" s="696">
        <f>VLOOKUP($A$3:$A$29,JUL!$A$5:$X$31,24,)</f>
        <v>5913.0879999999997</v>
      </c>
      <c r="J6" s="696">
        <f>VLOOKUP($A$3:$A$29,AGO!$A$5:$X$31,24,)</f>
        <v>3804.424</v>
      </c>
      <c r="K6" s="696">
        <f>VLOOKUP($A$3:$A$29,SET!$A$5:$X$31,24,)</f>
        <v>4939.6960000000008</v>
      </c>
      <c r="L6" s="696">
        <f>VLOOKUP($A$3:$A$29,OUT!$A$5:$X$31,24,)</f>
        <v>0</v>
      </c>
      <c r="M6" s="697">
        <f>VLOOKUP($A$3:$A$29,NOV!$A$5:$X$31,24,)</f>
        <v>0</v>
      </c>
      <c r="N6" s="697">
        <f>VLOOKUP($A$3:$A$29,DEZ!$A$5:$X$31,24,)</f>
        <v>0</v>
      </c>
      <c r="O6" s="697">
        <f t="shared" si="0"/>
        <v>37415.800000000003</v>
      </c>
      <c r="P6" s="698">
        <f t="shared" si="1"/>
        <v>108.85416530292756</v>
      </c>
      <c r="Q6" s="699">
        <f t="shared" si="2"/>
        <v>0.46265956872661501</v>
      </c>
      <c r="R6" s="700">
        <f t="shared" si="3"/>
        <v>1.0885416530292755</v>
      </c>
    </row>
    <row r="7" spans="1:18" s="583" customFormat="1">
      <c r="A7" s="584" t="s">
        <v>81</v>
      </c>
      <c r="B7" s="693">
        <v>160121</v>
      </c>
      <c r="C7" s="694">
        <f>VLOOKUP($A$3:$A$29,JAN!$A$5:$X$31,24,)</f>
        <v>12183.904</v>
      </c>
      <c r="D7" s="694">
        <f>VLOOKUP($A$3:$A$29,FEV!$A$5:$X$31,24,)</f>
        <v>15737.248000000005</v>
      </c>
      <c r="E7" s="694">
        <f>VLOOKUP($A$3:$A$29,MAR!$A$5:$X$31,24,)</f>
        <v>19794.656000000003</v>
      </c>
      <c r="F7" s="695">
        <f>VLOOKUP($A$3:$A$29,ABR!$A$5:$X$31,24,)</f>
        <v>20817.968000000001</v>
      </c>
      <c r="G7" s="695">
        <f>VLOOKUP($A$3:$A$29,MAI!$A$5:$X$31,24,)</f>
        <v>19921.039999999997</v>
      </c>
      <c r="H7" s="695">
        <f>VLOOKUP($A$3:$A$29,JUN!$A$5:$X$31,24,)</f>
        <v>13829.952000000001</v>
      </c>
      <c r="I7" s="696">
        <f>VLOOKUP($A$3:$A$29,JUL!$A$5:$X$31,24,)</f>
        <v>17526.024000000001</v>
      </c>
      <c r="J7" s="696">
        <f>VLOOKUP($A$3:$A$29,AGO!$A$5:$X$31,24,)</f>
        <v>25032.312000000002</v>
      </c>
      <c r="K7" s="696">
        <f>VLOOKUP($A$3:$A$29,SET!$A$5:$X$31,24,)</f>
        <v>24223.608</v>
      </c>
      <c r="L7" s="696">
        <f>VLOOKUP($A$3:$A$29,OUT!$A$5:$X$31,24,)</f>
        <v>0</v>
      </c>
      <c r="M7" s="697">
        <f>VLOOKUP($A$3:$A$29,NOV!$A$5:$X$31,24,)</f>
        <v>0</v>
      </c>
      <c r="N7" s="697">
        <f>VLOOKUP($A$3:$A$29,DEZ!$A$5:$X$31,24,)</f>
        <v>0</v>
      </c>
      <c r="O7" s="697">
        <f t="shared" si="0"/>
        <v>169066.71200000003</v>
      </c>
      <c r="P7" s="698">
        <f t="shared" si="1"/>
        <v>105.58684494850772</v>
      </c>
      <c r="Q7" s="699">
        <f t="shared" si="2"/>
        <v>2.090569547088311</v>
      </c>
      <c r="R7" s="700">
        <f t="shared" si="3"/>
        <v>1.0558684494850772</v>
      </c>
    </row>
    <row r="8" spans="1:18" s="583" customFormat="1">
      <c r="A8" s="584" t="s">
        <v>82</v>
      </c>
      <c r="B8" s="693">
        <v>110694.43000000001</v>
      </c>
      <c r="C8" s="694">
        <f>VLOOKUP($A$3:$A$29,JAN!$A$5:$X$31,24,)</f>
        <v>15204.544000000002</v>
      </c>
      <c r="D8" s="694">
        <f>VLOOKUP($A$3:$A$29,FEV!$A$5:$X$31,24,)</f>
        <v>13189.888000000001</v>
      </c>
      <c r="E8" s="694">
        <f>VLOOKUP($A$3:$A$29,MAR!$A$5:$X$31,24,)</f>
        <v>17974.727999999999</v>
      </c>
      <c r="F8" s="695">
        <f>VLOOKUP($A$3:$A$29,ABR!$A$5:$X$31,24,)</f>
        <v>9136.6640000000007</v>
      </c>
      <c r="G8" s="695">
        <f>VLOOKUP($A$3:$A$29,MAI!$A$5:$X$31,24,)</f>
        <v>13215.32</v>
      </c>
      <c r="H8" s="695">
        <f>VLOOKUP($A$3:$A$29,JUN!$A$5:$X$31,24,)</f>
        <v>21362.424000000003</v>
      </c>
      <c r="I8" s="696">
        <f>VLOOKUP($A$3:$A$29,JUL!$A$5:$X$31,24,)</f>
        <v>26844.552</v>
      </c>
      <c r="J8" s="696">
        <f>VLOOKUP($A$3:$A$29,AGO!$A$5:$X$31,24,)</f>
        <v>31971.88</v>
      </c>
      <c r="K8" s="696">
        <f>VLOOKUP($A$3:$A$29,SET!$A$5:$X$31,24,)</f>
        <v>28576.239999999998</v>
      </c>
      <c r="L8" s="696">
        <f>VLOOKUP($A$3:$A$29,OUT!$A$5:$X$31,24,)</f>
        <v>0</v>
      </c>
      <c r="M8" s="697">
        <f>VLOOKUP($A$3:$A$29,NOV!$A$5:$X$31,24,)</f>
        <v>0</v>
      </c>
      <c r="N8" s="697">
        <f>VLOOKUP($A$3:$A$29,DEZ!$A$5:$X$31,24,)</f>
        <v>0</v>
      </c>
      <c r="O8" s="697">
        <f t="shared" si="0"/>
        <v>177476.24</v>
      </c>
      <c r="P8" s="698">
        <f t="shared" si="1"/>
        <v>160.32987386989569</v>
      </c>
      <c r="Q8" s="699">
        <f t="shared" si="2"/>
        <v>2.194556328011728</v>
      </c>
      <c r="R8" s="700">
        <f t="shared" si="3"/>
        <v>1.603298738698957</v>
      </c>
    </row>
    <row r="9" spans="1:18" s="583" customFormat="1">
      <c r="A9" s="584" t="s">
        <v>83</v>
      </c>
      <c r="B9" s="693">
        <v>176003.27000000002</v>
      </c>
      <c r="C9" s="694">
        <f>VLOOKUP($A$3:$A$29,JAN!$A$5:$X$31,24,)</f>
        <v>18313.168000000001</v>
      </c>
      <c r="D9" s="694">
        <f>VLOOKUP($A$3:$A$29,FEV!$A$5:$X$31,24,)</f>
        <v>14923.616000000004</v>
      </c>
      <c r="E9" s="694">
        <f>VLOOKUP($A$3:$A$29,MAR!$A$5:$X$31,24,)</f>
        <v>15589.96</v>
      </c>
      <c r="F9" s="695">
        <f>VLOOKUP($A$3:$A$29,ABR!$A$5:$X$31,24,)</f>
        <v>13695.072000000002</v>
      </c>
      <c r="G9" s="695">
        <f>VLOOKUP($A$3:$A$29,MAI!$A$5:$X$31,24,)</f>
        <v>39566.047999999995</v>
      </c>
      <c r="H9" s="695">
        <f>VLOOKUP($A$3:$A$29,JUN!$A$5:$X$31,24,)</f>
        <v>28231.216000000004</v>
      </c>
      <c r="I9" s="696">
        <f>VLOOKUP($A$3:$A$29,JUL!$A$5:$X$31,24,)</f>
        <v>27949.584000000006</v>
      </c>
      <c r="J9" s="696">
        <f>VLOOKUP($A$3:$A$29,AGO!$A$5:$X$31,24,)</f>
        <v>43496.880000000005</v>
      </c>
      <c r="K9" s="696">
        <f>VLOOKUP($A$3:$A$29,SET!$A$5:$X$31,24,)</f>
        <v>39840.663999999997</v>
      </c>
      <c r="L9" s="696">
        <f>VLOOKUP($A$3:$A$29,OUT!$A$5:$X$31,24,)</f>
        <v>0</v>
      </c>
      <c r="M9" s="697">
        <f>VLOOKUP($A$3:$A$29,NOV!$A$5:$X$31,24,)</f>
        <v>0</v>
      </c>
      <c r="N9" s="697">
        <f>VLOOKUP($A$3:$A$29,DEZ!$A$5:$X$31,24,)</f>
        <v>0</v>
      </c>
      <c r="O9" s="697">
        <f t="shared" si="0"/>
        <v>241606.20800000001</v>
      </c>
      <c r="P9" s="698">
        <f t="shared" si="1"/>
        <v>137.2737040624302</v>
      </c>
      <c r="Q9" s="699">
        <f t="shared" si="2"/>
        <v>2.9875460098395017</v>
      </c>
      <c r="R9" s="700">
        <f t="shared" si="3"/>
        <v>1.372737040624302</v>
      </c>
    </row>
    <row r="10" spans="1:18" s="583" customFormat="1">
      <c r="A10" s="584" t="s">
        <v>84</v>
      </c>
      <c r="B10" s="693">
        <v>125197.05</v>
      </c>
      <c r="C10" s="694">
        <f>VLOOKUP($A$3:$A$29,JAN!$A$5:$X$31,24,)</f>
        <v>7768.463999999999</v>
      </c>
      <c r="D10" s="694">
        <f>VLOOKUP($A$3:$A$29,FEV!$A$5:$X$31,24,)</f>
        <v>11635.696</v>
      </c>
      <c r="E10" s="694">
        <f>VLOOKUP($A$3:$A$29,MAR!$A$5:$X$31,24,)</f>
        <v>14032.560000000001</v>
      </c>
      <c r="F10" s="695">
        <f>VLOOKUP($A$3:$A$29,ABR!$A$5:$X$31,24,)</f>
        <v>7445.3920000000007</v>
      </c>
      <c r="G10" s="695">
        <f>VLOOKUP($A$3:$A$29,MAI!$A$5:$X$31,24,)</f>
        <v>12203.032000000001</v>
      </c>
      <c r="H10" s="695">
        <f>VLOOKUP($A$3:$A$29,JUN!$A$5:$X$31,24,)</f>
        <v>9967.5760000000009</v>
      </c>
      <c r="I10" s="696">
        <f>VLOOKUP($A$3:$A$29,JUL!$A$5:$X$31,24,)</f>
        <v>12884.480000000001</v>
      </c>
      <c r="J10" s="696">
        <f>VLOOKUP($A$3:$A$29,AGO!$A$5:$X$31,24,)</f>
        <v>20668.256000000001</v>
      </c>
      <c r="K10" s="696">
        <f>VLOOKUP($A$3:$A$29,SET!$A$5:$X$31,24,)</f>
        <v>19832.311999999998</v>
      </c>
      <c r="L10" s="696">
        <f>VLOOKUP($A$3:$A$29,OUT!$A$5:$X$31,24,)</f>
        <v>0</v>
      </c>
      <c r="M10" s="697">
        <f>VLOOKUP($A$3:$A$29,NOV!$A$5:$X$31,24,)</f>
        <v>0</v>
      </c>
      <c r="N10" s="697">
        <f>VLOOKUP($A$3:$A$29,DEZ!$A$5:$X$31,24,)</f>
        <v>0</v>
      </c>
      <c r="O10" s="697">
        <f t="shared" si="0"/>
        <v>116437.76800000001</v>
      </c>
      <c r="P10" s="698">
        <f t="shared" si="1"/>
        <v>93.00360351941201</v>
      </c>
      <c r="Q10" s="699">
        <f t="shared" si="2"/>
        <v>1.4397940850220936</v>
      </c>
      <c r="R10" s="700">
        <f t="shared" si="3"/>
        <v>0.93003603519412004</v>
      </c>
    </row>
    <row r="11" spans="1:18" s="583" customFormat="1">
      <c r="A11" s="584" t="s">
        <v>85</v>
      </c>
      <c r="B11" s="693">
        <v>153353.85999999999</v>
      </c>
      <c r="C11" s="694">
        <f>VLOOKUP($A$3:$A$29,JAN!$A$5:$X$31,24,)</f>
        <v>13443.144</v>
      </c>
      <c r="D11" s="694">
        <f>VLOOKUP($A$3:$A$29,FEV!$A$5:$X$31,24,)</f>
        <v>12828.864000000001</v>
      </c>
      <c r="E11" s="694">
        <f>VLOOKUP($A$3:$A$29,MAR!$A$5:$X$31,24,)</f>
        <v>18685.832000000002</v>
      </c>
      <c r="F11" s="695">
        <f>VLOOKUP($A$3:$A$29,ABR!$A$5:$X$31,24,)</f>
        <v>12107.199999999999</v>
      </c>
      <c r="G11" s="695">
        <f>VLOOKUP($A$3:$A$29,MAI!$A$5:$X$31,24,)</f>
        <v>13619.84</v>
      </c>
      <c r="H11" s="695">
        <f>VLOOKUP($A$3:$A$29,JUN!$A$5:$X$31,24,)</f>
        <v>13772.128000000001</v>
      </c>
      <c r="I11" s="696">
        <f>VLOOKUP($A$3:$A$29,JUL!$A$5:$X$31,24,)</f>
        <v>25756.872000000003</v>
      </c>
      <c r="J11" s="696">
        <f>VLOOKUP($A$3:$A$29,AGO!$A$5:$X$31,24,)</f>
        <v>40161.040000000001</v>
      </c>
      <c r="K11" s="696">
        <f>VLOOKUP($A$3:$A$29,SET!$A$5:$X$31,24,)</f>
        <v>36068.351999999999</v>
      </c>
      <c r="L11" s="696">
        <f>VLOOKUP($A$3:$A$29,OUT!$A$5:$X$31,24,)</f>
        <v>0</v>
      </c>
      <c r="M11" s="697">
        <f>VLOOKUP($A$3:$A$29,NOV!$A$5:$X$31,24,)</f>
        <v>0</v>
      </c>
      <c r="N11" s="697">
        <f>VLOOKUP($A$3:$A$29,DEZ!$A$5:$X$31,24,)</f>
        <v>0</v>
      </c>
      <c r="O11" s="697">
        <f t="shared" si="0"/>
        <v>186443.272</v>
      </c>
      <c r="P11" s="698">
        <f t="shared" si="1"/>
        <v>121.57716277894799</v>
      </c>
      <c r="Q11" s="699">
        <f t="shared" si="2"/>
        <v>2.3054368426038989</v>
      </c>
      <c r="R11" s="700">
        <f t="shared" si="3"/>
        <v>1.2157716277894799</v>
      </c>
    </row>
    <row r="12" spans="1:18" s="583" customFormat="1">
      <c r="A12" s="584" t="s">
        <v>86</v>
      </c>
      <c r="B12" s="693">
        <v>44648.26</v>
      </c>
      <c r="C12" s="694">
        <f>VLOOKUP($A$3:$A$29,JAN!$A$5:$X$31,24,)</f>
        <v>2823.36</v>
      </c>
      <c r="D12" s="694">
        <f>VLOOKUP($A$3:$A$29,FEV!$A$5:$X$31,24,)</f>
        <v>5137.2800000000007</v>
      </c>
      <c r="E12" s="694">
        <f>VLOOKUP($A$3:$A$29,MAR!$A$5:$X$31,24,)</f>
        <v>4715.6000000000004</v>
      </c>
      <c r="F12" s="695">
        <f>VLOOKUP($A$3:$A$29,ABR!$A$5:$X$31,24,)</f>
        <v>2949.4640000000004</v>
      </c>
      <c r="G12" s="695">
        <f>VLOOKUP($A$3:$A$29,MAI!$A$5:$X$31,24,)</f>
        <v>8454.0959999999995</v>
      </c>
      <c r="H12" s="695">
        <f>VLOOKUP($A$3:$A$29,JUN!$A$5:$X$31,24,)</f>
        <v>4350.2960000000003</v>
      </c>
      <c r="I12" s="696">
        <f>VLOOKUP($A$3:$A$29,JUL!$A$5:$X$31,24,)</f>
        <v>6094.04</v>
      </c>
      <c r="J12" s="696">
        <f>VLOOKUP($A$3:$A$29,AGO!$A$5:$X$31,24,)</f>
        <v>10119.144000000002</v>
      </c>
      <c r="K12" s="696">
        <f>VLOOKUP($A$3:$A$29,SET!$A$5:$X$31,24,)</f>
        <v>7829.9120000000012</v>
      </c>
      <c r="L12" s="696">
        <f>VLOOKUP($A$3:$A$29,OUT!$A$5:$X$31,24,)</f>
        <v>0</v>
      </c>
      <c r="M12" s="697">
        <f>VLOOKUP($A$3:$A$29,NOV!$A$5:$X$31,24,)</f>
        <v>0</v>
      </c>
      <c r="N12" s="697">
        <f>VLOOKUP($A$3:$A$29,DEZ!$A$5:$X$31,24,)</f>
        <v>0</v>
      </c>
      <c r="O12" s="697">
        <f t="shared" si="0"/>
        <v>52473.19200000001</v>
      </c>
      <c r="P12" s="698">
        <f t="shared" si="1"/>
        <v>117.52572664645835</v>
      </c>
      <c r="Q12" s="699">
        <f t="shared" si="2"/>
        <v>0.6488495336309491</v>
      </c>
      <c r="R12" s="700">
        <f t="shared" si="3"/>
        <v>1.1752572664645835</v>
      </c>
    </row>
    <row r="13" spans="1:18" s="583" customFormat="1">
      <c r="A13" s="584" t="s">
        <v>89</v>
      </c>
      <c r="B13" s="693">
        <v>524881.82000000007</v>
      </c>
      <c r="C13" s="694">
        <f>VLOOKUP($A$3:$A$29,JAN!$A$5:$X$31,24,)</f>
        <v>42590.271999999997</v>
      </c>
      <c r="D13" s="694">
        <f>VLOOKUP($A$3:$A$29,FEV!$A$5:$X$31,24,)</f>
        <v>48997.536</v>
      </c>
      <c r="E13" s="694">
        <f>VLOOKUP($A$3:$A$29,MAR!$A$5:$X$31,24,)</f>
        <v>68535.551999999996</v>
      </c>
      <c r="F13" s="695">
        <f>VLOOKUP($A$3:$A$29,ABR!$A$5:$X$31,24,)</f>
        <v>51851.952000000012</v>
      </c>
      <c r="G13" s="695">
        <f>VLOOKUP($A$3:$A$29,MAI!$A$5:$X$31,24,)</f>
        <v>50655.896000000008</v>
      </c>
      <c r="H13" s="695">
        <f>VLOOKUP($A$3:$A$29,JUN!$A$5:$X$31,24,)</f>
        <v>46528.90400000001</v>
      </c>
      <c r="I13" s="696">
        <f>VLOOKUP($A$3:$A$29,JUL!$A$5:$X$31,24,)</f>
        <v>62597.824000000008</v>
      </c>
      <c r="J13" s="696">
        <f>VLOOKUP($A$3:$A$29,AGO!$A$5:$X$31,24,)</f>
        <v>73563.135999999999</v>
      </c>
      <c r="K13" s="696">
        <f>VLOOKUP($A$3:$A$29,SET!$A$5:$X$31,24,)</f>
        <v>52313.4</v>
      </c>
      <c r="L13" s="696">
        <f>VLOOKUP($A$3:$A$29,OUT!$A$5:$X$31,24,)</f>
        <v>0</v>
      </c>
      <c r="M13" s="697">
        <f>VLOOKUP($A$3:$A$29,NOV!$A$5:$X$31,24,)</f>
        <v>0</v>
      </c>
      <c r="N13" s="697">
        <f>VLOOKUP($A$3:$A$29,DEZ!$A$5:$X$31,24,)</f>
        <v>0</v>
      </c>
      <c r="O13" s="697">
        <f t="shared" si="0"/>
        <v>497634.47200000001</v>
      </c>
      <c r="P13" s="698">
        <f t="shared" si="1"/>
        <v>94.808860402137753</v>
      </c>
      <c r="Q13" s="699">
        <f t="shared" si="2"/>
        <v>6.1534258307724743</v>
      </c>
      <c r="R13" s="700">
        <f t="shared" si="3"/>
        <v>0.94808860402137751</v>
      </c>
    </row>
    <row r="14" spans="1:18" s="583" customFormat="1">
      <c r="A14" s="584" t="s">
        <v>88</v>
      </c>
      <c r="B14" s="693">
        <v>143612.68</v>
      </c>
      <c r="C14" s="694">
        <f>VLOOKUP($A$3:$A$29,JAN!$A$5:$X$31,24,)</f>
        <v>11452.376000000002</v>
      </c>
      <c r="D14" s="694">
        <f>VLOOKUP($A$3:$A$29,FEV!$A$5:$X$31,24,)</f>
        <v>16917.176000000003</v>
      </c>
      <c r="E14" s="694">
        <f>VLOOKUP($A$3:$A$29,MAR!$A$5:$X$31,24,)</f>
        <v>12919.144</v>
      </c>
      <c r="F14" s="695">
        <f>VLOOKUP($A$3:$A$29,ABR!$A$5:$X$31,24,)</f>
        <v>14024.848</v>
      </c>
      <c r="G14" s="695">
        <f>VLOOKUP($A$3:$A$29,MAI!$A$5:$X$31,24,)</f>
        <v>15595.600000000002</v>
      </c>
      <c r="H14" s="695">
        <f>VLOOKUP($A$3:$A$29,JUN!$A$5:$X$31,24,)</f>
        <v>16681.016000000003</v>
      </c>
      <c r="I14" s="696">
        <f>VLOOKUP($A$3:$A$29,JUL!$A$5:$X$31,24,)</f>
        <v>14851.536</v>
      </c>
      <c r="J14" s="696">
        <f>VLOOKUP($A$3:$A$29,AGO!$A$5:$X$31,24,)</f>
        <v>26528.472000000005</v>
      </c>
      <c r="K14" s="696">
        <f>VLOOKUP($A$3:$A$29,SET!$A$5:$X$31,24,)</f>
        <v>31069.528000000009</v>
      </c>
      <c r="L14" s="696">
        <f>VLOOKUP($A$3:$A$29,OUT!$A$5:$X$31,24,)</f>
        <v>0</v>
      </c>
      <c r="M14" s="697">
        <f>VLOOKUP($A$3:$A$29,NOV!$A$5:$X$31,24,)</f>
        <v>0</v>
      </c>
      <c r="N14" s="697">
        <f>VLOOKUP($A$3:$A$29,DEZ!$A$5:$X$31,24,)</f>
        <v>0</v>
      </c>
      <c r="O14" s="697">
        <f t="shared" si="0"/>
        <v>160039.69600000003</v>
      </c>
      <c r="P14" s="698">
        <f t="shared" si="1"/>
        <v>111.43841616213834</v>
      </c>
      <c r="Q14" s="699">
        <f t="shared" si="2"/>
        <v>1.9789473091714884</v>
      </c>
      <c r="R14" s="700">
        <f t="shared" si="3"/>
        <v>1.1143841616213834</v>
      </c>
    </row>
    <row r="15" spans="1:18" s="583" customFormat="1">
      <c r="A15" s="584" t="s">
        <v>87</v>
      </c>
      <c r="B15" s="693">
        <v>123360.06</v>
      </c>
      <c r="C15" s="694">
        <f>VLOOKUP($A$3:$A$29,JAN!$A$5:$X$31,24,)</f>
        <v>8133.2639999999992</v>
      </c>
      <c r="D15" s="694">
        <f>VLOOKUP($A$3:$A$29,FEV!$A$5:$X$31,24,)</f>
        <v>7937.0079999999989</v>
      </c>
      <c r="E15" s="694">
        <f>VLOOKUP($A$3:$A$29,MAR!$A$5:$X$31,24,)</f>
        <v>11944.248</v>
      </c>
      <c r="F15" s="695">
        <f>VLOOKUP($A$3:$A$29,ABR!$A$5:$X$31,24,)</f>
        <v>10256.504000000001</v>
      </c>
      <c r="G15" s="695">
        <f>VLOOKUP($A$3:$A$29,MAI!$A$5:$X$31,24,)</f>
        <v>7627.5519999999997</v>
      </c>
      <c r="H15" s="695">
        <f>VLOOKUP($A$3:$A$29,JUN!$A$5:$X$31,24,)</f>
        <v>10129.768</v>
      </c>
      <c r="I15" s="696">
        <f>VLOOKUP($A$3:$A$29,JUL!$A$5:$X$31,24,)</f>
        <v>12720.008</v>
      </c>
      <c r="J15" s="696">
        <f>VLOOKUP($A$3:$A$29,AGO!$A$5:$X$31,24,)</f>
        <v>11765.616</v>
      </c>
      <c r="K15" s="696">
        <f>VLOOKUP($A$3:$A$29,SET!$A$5:$X$31,24,)</f>
        <v>14054.367999999999</v>
      </c>
      <c r="L15" s="696">
        <f>VLOOKUP($A$3:$A$29,OUT!$A$5:$X$31,24,)</f>
        <v>0</v>
      </c>
      <c r="M15" s="697">
        <f>VLOOKUP($A$3:$A$29,NOV!$A$5:$X$31,24,)</f>
        <v>0</v>
      </c>
      <c r="N15" s="697">
        <f>VLOOKUP($A$3:$A$29,DEZ!$A$5:$X$31,24,)</f>
        <v>0</v>
      </c>
      <c r="O15" s="697">
        <f t="shared" si="0"/>
        <v>94568.335999999996</v>
      </c>
      <c r="P15" s="698">
        <f t="shared" si="1"/>
        <v>76.660416669706549</v>
      </c>
      <c r="Q15" s="699">
        <f t="shared" si="2"/>
        <v>1.1693708419692646</v>
      </c>
      <c r="R15" s="700">
        <f t="shared" si="3"/>
        <v>0.76660416669706544</v>
      </c>
    </row>
    <row r="16" spans="1:18" s="583" customFormat="1">
      <c r="A16" s="584" t="s">
        <v>90</v>
      </c>
      <c r="B16" s="693">
        <v>77079.790000000008</v>
      </c>
      <c r="C16" s="694">
        <f>VLOOKUP($A$3:$A$29,JAN!$A$5:$X$31,24,)</f>
        <v>6658.9519999999993</v>
      </c>
      <c r="D16" s="694">
        <f>VLOOKUP($A$3:$A$29,FEV!$A$5:$X$31,24,)</f>
        <v>9064.496000000001</v>
      </c>
      <c r="E16" s="694">
        <f>VLOOKUP($A$3:$A$29,MAR!$A$5:$X$31,24,)</f>
        <v>9643.1759999999995</v>
      </c>
      <c r="F16" s="695">
        <f>VLOOKUP($A$3:$A$29,ABR!$A$5:$X$31,24,)</f>
        <v>7691.6399999999994</v>
      </c>
      <c r="G16" s="695">
        <f>VLOOKUP($A$3:$A$29,MAI!$A$5:$X$31,24,)</f>
        <v>10161.448</v>
      </c>
      <c r="H16" s="695">
        <f>VLOOKUP($A$3:$A$29,JUN!$A$5:$X$31,24,)</f>
        <v>9589.4160000000011</v>
      </c>
      <c r="I16" s="696">
        <f>VLOOKUP($A$3:$A$29,JUL!$A$5:$X$31,24,)</f>
        <v>10016.24</v>
      </c>
      <c r="J16" s="696">
        <f>VLOOKUP($A$3:$A$29,AGO!$A$5:$X$31,24,)</f>
        <v>10418.280000000001</v>
      </c>
      <c r="K16" s="696">
        <f>VLOOKUP($A$3:$A$29,SET!$A$5:$X$31,24,)</f>
        <v>10011.704000000002</v>
      </c>
      <c r="L16" s="696">
        <f>VLOOKUP($A$3:$A$29,OUT!$A$5:$X$31,24,)</f>
        <v>0</v>
      </c>
      <c r="M16" s="697">
        <f>VLOOKUP($A$3:$A$29,NOV!$A$5:$X$31,24,)</f>
        <v>0</v>
      </c>
      <c r="N16" s="697">
        <f>VLOOKUP($A$3:$A$29,DEZ!$A$5:$X$31,24,)</f>
        <v>0</v>
      </c>
      <c r="O16" s="697">
        <f t="shared" si="0"/>
        <v>83255.351999999999</v>
      </c>
      <c r="P16" s="698">
        <f t="shared" si="1"/>
        <v>108.01190817982248</v>
      </c>
      <c r="Q16" s="699">
        <f t="shared" si="2"/>
        <v>1.0294818031554189</v>
      </c>
      <c r="R16" s="700">
        <f t="shared" si="3"/>
        <v>1.0801190817982249</v>
      </c>
    </row>
    <row r="17" spans="1:19" s="583" customFormat="1">
      <c r="A17" s="584" t="s">
        <v>91</v>
      </c>
      <c r="B17" s="693">
        <v>95283.22</v>
      </c>
      <c r="C17" s="694">
        <f>VLOOKUP($A$3:$A$29,JAN!$A$5:$X$31,24,)</f>
        <v>8130.1200000000008</v>
      </c>
      <c r="D17" s="694">
        <f>VLOOKUP($A$3:$A$29,FEV!$A$5:$X$31,24,)</f>
        <v>10173.064</v>
      </c>
      <c r="E17" s="694">
        <f>VLOOKUP($A$3:$A$29,MAR!$A$5:$X$31,24,)</f>
        <v>19173.728000000003</v>
      </c>
      <c r="F17" s="695">
        <f>VLOOKUP($A$3:$A$29,ABR!$A$5:$X$31,24,)</f>
        <v>8968.1760000000013</v>
      </c>
      <c r="G17" s="695">
        <f>VLOOKUP($A$3:$A$29,MAI!$A$5:$X$31,24,)</f>
        <v>10455.416000000003</v>
      </c>
      <c r="H17" s="695">
        <f>VLOOKUP($A$3:$A$29,JUN!$A$5:$X$31,24,)</f>
        <v>10201.072</v>
      </c>
      <c r="I17" s="696">
        <f>VLOOKUP($A$3:$A$29,JUL!$A$5:$X$31,24,)</f>
        <v>13406.000000000002</v>
      </c>
      <c r="J17" s="696">
        <f>VLOOKUP($A$3:$A$29,AGO!$A$5:$X$31,24,)</f>
        <v>18957.944000000003</v>
      </c>
      <c r="K17" s="696">
        <f>VLOOKUP($A$3:$A$29,SET!$A$5:$X$31,24,)</f>
        <v>20681.991999999998</v>
      </c>
      <c r="L17" s="696">
        <f>VLOOKUP($A$3:$A$29,OUT!$A$5:$X$31,24,)</f>
        <v>0</v>
      </c>
      <c r="M17" s="697">
        <f>VLOOKUP($A$3:$A$29,NOV!$A$5:$X$31,24,)</f>
        <v>0</v>
      </c>
      <c r="N17" s="697">
        <f>VLOOKUP($A$3:$A$29,DEZ!$A$5:$X$31,24,)</f>
        <v>0</v>
      </c>
      <c r="O17" s="697">
        <f t="shared" si="0"/>
        <v>120147.512</v>
      </c>
      <c r="P17" s="698">
        <f t="shared" si="1"/>
        <v>126.09514246055076</v>
      </c>
      <c r="Q17" s="699">
        <f t="shared" si="2"/>
        <v>1.4856663785217954</v>
      </c>
      <c r="R17" s="700">
        <f t="shared" si="3"/>
        <v>1.2609514246055076</v>
      </c>
    </row>
    <row r="18" spans="1:19" s="583" customFormat="1">
      <c r="A18" s="584" t="s">
        <v>93</v>
      </c>
      <c r="B18" s="693">
        <v>189430.22</v>
      </c>
      <c r="C18" s="694">
        <f>VLOOKUP($A$3:$A$29,JAN!$A$5:$X$31,24,)</f>
        <v>15557.080000000002</v>
      </c>
      <c r="D18" s="694">
        <f>VLOOKUP($A$3:$A$29,FEV!$A$5:$X$31,24,)</f>
        <v>21446.824000000004</v>
      </c>
      <c r="E18" s="694">
        <f>VLOOKUP($A$3:$A$29,MAR!$A$5:$X$31,24,)</f>
        <v>13843.784000000001</v>
      </c>
      <c r="F18" s="695">
        <f>VLOOKUP($A$3:$A$29,ABR!$A$5:$X$31,24,)</f>
        <v>13938.376</v>
      </c>
      <c r="G18" s="695">
        <f>VLOOKUP($A$3:$A$29,MAI!$A$5:$X$31,24,)</f>
        <v>22232.967999999997</v>
      </c>
      <c r="H18" s="695">
        <f>VLOOKUP($A$3:$A$29,JUN!$A$5:$X$31,24,)</f>
        <v>20050.896000000001</v>
      </c>
      <c r="I18" s="696">
        <f>VLOOKUP($A$3:$A$29,JUL!$A$5:$X$31,24,)</f>
        <v>18359.152000000002</v>
      </c>
      <c r="J18" s="696">
        <f>VLOOKUP($A$3:$A$29,AGO!$A$5:$X$31,24,)</f>
        <v>26249.376</v>
      </c>
      <c r="K18" s="696">
        <f>VLOOKUP($A$3:$A$29,SET!$A$5:$X$31,24,)</f>
        <v>19906.919999999998</v>
      </c>
      <c r="L18" s="696">
        <f>VLOOKUP($A$3:$A$29,OUT!$A$5:$X$31,24,)</f>
        <v>0</v>
      </c>
      <c r="M18" s="697">
        <f>VLOOKUP($A$3:$A$29,NOV!$A$5:$X$31,24,)</f>
        <v>0</v>
      </c>
      <c r="N18" s="697">
        <f>VLOOKUP($A$3:$A$29,DEZ!$A$5:$X$31,24,)</f>
        <v>0</v>
      </c>
      <c r="O18" s="697">
        <f t="shared" si="0"/>
        <v>171585.37599999999</v>
      </c>
      <c r="P18" s="698">
        <f t="shared" si="1"/>
        <v>90.5797269305816</v>
      </c>
      <c r="Q18" s="699">
        <f t="shared" si="2"/>
        <v>2.1217137161293911</v>
      </c>
      <c r="R18" s="700">
        <f t="shared" si="3"/>
        <v>0.90579726930581606</v>
      </c>
    </row>
    <row r="19" spans="1:19" s="583" customFormat="1">
      <c r="A19" s="798" t="s">
        <v>94</v>
      </c>
      <c r="B19" s="693">
        <v>44159.64</v>
      </c>
      <c r="C19" s="694">
        <f>VLOOKUP($A$3:$A$29,JAN!$A$5:$X$31,24,)</f>
        <v>3522.096</v>
      </c>
      <c r="D19" s="694">
        <f>VLOOKUP($A$3:$A$29,FEV!$A$5:$X$31,24,)</f>
        <v>1935.8320000000001</v>
      </c>
      <c r="E19" s="694">
        <f>VLOOKUP($A$3:$A$29,MAR!$A$5:$X$31,24,)</f>
        <v>4160.4720000000007</v>
      </c>
      <c r="F19" s="695">
        <f>VLOOKUP($A$3:$A$29,ABR!$A$5:$X$31,24,)</f>
        <v>2128.768</v>
      </c>
      <c r="G19" s="695">
        <f>VLOOKUP($A$3:$A$29,MAI!$A$5:$X$31,24,)</f>
        <v>2053.0320000000002</v>
      </c>
      <c r="H19" s="695">
        <f>VLOOKUP($A$3:$A$29,JUN!$A$5:$X$31,24,)</f>
        <v>2008.84</v>
      </c>
      <c r="I19" s="696">
        <f>VLOOKUP($A$3:$A$29,JUL!$A$5:$X$31,24,)</f>
        <v>3284.7339999999999</v>
      </c>
      <c r="J19" s="696">
        <f>VLOOKUP($A$3:$A$29,AGO!$A$5:$X$31,24,)</f>
        <v>7030.0159999999996</v>
      </c>
      <c r="K19" s="696">
        <f>VLOOKUP($A$3:$A$29,SET!$A$5:$X$31,24,)</f>
        <v>4342.2880000000005</v>
      </c>
      <c r="L19" s="696">
        <f>VLOOKUP($A$3:$A$29,OUT!$A$5:$X$31,24,)</f>
        <v>0</v>
      </c>
      <c r="M19" s="697">
        <f>VLOOKUP($A$3:$A$29,NOV!$A$5:$X$31,24,)</f>
        <v>0</v>
      </c>
      <c r="N19" s="697">
        <f>VLOOKUP($A$3:$A$29,DEZ!$A$5:$X$31,24,)</f>
        <v>0</v>
      </c>
      <c r="O19" s="697">
        <f t="shared" si="0"/>
        <v>30466.078000000001</v>
      </c>
      <c r="P19" s="698">
        <f t="shared" si="1"/>
        <v>68.990775287117373</v>
      </c>
      <c r="Q19" s="699">
        <f t="shared" si="2"/>
        <v>0.37672380406863981</v>
      </c>
      <c r="R19" s="700">
        <f t="shared" si="3"/>
        <v>0.68990775287117379</v>
      </c>
    </row>
    <row r="20" spans="1:19" s="583" customFormat="1">
      <c r="A20" s="584" t="s">
        <v>92</v>
      </c>
      <c r="B20" s="693">
        <v>410922.9</v>
      </c>
      <c r="C20" s="694">
        <f>VLOOKUP($A$3:$A$29,JAN!$A$5:$X$31,24,)</f>
        <v>30126.624000000003</v>
      </c>
      <c r="D20" s="694">
        <f>VLOOKUP($A$3:$A$29,FEV!$A$5:$X$31,24,)</f>
        <v>53709.823999999993</v>
      </c>
      <c r="E20" s="694">
        <f>VLOOKUP($A$3:$A$29,MAR!$A$5:$X$31,24,)</f>
        <v>51653.90400000001</v>
      </c>
      <c r="F20" s="695">
        <f>VLOOKUP($A$3:$A$29,ABR!$A$5:$X$31,24,)</f>
        <v>34586.648000000008</v>
      </c>
      <c r="G20" s="695">
        <f>VLOOKUP($A$3:$A$29,MAI!$A$5:$X$31,24,)</f>
        <v>39238.424000000006</v>
      </c>
      <c r="H20" s="695">
        <f>VLOOKUP($A$3:$A$29,JUN!$A$5:$X$31,24,)</f>
        <v>40618.232000000011</v>
      </c>
      <c r="I20" s="696">
        <f>VLOOKUP($A$3:$A$29,JUL!$A$5:$X$31,24,)</f>
        <v>47244.087999999996</v>
      </c>
      <c r="J20" s="696">
        <f>VLOOKUP($A$3:$A$29,AGO!$A$5:$X$31,24,)</f>
        <v>60971.912000000004</v>
      </c>
      <c r="K20" s="696">
        <f>VLOOKUP($A$3:$A$29,SET!$A$5:$X$31,24,)</f>
        <v>47552.04</v>
      </c>
      <c r="L20" s="696">
        <f>VLOOKUP($A$3:$A$29,OUT!$A$5:$X$31,24,)</f>
        <v>0</v>
      </c>
      <c r="M20" s="697">
        <f>VLOOKUP($A$3:$A$29,NOV!$A$5:$X$31,24,)</f>
        <v>0</v>
      </c>
      <c r="N20" s="697">
        <f>VLOOKUP($A$3:$A$29,DEZ!$A$5:$X$31,24,)</f>
        <v>0</v>
      </c>
      <c r="O20" s="697">
        <f t="shared" si="0"/>
        <v>405701.69600000005</v>
      </c>
      <c r="P20" s="698">
        <f t="shared" si="1"/>
        <v>98.729395709024743</v>
      </c>
      <c r="Q20" s="699">
        <f t="shared" si="2"/>
        <v>5.0166446181296749</v>
      </c>
      <c r="R20" s="700">
        <f t="shared" si="3"/>
        <v>0.98729395709024736</v>
      </c>
    </row>
    <row r="21" spans="1:19" s="583" customFormat="1">
      <c r="A21" s="584" t="s">
        <v>95</v>
      </c>
      <c r="B21" s="693">
        <v>502437.18</v>
      </c>
      <c r="C21" s="694">
        <f>VLOOKUP($A$3:$A$29,JAN!$A$5:$X$31,24,)</f>
        <v>39874.312000000005</v>
      </c>
      <c r="D21" s="694">
        <f>VLOOKUP($A$3:$A$29,FEV!$A$5:$X$31,24,)</f>
        <v>44206.44</v>
      </c>
      <c r="E21" s="694">
        <f>VLOOKUP($A$3:$A$29,MAR!$A$5:$X$31,24,)</f>
        <v>50936</v>
      </c>
      <c r="F21" s="695">
        <f>VLOOKUP($A$3:$A$29,ABR!$A$5:$X$31,24,)</f>
        <v>30851.512000000002</v>
      </c>
      <c r="G21" s="695">
        <f>VLOOKUP($A$3:$A$29,MAI!$A$5:$X$31,24,)</f>
        <v>38524.063999999991</v>
      </c>
      <c r="H21" s="695">
        <f>VLOOKUP($A$3:$A$29,JUN!$A$5:$X$31,24,)</f>
        <v>29934.240000000002</v>
      </c>
      <c r="I21" s="696">
        <f>VLOOKUP($A$3:$A$29,JUL!$A$5:$X$31,24,)</f>
        <v>46441.840000000004</v>
      </c>
      <c r="J21" s="696">
        <f>VLOOKUP($A$3:$A$29,AGO!$A$5:$X$31,24,)</f>
        <v>63462.296000000009</v>
      </c>
      <c r="K21" s="696">
        <f>VLOOKUP($A$3:$A$29,SET!$A$5:$X$31,24,)</f>
        <v>59576.680000000008</v>
      </c>
      <c r="L21" s="696">
        <f>VLOOKUP($A$3:$A$29,OUT!$A$5:$X$31,24,)</f>
        <v>0</v>
      </c>
      <c r="M21" s="697">
        <f>VLOOKUP($A$3:$A$29,NOV!$A$5:$X$31,24,)</f>
        <v>0</v>
      </c>
      <c r="N21" s="697">
        <f>VLOOKUP($A$3:$A$29,DEZ!$A$5:$X$31,24,)</f>
        <v>0</v>
      </c>
      <c r="O21" s="697">
        <f t="shared" si="0"/>
        <v>403807.38400000002</v>
      </c>
      <c r="P21" s="698">
        <f t="shared" si="1"/>
        <v>80.369725823236266</v>
      </c>
      <c r="Q21" s="699">
        <f t="shared" si="2"/>
        <v>4.9932207818638812</v>
      </c>
      <c r="R21" s="700">
        <f t="shared" si="3"/>
        <v>0.8036972582323626</v>
      </c>
    </row>
    <row r="22" spans="1:19" s="583" customFormat="1">
      <c r="A22" s="584" t="s">
        <v>96</v>
      </c>
      <c r="B22" s="693">
        <v>80784.91</v>
      </c>
      <c r="C22" s="694">
        <f>VLOOKUP($A$3:$A$29,JAN!$A$5:$X$31,24,)</f>
        <v>4345.4480000000003</v>
      </c>
      <c r="D22" s="694">
        <f>VLOOKUP($A$3:$A$29,FEV!$A$5:$X$31,24,)</f>
        <v>8004.7439999999997</v>
      </c>
      <c r="E22" s="694">
        <f>VLOOKUP($A$3:$A$29,MAR!$A$5:$X$31,24,)</f>
        <v>9372.9680000000008</v>
      </c>
      <c r="F22" s="695">
        <f>VLOOKUP($A$3:$A$29,ABR!$A$5:$X$31,24,)</f>
        <v>12992.127999999999</v>
      </c>
      <c r="G22" s="695">
        <f>VLOOKUP($A$3:$A$29,MAI!$A$5:$X$31,24,)</f>
        <v>6690.3520000000017</v>
      </c>
      <c r="H22" s="695">
        <f>VLOOKUP($A$3:$A$29,JUN!$A$5:$X$31,24,)</f>
        <v>6141.0479999999998</v>
      </c>
      <c r="I22" s="696">
        <f>VLOOKUP($A$3:$A$29,JUL!$A$5:$X$31,24,)</f>
        <v>12929.655999999999</v>
      </c>
      <c r="J22" s="696">
        <f>VLOOKUP($A$3:$A$29,AGO!$A$5:$X$31,24,)</f>
        <v>10975.632000000001</v>
      </c>
      <c r="K22" s="696">
        <f>VLOOKUP($A$3:$A$29,SET!$A$5:$X$31,24,)</f>
        <v>8898.2320000000018</v>
      </c>
      <c r="L22" s="696">
        <f>VLOOKUP($A$3:$A$29,OUT!$A$5:$X$31,24,)</f>
        <v>0</v>
      </c>
      <c r="M22" s="697">
        <f>VLOOKUP($A$3:$A$29,NOV!$A$5:$X$31,24,)</f>
        <v>0</v>
      </c>
      <c r="N22" s="697">
        <f>VLOOKUP($A$3:$A$29,DEZ!$A$5:$X$31,24,)</f>
        <v>0</v>
      </c>
      <c r="O22" s="697">
        <f t="shared" si="0"/>
        <v>80350.207999999999</v>
      </c>
      <c r="P22" s="698">
        <f t="shared" si="1"/>
        <v>99.461901981446772</v>
      </c>
      <c r="Q22" s="699">
        <f t="shared" si="2"/>
        <v>0.99355867254939911</v>
      </c>
      <c r="R22" s="700">
        <f t="shared" si="3"/>
        <v>0.99461901981446776</v>
      </c>
    </row>
    <row r="23" spans="1:19" s="583" customFormat="1">
      <c r="A23" s="584" t="s">
        <v>98</v>
      </c>
      <c r="B23" s="693">
        <v>60161.98</v>
      </c>
      <c r="C23" s="694">
        <f>VLOOKUP($A$3:$A$29,JAN!$A$5:$X$31,24,)</f>
        <v>3074.848</v>
      </c>
      <c r="D23" s="694">
        <f>VLOOKUP($A$3:$A$29,FEV!$A$5:$X$31,24,)</f>
        <v>5115.0640000000003</v>
      </c>
      <c r="E23" s="694">
        <f>VLOOKUP($A$3:$A$29,MAR!$A$5:$X$31,24,)</f>
        <v>5009.0879999999997</v>
      </c>
      <c r="F23" s="695">
        <f>VLOOKUP($A$3:$A$29,ABR!$A$5:$X$31,24,)</f>
        <v>5177.4559999999992</v>
      </c>
      <c r="G23" s="695">
        <f>VLOOKUP($A$3:$A$29,MAI!$A$5:$X$31,24,)</f>
        <v>4858.384</v>
      </c>
      <c r="H23" s="695">
        <f>VLOOKUP($A$3:$A$29,JUN!$A$5:$X$31,24,)</f>
        <v>3001.3760000000002</v>
      </c>
      <c r="I23" s="696">
        <f>VLOOKUP($A$3:$A$29,JUL!$A$5:$X$31,24,)</f>
        <v>4519.3680000000013</v>
      </c>
      <c r="J23" s="696">
        <f>VLOOKUP($A$3:$A$29,AGO!$A$5:$X$31,24,)</f>
        <v>9255.112000000001</v>
      </c>
      <c r="K23" s="696">
        <f>VLOOKUP($A$3:$A$29,SET!$A$5:$X$31,24,)</f>
        <v>14981.040000000003</v>
      </c>
      <c r="L23" s="696">
        <f>VLOOKUP($A$3:$A$29,OUT!$A$5:$X$31,24,)</f>
        <v>0</v>
      </c>
      <c r="M23" s="697">
        <f>VLOOKUP($A$3:$A$29,NOV!$A$5:$X$31,24,)</f>
        <v>0</v>
      </c>
      <c r="N23" s="697">
        <f>VLOOKUP($A$3:$A$29,DEZ!$A$5:$X$31,24,)</f>
        <v>0</v>
      </c>
      <c r="O23" s="693">
        <f t="shared" si="0"/>
        <v>54991.735999999997</v>
      </c>
      <c r="P23" s="698">
        <f t="shared" si="1"/>
        <v>91.406127258444613</v>
      </c>
      <c r="Q23" s="699">
        <f t="shared" si="2"/>
        <v>0.67999221882968863</v>
      </c>
      <c r="R23" s="700">
        <f t="shared" si="3"/>
        <v>0.91406127258444614</v>
      </c>
    </row>
    <row r="24" spans="1:19" s="583" customFormat="1">
      <c r="A24" s="584" t="s">
        <v>99</v>
      </c>
      <c r="B24" s="693">
        <v>7156.77</v>
      </c>
      <c r="C24" s="694">
        <f>VLOOKUP($A$3:$A$29,JAN!$A$5:$X$31,24,)</f>
        <v>231.648</v>
      </c>
      <c r="D24" s="694">
        <f>VLOOKUP($A$3:$A$29,FEV!$A$5:$X$31,24,)</f>
        <v>1442.2720000000002</v>
      </c>
      <c r="E24" s="694">
        <f>VLOOKUP($A$3:$A$29,MAR!$A$5:$X$31,24,)</f>
        <v>987.05600000000015</v>
      </c>
      <c r="F24" s="695">
        <f>VLOOKUP($A$3:$A$29,ABR!$A$5:$X$31,24,)</f>
        <v>429.976</v>
      </c>
      <c r="G24" s="695">
        <f>VLOOKUP($A$3:$A$29,MAI!$A$5:$X$31,24,)</f>
        <v>102.18400000000001</v>
      </c>
      <c r="H24" s="695">
        <f>VLOOKUP($A$3:$A$29,JUN!$A$5:$X$31,24,)</f>
        <v>607.60800000000006</v>
      </c>
      <c r="I24" s="696">
        <f>VLOOKUP($A$3:$A$29,JUL!$A$5:$X$31,24,)</f>
        <v>366.75200000000007</v>
      </c>
      <c r="J24" s="696">
        <f>VLOOKUP($A$3:$A$29,AGO!$A$5:$X$31,24,)</f>
        <v>328.32800000000003</v>
      </c>
      <c r="K24" s="696">
        <f>VLOOKUP($A$3:$A$29,SET!$A$5:$X$31,24,)</f>
        <v>731.84800000000007</v>
      </c>
      <c r="L24" s="696">
        <f>VLOOKUP($A$3:$A$29,OUT!$A$5:$X$31,24,)</f>
        <v>0</v>
      </c>
      <c r="M24" s="697">
        <f>VLOOKUP($A$3:$A$29,NOV!$A$5:$X$31,24,)</f>
        <v>0</v>
      </c>
      <c r="N24" s="697">
        <f>VLOOKUP($A$3:$A$29,DEZ!$A$5:$X$31,24,)</f>
        <v>0</v>
      </c>
      <c r="O24" s="697">
        <f t="shared" si="0"/>
        <v>5227.6720000000014</v>
      </c>
      <c r="P24" s="698">
        <f t="shared" si="1"/>
        <v>73.045130694433396</v>
      </c>
      <c r="Q24" s="699">
        <f t="shared" si="2"/>
        <v>6.464200880281061E-2</v>
      </c>
      <c r="R24" s="700">
        <f t="shared" si="3"/>
        <v>0.73045130694433402</v>
      </c>
    </row>
    <row r="25" spans="1:19" s="583" customFormat="1">
      <c r="A25" s="584" t="s">
        <v>97</v>
      </c>
      <c r="B25" s="693">
        <v>530902.67000000004</v>
      </c>
      <c r="C25" s="694">
        <f>VLOOKUP($A$3:$A$29,JAN!$A$5:$X$31,24,)</f>
        <v>44244.136000000006</v>
      </c>
      <c r="D25" s="694">
        <f>VLOOKUP($A$3:$A$29,FEV!$A$5:$X$31,24,)</f>
        <v>55187.72800000001</v>
      </c>
      <c r="E25" s="694">
        <f>VLOOKUP($A$3:$A$29,MAR!$A$5:$X$31,24,)</f>
        <v>62431.815999999999</v>
      </c>
      <c r="F25" s="695">
        <f>VLOOKUP($A$3:$A$29,ABR!$A$5:$X$31,24,)</f>
        <v>40458.864000000001</v>
      </c>
      <c r="G25" s="695">
        <f>VLOOKUP($A$3:$A$29,MAI!$A$5:$X$31,24,)</f>
        <v>53201.104000000007</v>
      </c>
      <c r="H25" s="695">
        <f>VLOOKUP($A$3:$A$29,JUN!$A$5:$X$31,24,)</f>
        <v>50202.960000000006</v>
      </c>
      <c r="I25" s="696">
        <f>VLOOKUP($A$3:$A$29,JUL!$A$5:$X$31,24,)</f>
        <v>61667.92</v>
      </c>
      <c r="J25" s="696">
        <f>VLOOKUP($A$3:$A$29,AGO!$A$5:$X$31,24,)</f>
        <v>67354.416000000012</v>
      </c>
      <c r="K25" s="696">
        <f>VLOOKUP($A$3:$A$29,SET!$A$5:$X$31,24,)</f>
        <v>62744.600000000006</v>
      </c>
      <c r="L25" s="696">
        <f>VLOOKUP($A$3:$A$29,OUT!$A$5:$X$31,24,)</f>
        <v>0</v>
      </c>
      <c r="M25" s="697">
        <f>VLOOKUP($A$3:$A$29,NOV!$A$5:$X$31,24,)</f>
        <v>0</v>
      </c>
      <c r="N25" s="697">
        <f>VLOOKUP($A$3:$A$29,DEZ!$A$5:$X$31,24,)</f>
        <v>0</v>
      </c>
      <c r="O25" s="697">
        <f t="shared" si="0"/>
        <v>497493.54400000011</v>
      </c>
      <c r="P25" s="698">
        <f t="shared" si="1"/>
        <v>93.707109063889263</v>
      </c>
      <c r="Q25" s="699">
        <f t="shared" si="2"/>
        <v>6.1516832063276823</v>
      </c>
      <c r="R25" s="700">
        <f t="shared" si="3"/>
        <v>0.9370710906388926</v>
      </c>
    </row>
    <row r="26" spans="1:19" s="583" customFormat="1">
      <c r="A26" s="584" t="s">
        <v>100</v>
      </c>
      <c r="B26" s="693">
        <v>320023.28728570876</v>
      </c>
      <c r="C26" s="694">
        <f>VLOOKUP($A$3:$A$29,JAN!$A$5:$X$31,24,)</f>
        <v>35357.567999999999</v>
      </c>
      <c r="D26" s="694">
        <f>VLOOKUP($A$3:$A$29,FEV!$A$5:$X$31,24,)</f>
        <v>49330.960000000006</v>
      </c>
      <c r="E26" s="694">
        <f>VLOOKUP($A$3:$A$29,MAR!$A$5:$X$31,24,)</f>
        <v>42986.696000000004</v>
      </c>
      <c r="F26" s="695">
        <f>VLOOKUP($A$3:$A$29,ABR!$A$5:$X$31,24,)</f>
        <v>34540.784</v>
      </c>
      <c r="G26" s="695">
        <f>VLOOKUP($A$3:$A$29,MAI!$A$5:$X$31,24,)</f>
        <v>52775.392</v>
      </c>
      <c r="H26" s="695">
        <f>VLOOKUP($A$3:$A$29,JUN!$A$5:$X$31,24,)</f>
        <v>48152.264000000003</v>
      </c>
      <c r="I26" s="696">
        <f>VLOOKUP($A$3:$A$29,JUL!$A$5:$X$31,24,)</f>
        <v>53985.343999999997</v>
      </c>
      <c r="J26" s="696">
        <f>VLOOKUP($A$3:$A$29,AGO!$A$5:$X$31,24,)</f>
        <v>59105.703999999998</v>
      </c>
      <c r="K26" s="696">
        <f>VLOOKUP($A$3:$A$29,SET!$A$5:$X$31,24,)</f>
        <v>57296.544000000009</v>
      </c>
      <c r="L26" s="696">
        <f>VLOOKUP($A$3:$A$29,OUT!$A$5:$X$31,24,)</f>
        <v>0</v>
      </c>
      <c r="M26" s="697">
        <f>VLOOKUP($A$3:$A$29,NOV!$A$5:$X$31,24,)</f>
        <v>0</v>
      </c>
      <c r="N26" s="697">
        <f>VLOOKUP($A$3:$A$29,DEZ!$A$5:$X$31,24,)</f>
        <v>0</v>
      </c>
      <c r="O26" s="697">
        <f t="shared" si="0"/>
        <v>433531.25600000005</v>
      </c>
      <c r="P26" s="698">
        <f t="shared" si="1"/>
        <v>135.46865907072387</v>
      </c>
      <c r="Q26" s="699">
        <f t="shared" si="2"/>
        <v>5.3607669468638308</v>
      </c>
      <c r="R26" s="700">
        <f t="shared" si="3"/>
        <v>1.3546865907072387</v>
      </c>
    </row>
    <row r="27" spans="1:19" s="583" customFormat="1">
      <c r="A27" s="584" t="s">
        <v>102</v>
      </c>
      <c r="B27" s="693">
        <v>47526.63</v>
      </c>
      <c r="C27" s="694">
        <f>VLOOKUP($A$3:$A$29,JAN!$A$5:$X$31,24,)</f>
        <v>4174.9280000000008</v>
      </c>
      <c r="D27" s="694">
        <f>VLOOKUP($A$3:$A$29,FEV!$A$5:$X$31,24,)</f>
        <v>5016.616</v>
      </c>
      <c r="E27" s="694">
        <f>VLOOKUP($A$3:$A$29,MAR!$A$5:$X$31,24,)</f>
        <v>6248.5280000000002</v>
      </c>
      <c r="F27" s="695">
        <f>VLOOKUP($A$3:$A$29,ABR!$A$5:$X$31,24,)</f>
        <v>4167.576</v>
      </c>
      <c r="G27" s="695">
        <f>VLOOKUP($A$3:$A$29,MAI!$A$5:$X$31,24,)</f>
        <v>5512.0879999999997</v>
      </c>
      <c r="H27" s="695">
        <f>VLOOKUP($A$3:$A$29,JUN!$A$5:$X$31,24,)</f>
        <v>3811.096</v>
      </c>
      <c r="I27" s="696">
        <f>VLOOKUP($A$3:$A$29,JUL!$A$5:$X$31,24,)</f>
        <v>5714.5440000000008</v>
      </c>
      <c r="J27" s="696">
        <f>VLOOKUP($A$3:$A$29,AGO!$A$5:$X$31,24,)</f>
        <v>9543.5600000000031</v>
      </c>
      <c r="K27" s="696">
        <f>VLOOKUP($A$3:$A$29,SET!$A$5:$X$31,24,)</f>
        <v>6893.7600000000011</v>
      </c>
      <c r="L27" s="696">
        <f>VLOOKUP($A$3:$A$29,OUT!$A$5:$X$31,24,)</f>
        <v>0</v>
      </c>
      <c r="M27" s="697">
        <f>VLOOKUP($A$3:$A$29,NOV!$A$5:$X$31,24,)</f>
        <v>0</v>
      </c>
      <c r="N27" s="697">
        <f>VLOOKUP($A$3:$A$29,DEZ!$A$5:$X$31,24,)</f>
        <v>0</v>
      </c>
      <c r="O27" s="697">
        <f t="shared" si="0"/>
        <v>51082.696000000011</v>
      </c>
      <c r="P27" s="698">
        <f t="shared" si="1"/>
        <v>107.48225994563472</v>
      </c>
      <c r="Q27" s="699">
        <f t="shared" si="2"/>
        <v>0.63165555997072853</v>
      </c>
      <c r="R27" s="700">
        <f t="shared" si="3"/>
        <v>1.0748225994563472</v>
      </c>
    </row>
    <row r="28" spans="1:19" s="583" customFormat="1">
      <c r="A28" s="584" t="s">
        <v>101</v>
      </c>
      <c r="B28" s="693">
        <v>2200201.1920000003</v>
      </c>
      <c r="C28" s="694">
        <f>VLOOKUP($A$3:$A$29,JAN!$A$5:$X$31,24,)</f>
        <v>178842.46</v>
      </c>
      <c r="D28" s="694">
        <f>VLOOKUP($A$3:$A$29,FEV!$A$5:$X$31,24,)</f>
        <v>250255.10000000003</v>
      </c>
      <c r="E28" s="694">
        <f>VLOOKUP($A$3:$A$29,MAR!$A$5:$X$31,24,)</f>
        <v>277236.68000000005</v>
      </c>
      <c r="F28" s="695">
        <f>VLOOKUP($A$3:$A$29,ABR!$A$5:$X$31,24,)</f>
        <v>186100.90400000001</v>
      </c>
      <c r="G28" s="695">
        <f>VLOOKUP($A$3:$A$29,MAI!$A$5:$X$31,24,)</f>
        <v>246396.21799999999</v>
      </c>
      <c r="H28" s="695">
        <f>VLOOKUP($A$3:$A$29,JUN!$A$5:$X$31,24,)</f>
        <v>196664.92</v>
      </c>
      <c r="I28" s="696">
        <f>VLOOKUP($A$3:$A$29,JUL!$A$5:$X$31,24,)</f>
        <v>239456.71399999998</v>
      </c>
      <c r="J28" s="696">
        <f>VLOOKUP($A$3:$A$29,AGO!$A$5:$X$31,24,)</f>
        <v>345335.17600000004</v>
      </c>
      <c r="K28" s="696">
        <f>VLOOKUP($A$3:$A$29,SET!$A$5:$X$31,24,)</f>
        <v>328115.46199999988</v>
      </c>
      <c r="L28" s="696">
        <f>VLOOKUP($A$3:$A$29,OUT!$A$5:$X$31,24,)</f>
        <v>0</v>
      </c>
      <c r="M28" s="697">
        <f>VLOOKUP($A$3:$A$29,NOV!$A$5:$X$31,24,)</f>
        <v>0</v>
      </c>
      <c r="N28" s="697">
        <f>VLOOKUP($A$3:$A$29,DEZ!$A$5:$X$31,24,)</f>
        <v>0</v>
      </c>
      <c r="O28" s="697">
        <f t="shared" si="0"/>
        <v>2248403.6340000001</v>
      </c>
      <c r="P28" s="698">
        <f t="shared" si="1"/>
        <v>102.19081973845235</v>
      </c>
      <c r="Q28" s="699">
        <f t="shared" si="2"/>
        <v>27.802304257286863</v>
      </c>
      <c r="R28" s="700">
        <f t="shared" si="3"/>
        <v>1.0219081973845234</v>
      </c>
    </row>
    <row r="29" spans="1:19" s="583" customFormat="1">
      <c r="A29" s="584" t="s">
        <v>103</v>
      </c>
      <c r="B29" s="693">
        <v>36281.89</v>
      </c>
      <c r="C29" s="694">
        <f>VLOOKUP($A$3:$A$29,JAN!$A$5:$X$31,24,)</f>
        <v>1418.64</v>
      </c>
      <c r="D29" s="694">
        <f>VLOOKUP($A$3:$A$29,FEV!$A$5:$X$31,24,)</f>
        <v>3332.864</v>
      </c>
      <c r="E29" s="694">
        <f>VLOOKUP($A$3:$A$29,MAR!$A$5:$X$31,24,)</f>
        <v>3983.1920000000005</v>
      </c>
      <c r="F29" s="695">
        <f>VLOOKUP($A$3:$A$29,ABR!$A$5:$X$31,24,)</f>
        <v>2664.9360000000001</v>
      </c>
      <c r="G29" s="695">
        <f>VLOOKUP($A$3:$A$29,MAI!$A$5:$X$31,24,)</f>
        <v>4094.3039999999996</v>
      </c>
      <c r="H29" s="695">
        <f>VLOOKUP($A$3:$A$29,JUN!$A$5:$X$31,24,)</f>
        <v>2360.6480000000001</v>
      </c>
      <c r="I29" s="696">
        <f>VLOOKUP($A$3:$A$29,JUL!$A$5:$X$31,24,)</f>
        <v>2656.7840000000001</v>
      </c>
      <c r="J29" s="696">
        <f>VLOOKUP($A$3:$A$29,AGO!$A$5:$X$31,24,)</f>
        <v>3721.3760000000002</v>
      </c>
      <c r="K29" s="696">
        <f>VLOOKUP($A$3:$A$29,SET!$A$5:$X$31,24,)</f>
        <v>2512.4000000000005</v>
      </c>
      <c r="L29" s="696">
        <f>VLOOKUP($A$3:$A$29,OUT!$A$5:$X$31,24,)</f>
        <v>0</v>
      </c>
      <c r="M29" s="697">
        <f>VLOOKUP($A$3:$A$29,NOV!$A$5:$X$31,24,)</f>
        <v>0</v>
      </c>
      <c r="N29" s="697">
        <f>VLOOKUP($A$3:$A$29,DEZ!$A$5:$X$31,24,)</f>
        <v>0</v>
      </c>
      <c r="O29" s="697">
        <f>SUM(C29:N29)</f>
        <v>26745.144</v>
      </c>
      <c r="P29" s="698">
        <f t="shared" si="1"/>
        <v>73.714858845556279</v>
      </c>
      <c r="Q29" s="699">
        <f t="shared" si="2"/>
        <v>0.33071314227067744</v>
      </c>
      <c r="R29" s="700">
        <f t="shared" si="3"/>
        <v>0.73714858845556286</v>
      </c>
    </row>
    <row r="30" spans="1:19" s="583" customFormat="1">
      <c r="A30" s="598" t="s">
        <v>418</v>
      </c>
      <c r="B30" s="701">
        <f t="shared" ref="B30:N30" si="4">SUM(B3:B29)</f>
        <v>6357107.669285709</v>
      </c>
      <c r="C30" s="702">
        <f t="shared" si="4"/>
        <v>524163.228</v>
      </c>
      <c r="D30" s="702">
        <f t="shared" si="4"/>
        <v>685729.24400000006</v>
      </c>
      <c r="E30" s="702">
        <f t="shared" si="4"/>
        <v>763204.50400000007</v>
      </c>
      <c r="F30" s="702">
        <f t="shared" si="4"/>
        <v>544946.54400000011</v>
      </c>
      <c r="G30" s="702">
        <f t="shared" si="4"/>
        <v>694220.89800000004</v>
      </c>
      <c r="H30" s="703">
        <f t="shared" si="4"/>
        <v>605826.76800000016</v>
      </c>
      <c r="I30" s="703">
        <f t="shared" si="4"/>
        <v>748995</v>
      </c>
      <c r="J30" s="703">
        <f t="shared" si="4"/>
        <v>1001444.7680000003</v>
      </c>
      <c r="K30" s="703">
        <f>SUM(K3:K29)</f>
        <v>919492.64</v>
      </c>
      <c r="L30" s="703">
        <f t="shared" si="4"/>
        <v>0</v>
      </c>
      <c r="M30" s="703">
        <f t="shared" si="4"/>
        <v>0</v>
      </c>
      <c r="N30" s="703">
        <f t="shared" si="4"/>
        <v>0</v>
      </c>
      <c r="O30" s="704">
        <f t="shared" si="0"/>
        <v>6488023.5940000005</v>
      </c>
      <c r="P30" s="705">
        <f t="shared" si="1"/>
        <v>102.0593630236406</v>
      </c>
      <c r="Q30" s="706">
        <f t="shared" si="2"/>
        <v>80.226700962912517</v>
      </c>
      <c r="R30" s="700">
        <f t="shared" si="3"/>
        <v>1.020593630236406</v>
      </c>
    </row>
    <row r="31" spans="1:19" s="583" customFormat="1">
      <c r="A31" s="598" t="s">
        <v>224</v>
      </c>
      <c r="B31" s="701">
        <v>1608349.5</v>
      </c>
      <c r="C31" s="707">
        <f>JAN!X67</f>
        <v>129452.14200000001</v>
      </c>
      <c r="D31" s="707">
        <f>FEV!$X$67</f>
        <v>167574.89600000004</v>
      </c>
      <c r="E31" s="707">
        <f>MAR!$X$67</f>
        <v>184729.14600000004</v>
      </c>
      <c r="F31" s="707">
        <f>ABR!X67</f>
        <v>136236.63600000003</v>
      </c>
      <c r="G31" s="707">
        <f>MAI!X67</f>
        <v>169721.23200000002</v>
      </c>
      <c r="H31" s="707">
        <f>JUN!X67</f>
        <v>151456.69200000004</v>
      </c>
      <c r="I31" s="708">
        <f>JUL!X67</f>
        <v>183407.06</v>
      </c>
      <c r="J31" s="708">
        <f>AGO!X67</f>
        <v>250361.19200000007</v>
      </c>
      <c r="K31" s="707">
        <f>SET!X67</f>
        <v>226149.95</v>
      </c>
      <c r="L31" s="707">
        <f>OUT!X67</f>
        <v>0</v>
      </c>
      <c r="M31" s="707">
        <f>NOV!X67</f>
        <v>0</v>
      </c>
      <c r="N31" s="707">
        <f>DEZ!X67</f>
        <v>0</v>
      </c>
      <c r="O31" s="704">
        <f t="shared" si="0"/>
        <v>1599088.9460000002</v>
      </c>
      <c r="P31" s="705">
        <f t="shared" si="1"/>
        <v>99.424220046700057</v>
      </c>
      <c r="Q31" s="706">
        <f t="shared" si="2"/>
        <v>19.773299037087469</v>
      </c>
      <c r="R31" s="700">
        <f t="shared" si="3"/>
        <v>0.99424220046700063</v>
      </c>
      <c r="S31" s="712"/>
    </row>
    <row r="32" spans="1:19" s="583" customFormat="1">
      <c r="A32" s="691" t="s">
        <v>118</v>
      </c>
      <c r="B32" s="704">
        <f>B30+B31</f>
        <v>7965457.169285709</v>
      </c>
      <c r="C32" s="703">
        <f t="shared" ref="C32:N32" si="5">SUM(C30:C31)</f>
        <v>653615.37</v>
      </c>
      <c r="D32" s="703">
        <f t="shared" si="5"/>
        <v>853304.14000000013</v>
      </c>
      <c r="E32" s="702">
        <f t="shared" si="5"/>
        <v>947933.65000000014</v>
      </c>
      <c r="F32" s="702">
        <f t="shared" si="5"/>
        <v>681183.18000000017</v>
      </c>
      <c r="G32" s="702">
        <f t="shared" si="5"/>
        <v>863942.13000000012</v>
      </c>
      <c r="H32" s="703">
        <f t="shared" si="5"/>
        <v>757283.4600000002</v>
      </c>
      <c r="I32" s="703">
        <f t="shared" si="5"/>
        <v>932402.06</v>
      </c>
      <c r="J32" s="703">
        <f t="shared" si="5"/>
        <v>1251805.9600000004</v>
      </c>
      <c r="K32" s="703">
        <f>SUM(K30:K31)</f>
        <v>1145642.5900000001</v>
      </c>
      <c r="L32" s="703">
        <f t="shared" si="5"/>
        <v>0</v>
      </c>
      <c r="M32" s="703">
        <f t="shared" si="5"/>
        <v>0</v>
      </c>
      <c r="N32" s="703">
        <f t="shared" si="5"/>
        <v>0</v>
      </c>
      <c r="O32" s="704">
        <f t="shared" si="0"/>
        <v>8087112.540000001</v>
      </c>
      <c r="P32" s="705">
        <f t="shared" si="1"/>
        <v>101.52728673482028</v>
      </c>
      <c r="Q32" s="706">
        <f t="shared" si="2"/>
        <v>100</v>
      </c>
      <c r="R32" s="700">
        <f t="shared" si="3"/>
        <v>1.0152728673482028</v>
      </c>
    </row>
    <row r="33" spans="1:19">
      <c r="A33" s="167"/>
      <c r="B33" s="685"/>
      <c r="C33" s="709">
        <f>JAN!X102</f>
        <v>653615.37000000011</v>
      </c>
      <c r="D33" s="709">
        <f>FEV!$X$102</f>
        <v>853304.14</v>
      </c>
      <c r="E33" s="709">
        <f>MAR!$X$102</f>
        <v>947933.64999999991</v>
      </c>
      <c r="F33" s="709">
        <f>ABR!X102</f>
        <v>681183.18</v>
      </c>
      <c r="G33" s="709">
        <f>MAI!X102</f>
        <v>863942.12999999989</v>
      </c>
      <c r="H33" s="709">
        <f>JUN!X102</f>
        <v>757283.46000000008</v>
      </c>
      <c r="I33" s="709">
        <f>JUL!X102</f>
        <v>932402.05999999994</v>
      </c>
      <c r="J33" s="709">
        <f>AGO!X102</f>
        <v>1251805.96</v>
      </c>
      <c r="K33" s="709">
        <f>SET!X102</f>
        <v>1145642.5900000001</v>
      </c>
      <c r="L33" s="709">
        <f>OUT!X102</f>
        <v>0</v>
      </c>
      <c r="M33" s="709">
        <f>NOV!X102</f>
        <v>0</v>
      </c>
      <c r="N33" s="709">
        <f>DEZ!X102</f>
        <v>0</v>
      </c>
      <c r="O33" s="709">
        <f>'ARRECADAÇÃO MENSAL POR RECEITA'!$G$32</f>
        <v>8087112.54</v>
      </c>
      <c r="Q33" s="648">
        <f>O33/$O$32*100</f>
        <v>99.999999999999986</v>
      </c>
      <c r="R33" s="700">
        <f t="shared" si="3"/>
        <v>0</v>
      </c>
    </row>
    <row r="34" spans="1:19">
      <c r="A34" s="167"/>
      <c r="C34" s="165" t="b">
        <f t="shared" ref="C34:O34" si="6">C32=C33</f>
        <v>1</v>
      </c>
      <c r="D34" s="165" t="b">
        <f t="shared" si="6"/>
        <v>1</v>
      </c>
      <c r="E34" s="165" t="b">
        <f t="shared" si="6"/>
        <v>1</v>
      </c>
      <c r="F34" s="165" t="b">
        <f t="shared" si="6"/>
        <v>1</v>
      </c>
      <c r="G34" s="165" t="b">
        <f t="shared" si="6"/>
        <v>1</v>
      </c>
      <c r="H34" s="165" t="b">
        <f t="shared" si="6"/>
        <v>1</v>
      </c>
      <c r="I34" s="165" t="b">
        <f t="shared" si="6"/>
        <v>1</v>
      </c>
      <c r="J34" s="165" t="b">
        <f t="shared" si="6"/>
        <v>1</v>
      </c>
      <c r="K34" s="165" t="b">
        <f>K32=K33</f>
        <v>1</v>
      </c>
      <c r="L34" s="165" t="b">
        <f t="shared" si="6"/>
        <v>1</v>
      </c>
      <c r="M34" s="165" t="b">
        <f t="shared" si="6"/>
        <v>1</v>
      </c>
      <c r="N34" s="165" t="b">
        <f t="shared" si="6"/>
        <v>1</v>
      </c>
      <c r="O34" s="165" t="b">
        <f t="shared" si="6"/>
        <v>1</v>
      </c>
      <c r="R34" s="700">
        <f t="shared" si="3"/>
        <v>0</v>
      </c>
    </row>
    <row r="35" spans="1:19">
      <c r="B35" s="622"/>
      <c r="C35" s="622"/>
      <c r="E35" s="622"/>
      <c r="F35" s="655"/>
      <c r="J35" s="624"/>
      <c r="K35" s="623"/>
      <c r="L35" s="624"/>
      <c r="M35" s="623"/>
      <c r="N35" s="624"/>
      <c r="O35" s="648"/>
      <c r="Q35" s="622"/>
    </row>
    <row r="36" spans="1:19">
      <c r="B36" s="622"/>
      <c r="C36" s="622"/>
      <c r="D36" s="627"/>
      <c r="E36" s="622"/>
      <c r="F36" s="578"/>
      <c r="G36" s="710"/>
      <c r="J36" s="300"/>
      <c r="K36" s="630"/>
      <c r="L36" s="875"/>
      <c r="M36" s="875"/>
      <c r="N36" s="875"/>
      <c r="Q36" s="622"/>
    </row>
    <row r="37" spans="1:19">
      <c r="B37" s="622"/>
      <c r="C37" s="622"/>
      <c r="D37" s="627"/>
      <c r="E37" s="622"/>
      <c r="G37" s="622"/>
      <c r="J37" s="300"/>
      <c r="K37" s="630"/>
      <c r="L37" s="875"/>
      <c r="M37" s="875"/>
      <c r="N37" s="875"/>
      <c r="P37" s="653"/>
      <c r="S37" s="622"/>
    </row>
    <row r="38" spans="1:19">
      <c r="A38" s="874"/>
      <c r="B38" s="874"/>
      <c r="C38" s="874"/>
      <c r="D38" s="874"/>
      <c r="E38" s="874"/>
      <c r="F38" s="655"/>
      <c r="H38" s="622"/>
      <c r="P38" s="622"/>
    </row>
    <row r="39" spans="1:19">
      <c r="A39" s="874"/>
      <c r="B39" s="874"/>
      <c r="C39" s="874"/>
      <c r="D39" s="874"/>
      <c r="E39" s="874"/>
      <c r="H39" s="622"/>
      <c r="O39" s="670"/>
      <c r="P39" s="622"/>
    </row>
    <row r="40" spans="1:19">
      <c r="A40" s="874"/>
      <c r="B40" s="874"/>
      <c r="C40" s="874"/>
      <c r="D40" s="874"/>
      <c r="E40" s="874"/>
    </row>
    <row r="41" spans="1:19">
      <c r="A41" s="874"/>
      <c r="B41" s="874"/>
      <c r="C41" s="874"/>
      <c r="D41" s="874"/>
      <c r="E41" s="874"/>
      <c r="F41" s="655"/>
    </row>
    <row r="42" spans="1:19">
      <c r="A42" s="874"/>
      <c r="B42" s="874"/>
      <c r="C42" s="874"/>
      <c r="D42" s="874"/>
      <c r="E42" s="874"/>
      <c r="G42" s="622"/>
      <c r="H42" s="622"/>
      <c r="O42" s="670"/>
    </row>
    <row r="43" spans="1:19">
      <c r="A43" s="167"/>
      <c r="B43" s="167"/>
    </row>
    <row r="1048573" spans="3:11">
      <c r="C1048573" s="653">
        <f>SUM(C3:C1048572)</f>
        <v>2485009.338</v>
      </c>
      <c r="D1048573" s="653">
        <f>SUM(D3:D1048572)</f>
        <v>3245641.6640000003</v>
      </c>
      <c r="E1048573" s="653"/>
      <c r="F1048573" s="653"/>
      <c r="G1048573" s="653"/>
      <c r="H1048573" s="653"/>
      <c r="I1048573" s="653"/>
      <c r="K1048573" s="653"/>
    </row>
  </sheetData>
  <mergeCells count="9">
    <mergeCell ref="A38:E42"/>
    <mergeCell ref="P1:P2"/>
    <mergeCell ref="R1:R2"/>
    <mergeCell ref="L36:N36"/>
    <mergeCell ref="L37:N37"/>
    <mergeCell ref="Q1:Q2"/>
    <mergeCell ref="C1:N1"/>
    <mergeCell ref="O1:O2"/>
    <mergeCell ref="A1:A2"/>
  </mergeCells>
  <conditionalFormatting sqref="E34">
    <cfRule type="cellIs" dxfId="106" priority="4" operator="equal">
      <formula>TRUE</formula>
    </cfRule>
  </conditionalFormatting>
  <conditionalFormatting sqref="B34:D34">
    <cfRule type="cellIs" dxfId="105" priority="3" operator="equal">
      <formula>TRUE</formula>
    </cfRule>
  </conditionalFormatting>
  <conditionalFormatting sqref="F34:N34">
    <cfRule type="cellIs" dxfId="104" priority="2" operator="equal">
      <formula>TRUE</formula>
    </cfRule>
  </conditionalFormatting>
  <conditionalFormatting sqref="O34">
    <cfRule type="cellIs" dxfId="103" priority="1" operator="equal">
      <formula>TRUE</formula>
    </cfRule>
  </conditionalFormatting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29" orientation="landscape" r:id="rId1"/>
  <rowBreaks count="2" manualBreakCount="2">
    <brk id="43" max="16383" man="1"/>
    <brk id="67" max="16383" man="1"/>
  </rowBreaks>
  <colBreaks count="2" manualBreakCount="2">
    <brk id="16" max="1048575" man="1"/>
    <brk id="36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3">
    <tabColor theme="6"/>
    <pageSetUpPr fitToPage="1"/>
  </sheetPr>
  <dimension ref="A1:AC73"/>
  <sheetViews>
    <sheetView showGridLines="0" zoomScale="55" zoomScaleNormal="55" zoomScaleSheetLayoutView="70" workbookViewId="0">
      <pane xSplit="1" topLeftCell="B1" activePane="topRight" state="frozen"/>
      <selection activeCell="EF33" sqref="EF33"/>
      <selection pane="topRight" activeCell="EF33" sqref="EF33"/>
    </sheetView>
  </sheetViews>
  <sheetFormatPr defaultRowHeight="21"/>
  <cols>
    <col min="1" max="1" width="31.5703125" style="156" bestFit="1" customWidth="1"/>
    <col min="2" max="2" width="34.28515625" style="535" customWidth="1"/>
    <col min="3" max="5" width="28.85546875" style="535" customWidth="1"/>
    <col min="6" max="7" width="30" style="535" customWidth="1"/>
    <col min="8" max="15" width="28.85546875" style="535" customWidth="1"/>
    <col min="16" max="17" width="28.85546875" style="156" customWidth="1"/>
    <col min="18" max="18" width="21.140625" style="156" customWidth="1"/>
    <col min="19" max="19" width="28.42578125" style="156" customWidth="1"/>
    <col min="20" max="20" width="27.28515625" style="15" bestFit="1" customWidth="1"/>
    <col min="21" max="21" width="14.85546875" style="145" customWidth="1"/>
    <col min="22" max="22" width="16.140625" style="145" customWidth="1"/>
    <col min="23" max="23" width="15.85546875" style="145" customWidth="1"/>
    <col min="24" max="24" width="14.42578125" style="145" customWidth="1"/>
    <col min="25" max="25" width="9.140625" style="145" customWidth="1"/>
    <col min="26" max="26" width="17.140625" style="145" customWidth="1"/>
    <col min="27" max="27" width="9.140625" style="145" customWidth="1"/>
    <col min="28" max="28" width="9.140625" style="145"/>
    <col min="29" max="29" width="17.140625" style="145" bestFit="1" customWidth="1"/>
    <col min="30" max="16384" width="9.140625" style="145"/>
  </cols>
  <sheetData>
    <row r="1" spans="1:29" ht="27.75" customHeight="1">
      <c r="A1" s="930" t="s">
        <v>619</v>
      </c>
      <c r="B1" s="930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</row>
    <row r="2" spans="1:29">
      <c r="A2" s="533"/>
    </row>
    <row r="3" spans="1:29" ht="21" customHeight="1">
      <c r="A3" s="931" t="s">
        <v>172</v>
      </c>
      <c r="B3" s="926" t="s">
        <v>575</v>
      </c>
      <c r="C3" s="934" t="s">
        <v>413</v>
      </c>
      <c r="D3" s="935"/>
      <c r="E3" s="935"/>
      <c r="F3" s="935"/>
      <c r="G3" s="935"/>
      <c r="H3" s="935"/>
      <c r="I3" s="935"/>
      <c r="J3" s="935"/>
      <c r="K3" s="935"/>
      <c r="L3" s="935"/>
      <c r="M3" s="935"/>
      <c r="N3" s="936"/>
      <c r="O3" s="933" t="s">
        <v>333</v>
      </c>
      <c r="P3" s="932" t="s">
        <v>348</v>
      </c>
      <c r="Q3" s="932" t="s">
        <v>347</v>
      </c>
      <c r="R3" s="919"/>
    </row>
    <row r="4" spans="1:29" ht="15" customHeight="1">
      <c r="A4" s="931"/>
      <c r="B4" s="926"/>
      <c r="C4" s="926" t="s">
        <v>106</v>
      </c>
      <c r="D4" s="926" t="s">
        <v>107</v>
      </c>
      <c r="E4" s="926" t="s">
        <v>108</v>
      </c>
      <c r="F4" s="926" t="s">
        <v>109</v>
      </c>
      <c r="G4" s="926" t="s">
        <v>110</v>
      </c>
      <c r="H4" s="926" t="s">
        <v>111</v>
      </c>
      <c r="I4" s="926" t="s">
        <v>112</v>
      </c>
      <c r="J4" s="926" t="s">
        <v>113</v>
      </c>
      <c r="K4" s="926" t="s">
        <v>114</v>
      </c>
      <c r="L4" s="926" t="s">
        <v>115</v>
      </c>
      <c r="M4" s="926" t="s">
        <v>116</v>
      </c>
      <c r="N4" s="926" t="s">
        <v>117</v>
      </c>
      <c r="O4" s="933"/>
      <c r="P4" s="932"/>
      <c r="Q4" s="932"/>
      <c r="R4" s="919"/>
    </row>
    <row r="5" spans="1:29">
      <c r="A5" s="931"/>
      <c r="B5" s="926"/>
      <c r="C5" s="926"/>
      <c r="D5" s="926"/>
      <c r="E5" s="926"/>
      <c r="F5" s="926"/>
      <c r="G5" s="926"/>
      <c r="H5" s="926"/>
      <c r="I5" s="926"/>
      <c r="J5" s="926"/>
      <c r="K5" s="926"/>
      <c r="L5" s="926"/>
      <c r="M5" s="926"/>
      <c r="N5" s="926"/>
      <c r="O5" s="933"/>
      <c r="P5" s="932"/>
      <c r="Q5" s="932"/>
    </row>
    <row r="6" spans="1:29" ht="24" thickBot="1">
      <c r="A6" s="193" t="s">
        <v>77</v>
      </c>
      <c r="B6" s="536">
        <f>'Anuid PF'!E5+'Anuid PF'!F5+'Anuid PJ'!D5+'Anuid PJ'!E5+RRT!C4+'Taxas e Multas.'!B3</f>
        <v>548248.1</v>
      </c>
      <c r="C6" s="537">
        <f>'Anuid PF'!O5+'Anuid PF'!P5+'Anuid PJ'!L5+'Anuid PJ'!M5+RRT!G4+'Taxas e Multas.'!C3</f>
        <v>38967.656000000003</v>
      </c>
      <c r="D6" s="537">
        <f>'Anuid PF'!Q5+'Anuid PF'!R5+'Anuid PJ'!N5+'Anuid PJ'!O5+RRT!H4+'Taxas e Multas.'!D3</f>
        <v>55447.51999999999</v>
      </c>
      <c r="E6" s="537">
        <f>'Anuid PF'!S5+'Anuid PF'!T5+'Anuid PJ'!P5+'Anuid PJ'!Q5+RRT!I4+'Taxas e Multas.'!E3</f>
        <v>61529.727999999996</v>
      </c>
      <c r="F6" s="537">
        <f>'Anuid PF'!U5+'Anuid PF'!V5+'Anuid PJ'!R5+'Anuid PJ'!S5+RRT!J4+'Taxas e Multas.'!F3</f>
        <v>42735.423999999999</v>
      </c>
      <c r="G6" s="537">
        <f>'Anuid PF'!W5+'Anuid PF'!X5+'Anuid PJ'!T5+'Anuid PJ'!U5+RRT!K4+'Taxas e Multas.'!G3</f>
        <v>58980.744000000013</v>
      </c>
      <c r="H6" s="537">
        <f>'Anuid PF'!Y5+'Anuid PF'!Z5+'Anuid PJ'!V5+'Anuid PJ'!W5+RRT!L4+'Taxas e Multas.'!H3</f>
        <v>57849.807999999997</v>
      </c>
      <c r="I6" s="537">
        <f>'Anuid PF'!AA5+'Anuid PF'!AB5+'Anuid PJ'!X5+'Anuid PJ'!Y5+RRT!M4+'Taxas e Multas.'!I3</f>
        <v>52266.024000000005</v>
      </c>
      <c r="J6" s="537">
        <f>'Anuid PF'!AC5+'Anuid PF'!AD5+'Anuid PJ'!Z5+'Anuid PJ'!AA5+RRT!N4+'Taxas e Multas.'!J3</f>
        <v>51440.864000000009</v>
      </c>
      <c r="K6" s="537">
        <f>'Anuid PF'!AE5+'Anuid PF'!AF5+'Anuid PJ'!AB5+'Anuid PJ'!AC5+RRT!O4+'Taxas e Multas.'!K3</f>
        <v>39324.192000000003</v>
      </c>
      <c r="L6" s="537">
        <f>'Anuid PF'!AG5+'Anuid PF'!AH5+'Anuid PJ'!AD5+'Anuid PJ'!AE5+RRT!P4+'Taxas e Multas.'!L3</f>
        <v>0</v>
      </c>
      <c r="M6" s="537">
        <f>'Anuid PF'!AI5+'Anuid PF'!AJ5+'Anuid PJ'!AF5+'Anuid PJ'!AG5+RRT!Q4+'Taxas e Multas.'!M3</f>
        <v>0</v>
      </c>
      <c r="N6" s="537">
        <f>'Anuid PF'!AK5+'Anuid PF'!AL5+'Anuid PJ'!AH5+'Anuid PJ'!AI5+RRT!R4+'Taxas e Multas.'!N3</f>
        <v>0</v>
      </c>
      <c r="O6" s="536">
        <f>SUM(C6:N6)</f>
        <v>458541.95999999996</v>
      </c>
      <c r="P6" s="192">
        <f t="shared" ref="P6:P35" si="0">O6/B6*100</f>
        <v>83.637674257329849</v>
      </c>
      <c r="Q6" s="192">
        <f t="shared" ref="Q6:Q35" si="1">O6/$O$35*100</f>
        <v>0.26284570001450286</v>
      </c>
      <c r="R6" s="178">
        <f t="shared" ref="R6:R35" si="2">O6/B6</f>
        <v>0.83637674257329842</v>
      </c>
      <c r="S6" s="177">
        <f>'Comparativo YoY'!GH36</f>
        <v>16.954410665693715</v>
      </c>
      <c r="T6" s="171"/>
      <c r="U6" s="11"/>
      <c r="V6" s="11"/>
      <c r="W6" s="11"/>
      <c r="X6" s="11"/>
      <c r="Y6" s="11"/>
      <c r="Z6" s="11"/>
      <c r="AB6" s="190"/>
      <c r="AC6" s="189">
        <v>154673.25436625778</v>
      </c>
    </row>
    <row r="7" spans="1:29" ht="24" thickBot="1">
      <c r="A7" s="193" t="s">
        <v>78</v>
      </c>
      <c r="B7" s="536">
        <f>'Anuid PF'!E6+'Anuid PF'!F6+'Anuid PJ'!D6+'Anuid PJ'!E6+RRT!C5+'Taxas e Multas.'!B4</f>
        <v>1464177.3100000003</v>
      </c>
      <c r="C7" s="537">
        <f>'Anuid PF'!O6+'Anuid PF'!P6+'Anuid PJ'!L6+'Anuid PJ'!M6+RRT!G5+'Taxas e Multas.'!C4</f>
        <v>160720.20800000001</v>
      </c>
      <c r="D7" s="537">
        <f>'Anuid PF'!Q6+'Anuid PF'!R6+'Anuid PJ'!N6+'Anuid PJ'!O6+RRT!H5+'Taxas e Multas.'!D4</f>
        <v>205728.79200000002</v>
      </c>
      <c r="E7" s="537">
        <f>'Anuid PF'!S6+'Anuid PF'!T6+'Anuid PJ'!P6+'Anuid PJ'!Q6+RRT!I5+'Taxas e Multas.'!E4</f>
        <v>181467.18400000004</v>
      </c>
      <c r="F7" s="537">
        <f>'Anuid PF'!U6+'Anuid PF'!V6+'Anuid PJ'!R6+'Anuid PJ'!S6+RRT!J5+'Taxas e Multas.'!F4</f>
        <v>141504.38399999999</v>
      </c>
      <c r="G7" s="537">
        <f>'Anuid PF'!W6+'Anuid PF'!X6+'Anuid PJ'!T6+'Anuid PJ'!U6+RRT!K5+'Taxas e Multas.'!G4</f>
        <v>131113.07999999999</v>
      </c>
      <c r="H7" s="537">
        <f>'Anuid PF'!Y6+'Anuid PF'!Z6+'Anuid PJ'!V6+'Anuid PJ'!W6+RRT!L5+'Taxas e Multas.'!H4</f>
        <v>137104.72</v>
      </c>
      <c r="I7" s="537">
        <f>'Anuid PF'!AA6+'Anuid PF'!AB6+'Anuid PJ'!X6+'Anuid PJ'!Y6+RRT!M5+'Taxas e Multas.'!I4</f>
        <v>114197.69600000001</v>
      </c>
      <c r="J7" s="537">
        <f>'Anuid PF'!AC6+'Anuid PF'!AD6+'Anuid PJ'!Z6+'Anuid PJ'!AA6+RRT!N5+'Taxas e Multas.'!J4</f>
        <v>119724.54399999999</v>
      </c>
      <c r="K7" s="537">
        <f>'Anuid PF'!AE6+'Anuid PF'!AF6+'Anuid PJ'!AB6+'Anuid PJ'!AC6+RRT!O5+'Taxas e Multas.'!K4</f>
        <v>104836.41600000001</v>
      </c>
      <c r="L7" s="537">
        <f>'Anuid PF'!AG6+'Anuid PF'!AH6+'Anuid PJ'!AD6+'Anuid PJ'!AE6+RRT!P5+'Taxas e Multas.'!L4</f>
        <v>0</v>
      </c>
      <c r="M7" s="537">
        <f>'Anuid PF'!AI6+'Anuid PF'!AJ6+'Anuid PJ'!AF6+'Anuid PJ'!AG6+RRT!Q5+'Taxas e Multas.'!M4</f>
        <v>0</v>
      </c>
      <c r="N7" s="537">
        <f>'Anuid PF'!AK6+'Anuid PF'!AL6+'Anuid PJ'!AH6+'Anuid PJ'!AI6+RRT!R5+'Taxas e Multas.'!N4</f>
        <v>0</v>
      </c>
      <c r="O7" s="536">
        <f t="shared" ref="O7:O34" si="3">SUM(C7:N7)</f>
        <v>1296397.024</v>
      </c>
      <c r="P7" s="192">
        <f t="shared" si="0"/>
        <v>88.540985790853412</v>
      </c>
      <c r="Q7" s="192">
        <f t="shared" si="1"/>
        <v>0.74312148722441518</v>
      </c>
      <c r="R7" s="178">
        <f t="shared" si="2"/>
        <v>0.8854098579085341</v>
      </c>
      <c r="S7" s="177">
        <f>'Comparativo YoY'!GH37</f>
        <v>33.156095100603892</v>
      </c>
      <c r="T7" s="304"/>
      <c r="U7" s="11"/>
      <c r="V7" s="11"/>
      <c r="W7" s="11"/>
      <c r="X7" s="11"/>
      <c r="Y7" s="11"/>
      <c r="Z7" s="11"/>
      <c r="AB7" s="190"/>
      <c r="AC7" s="189">
        <v>645784.06039618968</v>
      </c>
    </row>
    <row r="8" spans="1:29" ht="24" thickBot="1">
      <c r="A8" s="193" t="s">
        <v>80</v>
      </c>
      <c r="B8" s="536">
        <f>'Anuid PF'!E7+'Anuid PF'!F7+'Anuid PJ'!D7+'Anuid PJ'!E7+RRT!C6+'Taxas e Multas.'!B5</f>
        <v>1517630.17</v>
      </c>
      <c r="C8" s="537">
        <f>'Anuid PF'!O7+'Anuid PF'!P7+'Anuid PJ'!L7+'Anuid PJ'!M7+RRT!G6+'Taxas e Multas.'!C5</f>
        <v>102632.24800000001</v>
      </c>
      <c r="D8" s="537">
        <f>'Anuid PF'!Q7+'Anuid PF'!R7+'Anuid PJ'!N7+'Anuid PJ'!O7+RRT!H6+'Taxas e Multas.'!D5</f>
        <v>133822.80000000002</v>
      </c>
      <c r="E8" s="537">
        <f>'Anuid PF'!S7+'Anuid PF'!T7+'Anuid PJ'!P7+'Anuid PJ'!Q7+RRT!I6+'Taxas e Multas.'!E5</f>
        <v>168352.65600000002</v>
      </c>
      <c r="F8" s="537">
        <f>'Anuid PF'!U7+'Anuid PF'!V7+'Anuid PJ'!R7+'Anuid PJ'!S7+RRT!J6+'Taxas e Multas.'!F5</f>
        <v>130081.512</v>
      </c>
      <c r="G8" s="537">
        <f>'Anuid PF'!W7+'Anuid PF'!X7+'Anuid PJ'!T7+'Anuid PJ'!U7+RRT!K6+'Taxas e Multas.'!G5</f>
        <v>131158.08000000002</v>
      </c>
      <c r="H8" s="537">
        <f>'Anuid PF'!Y7+'Anuid PF'!Z7+'Anuid PJ'!V7+'Anuid PJ'!W7+RRT!L6+'Taxas e Multas.'!H5</f>
        <v>155285.24000000002</v>
      </c>
      <c r="I8" s="537">
        <f>'Anuid PF'!AA7+'Anuid PF'!AB7+'Anuid PJ'!X7+'Anuid PJ'!Y7+RRT!M6+'Taxas e Multas.'!I5</f>
        <v>127818.53600000002</v>
      </c>
      <c r="J8" s="537">
        <f>'Anuid PF'!AC7+'Anuid PF'!AD7+'Anuid PJ'!Z7+'Anuid PJ'!AA7+RRT!N6+'Taxas e Multas.'!J5</f>
        <v>113671.48800000001</v>
      </c>
      <c r="K8" s="537">
        <f>'Anuid PF'!AE7+'Anuid PF'!AF7+'Anuid PJ'!AB7+'Anuid PJ'!AC7+RRT!O6+'Taxas e Multas.'!K5</f>
        <v>86586.865999999995</v>
      </c>
      <c r="L8" s="537">
        <f>'Anuid PF'!AG7+'Anuid PF'!AH7+'Anuid PJ'!AD7+'Anuid PJ'!AE7+RRT!P6+'Taxas e Multas.'!L5</f>
        <v>0</v>
      </c>
      <c r="M8" s="537">
        <f>'Anuid PF'!AI7+'Anuid PF'!AJ7+'Anuid PJ'!AF7+'Anuid PJ'!AG7+RRT!Q6+'Taxas e Multas.'!M5</f>
        <v>0</v>
      </c>
      <c r="N8" s="537">
        <f>'Anuid PF'!AK7+'Anuid PF'!AL7+'Anuid PJ'!AH7+'Anuid PJ'!AI7+RRT!R6+'Taxas e Multas.'!N5</f>
        <v>0</v>
      </c>
      <c r="O8" s="536">
        <f t="shared" si="3"/>
        <v>1149409.426</v>
      </c>
      <c r="P8" s="192">
        <f t="shared" si="0"/>
        <v>75.737122832764982</v>
      </c>
      <c r="Q8" s="192">
        <f t="shared" si="1"/>
        <v>0.65886516727986666</v>
      </c>
      <c r="R8" s="178">
        <f t="shared" si="2"/>
        <v>0.7573712283276498</v>
      </c>
      <c r="S8" s="177">
        <f>'Comparativo YoY'!GH38</f>
        <v>12.954563427351573</v>
      </c>
      <c r="T8" s="171"/>
      <c r="U8" s="11"/>
      <c r="V8" s="11"/>
      <c r="W8" s="11"/>
      <c r="X8" s="11"/>
      <c r="Y8" s="11"/>
      <c r="Z8" s="11"/>
      <c r="AB8" s="190"/>
      <c r="AC8" s="189">
        <v>245537.10130974505</v>
      </c>
    </row>
    <row r="9" spans="1:29" ht="24" thickBot="1">
      <c r="A9" s="193" t="s">
        <v>79</v>
      </c>
      <c r="B9" s="536">
        <f>'Anuid PF'!E8+'Anuid PF'!F8+'Anuid PJ'!D8+'Anuid PJ'!E8+RRT!C7+'Taxas e Multas.'!B6</f>
        <v>670892.02</v>
      </c>
      <c r="C9" s="537">
        <f>'Anuid PF'!O8+'Anuid PF'!P8+'Anuid PJ'!L8+'Anuid PJ'!M8+RRT!G7+'Taxas e Multas.'!C6</f>
        <v>55073.256000000001</v>
      </c>
      <c r="D9" s="537">
        <f>'Anuid PF'!Q8+'Anuid PF'!R8+'Anuid PJ'!N8+'Anuid PJ'!O8+RRT!H7+'Taxas e Multas.'!D6</f>
        <v>57612.799999999996</v>
      </c>
      <c r="E9" s="537">
        <f>'Anuid PF'!S8+'Anuid PF'!T8+'Anuid PJ'!P8+'Anuid PJ'!Q8+RRT!I7+'Taxas e Multas.'!E6</f>
        <v>75481.08</v>
      </c>
      <c r="F9" s="537">
        <f>'Anuid PF'!U8+'Anuid PF'!V8+'Anuid PJ'!R8+'Anuid PJ'!S8+RRT!J7+'Taxas e Multas.'!F6</f>
        <v>58745.992000000006</v>
      </c>
      <c r="G9" s="537">
        <f>'Anuid PF'!W8+'Anuid PF'!X8+'Anuid PJ'!T8+'Anuid PJ'!U8+RRT!K7+'Taxas e Multas.'!G6</f>
        <v>61325.464</v>
      </c>
      <c r="H9" s="537">
        <f>'Anuid PF'!Y8+'Anuid PF'!Z8+'Anuid PJ'!V8+'Anuid PJ'!W8+RRT!L7+'Taxas e Multas.'!H6</f>
        <v>67792.728000000003</v>
      </c>
      <c r="I9" s="537">
        <f>'Anuid PF'!AA8+'Anuid PF'!AB8+'Anuid PJ'!X8+'Anuid PJ'!Y8+RRT!M7+'Taxas e Multas.'!I6</f>
        <v>69018.792000000001</v>
      </c>
      <c r="J9" s="537">
        <f>'Anuid PF'!AC8+'Anuid PF'!AD8+'Anuid PJ'!Z8+'Anuid PJ'!AA8+RRT!N7+'Taxas e Multas.'!J6</f>
        <v>56074.8</v>
      </c>
      <c r="K9" s="537">
        <f>'Anuid PF'!AE8+'Anuid PF'!AF8+'Anuid PJ'!AB8+'Anuid PJ'!AC8+RRT!O7+'Taxas e Multas.'!K6</f>
        <v>60676.527999999998</v>
      </c>
      <c r="L9" s="537">
        <f>'Anuid PF'!AG8+'Anuid PF'!AH8+'Anuid PJ'!AD8+'Anuid PJ'!AE8+RRT!P7+'Taxas e Multas.'!L6</f>
        <v>0</v>
      </c>
      <c r="M9" s="537">
        <f>'Anuid PF'!AI8+'Anuid PF'!AJ8+'Anuid PJ'!AF8+'Anuid PJ'!AG8+RRT!Q7+'Taxas e Multas.'!M6</f>
        <v>0</v>
      </c>
      <c r="N9" s="537">
        <f>'Anuid PF'!AK8+'Anuid PF'!AL8+'Anuid PJ'!AH8+'Anuid PJ'!AI8+RRT!R7+'Taxas e Multas.'!N6</f>
        <v>0</v>
      </c>
      <c r="O9" s="536">
        <f t="shared" si="3"/>
        <v>561801.44000000006</v>
      </c>
      <c r="P9" s="192">
        <f t="shared" si="0"/>
        <v>83.739472709781239</v>
      </c>
      <c r="Q9" s="192">
        <f t="shared" si="1"/>
        <v>0.32203616167636162</v>
      </c>
      <c r="R9" s="178">
        <f t="shared" si="2"/>
        <v>0.83739472709781237</v>
      </c>
      <c r="S9" s="177">
        <f>'Comparativo YoY'!GH39</f>
        <v>14.31592338487151</v>
      </c>
      <c r="T9" s="171"/>
      <c r="U9" s="11"/>
      <c r="V9" s="11"/>
      <c r="W9" s="11"/>
      <c r="X9" s="11"/>
      <c r="Y9" s="11"/>
      <c r="Z9" s="11"/>
      <c r="AB9" s="190"/>
      <c r="AC9" s="189">
        <v>1096316.0792068851</v>
      </c>
    </row>
    <row r="10" spans="1:29" ht="24" thickBot="1">
      <c r="A10" s="193" t="s">
        <v>81</v>
      </c>
      <c r="B10" s="536">
        <f>'Anuid PF'!E9+'Anuid PF'!F9+'Anuid PJ'!D9+'Anuid PJ'!E9+RRT!C8+'Taxas e Multas.'!B7</f>
        <v>4151765.1400000006</v>
      </c>
      <c r="C10" s="537">
        <f>'Anuid PF'!O9+'Anuid PF'!P9+'Anuid PJ'!L9+'Anuid PJ'!M9+RRT!G8+'Taxas e Multas.'!C7</f>
        <v>425987.01599999995</v>
      </c>
      <c r="D10" s="537">
        <f>'Anuid PF'!Q9+'Anuid PF'!R9+'Anuid PJ'!N9+'Anuid PJ'!O9+RRT!H8+'Taxas e Multas.'!D7</f>
        <v>533855.38400000008</v>
      </c>
      <c r="E10" s="537">
        <f>'Anuid PF'!S9+'Anuid PF'!T9+'Anuid PJ'!P9+'Anuid PJ'!Q9+RRT!I8+'Taxas e Multas.'!E7</f>
        <v>594216.02399999998</v>
      </c>
      <c r="F10" s="537">
        <f>'Anuid PF'!U9+'Anuid PF'!V9+'Anuid PJ'!R9+'Anuid PJ'!S9+RRT!J8+'Taxas e Multas.'!F7</f>
        <v>385673.66399999999</v>
      </c>
      <c r="G10" s="537">
        <f>'Anuid PF'!W9+'Anuid PF'!X9+'Anuid PJ'!T9+'Anuid PJ'!U9+RRT!K8+'Taxas e Multas.'!G7</f>
        <v>473196.08</v>
      </c>
      <c r="H10" s="537">
        <f>'Anuid PF'!Y9+'Anuid PF'!Z9+'Anuid PJ'!V9+'Anuid PJ'!W9+RRT!L8+'Taxas e Multas.'!H7</f>
        <v>397052.17600000004</v>
      </c>
      <c r="I10" s="537">
        <f>'Anuid PF'!AA9+'Anuid PF'!AB9+'Anuid PJ'!X9+'Anuid PJ'!Y9+RRT!M8+'Taxas e Multas.'!I7</f>
        <v>380637.576</v>
      </c>
      <c r="J10" s="537">
        <f>'Anuid PF'!AC9+'Anuid PF'!AD9+'Anuid PJ'!Z9+'Anuid PJ'!AA9+RRT!N8+'Taxas e Multas.'!J7</f>
        <v>378919.136</v>
      </c>
      <c r="K10" s="537">
        <f>'Anuid PF'!AE9+'Anuid PF'!AF9+'Anuid PJ'!AB9+'Anuid PJ'!AC9+RRT!O8+'Taxas e Multas.'!K7</f>
        <v>315792.68799999997</v>
      </c>
      <c r="L10" s="537">
        <f>'Anuid PF'!AG9+'Anuid PF'!AH9+'Anuid PJ'!AD9+'Anuid PJ'!AE9+RRT!P8+'Taxas e Multas.'!L7</f>
        <v>0</v>
      </c>
      <c r="M10" s="537">
        <f>'Anuid PF'!AI9+'Anuid PF'!AJ9+'Anuid PJ'!AF9+'Anuid PJ'!AG9+RRT!Q8+'Taxas e Multas.'!M7</f>
        <v>0</v>
      </c>
      <c r="N10" s="537">
        <f>'Anuid PF'!AK9+'Anuid PF'!AL9+'Anuid PJ'!AH9+'Anuid PJ'!AI9+RRT!R8+'Taxas e Multas.'!N7</f>
        <v>0</v>
      </c>
      <c r="O10" s="536">
        <f t="shared" si="3"/>
        <v>3885329.7439999999</v>
      </c>
      <c r="P10" s="192">
        <f t="shared" si="0"/>
        <v>93.582599520549934</v>
      </c>
      <c r="Q10" s="192">
        <f t="shared" si="1"/>
        <v>2.2271510688985785</v>
      </c>
      <c r="R10" s="178">
        <f t="shared" si="2"/>
        <v>0.93582599520549936</v>
      </c>
      <c r="S10" s="177">
        <f>'Comparativo YoY'!GH40</f>
        <v>31.068526681327057</v>
      </c>
      <c r="T10" s="171"/>
      <c r="U10" s="11"/>
      <c r="V10" s="11"/>
      <c r="W10" s="11"/>
      <c r="X10" s="11"/>
      <c r="Y10" s="11"/>
      <c r="Z10" s="11"/>
      <c r="AB10" s="190"/>
      <c r="AC10" s="189">
        <v>377381.20316519163</v>
      </c>
    </row>
    <row r="11" spans="1:29" ht="24" thickBot="1">
      <c r="A11" s="193" t="s">
        <v>82</v>
      </c>
      <c r="B11" s="536">
        <f>'Anuid PF'!E10+'Anuid PF'!F10+'Anuid PJ'!D10+'Anuid PJ'!E10+RRT!C9+'Taxas e Multas.'!B8</f>
        <v>2677681.98</v>
      </c>
      <c r="C11" s="537">
        <f>'Anuid PF'!O10+'Anuid PF'!P10+'Anuid PJ'!L10+'Anuid PJ'!M10+RRT!G9+'Taxas e Multas.'!C8</f>
        <v>347404.58400000003</v>
      </c>
      <c r="D11" s="537">
        <f>'Anuid PF'!Q10+'Anuid PF'!R10+'Anuid PJ'!N10+'Anuid PJ'!O10+RRT!H9+'Taxas e Multas.'!D8</f>
        <v>365990.12799999997</v>
      </c>
      <c r="E11" s="537">
        <f>'Anuid PF'!S10+'Anuid PF'!T10+'Anuid PJ'!P10+'Anuid PJ'!Q10+RRT!I9+'Taxas e Multas.'!E8</f>
        <v>356191.52799999999</v>
      </c>
      <c r="F11" s="537">
        <f>'Anuid PF'!U10+'Anuid PF'!V10+'Anuid PJ'!R10+'Anuid PJ'!S10+RRT!J9+'Taxas e Multas.'!F8</f>
        <v>199868.61599999998</v>
      </c>
      <c r="G11" s="537">
        <f>'Anuid PF'!W10+'Anuid PF'!X10+'Anuid PJ'!T10+'Anuid PJ'!U10+RRT!K9+'Taxas e Multas.'!G8</f>
        <v>277101.64799999999</v>
      </c>
      <c r="H11" s="537">
        <f>'Anuid PF'!Y10+'Anuid PF'!Z10+'Anuid PJ'!V10+'Anuid PJ'!W10+RRT!L9+'Taxas e Multas.'!H8</f>
        <v>346050.23199999996</v>
      </c>
      <c r="I11" s="537">
        <f>'Anuid PF'!AA10+'Anuid PF'!AB10+'Anuid PJ'!X10+'Anuid PJ'!Y10+RRT!M9+'Taxas e Multas.'!I8</f>
        <v>322353.21600000001</v>
      </c>
      <c r="J11" s="537">
        <f>'Anuid PF'!AC10+'Anuid PF'!AD10+'Anuid PJ'!Z10+'Anuid PJ'!AA10+RRT!N9+'Taxas e Multas.'!J8</f>
        <v>301688.79200000002</v>
      </c>
      <c r="K11" s="537">
        <f>'Anuid PF'!AE10+'Anuid PF'!AF10+'Anuid PJ'!AB10+'Anuid PJ'!AC10+RRT!O9+'Taxas e Multas.'!K8</f>
        <v>256225.712</v>
      </c>
      <c r="L11" s="537">
        <f>'Anuid PF'!AG10+'Anuid PF'!AH10+'Anuid PJ'!AD10+'Anuid PJ'!AE10+RRT!P9+'Taxas e Multas.'!L8</f>
        <v>0</v>
      </c>
      <c r="M11" s="537">
        <f>'Anuid PF'!AI10+'Anuid PF'!AJ10+'Anuid PJ'!AF10+'Anuid PJ'!AG10+RRT!Q9+'Taxas e Multas.'!M8</f>
        <v>0</v>
      </c>
      <c r="N11" s="537">
        <f>'Anuid PF'!AK10+'Anuid PF'!AL10+'Anuid PJ'!AH10+'Anuid PJ'!AI10+RRT!R9+'Taxas e Multas.'!N8</f>
        <v>0</v>
      </c>
      <c r="O11" s="536">
        <f t="shared" si="3"/>
        <v>2772874.4559999998</v>
      </c>
      <c r="P11" s="192">
        <f t="shared" si="0"/>
        <v>103.55503292441024</v>
      </c>
      <c r="Q11" s="192">
        <f t="shared" si="1"/>
        <v>1.5894687749833269</v>
      </c>
      <c r="R11" s="178">
        <f t="shared" si="2"/>
        <v>1.0355503292441024</v>
      </c>
      <c r="S11" s="177">
        <f>'Comparativo YoY'!GH41</f>
        <v>33.02463224759336</v>
      </c>
      <c r="T11" s="171"/>
      <c r="U11" s="11"/>
      <c r="V11" s="11"/>
      <c r="W11" s="11"/>
      <c r="X11" s="11"/>
      <c r="Y11" s="11"/>
      <c r="Z11" s="11"/>
      <c r="AB11" s="190"/>
      <c r="AC11" s="189">
        <v>112609.8266803484</v>
      </c>
    </row>
    <row r="12" spans="1:29" ht="24" thickBot="1">
      <c r="A12" s="193" t="s">
        <v>83</v>
      </c>
      <c r="B12" s="536">
        <f>'Anuid PF'!E11+'Anuid PF'!F11+'Anuid PJ'!D11+'Anuid PJ'!E11+RRT!C10+'Taxas e Multas.'!B9</f>
        <v>4158631.82</v>
      </c>
      <c r="C12" s="537">
        <f>'Anuid PF'!O11+'Anuid PF'!P11+'Anuid PJ'!L11+'Anuid PJ'!M11+RRT!G10+'Taxas e Multas.'!C9</f>
        <v>435518.73600000009</v>
      </c>
      <c r="D12" s="537">
        <f>'Anuid PF'!Q11+'Anuid PF'!R11+'Anuid PJ'!N11+'Anuid PJ'!O11+RRT!H10+'Taxas e Multas.'!D9</f>
        <v>548448.34400000004</v>
      </c>
      <c r="E12" s="537">
        <f>'Anuid PF'!S11+'Anuid PF'!T11+'Anuid PJ'!P11+'Anuid PJ'!Q11+RRT!I10+'Taxas e Multas.'!E9</f>
        <v>471380.23200000002</v>
      </c>
      <c r="F12" s="537">
        <f>'Anuid PF'!U11+'Anuid PF'!V11+'Anuid PJ'!R11+'Anuid PJ'!S11+RRT!J10+'Taxas e Multas.'!F9</f>
        <v>306019.152</v>
      </c>
      <c r="G12" s="537">
        <f>'Anuid PF'!W11+'Anuid PF'!X11+'Anuid PJ'!T11+'Anuid PJ'!U11+RRT!K10+'Taxas e Multas.'!G9</f>
        <v>460336.288</v>
      </c>
      <c r="H12" s="537">
        <f>'Anuid PF'!Y11+'Anuid PF'!Z11+'Anuid PJ'!V11+'Anuid PJ'!W11+RRT!L10+'Taxas e Multas.'!H9</f>
        <v>415226.87200000003</v>
      </c>
      <c r="I12" s="537">
        <f>'Anuid PF'!AA11+'Anuid PF'!AB11+'Anuid PJ'!X11+'Anuid PJ'!Y11+RRT!M10+'Taxas e Multas.'!I9</f>
        <v>379961.68000000005</v>
      </c>
      <c r="J12" s="537">
        <f>'Anuid PF'!AC11+'Anuid PF'!AD11+'Anuid PJ'!Z11+'Anuid PJ'!AA11+RRT!N10+'Taxas e Multas.'!J9</f>
        <v>383968.64</v>
      </c>
      <c r="K12" s="537">
        <f>'Anuid PF'!AE11+'Anuid PF'!AF11+'Anuid PJ'!AB11+'Anuid PJ'!AC11+RRT!O10+'Taxas e Multas.'!K9</f>
        <v>306900.24800000002</v>
      </c>
      <c r="L12" s="537">
        <f>'Anuid PF'!AG11+'Anuid PF'!AH11+'Anuid PJ'!AD11+'Anuid PJ'!AE11+RRT!P10+'Taxas e Multas.'!L9</f>
        <v>0</v>
      </c>
      <c r="M12" s="537">
        <f>'Anuid PF'!AI11+'Anuid PF'!AJ11+'Anuid PJ'!AF11+'Anuid PJ'!AG11+RRT!Q10+'Taxas e Multas.'!M9</f>
        <v>0</v>
      </c>
      <c r="N12" s="537">
        <f>'Anuid PF'!AK11+'Anuid PF'!AL11+'Anuid PJ'!AH11+'Anuid PJ'!AI11+RRT!R10+'Taxas e Multas.'!N9</f>
        <v>0</v>
      </c>
      <c r="O12" s="536">
        <f t="shared" si="3"/>
        <v>3707760.1920000007</v>
      </c>
      <c r="P12" s="192">
        <f t="shared" si="0"/>
        <v>89.158173949623674</v>
      </c>
      <c r="Q12" s="192">
        <f t="shared" si="1"/>
        <v>2.1253645427610328</v>
      </c>
      <c r="R12" s="178">
        <f t="shared" si="2"/>
        <v>0.89158173949623676</v>
      </c>
      <c r="S12" s="177">
        <f>'Comparativo YoY'!GH42</f>
        <v>9.8058996474741349</v>
      </c>
      <c r="T12" s="171"/>
      <c r="U12" s="11"/>
      <c r="V12" s="11"/>
      <c r="W12" s="11"/>
      <c r="X12" s="11"/>
      <c r="Y12" s="11"/>
      <c r="Z12" s="11"/>
      <c r="AB12" s="190"/>
      <c r="AC12" s="189">
        <v>633397.50707965042</v>
      </c>
    </row>
    <row r="13" spans="1:29" ht="24" thickBot="1">
      <c r="A13" s="193" t="s">
        <v>84</v>
      </c>
      <c r="B13" s="536">
        <f>'Anuid PF'!E12+'Anuid PF'!F12+'Anuid PJ'!D12+'Anuid PJ'!E12+RRT!C11+'Taxas e Multas.'!B10</f>
        <v>3431263.4699999997</v>
      </c>
      <c r="C13" s="537">
        <f>'Anuid PF'!O12+'Anuid PF'!P12+'Anuid PJ'!L12+'Anuid PJ'!M12+RRT!G11+'Taxas e Multas.'!C10</f>
        <v>281253.05600000004</v>
      </c>
      <c r="D13" s="537">
        <f>'Anuid PF'!Q12+'Anuid PF'!R12+'Anuid PJ'!N12+'Anuid PJ'!O12+RRT!H11+'Taxas e Multas.'!D10</f>
        <v>499771.28</v>
      </c>
      <c r="E13" s="537">
        <f>'Anuid PF'!S12+'Anuid PF'!T12+'Anuid PJ'!P12+'Anuid PJ'!Q12+RRT!I11+'Taxas e Multas.'!E10</f>
        <v>480750.88000000006</v>
      </c>
      <c r="F13" s="537">
        <f>'Anuid PF'!U12+'Anuid PF'!V12+'Anuid PJ'!R12+'Anuid PJ'!S12+RRT!J11+'Taxas e Multas.'!F10</f>
        <v>260629.67200000002</v>
      </c>
      <c r="G13" s="537">
        <f>'Anuid PF'!W12+'Anuid PF'!X12+'Anuid PJ'!T12+'Anuid PJ'!U12+RRT!K11+'Taxas e Multas.'!G10</f>
        <v>287889.87200000003</v>
      </c>
      <c r="H13" s="537">
        <f>'Anuid PF'!Y12+'Anuid PF'!Z12+'Anuid PJ'!V12+'Anuid PJ'!W12+RRT!L11+'Taxas e Multas.'!H10</f>
        <v>286264</v>
      </c>
      <c r="I13" s="537">
        <f>'Anuid PF'!AA12+'Anuid PF'!AB12+'Anuid PJ'!X12+'Anuid PJ'!Y12+RRT!M11+'Taxas e Multas.'!I10</f>
        <v>288521.37599999999</v>
      </c>
      <c r="J13" s="537">
        <f>'Anuid PF'!AC12+'Anuid PF'!AD12+'Anuid PJ'!Z12+'Anuid PJ'!AA12+RRT!N11+'Taxas e Multas.'!J10</f>
        <v>273521.19199999998</v>
      </c>
      <c r="K13" s="537">
        <f>'Anuid PF'!AE12+'Anuid PF'!AF12+'Anuid PJ'!AB12+'Anuid PJ'!AC12+RRT!O11+'Taxas e Multas.'!K10</f>
        <v>237715.61600000001</v>
      </c>
      <c r="L13" s="537">
        <f>'Anuid PF'!AG12+'Anuid PF'!AH12+'Anuid PJ'!AD12+'Anuid PJ'!AE12+RRT!P11+'Taxas e Multas.'!L10</f>
        <v>0</v>
      </c>
      <c r="M13" s="537">
        <f>'Anuid PF'!AI12+'Anuid PF'!AJ12+'Anuid PJ'!AF12+'Anuid PJ'!AG12+RRT!Q11+'Taxas e Multas.'!M10</f>
        <v>0</v>
      </c>
      <c r="N13" s="537">
        <f>'Anuid PF'!AK12+'Anuid PF'!AL12+'Anuid PJ'!AH12+'Anuid PJ'!AI12+RRT!R11+'Taxas e Multas.'!N10</f>
        <v>0</v>
      </c>
      <c r="O13" s="536">
        <f t="shared" si="3"/>
        <v>2896316.9440000001</v>
      </c>
      <c r="P13" s="192">
        <f t="shared" si="0"/>
        <v>84.409634215585328</v>
      </c>
      <c r="Q13" s="192">
        <f t="shared" si="1"/>
        <v>1.6602285527142286</v>
      </c>
      <c r="R13" s="178">
        <f t="shared" si="2"/>
        <v>0.84409634215585327</v>
      </c>
      <c r="S13" s="177">
        <f>'Comparativo YoY'!GH43</f>
        <v>23.224575103044003</v>
      </c>
      <c r="T13" s="171"/>
      <c r="U13" s="11"/>
      <c r="V13" s="11"/>
      <c r="W13" s="11"/>
      <c r="X13" s="11"/>
      <c r="Y13" s="11"/>
      <c r="Z13" s="11"/>
      <c r="AB13" s="190"/>
      <c r="AC13" s="189">
        <v>948850.76735971484</v>
      </c>
    </row>
    <row r="14" spans="1:29" ht="24" thickBot="1">
      <c r="A14" s="193" t="s">
        <v>85</v>
      </c>
      <c r="B14" s="536">
        <f>'Anuid PF'!E13+'Anuid PF'!F13+'Anuid PJ'!D13+'Anuid PJ'!E13+RRT!C12+'Taxas e Multas.'!B11</f>
        <v>4909834.58</v>
      </c>
      <c r="C14" s="537">
        <f>'Anuid PF'!O13+'Anuid PF'!P13+'Anuid PJ'!L13+'Anuid PJ'!M13+RRT!G12+'Taxas e Multas.'!C11</f>
        <v>398782.90399999998</v>
      </c>
      <c r="D14" s="537">
        <f>'Anuid PF'!Q13+'Anuid PF'!R13+'Anuid PJ'!N13+'Anuid PJ'!O13+RRT!H12+'Taxas e Multas.'!D11</f>
        <v>496765.08800000005</v>
      </c>
      <c r="E14" s="537">
        <f>'Anuid PF'!S13+'Anuid PF'!T13+'Anuid PJ'!P13+'Anuid PJ'!Q13+RRT!I12+'Taxas e Multas.'!E11</f>
        <v>583184.14400000009</v>
      </c>
      <c r="F14" s="537">
        <f>'Anuid PF'!U13+'Anuid PF'!V13+'Anuid PJ'!R13+'Anuid PJ'!S13+RRT!J12+'Taxas e Multas.'!F11</f>
        <v>396468.88</v>
      </c>
      <c r="G14" s="537">
        <f>'Anuid PF'!W13+'Anuid PF'!X13+'Anuid PJ'!T13+'Anuid PJ'!U13+RRT!K12+'Taxas e Multas.'!G11</f>
        <v>442424.90400000004</v>
      </c>
      <c r="H14" s="537">
        <f>'Anuid PF'!Y13+'Anuid PF'!Z13+'Anuid PJ'!V13+'Anuid PJ'!W13+RRT!L12+'Taxas e Multas.'!H11</f>
        <v>465147.96000000008</v>
      </c>
      <c r="I14" s="537">
        <f>'Anuid PF'!AA13+'Anuid PF'!AB13+'Anuid PJ'!X13+'Anuid PJ'!Y13+RRT!M12+'Taxas e Multas.'!I11</f>
        <v>466359.16800000006</v>
      </c>
      <c r="J14" s="537">
        <f>'Anuid PF'!AC13+'Anuid PF'!AD13+'Anuid PJ'!Z13+'Anuid PJ'!AA13+RRT!N12+'Taxas e Multas.'!J11</f>
        <v>473795.74400000006</v>
      </c>
      <c r="K14" s="537">
        <f>'Anuid PF'!AE13+'Anuid PF'!AF13+'Anuid PJ'!AB13+'Anuid PJ'!AC13+RRT!O12+'Taxas e Multas.'!K11</f>
        <v>407030.25599999999</v>
      </c>
      <c r="L14" s="537">
        <f>'Anuid PF'!AG13+'Anuid PF'!AH13+'Anuid PJ'!AD13+'Anuid PJ'!AE13+RRT!P12+'Taxas e Multas.'!L11</f>
        <v>0</v>
      </c>
      <c r="M14" s="537">
        <f>'Anuid PF'!AI13+'Anuid PF'!AJ13+'Anuid PJ'!AF13+'Anuid PJ'!AG13+RRT!Q12+'Taxas e Multas.'!M11</f>
        <v>0</v>
      </c>
      <c r="N14" s="537">
        <f>'Anuid PF'!AK13+'Anuid PF'!AL13+'Anuid PJ'!AH13+'Anuid PJ'!AI13+RRT!R12+'Taxas e Multas.'!N11</f>
        <v>0</v>
      </c>
      <c r="O14" s="536">
        <f t="shared" si="3"/>
        <v>4129959.0480000004</v>
      </c>
      <c r="P14" s="192">
        <f t="shared" si="0"/>
        <v>84.116052805999018</v>
      </c>
      <c r="Q14" s="192">
        <f t="shared" si="1"/>
        <v>2.3673776266904558</v>
      </c>
      <c r="R14" s="178">
        <f t="shared" si="2"/>
        <v>0.8411605280599902</v>
      </c>
      <c r="S14" s="177">
        <f>'Comparativo YoY'!GH44</f>
        <v>14.464236686775365</v>
      </c>
      <c r="T14" s="171"/>
      <c r="U14" s="11"/>
      <c r="V14" s="11"/>
      <c r="W14" s="11"/>
      <c r="X14" s="11"/>
      <c r="Y14" s="11"/>
      <c r="Z14" s="11"/>
      <c r="AB14" s="190"/>
      <c r="AC14" s="189">
        <v>2419908.0302101765</v>
      </c>
    </row>
    <row r="15" spans="1:29" ht="24" thickBot="1">
      <c r="A15" s="193" t="s">
        <v>86</v>
      </c>
      <c r="B15" s="536">
        <f>'Anuid PF'!E14+'Anuid PF'!F14+'Anuid PJ'!D14+'Anuid PJ'!E14+RRT!C13+'Taxas e Multas.'!B12</f>
        <v>1304120.1500000001</v>
      </c>
      <c r="C15" s="537">
        <f>'Anuid PF'!O14+'Anuid PF'!P14+'Anuid PJ'!L14+'Anuid PJ'!M14+RRT!G13+'Taxas e Multas.'!C12</f>
        <v>110406.04800000002</v>
      </c>
      <c r="D15" s="537">
        <f>'Anuid PF'!Q14+'Anuid PF'!R14+'Anuid PJ'!N14+'Anuid PJ'!O14+RRT!H13+'Taxas e Multas.'!D12</f>
        <v>154687.76</v>
      </c>
      <c r="E15" s="537">
        <f>'Anuid PF'!S14+'Anuid PF'!T14+'Anuid PJ'!P14+'Anuid PJ'!Q14+RRT!I13+'Taxas e Multas.'!E12</f>
        <v>158257.99200000003</v>
      </c>
      <c r="F15" s="537">
        <f>'Anuid PF'!U14+'Anuid PF'!V14+'Anuid PJ'!R14+'Anuid PJ'!S14+RRT!J13+'Taxas e Multas.'!F12</f>
        <v>103288.136</v>
      </c>
      <c r="G15" s="537">
        <f>'Anuid PF'!W14+'Anuid PF'!X14+'Anuid PJ'!T14+'Anuid PJ'!U14+RRT!K13+'Taxas e Multas.'!G12</f>
        <v>140409.568</v>
      </c>
      <c r="H15" s="537">
        <f>'Anuid PF'!Y14+'Anuid PF'!Z14+'Anuid PJ'!V14+'Anuid PJ'!W14+RRT!L13+'Taxas e Multas.'!H12</f>
        <v>131291.856</v>
      </c>
      <c r="I15" s="537">
        <f>'Anuid PF'!AA14+'Anuid PF'!AB14+'Anuid PJ'!X14+'Anuid PJ'!Y14+RRT!M13+'Taxas e Multas.'!I12</f>
        <v>118982.09600000001</v>
      </c>
      <c r="J15" s="537">
        <f>'Anuid PF'!AC14+'Anuid PF'!AD14+'Anuid PJ'!Z14+'Anuid PJ'!AA14+RRT!N13+'Taxas e Multas.'!J12</f>
        <v>120916.19200000001</v>
      </c>
      <c r="K15" s="537">
        <f>'Anuid PF'!AE14+'Anuid PF'!AF14+'Anuid PJ'!AB14+'Anuid PJ'!AC14+RRT!O13+'Taxas e Multas.'!K12</f>
        <v>92358.128000000012</v>
      </c>
      <c r="L15" s="537">
        <f>'Anuid PF'!AG14+'Anuid PF'!AH14+'Anuid PJ'!AD14+'Anuid PJ'!AE14+RRT!P13+'Taxas e Multas.'!L12</f>
        <v>0</v>
      </c>
      <c r="M15" s="537">
        <f>'Anuid PF'!AI14+'Anuid PF'!AJ14+'Anuid PJ'!AF14+'Anuid PJ'!AG14+RRT!Q13+'Taxas e Multas.'!M12</f>
        <v>0</v>
      </c>
      <c r="N15" s="537">
        <f>'Anuid PF'!AK14+'Anuid PF'!AL14+'Anuid PJ'!AH14+'Anuid PJ'!AI14+RRT!R13+'Taxas e Multas.'!N12</f>
        <v>0</v>
      </c>
      <c r="O15" s="536">
        <f t="shared" si="3"/>
        <v>1130597.7760000001</v>
      </c>
      <c r="P15" s="192">
        <f t="shared" si="0"/>
        <v>86.694295460429771</v>
      </c>
      <c r="Q15" s="192">
        <f t="shared" si="1"/>
        <v>0.64808194187410928</v>
      </c>
      <c r="R15" s="178">
        <f t="shared" si="2"/>
        <v>0.86694295460429771</v>
      </c>
      <c r="S15" s="177">
        <f>'Comparativo YoY'!GH45</f>
        <v>27.187367618036347</v>
      </c>
      <c r="T15" s="171"/>
      <c r="U15" s="11"/>
      <c r="V15" s="11"/>
      <c r="W15" s="11"/>
      <c r="X15" s="11"/>
      <c r="Y15" s="11"/>
      <c r="Z15" s="11"/>
      <c r="AB15" s="190"/>
      <c r="AC15" s="189">
        <v>1052356.5231629985</v>
      </c>
    </row>
    <row r="16" spans="1:29" ht="24" thickBot="1">
      <c r="A16" s="193" t="s">
        <v>89</v>
      </c>
      <c r="B16" s="536">
        <f>'Anuid PF'!E15+'Anuid PF'!F15+'Anuid PJ'!D15+'Anuid PJ'!E15+RRT!C14+'Taxas e Multas.'!B13</f>
        <v>11883036.600000001</v>
      </c>
      <c r="C16" s="537">
        <f>'Anuid PF'!O15+'Anuid PF'!P15+'Anuid PJ'!L15+'Anuid PJ'!M15+RRT!G14+'Taxas e Multas.'!C13</f>
        <v>1326465.48</v>
      </c>
      <c r="D16" s="537">
        <f>'Anuid PF'!Q15+'Anuid PF'!R15+'Anuid PJ'!N15+'Anuid PJ'!O15+RRT!H14+'Taxas e Multas.'!D13</f>
        <v>1460774.6</v>
      </c>
      <c r="E16" s="537">
        <f>'Anuid PF'!S15+'Anuid PF'!T15+'Anuid PJ'!P15+'Anuid PJ'!Q15+RRT!I14+'Taxas e Multas.'!E13</f>
        <v>1738267.368</v>
      </c>
      <c r="F16" s="537">
        <f>'Anuid PF'!U15+'Anuid PF'!V15+'Anuid PJ'!R15+'Anuid PJ'!S15+RRT!J14+'Taxas e Multas.'!F13</f>
        <v>1059948.4239999999</v>
      </c>
      <c r="G16" s="537">
        <f>'Anuid PF'!W15+'Anuid PF'!X15+'Anuid PJ'!T15+'Anuid PJ'!U15+RRT!K14+'Taxas e Multas.'!G13</f>
        <v>1144567.8959999999</v>
      </c>
      <c r="H16" s="537">
        <f>'Anuid PF'!Y15+'Anuid PF'!Z15+'Anuid PJ'!V15+'Anuid PJ'!W15+RRT!L14+'Taxas e Multas.'!H13</f>
        <v>1145722.04</v>
      </c>
      <c r="I16" s="537">
        <f>'Anuid PF'!AA15+'Anuid PF'!AB15+'Anuid PJ'!X15+'Anuid PJ'!Y15+RRT!M14+'Taxas e Multas.'!I13</f>
        <v>1034738.28</v>
      </c>
      <c r="J16" s="537">
        <f>'Anuid PF'!AC15+'Anuid PF'!AD15+'Anuid PJ'!Z15+'Anuid PJ'!AA15+RRT!N14+'Taxas e Multas.'!J13</f>
        <v>924205.08000000007</v>
      </c>
      <c r="K16" s="537">
        <f>'Anuid PF'!AE15+'Anuid PF'!AF15+'Anuid PJ'!AB15+'Anuid PJ'!AC15+RRT!O14+'Taxas e Multas.'!K13</f>
        <v>734455.04800000007</v>
      </c>
      <c r="L16" s="537">
        <f>'Anuid PF'!AG15+'Anuid PF'!AH15+'Anuid PJ'!AD15+'Anuid PJ'!AE15+RRT!P14+'Taxas e Multas.'!L13</f>
        <v>0</v>
      </c>
      <c r="M16" s="537">
        <f>'Anuid PF'!AI15+'Anuid PF'!AJ15+'Anuid PJ'!AF15+'Anuid PJ'!AG15+RRT!Q14+'Taxas e Multas.'!M13</f>
        <v>0</v>
      </c>
      <c r="N16" s="537">
        <f>'Anuid PF'!AK15+'Anuid PF'!AL15+'Anuid PJ'!AH15+'Anuid PJ'!AI15+RRT!R14+'Taxas e Multas.'!N13</f>
        <v>0</v>
      </c>
      <c r="O16" s="536">
        <f t="shared" si="3"/>
        <v>10569144.216</v>
      </c>
      <c r="P16" s="192">
        <f t="shared" si="0"/>
        <v>88.943126001985036</v>
      </c>
      <c r="Q16" s="192">
        <f t="shared" si="1"/>
        <v>6.0584512484064792</v>
      </c>
      <c r="R16" s="178">
        <f t="shared" si="2"/>
        <v>0.8894312600198504</v>
      </c>
      <c r="S16" s="177">
        <f>'Comparativo YoY'!GH46</f>
        <v>16.414936270254501</v>
      </c>
      <c r="T16" s="171"/>
      <c r="U16" s="11"/>
      <c r="V16" s="11"/>
      <c r="W16" s="11"/>
      <c r="X16" s="11"/>
      <c r="Y16" s="11"/>
      <c r="Z16" s="11"/>
      <c r="AB16" s="190"/>
      <c r="AC16" s="189">
        <v>727219.80133539904</v>
      </c>
    </row>
    <row r="17" spans="1:29" ht="24" thickBot="1">
      <c r="A17" s="193" t="s">
        <v>88</v>
      </c>
      <c r="B17" s="536">
        <f>'Anuid PF'!E16+'Anuid PF'!F16+'Anuid PJ'!D16+'Anuid PJ'!E16+RRT!C15+'Taxas e Multas.'!B14</f>
        <v>3503022.95</v>
      </c>
      <c r="C17" s="537">
        <f>'Anuid PF'!O16+'Anuid PF'!P16+'Anuid PJ'!L16+'Anuid PJ'!M16+RRT!G15+'Taxas e Multas.'!C14</f>
        <v>316464.26400000002</v>
      </c>
      <c r="D17" s="537">
        <f>'Anuid PF'!Q16+'Anuid PF'!R16+'Anuid PJ'!N16+'Anuid PJ'!O16+RRT!H15+'Taxas e Multas.'!D14</f>
        <v>361287</v>
      </c>
      <c r="E17" s="537">
        <f>'Anuid PF'!S16+'Anuid PF'!T16+'Anuid PJ'!P16+'Anuid PJ'!Q16+RRT!I15+'Taxas e Multas.'!E14</f>
        <v>350156.71199999994</v>
      </c>
      <c r="F17" s="537">
        <f>'Anuid PF'!U16+'Anuid PF'!V16+'Anuid PJ'!R16+'Anuid PJ'!S16+RRT!J15+'Taxas e Multas.'!F14</f>
        <v>244071.44800000003</v>
      </c>
      <c r="G17" s="537">
        <f>'Anuid PF'!W16+'Anuid PF'!X16+'Anuid PJ'!T16+'Anuid PJ'!U16+RRT!K15+'Taxas e Multas.'!G14</f>
        <v>297190.83999999997</v>
      </c>
      <c r="H17" s="537">
        <f>'Anuid PF'!Y16+'Anuid PF'!Z16+'Anuid PJ'!V16+'Anuid PJ'!W16+RRT!L15+'Taxas e Multas.'!H14</f>
        <v>292888.33600000001</v>
      </c>
      <c r="I17" s="537">
        <f>'Anuid PF'!AA16+'Anuid PF'!AB16+'Anuid PJ'!X16+'Anuid PJ'!Y16+RRT!M15+'Taxas e Multas.'!I14</f>
        <v>277983.03200000006</v>
      </c>
      <c r="J17" s="537">
        <f>'Anuid PF'!AC16+'Anuid PF'!AD16+'Anuid PJ'!Z16+'Anuid PJ'!AA16+RRT!N15+'Taxas e Multas.'!J14</f>
        <v>267368.864</v>
      </c>
      <c r="K17" s="537">
        <f>'Anuid PF'!AE16+'Anuid PF'!AF16+'Anuid PJ'!AB16+'Anuid PJ'!AC16+RRT!O15+'Taxas e Multas.'!K14</f>
        <v>245782.568</v>
      </c>
      <c r="L17" s="537">
        <f>'Anuid PF'!AG16+'Anuid PF'!AH16+'Anuid PJ'!AD16+'Anuid PJ'!AE16+RRT!P15+'Taxas e Multas.'!L14</f>
        <v>0</v>
      </c>
      <c r="M17" s="537">
        <f>'Anuid PF'!AI16+'Anuid PF'!AJ16+'Anuid PJ'!AF16+'Anuid PJ'!AG16+RRT!Q15+'Taxas e Multas.'!M14</f>
        <v>0</v>
      </c>
      <c r="N17" s="537">
        <f>'Anuid PF'!AK16+'Anuid PF'!AL16+'Anuid PJ'!AH16+'Anuid PJ'!AI16+RRT!R15+'Taxas e Multas.'!N14</f>
        <v>0</v>
      </c>
      <c r="O17" s="536">
        <f t="shared" si="3"/>
        <v>2653193.0640000002</v>
      </c>
      <c r="P17" s="192">
        <f t="shared" si="0"/>
        <v>75.740099390442197</v>
      </c>
      <c r="Q17" s="192">
        <f t="shared" si="1"/>
        <v>1.5208649349793502</v>
      </c>
      <c r="R17" s="178">
        <f t="shared" si="2"/>
        <v>0.75740099390442195</v>
      </c>
      <c r="S17" s="177">
        <f>'Comparativo YoY'!GH47</f>
        <v>9.436051774233249</v>
      </c>
      <c r="T17" s="171"/>
      <c r="U17" s="11"/>
      <c r="V17" s="11"/>
      <c r="W17" s="11"/>
      <c r="X17" s="11"/>
      <c r="Y17" s="11"/>
      <c r="Z17" s="11"/>
      <c r="AB17" s="190"/>
      <c r="AC17" s="189">
        <v>1213999.7252162143</v>
      </c>
    </row>
    <row r="18" spans="1:29" ht="24" thickBot="1">
      <c r="A18" s="193" t="s">
        <v>87</v>
      </c>
      <c r="B18" s="536">
        <f>'Anuid PF'!E17+'Anuid PF'!F17+'Anuid PJ'!D17+'Anuid PJ'!E17+RRT!C16+'Taxas e Multas.'!B15</f>
        <v>4593525.9499999993</v>
      </c>
      <c r="C18" s="537">
        <f>'Anuid PF'!O17+'Anuid PF'!P17+'Anuid PJ'!L17+'Anuid PJ'!M17+RRT!G16+'Taxas e Multas.'!C15</f>
        <v>302608.03200000006</v>
      </c>
      <c r="D18" s="537">
        <f>'Anuid PF'!Q17+'Anuid PF'!R17+'Anuid PJ'!N17+'Anuid PJ'!O17+RRT!H16+'Taxas e Multas.'!D15</f>
        <v>392221.97599999997</v>
      </c>
      <c r="E18" s="537">
        <f>'Anuid PF'!S17+'Anuid PF'!T17+'Anuid PJ'!P17+'Anuid PJ'!Q17+RRT!I16+'Taxas e Multas.'!E15</f>
        <v>467824.68800000008</v>
      </c>
      <c r="F18" s="537">
        <f>'Anuid PF'!U17+'Anuid PF'!V17+'Anuid PJ'!R17+'Anuid PJ'!S17+RRT!J16+'Taxas e Multas.'!F15</f>
        <v>387571.32000000007</v>
      </c>
      <c r="G18" s="537">
        <f>'Anuid PF'!W17+'Anuid PF'!X17+'Anuid PJ'!T17+'Anuid PJ'!U17+RRT!K16+'Taxas e Multas.'!G15</f>
        <v>422708.66400000011</v>
      </c>
      <c r="H18" s="537">
        <f>'Anuid PF'!Y17+'Anuid PF'!Z17+'Anuid PJ'!V17+'Anuid PJ'!W17+RRT!L16+'Taxas e Multas.'!H15</f>
        <v>436523.16799999995</v>
      </c>
      <c r="I18" s="537">
        <f>'Anuid PF'!AA17+'Anuid PF'!AB17+'Anuid PJ'!X17+'Anuid PJ'!Y17+RRT!M16+'Taxas e Multas.'!I15</f>
        <v>373863.46399999998</v>
      </c>
      <c r="J18" s="537">
        <f>'Anuid PF'!AC17+'Anuid PF'!AD17+'Anuid PJ'!Z17+'Anuid PJ'!AA17+RRT!N16+'Taxas e Multas.'!J15</f>
        <v>360867.51999999996</v>
      </c>
      <c r="K18" s="537">
        <f>'Anuid PF'!AE17+'Anuid PF'!AF17+'Anuid PJ'!AB17+'Anuid PJ'!AC17+RRT!O16+'Taxas e Multas.'!K15</f>
        <v>323140.83199999999</v>
      </c>
      <c r="L18" s="537">
        <f>'Anuid PF'!AG17+'Anuid PF'!AH17+'Anuid PJ'!AD17+'Anuid PJ'!AE17+RRT!P16+'Taxas e Multas.'!L15</f>
        <v>0</v>
      </c>
      <c r="M18" s="537">
        <f>'Anuid PF'!AI17+'Anuid PF'!AJ17+'Anuid PJ'!AF17+'Anuid PJ'!AG17+RRT!Q16+'Taxas e Multas.'!M15</f>
        <v>0</v>
      </c>
      <c r="N18" s="537">
        <f>'Anuid PF'!AK17+'Anuid PF'!AL17+'Anuid PJ'!AH17+'Anuid PJ'!AI17+RRT!R16+'Taxas e Multas.'!N15</f>
        <v>0</v>
      </c>
      <c r="O18" s="536">
        <f t="shared" si="3"/>
        <v>3467329.6640000003</v>
      </c>
      <c r="P18" s="192">
        <f t="shared" si="0"/>
        <v>75.482966717538645</v>
      </c>
      <c r="Q18" s="192">
        <f t="shared" si="1"/>
        <v>1.9875448098907484</v>
      </c>
      <c r="R18" s="178">
        <f t="shared" si="2"/>
        <v>0.75482966717538647</v>
      </c>
      <c r="S18" s="177">
        <f>'Comparativo YoY'!GH48</f>
        <v>14.806374467364108</v>
      </c>
      <c r="T18" s="171"/>
      <c r="U18" s="11"/>
      <c r="V18" s="11"/>
      <c r="W18" s="11"/>
      <c r="X18" s="11"/>
      <c r="Y18" s="11"/>
      <c r="Z18" s="11"/>
      <c r="AB18" s="190"/>
      <c r="AC18" s="189">
        <v>1969372.4564965589</v>
      </c>
    </row>
    <row r="19" spans="1:29" ht="24" thickBot="1">
      <c r="A19" s="193" t="s">
        <v>90</v>
      </c>
      <c r="B19" s="536">
        <f>'Anuid PF'!E18+'Anuid PF'!F18+'Anuid PJ'!D18+'Anuid PJ'!E18+RRT!C17+'Taxas e Multas.'!B16</f>
        <v>2065474.5099999998</v>
      </c>
      <c r="C19" s="537">
        <f>'Anuid PF'!O18+'Anuid PF'!P18+'Anuid PJ'!L18+'Anuid PJ'!M18+RRT!G17+'Taxas e Multas.'!C16</f>
        <v>169278.39199999999</v>
      </c>
      <c r="D19" s="537">
        <f>'Anuid PF'!Q18+'Anuid PF'!R18+'Anuid PJ'!N18+'Anuid PJ'!O18+RRT!H17+'Taxas e Multas.'!D16</f>
        <v>211098.69600000003</v>
      </c>
      <c r="E19" s="537">
        <f>'Anuid PF'!S18+'Anuid PF'!T18+'Anuid PJ'!P18+'Anuid PJ'!Q18+RRT!I17+'Taxas e Multas.'!E16</f>
        <v>231029.03200000004</v>
      </c>
      <c r="F19" s="537">
        <f>'Anuid PF'!U18+'Anuid PF'!V18+'Anuid PJ'!R18+'Anuid PJ'!S18+RRT!J17+'Taxas e Multas.'!F16</f>
        <v>173802.22399999999</v>
      </c>
      <c r="G19" s="537">
        <f>'Anuid PF'!W18+'Anuid PF'!X18+'Anuid PJ'!T18+'Anuid PJ'!U18+RRT!K17+'Taxas e Multas.'!G16</f>
        <v>209558.04</v>
      </c>
      <c r="H19" s="537">
        <f>'Anuid PF'!Y18+'Anuid PF'!Z18+'Anuid PJ'!V18+'Anuid PJ'!W18+RRT!L17+'Taxas e Multas.'!H16</f>
        <v>207748.36800000002</v>
      </c>
      <c r="I19" s="537">
        <f>'Anuid PF'!AA18+'Anuid PF'!AB18+'Anuid PJ'!X18+'Anuid PJ'!Y18+RRT!M17+'Taxas e Multas.'!I16</f>
        <v>171567.62400000001</v>
      </c>
      <c r="J19" s="537">
        <f>'Anuid PF'!AC18+'Anuid PF'!AD18+'Anuid PJ'!Z18+'Anuid PJ'!AA18+RRT!N17+'Taxas e Multas.'!J16</f>
        <v>170641.448</v>
      </c>
      <c r="K19" s="537">
        <f>'Anuid PF'!AE18+'Anuid PF'!AF18+'Anuid PJ'!AB18+'Anuid PJ'!AC18+RRT!O17+'Taxas e Multas.'!K16</f>
        <v>135647.84000000003</v>
      </c>
      <c r="L19" s="537">
        <f>'Anuid PF'!AG18+'Anuid PF'!AH18+'Anuid PJ'!AD18+'Anuid PJ'!AE18+RRT!P17+'Taxas e Multas.'!L16</f>
        <v>0</v>
      </c>
      <c r="M19" s="537">
        <f>'Anuid PF'!AI18+'Anuid PF'!AJ18+'Anuid PJ'!AF18+'Anuid PJ'!AG18+RRT!Q17+'Taxas e Multas.'!M16</f>
        <v>0</v>
      </c>
      <c r="N19" s="537">
        <f>'Anuid PF'!AK18+'Anuid PF'!AL18+'Anuid PJ'!AH18+'Anuid PJ'!AI18+RRT!R17+'Taxas e Multas.'!N16</f>
        <v>0</v>
      </c>
      <c r="O19" s="536">
        <f t="shared" si="3"/>
        <v>1680371.6640000003</v>
      </c>
      <c r="P19" s="192">
        <f t="shared" si="0"/>
        <v>81.355236090519483</v>
      </c>
      <c r="Q19" s="192">
        <f t="shared" si="1"/>
        <v>0.96322366290887551</v>
      </c>
      <c r="R19" s="178">
        <f t="shared" si="2"/>
        <v>0.81355236090519489</v>
      </c>
      <c r="S19" s="177">
        <f>'Comparativo YoY'!GH49</f>
        <v>22.432522930514793</v>
      </c>
      <c r="T19" s="171"/>
      <c r="U19" s="11"/>
      <c r="V19" s="11"/>
      <c r="W19" s="11"/>
      <c r="X19" s="11"/>
      <c r="Y19" s="11"/>
      <c r="Z19" s="11"/>
      <c r="AB19" s="190"/>
      <c r="AC19" s="189">
        <v>500725.5232661278</v>
      </c>
    </row>
    <row r="20" spans="1:29" ht="24" thickBot="1">
      <c r="A20" s="193" t="s">
        <v>91</v>
      </c>
      <c r="B20" s="536">
        <f>'Anuid PF'!E19+'Anuid PF'!F19+'Anuid PJ'!D19+'Anuid PJ'!E19+RRT!C18+'Taxas e Multas.'!B17</f>
        <v>2127272.0700000003</v>
      </c>
      <c r="C20" s="537">
        <f>'Anuid PF'!O19+'Anuid PF'!P19+'Anuid PJ'!L19+'Anuid PJ'!M19+RRT!G18+'Taxas e Multas.'!C17</f>
        <v>192767.304</v>
      </c>
      <c r="D20" s="537">
        <f>'Anuid PF'!Q19+'Anuid PF'!R19+'Anuid PJ'!N19+'Anuid PJ'!O19+RRT!H18+'Taxas e Multas.'!D17</f>
        <v>269894.08799999999</v>
      </c>
      <c r="E20" s="537">
        <f>'Anuid PF'!S19+'Anuid PF'!T19+'Anuid PJ'!P19+'Anuid PJ'!Q19+RRT!I18+'Taxas e Multas.'!E17</f>
        <v>291392.592</v>
      </c>
      <c r="F20" s="537">
        <f>'Anuid PF'!U19+'Anuid PF'!V19+'Anuid PJ'!R19+'Anuid PJ'!S19+RRT!J18+'Taxas e Multas.'!F17</f>
        <v>176339.96800000002</v>
      </c>
      <c r="G20" s="537">
        <f>'Anuid PF'!W19+'Anuid PF'!X19+'Anuid PJ'!T19+'Anuid PJ'!U19+RRT!K18+'Taxas e Multas.'!G17</f>
        <v>199898.06399999998</v>
      </c>
      <c r="H20" s="537">
        <f>'Anuid PF'!Y19+'Anuid PF'!Z19+'Anuid PJ'!V19+'Anuid PJ'!W19+RRT!L18+'Taxas e Multas.'!H17</f>
        <v>202851.76799999998</v>
      </c>
      <c r="I20" s="537">
        <f>'Anuid PF'!AA19+'Anuid PF'!AB19+'Anuid PJ'!X19+'Anuid PJ'!Y19+RRT!M18+'Taxas e Multas.'!I17</f>
        <v>196514.264</v>
      </c>
      <c r="J20" s="537">
        <f>'Anuid PF'!AC19+'Anuid PF'!AD19+'Anuid PJ'!Z19+'Anuid PJ'!AA19+RRT!N18+'Taxas e Multas.'!J17</f>
        <v>195001.35200000001</v>
      </c>
      <c r="K20" s="537">
        <f>'Anuid PF'!AE19+'Anuid PF'!AF19+'Anuid PJ'!AB19+'Anuid PJ'!AC19+RRT!O18+'Taxas e Multas.'!K17</f>
        <v>191617.62399999998</v>
      </c>
      <c r="L20" s="537">
        <f>'Anuid PF'!AG19+'Anuid PF'!AH19+'Anuid PJ'!AD19+'Anuid PJ'!AE19+RRT!P18+'Taxas e Multas.'!L17</f>
        <v>0</v>
      </c>
      <c r="M20" s="537">
        <f>'Anuid PF'!AI19+'Anuid PF'!AJ19+'Anuid PJ'!AF19+'Anuid PJ'!AG19+RRT!Q18+'Taxas e Multas.'!M17</f>
        <v>0</v>
      </c>
      <c r="N20" s="537">
        <f>'Anuid PF'!AK19+'Anuid PF'!AL19+'Anuid PJ'!AH19+'Anuid PJ'!AI19+RRT!R18+'Taxas e Multas.'!N17</f>
        <v>0</v>
      </c>
      <c r="O20" s="536">
        <f t="shared" si="3"/>
        <v>1916277.0239999997</v>
      </c>
      <c r="P20" s="192">
        <f t="shared" si="0"/>
        <v>90.081426396953518</v>
      </c>
      <c r="Q20" s="192">
        <f t="shared" si="1"/>
        <v>1.098449476237656</v>
      </c>
      <c r="R20" s="178">
        <f t="shared" si="2"/>
        <v>0.90081426396953512</v>
      </c>
      <c r="S20" s="177">
        <f>'Comparativo YoY'!GH50</f>
        <v>24.759276109414856</v>
      </c>
      <c r="T20" s="171"/>
      <c r="U20" s="11"/>
      <c r="V20" s="11"/>
      <c r="W20" s="11"/>
      <c r="X20" s="11"/>
      <c r="Y20" s="11"/>
      <c r="Z20" s="11"/>
      <c r="AB20" s="190"/>
      <c r="AC20" s="189">
        <v>1257907.2962285047</v>
      </c>
    </row>
    <row r="21" spans="1:29" ht="24" thickBot="1">
      <c r="A21" s="193" t="s">
        <v>93</v>
      </c>
      <c r="B21" s="536">
        <f>'Anuid PF'!E20+'Anuid PF'!F20+'Anuid PJ'!D20+'Anuid PJ'!E20+RRT!C19+'Taxas e Multas.'!B18</f>
        <v>4173581.31</v>
      </c>
      <c r="C21" s="537">
        <f>'Anuid PF'!O20+'Anuid PF'!P20+'Anuid PJ'!L20+'Anuid PJ'!M20+RRT!G19+'Taxas e Multas.'!C18</f>
        <v>391864.55200000003</v>
      </c>
      <c r="D21" s="537">
        <f>'Anuid PF'!Q20+'Anuid PF'!R20+'Anuid PJ'!N20+'Anuid PJ'!O20+RRT!H19+'Taxas e Multas.'!D18</f>
        <v>495218.41599999997</v>
      </c>
      <c r="E21" s="537">
        <f>'Anuid PF'!S20+'Anuid PF'!T20+'Anuid PJ'!P20+'Anuid PJ'!Q20+RRT!I19+'Taxas e Multas.'!E18</f>
        <v>441057.73600000003</v>
      </c>
      <c r="F21" s="537">
        <f>'Anuid PF'!U20+'Anuid PF'!V20+'Anuid PJ'!R20+'Anuid PJ'!S20+RRT!J19+'Taxas e Multas.'!F18</f>
        <v>314549.04800000001</v>
      </c>
      <c r="G21" s="537">
        <f>'Anuid PF'!W20+'Anuid PF'!X20+'Anuid PJ'!T20+'Anuid PJ'!U20+RRT!K19+'Taxas e Multas.'!G18</f>
        <v>372521.54399999999</v>
      </c>
      <c r="H21" s="537">
        <f>'Anuid PF'!Y20+'Anuid PF'!Z20+'Anuid PJ'!V20+'Anuid PJ'!W20+RRT!L19+'Taxas e Multas.'!H18</f>
        <v>337376.18400000001</v>
      </c>
      <c r="I21" s="537">
        <f>'Anuid PF'!AA20+'Anuid PF'!AB20+'Anuid PJ'!X20+'Anuid PJ'!Y20+RRT!M19+'Taxas e Multas.'!I18</f>
        <v>319508.03999999998</v>
      </c>
      <c r="J21" s="537">
        <f>'Anuid PF'!AC20+'Anuid PF'!AD20+'Anuid PJ'!Z20+'Anuid PJ'!AA20+RRT!N19+'Taxas e Multas.'!J18</f>
        <v>304999.78400000004</v>
      </c>
      <c r="K21" s="537">
        <f>'Anuid PF'!AE20+'Anuid PF'!AF20+'Anuid PJ'!AB20+'Anuid PJ'!AC20+RRT!O19+'Taxas e Multas.'!K18</f>
        <v>264703.62400000001</v>
      </c>
      <c r="L21" s="537">
        <f>'Anuid PF'!AG20+'Anuid PF'!AH20+'Anuid PJ'!AD20+'Anuid PJ'!AE20+RRT!P19+'Taxas e Multas.'!L18</f>
        <v>0</v>
      </c>
      <c r="M21" s="537">
        <f>'Anuid PF'!AI20+'Anuid PF'!AJ20+'Anuid PJ'!AF20+'Anuid PJ'!AG20+RRT!Q19+'Taxas e Multas.'!M18</f>
        <v>0</v>
      </c>
      <c r="N21" s="537">
        <f>'Anuid PF'!AK20+'Anuid PF'!AL20+'Anuid PJ'!AH20+'Anuid PJ'!AI20+RRT!R19+'Taxas e Multas.'!N18</f>
        <v>0</v>
      </c>
      <c r="O21" s="536">
        <f t="shared" si="3"/>
        <v>3241798.9279999998</v>
      </c>
      <c r="P21" s="192">
        <f t="shared" si="0"/>
        <v>77.674272697948226</v>
      </c>
      <c r="Q21" s="191">
        <f t="shared" si="1"/>
        <v>1.8582659448143524</v>
      </c>
      <c r="R21" s="178">
        <f t="shared" si="2"/>
        <v>0.77674272697948221</v>
      </c>
      <c r="S21" s="177">
        <f>'Comparativo YoY'!GH51</f>
        <v>25.906920403581779</v>
      </c>
      <c r="T21" s="171"/>
      <c r="U21" s="11"/>
      <c r="V21" s="11"/>
      <c r="W21" s="11"/>
      <c r="X21" s="11"/>
      <c r="Y21" s="11"/>
      <c r="Z21" s="11"/>
      <c r="AB21" s="190"/>
      <c r="AC21" s="189">
        <v>643844.80031943426</v>
      </c>
    </row>
    <row r="22" spans="1:29" ht="24" thickBot="1">
      <c r="A22" s="193" t="s">
        <v>94</v>
      </c>
      <c r="B22" s="536">
        <f>'Anuid PF'!E21+'Anuid PF'!F21+'Anuid PJ'!D21+'Anuid PJ'!E21+RRT!C20+'Taxas e Multas.'!B19</f>
        <v>1309930.93</v>
      </c>
      <c r="C22" s="537">
        <f>'Anuid PF'!O21+'Anuid PF'!P21+'Anuid PJ'!L21+'Anuid PJ'!M21+RRT!G20+'Taxas e Multas.'!C19</f>
        <v>108961.55200000001</v>
      </c>
      <c r="D22" s="537">
        <f>'Anuid PF'!Q21+'Anuid PF'!R21+'Anuid PJ'!N21+'Anuid PJ'!O21+RRT!H20+'Taxas e Multas.'!D19</f>
        <v>125261.02399999999</v>
      </c>
      <c r="E22" s="537">
        <f>'Anuid PF'!S21+'Anuid PF'!T21+'Anuid PJ'!P21+'Anuid PJ'!Q21+RRT!I20+'Taxas e Multas.'!E19</f>
        <v>121922.43199999999</v>
      </c>
      <c r="F22" s="537">
        <f>'Anuid PF'!U21+'Anuid PF'!V21+'Anuid PJ'!R21+'Anuid PJ'!S21+RRT!J20+'Taxas e Multas.'!F19</f>
        <v>79136.432000000001</v>
      </c>
      <c r="G22" s="537">
        <f>'Anuid PF'!W21+'Anuid PF'!X21+'Anuid PJ'!T21+'Anuid PJ'!U21+RRT!K20+'Taxas e Multas.'!G19</f>
        <v>88371.992000000013</v>
      </c>
      <c r="H22" s="537">
        <f>'Anuid PF'!Y21+'Anuid PF'!Z21+'Anuid PJ'!V21+'Anuid PJ'!W21+RRT!L20+'Taxas e Multas.'!H19</f>
        <v>97709.488000000012</v>
      </c>
      <c r="I22" s="537">
        <f>'Anuid PF'!AA21+'Anuid PF'!AB21+'Anuid PJ'!X21+'Anuid PJ'!Y21+RRT!M20+'Taxas e Multas.'!I19</f>
        <v>82555.070000000007</v>
      </c>
      <c r="J22" s="537">
        <f>'Anuid PF'!AC21+'Anuid PF'!AD21+'Anuid PJ'!Z21+'Anuid PJ'!AA21+RRT!N20+'Taxas e Multas.'!J19</f>
        <v>95581.440000000002</v>
      </c>
      <c r="K22" s="537">
        <f>'Anuid PF'!AE21+'Anuid PF'!AF21+'Anuid PJ'!AB21+'Anuid PJ'!AC21+RRT!O20+'Taxas e Multas.'!K19</f>
        <v>67306.560000000012</v>
      </c>
      <c r="L22" s="537">
        <f>'Anuid PF'!AG21+'Anuid PF'!AH21+'Anuid PJ'!AD21+'Anuid PJ'!AE21+RRT!P20+'Taxas e Multas.'!L19</f>
        <v>0</v>
      </c>
      <c r="M22" s="537">
        <f>'Anuid PF'!AI21+'Anuid PF'!AJ21+'Anuid PJ'!AF21+'Anuid PJ'!AG21+RRT!Q20+'Taxas e Multas.'!M19</f>
        <v>0</v>
      </c>
      <c r="N22" s="537">
        <f>'Anuid PF'!AK21+'Anuid PF'!AL21+'Anuid PJ'!AH21+'Anuid PJ'!AI21+RRT!R20+'Taxas e Multas.'!N19</f>
        <v>0</v>
      </c>
      <c r="O22" s="536">
        <f t="shared" si="3"/>
        <v>866805.99</v>
      </c>
      <c r="P22" s="192">
        <f t="shared" si="0"/>
        <v>66.171885108476687</v>
      </c>
      <c r="Q22" s="191">
        <f t="shared" si="1"/>
        <v>0.49687105454496283</v>
      </c>
      <c r="R22" s="178">
        <f t="shared" si="2"/>
        <v>0.6617188510847668</v>
      </c>
      <c r="S22" s="177">
        <f>'Comparativo YoY'!GH52</f>
        <v>41.776753230082306</v>
      </c>
      <c r="T22" s="171"/>
      <c r="U22" s="11"/>
      <c r="V22" s="11"/>
      <c r="W22" s="11"/>
      <c r="X22" s="11"/>
      <c r="Y22" s="11"/>
      <c r="Z22" s="11"/>
      <c r="AB22" s="190"/>
      <c r="AC22" s="189">
        <v>1922925.2482682203</v>
      </c>
    </row>
    <row r="23" spans="1:29" ht="24" thickBot="1">
      <c r="A23" s="193" t="s">
        <v>92</v>
      </c>
      <c r="B23" s="536">
        <f>'Anuid PF'!E22+'Anuid PF'!F22+'Anuid PJ'!D22+'Anuid PJ'!E22+RRT!C21+'Taxas e Multas.'!B20</f>
        <v>12089660.820000002</v>
      </c>
      <c r="C23" s="537">
        <f>'Anuid PF'!O22+'Anuid PF'!P22+'Anuid PJ'!L22+'Anuid PJ'!M22+RRT!G21+'Taxas e Multas.'!C20</f>
        <v>1221425.6000000003</v>
      </c>
      <c r="D23" s="537">
        <f>'Anuid PF'!Q22+'Anuid PF'!R22+'Anuid PJ'!N22+'Anuid PJ'!O22+RRT!H21+'Taxas e Multas.'!D20</f>
        <v>1500898.3280000002</v>
      </c>
      <c r="E23" s="537">
        <f>'Anuid PF'!S22+'Anuid PF'!T22+'Anuid PJ'!P22+'Anuid PJ'!Q22+RRT!I21+'Taxas e Multas.'!E20</f>
        <v>1570108.5360000001</v>
      </c>
      <c r="F23" s="537">
        <f>'Anuid PF'!U22+'Anuid PF'!V22+'Anuid PJ'!R22+'Anuid PJ'!S22+RRT!J21+'Taxas e Multas.'!F20</f>
        <v>933649.64</v>
      </c>
      <c r="G23" s="537">
        <f>'Anuid PF'!W22+'Anuid PF'!X22+'Anuid PJ'!T22+'Anuid PJ'!U22+RRT!K21+'Taxas e Multas.'!G20</f>
        <v>1072039.0480000002</v>
      </c>
      <c r="H23" s="537">
        <f>'Anuid PF'!Y22+'Anuid PF'!Z22+'Anuid PJ'!V22+'Anuid PJ'!W22+RRT!L21+'Taxas e Multas.'!H20</f>
        <v>1014075.056</v>
      </c>
      <c r="I23" s="537">
        <f>'Anuid PF'!AA22+'Anuid PF'!AB22+'Anuid PJ'!X22+'Anuid PJ'!Y22+RRT!M21+'Taxas e Multas.'!I20</f>
        <v>992530.55199999991</v>
      </c>
      <c r="J23" s="537">
        <f>'Anuid PF'!AC22+'Anuid PF'!AD22+'Anuid PJ'!Z22+'Anuid PJ'!AA22+RRT!N21+'Taxas e Multas.'!J20</f>
        <v>991553.99999999988</v>
      </c>
      <c r="K23" s="537">
        <f>'Anuid PF'!AE22+'Anuid PF'!AF22+'Anuid PJ'!AB22+'Anuid PJ'!AC22+RRT!O21+'Taxas e Multas.'!K20</f>
        <v>768694.9040000001</v>
      </c>
      <c r="L23" s="537">
        <f>'Anuid PF'!AG22+'Anuid PF'!AH22+'Anuid PJ'!AD22+'Anuid PJ'!AE22+RRT!P21+'Taxas e Multas.'!L20</f>
        <v>0</v>
      </c>
      <c r="M23" s="537">
        <f>'Anuid PF'!AI22+'Anuid PF'!AJ22+'Anuid PJ'!AF22+'Anuid PJ'!AG22+RRT!Q21+'Taxas e Multas.'!M20</f>
        <v>0</v>
      </c>
      <c r="N23" s="537">
        <f>'Anuid PF'!AK22+'Anuid PF'!AL22+'Anuid PJ'!AH22+'Anuid PJ'!AI22+RRT!R21+'Taxas e Multas.'!N20</f>
        <v>0</v>
      </c>
      <c r="O23" s="536">
        <f t="shared" si="3"/>
        <v>10064975.664000001</v>
      </c>
      <c r="P23" s="192">
        <f t="shared" si="0"/>
        <v>83.252754679018352</v>
      </c>
      <c r="Q23" s="191">
        <f t="shared" si="1"/>
        <v>5.7694514456932495</v>
      </c>
      <c r="R23" s="178">
        <f t="shared" si="2"/>
        <v>0.83252754679018359</v>
      </c>
      <c r="S23" s="177">
        <f>'Comparativo YoY'!GH53</f>
        <v>7.1233989573783845</v>
      </c>
      <c r="T23" s="171"/>
      <c r="U23" s="11"/>
      <c r="V23" s="11"/>
      <c r="W23" s="11"/>
      <c r="X23" s="11"/>
      <c r="Y23" s="11"/>
      <c r="Z23" s="11"/>
      <c r="AB23" s="190"/>
      <c r="AC23" s="189">
        <v>2860125.1250495794</v>
      </c>
    </row>
    <row r="24" spans="1:29" ht="24" thickBot="1">
      <c r="A24" s="193" t="s">
        <v>95</v>
      </c>
      <c r="B24" s="536">
        <f>'Anuid PF'!E23+'Anuid PF'!F23+'Anuid PJ'!D23+'Anuid PJ'!E23+RRT!C22+'Taxas e Multas.'!B21</f>
        <v>12675871</v>
      </c>
      <c r="C24" s="537">
        <f>'Anuid PF'!O23+'Anuid PF'!P23+'Anuid PJ'!L23+'Anuid PJ'!M23+RRT!G22+'Taxas e Multas.'!C21</f>
        <v>1302415.9839999999</v>
      </c>
      <c r="D24" s="537">
        <f>'Anuid PF'!Q23+'Anuid PF'!R23+'Anuid PJ'!N23+'Anuid PJ'!O23+RRT!H22+'Taxas e Multas.'!D21</f>
        <v>1526395.6720000003</v>
      </c>
      <c r="E24" s="537">
        <f>'Anuid PF'!S23+'Anuid PF'!T23+'Anuid PJ'!P23+'Anuid PJ'!Q23+RRT!I22+'Taxas e Multas.'!E21</f>
        <v>1517542.3999999999</v>
      </c>
      <c r="F24" s="537">
        <f>'Anuid PF'!U23+'Anuid PF'!V23+'Anuid PJ'!R23+'Anuid PJ'!S23+RRT!J22+'Taxas e Multas.'!F21</f>
        <v>920363.4</v>
      </c>
      <c r="G24" s="537">
        <f>'Anuid PF'!W23+'Anuid PF'!X23+'Anuid PJ'!T23+'Anuid PJ'!U23+RRT!K22+'Taxas e Multas.'!G21</f>
        <v>1118019.0720000002</v>
      </c>
      <c r="H24" s="537">
        <f>'Anuid PF'!Y23+'Anuid PF'!Z23+'Anuid PJ'!V23+'Anuid PJ'!W23+RRT!L22+'Taxas e Multas.'!H21</f>
        <v>1052783.6240000001</v>
      </c>
      <c r="I24" s="537">
        <f>'Anuid PF'!AA23+'Anuid PF'!AB23+'Anuid PJ'!X23+'Anuid PJ'!Y23+RRT!M22+'Taxas e Multas.'!I21</f>
        <v>991793.38400000008</v>
      </c>
      <c r="J24" s="537">
        <f>'Anuid PF'!AC23+'Anuid PF'!AD23+'Anuid PJ'!Z23+'Anuid PJ'!AA23+RRT!N22+'Taxas e Multas.'!J21</f>
        <v>974659.55999999994</v>
      </c>
      <c r="K24" s="537">
        <f>'Anuid PF'!AE23+'Anuid PF'!AF23+'Anuid PJ'!AB23+'Anuid PJ'!AC23+RRT!O22+'Taxas e Multas.'!K21</f>
        <v>825648.68800000008</v>
      </c>
      <c r="L24" s="537">
        <f>'Anuid PF'!AG23+'Anuid PF'!AH23+'Anuid PJ'!AD23+'Anuid PJ'!AE23+RRT!P22+'Taxas e Multas.'!L21</f>
        <v>0</v>
      </c>
      <c r="M24" s="537">
        <f>'Anuid PF'!AI23+'Anuid PF'!AJ23+'Anuid PJ'!AF23+'Anuid PJ'!AG23+RRT!Q22+'Taxas e Multas.'!M21</f>
        <v>0</v>
      </c>
      <c r="N24" s="537">
        <f>'Anuid PF'!AK23+'Anuid PF'!AL23+'Anuid PJ'!AH23+'Anuid PJ'!AI23+RRT!R22+'Taxas e Multas.'!N21</f>
        <v>0</v>
      </c>
      <c r="O24" s="536">
        <f t="shared" si="3"/>
        <v>10229621.784000002</v>
      </c>
      <c r="P24" s="192">
        <f t="shared" si="0"/>
        <v>80.701529575364106</v>
      </c>
      <c r="Q24" s="191">
        <f t="shared" si="1"/>
        <v>5.8638299943130354</v>
      </c>
      <c r="R24" s="178">
        <f t="shared" si="2"/>
        <v>0.80701529575364106</v>
      </c>
      <c r="S24" s="177">
        <f>'Comparativo YoY'!GH54</f>
        <v>25.182716324291434</v>
      </c>
      <c r="T24" s="171"/>
      <c r="U24" s="11"/>
      <c r="V24" s="11"/>
      <c r="W24" s="11"/>
      <c r="X24" s="11"/>
      <c r="Y24" s="11"/>
      <c r="Z24" s="11"/>
      <c r="AB24" s="190"/>
      <c r="AC24" s="189">
        <v>2462290.1941063711</v>
      </c>
    </row>
    <row r="25" spans="1:29" ht="24" thickBot="1">
      <c r="A25" s="193" t="s">
        <v>96</v>
      </c>
      <c r="B25" s="536">
        <f>'Anuid PF'!E24+'Anuid PF'!F24+'Anuid PJ'!D24+'Anuid PJ'!E24+RRT!C23+'Taxas e Multas.'!B22</f>
        <v>1990934.2</v>
      </c>
      <c r="C25" s="537">
        <f>'Anuid PF'!O24+'Anuid PF'!P24+'Anuid PJ'!L24+'Anuid PJ'!M24+RRT!G23+'Taxas e Multas.'!C22</f>
        <v>154932.06400000004</v>
      </c>
      <c r="D25" s="537">
        <f>'Anuid PF'!Q24+'Anuid PF'!R24+'Anuid PJ'!N24+'Anuid PJ'!O24+RRT!H23+'Taxas e Multas.'!D22</f>
        <v>212061.84000000003</v>
      </c>
      <c r="E25" s="537">
        <f>'Anuid PF'!S24+'Anuid PF'!T24+'Anuid PJ'!P24+'Anuid PJ'!Q24+RRT!I23+'Taxas e Multas.'!E22</f>
        <v>204574.51199999999</v>
      </c>
      <c r="F25" s="537">
        <f>'Anuid PF'!U24+'Anuid PF'!V24+'Anuid PJ'!R24+'Anuid PJ'!S24+RRT!J23+'Taxas e Multas.'!F22</f>
        <v>161003.46400000001</v>
      </c>
      <c r="G25" s="537">
        <f>'Anuid PF'!W24+'Anuid PF'!X24+'Anuid PJ'!T24+'Anuid PJ'!U24+RRT!K23+'Taxas e Multas.'!G22</f>
        <v>178221.04800000004</v>
      </c>
      <c r="H25" s="537">
        <f>'Anuid PF'!Y24+'Anuid PF'!Z24+'Anuid PJ'!V24+'Anuid PJ'!W24+RRT!L23+'Taxas e Multas.'!H22</f>
        <v>184696.84800000003</v>
      </c>
      <c r="I25" s="537">
        <f>'Anuid PF'!AA24+'Anuid PF'!AB24+'Anuid PJ'!X24+'Anuid PJ'!Y24+RRT!M23+'Taxas e Multas.'!I22</f>
        <v>177579.88800000001</v>
      </c>
      <c r="J25" s="537">
        <f>'Anuid PF'!AC24+'Anuid PF'!AD24+'Anuid PJ'!Z24+'Anuid PJ'!AA24+RRT!N23+'Taxas e Multas.'!J22</f>
        <v>134472.51200000002</v>
      </c>
      <c r="K25" s="537">
        <f>'Anuid PF'!AE24+'Anuid PF'!AF24+'Anuid PJ'!AB24+'Anuid PJ'!AC24+RRT!O23+'Taxas e Multas.'!K22</f>
        <v>116172.656</v>
      </c>
      <c r="L25" s="537">
        <f>'Anuid PF'!AG24+'Anuid PF'!AH24+'Anuid PJ'!AD24+'Anuid PJ'!AE24+RRT!P23+'Taxas e Multas.'!L22</f>
        <v>0</v>
      </c>
      <c r="M25" s="537">
        <f>'Anuid PF'!AI24+'Anuid PF'!AJ24+'Anuid PJ'!AF24+'Anuid PJ'!AG24+RRT!Q23+'Taxas e Multas.'!M22</f>
        <v>0</v>
      </c>
      <c r="N25" s="537">
        <f>'Anuid PF'!AK24+'Anuid PF'!AL24+'Anuid PJ'!AH24+'Anuid PJ'!AI24+RRT!R23+'Taxas e Multas.'!N22</f>
        <v>0</v>
      </c>
      <c r="O25" s="536">
        <f t="shared" si="3"/>
        <v>1523714.8320000004</v>
      </c>
      <c r="P25" s="192">
        <f t="shared" si="0"/>
        <v>76.532656478551658</v>
      </c>
      <c r="Q25" s="191">
        <f t="shared" si="1"/>
        <v>0.87342473879494198</v>
      </c>
      <c r="R25" s="178">
        <f t="shared" si="2"/>
        <v>0.76532656478551653</v>
      </c>
      <c r="S25" s="177">
        <f>'Comparativo YoY'!GH55</f>
        <v>16.700599968653592</v>
      </c>
      <c r="T25" s="171"/>
      <c r="U25" s="11"/>
      <c r="V25" s="11"/>
      <c r="W25" s="11"/>
      <c r="X25" s="11"/>
      <c r="Y25" s="11"/>
      <c r="Z25" s="11"/>
      <c r="AB25" s="190"/>
      <c r="AC25" s="189">
        <v>2195922.8937407597</v>
      </c>
    </row>
    <row r="26" spans="1:29" ht="24" thickBot="1">
      <c r="A26" s="193" t="s">
        <v>98</v>
      </c>
      <c r="B26" s="536">
        <f>'Anuid PF'!E25+'Anuid PF'!F25+'Anuid PJ'!D25+'Anuid PJ'!E25+RRT!C24+'Taxas e Multas.'!B23</f>
        <v>1503582.96</v>
      </c>
      <c r="C26" s="537">
        <f>'Anuid PF'!O25+'Anuid PF'!P25+'Anuid PJ'!L25+'Anuid PJ'!M25+RRT!G24+'Taxas e Multas.'!C23</f>
        <v>102590.24</v>
      </c>
      <c r="D26" s="537">
        <f>'Anuid PF'!Q25+'Anuid PF'!R25+'Anuid PJ'!N25+'Anuid PJ'!O25+RRT!H24+'Taxas e Multas.'!D23</f>
        <v>122139.344</v>
      </c>
      <c r="E26" s="537">
        <f>'Anuid PF'!S25+'Anuid PF'!T25+'Anuid PJ'!P25+'Anuid PJ'!Q25+RRT!I24+'Taxas e Multas.'!E23</f>
        <v>142333.864</v>
      </c>
      <c r="F26" s="537">
        <f>'Anuid PF'!U25+'Anuid PF'!V25+'Anuid PJ'!R25+'Anuid PJ'!S25+RRT!J24+'Taxas e Multas.'!F23</f>
        <v>122495.008</v>
      </c>
      <c r="G26" s="537">
        <f>'Anuid PF'!W25+'Anuid PF'!X25+'Anuid PJ'!T25+'Anuid PJ'!U25+RRT!K24+'Taxas e Multas.'!G23</f>
        <v>139595.34400000001</v>
      </c>
      <c r="H26" s="537">
        <f>'Anuid PF'!Y25+'Anuid PF'!Z25+'Anuid PJ'!V25+'Anuid PJ'!W25+RRT!L24+'Taxas e Multas.'!H23</f>
        <v>121339.89600000001</v>
      </c>
      <c r="I26" s="537">
        <f>'Anuid PF'!AA25+'Anuid PF'!AB25+'Anuid PJ'!X25+'Anuid PJ'!Y25+RRT!M24+'Taxas e Multas.'!I23</f>
        <v>118414.36</v>
      </c>
      <c r="J26" s="537">
        <f>'Anuid PF'!AC25+'Anuid PF'!AD25+'Anuid PJ'!Z25+'Anuid PJ'!AA25+RRT!N24+'Taxas e Multas.'!J23</f>
        <v>130049.696</v>
      </c>
      <c r="K26" s="537">
        <f>'Anuid PF'!AE25+'Anuid PF'!AF25+'Anuid PJ'!AB25+'Anuid PJ'!AC25+RRT!O24+'Taxas e Multas.'!K23</f>
        <v>138323.09600000002</v>
      </c>
      <c r="L26" s="537">
        <f>'Anuid PF'!AG25+'Anuid PF'!AH25+'Anuid PJ'!AD25+'Anuid PJ'!AE25+RRT!P24+'Taxas e Multas.'!L23</f>
        <v>0</v>
      </c>
      <c r="M26" s="537">
        <f>'Anuid PF'!AI25+'Anuid PF'!AJ25+'Anuid PJ'!AF25+'Anuid PJ'!AG25+RRT!Q24+'Taxas e Multas.'!M23</f>
        <v>0</v>
      </c>
      <c r="N26" s="537">
        <f>'Anuid PF'!AK25+'Anuid PF'!AL25+'Anuid PJ'!AH25+'Anuid PJ'!AI25+RRT!R24+'Taxas e Multas.'!N23</f>
        <v>0</v>
      </c>
      <c r="O26" s="536">
        <f t="shared" si="3"/>
        <v>1137280.848</v>
      </c>
      <c r="P26" s="192">
        <f t="shared" si="0"/>
        <v>75.638051125559443</v>
      </c>
      <c r="Q26" s="191">
        <f t="shared" si="1"/>
        <v>0.65191281645336752</v>
      </c>
      <c r="R26" s="178">
        <f t="shared" si="2"/>
        <v>0.75638051125559447</v>
      </c>
      <c r="S26" s="177">
        <f>'Comparativo YoY'!GH56</f>
        <v>8.8678855913180854</v>
      </c>
      <c r="T26" s="171"/>
      <c r="U26" s="11"/>
      <c r="V26" s="11"/>
      <c r="W26" s="11"/>
      <c r="X26" s="11"/>
      <c r="Y26" s="11"/>
      <c r="Z26" s="11"/>
      <c r="AB26" s="190"/>
      <c r="AC26" s="189">
        <v>1516773.8280100666</v>
      </c>
    </row>
    <row r="27" spans="1:29" ht="24" thickBot="1">
      <c r="A27" s="193" t="s">
        <v>99</v>
      </c>
      <c r="B27" s="536">
        <f>'Anuid PF'!E26+'Anuid PF'!F26+'Anuid PJ'!D26+'Anuid PJ'!E26+RRT!C25+'Taxas e Multas.'!B24</f>
        <v>216739.71</v>
      </c>
      <c r="C27" s="537">
        <f>'Anuid PF'!O26+'Anuid PF'!P26+'Anuid PJ'!L26+'Anuid PJ'!M26+RRT!G25+'Taxas e Multas.'!C24</f>
        <v>22617.672000000002</v>
      </c>
      <c r="D27" s="537">
        <f>'Anuid PF'!Q26+'Anuid PF'!R26+'Anuid PJ'!N26+'Anuid PJ'!O26+RRT!H25+'Taxas e Multas.'!D24</f>
        <v>31945.432000000004</v>
      </c>
      <c r="E27" s="537">
        <f>'Anuid PF'!S26+'Anuid PF'!T26+'Anuid PJ'!P26+'Anuid PJ'!Q26+RRT!I25+'Taxas e Multas.'!E24</f>
        <v>26086.752000000004</v>
      </c>
      <c r="F27" s="537">
        <f>'Anuid PF'!U26+'Anuid PF'!V26+'Anuid PJ'!R26+'Anuid PJ'!S26+RRT!J25+'Taxas e Multas.'!F24</f>
        <v>17780.919999999998</v>
      </c>
      <c r="G27" s="537">
        <f>'Anuid PF'!W26+'Anuid PF'!X26+'Anuid PJ'!T26+'Anuid PJ'!U26+RRT!K25+'Taxas e Multas.'!G24</f>
        <v>23229.520000000004</v>
      </c>
      <c r="H27" s="537">
        <f>'Anuid PF'!Y26+'Anuid PF'!Z26+'Anuid PJ'!V26+'Anuid PJ'!W26+RRT!L25+'Taxas e Multas.'!H24</f>
        <v>20362.552000000003</v>
      </c>
      <c r="I27" s="537">
        <f>'Anuid PF'!AA26+'Anuid PF'!AB26+'Anuid PJ'!X26+'Anuid PJ'!Y26+RRT!M25+'Taxas e Multas.'!I24</f>
        <v>14537.928</v>
      </c>
      <c r="J27" s="537">
        <f>'Anuid PF'!AC26+'Anuid PF'!AD26+'Anuid PJ'!Z26+'Anuid PJ'!AA26+RRT!N25+'Taxas e Multas.'!J24</f>
        <v>14953.632</v>
      </c>
      <c r="K27" s="537">
        <f>'Anuid PF'!AE26+'Anuid PF'!AF26+'Anuid PJ'!AB26+'Anuid PJ'!AC26+RRT!O25+'Taxas e Multas.'!K24</f>
        <v>14895.192000000001</v>
      </c>
      <c r="L27" s="537">
        <f>'Anuid PF'!AG26+'Anuid PF'!AH26+'Anuid PJ'!AD26+'Anuid PJ'!AE26+RRT!P25+'Taxas e Multas.'!L24</f>
        <v>0</v>
      </c>
      <c r="M27" s="537">
        <f>'Anuid PF'!AI26+'Anuid PF'!AJ26+'Anuid PJ'!AF26+'Anuid PJ'!AG26+RRT!Q25+'Taxas e Multas.'!M24</f>
        <v>0</v>
      </c>
      <c r="N27" s="537">
        <f>'Anuid PF'!AK26+'Anuid PF'!AL26+'Anuid PJ'!AH26+'Anuid PJ'!AI26+RRT!R25+'Taxas e Multas.'!N24</f>
        <v>0</v>
      </c>
      <c r="O27" s="536">
        <f t="shared" si="3"/>
        <v>186409.60000000003</v>
      </c>
      <c r="P27" s="192">
        <f t="shared" si="0"/>
        <v>86.006205323426911</v>
      </c>
      <c r="Q27" s="191">
        <f t="shared" si="1"/>
        <v>0.1068538238058377</v>
      </c>
      <c r="R27" s="178">
        <f t="shared" si="2"/>
        <v>0.8600620532342691</v>
      </c>
      <c r="S27" s="177">
        <f>'Comparativo YoY'!GH57</f>
        <v>28.038355107795496</v>
      </c>
      <c r="T27" s="171"/>
      <c r="U27" s="11"/>
      <c r="V27" s="11"/>
      <c r="W27" s="11"/>
      <c r="X27" s="11"/>
      <c r="Y27" s="11"/>
      <c r="Z27" s="11"/>
      <c r="AB27" s="190"/>
      <c r="AC27" s="189">
        <v>6449859.4184539719</v>
      </c>
    </row>
    <row r="28" spans="1:29" ht="24" thickBot="1">
      <c r="A28" s="193" t="s">
        <v>97</v>
      </c>
      <c r="B28" s="536">
        <f>'Anuid PF'!E27+'Anuid PF'!F27+'Anuid PJ'!D27+'Anuid PJ'!E27+RRT!C26+'Taxas e Multas.'!B25</f>
        <v>15862566.539999999</v>
      </c>
      <c r="C28" s="537">
        <f>'Anuid PF'!O27+'Anuid PF'!P27+'Anuid PJ'!L27+'Anuid PJ'!M27+RRT!G26+'Taxas e Multas.'!C25</f>
        <v>1778745.9919999996</v>
      </c>
      <c r="D28" s="537">
        <f>'Anuid PF'!Q27+'Anuid PF'!R27+'Anuid PJ'!N27+'Anuid PJ'!O27+RRT!H26+'Taxas e Multas.'!D25</f>
        <v>1880411.0160000003</v>
      </c>
      <c r="E28" s="537">
        <f>'Anuid PF'!S27+'Anuid PF'!T27+'Anuid PJ'!P27+'Anuid PJ'!Q27+RRT!I26+'Taxas e Multas.'!E25</f>
        <v>1726445.4800000002</v>
      </c>
      <c r="F28" s="537">
        <f>'Anuid PF'!U27+'Anuid PF'!V27+'Anuid PJ'!R27+'Anuid PJ'!S27+RRT!J26+'Taxas e Multas.'!F25</f>
        <v>1167174.4160000002</v>
      </c>
      <c r="G28" s="537">
        <f>'Anuid PF'!W27+'Anuid PF'!X27+'Anuid PJ'!T27+'Anuid PJ'!U27+RRT!K26+'Taxas e Multas.'!G25</f>
        <v>1406934.9280000001</v>
      </c>
      <c r="H28" s="537">
        <f>'Anuid PF'!Y27+'Anuid PF'!Z27+'Anuid PJ'!V27+'Anuid PJ'!W27+RRT!L26+'Taxas e Multas.'!H25</f>
        <v>1418405.7040000001</v>
      </c>
      <c r="I28" s="537">
        <f>'Anuid PF'!AA27+'Anuid PF'!AB27+'Anuid PJ'!X27+'Anuid PJ'!Y27+RRT!M26+'Taxas e Multas.'!I25</f>
        <v>1310204.0240000002</v>
      </c>
      <c r="J28" s="537">
        <f>'Anuid PF'!AC27+'Anuid PF'!AD27+'Anuid PJ'!Z27+'Anuid PJ'!AA27+RRT!N26+'Taxas e Multas.'!J25</f>
        <v>1235943.5519999999</v>
      </c>
      <c r="K28" s="537">
        <f>'Anuid PF'!AE27+'Anuid PF'!AF27+'Anuid PJ'!AB27+'Anuid PJ'!AC27+RRT!O26+'Taxas e Multas.'!K25</f>
        <v>1022363.36</v>
      </c>
      <c r="L28" s="537">
        <f>'Anuid PF'!AG27+'Anuid PF'!AH27+'Anuid PJ'!AD27+'Anuid PJ'!AE27+RRT!P26+'Taxas e Multas.'!L25</f>
        <v>0</v>
      </c>
      <c r="M28" s="537">
        <f>'Anuid PF'!AI27+'Anuid PF'!AJ27+'Anuid PJ'!AF27+'Anuid PJ'!AG27+RRT!Q26+'Taxas e Multas.'!M25</f>
        <v>0</v>
      </c>
      <c r="N28" s="537">
        <f>'Anuid PF'!AK27+'Anuid PF'!AL27+'Anuid PJ'!AH27+'Anuid PJ'!AI27+RRT!R26+'Taxas e Multas.'!N25</f>
        <v>0</v>
      </c>
      <c r="O28" s="536">
        <f t="shared" si="3"/>
        <v>12946628.471999999</v>
      </c>
      <c r="P28" s="192">
        <f t="shared" si="0"/>
        <v>81.617488817796314</v>
      </c>
      <c r="Q28" s="191">
        <f t="shared" si="1"/>
        <v>7.4212742134886263</v>
      </c>
      <c r="R28" s="178">
        <f t="shared" si="2"/>
        <v>0.81617488817796313</v>
      </c>
      <c r="S28" s="177">
        <f>'Comparativo YoY'!GH58</f>
        <v>10.7204317986116</v>
      </c>
      <c r="T28" s="171"/>
      <c r="U28" s="11"/>
      <c r="V28" s="11"/>
      <c r="W28" s="11"/>
      <c r="X28" s="11"/>
      <c r="Y28" s="11"/>
      <c r="Z28" s="11"/>
      <c r="AB28" s="190"/>
      <c r="AC28" s="189">
        <v>8757197.5481958445</v>
      </c>
    </row>
    <row r="29" spans="1:29" ht="24" thickBot="1">
      <c r="A29" s="193" t="s">
        <v>100</v>
      </c>
      <c r="B29" s="536">
        <f>'Anuid PF'!E28+'Anuid PF'!F28+'Anuid PJ'!D28+'Anuid PJ'!E28+RRT!C27+'Taxas e Multas.'!B26</f>
        <v>10266646.517285708</v>
      </c>
      <c r="C29" s="537">
        <f>'Anuid PF'!O28+'Anuid PF'!P28+'Anuid PJ'!L28+'Anuid PJ'!M28+RRT!G27+'Taxas e Multas.'!C26</f>
        <v>1013087.8480000001</v>
      </c>
      <c r="D29" s="537">
        <f>'Anuid PF'!Q28+'Anuid PF'!R28+'Anuid PJ'!N28+'Anuid PJ'!O28+RRT!H27+'Taxas e Multas.'!D26</f>
        <v>1300412.92</v>
      </c>
      <c r="E29" s="537">
        <f>'Anuid PF'!S28+'Anuid PF'!T28+'Anuid PJ'!P28+'Anuid PJ'!Q28+RRT!I27+'Taxas e Multas.'!E26</f>
        <v>1251158.872</v>
      </c>
      <c r="F29" s="537">
        <f>'Anuid PF'!U28+'Anuid PF'!V28+'Anuid PJ'!R28+'Anuid PJ'!S28+RRT!J27+'Taxas e Multas.'!F26</f>
        <v>828105.29600000009</v>
      </c>
      <c r="G29" s="537">
        <f>'Anuid PF'!W28+'Anuid PF'!X28+'Anuid PJ'!T28+'Anuid PJ'!U28+RRT!K27+'Taxas e Multas.'!G26</f>
        <v>1035033.16</v>
      </c>
      <c r="H29" s="537">
        <f>'Anuid PF'!Y28+'Anuid PF'!Z28+'Anuid PJ'!V28+'Anuid PJ'!W28+RRT!L27+'Taxas e Multas.'!H26</f>
        <v>1068798.584</v>
      </c>
      <c r="I29" s="537">
        <f>'Anuid PF'!AA28+'Anuid PF'!AB28+'Anuid PJ'!X28+'Anuid PJ'!Y28+RRT!M27+'Taxas e Multas.'!I26</f>
        <v>973565.53600000008</v>
      </c>
      <c r="J29" s="537">
        <f>'Anuid PF'!AC28+'Anuid PF'!AD28+'Anuid PJ'!Z28+'Anuid PJ'!AA28+RRT!N27+'Taxas e Multas.'!J26</f>
        <v>854252.84800000011</v>
      </c>
      <c r="K29" s="537">
        <f>'Anuid PF'!AE28+'Anuid PF'!AF28+'Anuid PJ'!AB28+'Anuid PJ'!AC28+RRT!O27+'Taxas e Multas.'!K26</f>
        <v>734008.0560000001</v>
      </c>
      <c r="L29" s="537">
        <f>'Anuid PF'!AG28+'Anuid PF'!AH28+'Anuid PJ'!AD28+'Anuid PJ'!AE28+RRT!P27+'Taxas e Multas.'!L26</f>
        <v>0</v>
      </c>
      <c r="M29" s="537">
        <f>'Anuid PF'!AI28+'Anuid PF'!AJ28+'Anuid PJ'!AF28+'Anuid PJ'!AG28+RRT!Q27+'Taxas e Multas.'!M26</f>
        <v>0</v>
      </c>
      <c r="N29" s="537">
        <f>'Anuid PF'!AK28+'Anuid PF'!AL28+'Anuid PJ'!AH28+'Anuid PJ'!AI28+RRT!R27+'Taxas e Multas.'!N26</f>
        <v>0</v>
      </c>
      <c r="O29" s="536">
        <f t="shared" si="3"/>
        <v>9058423.120000001</v>
      </c>
      <c r="P29" s="192">
        <f t="shared" si="0"/>
        <v>88.231567189427921</v>
      </c>
      <c r="Q29" s="191">
        <f t="shared" si="1"/>
        <v>5.1924747868307568</v>
      </c>
      <c r="R29" s="178">
        <f t="shared" si="2"/>
        <v>0.88231567189427917</v>
      </c>
      <c r="S29" s="177">
        <f>'Comparativo YoY'!GH59</f>
        <v>19.233588817780117</v>
      </c>
      <c r="T29" s="171"/>
      <c r="U29" s="11"/>
      <c r="V29" s="11"/>
      <c r="W29" s="11"/>
      <c r="X29" s="11"/>
      <c r="Y29" s="11"/>
      <c r="Z29" s="11"/>
      <c r="AB29" s="190"/>
      <c r="AC29" s="189">
        <v>28735100.161228344</v>
      </c>
    </row>
    <row r="30" spans="1:29" ht="24" thickBot="1">
      <c r="A30" s="193" t="s">
        <v>102</v>
      </c>
      <c r="B30" s="536">
        <f>'Anuid PF'!E29+'Anuid PF'!F29+'Anuid PJ'!D29+'Anuid PJ'!E29+RRT!C28+'Taxas e Multas.'!B27</f>
        <v>1309974.22</v>
      </c>
      <c r="C30" s="537">
        <f>'Anuid PF'!O29+'Anuid PF'!P29+'Anuid PJ'!L29+'Anuid PJ'!M29+RRT!G28+'Taxas e Multas.'!C27</f>
        <v>136390.60800000001</v>
      </c>
      <c r="D30" s="537">
        <f>'Anuid PF'!Q29+'Anuid PF'!R29+'Anuid PJ'!N29+'Anuid PJ'!O29+RRT!H28+'Taxas e Multas.'!D27</f>
        <v>147391.6</v>
      </c>
      <c r="E30" s="537">
        <f>'Anuid PF'!S29+'Anuid PF'!T29+'Anuid PJ'!P29+'Anuid PJ'!Q29+RRT!I28+'Taxas e Multas.'!E27</f>
        <v>163213.55200000003</v>
      </c>
      <c r="F30" s="537">
        <f>'Anuid PF'!U29+'Anuid PF'!V29+'Anuid PJ'!R29+'Anuid PJ'!S29+RRT!J28+'Taxas e Multas.'!F27</f>
        <v>113418.18400000001</v>
      </c>
      <c r="G30" s="537">
        <f>'Anuid PF'!W29+'Anuid PF'!X29+'Anuid PJ'!T29+'Anuid PJ'!U29+RRT!K28+'Taxas e Multas.'!G27</f>
        <v>131874.20799999998</v>
      </c>
      <c r="H30" s="537">
        <f>'Anuid PF'!Y29+'Anuid PF'!Z29+'Anuid PJ'!V29+'Anuid PJ'!W29+RRT!L28+'Taxas e Multas.'!H27</f>
        <v>124235.632</v>
      </c>
      <c r="I30" s="537">
        <f>'Anuid PF'!AA29+'Anuid PF'!AB29+'Anuid PJ'!X29+'Anuid PJ'!Y29+RRT!M28+'Taxas e Multas.'!I27</f>
        <v>112169.088</v>
      </c>
      <c r="J30" s="537">
        <f>'Anuid PF'!AC29+'Anuid PF'!AD29+'Anuid PJ'!Z29+'Anuid PJ'!AA29+RRT!N28+'Taxas e Multas.'!J27</f>
        <v>114319.75200000001</v>
      </c>
      <c r="K30" s="537">
        <f>'Anuid PF'!AE29+'Anuid PF'!AF29+'Anuid PJ'!AB29+'Anuid PJ'!AC29+RRT!O28+'Taxas e Multas.'!K27</f>
        <v>102035.44799999999</v>
      </c>
      <c r="L30" s="537">
        <f>'Anuid PF'!AG29+'Anuid PF'!AH29+'Anuid PJ'!AD29+'Anuid PJ'!AE29+RRT!P28+'Taxas e Multas.'!L27</f>
        <v>0</v>
      </c>
      <c r="M30" s="537">
        <f>'Anuid PF'!AI29+'Anuid PF'!AJ29+'Anuid PJ'!AF29+'Anuid PJ'!AG29+RRT!Q28+'Taxas e Multas.'!M27</f>
        <v>0</v>
      </c>
      <c r="N30" s="537">
        <f>'Anuid PF'!AK29+'Anuid PF'!AL29+'Anuid PJ'!AH29+'Anuid PJ'!AI29+RRT!R28+'Taxas e Multas.'!N27</f>
        <v>0</v>
      </c>
      <c r="O30" s="536">
        <f t="shared" si="3"/>
        <v>1145048.0719999999</v>
      </c>
      <c r="P30" s="192">
        <f t="shared" si="0"/>
        <v>87.409969945820762</v>
      </c>
      <c r="Q30" s="191">
        <f t="shared" si="1"/>
        <v>0.65636514929865275</v>
      </c>
      <c r="R30" s="178">
        <f t="shared" si="2"/>
        <v>0.87409969945820765</v>
      </c>
      <c r="S30" s="177">
        <f>'Comparativo YoY'!GH60</f>
        <v>27.847098917261576</v>
      </c>
      <c r="T30" s="171"/>
      <c r="U30" s="11"/>
      <c r="V30" s="11"/>
      <c r="W30" s="11"/>
      <c r="X30" s="11"/>
      <c r="Y30" s="11"/>
      <c r="Z30" s="11"/>
      <c r="AB30" s="190"/>
      <c r="AC30" s="189">
        <v>7941870.7135968944</v>
      </c>
    </row>
    <row r="31" spans="1:29" ht="24" thickBot="1">
      <c r="A31" s="193" t="s">
        <v>101</v>
      </c>
      <c r="B31" s="536">
        <f>'Anuid PF'!E30+'Anuid PF'!F30+'Anuid PJ'!D30+'Anuid PJ'!E30+RRT!C29+'Taxas e Multas.'!B28</f>
        <v>55973994.24000001</v>
      </c>
      <c r="C31" s="537">
        <f>'Anuid PF'!O30+'Anuid PF'!P30+'Anuid PJ'!L30+'Anuid PJ'!M30+RRT!G29+'Taxas e Multas.'!C28</f>
        <v>5727481.4280000003</v>
      </c>
      <c r="D31" s="537">
        <f>'Anuid PF'!Q30+'Anuid PF'!R30+'Anuid PJ'!N30+'Anuid PJ'!O30+RRT!H29+'Taxas e Multas.'!D28</f>
        <v>6545960.1080000009</v>
      </c>
      <c r="E31" s="537">
        <f>'Anuid PF'!S30+'Anuid PF'!T30+'Anuid PJ'!P30+'Anuid PJ'!Q30+RRT!I29+'Taxas e Multas.'!E28</f>
        <v>6563909.9920000006</v>
      </c>
      <c r="F31" s="537">
        <f>'Anuid PF'!U30+'Anuid PF'!V30+'Anuid PJ'!R30+'Anuid PJ'!S30+RRT!J29+'Taxas e Multas.'!F28</f>
        <v>4340511.1359999999</v>
      </c>
      <c r="G31" s="537">
        <f>'Anuid PF'!W30+'Anuid PF'!X30+'Anuid PJ'!T30+'Anuid PJ'!U30+RRT!K29+'Taxas e Multas.'!G28</f>
        <v>5171726.6020000009</v>
      </c>
      <c r="H31" s="537">
        <f>'Anuid PF'!Y30+'Anuid PF'!Z30+'Anuid PJ'!V30+'Anuid PJ'!W30+RRT!L29+'Taxas e Multas.'!H28</f>
        <v>4930329.7439999999</v>
      </c>
      <c r="I31" s="537">
        <f>'Anuid PF'!AA30+'Anuid PF'!AB30+'Anuid PJ'!X30+'Anuid PJ'!Y30+RRT!M29+'Taxas e Multas.'!I28</f>
        <v>4465674.4899999993</v>
      </c>
      <c r="J31" s="537">
        <f>'Anuid PF'!AC30+'Anuid PF'!AD30+'Anuid PJ'!Z30+'Anuid PJ'!AA30+RRT!N29+'Taxas e Multas.'!J28</f>
        <v>4581854.2319999998</v>
      </c>
      <c r="K31" s="537">
        <f>'Anuid PF'!AE30+'Anuid PF'!AF30+'Anuid PJ'!AB30+'Anuid PJ'!AC30+RRT!O29+'Taxas e Multas.'!K28</f>
        <v>3937772.9580000001</v>
      </c>
      <c r="L31" s="537">
        <f>'Anuid PF'!AG30+'Anuid PF'!AH30+'Anuid PJ'!AD30+'Anuid PJ'!AE30+RRT!P29+'Taxas e Multas.'!L28</f>
        <v>0</v>
      </c>
      <c r="M31" s="537">
        <f>'Anuid PF'!AI30+'Anuid PF'!AJ30+'Anuid PJ'!AF30+'Anuid PJ'!AG30+RRT!Q29+'Taxas e Multas.'!M28</f>
        <v>0</v>
      </c>
      <c r="N31" s="537">
        <f>'Anuid PF'!AK30+'Anuid PF'!AL30+'Anuid PJ'!AH30+'Anuid PJ'!AI30+RRT!R29+'Taxas e Multas.'!N28</f>
        <v>0</v>
      </c>
      <c r="O31" s="536">
        <f t="shared" si="3"/>
        <v>46265220.690000005</v>
      </c>
      <c r="P31" s="192">
        <f t="shared" si="0"/>
        <v>82.654849485331269</v>
      </c>
      <c r="Q31" s="191">
        <f t="shared" si="1"/>
        <v>26.520177823177864</v>
      </c>
      <c r="R31" s="178">
        <f t="shared" si="2"/>
        <v>0.82654849485331272</v>
      </c>
      <c r="S31" s="177">
        <f>'Comparativo YoY'!GH61</f>
        <v>15.821584447381383</v>
      </c>
      <c r="T31" s="171"/>
      <c r="U31" s="11"/>
      <c r="V31" s="11"/>
      <c r="W31" s="11"/>
      <c r="X31" s="11"/>
      <c r="Y31" s="11"/>
      <c r="Z31" s="11"/>
      <c r="AB31" s="190"/>
      <c r="AC31" s="189">
        <v>11086070.315186603</v>
      </c>
    </row>
    <row r="32" spans="1:29" ht="24" thickBot="1">
      <c r="A32" s="193" t="s">
        <v>103</v>
      </c>
      <c r="B32" s="536">
        <f>'Anuid PF'!E31+'Anuid PF'!F31+'Anuid PJ'!D31+'Anuid PJ'!E31+RRT!C30+'Taxas e Multas.'!B29</f>
        <v>918273.35</v>
      </c>
      <c r="C32" s="537">
        <f>'Anuid PF'!O31+'Anuid PF'!P31+'Anuid PJ'!L31+'Anuid PJ'!M31+RRT!G30+'Taxas e Multas.'!C29</f>
        <v>57123.144</v>
      </c>
      <c r="D32" s="537">
        <f>'Anuid PF'!Q31+'Anuid PF'!R31+'Anuid PJ'!N31+'Anuid PJ'!O31+RRT!H30+'Taxas e Multas.'!D29</f>
        <v>82144.320000000007</v>
      </c>
      <c r="E32" s="537">
        <f>'Anuid PF'!S31+'Anuid PF'!T31+'Anuid PJ'!P31+'Anuid PJ'!Q31+RRT!I30+'Taxas e Multas.'!E29</f>
        <v>85245.936000000002</v>
      </c>
      <c r="F32" s="537">
        <f>'Anuid PF'!U31+'Anuid PF'!V31+'Anuid PJ'!R31+'Anuid PJ'!S31+RRT!J30+'Taxas e Multas.'!F29</f>
        <v>73865.888000000006</v>
      </c>
      <c r="G32" s="537">
        <f>'Anuid PF'!W31+'Anuid PF'!X31+'Anuid PJ'!T31+'Anuid PJ'!U31+RRT!K30+'Taxas e Multas.'!G29</f>
        <v>83214.712</v>
      </c>
      <c r="H32" s="537">
        <f>'Anuid PF'!Y31+'Anuid PF'!Z31+'Anuid PJ'!V31+'Anuid PJ'!W31+RRT!L30+'Taxas e Multas.'!H29</f>
        <v>81275.343999999997</v>
      </c>
      <c r="I32" s="537">
        <f>'Anuid PF'!AA31+'Anuid PF'!AB31+'Anuid PJ'!X31+'Anuid PJ'!Y31+RRT!M30+'Taxas e Multas.'!I29</f>
        <v>61288.864000000001</v>
      </c>
      <c r="J32" s="537">
        <f>'Anuid PF'!AC31+'Anuid PF'!AD31+'Anuid PJ'!Z31+'Anuid PJ'!AA31+RRT!N30+'Taxas e Multas.'!J29</f>
        <v>63301.832000000009</v>
      </c>
      <c r="K32" s="537">
        <f>'Anuid PF'!AE31+'Anuid PF'!AF31+'Anuid PJ'!AB31+'Anuid PJ'!AC31+RRT!O30+'Taxas e Multas.'!K29</f>
        <v>51966.080000000009</v>
      </c>
      <c r="L32" s="537">
        <f>'Anuid PF'!AG31+'Anuid PF'!AH31+'Anuid PJ'!AD31+'Anuid PJ'!AE31+RRT!P30+'Taxas e Multas.'!L29</f>
        <v>0</v>
      </c>
      <c r="M32" s="537">
        <f>'Anuid PF'!AI31+'Anuid PF'!AJ31+'Anuid PJ'!AF31+'Anuid PJ'!AG31+RRT!Q30+'Taxas e Multas.'!M29</f>
        <v>0</v>
      </c>
      <c r="N32" s="537">
        <f>'Anuid PF'!AK31+'Anuid PF'!AL31+'Anuid PJ'!AH31+'Anuid PJ'!AI31+RRT!R30+'Taxas e Multas.'!N29</f>
        <v>0</v>
      </c>
      <c r="O32" s="536">
        <f t="shared" si="3"/>
        <v>639426.12</v>
      </c>
      <c r="P32" s="192">
        <f t="shared" si="0"/>
        <v>69.633526879550629</v>
      </c>
      <c r="Q32" s="191">
        <f t="shared" si="1"/>
        <v>0.36653222775721006</v>
      </c>
      <c r="R32" s="178">
        <f t="shared" si="2"/>
        <v>0.69633526879550622</v>
      </c>
      <c r="S32" s="177">
        <f>'Comparativo YoY'!GH62</f>
        <v>11.467082605332109</v>
      </c>
      <c r="T32" s="171"/>
      <c r="U32" s="11"/>
      <c r="V32" s="11"/>
      <c r="W32" s="11"/>
      <c r="X32" s="11"/>
      <c r="Y32" s="11"/>
      <c r="Z32" s="11"/>
      <c r="AB32" s="190"/>
      <c r="AC32" s="189">
        <v>5063003.326307971</v>
      </c>
    </row>
    <row r="33" spans="1:29" s="168" customFormat="1" ht="23.25">
      <c r="A33" s="188" t="s">
        <v>169</v>
      </c>
      <c r="B33" s="538">
        <f t="shared" ref="B33:N33" si="4">SUM(B6:B32)</f>
        <v>167298332.6172857</v>
      </c>
      <c r="C33" s="539">
        <f t="shared" si="4"/>
        <v>16681965.867999999</v>
      </c>
      <c r="D33" s="539">
        <f t="shared" si="4"/>
        <v>19717646.276000004</v>
      </c>
      <c r="E33" s="539">
        <f t="shared" si="4"/>
        <v>20023081.904000003</v>
      </c>
      <c r="F33" s="539">
        <f t="shared" si="4"/>
        <v>13138801.648000002</v>
      </c>
      <c r="G33" s="539">
        <f t="shared" si="4"/>
        <v>15558640.410000002</v>
      </c>
      <c r="H33" s="539">
        <f t="shared" si="4"/>
        <v>15196187.927999999</v>
      </c>
      <c r="I33" s="539">
        <f t="shared" si="4"/>
        <v>13994604.048</v>
      </c>
      <c r="J33" s="539">
        <f t="shared" si="4"/>
        <v>13687748.496000001</v>
      </c>
      <c r="K33" s="539">
        <f t="shared" si="4"/>
        <v>11581981.184</v>
      </c>
      <c r="L33" s="539">
        <f t="shared" si="4"/>
        <v>0</v>
      </c>
      <c r="M33" s="539">
        <f t="shared" si="4"/>
        <v>0</v>
      </c>
      <c r="N33" s="539">
        <f t="shared" si="4"/>
        <v>0</v>
      </c>
      <c r="O33" s="538">
        <f t="shared" si="3"/>
        <v>139580657.76200002</v>
      </c>
      <c r="P33" s="187">
        <f t="shared" si="0"/>
        <v>83.432187026816891</v>
      </c>
      <c r="Q33" s="187">
        <f t="shared" si="1"/>
        <v>80.010509175512851</v>
      </c>
      <c r="R33" s="178">
        <f t="shared" si="2"/>
        <v>0.83432187026816895</v>
      </c>
      <c r="S33" s="177">
        <f>'Comparativo YoY'!GH63</f>
        <v>16.811187684873971</v>
      </c>
      <c r="T33" s="171"/>
      <c r="U33" s="185"/>
      <c r="AB33" s="184" t="s">
        <v>224</v>
      </c>
      <c r="AC33" s="183">
        <v>4765789.9148071306</v>
      </c>
    </row>
    <row r="34" spans="1:29" ht="23.25">
      <c r="A34" s="182" t="s">
        <v>171</v>
      </c>
      <c r="B34" s="540">
        <f>'Anuid PF'!E33+'Anuid PF'!F33+'Anuid PJ'!D33+'Anuid PJ'!E33+RRT!C32+'Taxas e Multas.'!B31</f>
        <v>41952600.780000001</v>
      </c>
      <c r="C34" s="541">
        <f>'Anuid PF'!O33+'Anuid PF'!P33+'Anuid PJ'!L33+'Anuid PJ'!M33+RRT!G32+'Taxas e Multas.'!C31</f>
        <v>4168902.8020000001</v>
      </c>
      <c r="D34" s="541">
        <f>'Anuid PF'!Q33+'Anuid PF'!R33+'Anuid PJ'!N33+'Anuid PJ'!O33+RRT!H32+'Taxas e Multas.'!D31</f>
        <v>4925554.1539999992</v>
      </c>
      <c r="E34" s="541">
        <f>'Anuid PF'!S33+'Anuid PF'!T33+'Anuid PJ'!P33+'Anuid PJ'!Q33+RRT!I32+'Taxas e Multas.'!E31</f>
        <v>4999698.4960000003</v>
      </c>
      <c r="F34" s="541">
        <f>'Anuid PF'!U33+'Anuid PF'!V33+'Anuid PJ'!R33+'Anuid PJ'!S33+RRT!J32+'Taxas e Multas.'!F31</f>
        <v>3284700.4119999995</v>
      </c>
      <c r="G34" s="541">
        <f>'Anuid PF'!W33+'Anuid PF'!X33+'Anuid PJ'!T33+'Anuid PJ'!U33+RRT!K32+'Taxas e Multas.'!G31</f>
        <v>3885826.1100000003</v>
      </c>
      <c r="H34" s="541">
        <f>'Anuid PF'!Y33+'Anuid PF'!Z33+'Anuid PJ'!V33+'Anuid PJ'!W33+RRT!L32+'Taxas e Multas.'!H31</f>
        <v>3799046.9820000008</v>
      </c>
      <c r="I34" s="541">
        <f>'Anuid PF'!AA33+'Anuid PF'!AB33+'Anuid PJ'!X33+'Anuid PJ'!Y33+RRT!M32+'Taxas e Multas.'!I31</f>
        <v>3494809.3219999997</v>
      </c>
      <c r="J34" s="541">
        <f>'Anuid PF'!AC33+'Anuid PF'!AD33+'Anuid PJ'!Z33+'Anuid PJ'!AA33+RRT!N32+'Taxas e Multas.'!J31</f>
        <v>3421937.1240000003</v>
      </c>
      <c r="K34" s="541">
        <f>'Anuid PF'!AE33+'Anuid PF'!AF33+'Anuid PJ'!AB33+'Anuid PJ'!AC33+RRT!O32+'Taxas e Multas.'!K31</f>
        <v>2891772.0860000001</v>
      </c>
      <c r="L34" s="541">
        <f>'Anuid PF'!AG33+'Anuid PF'!AH33+'Anuid PJ'!AD33+'Anuid PJ'!AE33+RRT!P32+'Taxas e Multas.'!L31</f>
        <v>0</v>
      </c>
      <c r="M34" s="541">
        <f>'Anuid PF'!AI33+'Anuid PF'!AJ33+'Anuid PJ'!AF33+'Anuid PJ'!AG33+RRT!Q32+'Taxas e Multas.'!M31</f>
        <v>0</v>
      </c>
      <c r="N34" s="541">
        <f>'Anuid PF'!AK33+'Anuid PF'!AL33+'Anuid PJ'!AH33+'Anuid PJ'!AI33+RRT!R32+'Taxas e Multas.'!N31</f>
        <v>0</v>
      </c>
      <c r="O34" s="540">
        <f t="shared" si="3"/>
        <v>34872247.488000005</v>
      </c>
      <c r="P34" s="179">
        <f t="shared" si="0"/>
        <v>83.122969350268733</v>
      </c>
      <c r="Q34" s="179">
        <f t="shared" si="1"/>
        <v>19.989490824487145</v>
      </c>
      <c r="R34" s="178">
        <f t="shared" si="2"/>
        <v>0.83122969350268738</v>
      </c>
      <c r="S34" s="177">
        <f>'Comparativo YoY'!GH64</f>
        <v>16.762786715404545</v>
      </c>
      <c r="T34" s="171"/>
      <c r="AB34" s="181"/>
      <c r="AC34" s="181"/>
    </row>
    <row r="35" spans="1:29" ht="23.25">
      <c r="A35" s="180" t="s">
        <v>346</v>
      </c>
      <c r="B35" s="540">
        <f t="shared" ref="B35:N35" si="5">B33+B34</f>
        <v>209250933.3972857</v>
      </c>
      <c r="C35" s="541">
        <f t="shared" si="5"/>
        <v>20850868.669999998</v>
      </c>
      <c r="D35" s="541">
        <f t="shared" si="5"/>
        <v>24643200.430000003</v>
      </c>
      <c r="E35" s="541">
        <f t="shared" si="5"/>
        <v>25022780.400000002</v>
      </c>
      <c r="F35" s="541">
        <f>F33+F34</f>
        <v>16423502.060000002</v>
      </c>
      <c r="G35" s="541">
        <f t="shared" si="5"/>
        <v>19444466.520000003</v>
      </c>
      <c r="H35" s="541">
        <f t="shared" si="5"/>
        <v>18995234.91</v>
      </c>
      <c r="I35" s="541">
        <f t="shared" si="5"/>
        <v>17489413.370000001</v>
      </c>
      <c r="J35" s="541">
        <f t="shared" si="5"/>
        <v>17109685.620000001</v>
      </c>
      <c r="K35" s="541">
        <f t="shared" si="5"/>
        <v>14473753.27</v>
      </c>
      <c r="L35" s="541">
        <f t="shared" si="5"/>
        <v>0</v>
      </c>
      <c r="M35" s="541">
        <f t="shared" si="5"/>
        <v>0</v>
      </c>
      <c r="N35" s="541">
        <f t="shared" si="5"/>
        <v>0</v>
      </c>
      <c r="O35" s="540">
        <f>SUM(O33+O34)</f>
        <v>174452905.25000003</v>
      </c>
      <c r="P35" s="179">
        <f t="shared" si="0"/>
        <v>83.370192150484783</v>
      </c>
      <c r="Q35" s="179">
        <f t="shared" si="1"/>
        <v>100</v>
      </c>
      <c r="R35" s="178">
        <f t="shared" si="2"/>
        <v>0.8337019215048479</v>
      </c>
      <c r="S35" s="177">
        <f>'Comparativo YoY'!GH65</f>
        <v>16.801513416319807</v>
      </c>
      <c r="T35" s="171"/>
    </row>
    <row r="36" spans="1:29">
      <c r="C36" s="542">
        <f>'ARRECADAÇÃO MENSAL POR RECEITA'!R5</f>
        <v>20850868.669999998</v>
      </c>
      <c r="D36" s="535">
        <f>'ARRECADAÇÃO MENSAL POR RECEITA'!R6</f>
        <v>24643200.43</v>
      </c>
      <c r="E36" s="542">
        <f>'ARRECADAÇÃO MENSAL POR RECEITA'!$R$7</f>
        <v>25022780.400000002</v>
      </c>
      <c r="F36" s="535">
        <f>'ARRECADAÇÃO MENSAL POR RECEITA'!R8</f>
        <v>16423502.060000001</v>
      </c>
      <c r="G36" s="535">
        <f>'ARRECADAÇÃO MENSAL POR RECEITA'!$R9</f>
        <v>19444466.52</v>
      </c>
      <c r="H36" s="535">
        <f>'ARRECADAÇÃO MENSAL POR RECEITA'!$R10</f>
        <v>18995234.909999996</v>
      </c>
      <c r="I36" s="535">
        <f>'ARRECADAÇÃO MENSAL POR RECEITA'!$R11</f>
        <v>17489413.369999994</v>
      </c>
      <c r="J36" s="535">
        <f>'ARRECADAÇÃO MENSAL POR RECEITA'!$R12</f>
        <v>17109685.619999997</v>
      </c>
      <c r="K36" s="535">
        <f>'ARRECADAÇÃO MENSAL POR RECEITA'!$R13</f>
        <v>14473753.270000001</v>
      </c>
      <c r="L36" s="535">
        <f>'ARRECADAÇÃO MENSAL POR RECEITA'!$R14</f>
        <v>0</v>
      </c>
      <c r="M36" s="535">
        <f>'ARRECADAÇÃO MENSAL POR RECEITA'!$R15</f>
        <v>0</v>
      </c>
      <c r="N36" s="535">
        <f>'ARRECADAÇÃO MENSAL POR RECEITA'!$R16</f>
        <v>0</v>
      </c>
      <c r="O36" s="542">
        <f>'ARRECADAÇÃO MENSAL POR RECEITA'!$R$17</f>
        <v>174452905.25</v>
      </c>
      <c r="Q36" s="157"/>
      <c r="T36" s="145"/>
    </row>
    <row r="37" spans="1:29">
      <c r="C37" s="542" t="b">
        <f t="shared" ref="C37:O37" si="6">C35=C36</f>
        <v>1</v>
      </c>
      <c r="D37" s="542" t="b">
        <f t="shared" si="6"/>
        <v>1</v>
      </c>
      <c r="E37" s="542" t="b">
        <f t="shared" si="6"/>
        <v>1</v>
      </c>
      <c r="F37" s="542" t="b">
        <f t="shared" si="6"/>
        <v>1</v>
      </c>
      <c r="G37" s="542" t="b">
        <f t="shared" si="6"/>
        <v>1</v>
      </c>
      <c r="H37" s="542" t="b">
        <f t="shared" si="6"/>
        <v>1</v>
      </c>
      <c r="I37" s="542" t="b">
        <f t="shared" si="6"/>
        <v>1</v>
      </c>
      <c r="J37" s="542" t="b">
        <f t="shared" si="6"/>
        <v>1</v>
      </c>
      <c r="K37" s="542" t="b">
        <f t="shared" si="6"/>
        <v>1</v>
      </c>
      <c r="L37" s="542" t="b">
        <f t="shared" si="6"/>
        <v>1</v>
      </c>
      <c r="M37" s="542" t="b">
        <f t="shared" si="6"/>
        <v>1</v>
      </c>
      <c r="N37" s="542" t="b">
        <f t="shared" si="6"/>
        <v>1</v>
      </c>
      <c r="O37" s="542" t="b">
        <f t="shared" si="6"/>
        <v>1</v>
      </c>
      <c r="Q37" s="157"/>
      <c r="T37" s="145"/>
    </row>
    <row r="38" spans="1:29">
      <c r="C38" s="542"/>
      <c r="E38" s="542"/>
      <c r="G38" s="542"/>
      <c r="K38" s="543"/>
      <c r="L38" s="920"/>
      <c r="M38" s="920"/>
      <c r="N38" s="920"/>
      <c r="P38" s="175"/>
      <c r="S38" s="157"/>
      <c r="T38" s="145"/>
    </row>
    <row r="39" spans="1:29" s="156" customFormat="1">
      <c r="A39" s="534"/>
      <c r="B39" s="535"/>
      <c r="C39" s="535"/>
      <c r="D39" s="535"/>
      <c r="E39" s="535"/>
      <c r="F39" s="535"/>
      <c r="G39" s="535"/>
      <c r="H39" s="535"/>
      <c r="I39" s="535"/>
      <c r="J39" s="535"/>
      <c r="K39" s="535"/>
      <c r="L39" s="535"/>
      <c r="M39" s="535"/>
      <c r="N39" s="535"/>
      <c r="O39" s="535"/>
      <c r="T39" s="157"/>
    </row>
    <row r="40" spans="1:29" s="156" customFormat="1">
      <c r="A40" s="534"/>
      <c r="B40" s="535"/>
      <c r="C40" s="535"/>
      <c r="D40" s="535"/>
      <c r="E40" s="535"/>
      <c r="F40" s="535"/>
      <c r="G40" s="535"/>
      <c r="H40" s="535"/>
      <c r="I40" s="535"/>
      <c r="J40" s="535"/>
      <c r="K40" s="535"/>
      <c r="L40" s="535"/>
      <c r="M40" s="535"/>
      <c r="N40" s="535"/>
      <c r="O40" s="535"/>
      <c r="T40" s="157"/>
    </row>
    <row r="41" spans="1:29" s="156" customFormat="1">
      <c r="A41" s="534"/>
      <c r="B41" s="535"/>
      <c r="C41" s="535"/>
      <c r="D41" s="535"/>
      <c r="E41" s="535"/>
      <c r="F41" s="535"/>
      <c r="G41" s="535"/>
      <c r="H41" s="535"/>
      <c r="I41" s="535"/>
      <c r="J41" s="535"/>
      <c r="K41" s="535"/>
      <c r="L41" s="535"/>
      <c r="M41" s="535"/>
      <c r="N41" s="535"/>
      <c r="O41" s="535"/>
      <c r="T41" s="157"/>
    </row>
    <row r="42" spans="1:29" s="156" customFormat="1" ht="21.75" thickBot="1">
      <c r="A42" s="534"/>
      <c r="B42" s="535"/>
      <c r="C42" s="535"/>
      <c r="D42" s="535"/>
      <c r="E42" s="535"/>
      <c r="F42" s="535"/>
      <c r="G42" s="535"/>
      <c r="H42" s="535"/>
      <c r="I42" s="535"/>
      <c r="J42" s="535"/>
      <c r="K42" s="535"/>
      <c r="L42" s="535"/>
      <c r="M42" s="535"/>
      <c r="N42" s="535"/>
      <c r="O42" s="535"/>
      <c r="S42" s="157"/>
      <c r="T42" s="157"/>
    </row>
    <row r="43" spans="1:29" s="156" customFormat="1" ht="21.75" thickBot="1">
      <c r="A43" s="534"/>
      <c r="B43" s="535"/>
      <c r="C43" s="544"/>
      <c r="D43" s="927"/>
      <c r="E43" s="929"/>
      <c r="F43" s="535"/>
      <c r="G43" s="535"/>
      <c r="H43" s="535"/>
      <c r="I43" s="535"/>
      <c r="J43" s="535"/>
      <c r="K43" s="535"/>
      <c r="L43" s="535"/>
      <c r="M43" s="535"/>
      <c r="N43" s="535"/>
      <c r="O43" s="535"/>
      <c r="T43" s="157"/>
    </row>
    <row r="44" spans="1:29" s="156" customFormat="1" ht="21.75" thickBot="1">
      <c r="A44" s="534"/>
      <c r="B44" s="535"/>
      <c r="C44" s="544"/>
      <c r="D44" s="928"/>
      <c r="E44" s="929"/>
      <c r="F44" s="535"/>
      <c r="G44" s="535"/>
      <c r="H44" s="535"/>
      <c r="I44" s="535"/>
      <c r="J44" s="535"/>
      <c r="K44" s="535"/>
      <c r="L44" s="535"/>
      <c r="M44" s="535"/>
      <c r="N44" s="535"/>
      <c r="O44" s="535"/>
      <c r="Q44" s="175"/>
      <c r="T44" s="174"/>
    </row>
    <row r="45" spans="1:29" s="156" customFormat="1" ht="21.75" thickBot="1">
      <c r="B45" s="535"/>
      <c r="C45" s="922"/>
      <c r="D45" s="545"/>
      <c r="E45" s="546"/>
      <c r="F45" s="535"/>
      <c r="G45" s="535"/>
      <c r="H45" s="535"/>
      <c r="I45" s="535"/>
      <c r="J45" s="535"/>
      <c r="K45" s="535"/>
      <c r="L45" s="535"/>
      <c r="M45" s="535"/>
      <c r="N45" s="535"/>
      <c r="O45" s="535"/>
      <c r="T45" s="157"/>
    </row>
    <row r="46" spans="1:29" s="156" customFormat="1" ht="21.75" thickBot="1">
      <c r="B46" s="535"/>
      <c r="C46" s="922"/>
      <c r="D46" s="545"/>
      <c r="E46" s="546"/>
      <c r="F46" s="535"/>
      <c r="G46" s="535"/>
      <c r="H46" s="535"/>
      <c r="I46" s="535"/>
      <c r="J46" s="535"/>
      <c r="K46" s="535"/>
      <c r="L46" s="535"/>
      <c r="M46" s="535"/>
      <c r="N46" s="535"/>
      <c r="O46" s="535"/>
      <c r="T46" s="157"/>
    </row>
    <row r="47" spans="1:29" ht="21.75" thickBot="1">
      <c r="C47" s="922"/>
      <c r="D47" s="545"/>
      <c r="E47" s="546"/>
    </row>
    <row r="48" spans="1:29" ht="21.75" thickBot="1">
      <c r="C48" s="922"/>
      <c r="D48" s="545"/>
      <c r="E48" s="546"/>
    </row>
    <row r="49" spans="3:20" ht="21.75" thickBot="1">
      <c r="C49" s="922"/>
      <c r="D49" s="545"/>
      <c r="E49" s="546"/>
    </row>
    <row r="50" spans="3:20" ht="21.75" thickBot="1">
      <c r="C50" s="922"/>
      <c r="D50" s="545"/>
      <c r="E50" s="546"/>
    </row>
    <row r="51" spans="3:20" ht="21.75" thickBot="1">
      <c r="C51" s="922"/>
      <c r="D51" s="545"/>
      <c r="E51" s="546"/>
    </row>
    <row r="52" spans="3:20" ht="21.75" thickBot="1">
      <c r="C52" s="922"/>
      <c r="D52" s="547"/>
      <c r="E52" s="548"/>
    </row>
    <row r="53" spans="3:20" ht="21.75" thickBot="1">
      <c r="C53" s="922"/>
      <c r="D53" s="545"/>
      <c r="E53" s="546"/>
    </row>
    <row r="54" spans="3:20" ht="21.75" thickBot="1">
      <c r="C54" s="922"/>
      <c r="D54" s="545"/>
      <c r="E54" s="546"/>
    </row>
    <row r="55" spans="3:20" ht="21.75" thickBot="1">
      <c r="C55" s="922"/>
      <c r="D55" s="545"/>
      <c r="E55" s="546"/>
    </row>
    <row r="56" spans="3:20" ht="21.75" thickBot="1">
      <c r="C56" s="922"/>
      <c r="D56" s="545"/>
      <c r="E56" s="546"/>
    </row>
    <row r="57" spans="3:20" ht="21.75" thickBot="1">
      <c r="C57" s="922"/>
      <c r="D57" s="545"/>
      <c r="E57" s="546"/>
    </row>
    <row r="58" spans="3:20" ht="21.75" thickBot="1">
      <c r="C58" s="922"/>
      <c r="D58" s="545"/>
      <c r="E58" s="546"/>
    </row>
    <row r="59" spans="3:20" ht="21.75" thickBot="1">
      <c r="C59" s="922"/>
      <c r="D59" s="545"/>
      <c r="E59" s="546"/>
    </row>
    <row r="60" spans="3:20" ht="21.75" thickBot="1">
      <c r="C60" s="922"/>
      <c r="D60" s="545"/>
      <c r="E60" s="546"/>
    </row>
    <row r="61" spans="3:20" ht="21.75" thickBot="1">
      <c r="C61" s="922"/>
      <c r="D61" s="545"/>
      <c r="E61" s="546"/>
      <c r="T61" s="145"/>
    </row>
    <row r="62" spans="3:20" ht="21.75" thickBot="1">
      <c r="C62" s="922"/>
      <c r="D62" s="545"/>
      <c r="E62" s="546"/>
      <c r="T62" s="145"/>
    </row>
    <row r="63" spans="3:20" ht="21.75" thickBot="1">
      <c r="C63" s="922"/>
      <c r="D63" s="545"/>
      <c r="E63" s="546"/>
      <c r="T63" s="145"/>
    </row>
    <row r="64" spans="3:20" ht="21.75" thickBot="1">
      <c r="C64" s="922"/>
      <c r="D64" s="545"/>
      <c r="E64" s="546"/>
      <c r="T64" s="145"/>
    </row>
    <row r="65" spans="3:20" ht="21.75" thickBot="1">
      <c r="C65" s="922"/>
      <c r="D65" s="545"/>
      <c r="E65" s="546"/>
      <c r="T65" s="145"/>
    </row>
    <row r="66" spans="3:20" ht="21.75" thickBot="1">
      <c r="C66" s="922"/>
      <c r="D66" s="545"/>
      <c r="E66" s="546"/>
      <c r="T66" s="145"/>
    </row>
    <row r="67" spans="3:20" ht="21.75" thickBot="1">
      <c r="C67" s="922"/>
      <c r="D67" s="545"/>
      <c r="E67" s="546"/>
      <c r="T67" s="145"/>
    </row>
    <row r="68" spans="3:20" ht="21.75" thickBot="1">
      <c r="C68" s="923"/>
      <c r="D68" s="545"/>
      <c r="E68" s="546"/>
      <c r="T68" s="145"/>
    </row>
    <row r="69" spans="3:20" ht="21.75" thickBot="1">
      <c r="C69" s="924"/>
      <c r="D69" s="545"/>
      <c r="E69" s="546"/>
      <c r="T69" s="145"/>
    </row>
    <row r="70" spans="3:20" ht="21.75" thickBot="1">
      <c r="C70" s="924"/>
      <c r="D70" s="545"/>
      <c r="E70" s="546"/>
      <c r="T70" s="145"/>
    </row>
    <row r="71" spans="3:20" ht="21.75" thickBot="1">
      <c r="C71" s="925"/>
      <c r="D71" s="545"/>
      <c r="E71" s="546"/>
      <c r="T71" s="145"/>
    </row>
    <row r="72" spans="3:20">
      <c r="C72" s="921"/>
      <c r="D72" s="921"/>
      <c r="E72" s="549"/>
      <c r="T72" s="145"/>
    </row>
    <row r="73" spans="3:20">
      <c r="C73" s="544"/>
      <c r="D73" s="544"/>
      <c r="E73" s="550"/>
      <c r="T73" s="145"/>
    </row>
  </sheetData>
  <mergeCells count="29">
    <mergeCell ref="A1:Q1"/>
    <mergeCell ref="A3:A5"/>
    <mergeCell ref="B3:B5"/>
    <mergeCell ref="P3:P5"/>
    <mergeCell ref="Q3:Q5"/>
    <mergeCell ref="C4:C5"/>
    <mergeCell ref="D4:D5"/>
    <mergeCell ref="O3:O5"/>
    <mergeCell ref="E4:E5"/>
    <mergeCell ref="F4:F5"/>
    <mergeCell ref="J4:J5"/>
    <mergeCell ref="M4:M5"/>
    <mergeCell ref="C3:N3"/>
    <mergeCell ref="R3:R4"/>
    <mergeCell ref="L38:N38"/>
    <mergeCell ref="C72:D72"/>
    <mergeCell ref="C65:C67"/>
    <mergeCell ref="C68:C71"/>
    <mergeCell ref="C45:C51"/>
    <mergeCell ref="C52:C60"/>
    <mergeCell ref="C61:C64"/>
    <mergeCell ref="I4:I5"/>
    <mergeCell ref="D43:D44"/>
    <mergeCell ref="E43:E44"/>
    <mergeCell ref="L4:L5"/>
    <mergeCell ref="K4:K5"/>
    <mergeCell ref="G4:G5"/>
    <mergeCell ref="H4:H5"/>
    <mergeCell ref="N4:N5"/>
  </mergeCells>
  <phoneticPr fontId="68" type="noConversion"/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5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EF92CB14-2AAD-4270-9CD9-D19458E046AA}">
            <xm:f>NOT(ISERROR(SEARCH(FALSE,C37)))</xm:f>
            <xm:f>FALSE</xm:f>
            <x14:dxf>
              <font>
                <color auto="1"/>
              </font>
              <fill>
                <patternFill>
                  <bgColor rgb="FFFFC7CE"/>
                </patternFill>
              </fill>
            </x14:dxf>
          </x14:cfRule>
          <x14:cfRule type="containsText" priority="2" operator="containsText" id="{3DE46009-72FB-4F4D-AD56-35775ABEB9FA}">
            <xm:f>NOT(ISERROR(SEARCH(TRUE,C37)))</xm:f>
            <xm:f>TRUE</xm:f>
            <x14:dxf>
              <font>
                <color auto="1"/>
              </font>
              <fill>
                <patternFill>
                  <bgColor theme="6" tint="0.39994506668294322"/>
                </patternFill>
              </fill>
            </x14:dxf>
          </x14:cfRule>
          <xm:sqref>C37:O37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4">
    <tabColor rgb="FF2A5664"/>
  </sheetPr>
  <dimension ref="A1:GO98"/>
  <sheetViews>
    <sheetView showGridLines="0" zoomScale="60" zoomScaleNormal="60" zoomScaleSheetLayoutView="85" workbookViewId="0">
      <pane xSplit="1" topLeftCell="FL1" activePane="topRight" state="frozen"/>
      <selection activeCell="DQ31" sqref="DQ31:DV31"/>
      <selection pane="topRight" activeCell="DQ31" sqref="DQ31:DV31"/>
    </sheetView>
  </sheetViews>
  <sheetFormatPr defaultColWidth="9.140625" defaultRowHeight="15"/>
  <cols>
    <col min="1" max="1" width="19.140625" style="145" bestFit="1" customWidth="1"/>
    <col min="2" max="182" width="17.5703125" style="145" customWidth="1"/>
    <col min="183" max="183" width="18.5703125" style="145" bestFit="1" customWidth="1"/>
    <col min="184" max="191" width="17.5703125" style="145" customWidth="1"/>
    <col min="192" max="192" width="9.140625" style="145" customWidth="1"/>
    <col min="193" max="16384" width="9.140625" style="145"/>
  </cols>
  <sheetData>
    <row r="1" spans="1:197" s="566" customFormat="1">
      <c r="A1" s="939" t="s">
        <v>172</v>
      </c>
      <c r="B1" s="938">
        <v>117610</v>
      </c>
      <c r="C1" s="938"/>
      <c r="D1" s="938"/>
      <c r="E1" s="938"/>
      <c r="F1" s="938"/>
      <c r="G1" s="938"/>
      <c r="H1" s="938"/>
      <c r="I1" s="937">
        <v>117245</v>
      </c>
      <c r="J1" s="937"/>
      <c r="K1" s="937"/>
      <c r="L1" s="937"/>
      <c r="M1" s="937"/>
      <c r="N1" s="937"/>
      <c r="O1" s="937"/>
      <c r="P1" s="938">
        <v>117641</v>
      </c>
      <c r="Q1" s="938"/>
      <c r="R1" s="938"/>
      <c r="S1" s="938"/>
      <c r="T1" s="938"/>
      <c r="U1" s="938"/>
      <c r="V1" s="938"/>
      <c r="W1" s="937">
        <v>117276</v>
      </c>
      <c r="X1" s="937"/>
      <c r="Y1" s="937"/>
      <c r="Z1" s="937"/>
      <c r="AA1" s="937"/>
      <c r="AB1" s="937"/>
      <c r="AC1" s="937"/>
      <c r="AD1" s="938">
        <v>117669</v>
      </c>
      <c r="AE1" s="938"/>
      <c r="AF1" s="938"/>
      <c r="AG1" s="938"/>
      <c r="AH1" s="938"/>
      <c r="AI1" s="938"/>
      <c r="AJ1" s="938"/>
      <c r="AK1" s="937">
        <v>117304</v>
      </c>
      <c r="AL1" s="937"/>
      <c r="AM1" s="937"/>
      <c r="AN1" s="937"/>
      <c r="AO1" s="937"/>
      <c r="AP1" s="937"/>
      <c r="AQ1" s="937"/>
      <c r="AR1" s="938">
        <v>117700</v>
      </c>
      <c r="AS1" s="938"/>
      <c r="AT1" s="938"/>
      <c r="AU1" s="938"/>
      <c r="AV1" s="938"/>
      <c r="AW1" s="938"/>
      <c r="AX1" s="938"/>
      <c r="AY1" s="937">
        <v>117335</v>
      </c>
      <c r="AZ1" s="937"/>
      <c r="BA1" s="937"/>
      <c r="BB1" s="937"/>
      <c r="BC1" s="937"/>
      <c r="BD1" s="937"/>
      <c r="BE1" s="937"/>
      <c r="BF1" s="938">
        <v>117730</v>
      </c>
      <c r="BG1" s="938"/>
      <c r="BH1" s="938"/>
      <c r="BI1" s="938"/>
      <c r="BJ1" s="938"/>
      <c r="BK1" s="938"/>
      <c r="BL1" s="938"/>
      <c r="BM1" s="937">
        <v>117365</v>
      </c>
      <c r="BN1" s="937"/>
      <c r="BO1" s="937"/>
      <c r="BP1" s="937"/>
      <c r="BQ1" s="937"/>
      <c r="BR1" s="937"/>
      <c r="BS1" s="937"/>
      <c r="BT1" s="938">
        <v>117761</v>
      </c>
      <c r="BU1" s="938"/>
      <c r="BV1" s="938"/>
      <c r="BW1" s="938"/>
      <c r="BX1" s="938"/>
      <c r="BY1" s="938"/>
      <c r="BZ1" s="938"/>
      <c r="CA1" s="937">
        <v>117396</v>
      </c>
      <c r="CB1" s="937"/>
      <c r="CC1" s="937"/>
      <c r="CD1" s="937"/>
      <c r="CE1" s="937"/>
      <c r="CF1" s="937"/>
      <c r="CG1" s="937"/>
      <c r="CH1" s="938">
        <v>117791</v>
      </c>
      <c r="CI1" s="938"/>
      <c r="CJ1" s="938"/>
      <c r="CK1" s="938"/>
      <c r="CL1" s="938"/>
      <c r="CM1" s="938"/>
      <c r="CN1" s="938"/>
      <c r="CO1" s="937">
        <v>117426</v>
      </c>
      <c r="CP1" s="937"/>
      <c r="CQ1" s="937"/>
      <c r="CR1" s="937"/>
      <c r="CS1" s="937"/>
      <c r="CT1" s="937"/>
      <c r="CU1" s="937"/>
      <c r="CV1" s="938">
        <v>117822</v>
      </c>
      <c r="CW1" s="938"/>
      <c r="CX1" s="938"/>
      <c r="CY1" s="938"/>
      <c r="CZ1" s="938"/>
      <c r="DA1" s="938"/>
      <c r="DB1" s="938"/>
      <c r="DC1" s="937">
        <v>117457</v>
      </c>
      <c r="DD1" s="937"/>
      <c r="DE1" s="937"/>
      <c r="DF1" s="937"/>
      <c r="DG1" s="937"/>
      <c r="DH1" s="937"/>
      <c r="DI1" s="937"/>
      <c r="DJ1" s="938">
        <v>117853</v>
      </c>
      <c r="DK1" s="938"/>
      <c r="DL1" s="938"/>
      <c r="DM1" s="938"/>
      <c r="DN1" s="938"/>
      <c r="DO1" s="938"/>
      <c r="DP1" s="938"/>
      <c r="DQ1" s="937">
        <v>117488</v>
      </c>
      <c r="DR1" s="937"/>
      <c r="DS1" s="937"/>
      <c r="DT1" s="937"/>
      <c r="DU1" s="937"/>
      <c r="DV1" s="937"/>
      <c r="DW1" s="937"/>
      <c r="DX1" s="938">
        <v>117883</v>
      </c>
      <c r="DY1" s="938"/>
      <c r="DZ1" s="938"/>
      <c r="EA1" s="938"/>
      <c r="EB1" s="938"/>
      <c r="EC1" s="938"/>
      <c r="ED1" s="938"/>
      <c r="EE1" s="937">
        <v>117518</v>
      </c>
      <c r="EF1" s="937"/>
      <c r="EG1" s="937"/>
      <c r="EH1" s="937"/>
      <c r="EI1" s="937"/>
      <c r="EJ1" s="937"/>
      <c r="EK1" s="937"/>
      <c r="EL1" s="938">
        <v>117914</v>
      </c>
      <c r="EM1" s="938"/>
      <c r="EN1" s="938"/>
      <c r="EO1" s="938"/>
      <c r="EP1" s="938"/>
      <c r="EQ1" s="938"/>
      <c r="ER1" s="938"/>
      <c r="ES1" s="937">
        <v>117549</v>
      </c>
      <c r="ET1" s="937"/>
      <c r="EU1" s="937"/>
      <c r="EV1" s="937"/>
      <c r="EW1" s="937"/>
      <c r="EX1" s="937"/>
      <c r="EY1" s="937"/>
      <c r="EZ1" s="938">
        <v>117944</v>
      </c>
      <c r="FA1" s="938"/>
      <c r="FB1" s="938"/>
      <c r="FC1" s="938"/>
      <c r="FD1" s="938"/>
      <c r="FE1" s="938"/>
      <c r="FF1" s="938"/>
      <c r="FG1" s="937">
        <v>117579</v>
      </c>
      <c r="FH1" s="937"/>
      <c r="FI1" s="937"/>
      <c r="FJ1" s="937"/>
      <c r="FK1" s="937"/>
      <c r="FL1" s="937"/>
      <c r="FM1" s="948"/>
      <c r="FN1" s="941" t="s">
        <v>587</v>
      </c>
      <c r="FO1" s="942"/>
      <c r="FP1" s="942"/>
      <c r="FQ1" s="942"/>
      <c r="FR1" s="942"/>
      <c r="FS1" s="942"/>
      <c r="FT1" s="943"/>
      <c r="FU1" s="944" t="s">
        <v>438</v>
      </c>
      <c r="FV1" s="945"/>
      <c r="FW1" s="946"/>
      <c r="FX1" s="946"/>
      <c r="FY1" s="946"/>
      <c r="FZ1" s="946"/>
      <c r="GA1" s="947"/>
      <c r="GB1" s="944" t="s">
        <v>565</v>
      </c>
      <c r="GC1" s="945"/>
      <c r="GD1" s="946"/>
      <c r="GE1" s="946"/>
      <c r="GF1" s="946"/>
      <c r="GG1" s="946"/>
      <c r="GH1" s="947"/>
    </row>
    <row r="2" spans="1:197" s="566" customFormat="1" ht="30">
      <c r="A2" s="940"/>
      <c r="B2" s="722" t="s">
        <v>534</v>
      </c>
      <c r="C2" s="722" t="s">
        <v>535</v>
      </c>
      <c r="D2" s="722" t="s">
        <v>533</v>
      </c>
      <c r="E2" s="722" t="s">
        <v>536</v>
      </c>
      <c r="F2" s="722" t="s">
        <v>28</v>
      </c>
      <c r="G2" s="722" t="s">
        <v>132</v>
      </c>
      <c r="H2" s="722" t="s">
        <v>118</v>
      </c>
      <c r="I2" s="722" t="s">
        <v>534</v>
      </c>
      <c r="J2" s="722" t="s">
        <v>535</v>
      </c>
      <c r="K2" s="722" t="s">
        <v>533</v>
      </c>
      <c r="L2" s="722" t="s">
        <v>536</v>
      </c>
      <c r="M2" s="722" t="s">
        <v>28</v>
      </c>
      <c r="N2" s="722" t="s">
        <v>132</v>
      </c>
      <c r="O2" s="722" t="s">
        <v>118</v>
      </c>
      <c r="P2" s="722" t="s">
        <v>534</v>
      </c>
      <c r="Q2" s="722" t="s">
        <v>535</v>
      </c>
      <c r="R2" s="722" t="s">
        <v>533</v>
      </c>
      <c r="S2" s="722" t="s">
        <v>536</v>
      </c>
      <c r="T2" s="722" t="s">
        <v>28</v>
      </c>
      <c r="U2" s="722" t="s">
        <v>132</v>
      </c>
      <c r="V2" s="722" t="s">
        <v>118</v>
      </c>
      <c r="W2" s="722" t="s">
        <v>534</v>
      </c>
      <c r="X2" s="722" t="s">
        <v>535</v>
      </c>
      <c r="Y2" s="722" t="s">
        <v>533</v>
      </c>
      <c r="Z2" s="722" t="s">
        <v>536</v>
      </c>
      <c r="AA2" s="722" t="s">
        <v>28</v>
      </c>
      <c r="AB2" s="722" t="s">
        <v>132</v>
      </c>
      <c r="AC2" s="722" t="s">
        <v>118</v>
      </c>
      <c r="AD2" s="722" t="s">
        <v>534</v>
      </c>
      <c r="AE2" s="722" t="s">
        <v>535</v>
      </c>
      <c r="AF2" s="722" t="s">
        <v>533</v>
      </c>
      <c r="AG2" s="722" t="s">
        <v>536</v>
      </c>
      <c r="AH2" s="722" t="s">
        <v>28</v>
      </c>
      <c r="AI2" s="722" t="s">
        <v>132</v>
      </c>
      <c r="AJ2" s="722" t="s">
        <v>118</v>
      </c>
      <c r="AK2" s="722" t="s">
        <v>534</v>
      </c>
      <c r="AL2" s="722" t="s">
        <v>535</v>
      </c>
      <c r="AM2" s="722" t="s">
        <v>533</v>
      </c>
      <c r="AN2" s="722" t="s">
        <v>536</v>
      </c>
      <c r="AO2" s="722" t="s">
        <v>28</v>
      </c>
      <c r="AP2" s="722" t="s">
        <v>132</v>
      </c>
      <c r="AQ2" s="722" t="s">
        <v>118</v>
      </c>
      <c r="AR2" s="722" t="s">
        <v>534</v>
      </c>
      <c r="AS2" s="722" t="s">
        <v>535</v>
      </c>
      <c r="AT2" s="722" t="s">
        <v>533</v>
      </c>
      <c r="AU2" s="722" t="s">
        <v>536</v>
      </c>
      <c r="AV2" s="722" t="s">
        <v>28</v>
      </c>
      <c r="AW2" s="722" t="s">
        <v>132</v>
      </c>
      <c r="AX2" s="722" t="s">
        <v>118</v>
      </c>
      <c r="AY2" s="722" t="s">
        <v>534</v>
      </c>
      <c r="AZ2" s="722" t="s">
        <v>535</v>
      </c>
      <c r="BA2" s="722" t="s">
        <v>533</v>
      </c>
      <c r="BB2" s="722" t="s">
        <v>536</v>
      </c>
      <c r="BC2" s="722" t="s">
        <v>28</v>
      </c>
      <c r="BD2" s="722" t="s">
        <v>132</v>
      </c>
      <c r="BE2" s="722" t="s">
        <v>118</v>
      </c>
      <c r="BF2" s="722" t="s">
        <v>534</v>
      </c>
      <c r="BG2" s="722" t="s">
        <v>535</v>
      </c>
      <c r="BH2" s="722" t="s">
        <v>533</v>
      </c>
      <c r="BI2" s="722" t="s">
        <v>536</v>
      </c>
      <c r="BJ2" s="722" t="s">
        <v>28</v>
      </c>
      <c r="BK2" s="722" t="s">
        <v>132</v>
      </c>
      <c r="BL2" s="722" t="s">
        <v>118</v>
      </c>
      <c r="BM2" s="722" t="s">
        <v>534</v>
      </c>
      <c r="BN2" s="722" t="s">
        <v>535</v>
      </c>
      <c r="BO2" s="722" t="s">
        <v>533</v>
      </c>
      <c r="BP2" s="722" t="s">
        <v>536</v>
      </c>
      <c r="BQ2" s="722" t="s">
        <v>28</v>
      </c>
      <c r="BR2" s="722" t="s">
        <v>132</v>
      </c>
      <c r="BS2" s="722" t="s">
        <v>118</v>
      </c>
      <c r="BT2" s="722" t="s">
        <v>534</v>
      </c>
      <c r="BU2" s="722" t="s">
        <v>535</v>
      </c>
      <c r="BV2" s="722" t="s">
        <v>533</v>
      </c>
      <c r="BW2" s="722" t="s">
        <v>536</v>
      </c>
      <c r="BX2" s="722" t="s">
        <v>28</v>
      </c>
      <c r="BY2" s="722" t="s">
        <v>132</v>
      </c>
      <c r="BZ2" s="722" t="s">
        <v>118</v>
      </c>
      <c r="CA2" s="722" t="s">
        <v>534</v>
      </c>
      <c r="CB2" s="722" t="s">
        <v>535</v>
      </c>
      <c r="CC2" s="722" t="s">
        <v>533</v>
      </c>
      <c r="CD2" s="722" t="s">
        <v>536</v>
      </c>
      <c r="CE2" s="722" t="s">
        <v>28</v>
      </c>
      <c r="CF2" s="722" t="s">
        <v>132</v>
      </c>
      <c r="CG2" s="722" t="s">
        <v>118</v>
      </c>
      <c r="CH2" s="722" t="s">
        <v>534</v>
      </c>
      <c r="CI2" s="722" t="s">
        <v>535</v>
      </c>
      <c r="CJ2" s="722" t="s">
        <v>533</v>
      </c>
      <c r="CK2" s="722" t="s">
        <v>536</v>
      </c>
      <c r="CL2" s="722" t="s">
        <v>28</v>
      </c>
      <c r="CM2" s="722" t="s">
        <v>132</v>
      </c>
      <c r="CN2" s="722" t="s">
        <v>118</v>
      </c>
      <c r="CO2" s="722" t="s">
        <v>534</v>
      </c>
      <c r="CP2" s="722" t="s">
        <v>535</v>
      </c>
      <c r="CQ2" s="722" t="s">
        <v>533</v>
      </c>
      <c r="CR2" s="722" t="s">
        <v>536</v>
      </c>
      <c r="CS2" s="722" t="s">
        <v>28</v>
      </c>
      <c r="CT2" s="722" t="s">
        <v>132</v>
      </c>
      <c r="CU2" s="722" t="s">
        <v>118</v>
      </c>
      <c r="CV2" s="722" t="s">
        <v>534</v>
      </c>
      <c r="CW2" s="722" t="s">
        <v>535</v>
      </c>
      <c r="CX2" s="722" t="s">
        <v>533</v>
      </c>
      <c r="CY2" s="722" t="s">
        <v>536</v>
      </c>
      <c r="CZ2" s="722" t="s">
        <v>28</v>
      </c>
      <c r="DA2" s="722" t="s">
        <v>132</v>
      </c>
      <c r="DB2" s="722" t="s">
        <v>118</v>
      </c>
      <c r="DC2" s="722" t="s">
        <v>534</v>
      </c>
      <c r="DD2" s="722" t="s">
        <v>535</v>
      </c>
      <c r="DE2" s="722" t="s">
        <v>533</v>
      </c>
      <c r="DF2" s="722" t="s">
        <v>536</v>
      </c>
      <c r="DG2" s="722" t="s">
        <v>28</v>
      </c>
      <c r="DH2" s="722" t="s">
        <v>132</v>
      </c>
      <c r="DI2" s="722" t="s">
        <v>118</v>
      </c>
      <c r="DJ2" s="722" t="s">
        <v>534</v>
      </c>
      <c r="DK2" s="722" t="s">
        <v>535</v>
      </c>
      <c r="DL2" s="722" t="s">
        <v>533</v>
      </c>
      <c r="DM2" s="722" t="s">
        <v>536</v>
      </c>
      <c r="DN2" s="722" t="s">
        <v>28</v>
      </c>
      <c r="DO2" s="722" t="s">
        <v>132</v>
      </c>
      <c r="DP2" s="722" t="s">
        <v>118</v>
      </c>
      <c r="DQ2" s="722" t="s">
        <v>534</v>
      </c>
      <c r="DR2" s="722" t="s">
        <v>535</v>
      </c>
      <c r="DS2" s="722" t="s">
        <v>533</v>
      </c>
      <c r="DT2" s="722" t="s">
        <v>536</v>
      </c>
      <c r="DU2" s="722" t="s">
        <v>28</v>
      </c>
      <c r="DV2" s="722" t="s">
        <v>132</v>
      </c>
      <c r="DW2" s="722" t="s">
        <v>118</v>
      </c>
      <c r="DX2" s="722" t="s">
        <v>534</v>
      </c>
      <c r="DY2" s="722" t="s">
        <v>535</v>
      </c>
      <c r="DZ2" s="722" t="s">
        <v>533</v>
      </c>
      <c r="EA2" s="722" t="s">
        <v>536</v>
      </c>
      <c r="EB2" s="722" t="s">
        <v>28</v>
      </c>
      <c r="EC2" s="722" t="s">
        <v>132</v>
      </c>
      <c r="ED2" s="722" t="s">
        <v>118</v>
      </c>
      <c r="EE2" s="722" t="s">
        <v>534</v>
      </c>
      <c r="EF2" s="722" t="s">
        <v>535</v>
      </c>
      <c r="EG2" s="722" t="s">
        <v>533</v>
      </c>
      <c r="EH2" s="722" t="s">
        <v>536</v>
      </c>
      <c r="EI2" s="722" t="s">
        <v>28</v>
      </c>
      <c r="EJ2" s="722" t="s">
        <v>132</v>
      </c>
      <c r="EK2" s="722" t="s">
        <v>118</v>
      </c>
      <c r="EL2" s="722" t="s">
        <v>534</v>
      </c>
      <c r="EM2" s="722" t="s">
        <v>535</v>
      </c>
      <c r="EN2" s="722" t="s">
        <v>533</v>
      </c>
      <c r="EO2" s="722" t="s">
        <v>536</v>
      </c>
      <c r="EP2" s="722" t="s">
        <v>28</v>
      </c>
      <c r="EQ2" s="722" t="s">
        <v>132</v>
      </c>
      <c r="ER2" s="722" t="s">
        <v>118</v>
      </c>
      <c r="ES2" s="722" t="s">
        <v>534</v>
      </c>
      <c r="ET2" s="722" t="s">
        <v>535</v>
      </c>
      <c r="EU2" s="722" t="s">
        <v>533</v>
      </c>
      <c r="EV2" s="722" t="s">
        <v>536</v>
      </c>
      <c r="EW2" s="722" t="s">
        <v>28</v>
      </c>
      <c r="EX2" s="722" t="s">
        <v>132</v>
      </c>
      <c r="EY2" s="722" t="s">
        <v>118</v>
      </c>
      <c r="EZ2" s="722" t="s">
        <v>534</v>
      </c>
      <c r="FA2" s="722" t="s">
        <v>535</v>
      </c>
      <c r="FB2" s="722" t="s">
        <v>533</v>
      </c>
      <c r="FC2" s="722" t="s">
        <v>536</v>
      </c>
      <c r="FD2" s="722" t="s">
        <v>28</v>
      </c>
      <c r="FE2" s="722" t="s">
        <v>132</v>
      </c>
      <c r="FF2" s="722" t="s">
        <v>118</v>
      </c>
      <c r="FG2" s="722" t="s">
        <v>534</v>
      </c>
      <c r="FH2" s="722" t="s">
        <v>535</v>
      </c>
      <c r="FI2" s="722" t="s">
        <v>533</v>
      </c>
      <c r="FJ2" s="722" t="s">
        <v>536</v>
      </c>
      <c r="FK2" s="722" t="s">
        <v>28</v>
      </c>
      <c r="FL2" s="722" t="s">
        <v>132</v>
      </c>
      <c r="FM2" s="723" t="s">
        <v>118</v>
      </c>
      <c r="FN2" s="722" t="s">
        <v>534</v>
      </c>
      <c r="FO2" s="722" t="s">
        <v>535</v>
      </c>
      <c r="FP2" s="722" t="s">
        <v>533</v>
      </c>
      <c r="FQ2" s="722" t="s">
        <v>536</v>
      </c>
      <c r="FR2" s="722" t="s">
        <v>28</v>
      </c>
      <c r="FS2" s="722" t="s">
        <v>132</v>
      </c>
      <c r="FT2" s="722" t="s">
        <v>118</v>
      </c>
      <c r="FU2" s="722" t="s">
        <v>534</v>
      </c>
      <c r="FV2" s="722" t="s">
        <v>535</v>
      </c>
      <c r="FW2" s="722" t="s">
        <v>533</v>
      </c>
      <c r="FX2" s="722" t="s">
        <v>536</v>
      </c>
      <c r="FY2" s="722" t="s">
        <v>28</v>
      </c>
      <c r="FZ2" s="722" t="s">
        <v>132</v>
      </c>
      <c r="GA2" s="723" t="s">
        <v>118</v>
      </c>
      <c r="GB2" s="722" t="s">
        <v>534</v>
      </c>
      <c r="GC2" s="722" t="s">
        <v>535</v>
      </c>
      <c r="GD2" s="722" t="s">
        <v>533</v>
      </c>
      <c r="GE2" s="722" t="s">
        <v>536</v>
      </c>
      <c r="GF2" s="323" t="s">
        <v>28</v>
      </c>
      <c r="GG2" s="323" t="s">
        <v>132</v>
      </c>
      <c r="GH2" s="329" t="s">
        <v>118</v>
      </c>
    </row>
    <row r="3" spans="1:197" s="566" customFormat="1">
      <c r="A3" s="319" t="s">
        <v>77</v>
      </c>
      <c r="B3" s="208">
        <f>VLOOKUP($A$3:$A$29,JAN!$A$5:$B$31,2,)</f>
        <v>13954.04</v>
      </c>
      <c r="C3" s="208">
        <f>VLOOKUP($A$3:$A$29,JAN!$A$5:$C$31,3,)</f>
        <v>6155.8240000000023</v>
      </c>
      <c r="D3" s="208">
        <f>VLOOKUP($A$3:$A$29,JAN!$A$5:$D$31,4,)</f>
        <v>831.87199999999996</v>
      </c>
      <c r="E3" s="208">
        <f>VLOOKUP($A$3:$A$29,JAN!$A$5:$E$31,5,)</f>
        <v>545.5440000000001</v>
      </c>
      <c r="F3" s="208">
        <f>VLOOKUP($A$3:$A$29,JAN!$A$5:$X$32,23,)</f>
        <v>15506.807999999999</v>
      </c>
      <c r="G3" s="208">
        <f>VLOOKUP($A$3:$A$29,JAN!$A$5:$X$32,24,)</f>
        <v>1973.5680000000002</v>
      </c>
      <c r="H3" s="209">
        <f t="shared" ref="H3:H32" si="0">SUM(B3:G3)</f>
        <v>38967.656000000003</v>
      </c>
      <c r="I3" s="208">
        <f>B36</f>
        <v>14633.376000000002</v>
      </c>
      <c r="J3" s="208">
        <f t="shared" ref="J3:N3" si="1">C36</f>
        <v>4688.9599999999982</v>
      </c>
      <c r="K3" s="208">
        <f t="shared" si="1"/>
        <v>2197.4479999999999</v>
      </c>
      <c r="L3" s="208">
        <f t="shared" si="1"/>
        <v>314.27999999999997</v>
      </c>
      <c r="M3" s="208">
        <f t="shared" si="1"/>
        <v>14781.640000000001</v>
      </c>
      <c r="N3" s="208">
        <f t="shared" si="1"/>
        <v>1917.5600000000015</v>
      </c>
      <c r="O3" s="209">
        <f t="shared" ref="O3:O29" si="2">SUM(I3:N3)</f>
        <v>38533.264000000003</v>
      </c>
      <c r="P3" s="208">
        <f>VLOOKUP($A$3:$A$29,FEV!$A$5:$B$31,2,)</f>
        <v>21182.608</v>
      </c>
      <c r="Q3" s="208">
        <f>VLOOKUP($A$3:$A$29,FEV!$A$5:$C$31,3,)</f>
        <v>11930.32</v>
      </c>
      <c r="R3" s="208">
        <f>VLOOKUP($A$3:$A$29,FEV!$A$5:$D$31,4,)</f>
        <v>1217.376</v>
      </c>
      <c r="S3" s="208">
        <f>VLOOKUP($A$3:$A$29,FEV!$A$5:$E$31,5,)</f>
        <v>713.68000000000018</v>
      </c>
      <c r="T3" s="208">
        <f>VLOOKUP($A$3:$A$29,FEV!$A$5:$X$32,23,)</f>
        <v>16757.471999999998</v>
      </c>
      <c r="U3" s="208">
        <f>VLOOKUP($A$3:$A$29,FEV!$A$5:$X$32,24,)</f>
        <v>3646.0640000000003</v>
      </c>
      <c r="V3" s="209">
        <f>SUM(P3:U3)</f>
        <v>55447.51999999999</v>
      </c>
      <c r="W3" s="208">
        <f>P36</f>
        <v>16068.44</v>
      </c>
      <c r="X3" s="208">
        <f t="shared" ref="X3:AB18" si="3">Q36</f>
        <v>4609.376000000002</v>
      </c>
      <c r="Y3" s="208">
        <f t="shared" si="3"/>
        <v>411.416</v>
      </c>
      <c r="Z3" s="208">
        <f t="shared" si="3"/>
        <v>0</v>
      </c>
      <c r="AA3" s="208">
        <f t="shared" si="3"/>
        <v>13877.864000000001</v>
      </c>
      <c r="AB3" s="208">
        <f t="shared" si="3"/>
        <v>1021.6320000000001</v>
      </c>
      <c r="AC3" s="209">
        <f t="shared" ref="AC3:AC29" si="4">SUM(W3:AB3)</f>
        <v>35988.728000000003</v>
      </c>
      <c r="AD3" s="208">
        <f>VLOOKUP($A$3:$A$29,MAR!$A$5:$B$31,2,)</f>
        <v>22564.648000000001</v>
      </c>
      <c r="AE3" s="208">
        <f>VLOOKUP($A$3:$A$29,MAR!$A$5:$C$31,3,)</f>
        <v>10044.896000000001</v>
      </c>
      <c r="AF3" s="208">
        <f>VLOOKUP($A$3:$A$29,MAR!$A$5:$D$31,4,)</f>
        <v>328.00800000000004</v>
      </c>
      <c r="AG3" s="208">
        <f>VLOOKUP($A$3:$A$29,MAR!$A$5:$E$31,5,)</f>
        <v>872.06399999999996</v>
      </c>
      <c r="AH3" s="208">
        <f>VLOOKUP($A$3:$A$29,MAR!$A$5:$X$32,23,)</f>
        <v>23390.088</v>
      </c>
      <c r="AI3" s="208">
        <f>VLOOKUP($A$3:$A$29,MAR!$A$5:$X$32,24,)</f>
        <v>4330.0239999999994</v>
      </c>
      <c r="AJ3" s="209">
        <f t="shared" ref="AJ3:AJ29" si="5">SUM(AD3:AI3)</f>
        <v>61529.727999999996</v>
      </c>
      <c r="AK3" s="208">
        <f>AD36</f>
        <v>16717.024000000001</v>
      </c>
      <c r="AL3" s="208">
        <f t="shared" ref="AL3:AP3" si="6">AE36</f>
        <v>3356.6160000000013</v>
      </c>
      <c r="AM3" s="208">
        <f t="shared" si="6"/>
        <v>1645.664</v>
      </c>
      <c r="AN3" s="208">
        <f t="shared" si="6"/>
        <v>1192.768</v>
      </c>
      <c r="AO3" s="208">
        <f t="shared" si="6"/>
        <v>16690.68</v>
      </c>
      <c r="AP3" s="208">
        <f t="shared" si="6"/>
        <v>711.36000000000013</v>
      </c>
      <c r="AQ3" s="209">
        <f t="shared" ref="AQ3:AQ29" si="7">SUM(AK3:AP3)</f>
        <v>40314.112000000008</v>
      </c>
      <c r="AR3" s="208">
        <f>ABR!S5</f>
        <v>14084.392000000002</v>
      </c>
      <c r="AS3" s="208">
        <f>ABR!T5</f>
        <v>7100.2000000000007</v>
      </c>
      <c r="AT3" s="208">
        <f>ABR!U5</f>
        <v>721.12</v>
      </c>
      <c r="AU3" s="208">
        <f>ABR!V5</f>
        <v>873.6</v>
      </c>
      <c r="AV3" s="208">
        <f>ABR!W5</f>
        <v>17042.592000000001</v>
      </c>
      <c r="AW3" s="208">
        <f>ABR!X5</f>
        <v>2913.52</v>
      </c>
      <c r="AX3" s="209">
        <f t="shared" ref="AX3:AX29" si="8">SUM(AR3:AW3)</f>
        <v>42735.423999999999</v>
      </c>
      <c r="AY3" s="208">
        <f>AR36</f>
        <v>13891.023999999999</v>
      </c>
      <c r="AZ3" s="208">
        <f t="shared" ref="AZ3:BD18" si="9">AS36</f>
        <v>2769.1040000000012</v>
      </c>
      <c r="BA3" s="208">
        <f t="shared" si="9"/>
        <v>1727.9520000000002</v>
      </c>
      <c r="BB3" s="208">
        <f t="shared" si="9"/>
        <v>1271.2079999999999</v>
      </c>
      <c r="BC3" s="208">
        <f t="shared" si="9"/>
        <v>17787.72</v>
      </c>
      <c r="BD3" s="208">
        <f t="shared" si="9"/>
        <v>1624.3200000000002</v>
      </c>
      <c r="BE3" s="209">
        <f t="shared" ref="BE3:BE29" si="10">SUM(AY3:BD3)</f>
        <v>39071.328000000001</v>
      </c>
      <c r="BF3" s="208">
        <f>MAI!S5</f>
        <v>20661.968000000001</v>
      </c>
      <c r="BG3" s="208">
        <f>MAI!T5</f>
        <v>9385.2960000000003</v>
      </c>
      <c r="BH3" s="208">
        <f>MAI!U5</f>
        <v>935.5680000000001</v>
      </c>
      <c r="BI3" s="208">
        <f>MAI!V5</f>
        <v>297.608</v>
      </c>
      <c r="BJ3" s="208">
        <f>MAI!W5</f>
        <v>23998.752000000004</v>
      </c>
      <c r="BK3" s="208">
        <f>MAI!X5</f>
        <v>3701.5520000000006</v>
      </c>
      <c r="BL3" s="209">
        <f t="shared" ref="BL3:BL29" si="11">SUM(BF3:BK3)</f>
        <v>58980.744000000013</v>
      </c>
      <c r="BM3" s="208">
        <f>BF36</f>
        <v>14600.392000000002</v>
      </c>
      <c r="BN3" s="208">
        <f t="shared" ref="BN3:BR3" si="12">BG36</f>
        <v>1787.879999999999</v>
      </c>
      <c r="BO3" s="208">
        <f t="shared" si="12"/>
        <v>1611.3760000000002</v>
      </c>
      <c r="BP3" s="208">
        <f t="shared" si="12"/>
        <v>422.8159999999998</v>
      </c>
      <c r="BQ3" s="208">
        <f t="shared" si="12"/>
        <v>27112.560000000001</v>
      </c>
      <c r="BR3" s="208">
        <f t="shared" si="12"/>
        <v>2014.2720000000002</v>
      </c>
      <c r="BS3" s="209">
        <f t="shared" ref="BS3:BS29" si="13">SUM(BM3:BR3)</f>
        <v>47549.296000000002</v>
      </c>
      <c r="BT3" s="208">
        <f>JUN!S5</f>
        <v>18805.28</v>
      </c>
      <c r="BU3" s="208">
        <f>JUN!T5</f>
        <v>5531.6800000000021</v>
      </c>
      <c r="BV3" s="208">
        <f>JUN!U5</f>
        <v>811.58400000000006</v>
      </c>
      <c r="BW3" s="208">
        <f>JUN!V5</f>
        <v>1414.1599999999999</v>
      </c>
      <c r="BX3" s="208">
        <f>JUN!W5</f>
        <v>28868.064000000002</v>
      </c>
      <c r="BY3" s="208">
        <f>JUN!X5</f>
        <v>2419.04</v>
      </c>
      <c r="BZ3" s="209">
        <f t="shared" ref="BZ3:BZ29" si="14">SUM(BT3:BY3)</f>
        <v>57849.807999999997</v>
      </c>
      <c r="CA3" s="208">
        <f>BT36</f>
        <v>16999.464000000004</v>
      </c>
      <c r="CB3" s="208">
        <f t="shared" ref="CB3:CF3" si="15">BU36</f>
        <v>4198.3999999999978</v>
      </c>
      <c r="CC3" s="208">
        <f t="shared" si="15"/>
        <v>1103.9680000000001</v>
      </c>
      <c r="CD3" s="208">
        <f t="shared" si="15"/>
        <v>1030.2160000000001</v>
      </c>
      <c r="CE3" s="208">
        <f t="shared" si="15"/>
        <v>25310.280000000002</v>
      </c>
      <c r="CF3" s="208">
        <f t="shared" si="15"/>
        <v>3436.3120000000008</v>
      </c>
      <c r="CG3" s="209">
        <f t="shared" ref="CG3:CG29" si="16">SUM(CA3:CF3)</f>
        <v>52078.640000000007</v>
      </c>
      <c r="CH3" s="208">
        <f>JUL!S5</f>
        <v>16574.488000000001</v>
      </c>
      <c r="CI3" s="208">
        <f>JUL!T5</f>
        <v>4878.0080000000016</v>
      </c>
      <c r="CJ3" s="208">
        <f>JUL!U5</f>
        <v>1622.3040000000001</v>
      </c>
      <c r="CK3" s="208">
        <f>JUL!V5</f>
        <v>169.6239999999998</v>
      </c>
      <c r="CL3" s="208">
        <f>JUL!W5</f>
        <v>25216.080000000002</v>
      </c>
      <c r="CM3" s="208">
        <f>JUL!X5</f>
        <v>3805.5200000000004</v>
      </c>
      <c r="CN3" s="209">
        <f t="shared" ref="CN3:CN29" si="17">SUM(CH3:CM3)</f>
        <v>52266.024000000005</v>
      </c>
      <c r="CO3" s="208">
        <f>CH36</f>
        <v>16335.807999999999</v>
      </c>
      <c r="CP3" s="208">
        <f t="shared" ref="CP3:CT3" si="18">CI36</f>
        <v>4189.8480000000018</v>
      </c>
      <c r="CQ3" s="208">
        <f t="shared" si="18"/>
        <v>622.45600000000013</v>
      </c>
      <c r="CR3" s="208">
        <f t="shared" si="18"/>
        <v>191.27199999999993</v>
      </c>
      <c r="CS3" s="208">
        <f t="shared" si="18"/>
        <v>26172.240000000002</v>
      </c>
      <c r="CT3" s="208">
        <f t="shared" si="18"/>
        <v>4630.0560000000005</v>
      </c>
      <c r="CU3" s="209">
        <f t="shared" ref="CU3:CU29" si="19">SUM(CO3:CT3)</f>
        <v>52141.680000000008</v>
      </c>
      <c r="CV3" s="208">
        <f>AGO!S5</f>
        <v>11541.864000000001</v>
      </c>
      <c r="CW3" s="208">
        <f>AGO!T5</f>
        <v>6857.3840000000018</v>
      </c>
      <c r="CX3" s="208">
        <f>AGO!U5</f>
        <v>3046.7840000000001</v>
      </c>
      <c r="CY3" s="208">
        <f>AGO!V5</f>
        <v>544.46400000000028</v>
      </c>
      <c r="CZ3" s="208">
        <f>AGO!W5</f>
        <v>24520.464000000004</v>
      </c>
      <c r="DA3" s="208">
        <f>AGO!X5</f>
        <v>4929.9040000000005</v>
      </c>
      <c r="DB3" s="209">
        <f t="shared" ref="DB3:DB29" si="20">SUM(CV3:DA3)</f>
        <v>51440.864000000009</v>
      </c>
      <c r="DC3" s="208">
        <f>CV36</f>
        <v>8668.8720000000012</v>
      </c>
      <c r="DD3" s="208">
        <f t="shared" ref="DD3:DH3" si="21">CW36</f>
        <v>5177.6560000000009</v>
      </c>
      <c r="DE3" s="208">
        <f t="shared" si="21"/>
        <v>2717.0480000000002</v>
      </c>
      <c r="DF3" s="208">
        <f t="shared" si="21"/>
        <v>950.2560000000002</v>
      </c>
      <c r="DG3" s="208">
        <f t="shared" si="21"/>
        <v>24605.040000000001</v>
      </c>
      <c r="DH3" s="208">
        <f t="shared" si="21"/>
        <v>3426.7919999999999</v>
      </c>
      <c r="DI3" s="209">
        <f t="shared" ref="DI3:DI29" si="22">SUM(DC3:DH3)</f>
        <v>45545.664000000004</v>
      </c>
      <c r="DJ3" s="208">
        <f>SET!S5</f>
        <v>6457.648000000001</v>
      </c>
      <c r="DK3" s="208">
        <f>SET!T5</f>
        <v>3265.1999999999994</v>
      </c>
      <c r="DL3" s="208">
        <f>SET!U5</f>
        <v>1965.5119999999999</v>
      </c>
      <c r="DM3" s="208">
        <f>SET!V5</f>
        <v>663.30400000000009</v>
      </c>
      <c r="DN3" s="208">
        <f>SET!W5</f>
        <v>23911.8</v>
      </c>
      <c r="DO3" s="208">
        <f>SET!X5</f>
        <v>3060.7280000000001</v>
      </c>
      <c r="DP3" s="209">
        <f t="shared" ref="DP3:DP29" si="23">SUM(DJ3:DO3)</f>
        <v>39324.192000000003</v>
      </c>
      <c r="DQ3" s="208">
        <f>DJ36</f>
        <v>9009.76</v>
      </c>
      <c r="DR3" s="208">
        <f t="shared" ref="DR3:DV3" si="24">DK36</f>
        <v>6533.0399999999991</v>
      </c>
      <c r="DS3" s="208">
        <f t="shared" si="24"/>
        <v>1260.9120000000003</v>
      </c>
      <c r="DT3" s="208">
        <f t="shared" si="24"/>
        <v>709.09600000000012</v>
      </c>
      <c r="DU3" s="208">
        <f t="shared" si="24"/>
        <v>22646.040000000005</v>
      </c>
      <c r="DV3" s="208">
        <f t="shared" si="24"/>
        <v>4807.5920000000006</v>
      </c>
      <c r="DW3" s="209">
        <f t="shared" ref="DW3:DW29" si="25">SUM(DQ3:DV3)</f>
        <v>44966.44</v>
      </c>
      <c r="DX3" s="208">
        <f>OUT!S5</f>
        <v>0</v>
      </c>
      <c r="DY3" s="208">
        <f>OUT!T5</f>
        <v>0</v>
      </c>
      <c r="DZ3" s="208">
        <f>OUT!U5</f>
        <v>0</v>
      </c>
      <c r="EA3" s="208">
        <f>OUT!V5</f>
        <v>0</v>
      </c>
      <c r="EB3" s="208">
        <f>OUT!W5</f>
        <v>0</v>
      </c>
      <c r="EC3" s="208">
        <f>OUT!X5</f>
        <v>0</v>
      </c>
      <c r="ED3" s="209">
        <f t="shared" ref="ED3:ED29" si="26">SUM(DX3:EC3)</f>
        <v>0</v>
      </c>
      <c r="EE3" s="208"/>
      <c r="EF3" s="208"/>
      <c r="EG3" s="208"/>
      <c r="EH3" s="208"/>
      <c r="EI3" s="208"/>
      <c r="EJ3" s="208"/>
      <c r="EK3" s="209">
        <f t="shared" ref="EK3:EK29" si="27">SUM(EE3:EJ3)</f>
        <v>0</v>
      </c>
      <c r="EL3" s="208">
        <f>NOV!S5</f>
        <v>0</v>
      </c>
      <c r="EM3" s="208">
        <f>NOV!T5</f>
        <v>0</v>
      </c>
      <c r="EN3" s="208">
        <f>NOV!U5</f>
        <v>0</v>
      </c>
      <c r="EO3" s="208">
        <f>NOV!V5</f>
        <v>0</v>
      </c>
      <c r="EP3" s="208">
        <f>NOV!W5</f>
        <v>0</v>
      </c>
      <c r="EQ3" s="208">
        <f>NOV!X5</f>
        <v>0</v>
      </c>
      <c r="ER3" s="209">
        <f t="shared" ref="ER3:ER29" si="28">SUM(EL3:EQ3)</f>
        <v>0</v>
      </c>
      <c r="ES3" s="208"/>
      <c r="ET3" s="208"/>
      <c r="EU3" s="208"/>
      <c r="EV3" s="208"/>
      <c r="EW3" s="208"/>
      <c r="EX3" s="208"/>
      <c r="EY3" s="209">
        <f t="shared" ref="EY3:EY29" si="29">SUM(ES3:EX3)</f>
        <v>0</v>
      </c>
      <c r="EZ3" s="208">
        <f>DEZ!S5</f>
        <v>0</v>
      </c>
      <c r="FA3" s="208">
        <f>DEZ!T5</f>
        <v>0</v>
      </c>
      <c r="FB3" s="208">
        <f>DEZ!U5</f>
        <v>0</v>
      </c>
      <c r="FC3" s="208">
        <f>DEZ!V5</f>
        <v>0</v>
      </c>
      <c r="FD3" s="208">
        <f>DEZ!W5</f>
        <v>0</v>
      </c>
      <c r="FE3" s="208">
        <f>DEZ!X5</f>
        <v>0</v>
      </c>
      <c r="FF3" s="209">
        <f t="shared" ref="FF3:FF29" si="30">SUM(EZ3:FE3)</f>
        <v>0</v>
      </c>
      <c r="FG3" s="208"/>
      <c r="FH3" s="208"/>
      <c r="FI3" s="208"/>
      <c r="FJ3" s="208"/>
      <c r="FK3" s="208"/>
      <c r="FL3" s="208"/>
      <c r="FM3" s="207">
        <f t="shared" ref="FM3:FM29" si="31">SUM(FG3:FL3)</f>
        <v>0</v>
      </c>
      <c r="FN3" s="210">
        <f>B3+P3+AD3+AR3+BF3+BT3+CH3+CV3+DJ3+DX3+EL3+EZ3</f>
        <v>145826.93599999999</v>
      </c>
      <c r="FO3" s="518">
        <f t="shared" ref="FO3:FO29" si="32">C3+Q3+AE3+AS3+BG3+BU3+CI3+CW3+DK3+DY3+EM3+FA3</f>
        <v>65148.808000000005</v>
      </c>
      <c r="FP3" s="208">
        <f t="shared" ref="FP3:FP29" si="33">D3+R3+AF3+AT3+BH3+BV3+CJ3+CX3+DL3+DZ3+EN3+FB3</f>
        <v>11480.128000000001</v>
      </c>
      <c r="FQ3" s="208">
        <f t="shared" ref="FQ3:FQ29" si="34">E3+S3+AG3+AU3+BI3+BW3+CK3+CY3+DM3+EA3+EO3+FC3</f>
        <v>6094.0479999999998</v>
      </c>
      <c r="FR3" s="208">
        <f t="shared" ref="FR3:FR29" si="35">F3+T3+AH3+AV3+BJ3+BX3+CL3+CZ3+DN3+EB3+EP3+FD3</f>
        <v>199212.12000000002</v>
      </c>
      <c r="FS3" s="208">
        <f t="shared" ref="FS3:FS29" si="36">G3+U3+AI3+AW3+BK3+BY3+CM3+DA3+DO3+EC3+EQ3+FE3</f>
        <v>30779.920000000002</v>
      </c>
      <c r="FT3" s="209">
        <f t="shared" ref="FT3:FT29" si="37">SUM(FN3:FS3)</f>
        <v>458541.96</v>
      </c>
      <c r="FU3" s="208">
        <f>I3+W3+AK3+AY3+BM3+CA3+CO3+DC3+DQ3+EE3+ES3+FG3</f>
        <v>126924.16000000002</v>
      </c>
      <c r="FV3" s="208">
        <f t="shared" ref="FV3:FV29" si="38">J3+X3+AL3+AZ3+BN3+CB3+CP3+DD3+DR3+EF3+ET3+FH3</f>
        <v>37310.880000000005</v>
      </c>
      <c r="FW3" s="208">
        <f t="shared" ref="FW3:FW29" si="39">K3+Y3+AM3+BA3+BO3+CC3+CQ3+DE3+DS3+EG3+EU3+FI3</f>
        <v>13298.240000000002</v>
      </c>
      <c r="FX3" s="208">
        <f t="shared" ref="FX3:FX29" si="40">L3+Z3+AN3+BB3+BP3+CD3+CR3+DF3+DT3+EH3+EV3+FJ3</f>
        <v>6081.9120000000003</v>
      </c>
      <c r="FY3" s="208">
        <f t="shared" ref="FY3:FY29" si="41">M3+AA3+AO3+BC3+BQ3+CE3+CS3+DG3+DU843+DU3+EI3+EW3+FK3</f>
        <v>188984.06400000001</v>
      </c>
      <c r="FZ3" s="208">
        <f t="shared" ref="FZ3:FZ29" si="42">N3+AB3+AP3+BD3+BR3+CF3+CT3+DH3+DV843+DV3+EJ3+EX3+FL3</f>
        <v>23589.896000000004</v>
      </c>
      <c r="GA3" s="207">
        <f t="shared" ref="GA3:GA31" si="43">SUM(FU3:FZ3)</f>
        <v>396189.15200000006</v>
      </c>
      <c r="GB3" s="206">
        <f>FN3/FU3*100-100</f>
        <v>14.892969155754088</v>
      </c>
      <c r="GC3" s="206">
        <f>FO3/FV3*100-100</f>
        <v>74.610751609182103</v>
      </c>
      <c r="GD3" s="206">
        <f t="shared" ref="GD3:GD32" si="44">FP3/FW3*100-100</f>
        <v>-13.671824241403371</v>
      </c>
      <c r="GE3" s="206">
        <f t="shared" ref="GE3:GE32" si="45">FQ3/FX3*100-100</f>
        <v>0.19954251228888609</v>
      </c>
      <c r="GF3" s="206">
        <f t="shared" ref="GF3:GF32" si="46">FR3/FY3*100-100</f>
        <v>5.4121261780040868</v>
      </c>
      <c r="GG3" s="206">
        <f t="shared" ref="GG3:GG29" si="47">FS3/FZ3*100-100</f>
        <v>30.479252642741613</v>
      </c>
      <c r="GH3" s="205">
        <f>FT3/GA3*100-100</f>
        <v>15.738141159402545</v>
      </c>
      <c r="GI3" s="215" t="str">
        <f>IF(GH3&lt;0,"menor","MAIOR")</f>
        <v>MAIOR</v>
      </c>
      <c r="GJ3" s="216">
        <f>COUNTIF(GI3:GI29,"MAIOR")</f>
        <v>21</v>
      </c>
      <c r="GK3" s="194" t="s">
        <v>350</v>
      </c>
      <c r="GL3" s="194"/>
      <c r="GM3" s="194"/>
      <c r="GN3" s="194"/>
      <c r="GO3" s="194"/>
    </row>
    <row r="4" spans="1:197" s="566" customFormat="1">
      <c r="A4" s="319" t="s">
        <v>78</v>
      </c>
      <c r="B4" s="208">
        <f>VLOOKUP($A$3:$A$29,JAN!$A$5:$B$31,2,)</f>
        <v>80737.26400000001</v>
      </c>
      <c r="C4" s="208">
        <f>VLOOKUP($A$3:$A$29,JAN!$A$5:$C$31,3,)</f>
        <v>18091.863999999998</v>
      </c>
      <c r="D4" s="208">
        <f>VLOOKUP($A$3:$A$29,JAN!$A$5:$D$31,4,)</f>
        <v>1153.1200000000001</v>
      </c>
      <c r="E4" s="208">
        <f>VLOOKUP($A$3:$A$29,JAN!$A$5:$E$31,5,)</f>
        <v>844.97599999999989</v>
      </c>
      <c r="F4" s="208">
        <f>VLOOKUP($A$3:$A$29,JAN!$A$5:$X$32,23,)</f>
        <v>53341.103999999999</v>
      </c>
      <c r="G4" s="208">
        <f>VLOOKUP($A$3:$A$29,JAN!$A$5:$X$32,24,)</f>
        <v>6551.88</v>
      </c>
      <c r="H4" s="209">
        <f t="shared" si="0"/>
        <v>160720.20800000001</v>
      </c>
      <c r="I4" s="208">
        <f t="shared" ref="I4:I29" si="48">B37</f>
        <v>85686.983999999997</v>
      </c>
      <c r="J4" s="208">
        <f t="shared" ref="J4:J29" si="49">C37</f>
        <v>31277.640000000003</v>
      </c>
      <c r="K4" s="208">
        <f t="shared" ref="K4:K29" si="50">D37</f>
        <v>2986.8720000000003</v>
      </c>
      <c r="L4" s="208">
        <f t="shared" ref="L4:L29" si="51">E37</f>
        <v>1760.1519999999998</v>
      </c>
      <c r="M4" s="208">
        <f t="shared" ref="M4:M29" si="52">F37</f>
        <v>42954.8</v>
      </c>
      <c r="N4" s="208">
        <f t="shared" ref="N4:N29" si="53">G37</f>
        <v>10996.271999999986</v>
      </c>
      <c r="O4" s="209">
        <f t="shared" si="2"/>
        <v>175662.72</v>
      </c>
      <c r="P4" s="208">
        <f>VLOOKUP($A$3:$A$29,FEV!$A$5:$B$31,2,)</f>
        <v>110854.81599999999</v>
      </c>
      <c r="Q4" s="208">
        <f>VLOOKUP($A$3:$A$29,FEV!$A$5:$C$31,3,)</f>
        <v>19235.207999999984</v>
      </c>
      <c r="R4" s="208">
        <f>VLOOKUP($A$3:$A$29,FEV!$A$5:$D$31,4,)</f>
        <v>2189.5840000000003</v>
      </c>
      <c r="S4" s="208">
        <f>VLOOKUP($A$3:$A$29,FEV!$A$5:$E$31,5,)</f>
        <v>375.45600000000013</v>
      </c>
      <c r="T4" s="208">
        <f>VLOOKUP($A$3:$A$29,FEV!$A$5:$X$32,23,)</f>
        <v>67188.12000000001</v>
      </c>
      <c r="U4" s="208">
        <f>VLOOKUP($A$3:$A$29,FEV!$A$5:$X$32,24,)</f>
        <v>5885.6080000000002</v>
      </c>
      <c r="V4" s="209">
        <f t="shared" ref="V4:V29" si="54">SUM(P4:U4)</f>
        <v>205728.79200000002</v>
      </c>
      <c r="W4" s="208">
        <f t="shared" ref="W4:W29" si="55">P37</f>
        <v>103876.288</v>
      </c>
      <c r="X4" s="208">
        <f t="shared" si="3"/>
        <v>22101.583999999999</v>
      </c>
      <c r="Y4" s="208">
        <f t="shared" si="3"/>
        <v>3265.5360000000001</v>
      </c>
      <c r="Z4" s="208">
        <f t="shared" si="3"/>
        <v>1291.9440000000002</v>
      </c>
      <c r="AA4" s="208">
        <f t="shared" si="3"/>
        <v>55016.864000000001</v>
      </c>
      <c r="AB4" s="208">
        <f t="shared" si="3"/>
        <v>5677.9120000000003</v>
      </c>
      <c r="AC4" s="209">
        <f t="shared" si="4"/>
        <v>191230.12800000003</v>
      </c>
      <c r="AD4" s="208">
        <f>VLOOKUP($A$3:$A$29,MAR!$A$5:$B$31,2,)</f>
        <v>82566.872000000003</v>
      </c>
      <c r="AE4" s="208">
        <f>VLOOKUP($A$3:$A$29,MAR!$A$5:$C$31,3,)</f>
        <v>16746.151999999998</v>
      </c>
      <c r="AF4" s="208">
        <f>VLOOKUP($A$3:$A$29,MAR!$A$5:$D$31,4,)</f>
        <v>527.52800000000002</v>
      </c>
      <c r="AG4" s="208">
        <f>VLOOKUP($A$3:$A$29,MAR!$A$5:$E$31,5,)</f>
        <v>192.60000000000002</v>
      </c>
      <c r="AH4" s="208">
        <f>VLOOKUP($A$3:$A$29,MAR!$A$5:$X$32,23,)</f>
        <v>75822.144</v>
      </c>
      <c r="AI4" s="208">
        <f>VLOOKUP($A$3:$A$29,MAR!$A$5:$X$32,24,)</f>
        <v>5611.8879999999999</v>
      </c>
      <c r="AJ4" s="209">
        <f t="shared" si="5"/>
        <v>181467.18400000004</v>
      </c>
      <c r="AK4" s="208">
        <f t="shared" ref="AK4:AK29" si="56">AD37</f>
        <v>62166.448000000004</v>
      </c>
      <c r="AL4" s="208">
        <f t="shared" ref="AL4:AL29" si="57">AE37</f>
        <v>30632.720000000008</v>
      </c>
      <c r="AM4" s="208">
        <f t="shared" ref="AM4:AM29" si="58">AF37</f>
        <v>548.55200000000002</v>
      </c>
      <c r="AN4" s="208">
        <f t="shared" ref="AN4:AN29" si="59">AG37</f>
        <v>1003.3600000000001</v>
      </c>
      <c r="AO4" s="208">
        <f t="shared" ref="AO4:AO29" si="60">AH37</f>
        <v>69352.672000000006</v>
      </c>
      <c r="AP4" s="208">
        <f t="shared" ref="AP4:AP29" si="61">AI37</f>
        <v>7891.2719999999999</v>
      </c>
      <c r="AQ4" s="209">
        <f t="shared" si="7"/>
        <v>171595.024</v>
      </c>
      <c r="AR4" s="208">
        <f>ABR!S6</f>
        <v>47907.144</v>
      </c>
      <c r="AS4" s="208">
        <f>ABR!T6</f>
        <v>12631.696</v>
      </c>
      <c r="AT4" s="208">
        <f>ABR!U6</f>
        <v>793.83199999999999</v>
      </c>
      <c r="AU4" s="208">
        <f>ABR!V6</f>
        <v>561.85600000000011</v>
      </c>
      <c r="AV4" s="208">
        <f>ABR!W6</f>
        <v>74430.911999999997</v>
      </c>
      <c r="AW4" s="208">
        <f>ABR!X6</f>
        <v>5178.9440000000004</v>
      </c>
      <c r="AX4" s="209">
        <f t="shared" si="8"/>
        <v>141504.38399999999</v>
      </c>
      <c r="AY4" s="208">
        <f t="shared" ref="AY4:AY29" si="62">AR37</f>
        <v>59125.288</v>
      </c>
      <c r="AZ4" s="208">
        <f t="shared" si="9"/>
        <v>20131.696</v>
      </c>
      <c r="BA4" s="208">
        <f t="shared" si="9"/>
        <v>2087.9360000000001</v>
      </c>
      <c r="BB4" s="208">
        <f t="shared" si="9"/>
        <v>1024.2160000000001</v>
      </c>
      <c r="BC4" s="208">
        <f t="shared" si="9"/>
        <v>58848.360000000008</v>
      </c>
      <c r="BD4" s="208">
        <f t="shared" si="9"/>
        <v>6454.7679999999991</v>
      </c>
      <c r="BE4" s="209">
        <f t="shared" si="10"/>
        <v>147672.26400000002</v>
      </c>
      <c r="BF4" s="208">
        <f>MAI!S6</f>
        <v>41121.4</v>
      </c>
      <c r="BG4" s="208">
        <f>MAI!T6</f>
        <v>11193.752</v>
      </c>
      <c r="BH4" s="208">
        <f>MAI!U6</f>
        <v>544.43200000000002</v>
      </c>
      <c r="BI4" s="208">
        <f>MAI!V6</f>
        <v>1943.9360000000001</v>
      </c>
      <c r="BJ4" s="208">
        <f>MAI!W6</f>
        <v>71213.687999999995</v>
      </c>
      <c r="BK4" s="208">
        <f>MAI!X6</f>
        <v>5095.8720000000003</v>
      </c>
      <c r="BL4" s="209">
        <f t="shared" si="11"/>
        <v>131113.07999999999</v>
      </c>
      <c r="BM4" s="208">
        <f t="shared" ref="BM4:BM29" si="63">BF37</f>
        <v>47800.328000000009</v>
      </c>
      <c r="BN4" s="208">
        <f t="shared" ref="BN4:BN29" si="64">BG37</f>
        <v>25078.432000000001</v>
      </c>
      <c r="BO4" s="208">
        <f t="shared" ref="BO4:BO29" si="65">BH37</f>
        <v>1069.6879999999999</v>
      </c>
      <c r="BP4" s="208">
        <f t="shared" ref="BP4:BP29" si="66">BI37</f>
        <v>1257.7280000000001</v>
      </c>
      <c r="BQ4" s="208">
        <f t="shared" ref="BQ4:BQ29" si="67">BJ37</f>
        <v>66135.840000000011</v>
      </c>
      <c r="BR4" s="208">
        <f t="shared" ref="BR4:BR29" si="68">BK37</f>
        <v>10913.344000000001</v>
      </c>
      <c r="BS4" s="209">
        <f t="shared" si="13"/>
        <v>152255.36000000002</v>
      </c>
      <c r="BT4" s="208">
        <f>JUN!S6</f>
        <v>59599.080000000009</v>
      </c>
      <c r="BU4" s="208">
        <f>JUN!T6</f>
        <v>15039.304000000004</v>
      </c>
      <c r="BV4" s="208">
        <f>JUN!U6</f>
        <v>375.35200000000003</v>
      </c>
      <c r="BW4" s="208">
        <f>JUN!V6</f>
        <v>0</v>
      </c>
      <c r="BX4" s="208">
        <f>JUN!W6</f>
        <v>55301.472000000002</v>
      </c>
      <c r="BY4" s="208">
        <f>JUN!X6</f>
        <v>6789.5120000000015</v>
      </c>
      <c r="BZ4" s="209">
        <f t="shared" si="14"/>
        <v>137104.72</v>
      </c>
      <c r="CA4" s="208">
        <f t="shared" ref="CA4:CA29" si="69">BT37</f>
        <v>35337.984000000004</v>
      </c>
      <c r="CB4" s="208">
        <f t="shared" ref="CB4:CB29" si="70">BU37</f>
        <v>20422.968000000001</v>
      </c>
      <c r="CC4" s="208">
        <f t="shared" ref="CC4:CC29" si="71">BV37</f>
        <v>1402.624</v>
      </c>
      <c r="CD4" s="208">
        <f t="shared" ref="CD4:CD29" si="72">BW37</f>
        <v>89.736000000000061</v>
      </c>
      <c r="CE4" s="208">
        <f t="shared" ref="CE4:CE29" si="73">BX37</f>
        <v>56654.280000000013</v>
      </c>
      <c r="CF4" s="208">
        <f t="shared" ref="CF4:CF29" si="74">BY37</f>
        <v>8881.232</v>
      </c>
      <c r="CG4" s="209">
        <f t="shared" si="16"/>
        <v>122788.82400000002</v>
      </c>
      <c r="CH4" s="208">
        <f>JUL!S6</f>
        <v>41764.712</v>
      </c>
      <c r="CI4" s="208">
        <f>JUL!T6</f>
        <v>8872.952000000003</v>
      </c>
      <c r="CJ4" s="208">
        <f>JUL!U6</f>
        <v>1237.664</v>
      </c>
      <c r="CK4" s="208">
        <f>JUL!V6</f>
        <v>365.69600000000014</v>
      </c>
      <c r="CL4" s="208">
        <f>JUL!W6</f>
        <v>57040.512000000002</v>
      </c>
      <c r="CM4" s="208">
        <f>JUL!X6</f>
        <v>4916.16</v>
      </c>
      <c r="CN4" s="209">
        <f t="shared" si="17"/>
        <v>114197.69600000001</v>
      </c>
      <c r="CO4" s="208">
        <f t="shared" ref="CO4:CO29" si="75">CH37</f>
        <v>24529.264000000003</v>
      </c>
      <c r="CP4" s="208">
        <f t="shared" ref="CP4:CP29" si="76">CI37</f>
        <v>16901.392000000003</v>
      </c>
      <c r="CQ4" s="208">
        <f t="shared" ref="CQ4:CQ29" si="77">CJ37</f>
        <v>697.12</v>
      </c>
      <c r="CR4" s="208">
        <f t="shared" ref="CR4:CR29" si="78">CK37</f>
        <v>449.42400000000009</v>
      </c>
      <c r="CS4" s="208">
        <f t="shared" ref="CS4:CS29" si="79">CL37</f>
        <v>70759.08</v>
      </c>
      <c r="CT4" s="208">
        <f t="shared" ref="CT4:CT29" si="80">CM37</f>
        <v>9386.0560000000005</v>
      </c>
      <c r="CU4" s="209">
        <f t="shared" si="19"/>
        <v>122722.336</v>
      </c>
      <c r="CV4" s="208">
        <f>AGO!S6</f>
        <v>17943.328000000001</v>
      </c>
      <c r="CW4" s="208">
        <f>AGO!T6</f>
        <v>11295.136000000002</v>
      </c>
      <c r="CX4" s="208">
        <f>AGO!U6</f>
        <v>3873.152</v>
      </c>
      <c r="CY4" s="208">
        <f>AGO!V6</f>
        <v>1213.8560000000004</v>
      </c>
      <c r="CZ4" s="208">
        <f>AGO!W6</f>
        <v>76169.952000000005</v>
      </c>
      <c r="DA4" s="208">
        <f>AGO!X6</f>
        <v>9229.119999999999</v>
      </c>
      <c r="DB4" s="209">
        <f t="shared" si="20"/>
        <v>119724.54399999999</v>
      </c>
      <c r="DC4" s="208">
        <f t="shared" ref="DC4:DC29" si="81">CV37</f>
        <v>20633.264000000003</v>
      </c>
      <c r="DD4" s="208">
        <f t="shared" ref="DD4:DD29" si="82">CW37</f>
        <v>15375.807999999999</v>
      </c>
      <c r="DE4" s="208">
        <f t="shared" ref="DE4:DE29" si="83">CX37</f>
        <v>6157.4800000000005</v>
      </c>
      <c r="DF4" s="208">
        <f t="shared" ref="DF4:DF29" si="84">CY37</f>
        <v>1925.7039999999995</v>
      </c>
      <c r="DG4" s="208">
        <f t="shared" ref="DG4:DG29" si="85">CZ37</f>
        <v>67076.160000000003</v>
      </c>
      <c r="DH4" s="208">
        <f t="shared" ref="DH4:DH29" si="86">DA37</f>
        <v>9232.8880000000008</v>
      </c>
      <c r="DI4" s="209">
        <f t="shared" si="22"/>
        <v>120401.304</v>
      </c>
      <c r="DJ4" s="208">
        <f>SET!S6</f>
        <v>12681.928</v>
      </c>
      <c r="DK4" s="208">
        <f>SET!T6</f>
        <v>8812.8239999999987</v>
      </c>
      <c r="DL4" s="208">
        <f>SET!U6</f>
        <v>625.58400000000006</v>
      </c>
      <c r="DM4" s="208">
        <f>SET!V6</f>
        <v>548.24799999999993</v>
      </c>
      <c r="DN4" s="208">
        <f>SET!W6</f>
        <v>75387.384000000005</v>
      </c>
      <c r="DO4" s="208">
        <f>SET!X6</f>
        <v>6780.4480000000012</v>
      </c>
      <c r="DP4" s="209">
        <f t="shared" si="23"/>
        <v>104836.41600000001</v>
      </c>
      <c r="DQ4" s="208">
        <f t="shared" ref="DQ4:DQ29" si="87">DJ37</f>
        <v>13659.696</v>
      </c>
      <c r="DR4" s="208">
        <f t="shared" ref="DR4:DR29" si="88">DK37</f>
        <v>16325.744000000004</v>
      </c>
      <c r="DS4" s="208">
        <f t="shared" ref="DS4:DS29" si="89">DL37</f>
        <v>3006.7360000000003</v>
      </c>
      <c r="DT4" s="208">
        <f t="shared" ref="DT4:DT29" si="90">DM37</f>
        <v>436.96800000000007</v>
      </c>
      <c r="DU4" s="208">
        <f t="shared" ref="DU4:DU29" si="91">DN37</f>
        <v>63706.320000000007</v>
      </c>
      <c r="DV4" s="208">
        <f t="shared" ref="DV4:DV29" si="92">DO37</f>
        <v>8709.3280000000013</v>
      </c>
      <c r="DW4" s="209">
        <f t="shared" si="25"/>
        <v>105844.79200000002</v>
      </c>
      <c r="DX4" s="208">
        <f>OUT!S6</f>
        <v>0</v>
      </c>
      <c r="DY4" s="208">
        <f>OUT!T6</f>
        <v>0</v>
      </c>
      <c r="DZ4" s="208">
        <f>OUT!U6</f>
        <v>0</v>
      </c>
      <c r="EA4" s="208">
        <f>OUT!V6</f>
        <v>0</v>
      </c>
      <c r="EB4" s="208">
        <f>OUT!W6</f>
        <v>0</v>
      </c>
      <c r="EC4" s="208">
        <f>OUT!X6</f>
        <v>0</v>
      </c>
      <c r="ED4" s="209">
        <f t="shared" si="26"/>
        <v>0</v>
      </c>
      <c r="EE4" s="208"/>
      <c r="EF4" s="208"/>
      <c r="EG4" s="208"/>
      <c r="EH4" s="208"/>
      <c r="EI4" s="208"/>
      <c r="EJ4" s="208"/>
      <c r="EK4" s="209">
        <f t="shared" si="27"/>
        <v>0</v>
      </c>
      <c r="EL4" s="208">
        <f>NOV!S6</f>
        <v>0</v>
      </c>
      <c r="EM4" s="208">
        <f>NOV!T6</f>
        <v>0</v>
      </c>
      <c r="EN4" s="208">
        <f>NOV!U6</f>
        <v>0</v>
      </c>
      <c r="EO4" s="208">
        <f>NOV!V6</f>
        <v>0</v>
      </c>
      <c r="EP4" s="208">
        <f>NOV!W6</f>
        <v>0</v>
      </c>
      <c r="EQ4" s="208">
        <f>NOV!X6</f>
        <v>0</v>
      </c>
      <c r="ER4" s="209">
        <f t="shared" si="28"/>
        <v>0</v>
      </c>
      <c r="ES4" s="208"/>
      <c r="ET4" s="208"/>
      <c r="EU4" s="208"/>
      <c r="EV4" s="208"/>
      <c r="EW4" s="208"/>
      <c r="EX4" s="208"/>
      <c r="EY4" s="209">
        <f t="shared" si="29"/>
        <v>0</v>
      </c>
      <c r="EZ4" s="208">
        <f>DEZ!S6</f>
        <v>0</v>
      </c>
      <c r="FA4" s="208">
        <f>DEZ!T6</f>
        <v>0</v>
      </c>
      <c r="FB4" s="208">
        <f>DEZ!U6</f>
        <v>0</v>
      </c>
      <c r="FC4" s="208">
        <f>DEZ!V6</f>
        <v>0</v>
      </c>
      <c r="FD4" s="208">
        <f>DEZ!W6</f>
        <v>0</v>
      </c>
      <c r="FE4" s="208">
        <f>DEZ!X6</f>
        <v>0</v>
      </c>
      <c r="FF4" s="209">
        <f t="shared" si="30"/>
        <v>0</v>
      </c>
      <c r="FG4" s="208"/>
      <c r="FH4" s="208"/>
      <c r="FI4" s="208"/>
      <c r="FJ4" s="208"/>
      <c r="FK4" s="208"/>
      <c r="FL4" s="208"/>
      <c r="FM4" s="207">
        <f t="shared" si="31"/>
        <v>0</v>
      </c>
      <c r="FN4" s="210">
        <f t="shared" ref="FN4:FN29" si="93">B4+P4+AD4+AR4+BF4+BT4+CH4+CV4+DJ4+DX4+EL4+EZ4</f>
        <v>495176.54400000005</v>
      </c>
      <c r="FO4" s="518">
        <f t="shared" si="32"/>
        <v>121918.88799999999</v>
      </c>
      <c r="FP4" s="208">
        <f t="shared" si="33"/>
        <v>11320.248000000001</v>
      </c>
      <c r="FQ4" s="208">
        <f t="shared" si="34"/>
        <v>6046.6240000000007</v>
      </c>
      <c r="FR4" s="208">
        <f t="shared" si="35"/>
        <v>605895.28799999994</v>
      </c>
      <c r="FS4" s="208">
        <f t="shared" si="36"/>
        <v>56039.432000000001</v>
      </c>
      <c r="FT4" s="209">
        <f t="shared" si="37"/>
        <v>1296397.024</v>
      </c>
      <c r="FU4" s="208">
        <f t="shared" ref="FU4:FU29" si="94">I4+W4+AK4+AY4+BM4+CA4+CO4+DC4+DQ4+EE4+ES4+FG4</f>
        <v>452815.54400000005</v>
      </c>
      <c r="FV4" s="208">
        <f t="shared" si="38"/>
        <v>198247.984</v>
      </c>
      <c r="FW4" s="208">
        <f t="shared" si="39"/>
        <v>21222.544000000002</v>
      </c>
      <c r="FX4" s="208">
        <f t="shared" si="40"/>
        <v>9239.232</v>
      </c>
      <c r="FY4" s="208">
        <f t="shared" si="41"/>
        <v>550504.37600000016</v>
      </c>
      <c r="FZ4" s="208">
        <f t="shared" si="42"/>
        <v>78143.071999999986</v>
      </c>
      <c r="GA4" s="207">
        <f t="shared" si="43"/>
        <v>1310172.7520000001</v>
      </c>
      <c r="GB4" s="206">
        <f t="shared" ref="GB4:GB30" si="95">FN4/FU4*100-100</f>
        <v>9.3550233779077274</v>
      </c>
      <c r="GC4" s="206">
        <f t="shared" ref="GC4:GC30" si="96">FO4/FV4*100-100</f>
        <v>-38.501827085414398</v>
      </c>
      <c r="GD4" s="206">
        <f t="shared" si="44"/>
        <v>-46.659326044983104</v>
      </c>
      <c r="GE4" s="206">
        <f t="shared" si="45"/>
        <v>-34.554906728178267</v>
      </c>
      <c r="GF4" s="206">
        <f t="shared" si="46"/>
        <v>10.061847719081499</v>
      </c>
      <c r="GG4" s="206">
        <f t="shared" si="47"/>
        <v>-28.286116010386678</v>
      </c>
      <c r="GH4" s="205">
        <f t="shared" ref="GH4:GH32" si="97">FT4/GA4*100-100</f>
        <v>-1.0514436343582361</v>
      </c>
      <c r="GI4" s="215" t="str">
        <f t="shared" ref="GI4:GI29" si="98">IF(GH4&lt;0,"menor","MAIOR")</f>
        <v>menor</v>
      </c>
    </row>
    <row r="5" spans="1:197" s="566" customFormat="1">
      <c r="A5" s="319" t="s">
        <v>80</v>
      </c>
      <c r="B5" s="208">
        <f>VLOOKUP($A$3:$A$29,JAN!$A$5:$B$31,2,)</f>
        <v>43704.776000000005</v>
      </c>
      <c r="C5" s="208">
        <f>VLOOKUP($A$3:$A$29,JAN!$A$5:$C$31,3,)</f>
        <v>10111.896000000002</v>
      </c>
      <c r="D5" s="208">
        <f>VLOOKUP($A$3:$A$29,JAN!$A$5:$D$31,4,)</f>
        <v>852.16000000000008</v>
      </c>
      <c r="E5" s="208">
        <f>VLOOKUP($A$3:$A$29,JAN!$A$5:$E$31,5,)</f>
        <v>883.19200000000001</v>
      </c>
      <c r="F5" s="208">
        <f>VLOOKUP($A$3:$A$29,JAN!$A$5:$X$32,23,)</f>
        <v>42826.44</v>
      </c>
      <c r="G5" s="208">
        <f>VLOOKUP($A$3:$A$29,JAN!$A$5:$X$32,24,)</f>
        <v>4253.7840000000006</v>
      </c>
      <c r="H5" s="209">
        <f t="shared" si="0"/>
        <v>102632.24800000001</v>
      </c>
      <c r="I5" s="208">
        <f t="shared" si="48"/>
        <v>39396.552000000003</v>
      </c>
      <c r="J5" s="208">
        <f t="shared" si="49"/>
        <v>17692.264000000003</v>
      </c>
      <c r="K5" s="208">
        <f t="shared" si="50"/>
        <v>2575.4560000000001</v>
      </c>
      <c r="L5" s="208">
        <f t="shared" si="51"/>
        <v>1695.384</v>
      </c>
      <c r="M5" s="208">
        <f t="shared" si="52"/>
        <v>24565.527999999998</v>
      </c>
      <c r="N5" s="208">
        <f t="shared" si="53"/>
        <v>5050.2159999999976</v>
      </c>
      <c r="O5" s="209">
        <f t="shared" si="2"/>
        <v>90975.400000000009</v>
      </c>
      <c r="P5" s="208">
        <f>VLOOKUP($A$3:$A$29,FEV!$A$5:$B$31,2,)</f>
        <v>56372.152000000002</v>
      </c>
      <c r="Q5" s="208">
        <f>VLOOKUP($A$3:$A$29,FEV!$A$5:$C$31,3,)</f>
        <v>13143.264000000003</v>
      </c>
      <c r="R5" s="208">
        <f>VLOOKUP($A$3:$A$29,FEV!$A$5:$D$31,4,)</f>
        <v>1501.424</v>
      </c>
      <c r="S5" s="208">
        <f>VLOOKUP($A$3:$A$29,FEV!$A$5:$E$31,5,)</f>
        <v>2429.7520000000004</v>
      </c>
      <c r="T5" s="208">
        <f>VLOOKUP($A$3:$A$29,FEV!$A$5:$X$32,23,)</f>
        <v>54171.096000000005</v>
      </c>
      <c r="U5" s="208">
        <f>VLOOKUP($A$3:$A$29,FEV!$A$5:$X$32,24,)</f>
        <v>6205.112000000001</v>
      </c>
      <c r="V5" s="209">
        <f t="shared" si="54"/>
        <v>133822.80000000002</v>
      </c>
      <c r="W5" s="208">
        <f t="shared" si="55"/>
        <v>57227.031999999999</v>
      </c>
      <c r="X5" s="208">
        <f t="shared" si="3"/>
        <v>21633.584000000006</v>
      </c>
      <c r="Y5" s="208">
        <f t="shared" si="3"/>
        <v>3367.52</v>
      </c>
      <c r="Z5" s="208">
        <f t="shared" si="3"/>
        <v>638.04800000000034</v>
      </c>
      <c r="AA5" s="208">
        <f t="shared" si="3"/>
        <v>26799.120000000003</v>
      </c>
      <c r="AB5" s="208">
        <f t="shared" si="3"/>
        <v>7830.496000000001</v>
      </c>
      <c r="AC5" s="209">
        <f t="shared" si="4"/>
        <v>117495.8</v>
      </c>
      <c r="AD5" s="208">
        <f>VLOOKUP($A$3:$A$29,MAR!$A$5:$B$31,2,)</f>
        <v>73756.728000000003</v>
      </c>
      <c r="AE5" s="208">
        <f>VLOOKUP($A$3:$A$29,MAR!$A$5:$C$31,3,)</f>
        <v>16104.976000000002</v>
      </c>
      <c r="AF5" s="208">
        <f>VLOOKUP($A$3:$A$29,MAR!$A$5:$D$31,4,)</f>
        <v>1870.0160000000001</v>
      </c>
      <c r="AG5" s="208">
        <f>VLOOKUP($A$3:$A$29,MAR!$A$5:$E$31,5,)</f>
        <v>3016.5200000000004</v>
      </c>
      <c r="AH5" s="208">
        <f>VLOOKUP($A$3:$A$29,MAR!$A$5:$X$32,23,)</f>
        <v>66605.232000000004</v>
      </c>
      <c r="AI5" s="208">
        <f>VLOOKUP($A$3:$A$29,MAR!$A$5:$X$32,24,)</f>
        <v>6999.1840000000002</v>
      </c>
      <c r="AJ5" s="209">
        <f t="shared" si="5"/>
        <v>168352.65600000002</v>
      </c>
      <c r="AK5" s="208">
        <f t="shared" si="56"/>
        <v>66320.992000000013</v>
      </c>
      <c r="AL5" s="208">
        <f t="shared" si="57"/>
        <v>18275.688000000002</v>
      </c>
      <c r="AM5" s="208">
        <f t="shared" si="58"/>
        <v>2757.3919999999998</v>
      </c>
      <c r="AN5" s="208">
        <f t="shared" si="59"/>
        <v>1960.4080000000004</v>
      </c>
      <c r="AO5" s="208">
        <f t="shared" si="60"/>
        <v>54303.48</v>
      </c>
      <c r="AP5" s="208">
        <f t="shared" si="61"/>
        <v>6443.9520000000002</v>
      </c>
      <c r="AQ5" s="209">
        <f t="shared" si="7"/>
        <v>150061.91200000001</v>
      </c>
      <c r="AR5" s="208">
        <f>ABR!S7</f>
        <v>16615.04</v>
      </c>
      <c r="AS5" s="208">
        <f>ABR!T7</f>
        <v>7248.344000000001</v>
      </c>
      <c r="AT5" s="208">
        <f>ABR!U7</f>
        <v>1971.4560000000001</v>
      </c>
      <c r="AU5" s="208">
        <f>ABR!V7</f>
        <v>1698.8320000000001</v>
      </c>
      <c r="AV5" s="208">
        <f>ABR!W7</f>
        <v>26930.856000000003</v>
      </c>
      <c r="AW5" s="208">
        <f>ABR!X7</f>
        <v>4281.4640000000009</v>
      </c>
      <c r="AX5" s="209">
        <f t="shared" si="8"/>
        <v>58745.992000000006</v>
      </c>
      <c r="AY5" s="208">
        <f t="shared" si="62"/>
        <v>57114.96</v>
      </c>
      <c r="AZ5" s="208">
        <f t="shared" si="9"/>
        <v>20106.448000000004</v>
      </c>
      <c r="BA5" s="208">
        <f t="shared" si="9"/>
        <v>2368.7040000000002</v>
      </c>
      <c r="BB5" s="208">
        <f t="shared" si="9"/>
        <v>1011.1680000000001</v>
      </c>
      <c r="BC5" s="208">
        <f t="shared" si="9"/>
        <v>50934</v>
      </c>
      <c r="BD5" s="208">
        <f t="shared" si="9"/>
        <v>7863.8080000000009</v>
      </c>
      <c r="BE5" s="209">
        <f t="shared" si="10"/>
        <v>139399.08799999999</v>
      </c>
      <c r="BF5" s="208">
        <f>MAI!S7</f>
        <v>19574.935999999998</v>
      </c>
      <c r="BG5" s="208">
        <f>MAI!T7</f>
        <v>5324.4880000000003</v>
      </c>
      <c r="BH5" s="208">
        <f>MAI!U7</f>
        <v>1095.624</v>
      </c>
      <c r="BI5" s="208">
        <f>MAI!V7</f>
        <v>799.98400000000004</v>
      </c>
      <c r="BJ5" s="208">
        <f>MAI!W7</f>
        <v>31389.672000000002</v>
      </c>
      <c r="BK5" s="208">
        <f>MAI!X7</f>
        <v>3140.76</v>
      </c>
      <c r="BL5" s="209">
        <f t="shared" si="11"/>
        <v>61325.464</v>
      </c>
      <c r="BM5" s="208">
        <f t="shared" si="63"/>
        <v>47632.08</v>
      </c>
      <c r="BN5" s="208">
        <f t="shared" si="64"/>
        <v>11052.640000000005</v>
      </c>
      <c r="BO5" s="208">
        <f t="shared" si="65"/>
        <v>2201.84</v>
      </c>
      <c r="BP5" s="208">
        <f t="shared" si="66"/>
        <v>697.51199999999994</v>
      </c>
      <c r="BQ5" s="208">
        <f t="shared" si="67"/>
        <v>57908.04</v>
      </c>
      <c r="BR5" s="208">
        <f t="shared" si="68"/>
        <v>7747.561999999999</v>
      </c>
      <c r="BS5" s="209">
        <f t="shared" si="13"/>
        <v>127239.67400000003</v>
      </c>
      <c r="BT5" s="208">
        <f>JUN!S7</f>
        <v>20358.792000000001</v>
      </c>
      <c r="BU5" s="208">
        <f>JUN!T7</f>
        <v>4547.2639999999983</v>
      </c>
      <c r="BV5" s="208">
        <f>JUN!U7</f>
        <v>1449.2719999999999</v>
      </c>
      <c r="BW5" s="208">
        <f>JUN!V7</f>
        <v>729.49600000000009</v>
      </c>
      <c r="BX5" s="208">
        <f>JUN!W7</f>
        <v>38154.536</v>
      </c>
      <c r="BY5" s="208">
        <f>JUN!X7</f>
        <v>2553.3680000000004</v>
      </c>
      <c r="BZ5" s="209">
        <f t="shared" si="14"/>
        <v>67792.728000000003</v>
      </c>
      <c r="CA5" s="208">
        <f t="shared" si="69"/>
        <v>44937.56</v>
      </c>
      <c r="CB5" s="208">
        <f t="shared" si="70"/>
        <v>17090.223999999998</v>
      </c>
      <c r="CC5" s="208">
        <f t="shared" si="71"/>
        <v>1290.6400000000001</v>
      </c>
      <c r="CD5" s="208">
        <f t="shared" si="72"/>
        <v>542.30399999999997</v>
      </c>
      <c r="CE5" s="208">
        <f t="shared" si="73"/>
        <v>53128.08</v>
      </c>
      <c r="CF5" s="208">
        <f t="shared" si="74"/>
        <v>10614.152</v>
      </c>
      <c r="CG5" s="209">
        <f t="shared" si="16"/>
        <v>127602.95999999999</v>
      </c>
      <c r="CH5" s="208">
        <f>JUL!S7</f>
        <v>21805.864000000001</v>
      </c>
      <c r="CI5" s="208">
        <f>JUL!T7</f>
        <v>5921.7440000000006</v>
      </c>
      <c r="CJ5" s="208">
        <f>JUL!U7</f>
        <v>1082.104</v>
      </c>
      <c r="CK5" s="208">
        <f>JUL!V7</f>
        <v>1515.0879999999997</v>
      </c>
      <c r="CL5" s="208">
        <f>JUL!W7</f>
        <v>32780.904000000002</v>
      </c>
      <c r="CM5" s="208">
        <f>JUL!X7</f>
        <v>5913.0879999999997</v>
      </c>
      <c r="CN5" s="209">
        <f t="shared" si="17"/>
        <v>69018.792000000001</v>
      </c>
      <c r="CO5" s="208">
        <f t="shared" si="75"/>
        <v>33885.847999999998</v>
      </c>
      <c r="CP5" s="208">
        <f t="shared" si="76"/>
        <v>9619.0400000000045</v>
      </c>
      <c r="CQ5" s="208">
        <f t="shared" si="77"/>
        <v>1546.64</v>
      </c>
      <c r="CR5" s="208">
        <f t="shared" si="78"/>
        <v>2017.9279999999999</v>
      </c>
      <c r="CS5" s="208">
        <f t="shared" si="79"/>
        <v>63941.760000000009</v>
      </c>
      <c r="CT5" s="208">
        <f t="shared" si="80"/>
        <v>8797.648000000001</v>
      </c>
      <c r="CU5" s="209">
        <f t="shared" si="19"/>
        <v>119808.86400000002</v>
      </c>
      <c r="CV5" s="208">
        <f>AGO!S7</f>
        <v>9724.9040000000005</v>
      </c>
      <c r="CW5" s="208">
        <f>AGO!T7</f>
        <v>4433.9440000000022</v>
      </c>
      <c r="CX5" s="208">
        <f>AGO!U7</f>
        <v>2217.7440000000001</v>
      </c>
      <c r="CY5" s="208">
        <f>AGO!V7</f>
        <v>0</v>
      </c>
      <c r="CZ5" s="208">
        <f>AGO!W7</f>
        <v>35893.784</v>
      </c>
      <c r="DA5" s="208">
        <f>AGO!X7</f>
        <v>3804.424</v>
      </c>
      <c r="DB5" s="209">
        <f t="shared" si="20"/>
        <v>56074.8</v>
      </c>
      <c r="DC5" s="208">
        <f t="shared" si="81"/>
        <v>24412.024000000001</v>
      </c>
      <c r="DD5" s="208">
        <f t="shared" si="82"/>
        <v>12966.672000000002</v>
      </c>
      <c r="DE5" s="208">
        <f t="shared" si="83"/>
        <v>4627.7040000000006</v>
      </c>
      <c r="DF5" s="208">
        <f t="shared" si="84"/>
        <v>1886.992</v>
      </c>
      <c r="DG5" s="208">
        <f t="shared" si="85"/>
        <v>62061.120000000003</v>
      </c>
      <c r="DH5" s="208">
        <f t="shared" si="86"/>
        <v>10083.776</v>
      </c>
      <c r="DI5" s="209">
        <f t="shared" si="22"/>
        <v>116038.288</v>
      </c>
      <c r="DJ5" s="208">
        <f>SET!S7</f>
        <v>7783.1039999999994</v>
      </c>
      <c r="DK5" s="208">
        <f>SET!T7</f>
        <v>6344.2400000000016</v>
      </c>
      <c r="DL5" s="208">
        <f>SET!U7</f>
        <v>2832.0480000000002</v>
      </c>
      <c r="DM5" s="208">
        <f>SET!V7</f>
        <v>779.41600000000005</v>
      </c>
      <c r="DN5" s="208">
        <f>SET!W7</f>
        <v>37998.023999999998</v>
      </c>
      <c r="DO5" s="208">
        <f>SET!X7</f>
        <v>4939.6960000000008</v>
      </c>
      <c r="DP5" s="209">
        <f t="shared" si="23"/>
        <v>60676.527999999998</v>
      </c>
      <c r="DQ5" s="208">
        <f t="shared" si="87"/>
        <v>18824.52</v>
      </c>
      <c r="DR5" s="208">
        <f t="shared" si="88"/>
        <v>9331.503999999999</v>
      </c>
      <c r="DS5" s="208">
        <f t="shared" si="89"/>
        <v>3221.5040000000004</v>
      </c>
      <c r="DT5" s="208">
        <f t="shared" si="90"/>
        <v>543.83199999999999</v>
      </c>
      <c r="DU5" s="208">
        <f t="shared" si="91"/>
        <v>63079.80000000001</v>
      </c>
      <c r="DV5" s="208">
        <f t="shared" si="92"/>
        <v>7777.3180000000011</v>
      </c>
      <c r="DW5" s="209">
        <f t="shared" si="25"/>
        <v>102778.478</v>
      </c>
      <c r="DX5" s="208">
        <f>OUT!S7</f>
        <v>0</v>
      </c>
      <c r="DY5" s="208">
        <f>OUT!T7</f>
        <v>0</v>
      </c>
      <c r="DZ5" s="208">
        <f>OUT!U7</f>
        <v>0</v>
      </c>
      <c r="EA5" s="208">
        <f>OUT!V7</f>
        <v>0</v>
      </c>
      <c r="EB5" s="208">
        <f>OUT!W7</f>
        <v>0</v>
      </c>
      <c r="EC5" s="208">
        <f>OUT!X7</f>
        <v>0</v>
      </c>
      <c r="ED5" s="209">
        <f t="shared" si="26"/>
        <v>0</v>
      </c>
      <c r="EE5" s="208"/>
      <c r="EF5" s="208"/>
      <c r="EG5" s="208"/>
      <c r="EH5" s="208"/>
      <c r="EI5" s="208"/>
      <c r="EJ5" s="208"/>
      <c r="EK5" s="209">
        <f t="shared" si="27"/>
        <v>0</v>
      </c>
      <c r="EL5" s="208">
        <f>NOV!S7</f>
        <v>0</v>
      </c>
      <c r="EM5" s="208">
        <f>NOV!T7</f>
        <v>0</v>
      </c>
      <c r="EN5" s="208">
        <f>NOV!U7</f>
        <v>0</v>
      </c>
      <c r="EO5" s="208">
        <f>NOV!V7</f>
        <v>0</v>
      </c>
      <c r="EP5" s="208">
        <f>NOV!W7</f>
        <v>0</v>
      </c>
      <c r="EQ5" s="208">
        <f>NOV!X7</f>
        <v>0</v>
      </c>
      <c r="ER5" s="209">
        <f t="shared" si="28"/>
        <v>0</v>
      </c>
      <c r="ES5" s="208"/>
      <c r="ET5" s="208"/>
      <c r="EU5" s="208"/>
      <c r="EV5" s="208"/>
      <c r="EW5" s="208"/>
      <c r="EX5" s="208"/>
      <c r="EY5" s="209">
        <f t="shared" si="29"/>
        <v>0</v>
      </c>
      <c r="EZ5" s="208">
        <f>DEZ!S7</f>
        <v>0</v>
      </c>
      <c r="FA5" s="208">
        <f>DEZ!T7</f>
        <v>0</v>
      </c>
      <c r="FB5" s="208">
        <f>DEZ!U7</f>
        <v>0</v>
      </c>
      <c r="FC5" s="208">
        <f>DEZ!V7</f>
        <v>0</v>
      </c>
      <c r="FD5" s="208">
        <f>DEZ!W7</f>
        <v>0</v>
      </c>
      <c r="FE5" s="208">
        <f>DEZ!X7</f>
        <v>0</v>
      </c>
      <c r="FF5" s="209">
        <f t="shared" si="30"/>
        <v>0</v>
      </c>
      <c r="FG5" s="208"/>
      <c r="FH5" s="208"/>
      <c r="FI5" s="208"/>
      <c r="FJ5" s="208"/>
      <c r="FK5" s="208"/>
      <c r="FL5" s="208"/>
      <c r="FM5" s="207">
        <f t="shared" si="31"/>
        <v>0</v>
      </c>
      <c r="FN5" s="210">
        <f t="shared" si="93"/>
        <v>269696.29600000003</v>
      </c>
      <c r="FO5" s="518">
        <f t="shared" si="32"/>
        <v>73180.160000000003</v>
      </c>
      <c r="FP5" s="208">
        <f t="shared" si="33"/>
        <v>14871.848000000002</v>
      </c>
      <c r="FQ5" s="208">
        <f t="shared" si="34"/>
        <v>11852.28</v>
      </c>
      <c r="FR5" s="208">
        <f t="shared" si="35"/>
        <v>366750.54399999994</v>
      </c>
      <c r="FS5" s="208">
        <f t="shared" si="36"/>
        <v>42090.880000000012</v>
      </c>
      <c r="FT5" s="209">
        <f t="shared" si="37"/>
        <v>778442.00800000003</v>
      </c>
      <c r="FU5" s="208">
        <f t="shared" si="94"/>
        <v>389751.56799999997</v>
      </c>
      <c r="FV5" s="208">
        <f t="shared" si="38"/>
        <v>137768.06400000004</v>
      </c>
      <c r="FW5" s="208">
        <f t="shared" si="39"/>
        <v>23957.4</v>
      </c>
      <c r="FX5" s="208">
        <f t="shared" si="40"/>
        <v>10993.576000000001</v>
      </c>
      <c r="FY5" s="208">
        <f t="shared" si="41"/>
        <v>456720.92800000001</v>
      </c>
      <c r="FZ5" s="208">
        <f t="shared" si="42"/>
        <v>72208.928</v>
      </c>
      <c r="GA5" s="207">
        <f t="shared" si="43"/>
        <v>1091400.4640000002</v>
      </c>
      <c r="GB5" s="206">
        <f t="shared" si="95"/>
        <v>-30.803024761660467</v>
      </c>
      <c r="GC5" s="206">
        <f t="shared" si="96"/>
        <v>-46.881622724988006</v>
      </c>
      <c r="GD5" s="206">
        <f t="shared" si="44"/>
        <v>-37.923781378613697</v>
      </c>
      <c r="GE5" s="206">
        <f t="shared" si="45"/>
        <v>7.8109616015753005</v>
      </c>
      <c r="GF5" s="206">
        <f t="shared" si="46"/>
        <v>-19.699203273645495</v>
      </c>
      <c r="GG5" s="206">
        <f t="shared" si="47"/>
        <v>-41.709590260085271</v>
      </c>
      <c r="GH5" s="205">
        <f t="shared" si="97"/>
        <v>-28.674942546112021</v>
      </c>
      <c r="GI5" s="215" t="str">
        <f t="shared" si="98"/>
        <v>menor</v>
      </c>
    </row>
    <row r="6" spans="1:197" s="566" customFormat="1">
      <c r="A6" s="319" t="s">
        <v>79</v>
      </c>
      <c r="B6" s="208">
        <f>VLOOKUP($A$3:$A$29,JAN!$A$5:$B$31,2,)</f>
        <v>14083.384</v>
      </c>
      <c r="C6" s="208">
        <f>VLOOKUP($A$3:$A$29,JAN!$A$5:$C$31,3,)</f>
        <v>8773.4640000000018</v>
      </c>
      <c r="D6" s="208">
        <f>VLOOKUP($A$3:$A$29,JAN!$A$5:$D$31,4,)</f>
        <v>1326.424</v>
      </c>
      <c r="E6" s="208">
        <f>VLOOKUP($A$3:$A$29,JAN!$A$5:$E$31,5,)</f>
        <v>3782.328</v>
      </c>
      <c r="F6" s="208">
        <f>VLOOKUP($A$3:$A$29,JAN!$A$5:$X$32,23,)</f>
        <v>23195.016</v>
      </c>
      <c r="G6" s="208">
        <f>VLOOKUP($A$3:$A$29,JAN!$A$5:$X$32,24,)</f>
        <v>3912.6400000000003</v>
      </c>
      <c r="H6" s="209">
        <f t="shared" si="0"/>
        <v>55073.256000000001</v>
      </c>
      <c r="I6" s="208">
        <f t="shared" si="48"/>
        <v>20979.544000000002</v>
      </c>
      <c r="J6" s="208">
        <f t="shared" si="49"/>
        <v>7505.7760000000017</v>
      </c>
      <c r="K6" s="208">
        <f t="shared" si="50"/>
        <v>2217.4320000000002</v>
      </c>
      <c r="L6" s="208">
        <f t="shared" si="51"/>
        <v>1243.56</v>
      </c>
      <c r="M6" s="208">
        <f t="shared" si="52"/>
        <v>19531.112000000001</v>
      </c>
      <c r="N6" s="208">
        <f t="shared" si="53"/>
        <v>3258.0160000000092</v>
      </c>
      <c r="O6" s="209">
        <f t="shared" si="2"/>
        <v>54735.440000000017</v>
      </c>
      <c r="P6" s="208">
        <f>VLOOKUP($A$3:$A$29,FEV!$A$5:$B$31,2,)</f>
        <v>22179.928</v>
      </c>
      <c r="Q6" s="208">
        <f>VLOOKUP($A$3:$A$29,FEV!$A$5:$C$31,3,)</f>
        <v>6035.0879999999979</v>
      </c>
      <c r="R6" s="208">
        <f>VLOOKUP($A$3:$A$29,FEV!$A$5:$D$31,4,)</f>
        <v>1684.0320000000002</v>
      </c>
      <c r="S6" s="208">
        <f>VLOOKUP($A$3:$A$29,FEV!$A$5:$E$31,5,)</f>
        <v>2639.8080000000004</v>
      </c>
      <c r="T6" s="208">
        <f>VLOOKUP($A$3:$A$29,FEV!$A$5:$X$32,23,)</f>
        <v>20607.624</v>
      </c>
      <c r="U6" s="208">
        <f>VLOOKUP($A$3:$A$29,FEV!$A$5:$X$32,24,)</f>
        <v>4466.32</v>
      </c>
      <c r="V6" s="209">
        <f t="shared" si="54"/>
        <v>57612.799999999996</v>
      </c>
      <c r="W6" s="208">
        <f t="shared" si="55"/>
        <v>20042.936000000002</v>
      </c>
      <c r="X6" s="208">
        <f t="shared" si="3"/>
        <v>5861.6720000000005</v>
      </c>
      <c r="Y6" s="208">
        <f t="shared" si="3"/>
        <v>962.51200000000017</v>
      </c>
      <c r="Z6" s="208">
        <f t="shared" si="3"/>
        <v>1083.72</v>
      </c>
      <c r="AA6" s="208">
        <f t="shared" si="3"/>
        <v>23590.432000000001</v>
      </c>
      <c r="AB6" s="208">
        <f t="shared" si="3"/>
        <v>1420.8960000000002</v>
      </c>
      <c r="AC6" s="209">
        <f t="shared" si="4"/>
        <v>52962.167999999998</v>
      </c>
      <c r="AD6" s="208">
        <f>VLOOKUP($A$3:$A$29,MAR!$A$5:$B$31,2,)</f>
        <v>26225.296000000002</v>
      </c>
      <c r="AE6" s="208">
        <f>VLOOKUP($A$3:$A$29,MAR!$A$5:$C$31,3,)</f>
        <v>7545.5920000000006</v>
      </c>
      <c r="AF6" s="208">
        <f>VLOOKUP($A$3:$A$29,MAR!$A$5:$D$31,4,)</f>
        <v>1677.5439999999999</v>
      </c>
      <c r="AG6" s="208">
        <f>VLOOKUP($A$3:$A$29,MAR!$A$5:$E$31,5,)</f>
        <v>1891.232</v>
      </c>
      <c r="AH6" s="208">
        <f>VLOOKUP($A$3:$A$29,MAR!$A$5:$X$32,23,)</f>
        <v>33737.375999999997</v>
      </c>
      <c r="AI6" s="208">
        <f>VLOOKUP($A$3:$A$29,MAR!$A$5:$X$32,24,)</f>
        <v>4404.04</v>
      </c>
      <c r="AJ6" s="209">
        <f t="shared" si="5"/>
        <v>75481.08</v>
      </c>
      <c r="AK6" s="208">
        <f t="shared" si="56"/>
        <v>22227.392000000003</v>
      </c>
      <c r="AL6" s="208">
        <f t="shared" si="57"/>
        <v>6899.4959999999992</v>
      </c>
      <c r="AM6" s="208">
        <f t="shared" si="58"/>
        <v>3994.8</v>
      </c>
      <c r="AN6" s="208">
        <f t="shared" si="59"/>
        <v>1472.2560000000001</v>
      </c>
      <c r="AO6" s="208">
        <f t="shared" si="60"/>
        <v>27426.000000000004</v>
      </c>
      <c r="AP6" s="208">
        <f t="shared" si="61"/>
        <v>1854.472</v>
      </c>
      <c r="AQ6" s="209">
        <f t="shared" si="7"/>
        <v>63874.416000000005</v>
      </c>
      <c r="AR6" s="208">
        <f>ABR!S8</f>
        <v>50320.072</v>
      </c>
      <c r="AS6" s="208">
        <f>ABR!T8</f>
        <v>12948.568000000001</v>
      </c>
      <c r="AT6" s="208">
        <f>ABR!U8</f>
        <v>1935.9520000000002</v>
      </c>
      <c r="AU6" s="208">
        <f>ABR!V8</f>
        <v>1550.9840000000002</v>
      </c>
      <c r="AV6" s="208">
        <f>ABR!W8</f>
        <v>57736.127999999997</v>
      </c>
      <c r="AW6" s="208">
        <f>ABR!X8</f>
        <v>5589.8079999999991</v>
      </c>
      <c r="AX6" s="209">
        <f t="shared" si="8"/>
        <v>130081.512</v>
      </c>
      <c r="AY6" s="208">
        <f t="shared" si="62"/>
        <v>16381.951999999999</v>
      </c>
      <c r="AZ6" s="208">
        <f t="shared" si="9"/>
        <v>4700.3280000000022</v>
      </c>
      <c r="BA6" s="208">
        <f t="shared" si="9"/>
        <v>1394.24</v>
      </c>
      <c r="BB6" s="208">
        <f t="shared" si="9"/>
        <v>1182.7439999999999</v>
      </c>
      <c r="BC6" s="208">
        <f t="shared" si="9"/>
        <v>21784.080000000002</v>
      </c>
      <c r="BD6" s="208">
        <f t="shared" si="9"/>
        <v>1554.624</v>
      </c>
      <c r="BE6" s="209">
        <f t="shared" si="10"/>
        <v>46997.968000000008</v>
      </c>
      <c r="BF6" s="208">
        <f>MAI!S8</f>
        <v>48918.688000000002</v>
      </c>
      <c r="BG6" s="208">
        <f>MAI!T8</f>
        <v>9533.9120000000021</v>
      </c>
      <c r="BH6" s="208">
        <f>MAI!U8</f>
        <v>1073.6479999999999</v>
      </c>
      <c r="BI6" s="208">
        <f>MAI!V8</f>
        <v>1288.92</v>
      </c>
      <c r="BJ6" s="208">
        <f>MAI!W8</f>
        <v>65214</v>
      </c>
      <c r="BK6" s="208">
        <f>MAI!X8</f>
        <v>5128.9119999999994</v>
      </c>
      <c r="BL6" s="209">
        <f t="shared" si="11"/>
        <v>131158.08000000002</v>
      </c>
      <c r="BM6" s="208">
        <f t="shared" si="63"/>
        <v>14954.976000000002</v>
      </c>
      <c r="BN6" s="208">
        <f t="shared" si="64"/>
        <v>8559.0480000000007</v>
      </c>
      <c r="BO6" s="208">
        <f t="shared" si="65"/>
        <v>2619.1200000000003</v>
      </c>
      <c r="BP6" s="208">
        <f t="shared" si="66"/>
        <v>1702.1920000000002</v>
      </c>
      <c r="BQ6" s="208">
        <f t="shared" si="67"/>
        <v>22410.959999999999</v>
      </c>
      <c r="BR6" s="208">
        <f t="shared" si="68"/>
        <v>2486.7200000000007</v>
      </c>
      <c r="BS6" s="209">
        <f t="shared" si="13"/>
        <v>52733.016000000003</v>
      </c>
      <c r="BT6" s="208">
        <f>JUN!S8</f>
        <v>67248.280000000013</v>
      </c>
      <c r="BU6" s="208">
        <f>JUN!T8</f>
        <v>11991.96</v>
      </c>
      <c r="BV6" s="208">
        <f>JUN!U8</f>
        <v>1056.7440000000001</v>
      </c>
      <c r="BW6" s="208">
        <f>JUN!V8</f>
        <v>1646.5519999999997</v>
      </c>
      <c r="BX6" s="208">
        <f>JUN!W8</f>
        <v>67474.752000000008</v>
      </c>
      <c r="BY6" s="208">
        <f>JUN!X8</f>
        <v>5866.952000000002</v>
      </c>
      <c r="BZ6" s="209">
        <f t="shared" si="14"/>
        <v>155285.24000000002</v>
      </c>
      <c r="CA6" s="208">
        <f t="shared" si="69"/>
        <v>16025.256000000001</v>
      </c>
      <c r="CB6" s="208">
        <f t="shared" si="70"/>
        <v>7560.8880000000008</v>
      </c>
      <c r="CC6" s="208">
        <f t="shared" si="71"/>
        <v>1447.5840000000001</v>
      </c>
      <c r="CD6" s="208">
        <f t="shared" si="72"/>
        <v>0</v>
      </c>
      <c r="CE6" s="208">
        <f t="shared" si="73"/>
        <v>29228.280000000002</v>
      </c>
      <c r="CF6" s="208">
        <f t="shared" si="74"/>
        <v>3662.7760000000003</v>
      </c>
      <c r="CG6" s="209">
        <f t="shared" si="16"/>
        <v>57924.784</v>
      </c>
      <c r="CH6" s="208">
        <f>JUL!S8</f>
        <v>49223.200000000004</v>
      </c>
      <c r="CI6" s="208">
        <f>JUL!T8</f>
        <v>8751.6239999999998</v>
      </c>
      <c r="CJ6" s="208">
        <f>JUL!U8</f>
        <v>1403.3600000000001</v>
      </c>
      <c r="CK6" s="208">
        <f>JUL!V8</f>
        <v>1444.2480000000003</v>
      </c>
      <c r="CL6" s="208">
        <f>JUL!W8</f>
        <v>59909.928000000007</v>
      </c>
      <c r="CM6" s="208">
        <f>JUL!X8</f>
        <v>7086.1760000000013</v>
      </c>
      <c r="CN6" s="209">
        <f t="shared" si="17"/>
        <v>127818.53600000002</v>
      </c>
      <c r="CO6" s="208">
        <f t="shared" si="75"/>
        <v>11146.832000000002</v>
      </c>
      <c r="CP6" s="208">
        <f t="shared" si="76"/>
        <v>5476.2879999999996</v>
      </c>
      <c r="CQ6" s="208">
        <f t="shared" si="77"/>
        <v>1474.232</v>
      </c>
      <c r="CR6" s="208">
        <f t="shared" si="78"/>
        <v>368.85599999999988</v>
      </c>
      <c r="CS6" s="208">
        <f t="shared" si="79"/>
        <v>27426.000000000004</v>
      </c>
      <c r="CT6" s="208">
        <f t="shared" si="80"/>
        <v>2803.6559999999999</v>
      </c>
      <c r="CU6" s="209">
        <f t="shared" si="19"/>
        <v>48695.864000000009</v>
      </c>
      <c r="CV6" s="208">
        <f>AGO!S8</f>
        <v>20361.832000000002</v>
      </c>
      <c r="CW6" s="208">
        <f>AGO!T8</f>
        <v>8534.3520000000026</v>
      </c>
      <c r="CX6" s="208">
        <f>AGO!U8</f>
        <v>3873.9920000000002</v>
      </c>
      <c r="CY6" s="208">
        <f>AGO!V8</f>
        <v>657.03200000000072</v>
      </c>
      <c r="CZ6" s="208">
        <f>AGO!W8</f>
        <v>72778.824000000008</v>
      </c>
      <c r="DA6" s="208">
        <f>AGO!X8</f>
        <v>7465.4560000000001</v>
      </c>
      <c r="DB6" s="209">
        <f t="shared" si="20"/>
        <v>113671.48800000001</v>
      </c>
      <c r="DC6" s="208">
        <f t="shared" si="81"/>
        <v>7176.192</v>
      </c>
      <c r="DD6" s="208">
        <f t="shared" si="82"/>
        <v>2424.5040000000008</v>
      </c>
      <c r="DE6" s="208">
        <f t="shared" si="83"/>
        <v>2785.76</v>
      </c>
      <c r="DF6" s="208">
        <f t="shared" si="84"/>
        <v>535.01600000000019</v>
      </c>
      <c r="DG6" s="208">
        <f t="shared" si="85"/>
        <v>31422.36</v>
      </c>
      <c r="DH6" s="208">
        <f t="shared" si="86"/>
        <v>2594.6720000000005</v>
      </c>
      <c r="DI6" s="209">
        <f t="shared" si="22"/>
        <v>46938.504000000001</v>
      </c>
      <c r="DJ6" s="208">
        <f>SET!S8</f>
        <v>12703.224000000002</v>
      </c>
      <c r="DK6" s="208">
        <f>SET!T8</f>
        <v>6961.1999999999989</v>
      </c>
      <c r="DL6" s="208">
        <f>SET!U8</f>
        <v>2031.7360000000001</v>
      </c>
      <c r="DM6" s="208">
        <f>SET!V8</f>
        <v>670.60799999999983</v>
      </c>
      <c r="DN6" s="208">
        <f>SET!W8</f>
        <v>57562.224000000002</v>
      </c>
      <c r="DO6" s="208">
        <f>SET!X8</f>
        <v>6657.8740000000016</v>
      </c>
      <c r="DP6" s="209">
        <f t="shared" si="23"/>
        <v>86586.865999999995</v>
      </c>
      <c r="DQ6" s="208">
        <f t="shared" si="87"/>
        <v>6146.68</v>
      </c>
      <c r="DR6" s="208">
        <f t="shared" si="88"/>
        <v>8592.0240000000013</v>
      </c>
      <c r="DS6" s="208">
        <f t="shared" si="89"/>
        <v>4069.056</v>
      </c>
      <c r="DT6" s="208">
        <f t="shared" si="90"/>
        <v>2116.8000000000006</v>
      </c>
      <c r="DU6" s="208">
        <f t="shared" si="91"/>
        <v>31814.160000000003</v>
      </c>
      <c r="DV6" s="208">
        <f t="shared" si="92"/>
        <v>6586.3679999999995</v>
      </c>
      <c r="DW6" s="209">
        <f t="shared" si="25"/>
        <v>59325.088000000003</v>
      </c>
      <c r="DX6" s="208">
        <f>OUT!S8</f>
        <v>0</v>
      </c>
      <c r="DY6" s="208">
        <f>OUT!T8</f>
        <v>0</v>
      </c>
      <c r="DZ6" s="208">
        <f>OUT!U8</f>
        <v>0</v>
      </c>
      <c r="EA6" s="208">
        <f>OUT!V8</f>
        <v>0</v>
      </c>
      <c r="EB6" s="208">
        <f>OUT!W8</f>
        <v>0</v>
      </c>
      <c r="EC6" s="208">
        <f>OUT!X8</f>
        <v>0</v>
      </c>
      <c r="ED6" s="209">
        <f t="shared" si="26"/>
        <v>0</v>
      </c>
      <c r="EE6" s="208"/>
      <c r="EF6" s="208"/>
      <c r="EG6" s="208"/>
      <c r="EH6" s="208"/>
      <c r="EI6" s="208"/>
      <c r="EJ6" s="208"/>
      <c r="EK6" s="209">
        <f t="shared" si="27"/>
        <v>0</v>
      </c>
      <c r="EL6" s="208">
        <f>NOV!S8</f>
        <v>0</v>
      </c>
      <c r="EM6" s="208">
        <f>NOV!T8</f>
        <v>0</v>
      </c>
      <c r="EN6" s="208">
        <f>NOV!U8</f>
        <v>0</v>
      </c>
      <c r="EO6" s="208">
        <f>NOV!V8</f>
        <v>0</v>
      </c>
      <c r="EP6" s="208">
        <f>NOV!W8</f>
        <v>0</v>
      </c>
      <c r="EQ6" s="208">
        <f>NOV!X8</f>
        <v>0</v>
      </c>
      <c r="ER6" s="209">
        <f t="shared" si="28"/>
        <v>0</v>
      </c>
      <c r="ES6" s="208"/>
      <c r="ET6" s="208"/>
      <c r="EU6" s="208"/>
      <c r="EV6" s="208"/>
      <c r="EW6" s="208"/>
      <c r="EX6" s="208"/>
      <c r="EY6" s="209">
        <f t="shared" si="29"/>
        <v>0</v>
      </c>
      <c r="EZ6" s="208">
        <f>DEZ!S8</f>
        <v>0</v>
      </c>
      <c r="FA6" s="208">
        <f>DEZ!T8</f>
        <v>0</v>
      </c>
      <c r="FB6" s="208">
        <f>DEZ!U8</f>
        <v>0</v>
      </c>
      <c r="FC6" s="208">
        <f>DEZ!V8</f>
        <v>0</v>
      </c>
      <c r="FD6" s="208">
        <f>DEZ!W8</f>
        <v>0</v>
      </c>
      <c r="FE6" s="208">
        <f>DEZ!X8</f>
        <v>0</v>
      </c>
      <c r="FF6" s="209">
        <f t="shared" si="30"/>
        <v>0</v>
      </c>
      <c r="FG6" s="208"/>
      <c r="FH6" s="208"/>
      <c r="FI6" s="208"/>
      <c r="FJ6" s="208"/>
      <c r="FK6" s="208"/>
      <c r="FL6" s="208"/>
      <c r="FM6" s="207">
        <f t="shared" si="31"/>
        <v>0</v>
      </c>
      <c r="FN6" s="210">
        <f t="shared" si="93"/>
        <v>311263.90399999998</v>
      </c>
      <c r="FO6" s="518">
        <f t="shared" si="32"/>
        <v>81075.759999999995</v>
      </c>
      <c r="FP6" s="208">
        <f t="shared" si="33"/>
        <v>16063.432000000003</v>
      </c>
      <c r="FQ6" s="208">
        <f t="shared" si="34"/>
        <v>15571.712000000001</v>
      </c>
      <c r="FR6" s="208">
        <f t="shared" si="35"/>
        <v>458215.87200000003</v>
      </c>
      <c r="FS6" s="208">
        <f t="shared" si="36"/>
        <v>50578.178</v>
      </c>
      <c r="FT6" s="209">
        <f t="shared" si="37"/>
        <v>932768.85800000001</v>
      </c>
      <c r="FU6" s="208">
        <f t="shared" si="94"/>
        <v>135081.76</v>
      </c>
      <c r="FV6" s="208">
        <f t="shared" si="38"/>
        <v>57580.024000000005</v>
      </c>
      <c r="FW6" s="208">
        <f t="shared" si="39"/>
        <v>20964.736000000001</v>
      </c>
      <c r="FX6" s="208">
        <f t="shared" si="40"/>
        <v>9705.1440000000002</v>
      </c>
      <c r="FY6" s="208">
        <f t="shared" si="41"/>
        <v>234633.38399999999</v>
      </c>
      <c r="FZ6" s="208">
        <f t="shared" si="42"/>
        <v>26222.200000000008</v>
      </c>
      <c r="GA6" s="207">
        <f t="shared" si="43"/>
        <v>484187.24800000002</v>
      </c>
      <c r="GB6" s="206">
        <f t="shared" si="95"/>
        <v>130.42630181898724</v>
      </c>
      <c r="GC6" s="206">
        <f t="shared" si="96"/>
        <v>40.805359858828808</v>
      </c>
      <c r="GD6" s="206">
        <f t="shared" si="44"/>
        <v>-23.378801431127002</v>
      </c>
      <c r="GE6" s="206">
        <f t="shared" si="45"/>
        <v>60.448026325008698</v>
      </c>
      <c r="GF6" s="206">
        <f t="shared" si="46"/>
        <v>95.290143366810952</v>
      </c>
      <c r="GG6" s="206">
        <f t="shared" si="47"/>
        <v>92.883045663597954</v>
      </c>
      <c r="GH6" s="205">
        <f t="shared" si="97"/>
        <v>92.646308190256178</v>
      </c>
      <c r="GI6" s="215" t="str">
        <f t="shared" si="98"/>
        <v>MAIOR</v>
      </c>
    </row>
    <row r="7" spans="1:197" s="566" customFormat="1">
      <c r="A7" s="319" t="s">
        <v>81</v>
      </c>
      <c r="B7" s="208">
        <f>VLOOKUP($A$3:$A$29,JAN!$A$5:$B$31,2,)</f>
        <v>231566.07999999999</v>
      </c>
      <c r="C7" s="208">
        <f>VLOOKUP($A$3:$A$29,JAN!$A$5:$C$31,3,)</f>
        <v>30706.631999999998</v>
      </c>
      <c r="D7" s="208">
        <f>VLOOKUP($A$3:$A$29,JAN!$A$5:$D$31,4,)</f>
        <v>8068.4800000000005</v>
      </c>
      <c r="E7" s="208">
        <f>VLOOKUP($A$3:$A$29,JAN!$A$5:$E$31,5,)</f>
        <v>2671.848</v>
      </c>
      <c r="F7" s="208">
        <f>VLOOKUP($A$3:$A$29,JAN!$A$5:$X$32,23,)</f>
        <v>140790.07200000001</v>
      </c>
      <c r="G7" s="208">
        <f>VLOOKUP($A$3:$A$29,JAN!$A$5:$X$32,24,)</f>
        <v>12183.904</v>
      </c>
      <c r="H7" s="209">
        <f t="shared" si="0"/>
        <v>425987.01599999995</v>
      </c>
      <c r="I7" s="208">
        <f t="shared" si="48"/>
        <v>242000.87200000003</v>
      </c>
      <c r="J7" s="208">
        <f t="shared" si="49"/>
        <v>59740.200000000004</v>
      </c>
      <c r="K7" s="208">
        <f t="shared" si="50"/>
        <v>12373.728000000001</v>
      </c>
      <c r="L7" s="208">
        <f t="shared" si="51"/>
        <v>7503.7200000000012</v>
      </c>
      <c r="M7" s="208">
        <f t="shared" si="52"/>
        <v>118156.48800000001</v>
      </c>
      <c r="N7" s="208">
        <f t="shared" si="53"/>
        <v>20825.095999999987</v>
      </c>
      <c r="O7" s="209">
        <f t="shared" si="2"/>
        <v>460600.10399999999</v>
      </c>
      <c r="P7" s="208">
        <f>VLOOKUP($A$3:$A$29,FEV!$A$5:$B$31,2,)</f>
        <v>280273.24</v>
      </c>
      <c r="Q7" s="208">
        <f>VLOOKUP($A$3:$A$29,FEV!$A$5:$C$31,3,)</f>
        <v>38622.728000000025</v>
      </c>
      <c r="R7" s="208">
        <f>VLOOKUP($A$3:$A$29,FEV!$A$5:$D$31,4,)</f>
        <v>8301.8080000000009</v>
      </c>
      <c r="S7" s="208">
        <f>VLOOKUP($A$3:$A$29,FEV!$A$5:$E$31,5,)</f>
        <v>5451.7439999999988</v>
      </c>
      <c r="T7" s="208">
        <f>VLOOKUP($A$3:$A$29,FEV!$A$5:$X$32,23,)</f>
        <v>185468.61600000001</v>
      </c>
      <c r="U7" s="208">
        <f>VLOOKUP($A$3:$A$29,FEV!$A$5:$X$32,24,)</f>
        <v>15737.248000000005</v>
      </c>
      <c r="V7" s="209">
        <f t="shared" si="54"/>
        <v>533855.38400000008</v>
      </c>
      <c r="W7" s="208">
        <f t="shared" si="55"/>
        <v>257495.67200000002</v>
      </c>
      <c r="X7" s="208">
        <f t="shared" si="3"/>
        <v>51329.68</v>
      </c>
      <c r="Y7" s="208">
        <f t="shared" si="3"/>
        <v>10251.424000000001</v>
      </c>
      <c r="Z7" s="208">
        <f t="shared" si="3"/>
        <v>5404.16</v>
      </c>
      <c r="AA7" s="208">
        <f t="shared" si="3"/>
        <v>138227.04</v>
      </c>
      <c r="AB7" s="208">
        <f t="shared" si="3"/>
        <v>17790.255999999998</v>
      </c>
      <c r="AC7" s="209">
        <f t="shared" si="4"/>
        <v>480498.23200000002</v>
      </c>
      <c r="AD7" s="208">
        <f>VLOOKUP($A$3:$A$29,MAR!$A$5:$B$31,2,)</f>
        <v>293871.56800000003</v>
      </c>
      <c r="AE7" s="208">
        <f>VLOOKUP($A$3:$A$29,MAR!$A$5:$C$31,3,)</f>
        <v>45949.256000000001</v>
      </c>
      <c r="AF7" s="208">
        <f>VLOOKUP($A$3:$A$29,MAR!$A$5:$D$31,4,)</f>
        <v>4164.4160000000002</v>
      </c>
      <c r="AG7" s="208">
        <f>VLOOKUP($A$3:$A$29,MAR!$A$5:$E$31,5,)</f>
        <v>7230.344000000001</v>
      </c>
      <c r="AH7" s="208">
        <f>VLOOKUP($A$3:$A$29,MAR!$A$5:$X$32,23,)</f>
        <v>223205.78400000001</v>
      </c>
      <c r="AI7" s="208">
        <f>VLOOKUP($A$3:$A$29,MAR!$A$5:$X$32,24,)</f>
        <v>19794.656000000003</v>
      </c>
      <c r="AJ7" s="209">
        <f t="shared" si="5"/>
        <v>594216.02399999998</v>
      </c>
      <c r="AK7" s="208">
        <f t="shared" si="56"/>
        <v>206828.47200000001</v>
      </c>
      <c r="AL7" s="208">
        <f t="shared" si="57"/>
        <v>51736.52800000002</v>
      </c>
      <c r="AM7" s="208">
        <f t="shared" si="58"/>
        <v>7765.9440000000004</v>
      </c>
      <c r="AN7" s="208">
        <f t="shared" si="59"/>
        <v>4424.1039999999994</v>
      </c>
      <c r="AO7" s="208">
        <f t="shared" si="60"/>
        <v>163694.04</v>
      </c>
      <c r="AP7" s="208">
        <f t="shared" si="61"/>
        <v>14429.280000000002</v>
      </c>
      <c r="AQ7" s="209">
        <f t="shared" si="7"/>
        <v>448878.36800000002</v>
      </c>
      <c r="AR7" s="208">
        <f>ABR!S9</f>
        <v>129599.92800000001</v>
      </c>
      <c r="AS7" s="208">
        <f>ABR!T9</f>
        <v>40568.336000000003</v>
      </c>
      <c r="AT7" s="208">
        <f>ABR!U9</f>
        <v>5298.9360000000006</v>
      </c>
      <c r="AU7" s="208">
        <f>ABR!V9</f>
        <v>9397.8559999999998</v>
      </c>
      <c r="AV7" s="208">
        <f>ABR!W9</f>
        <v>179990.64</v>
      </c>
      <c r="AW7" s="208">
        <f>ABR!X9</f>
        <v>20817.968000000001</v>
      </c>
      <c r="AX7" s="209">
        <f t="shared" si="8"/>
        <v>385673.66399999999</v>
      </c>
      <c r="AY7" s="208">
        <f t="shared" si="62"/>
        <v>180433.12</v>
      </c>
      <c r="AZ7" s="208">
        <f t="shared" si="9"/>
        <v>43996.720000000016</v>
      </c>
      <c r="BA7" s="208">
        <f t="shared" si="9"/>
        <v>3832.424</v>
      </c>
      <c r="BB7" s="208">
        <f t="shared" si="9"/>
        <v>5336.64</v>
      </c>
      <c r="BC7" s="208">
        <f t="shared" si="9"/>
        <v>158287.20000000001</v>
      </c>
      <c r="BD7" s="208">
        <f t="shared" si="9"/>
        <v>18702.912000000004</v>
      </c>
      <c r="BE7" s="209">
        <f t="shared" si="10"/>
        <v>410589.01600000006</v>
      </c>
      <c r="BF7" s="208">
        <f>MAI!S9</f>
        <v>161512.38400000002</v>
      </c>
      <c r="BG7" s="208">
        <f>MAI!T9</f>
        <v>33000.944000000003</v>
      </c>
      <c r="BH7" s="208">
        <f>MAI!U9</f>
        <v>2776.2640000000001</v>
      </c>
      <c r="BI7" s="208">
        <f>MAI!V9</f>
        <v>12345.944000000001</v>
      </c>
      <c r="BJ7" s="208">
        <f>MAI!W9</f>
        <v>243639.50400000002</v>
      </c>
      <c r="BK7" s="208">
        <f>MAI!X9</f>
        <v>19921.039999999997</v>
      </c>
      <c r="BL7" s="209">
        <f t="shared" si="11"/>
        <v>473196.08</v>
      </c>
      <c r="BM7" s="208">
        <f t="shared" si="63"/>
        <v>130945.592</v>
      </c>
      <c r="BN7" s="208">
        <f t="shared" si="64"/>
        <v>31981.768</v>
      </c>
      <c r="BO7" s="208">
        <f t="shared" si="65"/>
        <v>5573.3600000000006</v>
      </c>
      <c r="BP7" s="208">
        <f t="shared" si="66"/>
        <v>1570.9360000000008</v>
      </c>
      <c r="BQ7" s="208">
        <f t="shared" si="67"/>
        <v>161891.76000000004</v>
      </c>
      <c r="BR7" s="208">
        <f t="shared" si="68"/>
        <v>16199.448000000002</v>
      </c>
      <c r="BS7" s="209">
        <f t="shared" si="13"/>
        <v>348162.86400000006</v>
      </c>
      <c r="BT7" s="208">
        <f>JUN!S9</f>
        <v>171049.74400000001</v>
      </c>
      <c r="BU7" s="208">
        <f>JUN!T9</f>
        <v>26079.536000000011</v>
      </c>
      <c r="BV7" s="208">
        <f>JUN!U9</f>
        <v>2508.84</v>
      </c>
      <c r="BW7" s="208">
        <f>JUN!V9</f>
        <v>4115.1760000000004</v>
      </c>
      <c r="BX7" s="208">
        <f>JUN!W9</f>
        <v>179468.92800000001</v>
      </c>
      <c r="BY7" s="208">
        <f>JUN!X9</f>
        <v>13829.952000000001</v>
      </c>
      <c r="BZ7" s="209">
        <f t="shared" si="14"/>
        <v>397052.17600000004</v>
      </c>
      <c r="CA7" s="208">
        <f t="shared" si="69"/>
        <v>124387.82400000001</v>
      </c>
      <c r="CB7" s="208">
        <f t="shared" si="70"/>
        <v>38060.591999999997</v>
      </c>
      <c r="CC7" s="208">
        <f t="shared" si="71"/>
        <v>6375.5280000000002</v>
      </c>
      <c r="CD7" s="208">
        <f t="shared" si="72"/>
        <v>2135.2479999999996</v>
      </c>
      <c r="CE7" s="208">
        <f t="shared" si="73"/>
        <v>170433</v>
      </c>
      <c r="CF7" s="208">
        <f t="shared" si="74"/>
        <v>23627.632000000001</v>
      </c>
      <c r="CG7" s="209">
        <f t="shared" si="16"/>
        <v>365019.82399999996</v>
      </c>
      <c r="CH7" s="208">
        <f>JUL!S9</f>
        <v>136445.44</v>
      </c>
      <c r="CI7" s="208">
        <f>JUL!T9</f>
        <v>23323.896000000022</v>
      </c>
      <c r="CJ7" s="208">
        <f>JUL!U9</f>
        <v>4893.6959999999999</v>
      </c>
      <c r="CK7" s="208">
        <f>JUL!V9</f>
        <v>3589.0879999999997</v>
      </c>
      <c r="CL7" s="208">
        <f>JUL!W9</f>
        <v>194859.432</v>
      </c>
      <c r="CM7" s="208">
        <f>JUL!X9</f>
        <v>17526.024000000001</v>
      </c>
      <c r="CN7" s="209">
        <f t="shared" si="17"/>
        <v>380637.576</v>
      </c>
      <c r="CO7" s="208">
        <f t="shared" si="75"/>
        <v>98187.04800000001</v>
      </c>
      <c r="CP7" s="208">
        <f t="shared" si="76"/>
        <v>31558.488000000001</v>
      </c>
      <c r="CQ7" s="208">
        <f t="shared" si="77"/>
        <v>9869.224000000002</v>
      </c>
      <c r="CR7" s="208">
        <f t="shared" si="78"/>
        <v>3000.215999999999</v>
      </c>
      <c r="CS7" s="208">
        <f t="shared" si="79"/>
        <v>176231.64</v>
      </c>
      <c r="CT7" s="208">
        <f t="shared" si="80"/>
        <v>22839.008000000005</v>
      </c>
      <c r="CU7" s="209">
        <f t="shared" si="19"/>
        <v>341685.62400000007</v>
      </c>
      <c r="CV7" s="208">
        <f>AGO!S9</f>
        <v>66028.335999999996</v>
      </c>
      <c r="CW7" s="208">
        <f>AGO!T9</f>
        <v>27897.864000000001</v>
      </c>
      <c r="CX7" s="208">
        <f>AGO!U9</f>
        <v>21264.944000000003</v>
      </c>
      <c r="CY7" s="208">
        <f>AGO!V9</f>
        <v>5403.4640000000018</v>
      </c>
      <c r="CZ7" s="208">
        <f>AGO!W9</f>
        <v>233292.21600000001</v>
      </c>
      <c r="DA7" s="208">
        <f>AGO!X9</f>
        <v>25032.312000000002</v>
      </c>
      <c r="DB7" s="209">
        <f t="shared" si="20"/>
        <v>378919.136</v>
      </c>
      <c r="DC7" s="208">
        <f t="shared" si="81"/>
        <v>74755.847999999998</v>
      </c>
      <c r="DD7" s="208">
        <f t="shared" si="82"/>
        <v>34560.088000000003</v>
      </c>
      <c r="DE7" s="208">
        <f t="shared" si="83"/>
        <v>35580.352000000006</v>
      </c>
      <c r="DF7" s="208">
        <f t="shared" si="84"/>
        <v>7274.7760000000017</v>
      </c>
      <c r="DG7" s="208">
        <f t="shared" si="85"/>
        <v>198094.08000000002</v>
      </c>
      <c r="DH7" s="208">
        <f t="shared" si="86"/>
        <v>30176.232</v>
      </c>
      <c r="DI7" s="209">
        <f t="shared" si="22"/>
        <v>380441.37600000005</v>
      </c>
      <c r="DJ7" s="208">
        <f>SET!S9</f>
        <v>59893.168000000005</v>
      </c>
      <c r="DK7" s="208">
        <f>SET!T9</f>
        <v>23301.82399999999</v>
      </c>
      <c r="DL7" s="208">
        <f>SET!U9</f>
        <v>9504.9120000000003</v>
      </c>
      <c r="DM7" s="208">
        <f>SET!V9</f>
        <v>3140.2240000000006</v>
      </c>
      <c r="DN7" s="208">
        <f>SET!W9</f>
        <v>195728.95199999999</v>
      </c>
      <c r="DO7" s="208">
        <f>SET!X9</f>
        <v>24223.608</v>
      </c>
      <c r="DP7" s="209">
        <f t="shared" si="23"/>
        <v>315792.68799999997</v>
      </c>
      <c r="DQ7" s="208">
        <f t="shared" si="87"/>
        <v>64141.495999999999</v>
      </c>
      <c r="DR7" s="208">
        <f t="shared" si="88"/>
        <v>35848.90400000001</v>
      </c>
      <c r="DS7" s="208">
        <f t="shared" si="89"/>
        <v>14716.416000000001</v>
      </c>
      <c r="DT7" s="208">
        <f t="shared" si="90"/>
        <v>3956.5440000000003</v>
      </c>
      <c r="DU7" s="208">
        <f t="shared" si="91"/>
        <v>199661.28</v>
      </c>
      <c r="DV7" s="208">
        <f t="shared" si="92"/>
        <v>28153.248</v>
      </c>
      <c r="DW7" s="209">
        <f t="shared" si="25"/>
        <v>346477.88800000004</v>
      </c>
      <c r="DX7" s="208">
        <f>OUT!S9</f>
        <v>0</v>
      </c>
      <c r="DY7" s="208">
        <f>OUT!T9</f>
        <v>0</v>
      </c>
      <c r="DZ7" s="208">
        <f>OUT!U9</f>
        <v>0</v>
      </c>
      <c r="EA7" s="208">
        <f>OUT!V9</f>
        <v>0</v>
      </c>
      <c r="EB7" s="208">
        <f>OUT!W9</f>
        <v>0</v>
      </c>
      <c r="EC7" s="208">
        <f>OUT!X9</f>
        <v>0</v>
      </c>
      <c r="ED7" s="209">
        <f t="shared" si="26"/>
        <v>0</v>
      </c>
      <c r="EE7" s="208"/>
      <c r="EF7" s="208"/>
      <c r="EG7" s="208"/>
      <c r="EH7" s="208"/>
      <c r="EI7" s="208"/>
      <c r="EJ7" s="208"/>
      <c r="EK7" s="209">
        <f t="shared" si="27"/>
        <v>0</v>
      </c>
      <c r="EL7" s="208">
        <f>NOV!S9</f>
        <v>0</v>
      </c>
      <c r="EM7" s="208">
        <f>NOV!T9</f>
        <v>0</v>
      </c>
      <c r="EN7" s="208">
        <f>NOV!U9</f>
        <v>0</v>
      </c>
      <c r="EO7" s="208">
        <f>NOV!V9</f>
        <v>0</v>
      </c>
      <c r="EP7" s="208">
        <f>NOV!W9</f>
        <v>0</v>
      </c>
      <c r="EQ7" s="208">
        <f>NOV!X9</f>
        <v>0</v>
      </c>
      <c r="ER7" s="209">
        <f t="shared" si="28"/>
        <v>0</v>
      </c>
      <c r="ES7" s="208"/>
      <c r="ET7" s="208"/>
      <c r="EU7" s="208"/>
      <c r="EV7" s="208"/>
      <c r="EW7" s="208"/>
      <c r="EX7" s="208"/>
      <c r="EY7" s="209">
        <f t="shared" si="29"/>
        <v>0</v>
      </c>
      <c r="EZ7" s="208">
        <f>DEZ!S9</f>
        <v>0</v>
      </c>
      <c r="FA7" s="208">
        <f>DEZ!T9</f>
        <v>0</v>
      </c>
      <c r="FB7" s="208">
        <f>DEZ!U9</f>
        <v>0</v>
      </c>
      <c r="FC7" s="208">
        <f>DEZ!V9</f>
        <v>0</v>
      </c>
      <c r="FD7" s="208">
        <f>DEZ!W9</f>
        <v>0</v>
      </c>
      <c r="FE7" s="208">
        <f>DEZ!X9</f>
        <v>0</v>
      </c>
      <c r="FF7" s="209">
        <f t="shared" si="30"/>
        <v>0</v>
      </c>
      <c r="FG7" s="208"/>
      <c r="FH7" s="208"/>
      <c r="FI7" s="208"/>
      <c r="FJ7" s="208"/>
      <c r="FK7" s="208"/>
      <c r="FL7" s="208"/>
      <c r="FM7" s="207">
        <f t="shared" si="31"/>
        <v>0</v>
      </c>
      <c r="FN7" s="210">
        <f t="shared" si="93"/>
        <v>1530239.888</v>
      </c>
      <c r="FO7" s="518">
        <f t="shared" si="32"/>
        <v>289451.016</v>
      </c>
      <c r="FP7" s="208">
        <f t="shared" si="33"/>
        <v>66782.296000000002</v>
      </c>
      <c r="FQ7" s="208">
        <f t="shared" si="34"/>
        <v>53345.688000000002</v>
      </c>
      <c r="FR7" s="208">
        <f t="shared" si="35"/>
        <v>1776444.1440000003</v>
      </c>
      <c r="FS7" s="208">
        <f t="shared" si="36"/>
        <v>169066.71200000003</v>
      </c>
      <c r="FT7" s="209">
        <f t="shared" si="37"/>
        <v>3885329.7440000004</v>
      </c>
      <c r="FU7" s="208">
        <f t="shared" si="94"/>
        <v>1379175.9440000001</v>
      </c>
      <c r="FV7" s="208">
        <f t="shared" si="38"/>
        <v>378812.96799999999</v>
      </c>
      <c r="FW7" s="208">
        <f t="shared" si="39"/>
        <v>106338.40000000001</v>
      </c>
      <c r="FX7" s="208">
        <f t="shared" si="40"/>
        <v>40606.344000000005</v>
      </c>
      <c r="FY7" s="208">
        <f t="shared" si="41"/>
        <v>1484676.5280000002</v>
      </c>
      <c r="FZ7" s="208">
        <f t="shared" si="42"/>
        <v>192743.11199999999</v>
      </c>
      <c r="GA7" s="207">
        <f t="shared" si="43"/>
        <v>3582353.2960000006</v>
      </c>
      <c r="GB7" s="206">
        <f t="shared" si="95"/>
        <v>10.953203226694328</v>
      </c>
      <c r="GC7" s="206">
        <f t="shared" si="96"/>
        <v>-23.58999283255794</v>
      </c>
      <c r="GD7" s="206">
        <f t="shared" si="44"/>
        <v>-37.198325346253093</v>
      </c>
      <c r="GE7" s="206">
        <f t="shared" si="45"/>
        <v>31.372792389287753</v>
      </c>
      <c r="GF7" s="206">
        <f t="shared" si="46"/>
        <v>19.651931615908197</v>
      </c>
      <c r="GG7" s="206">
        <f t="shared" si="47"/>
        <v>-12.283914975908445</v>
      </c>
      <c r="GH7" s="205">
        <f t="shared" si="97"/>
        <v>8.4574697961336938</v>
      </c>
      <c r="GI7" s="215" t="str">
        <f t="shared" si="98"/>
        <v>MAIOR</v>
      </c>
    </row>
    <row r="8" spans="1:197" s="566" customFormat="1">
      <c r="A8" s="319" t="s">
        <v>82</v>
      </c>
      <c r="B8" s="208">
        <f>VLOOKUP($A$3:$A$29,JAN!$A$5:$B$31,2,)</f>
        <v>191930.12</v>
      </c>
      <c r="C8" s="208">
        <f>VLOOKUP($A$3:$A$29,JAN!$A$5:$C$31,3,)</f>
        <v>32234.296000000028</v>
      </c>
      <c r="D8" s="208">
        <f>VLOOKUP($A$3:$A$29,JAN!$A$5:$D$31,4,)</f>
        <v>5424.0640000000003</v>
      </c>
      <c r="E8" s="208">
        <f>VLOOKUP($A$3:$A$29,JAN!$A$5:$E$31,5,)</f>
        <v>10186.048000000001</v>
      </c>
      <c r="F8" s="208">
        <f>VLOOKUP($A$3:$A$29,JAN!$A$5:$X$32,23,)</f>
        <v>92425.512000000002</v>
      </c>
      <c r="G8" s="208">
        <f>VLOOKUP($A$3:$A$29,JAN!$A$5:$X$32,24,)</f>
        <v>15204.544000000002</v>
      </c>
      <c r="H8" s="209">
        <f t="shared" si="0"/>
        <v>347404.58400000003</v>
      </c>
      <c r="I8" s="208">
        <f t="shared" si="48"/>
        <v>210017.18400000001</v>
      </c>
      <c r="J8" s="208">
        <f t="shared" si="49"/>
        <v>36606.880000000026</v>
      </c>
      <c r="K8" s="208">
        <f t="shared" si="50"/>
        <v>7368.2880000000005</v>
      </c>
      <c r="L8" s="208">
        <f t="shared" si="51"/>
        <v>2934.848</v>
      </c>
      <c r="M8" s="208">
        <f t="shared" si="52"/>
        <v>71108.592000000004</v>
      </c>
      <c r="N8" s="208">
        <f t="shared" si="53"/>
        <v>15853.056000000019</v>
      </c>
      <c r="O8" s="209">
        <f t="shared" si="2"/>
        <v>343888.84800000006</v>
      </c>
      <c r="P8" s="208">
        <f>VLOOKUP($A$3:$A$29,FEV!$A$5:$B$31,2,)</f>
        <v>201744.71200000003</v>
      </c>
      <c r="Q8" s="208">
        <f>VLOOKUP($A$3:$A$29,FEV!$A$5:$C$31,3,)</f>
        <v>26505.079999999984</v>
      </c>
      <c r="R8" s="208">
        <f>VLOOKUP($A$3:$A$29,FEV!$A$5:$D$31,4,)</f>
        <v>3817.8080000000004</v>
      </c>
      <c r="S8" s="208">
        <f>VLOOKUP($A$3:$A$29,FEV!$A$5:$E$31,5,)</f>
        <v>11347.024000000001</v>
      </c>
      <c r="T8" s="208">
        <f>VLOOKUP($A$3:$A$29,FEV!$A$5:$X$32,23,)</f>
        <v>109385.61599999999</v>
      </c>
      <c r="U8" s="208">
        <f>VLOOKUP($A$3:$A$29,FEV!$A$5:$X$32,24,)</f>
        <v>13189.888000000001</v>
      </c>
      <c r="V8" s="209">
        <f t="shared" si="54"/>
        <v>365990.12799999997</v>
      </c>
      <c r="W8" s="208">
        <f t="shared" si="55"/>
        <v>168378.76</v>
      </c>
      <c r="X8" s="208">
        <f t="shared" si="3"/>
        <v>21198.591999999982</v>
      </c>
      <c r="Y8" s="208">
        <f t="shared" si="3"/>
        <v>5217.1440000000002</v>
      </c>
      <c r="Z8" s="208">
        <f t="shared" si="3"/>
        <v>2994.9599999999991</v>
      </c>
      <c r="AA8" s="208">
        <f t="shared" si="3"/>
        <v>90200.504000000001</v>
      </c>
      <c r="AB8" s="208">
        <f t="shared" si="3"/>
        <v>8868.7839999999997</v>
      </c>
      <c r="AC8" s="209">
        <f t="shared" si="4"/>
        <v>296858.74399999995</v>
      </c>
      <c r="AD8" s="208">
        <f>VLOOKUP($A$3:$A$29,MAR!$A$5:$B$31,2,)</f>
        <v>175314.88</v>
      </c>
      <c r="AE8" s="208">
        <f>VLOOKUP($A$3:$A$29,MAR!$A$5:$C$31,3,)</f>
        <v>30811.256000000001</v>
      </c>
      <c r="AF8" s="208">
        <f>VLOOKUP($A$3:$A$29,MAR!$A$5:$D$31,4,)</f>
        <v>2607.2000000000003</v>
      </c>
      <c r="AG8" s="208">
        <f>VLOOKUP($A$3:$A$29,MAR!$A$5:$E$31,5,)</f>
        <v>10533.128000000001</v>
      </c>
      <c r="AH8" s="208">
        <f>VLOOKUP($A$3:$A$29,MAR!$A$5:$X$32,23,)</f>
        <v>118950.336</v>
      </c>
      <c r="AI8" s="208">
        <f>VLOOKUP($A$3:$A$29,MAR!$A$5:$X$32,24,)</f>
        <v>17974.727999999999</v>
      </c>
      <c r="AJ8" s="209">
        <f t="shared" si="5"/>
        <v>356191.52799999999</v>
      </c>
      <c r="AK8" s="208">
        <f t="shared" si="56"/>
        <v>114965.75200000001</v>
      </c>
      <c r="AL8" s="208">
        <f t="shared" si="57"/>
        <v>24192.231999999996</v>
      </c>
      <c r="AM8" s="208">
        <f t="shared" si="58"/>
        <v>3926.9519999999998</v>
      </c>
      <c r="AN8" s="208">
        <f t="shared" si="59"/>
        <v>3241.7840000000006</v>
      </c>
      <c r="AO8" s="208">
        <f t="shared" si="60"/>
        <v>92151.360000000015</v>
      </c>
      <c r="AP8" s="208">
        <f t="shared" si="61"/>
        <v>8428.9840000000004</v>
      </c>
      <c r="AQ8" s="209">
        <f t="shared" si="7"/>
        <v>246907.06400000001</v>
      </c>
      <c r="AR8" s="208">
        <f>ABR!S10</f>
        <v>68408.384000000005</v>
      </c>
      <c r="AS8" s="208">
        <f>ABR!T10</f>
        <v>16564.416000000001</v>
      </c>
      <c r="AT8" s="208">
        <f>ABR!U10</f>
        <v>963.75200000000007</v>
      </c>
      <c r="AU8" s="208">
        <f>ABR!V10</f>
        <v>3322.4160000000006</v>
      </c>
      <c r="AV8" s="208">
        <f>ABR!W10</f>
        <v>101472.98400000001</v>
      </c>
      <c r="AW8" s="208">
        <f>ABR!X10</f>
        <v>9136.6640000000007</v>
      </c>
      <c r="AX8" s="209">
        <f t="shared" si="8"/>
        <v>199868.61599999998</v>
      </c>
      <c r="AY8" s="208">
        <f t="shared" si="62"/>
        <v>102782.33600000001</v>
      </c>
      <c r="AZ8" s="208">
        <f t="shared" si="9"/>
        <v>18622.951999999994</v>
      </c>
      <c r="BA8" s="208">
        <f t="shared" si="9"/>
        <v>2637.1200000000003</v>
      </c>
      <c r="BB8" s="208">
        <f t="shared" si="9"/>
        <v>1185.9999999999998</v>
      </c>
      <c r="BC8" s="208">
        <f t="shared" si="9"/>
        <v>88625.16</v>
      </c>
      <c r="BD8" s="208">
        <f t="shared" si="9"/>
        <v>10165.240000000002</v>
      </c>
      <c r="BE8" s="209">
        <f t="shared" si="10"/>
        <v>224018.80799999999</v>
      </c>
      <c r="BF8" s="208">
        <f>MAI!S10</f>
        <v>93006.52</v>
      </c>
      <c r="BG8" s="208">
        <f>MAI!T10</f>
        <v>24647.528000000002</v>
      </c>
      <c r="BH8" s="208">
        <f>MAI!U10</f>
        <v>2852.36</v>
      </c>
      <c r="BI8" s="208">
        <f>MAI!V10</f>
        <v>5126.2400000000007</v>
      </c>
      <c r="BJ8" s="208">
        <f>MAI!W10</f>
        <v>138253.68</v>
      </c>
      <c r="BK8" s="208">
        <f>MAI!X10</f>
        <v>13215.32</v>
      </c>
      <c r="BL8" s="209">
        <f t="shared" si="11"/>
        <v>277101.64799999999</v>
      </c>
      <c r="BM8" s="208">
        <f t="shared" si="63"/>
        <v>74469.423999999999</v>
      </c>
      <c r="BN8" s="208">
        <f t="shared" si="64"/>
        <v>16912.471999999998</v>
      </c>
      <c r="BO8" s="208">
        <f t="shared" si="65"/>
        <v>3206.4880000000003</v>
      </c>
      <c r="BP8" s="208">
        <f t="shared" si="66"/>
        <v>749.08800000000019</v>
      </c>
      <c r="BQ8" s="208">
        <f t="shared" si="67"/>
        <v>93248.400000000009</v>
      </c>
      <c r="BR8" s="208">
        <f t="shared" si="68"/>
        <v>8830.2880000000005</v>
      </c>
      <c r="BS8" s="209">
        <f t="shared" si="13"/>
        <v>197416.16</v>
      </c>
      <c r="BT8" s="208">
        <f>JUN!S10</f>
        <v>129730.56000000001</v>
      </c>
      <c r="BU8" s="208">
        <f>JUN!T10</f>
        <v>50687.815999999992</v>
      </c>
      <c r="BV8" s="208">
        <f>JUN!U10</f>
        <v>1824.3440000000001</v>
      </c>
      <c r="BW8" s="208">
        <f>JUN!V10</f>
        <v>3408.8399999999997</v>
      </c>
      <c r="BX8" s="208">
        <f>JUN!W10</f>
        <v>139036.24799999999</v>
      </c>
      <c r="BY8" s="208">
        <f>JUN!X10</f>
        <v>21362.424000000003</v>
      </c>
      <c r="BZ8" s="209">
        <f t="shared" si="14"/>
        <v>346050.23199999996</v>
      </c>
      <c r="CA8" s="208">
        <f t="shared" si="69"/>
        <v>76047.176000000007</v>
      </c>
      <c r="CB8" s="208">
        <f t="shared" si="70"/>
        <v>16694.583999999999</v>
      </c>
      <c r="CC8" s="208">
        <f t="shared" si="71"/>
        <v>2346.6080000000002</v>
      </c>
      <c r="CD8" s="208">
        <f t="shared" si="72"/>
        <v>1121.0080000000003</v>
      </c>
      <c r="CE8" s="208">
        <f t="shared" si="73"/>
        <v>106099.44</v>
      </c>
      <c r="CF8" s="208">
        <f t="shared" si="74"/>
        <v>13068.672</v>
      </c>
      <c r="CG8" s="209">
        <f t="shared" si="16"/>
        <v>215377.48800000001</v>
      </c>
      <c r="CH8" s="208">
        <f>JUL!S10</f>
        <v>113325.376</v>
      </c>
      <c r="CI8" s="208">
        <f>JUL!T10</f>
        <v>37589.008000000009</v>
      </c>
      <c r="CJ8" s="208">
        <f>JUL!U10</f>
        <v>4761.8239999999996</v>
      </c>
      <c r="CK8" s="208">
        <f>JUL!V10</f>
        <v>5578.5680000000002</v>
      </c>
      <c r="CL8" s="208">
        <f>JUL!W10</f>
        <v>134253.88800000001</v>
      </c>
      <c r="CM8" s="208">
        <f>JUL!X10</f>
        <v>26844.552</v>
      </c>
      <c r="CN8" s="209">
        <f t="shared" si="17"/>
        <v>322353.21600000001</v>
      </c>
      <c r="CO8" s="208">
        <f t="shared" si="75"/>
        <v>55867.495999999999</v>
      </c>
      <c r="CP8" s="208">
        <f t="shared" si="76"/>
        <v>15715.016000000001</v>
      </c>
      <c r="CQ8" s="208">
        <f t="shared" si="77"/>
        <v>3367.2640000000001</v>
      </c>
      <c r="CR8" s="208">
        <f t="shared" si="78"/>
        <v>2212.4800000000005</v>
      </c>
      <c r="CS8" s="208">
        <f t="shared" si="79"/>
        <v>128902.20000000001</v>
      </c>
      <c r="CT8" s="208">
        <f t="shared" si="80"/>
        <v>13224.12</v>
      </c>
      <c r="CU8" s="209">
        <f t="shared" si="19"/>
        <v>219288.576</v>
      </c>
      <c r="CV8" s="208">
        <f>AGO!S10</f>
        <v>64609.376000000004</v>
      </c>
      <c r="CW8" s="208">
        <f>AGO!T10</f>
        <v>41165.815999999992</v>
      </c>
      <c r="CX8" s="208">
        <f>AGO!U10</f>
        <v>12949.304</v>
      </c>
      <c r="CY8" s="208">
        <f>AGO!V10</f>
        <v>4652.2000000000016</v>
      </c>
      <c r="CZ8" s="208">
        <f>AGO!W10</f>
        <v>146340.21600000001</v>
      </c>
      <c r="DA8" s="208">
        <f>AGO!X10</f>
        <v>31971.88</v>
      </c>
      <c r="DB8" s="209">
        <f t="shared" si="20"/>
        <v>301688.79200000002</v>
      </c>
      <c r="DC8" s="208">
        <f t="shared" si="81"/>
        <v>42234.456000000006</v>
      </c>
      <c r="DD8" s="208">
        <f t="shared" si="82"/>
        <v>13308.608000000006</v>
      </c>
      <c r="DE8" s="208">
        <f t="shared" si="83"/>
        <v>15099.712</v>
      </c>
      <c r="DF8" s="208">
        <f t="shared" si="84"/>
        <v>2349.5119999999997</v>
      </c>
      <c r="DG8" s="208">
        <f t="shared" si="85"/>
        <v>122868.48000000001</v>
      </c>
      <c r="DH8" s="208">
        <f t="shared" si="86"/>
        <v>12321.368</v>
      </c>
      <c r="DI8" s="209">
        <f t="shared" si="22"/>
        <v>208182.13600000003</v>
      </c>
      <c r="DJ8" s="208">
        <f>SET!S10</f>
        <v>45471.415999999997</v>
      </c>
      <c r="DK8" s="208">
        <f>SET!T10</f>
        <v>38420.984000000004</v>
      </c>
      <c r="DL8" s="208">
        <f>SET!U10</f>
        <v>4082.5120000000006</v>
      </c>
      <c r="DM8" s="208">
        <f>SET!V10</f>
        <v>2203.4479999999999</v>
      </c>
      <c r="DN8" s="208">
        <f>SET!W10</f>
        <v>137471.11199999999</v>
      </c>
      <c r="DO8" s="208">
        <f>SET!X10</f>
        <v>28576.239999999998</v>
      </c>
      <c r="DP8" s="209">
        <f t="shared" si="23"/>
        <v>256225.712</v>
      </c>
      <c r="DQ8" s="208">
        <f t="shared" si="87"/>
        <v>29877.72</v>
      </c>
      <c r="DR8" s="208">
        <f t="shared" si="88"/>
        <v>11241.503999999997</v>
      </c>
      <c r="DS8" s="208">
        <f t="shared" si="89"/>
        <v>7197.2960000000012</v>
      </c>
      <c r="DT8" s="208">
        <f t="shared" si="90"/>
        <v>2671.8399999999997</v>
      </c>
      <c r="DU8" s="208">
        <f t="shared" si="91"/>
        <v>114405.6</v>
      </c>
      <c r="DV8" s="208">
        <f t="shared" si="92"/>
        <v>11051.304000000002</v>
      </c>
      <c r="DW8" s="209">
        <f t="shared" si="25"/>
        <v>176445.26400000002</v>
      </c>
      <c r="DX8" s="208">
        <f>OUT!S10</f>
        <v>0</v>
      </c>
      <c r="DY8" s="208">
        <f>OUT!T10</f>
        <v>0</v>
      </c>
      <c r="DZ8" s="208">
        <f>OUT!U10</f>
        <v>0</v>
      </c>
      <c r="EA8" s="208">
        <f>OUT!V10</f>
        <v>0</v>
      </c>
      <c r="EB8" s="208">
        <f>OUT!W10</f>
        <v>0</v>
      </c>
      <c r="EC8" s="208">
        <f>OUT!X10</f>
        <v>0</v>
      </c>
      <c r="ED8" s="209">
        <f t="shared" si="26"/>
        <v>0</v>
      </c>
      <c r="EE8" s="208"/>
      <c r="EF8" s="208"/>
      <c r="EG8" s="208"/>
      <c r="EH8" s="208"/>
      <c r="EI8" s="208"/>
      <c r="EJ8" s="208"/>
      <c r="EK8" s="209">
        <f t="shared" si="27"/>
        <v>0</v>
      </c>
      <c r="EL8" s="208">
        <f>NOV!S10</f>
        <v>0</v>
      </c>
      <c r="EM8" s="208">
        <f>NOV!T10</f>
        <v>0</v>
      </c>
      <c r="EN8" s="208">
        <f>NOV!U10</f>
        <v>0</v>
      </c>
      <c r="EO8" s="208">
        <f>NOV!V10</f>
        <v>0</v>
      </c>
      <c r="EP8" s="208">
        <f>NOV!W10</f>
        <v>0</v>
      </c>
      <c r="EQ8" s="208">
        <f>NOV!X10</f>
        <v>0</v>
      </c>
      <c r="ER8" s="209">
        <f t="shared" si="28"/>
        <v>0</v>
      </c>
      <c r="ES8" s="208"/>
      <c r="ET8" s="208"/>
      <c r="EU8" s="208"/>
      <c r="EV8" s="208"/>
      <c r="EW8" s="208"/>
      <c r="EX8" s="208"/>
      <c r="EY8" s="209">
        <f t="shared" si="29"/>
        <v>0</v>
      </c>
      <c r="EZ8" s="208">
        <f>DEZ!S10</f>
        <v>0</v>
      </c>
      <c r="FA8" s="208">
        <f>DEZ!T10</f>
        <v>0</v>
      </c>
      <c r="FB8" s="208">
        <f>DEZ!U10</f>
        <v>0</v>
      </c>
      <c r="FC8" s="208">
        <f>DEZ!V10</f>
        <v>0</v>
      </c>
      <c r="FD8" s="208">
        <f>DEZ!W10</f>
        <v>0</v>
      </c>
      <c r="FE8" s="208">
        <f>DEZ!X10</f>
        <v>0</v>
      </c>
      <c r="FF8" s="209">
        <f t="shared" si="30"/>
        <v>0</v>
      </c>
      <c r="FG8" s="208"/>
      <c r="FH8" s="208"/>
      <c r="FI8" s="208"/>
      <c r="FJ8" s="208"/>
      <c r="FK8" s="208"/>
      <c r="FL8" s="208"/>
      <c r="FM8" s="207">
        <f t="shared" si="31"/>
        <v>0</v>
      </c>
      <c r="FN8" s="210">
        <f t="shared" si="93"/>
        <v>1083541.3440000003</v>
      </c>
      <c r="FO8" s="518">
        <f t="shared" si="32"/>
        <v>298626.2</v>
      </c>
      <c r="FP8" s="208">
        <f t="shared" si="33"/>
        <v>39283.168000000005</v>
      </c>
      <c r="FQ8" s="208">
        <f t="shared" si="34"/>
        <v>56357.911999999997</v>
      </c>
      <c r="FR8" s="208">
        <f t="shared" si="35"/>
        <v>1117589.5920000002</v>
      </c>
      <c r="FS8" s="208">
        <f t="shared" si="36"/>
        <v>177476.24</v>
      </c>
      <c r="FT8" s="209">
        <f t="shared" si="37"/>
        <v>2772874.4560000002</v>
      </c>
      <c r="FU8" s="208">
        <f t="shared" si="94"/>
        <v>874640.304</v>
      </c>
      <c r="FV8" s="208">
        <f t="shared" si="38"/>
        <v>174492.83999999997</v>
      </c>
      <c r="FW8" s="208">
        <f t="shared" si="39"/>
        <v>50366.872000000003</v>
      </c>
      <c r="FX8" s="208">
        <f t="shared" si="40"/>
        <v>19461.52</v>
      </c>
      <c r="FY8" s="208">
        <f t="shared" si="41"/>
        <v>907609.73599999992</v>
      </c>
      <c r="FZ8" s="208">
        <f t="shared" si="42"/>
        <v>101811.81600000004</v>
      </c>
      <c r="GA8" s="207">
        <f t="shared" si="43"/>
        <v>2128383.088</v>
      </c>
      <c r="GB8" s="206">
        <f t="shared" si="95"/>
        <v>23.884222925084899</v>
      </c>
      <c r="GC8" s="206">
        <f t="shared" si="96"/>
        <v>71.139514950871387</v>
      </c>
      <c r="GD8" s="206">
        <f t="shared" si="44"/>
        <v>-22.005940730248241</v>
      </c>
      <c r="GE8" s="206">
        <f t="shared" si="45"/>
        <v>189.5863837973601</v>
      </c>
      <c r="GF8" s="206">
        <f t="shared" si="46"/>
        <v>23.135478573138641</v>
      </c>
      <c r="GG8" s="206">
        <f t="shared" si="47"/>
        <v>74.317920033957478</v>
      </c>
      <c r="GH8" s="205">
        <f t="shared" si="97"/>
        <v>30.280797269706568</v>
      </c>
      <c r="GI8" s="215" t="str">
        <f t="shared" si="98"/>
        <v>MAIOR</v>
      </c>
    </row>
    <row r="9" spans="1:197" s="566" customFormat="1">
      <c r="A9" s="319" t="s">
        <v>83</v>
      </c>
      <c r="B9" s="208">
        <f>VLOOKUP($A$3:$A$29,JAN!$A$5:$B$31,2,)</f>
        <v>252936.65600000002</v>
      </c>
      <c r="C9" s="208">
        <f>VLOOKUP($A$3:$A$29,JAN!$A$5:$C$31,3,)</f>
        <v>43282.104000000014</v>
      </c>
      <c r="D9" s="208">
        <f>VLOOKUP($A$3:$A$29,JAN!$A$5:$D$31,4,)</f>
        <v>6695.5520000000006</v>
      </c>
      <c r="E9" s="208">
        <f>VLOOKUP($A$3:$A$29,JAN!$A$5:$E$31,5,)</f>
        <v>4898.4159999999993</v>
      </c>
      <c r="F9" s="208">
        <f>VLOOKUP($A$3:$A$29,JAN!$A$5:$X$32,23,)</f>
        <v>109392.84</v>
      </c>
      <c r="G9" s="208">
        <f>VLOOKUP($A$3:$A$29,JAN!$A$5:$X$32,24,)</f>
        <v>18313.168000000001</v>
      </c>
      <c r="H9" s="209">
        <f t="shared" si="0"/>
        <v>435518.73600000009</v>
      </c>
      <c r="I9" s="208">
        <f t="shared" si="48"/>
        <v>270511.32799999998</v>
      </c>
      <c r="J9" s="208">
        <f t="shared" si="49"/>
        <v>60776.248</v>
      </c>
      <c r="K9" s="208">
        <f t="shared" si="50"/>
        <v>6882.1440000000002</v>
      </c>
      <c r="L9" s="208">
        <f t="shared" si="51"/>
        <v>2733.9119999999998</v>
      </c>
      <c r="M9" s="208">
        <f t="shared" si="52"/>
        <v>98439.26400000001</v>
      </c>
      <c r="N9" s="208">
        <f t="shared" si="53"/>
        <v>21814.584000000032</v>
      </c>
      <c r="O9" s="209">
        <f t="shared" si="2"/>
        <v>461157.48000000004</v>
      </c>
      <c r="P9" s="208">
        <f>VLOOKUP($A$3:$A$29,FEV!$A$5:$B$31,2,)</f>
        <v>357140.37599999999</v>
      </c>
      <c r="Q9" s="208">
        <f>VLOOKUP($A$3:$A$29,FEV!$A$5:$C$31,3,)</f>
        <v>40493.136000000035</v>
      </c>
      <c r="R9" s="208">
        <f>VLOOKUP($A$3:$A$29,FEV!$A$5:$D$31,4,)</f>
        <v>8834.4080000000013</v>
      </c>
      <c r="S9" s="208">
        <f>VLOOKUP($A$3:$A$29,FEV!$A$5:$E$31,5,)</f>
        <v>4019.7280000000001</v>
      </c>
      <c r="T9" s="208">
        <f>VLOOKUP($A$3:$A$29,FEV!$A$5:$X$32,23,)</f>
        <v>123037.08</v>
      </c>
      <c r="U9" s="208">
        <f>VLOOKUP($A$3:$A$29,FEV!$A$5:$X$32,24,)</f>
        <v>14923.616000000004</v>
      </c>
      <c r="V9" s="209">
        <f t="shared" si="54"/>
        <v>548448.34400000004</v>
      </c>
      <c r="W9" s="208">
        <f t="shared" si="55"/>
        <v>333519.75200000004</v>
      </c>
      <c r="X9" s="208">
        <f t="shared" si="3"/>
        <v>42452.431999999979</v>
      </c>
      <c r="Y9" s="208">
        <f t="shared" si="3"/>
        <v>12869.352000000001</v>
      </c>
      <c r="Z9" s="208">
        <f t="shared" si="3"/>
        <v>6516.0319999999992</v>
      </c>
      <c r="AA9" s="208">
        <f t="shared" si="3"/>
        <v>106812.82400000001</v>
      </c>
      <c r="AB9" s="208">
        <f t="shared" si="3"/>
        <v>18843.984</v>
      </c>
      <c r="AC9" s="209">
        <f t="shared" si="4"/>
        <v>521014.37600000005</v>
      </c>
      <c r="AD9" s="208">
        <f>VLOOKUP($A$3:$A$29,MAR!$A$5:$B$31,2,)</f>
        <v>264620.72000000003</v>
      </c>
      <c r="AE9" s="208">
        <f>VLOOKUP($A$3:$A$29,MAR!$A$5:$C$31,3,)</f>
        <v>38141.248</v>
      </c>
      <c r="AF9" s="208">
        <f>VLOOKUP($A$3:$A$29,MAR!$A$5:$D$31,4,)</f>
        <v>4580.3599999999997</v>
      </c>
      <c r="AG9" s="208">
        <f>VLOOKUP($A$3:$A$29,MAR!$A$5:$E$31,5,)</f>
        <v>3325.056</v>
      </c>
      <c r="AH9" s="208">
        <f>VLOOKUP($A$3:$A$29,MAR!$A$5:$X$32,23,)</f>
        <v>145122.88800000001</v>
      </c>
      <c r="AI9" s="208">
        <f>VLOOKUP($A$3:$A$29,MAR!$A$5:$X$32,24,)</f>
        <v>15589.96</v>
      </c>
      <c r="AJ9" s="209">
        <f t="shared" si="5"/>
        <v>471380.23200000002</v>
      </c>
      <c r="AK9" s="208">
        <f t="shared" si="56"/>
        <v>220545.50400000002</v>
      </c>
      <c r="AL9" s="208">
        <f t="shared" si="57"/>
        <v>52389.216</v>
      </c>
      <c r="AM9" s="208">
        <f t="shared" si="58"/>
        <v>6368.9440000000004</v>
      </c>
      <c r="AN9" s="208">
        <f t="shared" si="59"/>
        <v>2614.6800000000003</v>
      </c>
      <c r="AO9" s="208">
        <f t="shared" si="60"/>
        <v>143868.96000000002</v>
      </c>
      <c r="AP9" s="208">
        <f t="shared" si="61"/>
        <v>15673.368</v>
      </c>
      <c r="AQ9" s="209">
        <f t="shared" si="7"/>
        <v>441460.67200000008</v>
      </c>
      <c r="AR9" s="208">
        <f>ABR!S11</f>
        <v>126403.64</v>
      </c>
      <c r="AS9" s="208">
        <f>ABR!T11</f>
        <v>30164.248</v>
      </c>
      <c r="AT9" s="208">
        <f>ABR!U11</f>
        <v>2867.56</v>
      </c>
      <c r="AU9" s="208">
        <f>ABR!V11</f>
        <v>3417.1040000000003</v>
      </c>
      <c r="AV9" s="208">
        <f>ABR!W11</f>
        <v>129471.52800000001</v>
      </c>
      <c r="AW9" s="208">
        <f>ABR!X11</f>
        <v>13695.072000000002</v>
      </c>
      <c r="AX9" s="209">
        <f t="shared" si="8"/>
        <v>306019.152</v>
      </c>
      <c r="AY9" s="208">
        <f t="shared" si="62"/>
        <v>182934.55200000003</v>
      </c>
      <c r="AZ9" s="208">
        <f t="shared" si="9"/>
        <v>43092.56</v>
      </c>
      <c r="BA9" s="208">
        <f t="shared" si="9"/>
        <v>4068.7120000000004</v>
      </c>
      <c r="BB9" s="208">
        <f t="shared" si="9"/>
        <v>3857.0639999999994</v>
      </c>
      <c r="BC9" s="208">
        <f t="shared" si="9"/>
        <v>118088.52000000002</v>
      </c>
      <c r="BD9" s="208">
        <f t="shared" si="9"/>
        <v>16466.055999999997</v>
      </c>
      <c r="BE9" s="209">
        <f t="shared" si="10"/>
        <v>368507.46400000004</v>
      </c>
      <c r="BF9" s="208">
        <f>MAI!S11</f>
        <v>152377.67199999999</v>
      </c>
      <c r="BG9" s="208">
        <f>MAI!T11</f>
        <v>87297.888000000006</v>
      </c>
      <c r="BH9" s="208">
        <f>MAI!U11</f>
        <v>2974.1040000000003</v>
      </c>
      <c r="BI9" s="208">
        <f>MAI!V11</f>
        <v>17085.472000000002</v>
      </c>
      <c r="BJ9" s="208">
        <f>MAI!W11</f>
        <v>161035.10399999999</v>
      </c>
      <c r="BK9" s="208">
        <f>MAI!X11</f>
        <v>39566.047999999995</v>
      </c>
      <c r="BL9" s="209">
        <f t="shared" si="11"/>
        <v>460336.288</v>
      </c>
      <c r="BM9" s="208">
        <f t="shared" si="63"/>
        <v>110522.35200000001</v>
      </c>
      <c r="BN9" s="208">
        <f t="shared" si="64"/>
        <v>39012.424000000014</v>
      </c>
      <c r="BO9" s="208">
        <f t="shared" si="65"/>
        <v>4197.0879999999997</v>
      </c>
      <c r="BP9" s="208">
        <f t="shared" si="66"/>
        <v>1679.6800000000003</v>
      </c>
      <c r="BQ9" s="208">
        <f t="shared" si="67"/>
        <v>128667.12000000001</v>
      </c>
      <c r="BR9" s="208">
        <f t="shared" si="68"/>
        <v>19618.128000000004</v>
      </c>
      <c r="BS9" s="209">
        <f t="shared" si="13"/>
        <v>303696.79200000002</v>
      </c>
      <c r="BT9" s="208">
        <f>JUN!S11</f>
        <v>185119.79200000002</v>
      </c>
      <c r="BU9" s="208">
        <f>JUN!T11</f>
        <v>59005.864000000016</v>
      </c>
      <c r="BV9" s="208">
        <f>JUN!U11</f>
        <v>2974.92</v>
      </c>
      <c r="BW9" s="208">
        <f>JUN!V11</f>
        <v>4249.9600000000009</v>
      </c>
      <c r="BX9" s="208">
        <f>JUN!W11</f>
        <v>135645.12</v>
      </c>
      <c r="BY9" s="208">
        <f>JUN!X11</f>
        <v>28231.216000000004</v>
      </c>
      <c r="BZ9" s="209">
        <f t="shared" si="14"/>
        <v>415226.87200000003</v>
      </c>
      <c r="CA9" s="208">
        <f t="shared" si="69"/>
        <v>113401.20000000001</v>
      </c>
      <c r="CB9" s="208">
        <f t="shared" si="70"/>
        <v>32656.136000000006</v>
      </c>
      <c r="CC9" s="208">
        <f t="shared" si="71"/>
        <v>8473.9040000000005</v>
      </c>
      <c r="CD9" s="208">
        <f t="shared" si="72"/>
        <v>2732.8160000000007</v>
      </c>
      <c r="CE9" s="208">
        <f t="shared" si="73"/>
        <v>133650.81600000002</v>
      </c>
      <c r="CF9" s="208">
        <f t="shared" si="74"/>
        <v>21863.024000000001</v>
      </c>
      <c r="CG9" s="209">
        <f t="shared" si="16"/>
        <v>312777.89600000001</v>
      </c>
      <c r="CH9" s="208">
        <f>JUL!S11</f>
        <v>163041.91200000001</v>
      </c>
      <c r="CI9" s="208">
        <f>JUL!T11</f>
        <v>46717.120000000024</v>
      </c>
      <c r="CJ9" s="208">
        <f>JUL!U11</f>
        <v>5902.5280000000002</v>
      </c>
      <c r="CK9" s="208">
        <f>JUL!V11</f>
        <v>2792.2640000000001</v>
      </c>
      <c r="CL9" s="208">
        <f>JUL!W11</f>
        <v>133558.272</v>
      </c>
      <c r="CM9" s="208">
        <f>JUL!X11</f>
        <v>27949.584000000006</v>
      </c>
      <c r="CN9" s="209">
        <f t="shared" si="17"/>
        <v>379961.68000000005</v>
      </c>
      <c r="CO9" s="208">
        <f t="shared" si="75"/>
        <v>86031.464000000007</v>
      </c>
      <c r="CP9" s="208">
        <f t="shared" si="76"/>
        <v>36361.80000000001</v>
      </c>
      <c r="CQ9" s="208">
        <f t="shared" si="77"/>
        <v>6411.8559999999998</v>
      </c>
      <c r="CR9" s="208">
        <f t="shared" si="78"/>
        <v>3141.5680000000011</v>
      </c>
      <c r="CS9" s="208">
        <f t="shared" si="79"/>
        <v>144495.84</v>
      </c>
      <c r="CT9" s="208">
        <f t="shared" si="80"/>
        <v>23002.792000000001</v>
      </c>
      <c r="CU9" s="209">
        <f t="shared" si="19"/>
        <v>299445.32000000007</v>
      </c>
      <c r="CV9" s="208">
        <f>AGO!S11</f>
        <v>114199.80800000002</v>
      </c>
      <c r="CW9" s="208">
        <f>AGO!T11</f>
        <v>57915.767999999996</v>
      </c>
      <c r="CX9" s="208">
        <f>AGO!U11</f>
        <v>22826.896000000001</v>
      </c>
      <c r="CY9" s="208">
        <f>AGO!V11</f>
        <v>4580.0959999999995</v>
      </c>
      <c r="CZ9" s="208">
        <f>AGO!W11</f>
        <v>140949.19200000001</v>
      </c>
      <c r="DA9" s="208">
        <f>AGO!X11</f>
        <v>43496.880000000005</v>
      </c>
      <c r="DB9" s="209">
        <f t="shared" si="20"/>
        <v>383968.64</v>
      </c>
      <c r="DC9" s="208">
        <f t="shared" si="81"/>
        <v>56014.92</v>
      </c>
      <c r="DD9" s="208">
        <f t="shared" si="82"/>
        <v>27903.432000000008</v>
      </c>
      <c r="DE9" s="208">
        <f t="shared" si="83"/>
        <v>27842.896000000004</v>
      </c>
      <c r="DF9" s="208">
        <f t="shared" si="84"/>
        <v>4690.7759999999953</v>
      </c>
      <c r="DG9" s="208">
        <f t="shared" si="85"/>
        <v>132820.20000000001</v>
      </c>
      <c r="DH9" s="208">
        <f t="shared" si="86"/>
        <v>21669.84</v>
      </c>
      <c r="DI9" s="209">
        <f t="shared" si="22"/>
        <v>270942.06400000007</v>
      </c>
      <c r="DJ9" s="208">
        <f>SET!S11</f>
        <v>68259.248000000007</v>
      </c>
      <c r="DK9" s="208">
        <f>SET!T11</f>
        <v>53768.863999999994</v>
      </c>
      <c r="DL9" s="208">
        <f>SET!U11</f>
        <v>10434.92</v>
      </c>
      <c r="DM9" s="208">
        <f>SET!V11</f>
        <v>5038.0720000000019</v>
      </c>
      <c r="DN9" s="208">
        <f>SET!W11</f>
        <v>129558.48000000001</v>
      </c>
      <c r="DO9" s="208">
        <f>SET!X11</f>
        <v>39840.663999999997</v>
      </c>
      <c r="DP9" s="209">
        <f t="shared" si="23"/>
        <v>306900.24800000002</v>
      </c>
      <c r="DQ9" s="208">
        <f t="shared" si="87"/>
        <v>44432.144</v>
      </c>
      <c r="DR9" s="208">
        <f t="shared" si="88"/>
        <v>27540.223999999995</v>
      </c>
      <c r="DS9" s="208">
        <f t="shared" si="89"/>
        <v>9018.2080000000005</v>
      </c>
      <c r="DT9" s="208">
        <f t="shared" si="90"/>
        <v>1575.6559999999999</v>
      </c>
      <c r="DU9" s="208">
        <f t="shared" si="91"/>
        <v>134073.96000000002</v>
      </c>
      <c r="DV9" s="208">
        <f t="shared" si="92"/>
        <v>19213.872000000003</v>
      </c>
      <c r="DW9" s="209">
        <f t="shared" si="25"/>
        <v>235854.06400000001</v>
      </c>
      <c r="DX9" s="208">
        <f>OUT!S11</f>
        <v>0</v>
      </c>
      <c r="DY9" s="208">
        <f>OUT!T11</f>
        <v>0</v>
      </c>
      <c r="DZ9" s="208">
        <f>OUT!U11</f>
        <v>0</v>
      </c>
      <c r="EA9" s="208">
        <f>OUT!V11</f>
        <v>0</v>
      </c>
      <c r="EB9" s="208">
        <f>OUT!W11</f>
        <v>0</v>
      </c>
      <c r="EC9" s="208">
        <f>OUT!X11</f>
        <v>0</v>
      </c>
      <c r="ED9" s="209">
        <f t="shared" si="26"/>
        <v>0</v>
      </c>
      <c r="EE9" s="208"/>
      <c r="EF9" s="208"/>
      <c r="EG9" s="208"/>
      <c r="EH9" s="208"/>
      <c r="EI9" s="208"/>
      <c r="EJ9" s="208"/>
      <c r="EK9" s="209">
        <f t="shared" si="27"/>
        <v>0</v>
      </c>
      <c r="EL9" s="208">
        <f>NOV!S11</f>
        <v>0</v>
      </c>
      <c r="EM9" s="208">
        <f>NOV!T11</f>
        <v>0</v>
      </c>
      <c r="EN9" s="208">
        <f>NOV!U11</f>
        <v>0</v>
      </c>
      <c r="EO9" s="208">
        <f>NOV!V11</f>
        <v>0</v>
      </c>
      <c r="EP9" s="208">
        <f>NOV!W11</f>
        <v>0</v>
      </c>
      <c r="EQ9" s="208">
        <f>NOV!X11</f>
        <v>0</v>
      </c>
      <c r="ER9" s="209">
        <f t="shared" si="28"/>
        <v>0</v>
      </c>
      <c r="ES9" s="208"/>
      <c r="ET9" s="208"/>
      <c r="EU9" s="208"/>
      <c r="EV9" s="208"/>
      <c r="EW9" s="208"/>
      <c r="EX9" s="208"/>
      <c r="EY9" s="209">
        <f t="shared" si="29"/>
        <v>0</v>
      </c>
      <c r="EZ9" s="208">
        <f>DEZ!S11</f>
        <v>0</v>
      </c>
      <c r="FA9" s="208">
        <f>DEZ!T11</f>
        <v>0</v>
      </c>
      <c r="FB9" s="208">
        <f>DEZ!U11</f>
        <v>0</v>
      </c>
      <c r="FC9" s="208">
        <f>DEZ!V11</f>
        <v>0</v>
      </c>
      <c r="FD9" s="208">
        <f>DEZ!W11</f>
        <v>0</v>
      </c>
      <c r="FE9" s="208">
        <f>DEZ!X11</f>
        <v>0</v>
      </c>
      <c r="FF9" s="209">
        <f t="shared" si="30"/>
        <v>0</v>
      </c>
      <c r="FG9" s="208"/>
      <c r="FH9" s="208"/>
      <c r="FI9" s="208"/>
      <c r="FJ9" s="208"/>
      <c r="FK9" s="208"/>
      <c r="FL9" s="208"/>
      <c r="FM9" s="207">
        <f t="shared" si="31"/>
        <v>0</v>
      </c>
      <c r="FN9" s="210">
        <f t="shared" si="93"/>
        <v>1684099.824</v>
      </c>
      <c r="FO9" s="518">
        <f t="shared" si="32"/>
        <v>456786.24000000011</v>
      </c>
      <c r="FP9" s="208">
        <f t="shared" si="33"/>
        <v>68091.248000000007</v>
      </c>
      <c r="FQ9" s="208">
        <f t="shared" si="34"/>
        <v>49406.168000000005</v>
      </c>
      <c r="FR9" s="208">
        <f t="shared" si="35"/>
        <v>1207770.504</v>
      </c>
      <c r="FS9" s="208">
        <f t="shared" si="36"/>
        <v>241606.20800000001</v>
      </c>
      <c r="FT9" s="209">
        <f t="shared" si="37"/>
        <v>3707760.1920000003</v>
      </c>
      <c r="FU9" s="208">
        <f t="shared" si="94"/>
        <v>1417913.216</v>
      </c>
      <c r="FV9" s="208">
        <f t="shared" si="38"/>
        <v>362184.47200000001</v>
      </c>
      <c r="FW9" s="208">
        <f t="shared" si="39"/>
        <v>86133.104000000007</v>
      </c>
      <c r="FX9" s="208">
        <f t="shared" si="40"/>
        <v>29542.183999999994</v>
      </c>
      <c r="FY9" s="208">
        <f t="shared" si="41"/>
        <v>1140917.504</v>
      </c>
      <c r="FZ9" s="208">
        <f t="shared" si="42"/>
        <v>178165.64800000004</v>
      </c>
      <c r="GA9" s="207">
        <f t="shared" si="43"/>
        <v>3214856.128</v>
      </c>
      <c r="GB9" s="206">
        <f t="shared" si="95"/>
        <v>18.773124123274968</v>
      </c>
      <c r="GC9" s="206">
        <f t="shared" si="96"/>
        <v>26.119774676590794</v>
      </c>
      <c r="GD9" s="206">
        <f t="shared" si="44"/>
        <v>-20.9464830154037</v>
      </c>
      <c r="GE9" s="206">
        <f t="shared" si="45"/>
        <v>67.239388936173498</v>
      </c>
      <c r="GF9" s="206">
        <f t="shared" si="46"/>
        <v>5.8595822893080936</v>
      </c>
      <c r="GG9" s="206">
        <f t="shared" si="47"/>
        <v>35.607627346883362</v>
      </c>
      <c r="GH9" s="205">
        <f t="shared" si="97"/>
        <v>15.332072241336704</v>
      </c>
      <c r="GI9" s="215" t="str">
        <f t="shared" si="98"/>
        <v>MAIOR</v>
      </c>
    </row>
    <row r="10" spans="1:197" s="566" customFormat="1">
      <c r="A10" s="319" t="s">
        <v>84</v>
      </c>
      <c r="B10" s="208">
        <f>VLOOKUP($A$3:$A$29,JAN!$A$5:$B$31,2,)</f>
        <v>147594.65600000002</v>
      </c>
      <c r="C10" s="208">
        <f>VLOOKUP($A$3:$A$29,JAN!$A$5:$C$31,3,)</f>
        <v>23181.047999999995</v>
      </c>
      <c r="D10" s="208">
        <f>VLOOKUP($A$3:$A$29,JAN!$A$5:$D$31,4,)</f>
        <v>4260.7760000000007</v>
      </c>
      <c r="E10" s="208">
        <f>VLOOKUP($A$3:$A$29,JAN!$A$5:$E$31,5,)</f>
        <v>2837.6800000000003</v>
      </c>
      <c r="F10" s="208">
        <f>VLOOKUP($A$3:$A$29,JAN!$A$5:$X$32,23,)</f>
        <v>95610.432000000001</v>
      </c>
      <c r="G10" s="208">
        <f>VLOOKUP($A$3:$A$29,JAN!$A$5:$X$32,24,)</f>
        <v>7768.463999999999</v>
      </c>
      <c r="H10" s="209">
        <f t="shared" si="0"/>
        <v>281253.05600000004</v>
      </c>
      <c r="I10" s="208">
        <f t="shared" si="48"/>
        <v>170046.32800000001</v>
      </c>
      <c r="J10" s="208">
        <f t="shared" si="49"/>
        <v>22793.143999999997</v>
      </c>
      <c r="K10" s="208">
        <f t="shared" si="50"/>
        <v>5972.0960000000005</v>
      </c>
      <c r="L10" s="208">
        <f t="shared" si="51"/>
        <v>2231.0879999999997</v>
      </c>
      <c r="M10" s="208">
        <f t="shared" si="52"/>
        <v>74319.368000000002</v>
      </c>
      <c r="N10" s="208">
        <f t="shared" si="53"/>
        <v>12656.67200000001</v>
      </c>
      <c r="O10" s="209">
        <f t="shared" si="2"/>
        <v>288018.696</v>
      </c>
      <c r="P10" s="208">
        <f>VLOOKUP($A$3:$A$29,FEV!$A$5:$B$31,2,)</f>
        <v>333021.90400000004</v>
      </c>
      <c r="Q10" s="208">
        <f>VLOOKUP($A$3:$A$29,FEV!$A$5:$C$31,3,)</f>
        <v>29789.40800000001</v>
      </c>
      <c r="R10" s="208">
        <f>VLOOKUP($A$3:$A$29,FEV!$A$5:$D$31,4,)</f>
        <v>9363.6240000000016</v>
      </c>
      <c r="S10" s="208">
        <f>VLOOKUP($A$3:$A$29,FEV!$A$5:$E$31,5,)</f>
        <v>2749.1439999999989</v>
      </c>
      <c r="T10" s="208">
        <f>VLOOKUP($A$3:$A$29,FEV!$A$5:$X$32,23,)</f>
        <v>113211.504</v>
      </c>
      <c r="U10" s="208">
        <f>VLOOKUP($A$3:$A$29,FEV!$A$5:$X$32,24,)</f>
        <v>11635.696</v>
      </c>
      <c r="V10" s="209">
        <f t="shared" si="54"/>
        <v>499771.28</v>
      </c>
      <c r="W10" s="208">
        <f t="shared" si="55"/>
        <v>258604.56000000003</v>
      </c>
      <c r="X10" s="208">
        <f t="shared" si="3"/>
        <v>18728.527999999973</v>
      </c>
      <c r="Y10" s="208">
        <f t="shared" si="3"/>
        <v>12824.872000000001</v>
      </c>
      <c r="Z10" s="208">
        <f t="shared" si="3"/>
        <v>2476.096</v>
      </c>
      <c r="AA10" s="208">
        <f t="shared" si="3"/>
        <v>94291.512000000017</v>
      </c>
      <c r="AB10" s="208">
        <f t="shared" si="3"/>
        <v>7177.1760000000013</v>
      </c>
      <c r="AC10" s="209">
        <f t="shared" si="4"/>
        <v>394102.74399999995</v>
      </c>
      <c r="AD10" s="208">
        <f>VLOOKUP($A$3:$A$29,MAR!$A$5:$B$31,2,)</f>
        <v>280274.56800000003</v>
      </c>
      <c r="AE10" s="208">
        <f>VLOOKUP($A$3:$A$29,MAR!$A$5:$C$31,3,)</f>
        <v>28355.552000000003</v>
      </c>
      <c r="AF10" s="208">
        <f>VLOOKUP($A$3:$A$29,MAR!$A$5:$D$31,4,)</f>
        <v>6242.4160000000011</v>
      </c>
      <c r="AG10" s="208">
        <f>VLOOKUP($A$3:$A$29,MAR!$A$5:$E$31,5,)</f>
        <v>5766.424</v>
      </c>
      <c r="AH10" s="208">
        <f>VLOOKUP($A$3:$A$29,MAR!$A$5:$X$32,23,)</f>
        <v>146079.35999999999</v>
      </c>
      <c r="AI10" s="208">
        <f>VLOOKUP($A$3:$A$29,MAR!$A$5:$X$32,24,)</f>
        <v>14032.560000000001</v>
      </c>
      <c r="AJ10" s="209">
        <f t="shared" si="5"/>
        <v>480750.88000000006</v>
      </c>
      <c r="AK10" s="208">
        <f t="shared" si="56"/>
        <v>150522.68799999999</v>
      </c>
      <c r="AL10" s="208">
        <f t="shared" si="57"/>
        <v>19113.240000000016</v>
      </c>
      <c r="AM10" s="208">
        <f t="shared" si="58"/>
        <v>3472.2800000000007</v>
      </c>
      <c r="AN10" s="208">
        <f t="shared" si="59"/>
        <v>2427.9759999999997</v>
      </c>
      <c r="AO10" s="208">
        <f t="shared" si="60"/>
        <v>121458.00000000003</v>
      </c>
      <c r="AP10" s="208">
        <f t="shared" si="61"/>
        <v>6973.4080000000004</v>
      </c>
      <c r="AQ10" s="209">
        <f t="shared" si="7"/>
        <v>303967.592</v>
      </c>
      <c r="AR10" s="208">
        <f>ABR!S12</f>
        <v>111690.144</v>
      </c>
      <c r="AS10" s="208">
        <f>ABR!T12</f>
        <v>16189.800000000001</v>
      </c>
      <c r="AT10" s="208">
        <f>ABR!U12</f>
        <v>2253.8080000000004</v>
      </c>
      <c r="AU10" s="208">
        <f>ABR!V12</f>
        <v>3926.288</v>
      </c>
      <c r="AV10" s="208">
        <f>ABR!W12</f>
        <v>119124.24000000002</v>
      </c>
      <c r="AW10" s="208">
        <f>ABR!X12</f>
        <v>7445.3920000000007</v>
      </c>
      <c r="AX10" s="209">
        <f t="shared" si="8"/>
        <v>260629.67200000002</v>
      </c>
      <c r="AY10" s="208">
        <f t="shared" si="62"/>
        <v>139374.12</v>
      </c>
      <c r="AZ10" s="208">
        <f t="shared" si="9"/>
        <v>10474.312000000007</v>
      </c>
      <c r="BA10" s="208">
        <f t="shared" si="9"/>
        <v>4713.8160000000007</v>
      </c>
      <c r="BB10" s="208">
        <f t="shared" si="9"/>
        <v>1988.1040000000003</v>
      </c>
      <c r="BC10" s="208">
        <f t="shared" si="9"/>
        <v>98968.680000000008</v>
      </c>
      <c r="BD10" s="208">
        <f t="shared" si="9"/>
        <v>8851.0560000000005</v>
      </c>
      <c r="BE10" s="209">
        <f t="shared" si="10"/>
        <v>264370.08799999999</v>
      </c>
      <c r="BF10" s="208">
        <f>MAI!S12</f>
        <v>112224.648</v>
      </c>
      <c r="BG10" s="208">
        <f>MAI!T12</f>
        <v>17392.16</v>
      </c>
      <c r="BH10" s="208">
        <f>MAI!U12</f>
        <v>1680.6480000000001</v>
      </c>
      <c r="BI10" s="208">
        <f>MAI!V12</f>
        <v>1266.3920000000001</v>
      </c>
      <c r="BJ10" s="208">
        <f>MAI!W12</f>
        <v>143122.99200000003</v>
      </c>
      <c r="BK10" s="208">
        <f>MAI!X12</f>
        <v>12203.032000000001</v>
      </c>
      <c r="BL10" s="209">
        <f t="shared" si="11"/>
        <v>287889.87200000003</v>
      </c>
      <c r="BM10" s="208">
        <f t="shared" si="63"/>
        <v>89569.376000000004</v>
      </c>
      <c r="BN10" s="208">
        <f t="shared" si="64"/>
        <v>10670.847999999996</v>
      </c>
      <c r="BO10" s="208">
        <f t="shared" si="65"/>
        <v>1881.848</v>
      </c>
      <c r="BP10" s="208">
        <f t="shared" si="66"/>
        <v>1170.2639999999999</v>
      </c>
      <c r="BQ10" s="208">
        <f t="shared" si="67"/>
        <v>113230.2</v>
      </c>
      <c r="BR10" s="208">
        <f t="shared" si="68"/>
        <v>10470.175999999999</v>
      </c>
      <c r="BS10" s="209">
        <f t="shared" si="13"/>
        <v>226992.712</v>
      </c>
      <c r="BT10" s="208">
        <f>JUN!S12</f>
        <v>117918.88</v>
      </c>
      <c r="BU10" s="208">
        <f>JUN!T12</f>
        <v>15633.576000000001</v>
      </c>
      <c r="BV10" s="208">
        <f>JUN!U12</f>
        <v>2192.944</v>
      </c>
      <c r="BW10" s="208">
        <f>JUN!V12</f>
        <v>3340.7680000000009</v>
      </c>
      <c r="BX10" s="208">
        <f>JUN!W12</f>
        <v>137210.25599999999</v>
      </c>
      <c r="BY10" s="208">
        <f>JUN!X12</f>
        <v>9967.5760000000009</v>
      </c>
      <c r="BZ10" s="209">
        <f t="shared" si="14"/>
        <v>286264</v>
      </c>
      <c r="CA10" s="208">
        <f t="shared" si="69"/>
        <v>91407.831999999995</v>
      </c>
      <c r="CB10" s="208">
        <f t="shared" si="70"/>
        <v>16130.528</v>
      </c>
      <c r="CC10" s="208">
        <f t="shared" si="71"/>
        <v>3052.1040000000003</v>
      </c>
      <c r="CD10" s="208">
        <f t="shared" si="72"/>
        <v>3004.5520000000001</v>
      </c>
      <c r="CE10" s="208">
        <f t="shared" si="73"/>
        <v>121301.28000000001</v>
      </c>
      <c r="CF10" s="208">
        <f t="shared" si="74"/>
        <v>16559.344000000001</v>
      </c>
      <c r="CG10" s="209">
        <f t="shared" si="16"/>
        <v>251455.64000000004</v>
      </c>
      <c r="CH10" s="208">
        <f>JUL!S12</f>
        <v>109909.50400000002</v>
      </c>
      <c r="CI10" s="208">
        <f>JUL!T12</f>
        <v>14686.111999999988</v>
      </c>
      <c r="CJ10" s="208">
        <f>JUL!U12</f>
        <v>5440.9440000000004</v>
      </c>
      <c r="CK10" s="208">
        <f>JUL!V12</f>
        <v>2738.2000000000003</v>
      </c>
      <c r="CL10" s="208">
        <f>JUL!W12</f>
        <v>142862.136</v>
      </c>
      <c r="CM10" s="208">
        <f>JUL!X12</f>
        <v>12884.480000000001</v>
      </c>
      <c r="CN10" s="209">
        <f t="shared" si="17"/>
        <v>288521.37599999999</v>
      </c>
      <c r="CO10" s="208">
        <f t="shared" si="75"/>
        <v>66254.600000000006</v>
      </c>
      <c r="CP10" s="208">
        <f t="shared" si="76"/>
        <v>20117.175999999999</v>
      </c>
      <c r="CQ10" s="208">
        <f t="shared" si="77"/>
        <v>7245.8240000000005</v>
      </c>
      <c r="CR10" s="208">
        <f t="shared" si="78"/>
        <v>1842.8320000000001</v>
      </c>
      <c r="CS10" s="208">
        <f t="shared" si="79"/>
        <v>133368.72</v>
      </c>
      <c r="CT10" s="208">
        <f t="shared" si="80"/>
        <v>16967.256000000001</v>
      </c>
      <c r="CU10" s="209">
        <f t="shared" si="19"/>
        <v>245796.408</v>
      </c>
      <c r="CV10" s="208">
        <f>AGO!S12</f>
        <v>62043.448000000004</v>
      </c>
      <c r="CW10" s="208">
        <f>AGO!T12</f>
        <v>24432.695999999996</v>
      </c>
      <c r="CX10" s="208">
        <f>AGO!U12</f>
        <v>18249.232</v>
      </c>
      <c r="CY10" s="208">
        <f>AGO!V12</f>
        <v>1700.3919999999985</v>
      </c>
      <c r="CZ10" s="208">
        <f>AGO!W12</f>
        <v>146427.16800000001</v>
      </c>
      <c r="DA10" s="208">
        <f>AGO!X12</f>
        <v>20668.256000000001</v>
      </c>
      <c r="DB10" s="209">
        <f t="shared" si="20"/>
        <v>273521.19199999998</v>
      </c>
      <c r="DC10" s="208">
        <f t="shared" si="81"/>
        <v>56221.016000000003</v>
      </c>
      <c r="DD10" s="208">
        <f t="shared" si="82"/>
        <v>16311.6</v>
      </c>
      <c r="DE10" s="208">
        <f t="shared" si="83"/>
        <v>30265.496000000003</v>
      </c>
      <c r="DF10" s="208">
        <f t="shared" si="84"/>
        <v>1436.6559999999963</v>
      </c>
      <c r="DG10" s="208">
        <f t="shared" si="85"/>
        <v>147003.35999999999</v>
      </c>
      <c r="DH10" s="208">
        <f t="shared" si="86"/>
        <v>19643.064000000002</v>
      </c>
      <c r="DI10" s="209">
        <f t="shared" si="22"/>
        <v>270881.19199999998</v>
      </c>
      <c r="DJ10" s="208">
        <f>SET!S12</f>
        <v>53644.296000000002</v>
      </c>
      <c r="DK10" s="208">
        <f>SET!T12</f>
        <v>16443.856000000007</v>
      </c>
      <c r="DL10" s="208">
        <f>SET!U12</f>
        <v>5577.3760000000002</v>
      </c>
      <c r="DM10" s="208">
        <f>SET!V12</f>
        <v>2398.96</v>
      </c>
      <c r="DN10" s="208">
        <f>SET!W12</f>
        <v>139818.81599999999</v>
      </c>
      <c r="DO10" s="208">
        <f>SET!X12</f>
        <v>19832.311999999998</v>
      </c>
      <c r="DP10" s="209">
        <f t="shared" si="23"/>
        <v>237715.61600000001</v>
      </c>
      <c r="DQ10" s="208">
        <f t="shared" si="87"/>
        <v>50031.824000000001</v>
      </c>
      <c r="DR10" s="208">
        <f t="shared" si="88"/>
        <v>16156.08</v>
      </c>
      <c r="DS10" s="208">
        <f t="shared" si="89"/>
        <v>12844.400000000001</v>
      </c>
      <c r="DT10" s="208">
        <f t="shared" si="90"/>
        <v>3714.4720000000002</v>
      </c>
      <c r="DU10" s="208">
        <f t="shared" si="91"/>
        <v>124827.48</v>
      </c>
      <c r="DV10" s="208">
        <f t="shared" si="92"/>
        <v>16720.712</v>
      </c>
      <c r="DW10" s="209">
        <f t="shared" si="25"/>
        <v>224294.96799999999</v>
      </c>
      <c r="DX10" s="208">
        <f>OUT!S12</f>
        <v>0</v>
      </c>
      <c r="DY10" s="208">
        <f>OUT!T12</f>
        <v>0</v>
      </c>
      <c r="DZ10" s="208">
        <f>OUT!U12</f>
        <v>0</v>
      </c>
      <c r="EA10" s="208">
        <f>OUT!V12</f>
        <v>0</v>
      </c>
      <c r="EB10" s="208">
        <f>OUT!W12</f>
        <v>0</v>
      </c>
      <c r="EC10" s="208">
        <f>OUT!X12</f>
        <v>0</v>
      </c>
      <c r="ED10" s="209">
        <f t="shared" si="26"/>
        <v>0</v>
      </c>
      <c r="EE10" s="208"/>
      <c r="EF10" s="208"/>
      <c r="EG10" s="208"/>
      <c r="EH10" s="208"/>
      <c r="EI10" s="208"/>
      <c r="EJ10" s="208"/>
      <c r="EK10" s="209">
        <f t="shared" si="27"/>
        <v>0</v>
      </c>
      <c r="EL10" s="208">
        <f>NOV!S12</f>
        <v>0</v>
      </c>
      <c r="EM10" s="208">
        <f>NOV!T12</f>
        <v>0</v>
      </c>
      <c r="EN10" s="208">
        <f>NOV!U12</f>
        <v>0</v>
      </c>
      <c r="EO10" s="208">
        <f>NOV!V12</f>
        <v>0</v>
      </c>
      <c r="EP10" s="208">
        <f>NOV!W12</f>
        <v>0</v>
      </c>
      <c r="EQ10" s="208">
        <f>NOV!X12</f>
        <v>0</v>
      </c>
      <c r="ER10" s="209">
        <f t="shared" si="28"/>
        <v>0</v>
      </c>
      <c r="ES10" s="208"/>
      <c r="ET10" s="208"/>
      <c r="EU10" s="208"/>
      <c r="EV10" s="208"/>
      <c r="EW10" s="208"/>
      <c r="EX10" s="208"/>
      <c r="EY10" s="209">
        <f t="shared" si="29"/>
        <v>0</v>
      </c>
      <c r="EZ10" s="208">
        <f>DEZ!S12</f>
        <v>0</v>
      </c>
      <c r="FA10" s="208">
        <f>DEZ!T12</f>
        <v>0</v>
      </c>
      <c r="FB10" s="208">
        <f>DEZ!U12</f>
        <v>0</v>
      </c>
      <c r="FC10" s="208">
        <f>DEZ!V12</f>
        <v>0</v>
      </c>
      <c r="FD10" s="208">
        <f>DEZ!W12</f>
        <v>0</v>
      </c>
      <c r="FE10" s="208">
        <f>DEZ!X12</f>
        <v>0</v>
      </c>
      <c r="FF10" s="209">
        <f t="shared" si="30"/>
        <v>0</v>
      </c>
      <c r="FG10" s="208"/>
      <c r="FH10" s="208"/>
      <c r="FI10" s="208"/>
      <c r="FJ10" s="208"/>
      <c r="FK10" s="208"/>
      <c r="FL10" s="208"/>
      <c r="FM10" s="207">
        <f t="shared" si="31"/>
        <v>0</v>
      </c>
      <c r="FN10" s="210">
        <f t="shared" si="93"/>
        <v>1328322.0480000002</v>
      </c>
      <c r="FO10" s="518">
        <f t="shared" si="32"/>
        <v>186104.20799999998</v>
      </c>
      <c r="FP10" s="208">
        <f t="shared" si="33"/>
        <v>55261.768000000011</v>
      </c>
      <c r="FQ10" s="208">
        <f t="shared" si="34"/>
        <v>26724.248</v>
      </c>
      <c r="FR10" s="208">
        <f t="shared" si="35"/>
        <v>1183466.9040000001</v>
      </c>
      <c r="FS10" s="208">
        <f t="shared" si="36"/>
        <v>116437.76800000001</v>
      </c>
      <c r="FT10" s="209">
        <f t="shared" si="37"/>
        <v>2896316.9440000001</v>
      </c>
      <c r="FU10" s="208">
        <f t="shared" si="94"/>
        <v>1072032.344</v>
      </c>
      <c r="FV10" s="208">
        <f t="shared" si="38"/>
        <v>150495.45599999998</v>
      </c>
      <c r="FW10" s="208">
        <f t="shared" si="39"/>
        <v>82272.736000000004</v>
      </c>
      <c r="FX10" s="208">
        <f t="shared" si="40"/>
        <v>20292.039999999997</v>
      </c>
      <c r="FY10" s="208">
        <f t="shared" si="41"/>
        <v>1028768.6</v>
      </c>
      <c r="FZ10" s="208">
        <f t="shared" si="42"/>
        <v>116018.86400000002</v>
      </c>
      <c r="GA10" s="207">
        <f t="shared" si="43"/>
        <v>2469880.04</v>
      </c>
      <c r="GB10" s="206">
        <f t="shared" si="95"/>
        <v>23.906900331357917</v>
      </c>
      <c r="GC10" s="206">
        <f t="shared" si="96"/>
        <v>23.661014721932872</v>
      </c>
      <c r="GD10" s="206">
        <f t="shared" si="44"/>
        <v>-32.831007346103078</v>
      </c>
      <c r="GE10" s="206">
        <f t="shared" si="45"/>
        <v>31.698183129936695</v>
      </c>
      <c r="GF10" s="206">
        <f t="shared" si="46"/>
        <v>15.037230335373792</v>
      </c>
      <c r="GG10" s="206">
        <f t="shared" si="47"/>
        <v>0.36106542122323049</v>
      </c>
      <c r="GH10" s="205">
        <f t="shared" si="97"/>
        <v>17.265490513458289</v>
      </c>
      <c r="GI10" s="215" t="str">
        <f t="shared" si="98"/>
        <v>MAIOR</v>
      </c>
    </row>
    <row r="11" spans="1:197" s="566" customFormat="1">
      <c r="A11" s="319" t="s">
        <v>85</v>
      </c>
      <c r="B11" s="208">
        <f>VLOOKUP($A$3:$A$29,JAN!$A$5:$B$31,2,)</f>
        <v>170713.60800000001</v>
      </c>
      <c r="C11" s="208">
        <f>VLOOKUP($A$3:$A$29,JAN!$A$5:$C$31,3,)</f>
        <v>33011.752</v>
      </c>
      <c r="D11" s="208">
        <f>VLOOKUP($A$3:$A$29,JAN!$A$5:$D$31,4,)</f>
        <v>4981.0720000000001</v>
      </c>
      <c r="E11" s="208">
        <f>VLOOKUP($A$3:$A$29,JAN!$A$5:$E$31,5,)</f>
        <v>7602.4080000000004</v>
      </c>
      <c r="F11" s="208">
        <f>VLOOKUP($A$3:$A$29,JAN!$A$5:$X$32,23,)</f>
        <v>169030.92</v>
      </c>
      <c r="G11" s="208">
        <f>VLOOKUP($A$3:$A$29,JAN!$A$5:$X$32,24,)</f>
        <v>13443.144</v>
      </c>
      <c r="H11" s="209">
        <f t="shared" si="0"/>
        <v>398782.90399999998</v>
      </c>
      <c r="I11" s="208">
        <f t="shared" si="48"/>
        <v>185235.08799999999</v>
      </c>
      <c r="J11" s="208">
        <f t="shared" si="49"/>
        <v>49922.832000000031</v>
      </c>
      <c r="K11" s="208">
        <f t="shared" si="50"/>
        <v>6445.6880000000001</v>
      </c>
      <c r="L11" s="208">
        <f t="shared" si="51"/>
        <v>4063.264000000001</v>
      </c>
      <c r="M11" s="208">
        <f t="shared" si="52"/>
        <v>154982.92000000001</v>
      </c>
      <c r="N11" s="208">
        <f t="shared" si="53"/>
        <v>17298.735999999932</v>
      </c>
      <c r="O11" s="209">
        <f t="shared" si="2"/>
        <v>417948.52799999993</v>
      </c>
      <c r="P11" s="208">
        <f>VLOOKUP($A$3:$A$29,FEV!$A$5:$B$31,2,)</f>
        <v>222603.64800000002</v>
      </c>
      <c r="Q11" s="208">
        <f>VLOOKUP($A$3:$A$29,FEV!$A$5:$C$31,3,)</f>
        <v>33891.439999999995</v>
      </c>
      <c r="R11" s="208">
        <f>VLOOKUP($A$3:$A$29,FEV!$A$5:$D$31,4,)</f>
        <v>8991.64</v>
      </c>
      <c r="S11" s="208">
        <f>VLOOKUP($A$3:$A$29,FEV!$A$5:$E$31,5,)</f>
        <v>6025.7600000000011</v>
      </c>
      <c r="T11" s="208">
        <f>VLOOKUP($A$3:$A$29,FEV!$A$5:$X$32,23,)</f>
        <v>212423.736</v>
      </c>
      <c r="U11" s="208">
        <f>VLOOKUP($A$3:$A$29,FEV!$A$5:$X$32,24,)</f>
        <v>12828.864000000001</v>
      </c>
      <c r="V11" s="209">
        <f t="shared" si="54"/>
        <v>496765.08800000005</v>
      </c>
      <c r="W11" s="208">
        <f t="shared" si="55"/>
        <v>235206.20800000001</v>
      </c>
      <c r="X11" s="208">
        <f t="shared" si="3"/>
        <v>43557.359999999986</v>
      </c>
      <c r="Y11" s="208">
        <f t="shared" si="3"/>
        <v>8421.5920000000006</v>
      </c>
      <c r="Z11" s="208">
        <f t="shared" si="3"/>
        <v>4019.4080000000004</v>
      </c>
      <c r="AA11" s="208">
        <f t="shared" si="3"/>
        <v>200230.16000000003</v>
      </c>
      <c r="AB11" s="208">
        <f t="shared" si="3"/>
        <v>14143.775999999998</v>
      </c>
      <c r="AC11" s="209">
        <f t="shared" si="4"/>
        <v>505578.50400000002</v>
      </c>
      <c r="AD11" s="208">
        <f>VLOOKUP($A$3:$A$29,MAR!$A$5:$B$31,2,)</f>
        <v>209140.17600000001</v>
      </c>
      <c r="AE11" s="208">
        <f>VLOOKUP($A$3:$A$29,MAR!$A$5:$C$31,3,)</f>
        <v>39958.480000000003</v>
      </c>
      <c r="AF11" s="208">
        <f>VLOOKUP($A$3:$A$29,MAR!$A$5:$D$31,4,)</f>
        <v>4145.7920000000004</v>
      </c>
      <c r="AG11" s="208">
        <f>VLOOKUP($A$3:$A$29,MAR!$A$5:$E$31,5,)</f>
        <v>10226.040000000001</v>
      </c>
      <c r="AH11" s="208">
        <f>VLOOKUP($A$3:$A$29,MAR!$A$5:$X$32,23,)</f>
        <v>301027.82400000002</v>
      </c>
      <c r="AI11" s="208">
        <f>VLOOKUP($A$3:$A$29,MAR!$A$5:$X$32,24,)</f>
        <v>18685.832000000002</v>
      </c>
      <c r="AJ11" s="209">
        <f t="shared" si="5"/>
        <v>583184.14400000009</v>
      </c>
      <c r="AK11" s="208">
        <f t="shared" si="56"/>
        <v>156422.44</v>
      </c>
      <c r="AL11" s="208">
        <f t="shared" si="57"/>
        <v>37388.60000000002</v>
      </c>
      <c r="AM11" s="208">
        <f t="shared" si="58"/>
        <v>7328.5440000000008</v>
      </c>
      <c r="AN11" s="208">
        <f t="shared" si="59"/>
        <v>6528.0959999999995</v>
      </c>
      <c r="AO11" s="208">
        <f t="shared" si="60"/>
        <v>202638.96000000002</v>
      </c>
      <c r="AP11" s="208">
        <f t="shared" si="61"/>
        <v>12538.016000000001</v>
      </c>
      <c r="AQ11" s="209">
        <f t="shared" si="7"/>
        <v>422844.65600000002</v>
      </c>
      <c r="AR11" s="208">
        <f>ABR!S13</f>
        <v>114349.36000000002</v>
      </c>
      <c r="AS11" s="208">
        <f>ABR!T13</f>
        <v>29428.112000000001</v>
      </c>
      <c r="AT11" s="208">
        <f>ABR!U13</f>
        <v>4380.8320000000003</v>
      </c>
      <c r="AU11" s="208">
        <f>ABR!V13</f>
        <v>4824.1040000000003</v>
      </c>
      <c r="AV11" s="208">
        <f>ABR!W13</f>
        <v>231379.272</v>
      </c>
      <c r="AW11" s="208">
        <f>ABR!X13</f>
        <v>12107.199999999999</v>
      </c>
      <c r="AX11" s="209">
        <f t="shared" si="8"/>
        <v>396468.88</v>
      </c>
      <c r="AY11" s="208">
        <f t="shared" si="62"/>
        <v>119456.68799999999</v>
      </c>
      <c r="AZ11" s="208">
        <f t="shared" si="9"/>
        <v>24587.128000000012</v>
      </c>
      <c r="BA11" s="208">
        <f t="shared" si="9"/>
        <v>6823.8</v>
      </c>
      <c r="BB11" s="208">
        <f t="shared" si="9"/>
        <v>1804.6000000000001</v>
      </c>
      <c r="BC11" s="208">
        <f t="shared" si="9"/>
        <v>199504.56</v>
      </c>
      <c r="BD11" s="208">
        <f t="shared" si="9"/>
        <v>13121.2</v>
      </c>
      <c r="BE11" s="209">
        <f t="shared" si="10"/>
        <v>365297.97599999997</v>
      </c>
      <c r="BF11" s="208">
        <f>MAI!S13</f>
        <v>117442.488</v>
      </c>
      <c r="BG11" s="208">
        <f>MAI!T13</f>
        <v>30644.144</v>
      </c>
      <c r="BH11" s="208">
        <f>MAI!U13</f>
        <v>3055.2400000000002</v>
      </c>
      <c r="BI11" s="208">
        <f>MAI!V13</f>
        <v>1677.5439999999999</v>
      </c>
      <c r="BJ11" s="208">
        <f>MAI!W13</f>
        <v>275985.64800000004</v>
      </c>
      <c r="BK11" s="208">
        <f>MAI!X13</f>
        <v>13619.84</v>
      </c>
      <c r="BL11" s="209">
        <f t="shared" si="11"/>
        <v>442424.90400000004</v>
      </c>
      <c r="BM11" s="208">
        <f t="shared" si="63"/>
        <v>99820.280000000013</v>
      </c>
      <c r="BN11" s="208">
        <f t="shared" si="64"/>
        <v>36184.919999999984</v>
      </c>
      <c r="BO11" s="208">
        <f t="shared" si="65"/>
        <v>4700.808</v>
      </c>
      <c r="BP11" s="208">
        <f t="shared" si="66"/>
        <v>2689.3759999999997</v>
      </c>
      <c r="BQ11" s="208">
        <f t="shared" si="67"/>
        <v>232964.28000000003</v>
      </c>
      <c r="BR11" s="208">
        <f t="shared" si="68"/>
        <v>15393.064</v>
      </c>
      <c r="BS11" s="209">
        <f t="shared" si="13"/>
        <v>391752.728</v>
      </c>
      <c r="BT11" s="208">
        <f>JUN!S13</f>
        <v>152958.44</v>
      </c>
      <c r="BU11" s="208">
        <f>JUN!T13</f>
        <v>29775.192000000017</v>
      </c>
      <c r="BV11" s="208">
        <f>JUN!U13</f>
        <v>3335.9120000000003</v>
      </c>
      <c r="BW11" s="208">
        <f>JUN!V13</f>
        <v>5580.6639999999998</v>
      </c>
      <c r="BX11" s="208">
        <f>JUN!W13</f>
        <v>259725.62400000004</v>
      </c>
      <c r="BY11" s="208">
        <f>JUN!X13</f>
        <v>13772.128000000001</v>
      </c>
      <c r="BZ11" s="209">
        <f t="shared" si="14"/>
        <v>465147.96000000008</v>
      </c>
      <c r="CA11" s="208">
        <f t="shared" si="69"/>
        <v>96935.512000000002</v>
      </c>
      <c r="CB11" s="208">
        <f t="shared" si="70"/>
        <v>33522.44000000001</v>
      </c>
      <c r="CC11" s="208">
        <f t="shared" si="71"/>
        <v>6814.7920000000004</v>
      </c>
      <c r="CD11" s="208">
        <f t="shared" si="72"/>
        <v>5594.8559999999998</v>
      </c>
      <c r="CE11" s="208">
        <f t="shared" si="73"/>
        <v>244953.36000000002</v>
      </c>
      <c r="CF11" s="208">
        <f t="shared" si="74"/>
        <v>25890.384000000002</v>
      </c>
      <c r="CG11" s="209">
        <f t="shared" si="16"/>
        <v>413711.34400000004</v>
      </c>
      <c r="CH11" s="208">
        <f>JUL!S13</f>
        <v>145755.98400000003</v>
      </c>
      <c r="CI11" s="208">
        <f>JUL!T13</f>
        <v>43371.728000000003</v>
      </c>
      <c r="CJ11" s="208">
        <f>JUL!U13</f>
        <v>5713.1440000000002</v>
      </c>
      <c r="CK11" s="208">
        <f>JUL!V13</f>
        <v>3860.9759999999997</v>
      </c>
      <c r="CL11" s="208">
        <f>JUL!W13</f>
        <v>241900.46400000001</v>
      </c>
      <c r="CM11" s="208">
        <f>JUL!X13</f>
        <v>25756.872000000003</v>
      </c>
      <c r="CN11" s="209">
        <f t="shared" si="17"/>
        <v>466359.16800000006</v>
      </c>
      <c r="CO11" s="208">
        <f t="shared" si="75"/>
        <v>74814.024000000005</v>
      </c>
      <c r="CP11" s="208">
        <f t="shared" si="76"/>
        <v>33641.919999999998</v>
      </c>
      <c r="CQ11" s="208">
        <f t="shared" si="77"/>
        <v>6711.24</v>
      </c>
      <c r="CR11" s="208">
        <f t="shared" si="78"/>
        <v>1899.5600000000006</v>
      </c>
      <c r="CS11" s="208">
        <f t="shared" si="79"/>
        <v>279588.47999999998</v>
      </c>
      <c r="CT11" s="208">
        <f t="shared" si="80"/>
        <v>21075.271999999997</v>
      </c>
      <c r="CU11" s="209">
        <f t="shared" si="19"/>
        <v>417730.49599999998</v>
      </c>
      <c r="CV11" s="208">
        <f>AGO!S13</f>
        <v>67855.648000000001</v>
      </c>
      <c r="CW11" s="208">
        <f>AGO!T13</f>
        <v>70162.439999999988</v>
      </c>
      <c r="CX11" s="208">
        <f>AGO!U13</f>
        <v>13932.608</v>
      </c>
      <c r="CY11" s="208">
        <f>AGO!V13</f>
        <v>3350.6560000000027</v>
      </c>
      <c r="CZ11" s="208">
        <f>AGO!W13</f>
        <v>278333.35200000007</v>
      </c>
      <c r="DA11" s="208">
        <f>AGO!X13</f>
        <v>40161.040000000001</v>
      </c>
      <c r="DB11" s="209">
        <f t="shared" si="20"/>
        <v>473795.74400000006</v>
      </c>
      <c r="DC11" s="208">
        <f t="shared" si="81"/>
        <v>47945.671999999999</v>
      </c>
      <c r="DD11" s="208">
        <f t="shared" si="82"/>
        <v>24311.184000000001</v>
      </c>
      <c r="DE11" s="208">
        <f t="shared" si="83"/>
        <v>29912.936000000002</v>
      </c>
      <c r="DF11" s="208">
        <f t="shared" si="84"/>
        <v>1655.0720000000031</v>
      </c>
      <c r="DG11" s="208">
        <f t="shared" si="85"/>
        <v>245110.08000000002</v>
      </c>
      <c r="DH11" s="208">
        <f t="shared" si="86"/>
        <v>17789.048000000003</v>
      </c>
      <c r="DI11" s="209">
        <f t="shared" si="22"/>
        <v>366723.99200000003</v>
      </c>
      <c r="DJ11" s="208">
        <f>SET!S13</f>
        <v>56676.135999999999</v>
      </c>
      <c r="DK11" s="208">
        <f>SET!T13</f>
        <v>57500.592000000004</v>
      </c>
      <c r="DL11" s="208">
        <f>SET!U13</f>
        <v>6610.8960000000006</v>
      </c>
      <c r="DM11" s="208">
        <f>SET!V13</f>
        <v>4882.6879999999992</v>
      </c>
      <c r="DN11" s="208">
        <f>SET!W13</f>
        <v>245291.592</v>
      </c>
      <c r="DO11" s="208">
        <f>SET!X13</f>
        <v>36068.351999999999</v>
      </c>
      <c r="DP11" s="209">
        <f t="shared" si="23"/>
        <v>407030.25599999999</v>
      </c>
      <c r="DQ11" s="208">
        <f t="shared" si="87"/>
        <v>36647.240000000005</v>
      </c>
      <c r="DR11" s="208">
        <f t="shared" si="88"/>
        <v>30415.431999999997</v>
      </c>
      <c r="DS11" s="208">
        <f t="shared" si="89"/>
        <v>8942.4480000000003</v>
      </c>
      <c r="DT11" s="208">
        <f t="shared" si="90"/>
        <v>4387.0319999999992</v>
      </c>
      <c r="DU11" s="208">
        <f t="shared" si="91"/>
        <v>234139.68</v>
      </c>
      <c r="DV11" s="208">
        <f t="shared" si="92"/>
        <v>18441.903999999999</v>
      </c>
      <c r="DW11" s="209">
        <f t="shared" si="25"/>
        <v>332973.73599999998</v>
      </c>
      <c r="DX11" s="208">
        <f>OUT!S13</f>
        <v>0</v>
      </c>
      <c r="DY11" s="208">
        <f>OUT!T13</f>
        <v>0</v>
      </c>
      <c r="DZ11" s="208">
        <f>OUT!U13</f>
        <v>0</v>
      </c>
      <c r="EA11" s="208">
        <f>OUT!V13</f>
        <v>0</v>
      </c>
      <c r="EB11" s="208">
        <f>OUT!W13</f>
        <v>0</v>
      </c>
      <c r="EC11" s="208">
        <f>OUT!X13</f>
        <v>0</v>
      </c>
      <c r="ED11" s="209">
        <f t="shared" si="26"/>
        <v>0</v>
      </c>
      <c r="EE11" s="208"/>
      <c r="EF11" s="208"/>
      <c r="EG11" s="208"/>
      <c r="EH11" s="208"/>
      <c r="EI11" s="208"/>
      <c r="EJ11" s="208"/>
      <c r="EK11" s="209">
        <f t="shared" si="27"/>
        <v>0</v>
      </c>
      <c r="EL11" s="208">
        <f>NOV!S13</f>
        <v>0</v>
      </c>
      <c r="EM11" s="208">
        <f>NOV!T13</f>
        <v>0</v>
      </c>
      <c r="EN11" s="208">
        <f>NOV!U13</f>
        <v>0</v>
      </c>
      <c r="EO11" s="208">
        <f>NOV!V13</f>
        <v>0</v>
      </c>
      <c r="EP11" s="208">
        <f>NOV!W13</f>
        <v>0</v>
      </c>
      <c r="EQ11" s="208">
        <f>NOV!X13</f>
        <v>0</v>
      </c>
      <c r="ER11" s="209">
        <f t="shared" si="28"/>
        <v>0</v>
      </c>
      <c r="ES11" s="208"/>
      <c r="ET11" s="208"/>
      <c r="EU11" s="208"/>
      <c r="EV11" s="208"/>
      <c r="EW11" s="208"/>
      <c r="EX11" s="208"/>
      <c r="EY11" s="209">
        <f t="shared" si="29"/>
        <v>0</v>
      </c>
      <c r="EZ11" s="208">
        <f>DEZ!S13</f>
        <v>0</v>
      </c>
      <c r="FA11" s="208">
        <f>DEZ!T13</f>
        <v>0</v>
      </c>
      <c r="FB11" s="208">
        <f>DEZ!U13</f>
        <v>0</v>
      </c>
      <c r="FC11" s="208">
        <f>DEZ!V13</f>
        <v>0</v>
      </c>
      <c r="FD11" s="208">
        <f>DEZ!W13</f>
        <v>0</v>
      </c>
      <c r="FE11" s="208">
        <f>DEZ!X13</f>
        <v>0</v>
      </c>
      <c r="FF11" s="209">
        <f t="shared" si="30"/>
        <v>0</v>
      </c>
      <c r="FG11" s="208"/>
      <c r="FH11" s="208"/>
      <c r="FI11" s="208"/>
      <c r="FJ11" s="208"/>
      <c r="FK11" s="208"/>
      <c r="FL11" s="208"/>
      <c r="FM11" s="207">
        <f t="shared" si="31"/>
        <v>0</v>
      </c>
      <c r="FN11" s="210">
        <f t="shared" si="93"/>
        <v>1257495.4879999999</v>
      </c>
      <c r="FO11" s="518">
        <f t="shared" si="32"/>
        <v>367743.88</v>
      </c>
      <c r="FP11" s="208">
        <f t="shared" si="33"/>
        <v>55147.136000000006</v>
      </c>
      <c r="FQ11" s="208">
        <f t="shared" si="34"/>
        <v>48030.840000000004</v>
      </c>
      <c r="FR11" s="208">
        <f t="shared" si="35"/>
        <v>2215098.432</v>
      </c>
      <c r="FS11" s="208">
        <f t="shared" si="36"/>
        <v>186443.272</v>
      </c>
      <c r="FT11" s="209">
        <f t="shared" si="37"/>
        <v>4129959.0479999995</v>
      </c>
      <c r="FU11" s="208">
        <f t="shared" si="94"/>
        <v>1052483.152</v>
      </c>
      <c r="FV11" s="208">
        <f t="shared" si="38"/>
        <v>313531.81599999999</v>
      </c>
      <c r="FW11" s="208">
        <f t="shared" si="39"/>
        <v>86101.847999999998</v>
      </c>
      <c r="FX11" s="208">
        <f t="shared" si="40"/>
        <v>32641.264000000003</v>
      </c>
      <c r="FY11" s="208">
        <f t="shared" si="41"/>
        <v>1994112.4800000002</v>
      </c>
      <c r="FZ11" s="208">
        <f t="shared" si="42"/>
        <v>155691.39999999994</v>
      </c>
      <c r="GA11" s="207">
        <f t="shared" si="43"/>
        <v>3634561.96</v>
      </c>
      <c r="GB11" s="206">
        <f t="shared" si="95"/>
        <v>19.47891855659843</v>
      </c>
      <c r="GC11" s="206">
        <f t="shared" si="96"/>
        <v>17.290769623201513</v>
      </c>
      <c r="GD11" s="206">
        <f t="shared" si="44"/>
        <v>-35.951274820489331</v>
      </c>
      <c r="GE11" s="206">
        <f t="shared" si="45"/>
        <v>47.147610460183159</v>
      </c>
      <c r="GF11" s="206">
        <f t="shared" si="46"/>
        <v>11.081920113152279</v>
      </c>
      <c r="GG11" s="206">
        <f t="shared" si="47"/>
        <v>19.751811596530104</v>
      </c>
      <c r="GH11" s="205">
        <f t="shared" si="97"/>
        <v>13.63017313921371</v>
      </c>
      <c r="GI11" s="215" t="str">
        <f t="shared" si="98"/>
        <v>MAIOR</v>
      </c>
    </row>
    <row r="12" spans="1:197" s="566" customFormat="1">
      <c r="A12" s="319" t="s">
        <v>86</v>
      </c>
      <c r="B12" s="208">
        <f>VLOOKUP($A$3:$A$29,JAN!$A$5:$B$31,2,)</f>
        <v>51888.304000000004</v>
      </c>
      <c r="C12" s="208">
        <f>VLOOKUP($A$3:$A$29,JAN!$A$5:$C$31,3,)</f>
        <v>8598.5120000000043</v>
      </c>
      <c r="D12" s="208">
        <f>VLOOKUP($A$3:$A$29,JAN!$A$5:$D$31,4,)</f>
        <v>2333.3040000000001</v>
      </c>
      <c r="E12" s="208">
        <f>VLOOKUP($A$3:$A$29,JAN!$A$5:$E$31,5,)</f>
        <v>1187.9279999999999</v>
      </c>
      <c r="F12" s="208">
        <f>VLOOKUP($A$3:$A$29,JAN!$A$5:$X$32,23,)</f>
        <v>43574.640000000007</v>
      </c>
      <c r="G12" s="208">
        <f>VLOOKUP($A$3:$A$29,JAN!$A$5:$X$32,24,)</f>
        <v>2823.36</v>
      </c>
      <c r="H12" s="209">
        <f t="shared" si="0"/>
        <v>110406.04800000002</v>
      </c>
      <c r="I12" s="208">
        <f t="shared" si="48"/>
        <v>52658.872000000003</v>
      </c>
      <c r="J12" s="208">
        <f t="shared" si="49"/>
        <v>22296.608000000007</v>
      </c>
      <c r="K12" s="208">
        <f t="shared" si="50"/>
        <v>4478.9520000000002</v>
      </c>
      <c r="L12" s="208">
        <f t="shared" si="51"/>
        <v>2993.8560000000007</v>
      </c>
      <c r="M12" s="208">
        <f t="shared" si="52"/>
        <v>36276.112000000001</v>
      </c>
      <c r="N12" s="208">
        <f t="shared" si="53"/>
        <v>7052.6480000000047</v>
      </c>
      <c r="O12" s="209">
        <f t="shared" si="2"/>
        <v>125757.04800000002</v>
      </c>
      <c r="P12" s="208">
        <f>VLOOKUP($A$3:$A$29,FEV!$A$5:$B$31,2,)</f>
        <v>71154.144</v>
      </c>
      <c r="Q12" s="208">
        <f>VLOOKUP($A$3:$A$29,FEV!$A$5:$C$31,3,)</f>
        <v>14842.480000000005</v>
      </c>
      <c r="R12" s="208">
        <f>VLOOKUP($A$3:$A$29,FEV!$A$5:$D$31,4,)</f>
        <v>3229.4240000000004</v>
      </c>
      <c r="S12" s="208">
        <f>VLOOKUP($A$3:$A$29,FEV!$A$5:$E$31,5,)</f>
        <v>2153.5439999999999</v>
      </c>
      <c r="T12" s="208">
        <f>VLOOKUP($A$3:$A$29,FEV!$A$5:$X$32,23,)</f>
        <v>58170.887999999999</v>
      </c>
      <c r="U12" s="208">
        <f>VLOOKUP($A$3:$A$29,FEV!$A$5:$X$32,24,)</f>
        <v>5137.2800000000007</v>
      </c>
      <c r="V12" s="209">
        <f t="shared" si="54"/>
        <v>154687.76</v>
      </c>
      <c r="W12" s="208">
        <f t="shared" si="55"/>
        <v>64498.592000000004</v>
      </c>
      <c r="X12" s="208">
        <f t="shared" si="3"/>
        <v>16136.879999999997</v>
      </c>
      <c r="Y12" s="208">
        <f t="shared" si="3"/>
        <v>2747</v>
      </c>
      <c r="Z12" s="208">
        <f t="shared" si="3"/>
        <v>1695.0160000000005</v>
      </c>
      <c r="AA12" s="208">
        <f t="shared" si="3"/>
        <v>44038.320000000007</v>
      </c>
      <c r="AB12" s="208">
        <f t="shared" si="3"/>
        <v>4740.4080000000004</v>
      </c>
      <c r="AC12" s="209">
        <f t="shared" si="4"/>
        <v>133856.21600000001</v>
      </c>
      <c r="AD12" s="208">
        <f>VLOOKUP($A$3:$A$29,MAR!$A$5:$B$31,2,)</f>
        <v>74720.056000000011</v>
      </c>
      <c r="AE12" s="208">
        <f>VLOOKUP($A$3:$A$29,MAR!$A$5:$C$31,3,)</f>
        <v>12652.992</v>
      </c>
      <c r="AF12" s="208">
        <f>VLOOKUP($A$3:$A$29,MAR!$A$5:$D$31,4,)</f>
        <v>1724.6080000000002</v>
      </c>
      <c r="AG12" s="208">
        <f>VLOOKUP($A$3:$A$29,MAR!$A$5:$E$31,5,)</f>
        <v>1578.44</v>
      </c>
      <c r="AH12" s="208">
        <f>VLOOKUP($A$3:$A$29,MAR!$A$5:$X$32,23,)</f>
        <v>62866.296000000002</v>
      </c>
      <c r="AI12" s="208">
        <f>VLOOKUP($A$3:$A$29,MAR!$A$5:$X$32,24,)</f>
        <v>4715.6000000000004</v>
      </c>
      <c r="AJ12" s="209">
        <f t="shared" si="5"/>
        <v>158257.99200000003</v>
      </c>
      <c r="AK12" s="208">
        <f t="shared" si="56"/>
        <v>60841.824000000001</v>
      </c>
      <c r="AL12" s="208">
        <f t="shared" si="57"/>
        <v>17542.208000000006</v>
      </c>
      <c r="AM12" s="208">
        <f t="shared" si="58"/>
        <v>2887.5280000000002</v>
      </c>
      <c r="AN12" s="208">
        <f t="shared" si="59"/>
        <v>1012.4800000000004</v>
      </c>
      <c r="AO12" s="208">
        <f t="shared" si="60"/>
        <v>49366.8</v>
      </c>
      <c r="AP12" s="208">
        <f t="shared" si="61"/>
        <v>4933.72</v>
      </c>
      <c r="AQ12" s="209">
        <f t="shared" si="7"/>
        <v>136584.56000000003</v>
      </c>
      <c r="AR12" s="208">
        <f>ABR!S14</f>
        <v>37325.224000000002</v>
      </c>
      <c r="AS12" s="208">
        <f>ABR!T14</f>
        <v>7447.44</v>
      </c>
      <c r="AT12" s="208">
        <f>ABR!U14</f>
        <v>676.31200000000001</v>
      </c>
      <c r="AU12" s="208">
        <f>ABR!V14</f>
        <v>283.84000000000003</v>
      </c>
      <c r="AV12" s="208">
        <f>ABR!W14</f>
        <v>54605.856</v>
      </c>
      <c r="AW12" s="208">
        <f>ABR!X14</f>
        <v>2949.4640000000004</v>
      </c>
      <c r="AX12" s="209">
        <f t="shared" si="8"/>
        <v>103288.136</v>
      </c>
      <c r="AY12" s="208">
        <f t="shared" si="62"/>
        <v>48462.488000000005</v>
      </c>
      <c r="AZ12" s="208">
        <f t="shared" si="9"/>
        <v>12833.248000000005</v>
      </c>
      <c r="BA12" s="208">
        <f t="shared" si="9"/>
        <v>1222.816</v>
      </c>
      <c r="BB12" s="208">
        <f t="shared" si="9"/>
        <v>883.6880000000001</v>
      </c>
      <c r="BC12" s="208">
        <f t="shared" si="9"/>
        <v>40590.480000000003</v>
      </c>
      <c r="BD12" s="208">
        <f t="shared" si="9"/>
        <v>5641.9120000000003</v>
      </c>
      <c r="BE12" s="209">
        <f t="shared" si="10"/>
        <v>109634.63200000001</v>
      </c>
      <c r="BF12" s="208">
        <f>MAI!S14</f>
        <v>51466.904000000002</v>
      </c>
      <c r="BG12" s="208">
        <f>MAI!T14</f>
        <v>17578.727999999999</v>
      </c>
      <c r="BH12" s="208">
        <f>MAI!U14</f>
        <v>1073.6559999999999</v>
      </c>
      <c r="BI12" s="208">
        <f>MAI!V14</f>
        <v>2534.92</v>
      </c>
      <c r="BJ12" s="208">
        <f>MAI!W14</f>
        <v>59301.264000000003</v>
      </c>
      <c r="BK12" s="208">
        <f>MAI!X14</f>
        <v>8454.0959999999995</v>
      </c>
      <c r="BL12" s="209">
        <f t="shared" si="11"/>
        <v>140409.568</v>
      </c>
      <c r="BM12" s="208">
        <f t="shared" si="63"/>
        <v>35667.159999999996</v>
      </c>
      <c r="BN12" s="208">
        <f t="shared" si="64"/>
        <v>9433.0240000000013</v>
      </c>
      <c r="BO12" s="208">
        <f t="shared" si="65"/>
        <v>914.26400000000001</v>
      </c>
      <c r="BP12" s="208">
        <f t="shared" si="66"/>
        <v>295.416</v>
      </c>
      <c r="BQ12" s="208">
        <f t="shared" si="67"/>
        <v>50150.400000000001</v>
      </c>
      <c r="BR12" s="208">
        <f t="shared" si="68"/>
        <v>4573.5280000000002</v>
      </c>
      <c r="BS12" s="209">
        <f t="shared" si="13"/>
        <v>101033.792</v>
      </c>
      <c r="BT12" s="208">
        <f>JUN!S14</f>
        <v>55285.983999999997</v>
      </c>
      <c r="BU12" s="208">
        <f>JUN!T14</f>
        <v>8488.8640000000014</v>
      </c>
      <c r="BV12" s="208">
        <f>JUN!U14</f>
        <v>1635</v>
      </c>
      <c r="BW12" s="208">
        <f>JUN!V14</f>
        <v>1708.7360000000001</v>
      </c>
      <c r="BX12" s="208">
        <f>JUN!W14</f>
        <v>59822.975999999995</v>
      </c>
      <c r="BY12" s="208">
        <f>JUN!X14</f>
        <v>4350.2960000000003</v>
      </c>
      <c r="BZ12" s="209">
        <f t="shared" si="14"/>
        <v>131291.856</v>
      </c>
      <c r="CA12" s="208">
        <f t="shared" si="69"/>
        <v>46679.656000000003</v>
      </c>
      <c r="CB12" s="208">
        <f t="shared" si="70"/>
        <v>15591.416000000005</v>
      </c>
      <c r="CC12" s="208">
        <f t="shared" si="71"/>
        <v>1043.7840000000001</v>
      </c>
      <c r="CD12" s="208">
        <f t="shared" si="72"/>
        <v>1726.616</v>
      </c>
      <c r="CE12" s="208">
        <f t="shared" si="73"/>
        <v>56497.56</v>
      </c>
      <c r="CF12" s="208">
        <f t="shared" si="74"/>
        <v>9506.8160000000025</v>
      </c>
      <c r="CG12" s="209">
        <f t="shared" si="16"/>
        <v>131045.84800000001</v>
      </c>
      <c r="CH12" s="208">
        <f>JUL!S14</f>
        <v>41241.504000000001</v>
      </c>
      <c r="CI12" s="208">
        <f>JUL!T14</f>
        <v>7720.4640000000072</v>
      </c>
      <c r="CJ12" s="208">
        <f>JUL!U14</f>
        <v>1680.6400000000003</v>
      </c>
      <c r="CK12" s="208">
        <f>JUL!V14</f>
        <v>683.43200000000002</v>
      </c>
      <c r="CL12" s="208">
        <f>JUL!W14</f>
        <v>61562.016000000003</v>
      </c>
      <c r="CM12" s="208">
        <f>JUL!X14</f>
        <v>6094.04</v>
      </c>
      <c r="CN12" s="209">
        <f t="shared" si="17"/>
        <v>118982.09600000001</v>
      </c>
      <c r="CO12" s="208">
        <f t="shared" si="75"/>
        <v>29784.168000000001</v>
      </c>
      <c r="CP12" s="208">
        <f t="shared" si="76"/>
        <v>12327.424000000003</v>
      </c>
      <c r="CQ12" s="208">
        <f t="shared" si="77"/>
        <v>1691.3919999999998</v>
      </c>
      <c r="CR12" s="208">
        <f t="shared" si="78"/>
        <v>1591.3760000000002</v>
      </c>
      <c r="CS12" s="208">
        <f t="shared" si="79"/>
        <v>59867.039999999994</v>
      </c>
      <c r="CT12" s="208">
        <f t="shared" si="80"/>
        <v>11003.872000000001</v>
      </c>
      <c r="CU12" s="209">
        <f t="shared" si="19"/>
        <v>116265.272</v>
      </c>
      <c r="CV12" s="208">
        <f>AGO!S14</f>
        <v>22343.176000000003</v>
      </c>
      <c r="CW12" s="208">
        <f>AGO!T14</f>
        <v>13310.304000000004</v>
      </c>
      <c r="CX12" s="208">
        <f>AGO!U14</f>
        <v>3638.5519999999997</v>
      </c>
      <c r="CY12" s="208">
        <f>AGO!V14</f>
        <v>2291.2239999999997</v>
      </c>
      <c r="CZ12" s="208">
        <f>AGO!W14</f>
        <v>69213.792000000001</v>
      </c>
      <c r="DA12" s="208">
        <f>AGO!X14</f>
        <v>10119.144000000002</v>
      </c>
      <c r="DB12" s="209">
        <f t="shared" si="20"/>
        <v>120916.19200000001</v>
      </c>
      <c r="DC12" s="208">
        <f t="shared" si="81"/>
        <v>17843.583999999999</v>
      </c>
      <c r="DD12" s="208">
        <f t="shared" si="82"/>
        <v>9822.3439999999991</v>
      </c>
      <c r="DE12" s="208">
        <f t="shared" si="83"/>
        <v>6417.7360000000008</v>
      </c>
      <c r="DF12" s="208">
        <f t="shared" si="84"/>
        <v>1627.0240000000006</v>
      </c>
      <c r="DG12" s="208">
        <f t="shared" si="85"/>
        <v>62374.559999999998</v>
      </c>
      <c r="DH12" s="208">
        <f t="shared" si="86"/>
        <v>6853.2480000000014</v>
      </c>
      <c r="DI12" s="209">
        <f t="shared" si="22"/>
        <v>104938.496</v>
      </c>
      <c r="DJ12" s="208">
        <f>SET!S14</f>
        <v>14099.744000000001</v>
      </c>
      <c r="DK12" s="208">
        <f>SET!T14</f>
        <v>6775.2720000000008</v>
      </c>
      <c r="DL12" s="208">
        <f>SET!U14</f>
        <v>1743.616</v>
      </c>
      <c r="DM12" s="208">
        <f>SET!V14</f>
        <v>1217.0880000000002</v>
      </c>
      <c r="DN12" s="208">
        <f>SET!W14</f>
        <v>60692.496000000006</v>
      </c>
      <c r="DO12" s="208">
        <f>SET!X14</f>
        <v>7829.9120000000012</v>
      </c>
      <c r="DP12" s="209">
        <f t="shared" si="23"/>
        <v>92358.128000000012</v>
      </c>
      <c r="DQ12" s="208">
        <f t="shared" si="87"/>
        <v>13304.560000000001</v>
      </c>
      <c r="DR12" s="208">
        <f t="shared" si="88"/>
        <v>6410.6799999999985</v>
      </c>
      <c r="DS12" s="208">
        <f t="shared" si="89"/>
        <v>2156.2240000000002</v>
      </c>
      <c r="DT12" s="208">
        <f t="shared" si="90"/>
        <v>2115.056</v>
      </c>
      <c r="DU12" s="208">
        <f t="shared" si="91"/>
        <v>54852.000000000007</v>
      </c>
      <c r="DV12" s="208">
        <f t="shared" si="92"/>
        <v>5562.7759999999998</v>
      </c>
      <c r="DW12" s="209">
        <f t="shared" si="25"/>
        <v>84401.296000000002</v>
      </c>
      <c r="DX12" s="208">
        <f>OUT!S14</f>
        <v>0</v>
      </c>
      <c r="DY12" s="208">
        <f>OUT!T14</f>
        <v>0</v>
      </c>
      <c r="DZ12" s="208">
        <f>OUT!U14</f>
        <v>0</v>
      </c>
      <c r="EA12" s="208">
        <f>OUT!V14</f>
        <v>0</v>
      </c>
      <c r="EB12" s="208">
        <f>OUT!W14</f>
        <v>0</v>
      </c>
      <c r="EC12" s="208">
        <f>OUT!X14</f>
        <v>0</v>
      </c>
      <c r="ED12" s="209">
        <f t="shared" si="26"/>
        <v>0</v>
      </c>
      <c r="EE12" s="208"/>
      <c r="EF12" s="208"/>
      <c r="EG12" s="208"/>
      <c r="EH12" s="208"/>
      <c r="EI12" s="208"/>
      <c r="EJ12" s="208"/>
      <c r="EK12" s="209">
        <f t="shared" si="27"/>
        <v>0</v>
      </c>
      <c r="EL12" s="208">
        <f>NOV!S14</f>
        <v>0</v>
      </c>
      <c r="EM12" s="208">
        <f>NOV!T14</f>
        <v>0</v>
      </c>
      <c r="EN12" s="208">
        <f>NOV!U14</f>
        <v>0</v>
      </c>
      <c r="EO12" s="208">
        <f>NOV!V14</f>
        <v>0</v>
      </c>
      <c r="EP12" s="208">
        <f>NOV!W14</f>
        <v>0</v>
      </c>
      <c r="EQ12" s="208">
        <f>NOV!X14</f>
        <v>0</v>
      </c>
      <c r="ER12" s="209">
        <f t="shared" si="28"/>
        <v>0</v>
      </c>
      <c r="ES12" s="208"/>
      <c r="ET12" s="208"/>
      <c r="EU12" s="208"/>
      <c r="EV12" s="208"/>
      <c r="EW12" s="208"/>
      <c r="EX12" s="208"/>
      <c r="EY12" s="209">
        <f t="shared" si="29"/>
        <v>0</v>
      </c>
      <c r="EZ12" s="208">
        <f>DEZ!S14</f>
        <v>0</v>
      </c>
      <c r="FA12" s="208">
        <f>DEZ!T14</f>
        <v>0</v>
      </c>
      <c r="FB12" s="208">
        <f>DEZ!U14</f>
        <v>0</v>
      </c>
      <c r="FC12" s="208">
        <f>DEZ!V14</f>
        <v>0</v>
      </c>
      <c r="FD12" s="208">
        <f>DEZ!W14</f>
        <v>0</v>
      </c>
      <c r="FE12" s="208">
        <f>DEZ!X14</f>
        <v>0</v>
      </c>
      <c r="FF12" s="209">
        <f t="shared" si="30"/>
        <v>0</v>
      </c>
      <c r="FG12" s="208"/>
      <c r="FH12" s="208"/>
      <c r="FI12" s="208"/>
      <c r="FJ12" s="208"/>
      <c r="FK12" s="208"/>
      <c r="FL12" s="208"/>
      <c r="FM12" s="207">
        <f t="shared" si="31"/>
        <v>0</v>
      </c>
      <c r="FN12" s="210">
        <f t="shared" si="93"/>
        <v>419525.04</v>
      </c>
      <c r="FO12" s="518">
        <f t="shared" si="32"/>
        <v>97415.056000000026</v>
      </c>
      <c r="FP12" s="208">
        <f t="shared" si="33"/>
        <v>17735.112000000001</v>
      </c>
      <c r="FQ12" s="208">
        <f t="shared" si="34"/>
        <v>13639.152000000002</v>
      </c>
      <c r="FR12" s="208">
        <f t="shared" si="35"/>
        <v>529810.22400000005</v>
      </c>
      <c r="FS12" s="208">
        <f t="shared" si="36"/>
        <v>52473.19200000001</v>
      </c>
      <c r="FT12" s="209">
        <f t="shared" si="37"/>
        <v>1130597.7760000001</v>
      </c>
      <c r="FU12" s="208">
        <f t="shared" si="94"/>
        <v>369740.90399999998</v>
      </c>
      <c r="FV12" s="208">
        <f t="shared" si="38"/>
        <v>122393.83200000001</v>
      </c>
      <c r="FW12" s="208">
        <f t="shared" si="39"/>
        <v>23559.696000000004</v>
      </c>
      <c r="FX12" s="208">
        <f t="shared" si="40"/>
        <v>13940.528000000004</v>
      </c>
      <c r="FY12" s="208">
        <f t="shared" si="41"/>
        <v>454013.272</v>
      </c>
      <c r="FZ12" s="208">
        <f t="shared" si="42"/>
        <v>59868.928000000007</v>
      </c>
      <c r="GA12" s="207">
        <f t="shared" si="43"/>
        <v>1043517.1599999999</v>
      </c>
      <c r="GB12" s="206">
        <f t="shared" si="95"/>
        <v>13.464600605833965</v>
      </c>
      <c r="GC12" s="206">
        <f t="shared" si="96"/>
        <v>-20.408525161627409</v>
      </c>
      <c r="GD12" s="206">
        <f t="shared" si="44"/>
        <v>-24.722661956249354</v>
      </c>
      <c r="GE12" s="206">
        <f t="shared" si="45"/>
        <v>-2.161869335221752</v>
      </c>
      <c r="GF12" s="206">
        <f t="shared" si="46"/>
        <v>16.694875827330449</v>
      </c>
      <c r="GG12" s="206">
        <f t="shared" si="47"/>
        <v>-12.353212671521348</v>
      </c>
      <c r="GH12" s="205">
        <f t="shared" si="97"/>
        <v>8.3449146154913336</v>
      </c>
      <c r="GI12" s="215" t="str">
        <f t="shared" si="98"/>
        <v>MAIOR</v>
      </c>
    </row>
    <row r="13" spans="1:197" s="566" customFormat="1">
      <c r="A13" s="319" t="s">
        <v>89</v>
      </c>
      <c r="B13" s="208">
        <f>VLOOKUP($A$3:$A$29,JAN!$A$5:$B$31,2,)</f>
        <v>791285.48</v>
      </c>
      <c r="C13" s="208">
        <f>VLOOKUP($A$3:$A$29,JAN!$A$5:$C$31,3,)</f>
        <v>111609.44</v>
      </c>
      <c r="D13" s="208">
        <f>VLOOKUP($A$3:$A$29,JAN!$A$5:$D$31,4,)</f>
        <v>25196.232000000004</v>
      </c>
      <c r="E13" s="208">
        <f>VLOOKUP($A$3:$A$29,JAN!$A$5:$E$31,5,)</f>
        <v>15688.647999999999</v>
      </c>
      <c r="F13" s="208">
        <f>VLOOKUP($A$3:$A$29,JAN!$A$5:$X$32,23,)</f>
        <v>340095.408</v>
      </c>
      <c r="G13" s="208">
        <f>VLOOKUP($A$3:$A$29,JAN!$A$5:$X$32,24,)</f>
        <v>42590.271999999997</v>
      </c>
      <c r="H13" s="209">
        <f t="shared" si="0"/>
        <v>1326465.48</v>
      </c>
      <c r="I13" s="208">
        <f t="shared" si="48"/>
        <v>925423.25600000005</v>
      </c>
      <c r="J13" s="208">
        <f t="shared" si="49"/>
        <v>171739.42400000003</v>
      </c>
      <c r="K13" s="208">
        <f t="shared" si="50"/>
        <v>34321.064000000006</v>
      </c>
      <c r="L13" s="208">
        <f t="shared" si="51"/>
        <v>13551.776000000002</v>
      </c>
      <c r="M13" s="208">
        <f t="shared" si="52"/>
        <v>293033.02400000003</v>
      </c>
      <c r="N13" s="208">
        <f t="shared" si="53"/>
        <v>65937.599999999831</v>
      </c>
      <c r="O13" s="209">
        <f t="shared" si="2"/>
        <v>1504006.1440000001</v>
      </c>
      <c r="P13" s="208">
        <f>VLOOKUP($A$3:$A$29,FEV!$A$5:$B$31,2,)</f>
        <v>854765.24000000011</v>
      </c>
      <c r="Q13" s="208">
        <f>VLOOKUP($A$3:$A$29,FEV!$A$5:$C$31,3,)</f>
        <v>119723.60800000001</v>
      </c>
      <c r="R13" s="208">
        <f>VLOOKUP($A$3:$A$29,FEV!$A$5:$D$31,4,)</f>
        <v>21225.335999999999</v>
      </c>
      <c r="S13" s="208">
        <f>VLOOKUP($A$3:$A$29,FEV!$A$5:$E$31,5,)</f>
        <v>26778.776000000002</v>
      </c>
      <c r="T13" s="208">
        <f>VLOOKUP($A$3:$A$29,FEV!$A$5:$X$32,23,)</f>
        <v>389284.10399999999</v>
      </c>
      <c r="U13" s="208">
        <f>VLOOKUP($A$3:$A$29,FEV!$A$5:$X$32,24,)</f>
        <v>48997.536</v>
      </c>
      <c r="V13" s="209">
        <f t="shared" si="54"/>
        <v>1460774.6</v>
      </c>
      <c r="W13" s="208">
        <f t="shared" si="55"/>
        <v>791395.88</v>
      </c>
      <c r="X13" s="208">
        <f t="shared" si="3"/>
        <v>158364.32</v>
      </c>
      <c r="Y13" s="208">
        <f t="shared" si="3"/>
        <v>29515.032000000003</v>
      </c>
      <c r="Z13" s="208">
        <f t="shared" si="3"/>
        <v>14082.903999999999</v>
      </c>
      <c r="AA13" s="208">
        <f t="shared" si="3"/>
        <v>343620.93600000005</v>
      </c>
      <c r="AB13" s="208">
        <f t="shared" si="3"/>
        <v>49961.720000000008</v>
      </c>
      <c r="AC13" s="209">
        <f t="shared" si="4"/>
        <v>1386940.7919999999</v>
      </c>
      <c r="AD13" s="208">
        <f>VLOOKUP($A$3:$A$29,MAR!$A$5:$B$31,2,)</f>
        <v>956672.93599999999</v>
      </c>
      <c r="AE13" s="208">
        <f>VLOOKUP($A$3:$A$29,MAR!$A$5:$C$31,3,)</f>
        <v>172165.44</v>
      </c>
      <c r="AF13" s="208">
        <f>VLOOKUP($A$3:$A$29,MAR!$A$5:$D$31,4,)</f>
        <v>14554.6</v>
      </c>
      <c r="AG13" s="208">
        <f>VLOOKUP($A$3:$A$29,MAR!$A$5:$E$31,5,)</f>
        <v>24738.736000000001</v>
      </c>
      <c r="AH13" s="208">
        <f>VLOOKUP($A$3:$A$29,MAR!$A$5:$X$32,23,)</f>
        <v>501600.10400000005</v>
      </c>
      <c r="AI13" s="208">
        <f>VLOOKUP($A$3:$A$29,MAR!$A$5:$X$32,24,)</f>
        <v>68535.551999999996</v>
      </c>
      <c r="AJ13" s="209">
        <f t="shared" si="5"/>
        <v>1738267.368</v>
      </c>
      <c r="AK13" s="208">
        <f t="shared" si="56"/>
        <v>547245.34400000004</v>
      </c>
      <c r="AL13" s="208">
        <f t="shared" si="57"/>
        <v>169086.992</v>
      </c>
      <c r="AM13" s="208">
        <f t="shared" si="58"/>
        <v>20335.576000000001</v>
      </c>
      <c r="AN13" s="208">
        <f t="shared" si="59"/>
        <v>18033.88</v>
      </c>
      <c r="AO13" s="208">
        <f t="shared" si="60"/>
        <v>433731.30400000006</v>
      </c>
      <c r="AP13" s="208">
        <f t="shared" si="61"/>
        <v>48718.536000000007</v>
      </c>
      <c r="AQ13" s="209">
        <f t="shared" si="7"/>
        <v>1237151.6320000002</v>
      </c>
      <c r="AR13" s="208">
        <f>ABR!S15</f>
        <v>114961.88799999999</v>
      </c>
      <c r="AS13" s="208">
        <f>ABR!T15</f>
        <v>15448.992000000002</v>
      </c>
      <c r="AT13" s="208">
        <f>ABR!U15</f>
        <v>2723.848</v>
      </c>
      <c r="AU13" s="208">
        <f>ABR!V15</f>
        <v>6540.2720000000008</v>
      </c>
      <c r="AV13" s="208">
        <f>ABR!W15</f>
        <v>237639.81600000005</v>
      </c>
      <c r="AW13" s="208">
        <f>ABR!X15</f>
        <v>10256.504000000001</v>
      </c>
      <c r="AX13" s="209">
        <f t="shared" si="8"/>
        <v>387571.32000000007</v>
      </c>
      <c r="AY13" s="208">
        <f t="shared" si="62"/>
        <v>472215.22400000005</v>
      </c>
      <c r="AZ13" s="208">
        <f t="shared" si="9"/>
        <v>127684.58399999994</v>
      </c>
      <c r="BA13" s="208">
        <f t="shared" si="9"/>
        <v>19883.696</v>
      </c>
      <c r="BB13" s="208">
        <f t="shared" si="9"/>
        <v>18862.920000000002</v>
      </c>
      <c r="BC13" s="208">
        <f t="shared" si="9"/>
        <v>379262.4</v>
      </c>
      <c r="BD13" s="208">
        <f t="shared" si="9"/>
        <v>50597.495999999999</v>
      </c>
      <c r="BE13" s="209">
        <f t="shared" si="10"/>
        <v>1068506.32</v>
      </c>
      <c r="BF13" s="208">
        <f>MAI!S15</f>
        <v>115179.31200000002</v>
      </c>
      <c r="BG13" s="208">
        <f>MAI!T15</f>
        <v>15437.951999999999</v>
      </c>
      <c r="BH13" s="208">
        <f>MAI!U15</f>
        <v>2360.328</v>
      </c>
      <c r="BI13" s="208">
        <f>MAI!V15</f>
        <v>2813.6960000000004</v>
      </c>
      <c r="BJ13" s="208">
        <f>MAI!W15</f>
        <v>279289.82400000002</v>
      </c>
      <c r="BK13" s="208">
        <f>MAI!X15</f>
        <v>7627.5519999999997</v>
      </c>
      <c r="BL13" s="209">
        <f t="shared" si="11"/>
        <v>422708.66400000011</v>
      </c>
      <c r="BM13" s="208">
        <f t="shared" si="63"/>
        <v>315891.288</v>
      </c>
      <c r="BN13" s="208">
        <f t="shared" si="64"/>
        <v>99715.992000000027</v>
      </c>
      <c r="BO13" s="208">
        <f t="shared" si="65"/>
        <v>15921.44</v>
      </c>
      <c r="BP13" s="208">
        <f t="shared" si="66"/>
        <v>12658.304000000002</v>
      </c>
      <c r="BQ13" s="208">
        <f t="shared" si="67"/>
        <v>422048.52000000008</v>
      </c>
      <c r="BR13" s="208">
        <f t="shared" si="68"/>
        <v>50896.368000000002</v>
      </c>
      <c r="BS13" s="209">
        <f t="shared" si="13"/>
        <v>917131.91200000013</v>
      </c>
      <c r="BT13" s="208">
        <f>JUN!S15</f>
        <v>121825.52800000001</v>
      </c>
      <c r="BU13" s="208">
        <f>JUN!T15</f>
        <v>15653.26399999999</v>
      </c>
      <c r="BV13" s="208">
        <f>JUN!U15</f>
        <v>2926.7520000000004</v>
      </c>
      <c r="BW13" s="208">
        <f>JUN!V15</f>
        <v>1567.8640000000005</v>
      </c>
      <c r="BX13" s="208">
        <f>JUN!W15</f>
        <v>284419.99199999997</v>
      </c>
      <c r="BY13" s="208">
        <f>JUN!X15</f>
        <v>10129.768</v>
      </c>
      <c r="BZ13" s="209">
        <f t="shared" si="14"/>
        <v>436523.16799999995</v>
      </c>
      <c r="CA13" s="208">
        <f t="shared" si="69"/>
        <v>316606.38400000002</v>
      </c>
      <c r="CB13" s="208">
        <f t="shared" si="70"/>
        <v>113665.05600000006</v>
      </c>
      <c r="CC13" s="208">
        <f t="shared" si="71"/>
        <v>22655.616000000002</v>
      </c>
      <c r="CD13" s="208">
        <f t="shared" si="72"/>
        <v>13182.656000000001</v>
      </c>
      <c r="CE13" s="208">
        <f t="shared" si="73"/>
        <v>437307.36000000004</v>
      </c>
      <c r="CF13" s="208">
        <f t="shared" si="74"/>
        <v>62368.976000000002</v>
      </c>
      <c r="CG13" s="209">
        <f t="shared" si="16"/>
        <v>965786.04800000018</v>
      </c>
      <c r="CH13" s="208">
        <f>JUL!S15</f>
        <v>81496.864000000001</v>
      </c>
      <c r="CI13" s="208">
        <f>JUL!T15</f>
        <v>13205.039999999992</v>
      </c>
      <c r="CJ13" s="208">
        <f>JUL!U15</f>
        <v>3967.1440000000002</v>
      </c>
      <c r="CK13" s="208">
        <f>JUL!V15</f>
        <v>2140.12</v>
      </c>
      <c r="CL13" s="208">
        <f>JUL!W15</f>
        <v>260334.288</v>
      </c>
      <c r="CM13" s="208">
        <f>JUL!X15</f>
        <v>12720.008</v>
      </c>
      <c r="CN13" s="209">
        <f t="shared" si="17"/>
        <v>373863.46399999998</v>
      </c>
      <c r="CO13" s="208">
        <f t="shared" si="75"/>
        <v>226444.68799999999</v>
      </c>
      <c r="CP13" s="208">
        <f t="shared" si="76"/>
        <v>112115.58400000002</v>
      </c>
      <c r="CQ13" s="208">
        <f t="shared" si="77"/>
        <v>24979.592000000004</v>
      </c>
      <c r="CR13" s="208">
        <f t="shared" si="78"/>
        <v>17740.575999999997</v>
      </c>
      <c r="CS13" s="208">
        <f t="shared" si="79"/>
        <v>471257.04000000004</v>
      </c>
      <c r="CT13" s="208">
        <f t="shared" si="80"/>
        <v>68041.127999999997</v>
      </c>
      <c r="CU13" s="209">
        <f t="shared" si="19"/>
        <v>920578.60800000001</v>
      </c>
      <c r="CV13" s="208">
        <f>AGO!S15</f>
        <v>37817.616000000002</v>
      </c>
      <c r="CW13" s="208">
        <f>AGO!T15</f>
        <v>13494.984000000004</v>
      </c>
      <c r="CX13" s="208">
        <f>AGO!U15</f>
        <v>20357.296000000002</v>
      </c>
      <c r="CY13" s="208">
        <f>AGO!V15</f>
        <v>2055.0240000000022</v>
      </c>
      <c r="CZ13" s="208">
        <f>AGO!W15</f>
        <v>275376.984</v>
      </c>
      <c r="DA13" s="208">
        <f>AGO!X15</f>
        <v>11765.616</v>
      </c>
      <c r="DB13" s="209">
        <f t="shared" si="20"/>
        <v>360867.51999999996</v>
      </c>
      <c r="DC13" s="208">
        <f t="shared" si="81"/>
        <v>159138.28000000003</v>
      </c>
      <c r="DD13" s="208">
        <f t="shared" si="82"/>
        <v>100283.57599999999</v>
      </c>
      <c r="DE13" s="208">
        <f t="shared" si="83"/>
        <v>101865.584</v>
      </c>
      <c r="DF13" s="208">
        <f t="shared" si="84"/>
        <v>16442.039999999994</v>
      </c>
      <c r="DG13" s="208">
        <f t="shared" si="85"/>
        <v>480660.24</v>
      </c>
      <c r="DH13" s="208">
        <f t="shared" si="86"/>
        <v>63779.680000000008</v>
      </c>
      <c r="DI13" s="209">
        <f t="shared" si="22"/>
        <v>922169.4</v>
      </c>
      <c r="DJ13" s="208">
        <f>SET!S15</f>
        <v>26066.464000000004</v>
      </c>
      <c r="DK13" s="208">
        <f>SET!T15</f>
        <v>13386.864000000001</v>
      </c>
      <c r="DL13" s="208">
        <f>SET!U15</f>
        <v>17485.760000000002</v>
      </c>
      <c r="DM13" s="208">
        <f>SET!V15</f>
        <v>1725.6159999999975</v>
      </c>
      <c r="DN13" s="208">
        <f>SET!W15</f>
        <v>250421.75999999998</v>
      </c>
      <c r="DO13" s="208">
        <f>SET!X15</f>
        <v>14054.367999999999</v>
      </c>
      <c r="DP13" s="209">
        <f t="shared" si="23"/>
        <v>323140.83199999999</v>
      </c>
      <c r="DQ13" s="208">
        <f t="shared" si="87"/>
        <v>120875.04</v>
      </c>
      <c r="DR13" s="208">
        <f t="shared" si="88"/>
        <v>89048.928000000014</v>
      </c>
      <c r="DS13" s="208">
        <f t="shared" si="89"/>
        <v>28600.815999999999</v>
      </c>
      <c r="DT13" s="208">
        <f t="shared" si="90"/>
        <v>17271.312000000002</v>
      </c>
      <c r="DU13" s="208">
        <f t="shared" si="91"/>
        <v>437797.32</v>
      </c>
      <c r="DV13" s="208">
        <f t="shared" si="92"/>
        <v>59540.90400000001</v>
      </c>
      <c r="DW13" s="209">
        <f t="shared" si="25"/>
        <v>753134.32</v>
      </c>
      <c r="DX13" s="208">
        <f>OUT!S15</f>
        <v>0</v>
      </c>
      <c r="DY13" s="208">
        <f>OUT!T15</f>
        <v>0</v>
      </c>
      <c r="DZ13" s="208">
        <f>OUT!U15</f>
        <v>0</v>
      </c>
      <c r="EA13" s="208">
        <f>OUT!V15</f>
        <v>0</v>
      </c>
      <c r="EB13" s="208">
        <f>OUT!W15</f>
        <v>0</v>
      </c>
      <c r="EC13" s="208">
        <f>OUT!X15</f>
        <v>0</v>
      </c>
      <c r="ED13" s="209">
        <f t="shared" si="26"/>
        <v>0</v>
      </c>
      <c r="EE13" s="208"/>
      <c r="EF13" s="208"/>
      <c r="EG13" s="208"/>
      <c r="EH13" s="208"/>
      <c r="EI13" s="208"/>
      <c r="EJ13" s="208"/>
      <c r="EK13" s="209">
        <f t="shared" si="27"/>
        <v>0</v>
      </c>
      <c r="EL13" s="208">
        <f>NOV!S15</f>
        <v>0</v>
      </c>
      <c r="EM13" s="208">
        <f>NOV!T15</f>
        <v>0</v>
      </c>
      <c r="EN13" s="208">
        <f>NOV!U15</f>
        <v>0</v>
      </c>
      <c r="EO13" s="208">
        <f>NOV!V15</f>
        <v>0</v>
      </c>
      <c r="EP13" s="208">
        <f>NOV!W15</f>
        <v>0</v>
      </c>
      <c r="EQ13" s="208">
        <f>NOV!X15</f>
        <v>0</v>
      </c>
      <c r="ER13" s="209">
        <f t="shared" si="28"/>
        <v>0</v>
      </c>
      <c r="ES13" s="208"/>
      <c r="ET13" s="208"/>
      <c r="EU13" s="208"/>
      <c r="EV13" s="208"/>
      <c r="EW13" s="208"/>
      <c r="EX13" s="208"/>
      <c r="EY13" s="209">
        <f t="shared" si="29"/>
        <v>0</v>
      </c>
      <c r="EZ13" s="208">
        <f>DEZ!S15</f>
        <v>0</v>
      </c>
      <c r="FA13" s="208">
        <f>DEZ!T15</f>
        <v>0</v>
      </c>
      <c r="FB13" s="208">
        <f>DEZ!U15</f>
        <v>0</v>
      </c>
      <c r="FC13" s="208">
        <f>DEZ!V15</f>
        <v>0</v>
      </c>
      <c r="FD13" s="208">
        <f>DEZ!W15</f>
        <v>0</v>
      </c>
      <c r="FE13" s="208">
        <f>DEZ!X15</f>
        <v>0</v>
      </c>
      <c r="FF13" s="209">
        <f t="shared" si="30"/>
        <v>0</v>
      </c>
      <c r="FG13" s="208"/>
      <c r="FH13" s="208"/>
      <c r="FI13" s="208"/>
      <c r="FJ13" s="208"/>
      <c r="FK13" s="208"/>
      <c r="FL13" s="208"/>
      <c r="FM13" s="207">
        <f t="shared" si="31"/>
        <v>0</v>
      </c>
      <c r="FN13" s="210">
        <f t="shared" si="93"/>
        <v>3100071.3280000002</v>
      </c>
      <c r="FO13" s="518">
        <f t="shared" si="32"/>
        <v>490125.58399999997</v>
      </c>
      <c r="FP13" s="208">
        <f t="shared" si="33"/>
        <v>110797.296</v>
      </c>
      <c r="FQ13" s="208">
        <f t="shared" si="34"/>
        <v>84048.751999999993</v>
      </c>
      <c r="FR13" s="208">
        <f t="shared" si="35"/>
        <v>2818462.2800000003</v>
      </c>
      <c r="FS13" s="208">
        <f t="shared" si="36"/>
        <v>226677.17600000001</v>
      </c>
      <c r="FT13" s="209">
        <f t="shared" si="37"/>
        <v>6830182.4160000002</v>
      </c>
      <c r="FU13" s="208">
        <f t="shared" si="94"/>
        <v>3875235.3840000005</v>
      </c>
      <c r="FV13" s="208">
        <f t="shared" si="38"/>
        <v>1141704.456</v>
      </c>
      <c r="FW13" s="208">
        <f t="shared" si="39"/>
        <v>298078.41599999997</v>
      </c>
      <c r="FX13" s="208">
        <f t="shared" si="40"/>
        <v>141826.36799999999</v>
      </c>
      <c r="FY13" s="208">
        <f t="shared" si="41"/>
        <v>3698718.1439999999</v>
      </c>
      <c r="FZ13" s="208">
        <f t="shared" si="42"/>
        <v>519842.40799999994</v>
      </c>
      <c r="GA13" s="207">
        <f t="shared" si="43"/>
        <v>9675405.1760000009</v>
      </c>
      <c r="GB13" s="206">
        <f t="shared" si="95"/>
        <v>-20.003018634699799</v>
      </c>
      <c r="GC13" s="206">
        <f t="shared" si="96"/>
        <v>-57.070712878079547</v>
      </c>
      <c r="GD13" s="206">
        <f t="shared" si="44"/>
        <v>-62.829480414308151</v>
      </c>
      <c r="GE13" s="206">
        <f t="shared" si="45"/>
        <v>-40.738275128077738</v>
      </c>
      <c r="GF13" s="206">
        <f t="shared" si="46"/>
        <v>-23.79894411332576</v>
      </c>
      <c r="GG13" s="206">
        <f t="shared" si="47"/>
        <v>-56.395020392410913</v>
      </c>
      <c r="GH13" s="205">
        <f t="shared" si="97"/>
        <v>-29.406755668048106</v>
      </c>
      <c r="GI13" s="215" t="str">
        <f t="shared" si="98"/>
        <v>menor</v>
      </c>
    </row>
    <row r="14" spans="1:197" s="566" customFormat="1">
      <c r="A14" s="319" t="s">
        <v>88</v>
      </c>
      <c r="B14" s="208">
        <f>VLOOKUP($A$3:$A$29,JAN!$A$5:$B$31,2,)</f>
        <v>161989.60800000001</v>
      </c>
      <c r="C14" s="208">
        <f>VLOOKUP($A$3:$A$29,JAN!$A$5:$C$31,3,)</f>
        <v>27042.232000000004</v>
      </c>
      <c r="D14" s="208">
        <f>VLOOKUP($A$3:$A$29,JAN!$A$5:$D$31,4,)</f>
        <v>3286.8960000000002</v>
      </c>
      <c r="E14" s="208">
        <f>VLOOKUP($A$3:$A$29,JAN!$A$5:$E$31,5,)</f>
        <v>5973.1440000000002</v>
      </c>
      <c r="F14" s="208">
        <f>VLOOKUP($A$3:$A$29,JAN!$A$5:$X$32,23,)</f>
        <v>106720.008</v>
      </c>
      <c r="G14" s="208">
        <f>VLOOKUP($A$3:$A$29,JAN!$A$5:$X$32,24,)</f>
        <v>11452.376000000002</v>
      </c>
      <c r="H14" s="209">
        <f t="shared" si="0"/>
        <v>316464.26400000002</v>
      </c>
      <c r="I14" s="208">
        <f t="shared" si="48"/>
        <v>132461.16800000001</v>
      </c>
      <c r="J14" s="208">
        <f t="shared" si="49"/>
        <v>31786.056000000008</v>
      </c>
      <c r="K14" s="208">
        <f t="shared" si="50"/>
        <v>7662.192</v>
      </c>
      <c r="L14" s="208">
        <f t="shared" si="51"/>
        <v>8969.0640000000003</v>
      </c>
      <c r="M14" s="208">
        <f t="shared" si="52"/>
        <v>105211.68800000001</v>
      </c>
      <c r="N14" s="208">
        <f t="shared" si="53"/>
        <v>16195.463999999974</v>
      </c>
      <c r="O14" s="209">
        <f t="shared" si="2"/>
        <v>302285.63200000004</v>
      </c>
      <c r="P14" s="208">
        <f>VLOOKUP($A$3:$A$29,FEV!$A$5:$B$31,2,)</f>
        <v>164712.92800000001</v>
      </c>
      <c r="Q14" s="208">
        <f>VLOOKUP($A$3:$A$29,FEV!$A$5:$C$31,3,)</f>
        <v>29419.695999999996</v>
      </c>
      <c r="R14" s="208">
        <f>VLOOKUP($A$3:$A$29,FEV!$A$5:$D$31,4,)</f>
        <v>4857.6400000000003</v>
      </c>
      <c r="S14" s="208">
        <f>VLOOKUP($A$3:$A$29,FEV!$A$5:$E$31,5,)</f>
        <v>5558.68</v>
      </c>
      <c r="T14" s="208">
        <f>VLOOKUP($A$3:$A$29,FEV!$A$5:$X$32,23,)</f>
        <v>139820.88</v>
      </c>
      <c r="U14" s="208">
        <f>VLOOKUP($A$3:$A$29,FEV!$A$5:$X$32,24,)</f>
        <v>16917.176000000003</v>
      </c>
      <c r="V14" s="209">
        <f t="shared" si="54"/>
        <v>361287</v>
      </c>
      <c r="W14" s="208">
        <f t="shared" si="55"/>
        <v>130059.18400000001</v>
      </c>
      <c r="X14" s="208">
        <f t="shared" si="3"/>
        <v>27110.072</v>
      </c>
      <c r="Y14" s="208">
        <f t="shared" si="3"/>
        <v>8285.76</v>
      </c>
      <c r="Z14" s="208">
        <f t="shared" si="3"/>
        <v>4174.655999999999</v>
      </c>
      <c r="AA14" s="208">
        <f t="shared" si="3"/>
        <v>129693.94400000002</v>
      </c>
      <c r="AB14" s="208">
        <f t="shared" si="3"/>
        <v>10304.552000000001</v>
      </c>
      <c r="AC14" s="209">
        <f t="shared" si="4"/>
        <v>309628.16800000006</v>
      </c>
      <c r="AD14" s="208">
        <f>VLOOKUP($A$3:$A$29,MAR!$A$5:$B$31,2,)</f>
        <v>107597.416</v>
      </c>
      <c r="AE14" s="208">
        <f>VLOOKUP($A$3:$A$29,MAR!$A$5:$C$31,3,)</f>
        <v>33284.455999999998</v>
      </c>
      <c r="AF14" s="208">
        <f>VLOOKUP($A$3:$A$29,MAR!$A$5:$D$31,4,)</f>
        <v>2732.3040000000001</v>
      </c>
      <c r="AG14" s="208">
        <f>VLOOKUP($A$3:$A$29,MAR!$A$5:$E$31,5,)</f>
        <v>2647.9279999999999</v>
      </c>
      <c r="AH14" s="208">
        <f>VLOOKUP($A$3:$A$29,MAR!$A$5:$X$32,23,)</f>
        <v>190975.46400000001</v>
      </c>
      <c r="AI14" s="208">
        <f>VLOOKUP($A$3:$A$29,MAR!$A$5:$X$32,24,)</f>
        <v>12919.144</v>
      </c>
      <c r="AJ14" s="209">
        <f t="shared" si="5"/>
        <v>350156.71199999994</v>
      </c>
      <c r="AK14" s="208">
        <f t="shared" si="56"/>
        <v>90522.847999999998</v>
      </c>
      <c r="AL14" s="208">
        <f t="shared" si="57"/>
        <v>25215.311999999994</v>
      </c>
      <c r="AM14" s="208">
        <f t="shared" si="58"/>
        <v>3567.9040000000005</v>
      </c>
      <c r="AN14" s="208">
        <f t="shared" si="59"/>
        <v>3032.4879999999998</v>
      </c>
      <c r="AO14" s="208">
        <f t="shared" si="60"/>
        <v>152488.56000000003</v>
      </c>
      <c r="AP14" s="208">
        <f t="shared" si="61"/>
        <v>8271.0480000000007</v>
      </c>
      <c r="AQ14" s="209">
        <f t="shared" si="7"/>
        <v>283098.16000000003</v>
      </c>
      <c r="AR14" s="208">
        <f>ABR!S16</f>
        <v>57951.280000000006</v>
      </c>
      <c r="AS14" s="208">
        <f>ABR!T16</f>
        <v>22258.296000000002</v>
      </c>
      <c r="AT14" s="208">
        <f>ABR!U16</f>
        <v>2475.3200000000002</v>
      </c>
      <c r="AU14" s="208">
        <f>ABR!V16</f>
        <v>9229.344000000001</v>
      </c>
      <c r="AV14" s="208">
        <f>ABR!W16</f>
        <v>138132.36000000002</v>
      </c>
      <c r="AW14" s="208">
        <f>ABR!X16</f>
        <v>14024.848</v>
      </c>
      <c r="AX14" s="209">
        <f t="shared" si="8"/>
        <v>244071.44800000003</v>
      </c>
      <c r="AY14" s="208">
        <f t="shared" si="62"/>
        <v>83135.672000000006</v>
      </c>
      <c r="AZ14" s="208">
        <f t="shared" si="9"/>
        <v>20979.696000000007</v>
      </c>
      <c r="BA14" s="208">
        <f t="shared" si="9"/>
        <v>2091.4639999999999</v>
      </c>
      <c r="BB14" s="208">
        <f t="shared" si="9"/>
        <v>1025.8799999999999</v>
      </c>
      <c r="BC14" s="208">
        <f t="shared" si="9"/>
        <v>149824.32000000004</v>
      </c>
      <c r="BD14" s="208">
        <f t="shared" si="9"/>
        <v>8456.8000000000011</v>
      </c>
      <c r="BE14" s="209">
        <f t="shared" si="10"/>
        <v>265513.83200000005</v>
      </c>
      <c r="BF14" s="208">
        <f>MAI!S16</f>
        <v>71242.288</v>
      </c>
      <c r="BG14" s="208">
        <f>MAI!T16</f>
        <v>23924.04</v>
      </c>
      <c r="BH14" s="208">
        <f>MAI!U16</f>
        <v>1215.68</v>
      </c>
      <c r="BI14" s="208">
        <f>MAI!V16</f>
        <v>4961.7360000000008</v>
      </c>
      <c r="BJ14" s="208">
        <f>MAI!W16</f>
        <v>180251.49600000001</v>
      </c>
      <c r="BK14" s="208">
        <f>MAI!X16</f>
        <v>15595.600000000002</v>
      </c>
      <c r="BL14" s="209">
        <f t="shared" si="11"/>
        <v>297190.83999999997</v>
      </c>
      <c r="BM14" s="208">
        <f t="shared" si="63"/>
        <v>55348.592000000004</v>
      </c>
      <c r="BN14" s="208">
        <f t="shared" si="64"/>
        <v>23283.112000000001</v>
      </c>
      <c r="BO14" s="208">
        <f t="shared" si="65"/>
        <v>2320.44</v>
      </c>
      <c r="BP14" s="208">
        <f t="shared" si="66"/>
        <v>3242.7119999999995</v>
      </c>
      <c r="BQ14" s="208">
        <f t="shared" si="67"/>
        <v>154839.36000000002</v>
      </c>
      <c r="BR14" s="208">
        <f t="shared" si="68"/>
        <v>9632.5040000000026</v>
      </c>
      <c r="BS14" s="209">
        <f t="shared" si="13"/>
        <v>248666.72000000003</v>
      </c>
      <c r="BT14" s="208">
        <f>JUN!S16</f>
        <v>78747.744000000006</v>
      </c>
      <c r="BU14" s="208">
        <f>JUN!T16</f>
        <v>20206.424000000014</v>
      </c>
      <c r="BV14" s="208">
        <f>JUN!U16</f>
        <v>3802.5680000000002</v>
      </c>
      <c r="BW14" s="208">
        <f>JUN!V16</f>
        <v>9111.3040000000019</v>
      </c>
      <c r="BX14" s="208">
        <f>JUN!W16</f>
        <v>164339.28</v>
      </c>
      <c r="BY14" s="208">
        <f>JUN!X16</f>
        <v>16681.016000000003</v>
      </c>
      <c r="BZ14" s="209">
        <f t="shared" si="14"/>
        <v>292888.33600000001</v>
      </c>
      <c r="CA14" s="208">
        <f t="shared" si="69"/>
        <v>56209.784</v>
      </c>
      <c r="CB14" s="208">
        <f t="shared" si="70"/>
        <v>18688.152000000002</v>
      </c>
      <c r="CC14" s="208">
        <f t="shared" si="71"/>
        <v>3802.3360000000002</v>
      </c>
      <c r="CD14" s="208">
        <f t="shared" si="72"/>
        <v>2691.4320000000002</v>
      </c>
      <c r="CE14" s="208">
        <f t="shared" si="73"/>
        <v>142301.75999999998</v>
      </c>
      <c r="CF14" s="208">
        <f t="shared" si="74"/>
        <v>13763.176000000001</v>
      </c>
      <c r="CG14" s="209">
        <f t="shared" si="16"/>
        <v>237456.63999999998</v>
      </c>
      <c r="CH14" s="208">
        <f>JUL!S16</f>
        <v>60606.216000000008</v>
      </c>
      <c r="CI14" s="208">
        <f>JUL!T16</f>
        <v>20391.280000000006</v>
      </c>
      <c r="CJ14" s="208">
        <f>JUL!U16</f>
        <v>4047.72</v>
      </c>
      <c r="CK14" s="208">
        <f>JUL!V16</f>
        <v>5051.800000000002</v>
      </c>
      <c r="CL14" s="208">
        <f>JUL!W16</f>
        <v>173034.48</v>
      </c>
      <c r="CM14" s="208">
        <f>JUL!X16</f>
        <v>14851.536</v>
      </c>
      <c r="CN14" s="209">
        <f t="shared" si="17"/>
        <v>277983.03200000006</v>
      </c>
      <c r="CO14" s="208">
        <f t="shared" si="75"/>
        <v>40563.671999999999</v>
      </c>
      <c r="CP14" s="208">
        <f t="shared" si="76"/>
        <v>23249.352000000006</v>
      </c>
      <c r="CQ14" s="208">
        <f t="shared" si="77"/>
        <v>3138.2000000000003</v>
      </c>
      <c r="CR14" s="208">
        <f t="shared" si="78"/>
        <v>2496.9200000000005</v>
      </c>
      <c r="CS14" s="208">
        <f t="shared" si="79"/>
        <v>162597</v>
      </c>
      <c r="CT14" s="208">
        <f t="shared" si="80"/>
        <v>16894.896000000001</v>
      </c>
      <c r="CU14" s="209">
        <f t="shared" si="19"/>
        <v>248940.04</v>
      </c>
      <c r="CV14" s="208">
        <f>AGO!S16</f>
        <v>26614.471999999998</v>
      </c>
      <c r="CW14" s="208">
        <f>AGO!T16</f>
        <v>27745.664000000004</v>
      </c>
      <c r="CX14" s="208">
        <f>AGO!U16</f>
        <v>9888.5440000000017</v>
      </c>
      <c r="CY14" s="208">
        <f>AGO!V16</f>
        <v>3818.0880000000006</v>
      </c>
      <c r="CZ14" s="208">
        <f>AGO!W16</f>
        <v>172773.62400000001</v>
      </c>
      <c r="DA14" s="208">
        <f>AGO!X16</f>
        <v>26528.472000000005</v>
      </c>
      <c r="DB14" s="209">
        <f t="shared" si="20"/>
        <v>267368.864</v>
      </c>
      <c r="DC14" s="208">
        <f t="shared" si="81"/>
        <v>30933.608000000004</v>
      </c>
      <c r="DD14" s="208">
        <f t="shared" si="82"/>
        <v>19184.335999999996</v>
      </c>
      <c r="DE14" s="208">
        <f t="shared" si="83"/>
        <v>23812.768</v>
      </c>
      <c r="DF14" s="208">
        <f t="shared" si="84"/>
        <v>4432.2320000000027</v>
      </c>
      <c r="DG14" s="208">
        <f t="shared" si="85"/>
        <v>164791.08000000002</v>
      </c>
      <c r="DH14" s="208">
        <f t="shared" si="86"/>
        <v>14209.583999999999</v>
      </c>
      <c r="DI14" s="209">
        <f t="shared" si="22"/>
        <v>257363.60800000004</v>
      </c>
      <c r="DJ14" s="208">
        <f>SET!S16</f>
        <v>19466.664000000001</v>
      </c>
      <c r="DK14" s="208">
        <f>SET!T16</f>
        <v>17887.271999999997</v>
      </c>
      <c r="DL14" s="208">
        <f>SET!U16</f>
        <v>8090.3520000000008</v>
      </c>
      <c r="DM14" s="208">
        <f>SET!V16</f>
        <v>9450.9760000000006</v>
      </c>
      <c r="DN14" s="208">
        <f>SET!W16</f>
        <v>159817.77599999998</v>
      </c>
      <c r="DO14" s="208">
        <f>SET!X16</f>
        <v>31069.528000000009</v>
      </c>
      <c r="DP14" s="209">
        <f t="shared" si="23"/>
        <v>245782.568</v>
      </c>
      <c r="DQ14" s="208">
        <f t="shared" si="87"/>
        <v>25341.456000000002</v>
      </c>
      <c r="DR14" s="208">
        <f t="shared" si="88"/>
        <v>16512.432000000001</v>
      </c>
      <c r="DS14" s="208">
        <f t="shared" si="89"/>
        <v>7542.848</v>
      </c>
      <c r="DT14" s="208">
        <f t="shared" si="90"/>
        <v>1914.5840000000012</v>
      </c>
      <c r="DU14" s="208">
        <f t="shared" si="91"/>
        <v>150999.72</v>
      </c>
      <c r="DV14" s="208">
        <f t="shared" si="92"/>
        <v>11541.672</v>
      </c>
      <c r="DW14" s="209">
        <f t="shared" si="25"/>
        <v>213852.712</v>
      </c>
      <c r="DX14" s="208">
        <f>OUT!S16</f>
        <v>0</v>
      </c>
      <c r="DY14" s="208">
        <f>OUT!T16</f>
        <v>0</v>
      </c>
      <c r="DZ14" s="208">
        <f>OUT!U16</f>
        <v>0</v>
      </c>
      <c r="EA14" s="208">
        <f>OUT!V16</f>
        <v>0</v>
      </c>
      <c r="EB14" s="208">
        <f>OUT!W16</f>
        <v>0</v>
      </c>
      <c r="EC14" s="208">
        <f>OUT!X16</f>
        <v>0</v>
      </c>
      <c r="ED14" s="209">
        <f t="shared" si="26"/>
        <v>0</v>
      </c>
      <c r="EE14" s="208"/>
      <c r="EF14" s="208"/>
      <c r="EG14" s="208"/>
      <c r="EH14" s="208"/>
      <c r="EI14" s="208"/>
      <c r="EJ14" s="208"/>
      <c r="EK14" s="209">
        <f t="shared" si="27"/>
        <v>0</v>
      </c>
      <c r="EL14" s="208">
        <f>NOV!S16</f>
        <v>0</v>
      </c>
      <c r="EM14" s="208">
        <f>NOV!T16</f>
        <v>0</v>
      </c>
      <c r="EN14" s="208">
        <f>NOV!U16</f>
        <v>0</v>
      </c>
      <c r="EO14" s="208">
        <f>NOV!V16</f>
        <v>0</v>
      </c>
      <c r="EP14" s="208">
        <f>NOV!W16</f>
        <v>0</v>
      </c>
      <c r="EQ14" s="208">
        <f>NOV!X16</f>
        <v>0</v>
      </c>
      <c r="ER14" s="209">
        <f t="shared" si="28"/>
        <v>0</v>
      </c>
      <c r="ES14" s="208"/>
      <c r="ET14" s="208"/>
      <c r="EU14" s="208"/>
      <c r="EV14" s="208"/>
      <c r="EW14" s="208"/>
      <c r="EX14" s="208"/>
      <c r="EY14" s="209">
        <f t="shared" si="29"/>
        <v>0</v>
      </c>
      <c r="EZ14" s="208">
        <f>DEZ!S16</f>
        <v>0</v>
      </c>
      <c r="FA14" s="208">
        <f>DEZ!T16</f>
        <v>0</v>
      </c>
      <c r="FB14" s="208">
        <f>DEZ!U16</f>
        <v>0</v>
      </c>
      <c r="FC14" s="208">
        <f>DEZ!V16</f>
        <v>0</v>
      </c>
      <c r="FD14" s="208">
        <f>DEZ!W16</f>
        <v>0</v>
      </c>
      <c r="FE14" s="208">
        <f>DEZ!X16</f>
        <v>0</v>
      </c>
      <c r="FF14" s="209">
        <f t="shared" si="30"/>
        <v>0</v>
      </c>
      <c r="FG14" s="208"/>
      <c r="FH14" s="208"/>
      <c r="FI14" s="208"/>
      <c r="FJ14" s="208"/>
      <c r="FK14" s="208"/>
      <c r="FL14" s="208"/>
      <c r="FM14" s="207">
        <f t="shared" si="31"/>
        <v>0</v>
      </c>
      <c r="FN14" s="210">
        <f t="shared" si="93"/>
        <v>748928.61599999992</v>
      </c>
      <c r="FO14" s="518">
        <f t="shared" si="32"/>
        <v>222159.36000000004</v>
      </c>
      <c r="FP14" s="208">
        <f t="shared" si="33"/>
        <v>40397.024000000005</v>
      </c>
      <c r="FQ14" s="208">
        <f t="shared" si="34"/>
        <v>55803.000000000015</v>
      </c>
      <c r="FR14" s="208">
        <f t="shared" si="35"/>
        <v>1425865.3680000002</v>
      </c>
      <c r="FS14" s="208">
        <f t="shared" si="36"/>
        <v>160039.69600000003</v>
      </c>
      <c r="FT14" s="209">
        <f t="shared" si="37"/>
        <v>2653193.0640000002</v>
      </c>
      <c r="FU14" s="208">
        <f t="shared" si="94"/>
        <v>644575.98400000005</v>
      </c>
      <c r="FV14" s="208">
        <f t="shared" si="38"/>
        <v>206008.52000000005</v>
      </c>
      <c r="FW14" s="208">
        <f t="shared" si="39"/>
        <v>62223.911999999997</v>
      </c>
      <c r="FX14" s="208">
        <f t="shared" si="40"/>
        <v>31979.968000000008</v>
      </c>
      <c r="FY14" s="208">
        <f t="shared" si="41"/>
        <v>1312747.432</v>
      </c>
      <c r="FZ14" s="208">
        <f t="shared" si="42"/>
        <v>109269.69599999998</v>
      </c>
      <c r="GA14" s="207">
        <f t="shared" si="43"/>
        <v>2366805.5120000001</v>
      </c>
      <c r="GB14" s="206">
        <f t="shared" si="95"/>
        <v>16.189345335584179</v>
      </c>
      <c r="GC14" s="206">
        <f t="shared" si="96"/>
        <v>7.8398893404991128</v>
      </c>
      <c r="GD14" s="206">
        <f t="shared" si="44"/>
        <v>-35.077974525291808</v>
      </c>
      <c r="GE14" s="206">
        <f t="shared" si="45"/>
        <v>74.493607998607132</v>
      </c>
      <c r="GF14" s="206">
        <f t="shared" si="46"/>
        <v>8.6168849576542215</v>
      </c>
      <c r="GG14" s="206">
        <f t="shared" si="47"/>
        <v>46.463019353508628</v>
      </c>
      <c r="GH14" s="205">
        <f t="shared" si="97"/>
        <v>12.100172597536201</v>
      </c>
      <c r="GI14" s="215" t="str">
        <f t="shared" si="98"/>
        <v>MAIOR</v>
      </c>
    </row>
    <row r="15" spans="1:197" s="566" customFormat="1">
      <c r="A15" s="319" t="s">
        <v>87</v>
      </c>
      <c r="B15" s="208">
        <f>VLOOKUP($A$3:$A$29,JAN!$A$5:$B$31,2,)</f>
        <v>117466.10400000001</v>
      </c>
      <c r="C15" s="208">
        <f>VLOOKUP($A$3:$A$29,JAN!$A$5:$C$31,3,)</f>
        <v>24164.480000000007</v>
      </c>
      <c r="D15" s="208">
        <f>VLOOKUP($A$3:$A$29,JAN!$A$5:$D$31,4,)</f>
        <v>4037.6239999999998</v>
      </c>
      <c r="E15" s="208">
        <f>VLOOKUP($A$3:$A$29,JAN!$A$5:$E$31,5,)</f>
        <v>5388.68</v>
      </c>
      <c r="F15" s="208">
        <f>VLOOKUP($A$3:$A$29,JAN!$A$5:$X$32,23,)</f>
        <v>143417.88</v>
      </c>
      <c r="G15" s="208">
        <f>VLOOKUP($A$3:$A$29,JAN!$A$5:$X$32,24,)</f>
        <v>8133.2639999999992</v>
      </c>
      <c r="H15" s="209">
        <f t="shared" si="0"/>
        <v>302608.03200000006</v>
      </c>
      <c r="I15" s="208">
        <f t="shared" si="48"/>
        <v>118625.992</v>
      </c>
      <c r="J15" s="208">
        <f t="shared" si="49"/>
        <v>33646.175999999999</v>
      </c>
      <c r="K15" s="208">
        <f t="shared" si="50"/>
        <v>6187.4400000000005</v>
      </c>
      <c r="L15" s="208">
        <f t="shared" si="51"/>
        <v>3001.8879999999999</v>
      </c>
      <c r="M15" s="208">
        <f t="shared" si="52"/>
        <v>130098.89600000001</v>
      </c>
      <c r="N15" s="208">
        <f t="shared" si="53"/>
        <v>12398.511999999952</v>
      </c>
      <c r="O15" s="209">
        <f t="shared" si="2"/>
        <v>303958.90399999992</v>
      </c>
      <c r="P15" s="208">
        <f>VLOOKUP($A$3:$A$29,FEV!$A$5:$B$31,2,)</f>
        <v>143115.24799999999</v>
      </c>
      <c r="Q15" s="208">
        <f>VLOOKUP($A$3:$A$29,FEV!$A$5:$C$31,3,)</f>
        <v>18992</v>
      </c>
      <c r="R15" s="208">
        <f>VLOOKUP($A$3:$A$29,FEV!$A$5:$D$31,4,)</f>
        <v>5579.5839999999998</v>
      </c>
      <c r="S15" s="208">
        <f>VLOOKUP($A$3:$A$29,FEV!$A$5:$E$31,5,)</f>
        <v>5913.44</v>
      </c>
      <c r="T15" s="208">
        <f>VLOOKUP($A$3:$A$29,FEV!$A$5:$X$32,23,)</f>
        <v>210684.69600000003</v>
      </c>
      <c r="U15" s="208">
        <f>VLOOKUP($A$3:$A$29,FEV!$A$5:$X$32,24,)</f>
        <v>7937.0079999999989</v>
      </c>
      <c r="V15" s="209">
        <f t="shared" si="54"/>
        <v>392221.97599999997</v>
      </c>
      <c r="W15" s="208">
        <f t="shared" si="55"/>
        <v>136776.53600000002</v>
      </c>
      <c r="X15" s="208">
        <f t="shared" si="3"/>
        <v>35668.976000000002</v>
      </c>
      <c r="Y15" s="208">
        <f t="shared" si="3"/>
        <v>6917.3040000000001</v>
      </c>
      <c r="Z15" s="208">
        <f t="shared" si="3"/>
        <v>4346.7760000000007</v>
      </c>
      <c r="AA15" s="208">
        <f t="shared" si="3"/>
        <v>193341.63200000001</v>
      </c>
      <c r="AB15" s="208">
        <f t="shared" si="3"/>
        <v>10664.088</v>
      </c>
      <c r="AC15" s="209">
        <f t="shared" si="4"/>
        <v>387715.31200000003</v>
      </c>
      <c r="AD15" s="208">
        <f>VLOOKUP($A$3:$A$29,MAR!$A$5:$B$31,2,)</f>
        <v>145075.552</v>
      </c>
      <c r="AE15" s="208">
        <f>VLOOKUP($A$3:$A$29,MAR!$A$5:$C$31,3,)</f>
        <v>24922.904000000002</v>
      </c>
      <c r="AF15" s="208">
        <f>VLOOKUP($A$3:$A$29,MAR!$A$5:$D$31,4,)</f>
        <v>3964.9040000000005</v>
      </c>
      <c r="AG15" s="208">
        <f>VLOOKUP($A$3:$A$29,MAR!$A$5:$E$31,5,)</f>
        <v>3148.9680000000003</v>
      </c>
      <c r="AH15" s="208">
        <f>VLOOKUP($A$3:$A$29,MAR!$A$5:$X$32,23,)</f>
        <v>278768.11200000002</v>
      </c>
      <c r="AI15" s="208">
        <f>VLOOKUP($A$3:$A$29,MAR!$A$5:$X$32,24,)</f>
        <v>11944.248</v>
      </c>
      <c r="AJ15" s="209">
        <f t="shared" si="5"/>
        <v>467824.68800000008</v>
      </c>
      <c r="AK15" s="208">
        <f t="shared" si="56"/>
        <v>119543.68000000001</v>
      </c>
      <c r="AL15" s="208">
        <f t="shared" si="57"/>
        <v>35214.784000000007</v>
      </c>
      <c r="AM15" s="208">
        <f t="shared" si="58"/>
        <v>5112.4400000000005</v>
      </c>
      <c r="AN15" s="208">
        <f t="shared" si="59"/>
        <v>2436.7439999999992</v>
      </c>
      <c r="AO15" s="208">
        <f t="shared" si="60"/>
        <v>237430.80000000002</v>
      </c>
      <c r="AP15" s="208">
        <f t="shared" si="61"/>
        <v>8498.0400000000009</v>
      </c>
      <c r="AQ15" s="209">
        <f t="shared" si="7"/>
        <v>408236.48800000001</v>
      </c>
      <c r="AR15" s="208">
        <f>ABR!S17</f>
        <v>418721.93599999999</v>
      </c>
      <c r="AS15" s="208">
        <f>ABR!T17</f>
        <v>115499.8</v>
      </c>
      <c r="AT15" s="208">
        <f>ABR!U17</f>
        <v>6416.4800000000005</v>
      </c>
      <c r="AU15" s="208">
        <f>ABR!V17</f>
        <v>17481.655999999999</v>
      </c>
      <c r="AV15" s="208">
        <f>ABR!W17</f>
        <v>449976.6</v>
      </c>
      <c r="AW15" s="208">
        <f>ABR!X17</f>
        <v>51851.952000000012</v>
      </c>
      <c r="AX15" s="209">
        <f t="shared" si="8"/>
        <v>1059948.4239999999</v>
      </c>
      <c r="AY15" s="208">
        <f t="shared" si="62"/>
        <v>125087.31200000002</v>
      </c>
      <c r="AZ15" s="208">
        <f t="shared" si="9"/>
        <v>32732.559999999998</v>
      </c>
      <c r="BA15" s="208">
        <f t="shared" si="9"/>
        <v>5109.12</v>
      </c>
      <c r="BB15" s="208">
        <f t="shared" si="9"/>
        <v>3189.5840000000007</v>
      </c>
      <c r="BC15" s="208">
        <f t="shared" si="9"/>
        <v>209769.72000000003</v>
      </c>
      <c r="BD15" s="208">
        <f t="shared" si="9"/>
        <v>12714.824000000001</v>
      </c>
      <c r="BE15" s="209">
        <f t="shared" si="10"/>
        <v>388603.12000000011</v>
      </c>
      <c r="BF15" s="208">
        <f>MAI!S17</f>
        <v>441141.28</v>
      </c>
      <c r="BG15" s="208">
        <f>MAI!T17</f>
        <v>107947.51200000002</v>
      </c>
      <c r="BH15" s="208">
        <f>MAI!U17</f>
        <v>6900.1039999999994</v>
      </c>
      <c r="BI15" s="208">
        <f>MAI!V17</f>
        <v>16732.816000000003</v>
      </c>
      <c r="BJ15" s="208">
        <f>MAI!W17</f>
        <v>521190.288</v>
      </c>
      <c r="BK15" s="208">
        <f>MAI!X17</f>
        <v>50655.896000000008</v>
      </c>
      <c r="BL15" s="209">
        <f t="shared" si="11"/>
        <v>1144567.8959999999</v>
      </c>
      <c r="BM15" s="208">
        <f t="shared" si="63"/>
        <v>87050.495999999999</v>
      </c>
      <c r="BN15" s="208">
        <f t="shared" si="64"/>
        <v>18682.368000000013</v>
      </c>
      <c r="BO15" s="208">
        <f t="shared" si="65"/>
        <v>4393.384</v>
      </c>
      <c r="BP15" s="208">
        <f t="shared" si="66"/>
        <v>3917.6400000000003</v>
      </c>
      <c r="BQ15" s="208">
        <f t="shared" si="67"/>
        <v>236725.56</v>
      </c>
      <c r="BR15" s="208">
        <f t="shared" si="68"/>
        <v>11226.744000000001</v>
      </c>
      <c r="BS15" s="209">
        <f t="shared" si="13"/>
        <v>361996.19200000004</v>
      </c>
      <c r="BT15" s="208">
        <f>JUN!S17</f>
        <v>484384.60800000001</v>
      </c>
      <c r="BU15" s="208">
        <f>JUN!T17</f>
        <v>94902.296000000002</v>
      </c>
      <c r="BV15" s="208">
        <f>JUN!U17</f>
        <v>9902.6080000000002</v>
      </c>
      <c r="BW15" s="208">
        <f>JUN!V17</f>
        <v>19942.152000000002</v>
      </c>
      <c r="BX15" s="208">
        <f>JUN!W17</f>
        <v>490061.47200000001</v>
      </c>
      <c r="BY15" s="208">
        <f>JUN!X17</f>
        <v>46528.90400000001</v>
      </c>
      <c r="BZ15" s="209">
        <f t="shared" si="14"/>
        <v>1145722.04</v>
      </c>
      <c r="CA15" s="208">
        <f t="shared" si="69"/>
        <v>85780.296000000002</v>
      </c>
      <c r="CB15" s="208">
        <f t="shared" si="70"/>
        <v>23467.104000000018</v>
      </c>
      <c r="CC15" s="208">
        <f t="shared" si="71"/>
        <v>4966.6959999999999</v>
      </c>
      <c r="CD15" s="208">
        <f t="shared" si="72"/>
        <v>6585.3840000000018</v>
      </c>
      <c r="CE15" s="208">
        <f t="shared" si="73"/>
        <v>262819.44</v>
      </c>
      <c r="CF15" s="208">
        <f t="shared" si="74"/>
        <v>18040.008000000002</v>
      </c>
      <c r="CG15" s="209">
        <f t="shared" si="16"/>
        <v>401658.92800000007</v>
      </c>
      <c r="CH15" s="208">
        <f>JUL!S17</f>
        <v>366756.33600000001</v>
      </c>
      <c r="CI15" s="208">
        <f>JUL!T17</f>
        <v>83044.431999999986</v>
      </c>
      <c r="CJ15" s="208">
        <f>JUL!U17</f>
        <v>20318.760000000002</v>
      </c>
      <c r="CK15" s="208">
        <f>JUL!V17</f>
        <v>19959.04</v>
      </c>
      <c r="CL15" s="208">
        <f>JUL!W17</f>
        <v>482061.88800000004</v>
      </c>
      <c r="CM15" s="208">
        <f>JUL!X17</f>
        <v>62597.824000000008</v>
      </c>
      <c r="CN15" s="209">
        <f t="shared" si="17"/>
        <v>1034738.28</v>
      </c>
      <c r="CO15" s="208">
        <f t="shared" si="75"/>
        <v>61744.031999999999</v>
      </c>
      <c r="CP15" s="208">
        <f t="shared" si="76"/>
        <v>27318.368000000006</v>
      </c>
      <c r="CQ15" s="208">
        <f t="shared" si="77"/>
        <v>5714.880000000001</v>
      </c>
      <c r="CR15" s="208">
        <f t="shared" si="78"/>
        <v>4803.0240000000003</v>
      </c>
      <c r="CS15" s="208">
        <f t="shared" si="79"/>
        <v>269166.60000000003</v>
      </c>
      <c r="CT15" s="208">
        <f t="shared" si="80"/>
        <v>17798.367999999999</v>
      </c>
      <c r="CU15" s="209">
        <f t="shared" si="19"/>
        <v>386545.27200000006</v>
      </c>
      <c r="CV15" s="208">
        <f>AGO!S17</f>
        <v>158363.16800000001</v>
      </c>
      <c r="CW15" s="208">
        <f>AGO!T17</f>
        <v>91492.895999999979</v>
      </c>
      <c r="CX15" s="208">
        <f>AGO!U17</f>
        <v>60329.864000000001</v>
      </c>
      <c r="CY15" s="208">
        <f>AGO!V17</f>
        <v>21787.335999999999</v>
      </c>
      <c r="CZ15" s="208">
        <f>AGO!W17</f>
        <v>518668.68000000005</v>
      </c>
      <c r="DA15" s="208">
        <f>AGO!X17</f>
        <v>73563.135999999999</v>
      </c>
      <c r="DB15" s="209">
        <f t="shared" si="20"/>
        <v>924205.08000000007</v>
      </c>
      <c r="DC15" s="208">
        <f t="shared" si="81"/>
        <v>37770.936000000002</v>
      </c>
      <c r="DD15" s="208">
        <f t="shared" si="82"/>
        <v>22149.152000000002</v>
      </c>
      <c r="DE15" s="208">
        <f t="shared" si="83"/>
        <v>20751.184000000001</v>
      </c>
      <c r="DF15" s="208">
        <f t="shared" si="84"/>
        <v>3202.5040000000017</v>
      </c>
      <c r="DG15" s="208">
        <f t="shared" si="85"/>
        <v>258979.80000000002</v>
      </c>
      <c r="DH15" s="208">
        <f t="shared" si="86"/>
        <v>14075.928000000004</v>
      </c>
      <c r="DI15" s="209">
        <f t="shared" si="22"/>
        <v>356929.50400000002</v>
      </c>
      <c r="DJ15" s="208">
        <f>SET!S17</f>
        <v>91939.343999999997</v>
      </c>
      <c r="DK15" s="208">
        <f>SET!T17</f>
        <v>59657.088000000018</v>
      </c>
      <c r="DL15" s="208">
        <f>SET!U17</f>
        <v>21143.504000000001</v>
      </c>
      <c r="DM15" s="208">
        <f>SET!V17</f>
        <v>12731.887999999999</v>
      </c>
      <c r="DN15" s="208">
        <f>SET!W17</f>
        <v>496669.82400000002</v>
      </c>
      <c r="DO15" s="208">
        <f>SET!X17</f>
        <v>52313.4</v>
      </c>
      <c r="DP15" s="209">
        <f t="shared" si="23"/>
        <v>734455.04800000007</v>
      </c>
      <c r="DQ15" s="208">
        <f t="shared" si="87"/>
        <v>48457.880000000005</v>
      </c>
      <c r="DR15" s="208">
        <f t="shared" si="88"/>
        <v>18539.504000000008</v>
      </c>
      <c r="DS15" s="208">
        <f t="shared" si="89"/>
        <v>12281.032000000001</v>
      </c>
      <c r="DT15" s="208">
        <f t="shared" si="90"/>
        <v>3377.0320000000002</v>
      </c>
      <c r="DU15" s="208">
        <f t="shared" si="91"/>
        <v>254356.56</v>
      </c>
      <c r="DV15" s="208">
        <f t="shared" si="92"/>
        <v>18154.736000000001</v>
      </c>
      <c r="DW15" s="209">
        <f t="shared" si="25"/>
        <v>355166.74400000001</v>
      </c>
      <c r="DX15" s="208">
        <f>OUT!S17</f>
        <v>0</v>
      </c>
      <c r="DY15" s="208">
        <f>OUT!T17</f>
        <v>0</v>
      </c>
      <c r="DZ15" s="208">
        <f>OUT!U17</f>
        <v>0</v>
      </c>
      <c r="EA15" s="208">
        <f>OUT!V17</f>
        <v>0</v>
      </c>
      <c r="EB15" s="208">
        <f>OUT!W17</f>
        <v>0</v>
      </c>
      <c r="EC15" s="208">
        <f>OUT!X17</f>
        <v>0</v>
      </c>
      <c r="ED15" s="209">
        <f t="shared" si="26"/>
        <v>0</v>
      </c>
      <c r="EE15" s="208"/>
      <c r="EF15" s="208"/>
      <c r="EG15" s="208"/>
      <c r="EH15" s="208"/>
      <c r="EI15" s="208"/>
      <c r="EJ15" s="208"/>
      <c r="EK15" s="209">
        <f t="shared" si="27"/>
        <v>0</v>
      </c>
      <c r="EL15" s="208">
        <f>NOV!S17</f>
        <v>0</v>
      </c>
      <c r="EM15" s="208">
        <f>NOV!T17</f>
        <v>0</v>
      </c>
      <c r="EN15" s="208">
        <f>NOV!U17</f>
        <v>0</v>
      </c>
      <c r="EO15" s="208">
        <f>NOV!V17</f>
        <v>0</v>
      </c>
      <c r="EP15" s="208">
        <f>NOV!W17</f>
        <v>0</v>
      </c>
      <c r="EQ15" s="208">
        <f>NOV!X17</f>
        <v>0</v>
      </c>
      <c r="ER15" s="209">
        <f t="shared" si="28"/>
        <v>0</v>
      </c>
      <c r="ES15" s="208"/>
      <c r="ET15" s="208"/>
      <c r="EU15" s="208"/>
      <c r="EV15" s="208"/>
      <c r="EW15" s="208"/>
      <c r="EX15" s="208"/>
      <c r="EY15" s="209">
        <f t="shared" si="29"/>
        <v>0</v>
      </c>
      <c r="EZ15" s="208">
        <f>DEZ!S17</f>
        <v>0</v>
      </c>
      <c r="FA15" s="208">
        <f>DEZ!T17</f>
        <v>0</v>
      </c>
      <c r="FB15" s="208">
        <f>DEZ!U17</f>
        <v>0</v>
      </c>
      <c r="FC15" s="208">
        <f>DEZ!V17</f>
        <v>0</v>
      </c>
      <c r="FD15" s="208">
        <f>DEZ!W17</f>
        <v>0</v>
      </c>
      <c r="FE15" s="208">
        <f>DEZ!X17</f>
        <v>0</v>
      </c>
      <c r="FF15" s="209">
        <f t="shared" si="30"/>
        <v>0</v>
      </c>
      <c r="FG15" s="208"/>
      <c r="FH15" s="208"/>
      <c r="FI15" s="208"/>
      <c r="FJ15" s="208"/>
      <c r="FK15" s="208"/>
      <c r="FL15" s="208"/>
      <c r="FM15" s="207">
        <f t="shared" si="31"/>
        <v>0</v>
      </c>
      <c r="FN15" s="210">
        <f t="shared" si="93"/>
        <v>2366963.5760000004</v>
      </c>
      <c r="FO15" s="518">
        <f t="shared" si="32"/>
        <v>620623.40799999994</v>
      </c>
      <c r="FP15" s="208">
        <f t="shared" si="33"/>
        <v>138593.43200000003</v>
      </c>
      <c r="FQ15" s="208">
        <f t="shared" si="34"/>
        <v>123085.976</v>
      </c>
      <c r="FR15" s="208">
        <f t="shared" si="35"/>
        <v>3591499.4400000004</v>
      </c>
      <c r="FS15" s="208">
        <f t="shared" si="36"/>
        <v>365525.63200000004</v>
      </c>
      <c r="FT15" s="209">
        <f t="shared" si="37"/>
        <v>7206291.4640000006</v>
      </c>
      <c r="FU15" s="208">
        <f t="shared" si="94"/>
        <v>820837.16</v>
      </c>
      <c r="FV15" s="208">
        <f t="shared" si="38"/>
        <v>247418.99200000009</v>
      </c>
      <c r="FW15" s="208">
        <f t="shared" si="39"/>
        <v>71433.48000000001</v>
      </c>
      <c r="FX15" s="208">
        <f t="shared" si="40"/>
        <v>34860.576000000008</v>
      </c>
      <c r="FY15" s="208">
        <f t="shared" si="41"/>
        <v>2052689.0080000004</v>
      </c>
      <c r="FZ15" s="208">
        <f t="shared" si="42"/>
        <v>123571.24799999996</v>
      </c>
      <c r="GA15" s="207">
        <f t="shared" si="43"/>
        <v>3350810.4640000011</v>
      </c>
      <c r="GB15" s="206">
        <f t="shared" si="95"/>
        <v>188.35970047944716</v>
      </c>
      <c r="GC15" s="206">
        <f t="shared" si="96"/>
        <v>150.83903340775055</v>
      </c>
      <c r="GD15" s="206">
        <f t="shared" si="44"/>
        <v>94.017471919329722</v>
      </c>
      <c r="GE15" s="206">
        <f t="shared" si="45"/>
        <v>253.08072936029504</v>
      </c>
      <c r="GF15" s="206">
        <f t="shared" si="46"/>
        <v>74.965590306312947</v>
      </c>
      <c r="GG15" s="206">
        <f t="shared" si="47"/>
        <v>195.80152172615442</v>
      </c>
      <c r="GH15" s="205">
        <f t="shared" si="97"/>
        <v>115.06114838251852</v>
      </c>
      <c r="GI15" s="215" t="str">
        <f t="shared" si="98"/>
        <v>MAIOR</v>
      </c>
    </row>
    <row r="16" spans="1:197" s="566" customFormat="1">
      <c r="A16" s="319" t="s">
        <v>90</v>
      </c>
      <c r="B16" s="208">
        <f>VLOOKUP($A$3:$A$29,JAN!$A$5:$B$31,2,)</f>
        <v>82368.168000000005</v>
      </c>
      <c r="C16" s="208">
        <f>VLOOKUP($A$3:$A$29,JAN!$A$5:$C$31,3,)</f>
        <v>19167.431999999997</v>
      </c>
      <c r="D16" s="208">
        <f>VLOOKUP($A$3:$A$29,JAN!$A$5:$D$31,4,)</f>
        <v>1405.048</v>
      </c>
      <c r="E16" s="208">
        <f>VLOOKUP($A$3:$A$29,JAN!$A$5:$E$31,5,)</f>
        <v>1310.6240000000003</v>
      </c>
      <c r="F16" s="208">
        <f>VLOOKUP($A$3:$A$29,JAN!$A$5:$X$32,23,)</f>
        <v>58368.168000000005</v>
      </c>
      <c r="G16" s="208">
        <f>VLOOKUP($A$3:$A$29,JAN!$A$5:$X$32,24,)</f>
        <v>6658.9519999999993</v>
      </c>
      <c r="H16" s="209">
        <f t="shared" si="0"/>
        <v>169278.39199999999</v>
      </c>
      <c r="I16" s="208">
        <f t="shared" si="48"/>
        <v>84887.464000000007</v>
      </c>
      <c r="J16" s="208">
        <f t="shared" si="49"/>
        <v>38066.559999999998</v>
      </c>
      <c r="K16" s="208">
        <f t="shared" si="50"/>
        <v>4020.8480000000004</v>
      </c>
      <c r="L16" s="208">
        <f t="shared" si="51"/>
        <v>2277.5839999999998</v>
      </c>
      <c r="M16" s="208">
        <f t="shared" si="52"/>
        <v>51373.743999999999</v>
      </c>
      <c r="N16" s="208">
        <f t="shared" si="53"/>
        <v>10786.488000000021</v>
      </c>
      <c r="O16" s="209">
        <f t="shared" si="2"/>
        <v>191412.68800000002</v>
      </c>
      <c r="P16" s="208">
        <f>VLOOKUP($A$3:$A$29,FEV!$A$5:$B$31,2,)</f>
        <v>101812.25600000001</v>
      </c>
      <c r="Q16" s="208">
        <f>VLOOKUP($A$3:$A$29,FEV!$A$5:$C$31,3,)</f>
        <v>21845.207999999984</v>
      </c>
      <c r="R16" s="208">
        <f>VLOOKUP($A$3:$A$29,FEV!$A$5:$D$31,4,)</f>
        <v>3922.36</v>
      </c>
      <c r="S16" s="208">
        <f>VLOOKUP($A$3:$A$29,FEV!$A$5:$E$31,5,)</f>
        <v>2245.7919999999999</v>
      </c>
      <c r="T16" s="208">
        <f>VLOOKUP($A$3:$A$29,FEV!$A$5:$X$32,23,)</f>
        <v>72208.584000000003</v>
      </c>
      <c r="U16" s="208">
        <f>VLOOKUP($A$3:$A$29,FEV!$A$5:$X$32,24,)</f>
        <v>9064.496000000001</v>
      </c>
      <c r="V16" s="209">
        <f t="shared" si="54"/>
        <v>211098.69600000003</v>
      </c>
      <c r="W16" s="208">
        <f t="shared" si="55"/>
        <v>104487.592</v>
      </c>
      <c r="X16" s="208">
        <f t="shared" si="3"/>
        <v>30470.007999999998</v>
      </c>
      <c r="Y16" s="208">
        <f t="shared" si="3"/>
        <v>3500.8480000000004</v>
      </c>
      <c r="Z16" s="208">
        <f t="shared" si="3"/>
        <v>3931.5999999999995</v>
      </c>
      <c r="AA16" s="208">
        <f t="shared" si="3"/>
        <v>67362.327999999994</v>
      </c>
      <c r="AB16" s="208">
        <f t="shared" si="3"/>
        <v>9834.9279999999999</v>
      </c>
      <c r="AC16" s="209">
        <f t="shared" si="4"/>
        <v>219587.304</v>
      </c>
      <c r="AD16" s="208">
        <f>VLOOKUP($A$3:$A$29,MAR!$A$5:$B$31,2,)</f>
        <v>97399.831999999995</v>
      </c>
      <c r="AE16" s="208">
        <f>VLOOKUP($A$3:$A$29,MAR!$A$5:$C$31,3,)</f>
        <v>23358.616000000002</v>
      </c>
      <c r="AF16" s="208">
        <f>VLOOKUP($A$3:$A$29,MAR!$A$5:$D$31,4,)</f>
        <v>2289.3200000000002</v>
      </c>
      <c r="AG16" s="208">
        <f>VLOOKUP($A$3:$A$29,MAR!$A$5:$E$31,5,)</f>
        <v>2591.4960000000001</v>
      </c>
      <c r="AH16" s="208">
        <f>VLOOKUP($A$3:$A$29,MAR!$A$5:$X$32,23,)</f>
        <v>95746.592000000004</v>
      </c>
      <c r="AI16" s="208">
        <f>VLOOKUP($A$3:$A$29,MAR!$A$5:$X$32,24,)</f>
        <v>9643.1759999999995</v>
      </c>
      <c r="AJ16" s="209">
        <f t="shared" si="5"/>
        <v>231029.03200000004</v>
      </c>
      <c r="AK16" s="208">
        <f t="shared" si="56"/>
        <v>75275.183999999994</v>
      </c>
      <c r="AL16" s="208">
        <f t="shared" si="57"/>
        <v>25401.047999999999</v>
      </c>
      <c r="AM16" s="208">
        <f t="shared" si="58"/>
        <v>2368.6480000000001</v>
      </c>
      <c r="AN16" s="208">
        <f t="shared" si="59"/>
        <v>1230.8960000000004</v>
      </c>
      <c r="AO16" s="208">
        <f t="shared" si="60"/>
        <v>64631.328000000009</v>
      </c>
      <c r="AP16" s="208">
        <f t="shared" si="61"/>
        <v>7629.6720000000005</v>
      </c>
      <c r="AQ16" s="209">
        <f t="shared" si="7"/>
        <v>176536.77599999998</v>
      </c>
      <c r="AR16" s="208">
        <f>ABR!S18</f>
        <v>55695.296000000002</v>
      </c>
      <c r="AS16" s="208">
        <f>ABR!T18</f>
        <v>16920.727999999999</v>
      </c>
      <c r="AT16" s="208">
        <f>ABR!U18</f>
        <v>2294.4</v>
      </c>
      <c r="AU16" s="208">
        <f>ABR!V18</f>
        <v>2613.4639999999999</v>
      </c>
      <c r="AV16" s="208">
        <f>ABR!W18</f>
        <v>88586.695999999996</v>
      </c>
      <c r="AW16" s="208">
        <f>ABR!X18</f>
        <v>7691.6399999999994</v>
      </c>
      <c r="AX16" s="209">
        <f t="shared" si="8"/>
        <v>173802.22399999999</v>
      </c>
      <c r="AY16" s="208">
        <f t="shared" si="62"/>
        <v>68362.471999999994</v>
      </c>
      <c r="AZ16" s="208">
        <f t="shared" si="9"/>
        <v>22849.600000000002</v>
      </c>
      <c r="BA16" s="208">
        <f t="shared" si="9"/>
        <v>2391.672</v>
      </c>
      <c r="BB16" s="208">
        <f t="shared" si="9"/>
        <v>1418.7119999999995</v>
      </c>
      <c r="BC16" s="208">
        <f t="shared" si="9"/>
        <v>66543.312000000005</v>
      </c>
      <c r="BD16" s="208">
        <f t="shared" si="9"/>
        <v>9417.08</v>
      </c>
      <c r="BE16" s="209">
        <f t="shared" si="10"/>
        <v>170982.848</v>
      </c>
      <c r="BF16" s="208">
        <f>MAI!S18</f>
        <v>70927.407999999996</v>
      </c>
      <c r="BG16" s="208">
        <f>MAI!T18</f>
        <v>20652.312000000002</v>
      </c>
      <c r="BH16" s="208">
        <f>MAI!U18</f>
        <v>1816.4720000000002</v>
      </c>
      <c r="BI16" s="208">
        <f>MAI!V18</f>
        <v>1918.8560000000002</v>
      </c>
      <c r="BJ16" s="208">
        <f>MAI!W18</f>
        <v>104081.54400000002</v>
      </c>
      <c r="BK16" s="208">
        <f>MAI!X18</f>
        <v>10161.448</v>
      </c>
      <c r="BL16" s="209">
        <f t="shared" si="11"/>
        <v>209558.04</v>
      </c>
      <c r="BM16" s="208">
        <f t="shared" si="63"/>
        <v>50643.968000000001</v>
      </c>
      <c r="BN16" s="208">
        <f t="shared" si="64"/>
        <v>20175.48</v>
      </c>
      <c r="BO16" s="208">
        <f t="shared" si="65"/>
        <v>5388.0240000000003</v>
      </c>
      <c r="BP16" s="208">
        <f t="shared" si="66"/>
        <v>1469.768</v>
      </c>
      <c r="BQ16" s="208">
        <f t="shared" si="67"/>
        <v>80319</v>
      </c>
      <c r="BR16" s="208">
        <f t="shared" si="68"/>
        <v>8204.9760000000006</v>
      </c>
      <c r="BS16" s="209">
        <f t="shared" si="13"/>
        <v>166201.21599999999</v>
      </c>
      <c r="BT16" s="208">
        <f>JUN!S18</f>
        <v>71490.384000000005</v>
      </c>
      <c r="BU16" s="208">
        <f>JUN!T18</f>
        <v>19844.808000000008</v>
      </c>
      <c r="BV16" s="208">
        <f>JUN!U18</f>
        <v>1555.5200000000002</v>
      </c>
      <c r="BW16" s="208">
        <f>JUN!V18</f>
        <v>2517.2800000000002</v>
      </c>
      <c r="BX16" s="208">
        <f>JUN!W18</f>
        <v>102750.96</v>
      </c>
      <c r="BY16" s="208">
        <f>JUN!X18</f>
        <v>9589.4160000000011</v>
      </c>
      <c r="BZ16" s="209">
        <f t="shared" si="14"/>
        <v>207748.36800000002</v>
      </c>
      <c r="CA16" s="208">
        <f t="shared" si="69"/>
        <v>55552.872000000003</v>
      </c>
      <c r="CB16" s="208">
        <f t="shared" si="70"/>
        <v>19732.912</v>
      </c>
      <c r="CC16" s="208">
        <f t="shared" si="71"/>
        <v>3640.5360000000001</v>
      </c>
      <c r="CD16" s="208">
        <f t="shared" si="72"/>
        <v>1294.7839999999997</v>
      </c>
      <c r="CE16" s="208">
        <f t="shared" si="73"/>
        <v>84628.800000000003</v>
      </c>
      <c r="CF16" s="208">
        <f t="shared" si="74"/>
        <v>10430.128000000001</v>
      </c>
      <c r="CG16" s="209">
        <f t="shared" si="16"/>
        <v>175280.03200000001</v>
      </c>
      <c r="CH16" s="208">
        <f>JUL!S18</f>
        <v>56972.592000000004</v>
      </c>
      <c r="CI16" s="208">
        <f>JUL!T18</f>
        <v>15526.791999999994</v>
      </c>
      <c r="CJ16" s="208">
        <f>JUL!U18</f>
        <v>2485.4639999999999</v>
      </c>
      <c r="CK16" s="208">
        <f>JUL!V18</f>
        <v>1962.2480000000005</v>
      </c>
      <c r="CL16" s="208">
        <f>JUL!W18</f>
        <v>84604.288</v>
      </c>
      <c r="CM16" s="208">
        <f>JUL!X18</f>
        <v>10016.24</v>
      </c>
      <c r="CN16" s="209">
        <f t="shared" si="17"/>
        <v>171567.62400000001</v>
      </c>
      <c r="CO16" s="208">
        <f t="shared" si="75"/>
        <v>39022.296000000002</v>
      </c>
      <c r="CP16" s="208">
        <f t="shared" si="76"/>
        <v>21255.096000000005</v>
      </c>
      <c r="CQ16" s="208">
        <f t="shared" si="77"/>
        <v>4938.76</v>
      </c>
      <c r="CR16" s="208">
        <f t="shared" si="78"/>
        <v>1774.0079999999996</v>
      </c>
      <c r="CS16" s="208">
        <f t="shared" si="79"/>
        <v>77341.319999999992</v>
      </c>
      <c r="CT16" s="208">
        <f t="shared" si="80"/>
        <v>12664.791999999999</v>
      </c>
      <c r="CU16" s="209">
        <f t="shared" si="19"/>
        <v>156996.27199999997</v>
      </c>
      <c r="CV16" s="208">
        <f>AGO!S18</f>
        <v>26629.216</v>
      </c>
      <c r="CW16" s="208">
        <f>AGO!T18</f>
        <v>13231.624000000005</v>
      </c>
      <c r="CX16" s="208">
        <f>AGO!U18</f>
        <v>8250.32</v>
      </c>
      <c r="CY16" s="208">
        <f>AGO!V18</f>
        <v>1943.8240000000005</v>
      </c>
      <c r="CZ16" s="208">
        <f>AGO!W18</f>
        <v>110168.18399999999</v>
      </c>
      <c r="DA16" s="208">
        <f>AGO!X18</f>
        <v>10418.280000000001</v>
      </c>
      <c r="DB16" s="209">
        <f t="shared" si="20"/>
        <v>170641.448</v>
      </c>
      <c r="DC16" s="208">
        <f t="shared" si="81"/>
        <v>29638.488000000001</v>
      </c>
      <c r="DD16" s="208">
        <f t="shared" si="82"/>
        <v>18730.727999999999</v>
      </c>
      <c r="DE16" s="208">
        <f t="shared" si="83"/>
        <v>11527.384</v>
      </c>
      <c r="DF16" s="208">
        <f t="shared" si="84"/>
        <v>970.35200000000043</v>
      </c>
      <c r="DG16" s="208">
        <f t="shared" si="85"/>
        <v>82669.8</v>
      </c>
      <c r="DH16" s="208">
        <f t="shared" si="86"/>
        <v>13304.520000000002</v>
      </c>
      <c r="DI16" s="209">
        <f t="shared" si="22"/>
        <v>156841.272</v>
      </c>
      <c r="DJ16" s="208">
        <f>SET!S18</f>
        <v>19142.768</v>
      </c>
      <c r="DK16" s="208">
        <f>SET!T18</f>
        <v>12787.616000000004</v>
      </c>
      <c r="DL16" s="208">
        <f>SET!U18</f>
        <v>5228.1760000000004</v>
      </c>
      <c r="DM16" s="208">
        <f>SET!V18</f>
        <v>743.00799999999947</v>
      </c>
      <c r="DN16" s="208">
        <f>SET!W18</f>
        <v>87734.568000000014</v>
      </c>
      <c r="DO16" s="208">
        <f>SET!X18</f>
        <v>10011.704000000002</v>
      </c>
      <c r="DP16" s="209">
        <f t="shared" si="23"/>
        <v>135647.84000000003</v>
      </c>
      <c r="DQ16" s="208">
        <f t="shared" si="87"/>
        <v>23262.016000000003</v>
      </c>
      <c r="DR16" s="208">
        <f t="shared" si="88"/>
        <v>18621.280000000002</v>
      </c>
      <c r="DS16" s="208">
        <f t="shared" si="89"/>
        <v>5473.8160000000007</v>
      </c>
      <c r="DT16" s="208">
        <f t="shared" si="90"/>
        <v>1101.9199999999998</v>
      </c>
      <c r="DU16" s="208">
        <f t="shared" si="91"/>
        <v>87073.632000000012</v>
      </c>
      <c r="DV16" s="208">
        <f t="shared" si="92"/>
        <v>12195.263999999999</v>
      </c>
      <c r="DW16" s="209">
        <f t="shared" si="25"/>
        <v>147727.92800000001</v>
      </c>
      <c r="DX16" s="208">
        <f>OUT!S18</f>
        <v>0</v>
      </c>
      <c r="DY16" s="208">
        <f>OUT!T18</f>
        <v>0</v>
      </c>
      <c r="DZ16" s="208">
        <f>OUT!U18</f>
        <v>0</v>
      </c>
      <c r="EA16" s="208">
        <f>OUT!V18</f>
        <v>0</v>
      </c>
      <c r="EB16" s="208">
        <f>OUT!W18</f>
        <v>0</v>
      </c>
      <c r="EC16" s="208">
        <f>OUT!X18</f>
        <v>0</v>
      </c>
      <c r="ED16" s="209">
        <f t="shared" si="26"/>
        <v>0</v>
      </c>
      <c r="EE16" s="208"/>
      <c r="EF16" s="208"/>
      <c r="EG16" s="208"/>
      <c r="EH16" s="208"/>
      <c r="EI16" s="208"/>
      <c r="EJ16" s="208"/>
      <c r="EK16" s="209">
        <f t="shared" si="27"/>
        <v>0</v>
      </c>
      <c r="EL16" s="208">
        <f>NOV!S18</f>
        <v>0</v>
      </c>
      <c r="EM16" s="208">
        <f>NOV!T18</f>
        <v>0</v>
      </c>
      <c r="EN16" s="208">
        <f>NOV!U18</f>
        <v>0</v>
      </c>
      <c r="EO16" s="208">
        <f>NOV!V18</f>
        <v>0</v>
      </c>
      <c r="EP16" s="208">
        <f>NOV!W18</f>
        <v>0</v>
      </c>
      <c r="EQ16" s="208">
        <f>NOV!X18</f>
        <v>0</v>
      </c>
      <c r="ER16" s="209">
        <f t="shared" si="28"/>
        <v>0</v>
      </c>
      <c r="ES16" s="208"/>
      <c r="ET16" s="208"/>
      <c r="EU16" s="208"/>
      <c r="EV16" s="208"/>
      <c r="EW16" s="208"/>
      <c r="EX16" s="208"/>
      <c r="EY16" s="209">
        <f t="shared" si="29"/>
        <v>0</v>
      </c>
      <c r="EZ16" s="208">
        <f>DEZ!S18</f>
        <v>0</v>
      </c>
      <c r="FA16" s="208">
        <f>DEZ!T18</f>
        <v>0</v>
      </c>
      <c r="FB16" s="208">
        <f>DEZ!U18</f>
        <v>0</v>
      </c>
      <c r="FC16" s="208">
        <f>DEZ!V18</f>
        <v>0</v>
      </c>
      <c r="FD16" s="208">
        <f>DEZ!W18</f>
        <v>0</v>
      </c>
      <c r="FE16" s="208">
        <f>DEZ!X18</f>
        <v>0</v>
      </c>
      <c r="FF16" s="209">
        <f t="shared" si="30"/>
        <v>0</v>
      </c>
      <c r="FG16" s="208"/>
      <c r="FH16" s="208"/>
      <c r="FI16" s="208"/>
      <c r="FJ16" s="208"/>
      <c r="FK16" s="208"/>
      <c r="FL16" s="208"/>
      <c r="FM16" s="207">
        <f t="shared" si="31"/>
        <v>0</v>
      </c>
      <c r="FN16" s="210">
        <f t="shared" si="93"/>
        <v>582437.92000000004</v>
      </c>
      <c r="FO16" s="518">
        <f t="shared" si="32"/>
        <v>163335.136</v>
      </c>
      <c r="FP16" s="208">
        <f t="shared" si="33"/>
        <v>29247.08</v>
      </c>
      <c r="FQ16" s="208">
        <f t="shared" si="34"/>
        <v>17846.592000000001</v>
      </c>
      <c r="FR16" s="208">
        <f t="shared" si="35"/>
        <v>804249.58400000003</v>
      </c>
      <c r="FS16" s="208">
        <f t="shared" si="36"/>
        <v>83255.351999999999</v>
      </c>
      <c r="FT16" s="209">
        <f t="shared" si="37"/>
        <v>1680371.6639999999</v>
      </c>
      <c r="FU16" s="208">
        <f t="shared" si="94"/>
        <v>531132.35199999996</v>
      </c>
      <c r="FV16" s="208">
        <f t="shared" si="38"/>
        <v>215302.71200000003</v>
      </c>
      <c r="FW16" s="208">
        <f t="shared" si="39"/>
        <v>43250.536</v>
      </c>
      <c r="FX16" s="208">
        <f t="shared" si="40"/>
        <v>15469.624</v>
      </c>
      <c r="FY16" s="208">
        <f t="shared" si="41"/>
        <v>661943.26399999997</v>
      </c>
      <c r="FZ16" s="208">
        <f t="shared" si="42"/>
        <v>94467.848000000027</v>
      </c>
      <c r="GA16" s="207">
        <f t="shared" si="43"/>
        <v>1561566.3359999999</v>
      </c>
      <c r="GB16" s="206">
        <f t="shared" si="95"/>
        <v>9.659657862453102</v>
      </c>
      <c r="GC16" s="206">
        <f t="shared" si="96"/>
        <v>-24.13698160940956</v>
      </c>
      <c r="GD16" s="206">
        <f t="shared" si="44"/>
        <v>-32.377531691167931</v>
      </c>
      <c r="GE16" s="206">
        <f t="shared" si="45"/>
        <v>15.365389617743787</v>
      </c>
      <c r="GF16" s="206">
        <f t="shared" si="46"/>
        <v>21.498265446508128</v>
      </c>
      <c r="GG16" s="206">
        <f t="shared" si="47"/>
        <v>-11.869113394008963</v>
      </c>
      <c r="GH16" s="205">
        <f t="shared" si="97"/>
        <v>7.6080871661413596</v>
      </c>
      <c r="GI16" s="215" t="str">
        <f t="shared" si="98"/>
        <v>MAIOR</v>
      </c>
    </row>
    <row r="17" spans="1:191" s="566" customFormat="1">
      <c r="A17" s="319" t="s">
        <v>91</v>
      </c>
      <c r="B17" s="208">
        <f>VLOOKUP($A$3:$A$29,JAN!$A$5:$B$31,2,)</f>
        <v>84675.912000000011</v>
      </c>
      <c r="C17" s="208">
        <f>VLOOKUP($A$3:$A$29,JAN!$A$5:$C$31,3,)</f>
        <v>22427.247999999992</v>
      </c>
      <c r="D17" s="208">
        <f>VLOOKUP($A$3:$A$29,JAN!$A$5:$D$31,4,)</f>
        <v>2110.1120000000001</v>
      </c>
      <c r="E17" s="208">
        <f>VLOOKUP($A$3:$A$29,JAN!$A$5:$E$31,5,)</f>
        <v>3750.0239999999999</v>
      </c>
      <c r="F17" s="208">
        <f>VLOOKUP($A$3:$A$29,JAN!$A$5:$X$32,23,)</f>
        <v>71673.888000000006</v>
      </c>
      <c r="G17" s="208">
        <f>VLOOKUP($A$3:$A$29,JAN!$A$5:$X$32,24,)</f>
        <v>8130.1200000000008</v>
      </c>
      <c r="H17" s="209">
        <f t="shared" si="0"/>
        <v>192767.304</v>
      </c>
      <c r="I17" s="208">
        <f t="shared" si="48"/>
        <v>93040.432000000001</v>
      </c>
      <c r="J17" s="208">
        <f t="shared" si="49"/>
        <v>32469.455999999995</v>
      </c>
      <c r="K17" s="208">
        <f t="shared" si="50"/>
        <v>4337.3360000000002</v>
      </c>
      <c r="L17" s="208">
        <f t="shared" si="51"/>
        <v>2921.192</v>
      </c>
      <c r="M17" s="208">
        <f t="shared" si="52"/>
        <v>64663.704000000005</v>
      </c>
      <c r="N17" s="208">
        <f t="shared" si="53"/>
        <v>9417.2720000000008</v>
      </c>
      <c r="O17" s="209">
        <f t="shared" si="2"/>
        <v>206849.39199999999</v>
      </c>
      <c r="P17" s="208">
        <f>VLOOKUP($A$3:$A$29,FEV!$A$5:$B$31,2,)</f>
        <v>147139.06399999998</v>
      </c>
      <c r="Q17" s="208">
        <f>VLOOKUP($A$3:$A$29,FEV!$A$5:$C$31,3,)</f>
        <v>27811.008000000009</v>
      </c>
      <c r="R17" s="208">
        <f>VLOOKUP($A$3:$A$29,FEV!$A$5:$D$31,4,)</f>
        <v>2755.7200000000003</v>
      </c>
      <c r="S17" s="208">
        <f>VLOOKUP($A$3:$A$29,FEV!$A$5:$E$31,5,)</f>
        <v>4714.9039999999995</v>
      </c>
      <c r="T17" s="208">
        <f>VLOOKUP($A$3:$A$29,FEV!$A$5:$X$32,23,)</f>
        <v>77300.327999999994</v>
      </c>
      <c r="U17" s="208">
        <f>VLOOKUP($A$3:$A$29,FEV!$A$5:$X$32,24,)</f>
        <v>10173.064</v>
      </c>
      <c r="V17" s="209">
        <f t="shared" si="54"/>
        <v>269894.08799999999</v>
      </c>
      <c r="W17" s="208">
        <f t="shared" si="55"/>
        <v>113858.648</v>
      </c>
      <c r="X17" s="208">
        <f t="shared" si="3"/>
        <v>26429.680000000011</v>
      </c>
      <c r="Y17" s="208">
        <f t="shared" si="3"/>
        <v>2748.9279999999999</v>
      </c>
      <c r="Z17" s="208">
        <f t="shared" si="3"/>
        <v>1087.104</v>
      </c>
      <c r="AA17" s="208">
        <f t="shared" si="3"/>
        <v>67942.191999999995</v>
      </c>
      <c r="AB17" s="208">
        <f t="shared" si="3"/>
        <v>7155.6880000000001</v>
      </c>
      <c r="AC17" s="209">
        <f t="shared" si="4"/>
        <v>219222.23999999996</v>
      </c>
      <c r="AD17" s="208">
        <f>VLOOKUP($A$3:$A$29,MAR!$A$5:$B$31,2,)</f>
        <v>120666.03200000001</v>
      </c>
      <c r="AE17" s="208">
        <f>VLOOKUP($A$3:$A$29,MAR!$A$5:$C$31,3,)</f>
        <v>39497.448000000004</v>
      </c>
      <c r="AF17" s="208">
        <f>VLOOKUP($A$3:$A$29,MAR!$A$5:$D$31,4,)</f>
        <v>796.36000000000013</v>
      </c>
      <c r="AG17" s="208">
        <f>VLOOKUP($A$3:$A$29,MAR!$A$5:$E$31,5,)</f>
        <v>7264.4320000000007</v>
      </c>
      <c r="AH17" s="208">
        <f>VLOOKUP($A$3:$A$29,MAR!$A$5:$X$32,23,)</f>
        <v>103994.592</v>
      </c>
      <c r="AI17" s="208">
        <f>VLOOKUP($A$3:$A$29,MAR!$A$5:$X$32,24,)</f>
        <v>19173.728000000003</v>
      </c>
      <c r="AJ17" s="209">
        <f t="shared" si="5"/>
        <v>291392.592</v>
      </c>
      <c r="AK17" s="208">
        <f t="shared" si="56"/>
        <v>92864.328000000009</v>
      </c>
      <c r="AL17" s="208">
        <f t="shared" si="57"/>
        <v>20959.159999999989</v>
      </c>
      <c r="AM17" s="208">
        <f t="shared" si="58"/>
        <v>2903.92</v>
      </c>
      <c r="AN17" s="208">
        <f t="shared" si="59"/>
        <v>1317.2880000000002</v>
      </c>
      <c r="AO17" s="208">
        <f t="shared" si="60"/>
        <v>86979.6</v>
      </c>
      <c r="AP17" s="208">
        <f t="shared" si="61"/>
        <v>5081.648000000001</v>
      </c>
      <c r="AQ17" s="209">
        <f t="shared" si="7"/>
        <v>210105.94400000002</v>
      </c>
      <c r="AR17" s="208">
        <f>ABR!S19</f>
        <v>59901.488000000005</v>
      </c>
      <c r="AS17" s="208">
        <f>ABR!T19</f>
        <v>23121.4</v>
      </c>
      <c r="AT17" s="208">
        <f>ABR!U19</f>
        <v>524.13599999999997</v>
      </c>
      <c r="AU17" s="208">
        <f>ABR!V19</f>
        <v>2089.8880000000004</v>
      </c>
      <c r="AV17" s="208">
        <f>ABR!W19</f>
        <v>81734.880000000019</v>
      </c>
      <c r="AW17" s="208">
        <f>ABR!X19</f>
        <v>8968.1760000000013</v>
      </c>
      <c r="AX17" s="209">
        <f t="shared" si="8"/>
        <v>176339.96800000002</v>
      </c>
      <c r="AY17" s="208">
        <f t="shared" si="62"/>
        <v>70816.288</v>
      </c>
      <c r="AZ17" s="208">
        <f t="shared" si="9"/>
        <v>19511.416000000001</v>
      </c>
      <c r="BA17" s="208">
        <f t="shared" si="9"/>
        <v>2005.6560000000002</v>
      </c>
      <c r="BB17" s="208">
        <f t="shared" si="9"/>
        <v>1080.2879999999998</v>
      </c>
      <c r="BC17" s="208">
        <f t="shared" si="9"/>
        <v>80710.8</v>
      </c>
      <c r="BD17" s="208">
        <f t="shared" si="9"/>
        <v>6709.7280000000001</v>
      </c>
      <c r="BE17" s="209">
        <f t="shared" si="10"/>
        <v>180834.17600000001</v>
      </c>
      <c r="BF17" s="208">
        <f>MAI!S19</f>
        <v>61212.088000000003</v>
      </c>
      <c r="BG17" s="208">
        <f>MAI!T19</f>
        <v>25568.616000000002</v>
      </c>
      <c r="BH17" s="208">
        <f>MAI!U19</f>
        <v>1342.48</v>
      </c>
      <c r="BI17" s="208">
        <f>MAI!V19</f>
        <v>1585.5200000000002</v>
      </c>
      <c r="BJ17" s="208">
        <f>MAI!W19</f>
        <v>99733.944000000003</v>
      </c>
      <c r="BK17" s="208">
        <f>MAI!X19</f>
        <v>10455.416000000003</v>
      </c>
      <c r="BL17" s="209">
        <f t="shared" si="11"/>
        <v>199898.06399999998</v>
      </c>
      <c r="BM17" s="208">
        <f t="shared" si="63"/>
        <v>60510.271999999997</v>
      </c>
      <c r="BN17" s="208">
        <f t="shared" si="64"/>
        <v>26458.928000000004</v>
      </c>
      <c r="BO17" s="208">
        <f t="shared" si="65"/>
        <v>1988.7520000000002</v>
      </c>
      <c r="BP17" s="208">
        <f t="shared" si="66"/>
        <v>1777.0960000000005</v>
      </c>
      <c r="BQ17" s="208">
        <f t="shared" si="67"/>
        <v>79300.320000000007</v>
      </c>
      <c r="BR17" s="208">
        <f t="shared" si="68"/>
        <v>8684.5680000000011</v>
      </c>
      <c r="BS17" s="209">
        <f t="shared" si="13"/>
        <v>178719.93600000002</v>
      </c>
      <c r="BT17" s="208">
        <f>JUN!S19</f>
        <v>76885.648000000001</v>
      </c>
      <c r="BU17" s="208">
        <f>JUN!T19</f>
        <v>23840.76</v>
      </c>
      <c r="BV17" s="208">
        <f>JUN!U19</f>
        <v>1088.864</v>
      </c>
      <c r="BW17" s="208">
        <f>JUN!V19</f>
        <v>1796.576</v>
      </c>
      <c r="BX17" s="208">
        <f>JUN!W19</f>
        <v>89038.848000000013</v>
      </c>
      <c r="BY17" s="208">
        <f>JUN!X19</f>
        <v>10201.072</v>
      </c>
      <c r="BZ17" s="209">
        <f t="shared" si="14"/>
        <v>202851.76799999998</v>
      </c>
      <c r="CA17" s="208">
        <f t="shared" si="69"/>
        <v>57477.824000000001</v>
      </c>
      <c r="CB17" s="208">
        <f t="shared" si="70"/>
        <v>25100.720000000001</v>
      </c>
      <c r="CC17" s="208">
        <f t="shared" si="71"/>
        <v>2279.8000000000002</v>
      </c>
      <c r="CD17" s="208">
        <f t="shared" si="72"/>
        <v>6062.4319999999998</v>
      </c>
      <c r="CE17" s="208">
        <f t="shared" si="73"/>
        <v>85098.960000000021</v>
      </c>
      <c r="CF17" s="208">
        <f t="shared" si="74"/>
        <v>11757.264000000001</v>
      </c>
      <c r="CG17" s="209">
        <f t="shared" si="16"/>
        <v>187777.00000000003</v>
      </c>
      <c r="CH17" s="208">
        <f>JUL!S19</f>
        <v>76943.047999999995</v>
      </c>
      <c r="CI17" s="208">
        <f>JUL!T19</f>
        <v>20070.351999999992</v>
      </c>
      <c r="CJ17" s="208">
        <f>JUL!U19</f>
        <v>1979.9040000000002</v>
      </c>
      <c r="CK17" s="208">
        <f>JUL!V19</f>
        <v>3249.6000000000004</v>
      </c>
      <c r="CL17" s="208">
        <f>JUL!W19</f>
        <v>80865.36</v>
      </c>
      <c r="CM17" s="208">
        <f>JUL!X19</f>
        <v>13406.000000000002</v>
      </c>
      <c r="CN17" s="209">
        <f t="shared" si="17"/>
        <v>196514.264</v>
      </c>
      <c r="CO17" s="208">
        <f t="shared" si="75"/>
        <v>40508.808000000005</v>
      </c>
      <c r="CP17" s="208">
        <f t="shared" si="76"/>
        <v>25509.399999999994</v>
      </c>
      <c r="CQ17" s="208">
        <f t="shared" si="77"/>
        <v>2943.9120000000003</v>
      </c>
      <c r="CR17" s="208">
        <f t="shared" si="78"/>
        <v>2987.92</v>
      </c>
      <c r="CS17" s="208">
        <f t="shared" si="79"/>
        <v>93702.888000000006</v>
      </c>
      <c r="CT17" s="208">
        <f t="shared" si="80"/>
        <v>13678.687999999998</v>
      </c>
      <c r="CU17" s="209">
        <f t="shared" si="19"/>
        <v>179331.61600000001</v>
      </c>
      <c r="CV17" s="208">
        <f>AGO!S19</f>
        <v>43202.240000000005</v>
      </c>
      <c r="CW17" s="208">
        <f>AGO!T19</f>
        <v>26234.407999999996</v>
      </c>
      <c r="CX17" s="208">
        <f>AGO!U19</f>
        <v>6284.0879999999997</v>
      </c>
      <c r="CY17" s="208">
        <f>AGO!V19</f>
        <v>3371.1920000000009</v>
      </c>
      <c r="CZ17" s="208">
        <f>AGO!W19</f>
        <v>96951.48</v>
      </c>
      <c r="DA17" s="208">
        <f>AGO!X19</f>
        <v>18957.944000000003</v>
      </c>
      <c r="DB17" s="209">
        <f t="shared" si="20"/>
        <v>195001.35200000001</v>
      </c>
      <c r="DC17" s="208">
        <f t="shared" si="81"/>
        <v>30426.28</v>
      </c>
      <c r="DD17" s="208">
        <f t="shared" si="82"/>
        <v>17999.040000000005</v>
      </c>
      <c r="DE17" s="208">
        <f t="shared" si="83"/>
        <v>6823.6240000000007</v>
      </c>
      <c r="DF17" s="208">
        <f t="shared" si="84"/>
        <v>1918.7759999999998</v>
      </c>
      <c r="DG17" s="208">
        <f t="shared" si="85"/>
        <v>85960.920000000013</v>
      </c>
      <c r="DH17" s="208">
        <f t="shared" si="86"/>
        <v>11088.455999999998</v>
      </c>
      <c r="DI17" s="209">
        <f t="shared" si="22"/>
        <v>154217.09600000002</v>
      </c>
      <c r="DJ17" s="208">
        <f>SET!S19</f>
        <v>36470.103999999999</v>
      </c>
      <c r="DK17" s="208">
        <f>SET!T19</f>
        <v>25361.056</v>
      </c>
      <c r="DL17" s="208">
        <f>SET!U19</f>
        <v>5721.8720000000003</v>
      </c>
      <c r="DM17" s="208">
        <f>SET!V19</f>
        <v>5996.3600000000006</v>
      </c>
      <c r="DN17" s="208">
        <f>SET!W19</f>
        <v>97386.239999999991</v>
      </c>
      <c r="DO17" s="208">
        <f>SET!X19</f>
        <v>20681.991999999998</v>
      </c>
      <c r="DP17" s="209">
        <f t="shared" si="23"/>
        <v>191617.62399999998</v>
      </c>
      <c r="DQ17" s="208">
        <f t="shared" si="87"/>
        <v>30607.264000000003</v>
      </c>
      <c r="DR17" s="208">
        <f t="shared" si="88"/>
        <v>18817.095999999998</v>
      </c>
      <c r="DS17" s="208">
        <f t="shared" si="89"/>
        <v>4914.4639999999999</v>
      </c>
      <c r="DT17" s="208">
        <f t="shared" si="90"/>
        <v>1693.4400000000003</v>
      </c>
      <c r="DU17" s="208">
        <f t="shared" si="91"/>
        <v>104297.16</v>
      </c>
      <c r="DV17" s="208">
        <f t="shared" si="92"/>
        <v>11435.352000000001</v>
      </c>
      <c r="DW17" s="209">
        <f t="shared" si="25"/>
        <v>171764.77600000001</v>
      </c>
      <c r="DX17" s="208">
        <f>OUT!S19</f>
        <v>0</v>
      </c>
      <c r="DY17" s="208">
        <f>OUT!T19</f>
        <v>0</v>
      </c>
      <c r="DZ17" s="208">
        <f>OUT!U19</f>
        <v>0</v>
      </c>
      <c r="EA17" s="208">
        <f>OUT!V19</f>
        <v>0</v>
      </c>
      <c r="EB17" s="208">
        <f>OUT!W19</f>
        <v>0</v>
      </c>
      <c r="EC17" s="208">
        <f>OUT!X19</f>
        <v>0</v>
      </c>
      <c r="ED17" s="209">
        <f t="shared" si="26"/>
        <v>0</v>
      </c>
      <c r="EE17" s="208"/>
      <c r="EF17" s="208"/>
      <c r="EG17" s="208"/>
      <c r="EH17" s="208"/>
      <c r="EI17" s="208"/>
      <c r="EJ17" s="208"/>
      <c r="EK17" s="209">
        <f t="shared" si="27"/>
        <v>0</v>
      </c>
      <c r="EL17" s="208">
        <f>NOV!S19</f>
        <v>0</v>
      </c>
      <c r="EM17" s="208">
        <f>NOV!T19</f>
        <v>0</v>
      </c>
      <c r="EN17" s="208">
        <f>NOV!U19</f>
        <v>0</v>
      </c>
      <c r="EO17" s="208">
        <f>NOV!V19</f>
        <v>0</v>
      </c>
      <c r="EP17" s="208">
        <f>NOV!W19</f>
        <v>0</v>
      </c>
      <c r="EQ17" s="208">
        <f>NOV!X19</f>
        <v>0</v>
      </c>
      <c r="ER17" s="209">
        <f t="shared" si="28"/>
        <v>0</v>
      </c>
      <c r="ES17" s="208"/>
      <c r="ET17" s="208"/>
      <c r="EU17" s="208"/>
      <c r="EV17" s="208"/>
      <c r="EW17" s="208"/>
      <c r="EX17" s="208"/>
      <c r="EY17" s="209">
        <f t="shared" si="29"/>
        <v>0</v>
      </c>
      <c r="EZ17" s="208">
        <f>DEZ!S19</f>
        <v>0</v>
      </c>
      <c r="FA17" s="208">
        <f>DEZ!T19</f>
        <v>0</v>
      </c>
      <c r="FB17" s="208">
        <f>DEZ!U19</f>
        <v>0</v>
      </c>
      <c r="FC17" s="208">
        <f>DEZ!V19</f>
        <v>0</v>
      </c>
      <c r="FD17" s="208">
        <f>DEZ!W19</f>
        <v>0</v>
      </c>
      <c r="FE17" s="208">
        <f>DEZ!X19</f>
        <v>0</v>
      </c>
      <c r="FF17" s="209">
        <f t="shared" si="30"/>
        <v>0</v>
      </c>
      <c r="FG17" s="208"/>
      <c r="FH17" s="208"/>
      <c r="FI17" s="208"/>
      <c r="FJ17" s="208"/>
      <c r="FK17" s="208"/>
      <c r="FL17" s="208"/>
      <c r="FM17" s="207">
        <f t="shared" si="31"/>
        <v>0</v>
      </c>
      <c r="FN17" s="210">
        <f t="shared" si="93"/>
        <v>707095.62400000007</v>
      </c>
      <c r="FO17" s="518">
        <f t="shared" si="32"/>
        <v>233932.296</v>
      </c>
      <c r="FP17" s="208">
        <f t="shared" si="33"/>
        <v>22603.536</v>
      </c>
      <c r="FQ17" s="208">
        <f t="shared" si="34"/>
        <v>33818.496000000006</v>
      </c>
      <c r="FR17" s="208">
        <f t="shared" si="35"/>
        <v>798679.56</v>
      </c>
      <c r="FS17" s="208">
        <f t="shared" si="36"/>
        <v>120147.512</v>
      </c>
      <c r="FT17" s="209">
        <f t="shared" si="37"/>
        <v>1916277.0240000002</v>
      </c>
      <c r="FU17" s="208">
        <f t="shared" si="94"/>
        <v>590110.14400000009</v>
      </c>
      <c r="FV17" s="208">
        <f t="shared" si="38"/>
        <v>213254.89599999998</v>
      </c>
      <c r="FW17" s="208">
        <f t="shared" si="39"/>
        <v>30946.392000000003</v>
      </c>
      <c r="FX17" s="208">
        <f t="shared" si="40"/>
        <v>20845.535999999996</v>
      </c>
      <c r="FY17" s="208">
        <f t="shared" si="41"/>
        <v>748656.54400000011</v>
      </c>
      <c r="FZ17" s="208">
        <f t="shared" si="42"/>
        <v>85008.664000000004</v>
      </c>
      <c r="GA17" s="207">
        <f t="shared" si="43"/>
        <v>1688822.1760000002</v>
      </c>
      <c r="GB17" s="206">
        <f t="shared" si="95"/>
        <v>19.824346554530663</v>
      </c>
      <c r="GC17" s="206">
        <f t="shared" si="96"/>
        <v>9.6960962621932083</v>
      </c>
      <c r="GD17" s="206">
        <f t="shared" si="44"/>
        <v>-26.959058749078096</v>
      </c>
      <c r="GE17" s="206">
        <f t="shared" si="45"/>
        <v>62.233755946596972</v>
      </c>
      <c r="GF17" s="206">
        <f t="shared" si="46"/>
        <v>6.6817042341915283</v>
      </c>
      <c r="GG17" s="206">
        <f t="shared" si="47"/>
        <v>41.335607862276248</v>
      </c>
      <c r="GH17" s="205">
        <f t="shared" si="97"/>
        <v>13.468253273339286</v>
      </c>
      <c r="GI17" s="215" t="str">
        <f t="shared" si="98"/>
        <v>MAIOR</v>
      </c>
    </row>
    <row r="18" spans="1:191" s="566" customFormat="1">
      <c r="A18" s="319" t="s">
        <v>93</v>
      </c>
      <c r="B18" s="208">
        <f>VLOOKUP($A$3:$A$29,JAN!$A$5:$B$31,2,)</f>
        <v>203885.11200000002</v>
      </c>
      <c r="C18" s="208">
        <f>VLOOKUP($A$3:$A$29,JAN!$A$5:$C$31,3,)</f>
        <v>45186.383999999984</v>
      </c>
      <c r="D18" s="208">
        <f>VLOOKUP($A$3:$A$29,JAN!$A$5:$D$31,4,)</f>
        <v>6274.5280000000002</v>
      </c>
      <c r="E18" s="208">
        <f>VLOOKUP($A$3:$A$29,JAN!$A$5:$E$31,5,)</f>
        <v>7136.4320000000007</v>
      </c>
      <c r="F18" s="208">
        <f>VLOOKUP($A$3:$A$29,JAN!$A$5:$X$32,23,)</f>
        <v>113825.01600000002</v>
      </c>
      <c r="G18" s="208">
        <f>VLOOKUP($A$3:$A$29,JAN!$A$5:$X$32,24,)</f>
        <v>15557.080000000002</v>
      </c>
      <c r="H18" s="209">
        <f t="shared" si="0"/>
        <v>391864.55200000003</v>
      </c>
      <c r="I18" s="208">
        <f t="shared" si="48"/>
        <v>219339.96000000002</v>
      </c>
      <c r="J18" s="208">
        <f t="shared" si="49"/>
        <v>54782.560000000012</v>
      </c>
      <c r="K18" s="208">
        <f t="shared" si="50"/>
        <v>7316</v>
      </c>
      <c r="L18" s="208">
        <f t="shared" si="51"/>
        <v>3786.0880000000006</v>
      </c>
      <c r="M18" s="208">
        <f t="shared" si="52"/>
        <v>96794.592000000004</v>
      </c>
      <c r="N18" s="208">
        <f t="shared" si="53"/>
        <v>17656.064000000035</v>
      </c>
      <c r="O18" s="209">
        <f t="shared" si="2"/>
        <v>399675.26400000002</v>
      </c>
      <c r="P18" s="208">
        <f>VLOOKUP($A$3:$A$29,FEV!$A$5:$B$31,2,)</f>
        <v>270845.27999999997</v>
      </c>
      <c r="Q18" s="208">
        <f>VLOOKUP($A$3:$A$29,FEV!$A$5:$C$31,3,)</f>
        <v>50809.495999999999</v>
      </c>
      <c r="R18" s="208">
        <f>VLOOKUP($A$3:$A$29,FEV!$A$5:$D$31,4,)</f>
        <v>7924.7360000000008</v>
      </c>
      <c r="S18" s="208">
        <f>VLOOKUP($A$3:$A$29,FEV!$A$5:$E$31,5,)</f>
        <v>5938.3999999999987</v>
      </c>
      <c r="T18" s="208">
        <f>VLOOKUP($A$3:$A$29,FEV!$A$5:$X$32,23,)</f>
        <v>138253.68000000002</v>
      </c>
      <c r="U18" s="208">
        <f>VLOOKUP($A$3:$A$29,FEV!$A$5:$X$32,24,)</f>
        <v>21446.824000000004</v>
      </c>
      <c r="V18" s="209">
        <f t="shared" si="54"/>
        <v>495218.41599999997</v>
      </c>
      <c r="W18" s="208">
        <f t="shared" si="55"/>
        <v>253764.16800000003</v>
      </c>
      <c r="X18" s="208">
        <f t="shared" si="3"/>
        <v>72519.975999999995</v>
      </c>
      <c r="Y18" s="208">
        <f t="shared" si="3"/>
        <v>13053.976000000001</v>
      </c>
      <c r="Z18" s="208">
        <f t="shared" si="3"/>
        <v>10769.24</v>
      </c>
      <c r="AA18" s="208">
        <f t="shared" si="3"/>
        <v>114739.4</v>
      </c>
      <c r="AB18" s="208">
        <f t="shared" si="3"/>
        <v>5863.6720000000005</v>
      </c>
      <c r="AC18" s="209">
        <f t="shared" si="4"/>
        <v>470710.43200000003</v>
      </c>
      <c r="AD18" s="208">
        <f>VLOOKUP($A$3:$A$29,MAR!$A$5:$B$31,2,)</f>
        <v>209542.08799999999</v>
      </c>
      <c r="AE18" s="208">
        <f>VLOOKUP($A$3:$A$29,MAR!$A$5:$C$31,3,)</f>
        <v>34278.944000000003</v>
      </c>
      <c r="AF18" s="208">
        <f>VLOOKUP($A$3:$A$29,MAR!$A$5:$D$31,4,)</f>
        <v>4309.8160000000007</v>
      </c>
      <c r="AG18" s="208">
        <f>VLOOKUP($A$3:$A$29,MAR!$A$5:$E$31,5,)</f>
        <v>4657.3919999999998</v>
      </c>
      <c r="AH18" s="208">
        <f>VLOOKUP($A$3:$A$29,MAR!$A$5:$X$32,23,)</f>
        <v>174425.71200000003</v>
      </c>
      <c r="AI18" s="208">
        <f>VLOOKUP($A$3:$A$29,MAR!$A$5:$X$32,24,)</f>
        <v>13843.784000000001</v>
      </c>
      <c r="AJ18" s="209">
        <f t="shared" si="5"/>
        <v>441057.73600000003</v>
      </c>
      <c r="AK18" s="208">
        <f t="shared" si="56"/>
        <v>167242.73600000003</v>
      </c>
      <c r="AL18" s="208">
        <f t="shared" si="57"/>
        <v>51328.48799999999</v>
      </c>
      <c r="AM18" s="208">
        <f t="shared" si="58"/>
        <v>5206.9520000000002</v>
      </c>
      <c r="AN18" s="208">
        <f t="shared" si="59"/>
        <v>6442.2000000000007</v>
      </c>
      <c r="AO18" s="208">
        <f t="shared" si="60"/>
        <v>145827.96000000002</v>
      </c>
      <c r="AP18" s="208">
        <f t="shared" si="61"/>
        <v>16750.712</v>
      </c>
      <c r="AQ18" s="209">
        <f t="shared" si="7"/>
        <v>392799.04800000001</v>
      </c>
      <c r="AR18" s="208">
        <f>ABR!S20</f>
        <v>270465.48800000001</v>
      </c>
      <c r="AS18" s="208">
        <f>ABR!T20</f>
        <v>70059.26400000001</v>
      </c>
      <c r="AT18" s="208">
        <f>ABR!U20</f>
        <v>9982.3520000000008</v>
      </c>
      <c r="AU18" s="208">
        <f>ABR!V20</f>
        <v>12931.567999999999</v>
      </c>
      <c r="AV18" s="208">
        <f>ABR!W20</f>
        <v>535624.31999999995</v>
      </c>
      <c r="AW18" s="208">
        <f>ABR!X20</f>
        <v>34586.648000000008</v>
      </c>
      <c r="AX18" s="209">
        <f t="shared" si="8"/>
        <v>933649.64</v>
      </c>
      <c r="AY18" s="208">
        <f t="shared" si="62"/>
        <v>141066.424</v>
      </c>
      <c r="AZ18" s="208">
        <f t="shared" si="9"/>
        <v>41118.120000000017</v>
      </c>
      <c r="BA18" s="208">
        <f t="shared" si="9"/>
        <v>5994.8160000000007</v>
      </c>
      <c r="BB18" s="208">
        <f t="shared" si="9"/>
        <v>3114.5279999999998</v>
      </c>
      <c r="BC18" s="208">
        <f t="shared" si="9"/>
        <v>121222.92000000001</v>
      </c>
      <c r="BD18" s="208">
        <f t="shared" si="9"/>
        <v>18614.992000000002</v>
      </c>
      <c r="BE18" s="209">
        <f t="shared" si="10"/>
        <v>331131.80000000005</v>
      </c>
      <c r="BF18" s="208">
        <f>MAI!S20</f>
        <v>358492.76</v>
      </c>
      <c r="BG18" s="208">
        <f>MAI!T20</f>
        <v>69937.831999999995</v>
      </c>
      <c r="BH18" s="208">
        <f>MAI!U20</f>
        <v>7121.576</v>
      </c>
      <c r="BI18" s="208">
        <f>MAI!V20</f>
        <v>17452.52</v>
      </c>
      <c r="BJ18" s="208">
        <f>MAI!W20</f>
        <v>579795.93599999999</v>
      </c>
      <c r="BK18" s="208">
        <f>MAI!X20</f>
        <v>39238.424000000006</v>
      </c>
      <c r="BL18" s="209">
        <f t="shared" si="11"/>
        <v>1072039.0480000002</v>
      </c>
      <c r="BM18" s="208">
        <f t="shared" si="63"/>
        <v>98786.672000000006</v>
      </c>
      <c r="BN18" s="208">
        <f t="shared" si="64"/>
        <v>34518.432000000008</v>
      </c>
      <c r="BO18" s="208">
        <f t="shared" si="65"/>
        <v>2760.2960000000003</v>
      </c>
      <c r="BP18" s="208">
        <f t="shared" si="66"/>
        <v>4969.76</v>
      </c>
      <c r="BQ18" s="208">
        <f t="shared" si="67"/>
        <v>126316.32000000002</v>
      </c>
      <c r="BR18" s="208">
        <f t="shared" si="68"/>
        <v>8354.4720000000016</v>
      </c>
      <c r="BS18" s="209">
        <f t="shared" si="13"/>
        <v>275705.95200000005</v>
      </c>
      <c r="BT18" s="208">
        <f>JUN!S20</f>
        <v>344727.07200000004</v>
      </c>
      <c r="BU18" s="208">
        <f>JUN!T20</f>
        <v>58783.287999999993</v>
      </c>
      <c r="BV18" s="208">
        <f>JUN!U20</f>
        <v>9131.8320000000003</v>
      </c>
      <c r="BW18" s="208">
        <f>JUN!V20</f>
        <v>13625.696</v>
      </c>
      <c r="BX18" s="208">
        <f>JUN!W20</f>
        <v>547188.93599999999</v>
      </c>
      <c r="BY18" s="208">
        <f>JUN!X20</f>
        <v>40618.232000000011</v>
      </c>
      <c r="BZ18" s="209">
        <f t="shared" si="14"/>
        <v>1014075.056</v>
      </c>
      <c r="CA18" s="208">
        <f t="shared" si="69"/>
        <v>106674.52800000001</v>
      </c>
      <c r="CB18" s="208">
        <f t="shared" si="70"/>
        <v>42086.184000000001</v>
      </c>
      <c r="CC18" s="208">
        <f t="shared" si="71"/>
        <v>3637.2160000000003</v>
      </c>
      <c r="CD18" s="208">
        <f t="shared" si="72"/>
        <v>7820.6239999999998</v>
      </c>
      <c r="CE18" s="208">
        <f t="shared" si="73"/>
        <v>125454.35999999999</v>
      </c>
      <c r="CF18" s="208">
        <f t="shared" si="74"/>
        <v>24247.096000000005</v>
      </c>
      <c r="CG18" s="209">
        <f t="shared" si="16"/>
        <v>309920.00800000003</v>
      </c>
      <c r="CH18" s="208">
        <f>JUL!S20</f>
        <v>243590.31200000003</v>
      </c>
      <c r="CI18" s="208">
        <f>JUL!T20</f>
        <v>50937.808000000012</v>
      </c>
      <c r="CJ18" s="208">
        <f>JUL!U20</f>
        <v>44274.728000000003</v>
      </c>
      <c r="CK18" s="208">
        <f>JUL!V20</f>
        <v>20774.943999999996</v>
      </c>
      <c r="CL18" s="208">
        <f>JUL!W20</f>
        <v>585708.6719999999</v>
      </c>
      <c r="CM18" s="208">
        <f>JUL!X20</f>
        <v>47244.087999999996</v>
      </c>
      <c r="CN18" s="209">
        <f t="shared" si="17"/>
        <v>992530.55199999991</v>
      </c>
      <c r="CO18" s="208">
        <f t="shared" si="75"/>
        <v>75855.072</v>
      </c>
      <c r="CP18" s="208">
        <f t="shared" si="76"/>
        <v>26468.320000000003</v>
      </c>
      <c r="CQ18" s="208">
        <f t="shared" si="77"/>
        <v>6397.7040000000006</v>
      </c>
      <c r="CR18" s="208">
        <f t="shared" si="78"/>
        <v>2225.1440000000002</v>
      </c>
      <c r="CS18" s="208">
        <f t="shared" si="79"/>
        <v>138853.92000000001</v>
      </c>
      <c r="CT18" s="208">
        <f t="shared" si="80"/>
        <v>18551.096000000001</v>
      </c>
      <c r="CU18" s="209">
        <f t="shared" si="19"/>
        <v>268351.25600000005</v>
      </c>
      <c r="CV18" s="208">
        <f>AGO!S20</f>
        <v>126511.72</v>
      </c>
      <c r="CW18" s="208">
        <f>AGO!T20</f>
        <v>55525.936000000016</v>
      </c>
      <c r="CX18" s="208">
        <f>AGO!U20</f>
        <v>96151.888000000006</v>
      </c>
      <c r="CY18" s="208">
        <f>AGO!V20</f>
        <v>25729.479999999996</v>
      </c>
      <c r="CZ18" s="208">
        <f>AGO!W20</f>
        <v>626663.0639999999</v>
      </c>
      <c r="DA18" s="208">
        <f>AGO!X20</f>
        <v>60971.912000000004</v>
      </c>
      <c r="DB18" s="209">
        <f t="shared" si="20"/>
        <v>991553.99999999988</v>
      </c>
      <c r="DC18" s="208">
        <f t="shared" si="81"/>
        <v>49235.776000000005</v>
      </c>
      <c r="DD18" s="208">
        <f t="shared" si="82"/>
        <v>25441.68</v>
      </c>
      <c r="DE18" s="208">
        <f t="shared" si="83"/>
        <v>16801.68</v>
      </c>
      <c r="DF18" s="208">
        <f t="shared" si="84"/>
        <v>2782.2960000000016</v>
      </c>
      <c r="DG18" s="208">
        <f t="shared" si="85"/>
        <v>151626.6</v>
      </c>
      <c r="DH18" s="208">
        <f t="shared" si="86"/>
        <v>17921.824000000001</v>
      </c>
      <c r="DI18" s="209">
        <f t="shared" si="22"/>
        <v>263809.85600000003</v>
      </c>
      <c r="DJ18" s="208">
        <f>SET!S20</f>
        <v>82921.664000000004</v>
      </c>
      <c r="DK18" s="208">
        <f>SET!T20</f>
        <v>37285.496000000006</v>
      </c>
      <c r="DL18" s="208">
        <f>SET!U20</f>
        <v>37486.991999999998</v>
      </c>
      <c r="DM18" s="208">
        <f>SET!V20</f>
        <v>12346.936000000005</v>
      </c>
      <c r="DN18" s="208">
        <f>SET!W20</f>
        <v>551101.77600000007</v>
      </c>
      <c r="DO18" s="208">
        <f>SET!X20</f>
        <v>47552.04</v>
      </c>
      <c r="DP18" s="209">
        <f t="shared" si="23"/>
        <v>768694.9040000001</v>
      </c>
      <c r="DQ18" s="208">
        <f t="shared" si="87"/>
        <v>43052.176000000007</v>
      </c>
      <c r="DR18" s="208">
        <f t="shared" si="88"/>
        <v>24915.335999999996</v>
      </c>
      <c r="DS18" s="208">
        <f t="shared" si="89"/>
        <v>9034.1119999999992</v>
      </c>
      <c r="DT18" s="208">
        <f t="shared" si="90"/>
        <v>3467.768</v>
      </c>
      <c r="DU18" s="208">
        <f t="shared" si="91"/>
        <v>148100.4</v>
      </c>
      <c r="DV18" s="208">
        <f t="shared" si="92"/>
        <v>18036.047999999999</v>
      </c>
      <c r="DW18" s="209">
        <f t="shared" si="25"/>
        <v>246605.84</v>
      </c>
      <c r="DX18" s="208">
        <f>OUT!S20</f>
        <v>0</v>
      </c>
      <c r="DY18" s="208">
        <f>OUT!T20</f>
        <v>0</v>
      </c>
      <c r="DZ18" s="208">
        <f>OUT!U20</f>
        <v>0</v>
      </c>
      <c r="EA18" s="208">
        <f>OUT!V20</f>
        <v>0</v>
      </c>
      <c r="EB18" s="208">
        <f>OUT!W20</f>
        <v>0</v>
      </c>
      <c r="EC18" s="208">
        <f>OUT!X20</f>
        <v>0</v>
      </c>
      <c r="ED18" s="209">
        <f t="shared" si="26"/>
        <v>0</v>
      </c>
      <c r="EE18" s="208"/>
      <c r="EF18" s="208"/>
      <c r="EG18" s="208"/>
      <c r="EH18" s="208"/>
      <c r="EI18" s="208"/>
      <c r="EJ18" s="208"/>
      <c r="EK18" s="209">
        <f t="shared" si="27"/>
        <v>0</v>
      </c>
      <c r="EL18" s="208">
        <f>NOV!S20</f>
        <v>0</v>
      </c>
      <c r="EM18" s="208">
        <f>NOV!T20</f>
        <v>0</v>
      </c>
      <c r="EN18" s="208">
        <f>NOV!U20</f>
        <v>0</v>
      </c>
      <c r="EO18" s="208">
        <f>NOV!V20</f>
        <v>0</v>
      </c>
      <c r="EP18" s="208">
        <f>NOV!W20</f>
        <v>0</v>
      </c>
      <c r="EQ18" s="208">
        <f>NOV!X20</f>
        <v>0</v>
      </c>
      <c r="ER18" s="209">
        <f t="shared" si="28"/>
        <v>0</v>
      </c>
      <c r="ES18" s="208"/>
      <c r="ET18" s="208"/>
      <c r="EU18" s="208"/>
      <c r="EV18" s="208"/>
      <c r="EW18" s="208"/>
      <c r="EX18" s="208"/>
      <c r="EY18" s="209">
        <f t="shared" si="29"/>
        <v>0</v>
      </c>
      <c r="EZ18" s="208">
        <f>DEZ!S20</f>
        <v>0</v>
      </c>
      <c r="FA18" s="208">
        <f>DEZ!T20</f>
        <v>0</v>
      </c>
      <c r="FB18" s="208">
        <f>DEZ!U20</f>
        <v>0</v>
      </c>
      <c r="FC18" s="208">
        <f>DEZ!V20</f>
        <v>0</v>
      </c>
      <c r="FD18" s="208">
        <f>DEZ!W20</f>
        <v>0</v>
      </c>
      <c r="FE18" s="208">
        <f>DEZ!X20</f>
        <v>0</v>
      </c>
      <c r="FF18" s="209">
        <f t="shared" si="30"/>
        <v>0</v>
      </c>
      <c r="FG18" s="208"/>
      <c r="FH18" s="208"/>
      <c r="FI18" s="208"/>
      <c r="FJ18" s="208"/>
      <c r="FK18" s="208"/>
      <c r="FL18" s="208"/>
      <c r="FM18" s="207">
        <f t="shared" si="31"/>
        <v>0</v>
      </c>
      <c r="FN18" s="210">
        <f t="shared" si="93"/>
        <v>2110981.4960000003</v>
      </c>
      <c r="FO18" s="518">
        <f t="shared" si="32"/>
        <v>472804.44800000003</v>
      </c>
      <c r="FP18" s="208">
        <f t="shared" si="33"/>
        <v>222658.448</v>
      </c>
      <c r="FQ18" s="208">
        <f t="shared" si="34"/>
        <v>120593.36799999999</v>
      </c>
      <c r="FR18" s="208">
        <f t="shared" si="35"/>
        <v>3852587.1119999997</v>
      </c>
      <c r="FS18" s="208">
        <f t="shared" si="36"/>
        <v>321059.03200000001</v>
      </c>
      <c r="FT18" s="209">
        <f t="shared" si="37"/>
        <v>7100683.9039999992</v>
      </c>
      <c r="FU18" s="208">
        <f t="shared" si="94"/>
        <v>1155017.5120000001</v>
      </c>
      <c r="FV18" s="208">
        <f t="shared" si="38"/>
        <v>373179.09600000002</v>
      </c>
      <c r="FW18" s="208">
        <f t="shared" si="39"/>
        <v>70202.752000000008</v>
      </c>
      <c r="FX18" s="208">
        <f t="shared" si="40"/>
        <v>45377.648000000001</v>
      </c>
      <c r="FY18" s="208">
        <f t="shared" si="41"/>
        <v>1168936.4720000001</v>
      </c>
      <c r="FZ18" s="208">
        <f t="shared" si="42"/>
        <v>145995.97600000005</v>
      </c>
      <c r="GA18" s="207">
        <f t="shared" si="43"/>
        <v>2958709.4560000007</v>
      </c>
      <c r="GB18" s="206">
        <f t="shared" si="95"/>
        <v>82.766189609080158</v>
      </c>
      <c r="GC18" s="206">
        <f t="shared" si="96"/>
        <v>26.696391375576951</v>
      </c>
      <c r="GD18" s="206">
        <f t="shared" si="44"/>
        <v>217.16484276855692</v>
      </c>
      <c r="GE18" s="206">
        <f t="shared" si="45"/>
        <v>165.75499902507062</v>
      </c>
      <c r="GF18" s="206">
        <f t="shared" si="46"/>
        <v>229.58053788914538</v>
      </c>
      <c r="GG18" s="206">
        <f t="shared" si="47"/>
        <v>119.90950764286811</v>
      </c>
      <c r="GH18" s="205">
        <f t="shared" si="97"/>
        <v>139.99260520834315</v>
      </c>
      <c r="GI18" s="215" t="str">
        <f t="shared" si="98"/>
        <v>MAIOR</v>
      </c>
    </row>
    <row r="19" spans="1:191" s="566" customFormat="1">
      <c r="A19" s="319" t="s">
        <v>94</v>
      </c>
      <c r="B19" s="208">
        <f>VLOOKUP($A$3:$A$29,JAN!$A$5:$B$31,2,)</f>
        <v>60009.648000000001</v>
      </c>
      <c r="C19" s="208">
        <f>VLOOKUP($A$3:$A$29,JAN!$A$5:$C$31,3,)</f>
        <v>8050.8</v>
      </c>
      <c r="D19" s="208">
        <f>VLOOKUP($A$3:$A$29,JAN!$A$5:$D$31,4,)</f>
        <v>3652.1280000000002</v>
      </c>
      <c r="E19" s="208">
        <f>VLOOKUP($A$3:$A$29,JAN!$A$5:$E$31,5,)</f>
        <v>3014.6080000000002</v>
      </c>
      <c r="F19" s="208">
        <f>VLOOKUP($A$3:$A$29,JAN!$A$5:$X$32,23,)</f>
        <v>30712.272000000001</v>
      </c>
      <c r="G19" s="208">
        <f>VLOOKUP($A$3:$A$29,JAN!$A$5:$X$32,24,)</f>
        <v>3522.096</v>
      </c>
      <c r="H19" s="209">
        <f t="shared" si="0"/>
        <v>108961.55200000001</v>
      </c>
      <c r="I19" s="208">
        <f t="shared" si="48"/>
        <v>66814.888000000006</v>
      </c>
      <c r="J19" s="208">
        <f t="shared" si="49"/>
        <v>31524.192000000006</v>
      </c>
      <c r="K19" s="208">
        <f t="shared" si="50"/>
        <v>6738.4480000000003</v>
      </c>
      <c r="L19" s="208">
        <f t="shared" si="51"/>
        <v>5628.7680000000009</v>
      </c>
      <c r="M19" s="208">
        <f t="shared" si="52"/>
        <v>29537.856000000003</v>
      </c>
      <c r="N19" s="208">
        <f t="shared" si="53"/>
        <v>10105.695999999985</v>
      </c>
      <c r="O19" s="209">
        <f t="shared" si="2"/>
        <v>150349.84800000003</v>
      </c>
      <c r="P19" s="208">
        <f>VLOOKUP($A$3:$A$29,FEV!$A$5:$B$31,2,)</f>
        <v>74255.528000000006</v>
      </c>
      <c r="Q19" s="208">
        <f>VLOOKUP($A$3:$A$29,FEV!$A$5:$C$31,3,)</f>
        <v>5731.8799999999937</v>
      </c>
      <c r="R19" s="208">
        <f>VLOOKUP($A$3:$A$29,FEV!$A$5:$D$31,4,)</f>
        <v>1947.7919999999999</v>
      </c>
      <c r="S19" s="208">
        <f>VLOOKUP($A$3:$A$29,FEV!$A$5:$E$31,5,)</f>
        <v>1226.7600000000002</v>
      </c>
      <c r="T19" s="208">
        <f>VLOOKUP($A$3:$A$29,FEV!$A$5:$X$32,23,)</f>
        <v>40163.232000000004</v>
      </c>
      <c r="U19" s="208">
        <f>VLOOKUP($A$3:$A$29,FEV!$A$5:$X$32,24,)</f>
        <v>1935.8320000000001</v>
      </c>
      <c r="V19" s="209">
        <f t="shared" si="54"/>
        <v>125261.02399999999</v>
      </c>
      <c r="W19" s="208">
        <f t="shared" si="55"/>
        <v>63699.792000000009</v>
      </c>
      <c r="X19" s="208">
        <f t="shared" ref="X19:X29" si="99">Q52</f>
        <v>21532.183999999994</v>
      </c>
      <c r="Y19" s="208">
        <f t="shared" ref="Y19:Y29" si="100">R52</f>
        <v>3037.16</v>
      </c>
      <c r="Z19" s="208">
        <f t="shared" ref="Z19:Z29" si="101">S52</f>
        <v>4056.424</v>
      </c>
      <c r="AA19" s="208">
        <f t="shared" ref="AA19:AA29" si="102">T52</f>
        <v>35497.08</v>
      </c>
      <c r="AB19" s="208">
        <f t="shared" ref="AB19:AB29" si="103">U52</f>
        <v>5522.8879999999999</v>
      </c>
      <c r="AC19" s="209">
        <f t="shared" si="4"/>
        <v>133345.52799999999</v>
      </c>
      <c r="AD19" s="208">
        <f>VLOOKUP($A$3:$A$29,MAR!$A$5:$B$31,2,)</f>
        <v>60187.552000000003</v>
      </c>
      <c r="AE19" s="208">
        <f>VLOOKUP($A$3:$A$29,MAR!$A$5:$C$31,3,)</f>
        <v>8351.5679999999993</v>
      </c>
      <c r="AF19" s="208">
        <f>VLOOKUP($A$3:$A$29,MAR!$A$5:$D$31,4,)</f>
        <v>733.80000000000007</v>
      </c>
      <c r="AG19" s="208">
        <f>VLOOKUP($A$3:$A$29,MAR!$A$5:$E$31,5,)</f>
        <v>2142.8240000000001</v>
      </c>
      <c r="AH19" s="208">
        <f>VLOOKUP($A$3:$A$29,MAR!$A$5:$X$32,23,)</f>
        <v>46346.216000000008</v>
      </c>
      <c r="AI19" s="208">
        <f>VLOOKUP($A$3:$A$29,MAR!$A$5:$X$32,24,)</f>
        <v>4160.4720000000007</v>
      </c>
      <c r="AJ19" s="209">
        <f t="shared" si="5"/>
        <v>121922.43199999999</v>
      </c>
      <c r="AK19" s="208">
        <f t="shared" si="56"/>
        <v>47196.504000000001</v>
      </c>
      <c r="AL19" s="208">
        <f t="shared" si="57"/>
        <v>15647.527999999998</v>
      </c>
      <c r="AM19" s="208">
        <f t="shared" si="58"/>
        <v>1637.9040000000002</v>
      </c>
      <c r="AN19" s="208">
        <f t="shared" si="59"/>
        <v>3201.5120000000006</v>
      </c>
      <c r="AO19" s="208">
        <f t="shared" si="60"/>
        <v>38396.400000000009</v>
      </c>
      <c r="AP19" s="208">
        <f t="shared" si="61"/>
        <v>4155.9840000000004</v>
      </c>
      <c r="AQ19" s="209">
        <f t="shared" si="7"/>
        <v>110235.83200000001</v>
      </c>
      <c r="AR19" s="208">
        <f>ABR!S21</f>
        <v>110916.8</v>
      </c>
      <c r="AS19" s="208">
        <f>ABR!T21</f>
        <v>30799.648000000001</v>
      </c>
      <c r="AT19" s="208">
        <f>ABR!U21</f>
        <v>1626.5360000000001</v>
      </c>
      <c r="AU19" s="208">
        <f>ABR!V21</f>
        <v>5188.6400000000003</v>
      </c>
      <c r="AV19" s="208">
        <f>ABR!W21</f>
        <v>152079.04800000001</v>
      </c>
      <c r="AW19" s="208">
        <f>ABR!X21</f>
        <v>13938.376</v>
      </c>
      <c r="AX19" s="209">
        <f t="shared" si="8"/>
        <v>314549.04800000001</v>
      </c>
      <c r="AY19" s="208">
        <f t="shared" si="62"/>
        <v>33815.128000000004</v>
      </c>
      <c r="AZ19" s="208">
        <f t="shared" ref="AZ19:AZ29" si="104">AS52</f>
        <v>12884.663999999997</v>
      </c>
      <c r="BA19" s="208">
        <f t="shared" ref="BA19:BA29" si="105">AT52</f>
        <v>2112.1040000000003</v>
      </c>
      <c r="BB19" s="208">
        <f t="shared" ref="BB19:BB29" si="106">AU52</f>
        <v>3297.6959999999999</v>
      </c>
      <c r="BC19" s="208">
        <f t="shared" ref="BC19:BC29" si="107">AV52</f>
        <v>34243.320000000007</v>
      </c>
      <c r="BD19" s="208">
        <f t="shared" ref="BD19:BD29" si="108">AW52</f>
        <v>5252.4639999999999</v>
      </c>
      <c r="BE19" s="209">
        <f t="shared" si="10"/>
        <v>91605.376000000018</v>
      </c>
      <c r="BF19" s="208">
        <f>MAI!S21</f>
        <v>130141.98400000001</v>
      </c>
      <c r="BG19" s="208">
        <f>MAI!T21</f>
        <v>45471.288</v>
      </c>
      <c r="BH19" s="208">
        <f>MAI!U21</f>
        <v>2000.768</v>
      </c>
      <c r="BI19" s="208">
        <f>MAI!V21</f>
        <v>2596.4240000000004</v>
      </c>
      <c r="BJ19" s="208">
        <f>MAI!W21</f>
        <v>170078.11199999999</v>
      </c>
      <c r="BK19" s="208">
        <f>MAI!X21</f>
        <v>22232.967999999997</v>
      </c>
      <c r="BL19" s="209">
        <f t="shared" si="11"/>
        <v>372521.54399999999</v>
      </c>
      <c r="BM19" s="208">
        <f t="shared" si="63"/>
        <v>32211.96</v>
      </c>
      <c r="BN19" s="208">
        <f t="shared" si="64"/>
        <v>12195</v>
      </c>
      <c r="BO19" s="208">
        <f t="shared" si="65"/>
        <v>2766.9360000000001</v>
      </c>
      <c r="BP19" s="208">
        <f t="shared" si="66"/>
        <v>4184.6240000000007</v>
      </c>
      <c r="BQ19" s="208">
        <f t="shared" si="67"/>
        <v>46310.76</v>
      </c>
      <c r="BR19" s="208">
        <f t="shared" si="68"/>
        <v>5568.9919999999993</v>
      </c>
      <c r="BS19" s="209">
        <f t="shared" si="13"/>
        <v>103238.272</v>
      </c>
      <c r="BT19" s="208">
        <f>JUN!S21</f>
        <v>131906.25600000002</v>
      </c>
      <c r="BU19" s="208">
        <f>JUN!T21</f>
        <v>43926.231999999989</v>
      </c>
      <c r="BV19" s="208">
        <f>JUN!U21</f>
        <v>2031.2</v>
      </c>
      <c r="BW19" s="208">
        <f>JUN!V21</f>
        <v>7381.5119999999997</v>
      </c>
      <c r="BX19" s="208">
        <f>JUN!W21</f>
        <v>132080.08799999999</v>
      </c>
      <c r="BY19" s="208">
        <f>JUN!X21</f>
        <v>20050.896000000001</v>
      </c>
      <c r="BZ19" s="209">
        <f t="shared" si="14"/>
        <v>337376.18400000001</v>
      </c>
      <c r="CA19" s="208">
        <f t="shared" si="69"/>
        <v>43639.488000000005</v>
      </c>
      <c r="CB19" s="208">
        <f t="shared" si="70"/>
        <v>12848.168000000003</v>
      </c>
      <c r="CC19" s="208">
        <f t="shared" si="71"/>
        <v>1233.6480000000001</v>
      </c>
      <c r="CD19" s="208">
        <f t="shared" si="72"/>
        <v>2206.8560000000002</v>
      </c>
      <c r="CE19" s="208">
        <f t="shared" si="73"/>
        <v>51795.960000000006</v>
      </c>
      <c r="CF19" s="208">
        <f t="shared" si="74"/>
        <v>8061.2080000000014</v>
      </c>
      <c r="CG19" s="209">
        <f t="shared" si="16"/>
        <v>119785.32800000002</v>
      </c>
      <c r="CH19" s="208">
        <f>JUL!S21</f>
        <v>112706.13600000001</v>
      </c>
      <c r="CI19" s="208">
        <f>JUL!T21</f>
        <v>25861.935999999987</v>
      </c>
      <c r="CJ19" s="208">
        <f>JUL!U21</f>
        <v>7004.9360000000006</v>
      </c>
      <c r="CK19" s="208">
        <f>JUL!V21</f>
        <v>3322.9279999999999</v>
      </c>
      <c r="CL19" s="208">
        <f>JUL!W21</f>
        <v>152252.95199999999</v>
      </c>
      <c r="CM19" s="208">
        <f>JUL!X21</f>
        <v>18359.152000000002</v>
      </c>
      <c r="CN19" s="209">
        <f t="shared" si="17"/>
        <v>319508.03999999998</v>
      </c>
      <c r="CO19" s="208">
        <f t="shared" si="75"/>
        <v>31216.144</v>
      </c>
      <c r="CP19" s="208">
        <f t="shared" si="76"/>
        <v>11224.720000000001</v>
      </c>
      <c r="CQ19" s="208">
        <f t="shared" si="77"/>
        <v>3318.3040000000001</v>
      </c>
      <c r="CR19" s="208">
        <f t="shared" si="78"/>
        <v>2611.9840000000004</v>
      </c>
      <c r="CS19" s="208">
        <f t="shared" si="79"/>
        <v>51717.600000000006</v>
      </c>
      <c r="CT19" s="208">
        <f t="shared" si="80"/>
        <v>8110.4639999999999</v>
      </c>
      <c r="CU19" s="209">
        <f t="shared" si="19"/>
        <v>108199.21600000001</v>
      </c>
      <c r="CV19" s="208">
        <f>AGO!S21</f>
        <v>60733.280000000006</v>
      </c>
      <c r="CW19" s="208">
        <f>AGO!T21</f>
        <v>27987.312000000002</v>
      </c>
      <c r="CX19" s="208">
        <f>AGO!U21</f>
        <v>16491.592000000001</v>
      </c>
      <c r="CY19" s="208">
        <f>AGO!V21</f>
        <v>2416.6880000000006</v>
      </c>
      <c r="CZ19" s="208">
        <f>AGO!W21</f>
        <v>171121.53600000002</v>
      </c>
      <c r="DA19" s="208">
        <f>AGO!X21</f>
        <v>26249.376</v>
      </c>
      <c r="DB19" s="209">
        <f t="shared" si="20"/>
        <v>304999.78400000004</v>
      </c>
      <c r="DC19" s="208">
        <f t="shared" si="81"/>
        <v>17646.223999999998</v>
      </c>
      <c r="DD19" s="208">
        <f t="shared" si="82"/>
        <v>5595.1280000000006</v>
      </c>
      <c r="DE19" s="208">
        <f t="shared" si="83"/>
        <v>7851.880000000001</v>
      </c>
      <c r="DF19" s="208">
        <f t="shared" si="84"/>
        <v>2142.1280000000002</v>
      </c>
      <c r="DG19" s="208">
        <f t="shared" si="85"/>
        <v>52501.2</v>
      </c>
      <c r="DH19" s="208">
        <f t="shared" si="86"/>
        <v>5182.768</v>
      </c>
      <c r="DI19" s="209">
        <f t="shared" si="22"/>
        <v>90919.327999999994</v>
      </c>
      <c r="DJ19" s="208">
        <f>SET!S21</f>
        <v>40429.815999999999</v>
      </c>
      <c r="DK19" s="208">
        <f>SET!T21</f>
        <v>24480.936000000005</v>
      </c>
      <c r="DL19" s="208">
        <f>SET!U21</f>
        <v>6709.4880000000012</v>
      </c>
      <c r="DM19" s="208">
        <f>SET!V21</f>
        <v>1967.976000000001</v>
      </c>
      <c r="DN19" s="208">
        <f>SET!W21</f>
        <v>171208.48800000001</v>
      </c>
      <c r="DO19" s="208">
        <f>SET!X21</f>
        <v>19906.919999999998</v>
      </c>
      <c r="DP19" s="209">
        <f t="shared" si="23"/>
        <v>264703.62400000001</v>
      </c>
      <c r="DQ19" s="208">
        <f t="shared" si="87"/>
        <v>10855.344000000001</v>
      </c>
      <c r="DR19" s="208">
        <f t="shared" si="88"/>
        <v>4046.751999999999</v>
      </c>
      <c r="DS19" s="208">
        <f t="shared" si="89"/>
        <v>5023.7440000000006</v>
      </c>
      <c r="DT19" s="208">
        <f t="shared" si="90"/>
        <v>1438.4479999999996</v>
      </c>
      <c r="DU19" s="208">
        <f t="shared" si="91"/>
        <v>50698.920000000006</v>
      </c>
      <c r="DV19" s="208">
        <f t="shared" si="92"/>
        <v>3539.136</v>
      </c>
      <c r="DW19" s="209">
        <f t="shared" si="25"/>
        <v>75602.344000000012</v>
      </c>
      <c r="DX19" s="208">
        <f>OUT!S21</f>
        <v>0</v>
      </c>
      <c r="DY19" s="208">
        <f>OUT!T21</f>
        <v>0</v>
      </c>
      <c r="DZ19" s="208">
        <f>OUT!U21</f>
        <v>0</v>
      </c>
      <c r="EA19" s="208">
        <f>OUT!V21</f>
        <v>0</v>
      </c>
      <c r="EB19" s="208">
        <f>OUT!W21</f>
        <v>0</v>
      </c>
      <c r="EC19" s="208">
        <f>OUT!X21</f>
        <v>0</v>
      </c>
      <c r="ED19" s="209">
        <f t="shared" si="26"/>
        <v>0</v>
      </c>
      <c r="EE19" s="208"/>
      <c r="EF19" s="208"/>
      <c r="EG19" s="208"/>
      <c r="EH19" s="208"/>
      <c r="EI19" s="208"/>
      <c r="EJ19" s="208"/>
      <c r="EK19" s="209">
        <f t="shared" si="27"/>
        <v>0</v>
      </c>
      <c r="EL19" s="208">
        <f>NOV!S21</f>
        <v>0</v>
      </c>
      <c r="EM19" s="208">
        <f>NOV!T21</f>
        <v>0</v>
      </c>
      <c r="EN19" s="208">
        <f>NOV!U21</f>
        <v>0</v>
      </c>
      <c r="EO19" s="208">
        <f>NOV!V21</f>
        <v>0</v>
      </c>
      <c r="EP19" s="208">
        <f>NOV!W21</f>
        <v>0</v>
      </c>
      <c r="EQ19" s="208">
        <f>NOV!X21</f>
        <v>0</v>
      </c>
      <c r="ER19" s="209">
        <f t="shared" si="28"/>
        <v>0</v>
      </c>
      <c r="ES19" s="208"/>
      <c r="ET19" s="208"/>
      <c r="EU19" s="208"/>
      <c r="EV19" s="208"/>
      <c r="EW19" s="208"/>
      <c r="EX19" s="208"/>
      <c r="EY19" s="209">
        <f t="shared" si="29"/>
        <v>0</v>
      </c>
      <c r="EZ19" s="208">
        <f>DEZ!S21</f>
        <v>0</v>
      </c>
      <c r="FA19" s="208">
        <f>DEZ!T21</f>
        <v>0</v>
      </c>
      <c r="FB19" s="208">
        <f>DEZ!U21</f>
        <v>0</v>
      </c>
      <c r="FC19" s="208">
        <f>DEZ!V21</f>
        <v>0</v>
      </c>
      <c r="FD19" s="208">
        <f>DEZ!W21</f>
        <v>0</v>
      </c>
      <c r="FE19" s="208">
        <f>DEZ!X21</f>
        <v>0</v>
      </c>
      <c r="FF19" s="209">
        <f t="shared" si="30"/>
        <v>0</v>
      </c>
      <c r="FG19" s="208"/>
      <c r="FH19" s="208"/>
      <c r="FI19" s="208"/>
      <c r="FJ19" s="208"/>
      <c r="FK19" s="208"/>
      <c r="FL19" s="208"/>
      <c r="FM19" s="207">
        <f t="shared" si="31"/>
        <v>0</v>
      </c>
      <c r="FN19" s="210">
        <f t="shared" si="93"/>
        <v>781287.00000000012</v>
      </c>
      <c r="FO19" s="518">
        <f t="shared" si="32"/>
        <v>220661.59999999998</v>
      </c>
      <c r="FP19" s="208">
        <f t="shared" si="33"/>
        <v>42198.240000000005</v>
      </c>
      <c r="FQ19" s="208">
        <f t="shared" si="34"/>
        <v>29258.360000000008</v>
      </c>
      <c r="FR19" s="208">
        <f t="shared" si="35"/>
        <v>1066041.9440000001</v>
      </c>
      <c r="FS19" s="208">
        <f t="shared" si="36"/>
        <v>130356.088</v>
      </c>
      <c r="FT19" s="209">
        <f t="shared" si="37"/>
        <v>2269803.2320000003</v>
      </c>
      <c r="FU19" s="208">
        <f t="shared" si="94"/>
        <v>347095.47199999995</v>
      </c>
      <c r="FV19" s="208">
        <f t="shared" si="38"/>
        <v>127498.336</v>
      </c>
      <c r="FW19" s="208">
        <f t="shared" si="39"/>
        <v>33720.128000000004</v>
      </c>
      <c r="FX19" s="208">
        <f t="shared" si="40"/>
        <v>28768.440000000002</v>
      </c>
      <c r="FY19" s="208">
        <f t="shared" si="41"/>
        <v>390699.09600000002</v>
      </c>
      <c r="FZ19" s="208">
        <f t="shared" si="42"/>
        <v>55499.599999999977</v>
      </c>
      <c r="GA19" s="207">
        <f t="shared" si="43"/>
        <v>983281.07199999993</v>
      </c>
      <c r="GB19" s="206">
        <f t="shared" si="95"/>
        <v>125.09282402854285</v>
      </c>
      <c r="GC19" s="206">
        <f t="shared" si="96"/>
        <v>73.070180304157049</v>
      </c>
      <c r="GD19" s="206">
        <f t="shared" si="44"/>
        <v>25.142585461122806</v>
      </c>
      <c r="GE19" s="206">
        <f t="shared" si="45"/>
        <v>1.702977290391857</v>
      </c>
      <c r="GF19" s="206">
        <f t="shared" si="46"/>
        <v>172.85498095956694</v>
      </c>
      <c r="GG19" s="206">
        <f t="shared" si="47"/>
        <v>134.87752704524007</v>
      </c>
      <c r="GH19" s="205">
        <f t="shared" si="97"/>
        <v>130.83971578779671</v>
      </c>
      <c r="GI19" s="215" t="str">
        <f t="shared" si="98"/>
        <v>MAIOR</v>
      </c>
    </row>
    <row r="20" spans="1:191" s="566" customFormat="1">
      <c r="A20" s="319" t="s">
        <v>92</v>
      </c>
      <c r="B20" s="208">
        <f>VLOOKUP($A$3:$A$29,JAN!$A$5:$B$31,2,)</f>
        <v>654530.46400000004</v>
      </c>
      <c r="C20" s="208">
        <f>VLOOKUP($A$3:$A$29,JAN!$A$5:$C$31,3,)</f>
        <v>75913.848000000056</v>
      </c>
      <c r="D20" s="208">
        <f>VLOOKUP($A$3:$A$29,JAN!$A$5:$D$31,4,)</f>
        <v>28915.944000000003</v>
      </c>
      <c r="E20" s="208">
        <f>VLOOKUP($A$3:$A$29,JAN!$A$5:$E$31,5,)</f>
        <v>17315.824000000001</v>
      </c>
      <c r="F20" s="208">
        <f>VLOOKUP($A$3:$A$29,JAN!$A$5:$X$32,23,)</f>
        <v>414622.89600000001</v>
      </c>
      <c r="G20" s="208">
        <f>VLOOKUP($A$3:$A$29,JAN!$A$5:$X$32,24,)</f>
        <v>30126.624000000003</v>
      </c>
      <c r="H20" s="209">
        <f t="shared" si="0"/>
        <v>1221425.6000000003</v>
      </c>
      <c r="I20" s="208">
        <f t="shared" si="48"/>
        <v>632222.77600000007</v>
      </c>
      <c r="J20" s="208">
        <f t="shared" si="49"/>
        <v>128845.57599999999</v>
      </c>
      <c r="K20" s="208">
        <f t="shared" si="50"/>
        <v>41564.567999999999</v>
      </c>
      <c r="L20" s="208">
        <f t="shared" si="51"/>
        <v>18676.248000000003</v>
      </c>
      <c r="M20" s="208">
        <f t="shared" si="52"/>
        <v>374614.24800000002</v>
      </c>
      <c r="N20" s="208">
        <f t="shared" si="53"/>
        <v>51287.575999999877</v>
      </c>
      <c r="O20" s="209">
        <f t="shared" si="2"/>
        <v>1247210.9920000001</v>
      </c>
      <c r="P20" s="208">
        <f>VLOOKUP($A$3:$A$29,FEV!$A$5:$B$31,2,)</f>
        <v>791752.32000000007</v>
      </c>
      <c r="Q20" s="208">
        <f>VLOOKUP($A$3:$A$29,FEV!$A$5:$C$31,3,)</f>
        <v>110487.46399999998</v>
      </c>
      <c r="R20" s="208">
        <f>VLOOKUP($A$3:$A$29,FEV!$A$5:$D$31,4,)</f>
        <v>22059.760000000002</v>
      </c>
      <c r="S20" s="208">
        <f>VLOOKUP($A$3:$A$29,FEV!$A$5:$E$31,5,)</f>
        <v>23697.528000000002</v>
      </c>
      <c r="T20" s="208">
        <f>VLOOKUP($A$3:$A$29,FEV!$A$5:$X$32,23,)</f>
        <v>499191.43200000003</v>
      </c>
      <c r="U20" s="208">
        <f>VLOOKUP($A$3:$A$29,FEV!$A$5:$X$32,24,)</f>
        <v>53709.823999999993</v>
      </c>
      <c r="V20" s="209">
        <f t="shared" si="54"/>
        <v>1500898.3280000002</v>
      </c>
      <c r="W20" s="208">
        <f t="shared" si="55"/>
        <v>657734.16800000006</v>
      </c>
      <c r="X20" s="208">
        <f t="shared" si="99"/>
        <v>113871.31200000002</v>
      </c>
      <c r="Y20" s="208">
        <f t="shared" si="100"/>
        <v>34106.096000000005</v>
      </c>
      <c r="Z20" s="208">
        <f t="shared" si="101"/>
        <v>21384.792000000001</v>
      </c>
      <c r="AA20" s="208">
        <f t="shared" si="102"/>
        <v>462418.64799999999</v>
      </c>
      <c r="AB20" s="208">
        <f t="shared" si="103"/>
        <v>39114.527999999998</v>
      </c>
      <c r="AC20" s="209">
        <f t="shared" si="4"/>
        <v>1328629.544</v>
      </c>
      <c r="AD20" s="208">
        <f>VLOOKUP($A$3:$A$29,MAR!$A$5:$B$31,2,)</f>
        <v>735945.85600000003</v>
      </c>
      <c r="AE20" s="208">
        <f>VLOOKUP($A$3:$A$29,MAR!$A$5:$C$31,3,)</f>
        <v>113339.23200000002</v>
      </c>
      <c r="AF20" s="208">
        <f>VLOOKUP($A$3:$A$29,MAR!$A$5:$D$31,4,)</f>
        <v>19388.28</v>
      </c>
      <c r="AG20" s="208">
        <f>VLOOKUP($A$3:$A$29,MAR!$A$5:$E$31,5,)</f>
        <v>27291.896000000004</v>
      </c>
      <c r="AH20" s="208">
        <f>VLOOKUP($A$3:$A$29,MAR!$A$5:$X$32,23,)</f>
        <v>622489.36800000002</v>
      </c>
      <c r="AI20" s="208">
        <f>VLOOKUP($A$3:$A$29,MAR!$A$5:$X$32,24,)</f>
        <v>51653.90400000001</v>
      </c>
      <c r="AJ20" s="209">
        <f t="shared" si="5"/>
        <v>1570108.5360000001</v>
      </c>
      <c r="AK20" s="208">
        <f t="shared" si="56"/>
        <v>518817.45600000001</v>
      </c>
      <c r="AL20" s="208">
        <f t="shared" si="57"/>
        <v>101806.46400000002</v>
      </c>
      <c r="AM20" s="208">
        <f t="shared" si="58"/>
        <v>27078.232000000004</v>
      </c>
      <c r="AN20" s="208">
        <f t="shared" si="59"/>
        <v>20520.592000000001</v>
      </c>
      <c r="AO20" s="208">
        <f t="shared" si="60"/>
        <v>557672.44799999997</v>
      </c>
      <c r="AP20" s="208">
        <f t="shared" si="61"/>
        <v>34048.671999999999</v>
      </c>
      <c r="AQ20" s="209">
        <f t="shared" si="7"/>
        <v>1259943.8639999998</v>
      </c>
      <c r="AR20" s="208">
        <f>ABR!S22</f>
        <v>26192.664000000004</v>
      </c>
      <c r="AS20" s="208">
        <f>ABR!T22</f>
        <v>5110.7839999999997</v>
      </c>
      <c r="AT20" s="208">
        <f>ABR!U22</f>
        <v>1165.8</v>
      </c>
      <c r="AU20" s="208">
        <f>ABR!V22</f>
        <v>1410.2240000000002</v>
      </c>
      <c r="AV20" s="208">
        <f>ABR!W22</f>
        <v>43128.192000000003</v>
      </c>
      <c r="AW20" s="208">
        <f>ABR!X22</f>
        <v>2128.768</v>
      </c>
      <c r="AX20" s="209">
        <f t="shared" si="8"/>
        <v>79136.432000000001</v>
      </c>
      <c r="AY20" s="208">
        <f t="shared" si="62"/>
        <v>353297.48800000001</v>
      </c>
      <c r="AZ20" s="208">
        <f t="shared" si="104"/>
        <v>75640.600000000049</v>
      </c>
      <c r="BA20" s="208">
        <f t="shared" si="105"/>
        <v>25563.552</v>
      </c>
      <c r="BB20" s="208">
        <f t="shared" si="106"/>
        <v>19694.768000000004</v>
      </c>
      <c r="BC20" s="208">
        <f t="shared" si="107"/>
        <v>533318.16</v>
      </c>
      <c r="BD20" s="208">
        <f t="shared" si="108"/>
        <v>35205.68</v>
      </c>
      <c r="BE20" s="209">
        <f t="shared" si="10"/>
        <v>1042720.2480000001</v>
      </c>
      <c r="BF20" s="208">
        <f>MAI!S22</f>
        <v>33896.048000000003</v>
      </c>
      <c r="BG20" s="208">
        <f>MAI!T22</f>
        <v>4931.3600000000006</v>
      </c>
      <c r="BH20" s="208">
        <f>MAI!U22</f>
        <v>542.74400000000003</v>
      </c>
      <c r="BI20" s="208">
        <f>MAI!V22</f>
        <v>603.39200000000005</v>
      </c>
      <c r="BJ20" s="208">
        <f>MAI!W22</f>
        <v>46345.416000000005</v>
      </c>
      <c r="BK20" s="208">
        <f>MAI!X22</f>
        <v>2053.0320000000002</v>
      </c>
      <c r="BL20" s="209">
        <f t="shared" si="11"/>
        <v>88371.992000000013</v>
      </c>
      <c r="BM20" s="208">
        <f t="shared" si="63"/>
        <v>287245.64</v>
      </c>
      <c r="BN20" s="208">
        <f t="shared" si="64"/>
        <v>70254.792000000001</v>
      </c>
      <c r="BO20" s="208">
        <f t="shared" si="65"/>
        <v>14615.376000000002</v>
      </c>
      <c r="BP20" s="208">
        <f t="shared" si="66"/>
        <v>21110.552</v>
      </c>
      <c r="BQ20" s="208">
        <f t="shared" si="67"/>
        <v>549303.6</v>
      </c>
      <c r="BR20" s="208">
        <f t="shared" si="68"/>
        <v>40561.815999999999</v>
      </c>
      <c r="BS20" s="209">
        <f t="shared" si="13"/>
        <v>983091.77599999995</v>
      </c>
      <c r="BT20" s="208">
        <f>JUN!S22</f>
        <v>42503.048000000003</v>
      </c>
      <c r="BU20" s="208">
        <f>JUN!T22</f>
        <v>4263.9679999999998</v>
      </c>
      <c r="BV20" s="208">
        <f>JUN!U22</f>
        <v>361.82400000000001</v>
      </c>
      <c r="BW20" s="208">
        <f>JUN!V22</f>
        <v>1356.8720000000001</v>
      </c>
      <c r="BX20" s="208">
        <f>JUN!W22</f>
        <v>47214.936000000002</v>
      </c>
      <c r="BY20" s="208">
        <f>JUN!X22</f>
        <v>2008.84</v>
      </c>
      <c r="BZ20" s="209">
        <f t="shared" si="14"/>
        <v>97709.488000000012</v>
      </c>
      <c r="CA20" s="208">
        <f t="shared" si="69"/>
        <v>286495.19199999998</v>
      </c>
      <c r="CB20" s="208">
        <f t="shared" si="70"/>
        <v>73008.384000000005</v>
      </c>
      <c r="CC20" s="208">
        <f t="shared" si="71"/>
        <v>26068.472000000002</v>
      </c>
      <c r="CD20" s="208">
        <f t="shared" si="72"/>
        <v>21785.688000000002</v>
      </c>
      <c r="CE20" s="208">
        <f t="shared" si="73"/>
        <v>583311.84</v>
      </c>
      <c r="CF20" s="208">
        <f t="shared" si="74"/>
        <v>53641.743999999992</v>
      </c>
      <c r="CG20" s="209">
        <f t="shared" si="16"/>
        <v>1044311.32</v>
      </c>
      <c r="CH20" s="208">
        <f>JUL!S22</f>
        <v>25629.08</v>
      </c>
      <c r="CI20" s="208">
        <f>JUL!T22</f>
        <v>2508.2480000000041</v>
      </c>
      <c r="CJ20" s="208">
        <f>JUL!U22</f>
        <v>1959.616</v>
      </c>
      <c r="CK20" s="208">
        <f>JUL!V22</f>
        <v>219.416</v>
      </c>
      <c r="CL20" s="208">
        <f>JUL!W22</f>
        <v>48953.976000000002</v>
      </c>
      <c r="CM20" s="208">
        <f>JUL!X22</f>
        <v>3284.7339999999999</v>
      </c>
      <c r="CN20" s="209">
        <f t="shared" si="17"/>
        <v>82555.070000000007</v>
      </c>
      <c r="CO20" s="208">
        <f t="shared" si="75"/>
        <v>202017.47200000001</v>
      </c>
      <c r="CP20" s="208">
        <f t="shared" si="76"/>
        <v>61604.48000000001</v>
      </c>
      <c r="CQ20" s="208">
        <f t="shared" si="77"/>
        <v>33971.279999999999</v>
      </c>
      <c r="CR20" s="208">
        <f t="shared" si="78"/>
        <v>16878.784000000003</v>
      </c>
      <c r="CS20" s="208">
        <f t="shared" si="79"/>
        <v>594987.48</v>
      </c>
      <c r="CT20" s="208">
        <f t="shared" si="80"/>
        <v>51161.880000000005</v>
      </c>
      <c r="CU20" s="209">
        <f t="shared" si="19"/>
        <v>960621.37600000005</v>
      </c>
      <c r="CV20" s="208">
        <f>AGO!S22</f>
        <v>17587.832000000002</v>
      </c>
      <c r="CW20" s="208">
        <f>AGO!T22</f>
        <v>7429.5119999999997</v>
      </c>
      <c r="CX20" s="208">
        <f>AGO!U22</f>
        <v>8461.7520000000004</v>
      </c>
      <c r="CY20" s="208">
        <f>AGO!V22</f>
        <v>2118.559999999999</v>
      </c>
      <c r="CZ20" s="208">
        <f>AGO!W22</f>
        <v>52953.768000000004</v>
      </c>
      <c r="DA20" s="208">
        <f>AGO!X22</f>
        <v>7030.0159999999996</v>
      </c>
      <c r="DB20" s="209">
        <f t="shared" si="20"/>
        <v>95581.440000000002</v>
      </c>
      <c r="DC20" s="208">
        <f t="shared" si="81"/>
        <v>143896.62400000001</v>
      </c>
      <c r="DD20" s="208">
        <f t="shared" si="82"/>
        <v>76400.704000000012</v>
      </c>
      <c r="DE20" s="208">
        <f t="shared" si="83"/>
        <v>121453.89600000001</v>
      </c>
      <c r="DF20" s="208">
        <f t="shared" si="84"/>
        <v>24467.719999999994</v>
      </c>
      <c r="DG20" s="208">
        <f t="shared" si="85"/>
        <v>589972.43999999994</v>
      </c>
      <c r="DH20" s="208">
        <f t="shared" si="86"/>
        <v>67081.40800000001</v>
      </c>
      <c r="DI20" s="209">
        <f t="shared" si="22"/>
        <v>1023272.792</v>
      </c>
      <c r="DJ20" s="208">
        <f>SET!S22</f>
        <v>12298.232000000002</v>
      </c>
      <c r="DK20" s="208">
        <f>SET!T22</f>
        <v>4252.7440000000006</v>
      </c>
      <c r="DL20" s="208">
        <f>SET!U22</f>
        <v>3753.52</v>
      </c>
      <c r="DM20" s="208">
        <f>SET!V22</f>
        <v>835.86400000000003</v>
      </c>
      <c r="DN20" s="208">
        <f>SET!W22</f>
        <v>41823.912000000004</v>
      </c>
      <c r="DO20" s="208">
        <f>SET!X22</f>
        <v>4342.2880000000005</v>
      </c>
      <c r="DP20" s="209">
        <f t="shared" si="23"/>
        <v>67306.560000000012</v>
      </c>
      <c r="DQ20" s="208">
        <f t="shared" si="87"/>
        <v>86720.543999999994</v>
      </c>
      <c r="DR20" s="208">
        <f t="shared" si="88"/>
        <v>48419.736000000004</v>
      </c>
      <c r="DS20" s="208">
        <f t="shared" si="89"/>
        <v>47480.208000000006</v>
      </c>
      <c r="DT20" s="208">
        <f t="shared" si="90"/>
        <v>13042.888000000004</v>
      </c>
      <c r="DU20" s="208">
        <f t="shared" si="91"/>
        <v>553691.76000000013</v>
      </c>
      <c r="DV20" s="208">
        <f t="shared" si="92"/>
        <v>45456.840000000004</v>
      </c>
      <c r="DW20" s="209">
        <f t="shared" si="25"/>
        <v>794811.97600000014</v>
      </c>
      <c r="DX20" s="208">
        <f>OUT!S22</f>
        <v>0</v>
      </c>
      <c r="DY20" s="208">
        <f>OUT!T22</f>
        <v>0</v>
      </c>
      <c r="DZ20" s="208">
        <f>OUT!U22</f>
        <v>0</v>
      </c>
      <c r="EA20" s="208">
        <f>OUT!V22</f>
        <v>0</v>
      </c>
      <c r="EB20" s="208">
        <f>OUT!W22</f>
        <v>0</v>
      </c>
      <c r="EC20" s="208">
        <f>OUT!X22</f>
        <v>0</v>
      </c>
      <c r="ED20" s="209">
        <f t="shared" si="26"/>
        <v>0</v>
      </c>
      <c r="EE20" s="208"/>
      <c r="EF20" s="208"/>
      <c r="EG20" s="208"/>
      <c r="EH20" s="208"/>
      <c r="EI20" s="208"/>
      <c r="EJ20" s="208"/>
      <c r="EK20" s="209">
        <f t="shared" si="27"/>
        <v>0</v>
      </c>
      <c r="EL20" s="208">
        <f>NOV!S22</f>
        <v>0</v>
      </c>
      <c r="EM20" s="208">
        <f>NOV!T22</f>
        <v>0</v>
      </c>
      <c r="EN20" s="208">
        <f>NOV!U22</f>
        <v>0</v>
      </c>
      <c r="EO20" s="208">
        <f>NOV!V22</f>
        <v>0</v>
      </c>
      <c r="EP20" s="208">
        <f>NOV!W22</f>
        <v>0</v>
      </c>
      <c r="EQ20" s="208">
        <f>NOV!X22</f>
        <v>0</v>
      </c>
      <c r="ER20" s="209">
        <f t="shared" si="28"/>
        <v>0</v>
      </c>
      <c r="ES20" s="208"/>
      <c r="ET20" s="208"/>
      <c r="EU20" s="208"/>
      <c r="EV20" s="208"/>
      <c r="EW20" s="208"/>
      <c r="EX20" s="208"/>
      <c r="EY20" s="209">
        <f t="shared" si="29"/>
        <v>0</v>
      </c>
      <c r="EZ20" s="208">
        <f>DEZ!S22</f>
        <v>0</v>
      </c>
      <c r="FA20" s="208">
        <f>DEZ!T22</f>
        <v>0</v>
      </c>
      <c r="FB20" s="208">
        <f>DEZ!U22</f>
        <v>0</v>
      </c>
      <c r="FC20" s="208">
        <f>DEZ!V22</f>
        <v>0</v>
      </c>
      <c r="FD20" s="208">
        <f>DEZ!W22</f>
        <v>0</v>
      </c>
      <c r="FE20" s="208">
        <f>DEZ!X22</f>
        <v>0</v>
      </c>
      <c r="FF20" s="209">
        <f t="shared" si="30"/>
        <v>0</v>
      </c>
      <c r="FG20" s="208"/>
      <c r="FH20" s="208"/>
      <c r="FI20" s="208"/>
      <c r="FJ20" s="208"/>
      <c r="FK20" s="208"/>
      <c r="FL20" s="208"/>
      <c r="FM20" s="207">
        <f t="shared" si="31"/>
        <v>0</v>
      </c>
      <c r="FN20" s="210">
        <f t="shared" si="93"/>
        <v>2340335.5439999998</v>
      </c>
      <c r="FO20" s="518">
        <f t="shared" si="32"/>
        <v>328237.16000000003</v>
      </c>
      <c r="FP20" s="208">
        <f t="shared" si="33"/>
        <v>86609.24</v>
      </c>
      <c r="FQ20" s="208">
        <f t="shared" si="34"/>
        <v>74849.576000000015</v>
      </c>
      <c r="FR20" s="208">
        <f t="shared" si="35"/>
        <v>1816723.8959999999</v>
      </c>
      <c r="FS20" s="208">
        <f t="shared" si="36"/>
        <v>156338.03000000003</v>
      </c>
      <c r="FT20" s="209">
        <f t="shared" si="37"/>
        <v>4803093.4460000005</v>
      </c>
      <c r="FU20" s="208">
        <f t="shared" si="94"/>
        <v>3168447.3600000003</v>
      </c>
      <c r="FV20" s="208">
        <f t="shared" si="38"/>
        <v>749852.04800000007</v>
      </c>
      <c r="FW20" s="208">
        <f t="shared" si="39"/>
        <v>371901.68</v>
      </c>
      <c r="FX20" s="208">
        <f t="shared" si="40"/>
        <v>177562.03200000004</v>
      </c>
      <c r="FY20" s="208">
        <f t="shared" si="41"/>
        <v>4799290.6239999998</v>
      </c>
      <c r="FZ20" s="208">
        <f t="shared" si="42"/>
        <v>417560.14399999985</v>
      </c>
      <c r="GA20" s="207">
        <f t="shared" si="43"/>
        <v>9684613.8879999984</v>
      </c>
      <c r="GB20" s="206">
        <f t="shared" si="95"/>
        <v>-26.136202433232171</v>
      </c>
      <c r="GC20" s="206">
        <f t="shared" si="96"/>
        <v>-56.226410146445318</v>
      </c>
      <c r="GD20" s="206">
        <f t="shared" si="44"/>
        <v>-76.71179113791581</v>
      </c>
      <c r="GE20" s="206">
        <f t="shared" si="45"/>
        <v>-57.845956617572384</v>
      </c>
      <c r="GF20" s="206">
        <f t="shared" si="46"/>
        <v>-62.145991182216846</v>
      </c>
      <c r="GG20" s="206">
        <f t="shared" si="47"/>
        <v>-62.559158902866919</v>
      </c>
      <c r="GH20" s="205">
        <f t="shared" si="97"/>
        <v>-50.404905125320354</v>
      </c>
      <c r="GI20" s="215" t="str">
        <f t="shared" si="98"/>
        <v>menor</v>
      </c>
    </row>
    <row r="21" spans="1:191" s="566" customFormat="1">
      <c r="A21" s="319" t="s">
        <v>95</v>
      </c>
      <c r="B21" s="208">
        <f>VLOOKUP($A$3:$A$29,JAN!$A$5:$B$31,2,)</f>
        <v>747995.91200000001</v>
      </c>
      <c r="C21" s="208">
        <f>VLOOKUP($A$3:$A$29,JAN!$A$5:$C$31,3,)</f>
        <v>92360.152000000002</v>
      </c>
      <c r="D21" s="208">
        <f>VLOOKUP($A$3:$A$29,JAN!$A$5:$D$31,4,)</f>
        <v>36010.576000000001</v>
      </c>
      <c r="E21" s="208">
        <f>VLOOKUP($A$3:$A$29,JAN!$A$5:$E$31,5,)</f>
        <v>20486.864000000001</v>
      </c>
      <c r="F21" s="208">
        <f>VLOOKUP($A$3:$A$29,JAN!$A$5:$X$32,23,)</f>
        <v>365688.16800000001</v>
      </c>
      <c r="G21" s="208">
        <f>VLOOKUP($A$3:$A$29,JAN!$A$5:$X$32,24,)</f>
        <v>39874.312000000005</v>
      </c>
      <c r="H21" s="209">
        <f t="shared" si="0"/>
        <v>1302415.9839999999</v>
      </c>
      <c r="I21" s="208">
        <f t="shared" si="48"/>
        <v>821707.87199999997</v>
      </c>
      <c r="J21" s="208">
        <f t="shared" si="49"/>
        <v>149127.31200000001</v>
      </c>
      <c r="K21" s="208">
        <f t="shared" si="50"/>
        <v>58466.112000000001</v>
      </c>
      <c r="L21" s="208">
        <f t="shared" si="51"/>
        <v>13990.783999999998</v>
      </c>
      <c r="M21" s="208">
        <f t="shared" si="52"/>
        <v>318233.36799999996</v>
      </c>
      <c r="N21" s="208">
        <f t="shared" si="53"/>
        <v>56618.727999999981</v>
      </c>
      <c r="O21" s="209">
        <f t="shared" si="2"/>
        <v>1418144.1759999997</v>
      </c>
      <c r="P21" s="208">
        <f>VLOOKUP($A$3:$A$29,FEV!$A$5:$B$31,2,)</f>
        <v>867383.56799999997</v>
      </c>
      <c r="Q21" s="208">
        <f>VLOOKUP($A$3:$A$29,FEV!$A$5:$C$31,3,)</f>
        <v>97922.192000000185</v>
      </c>
      <c r="R21" s="208">
        <f>VLOOKUP($A$3:$A$29,FEV!$A$5:$D$31,4,)</f>
        <v>37906.800000000003</v>
      </c>
      <c r="S21" s="208">
        <f>VLOOKUP($A$3:$A$29,FEV!$A$5:$E$31,5,)</f>
        <v>23268.800000000003</v>
      </c>
      <c r="T21" s="208">
        <f>VLOOKUP($A$3:$A$29,FEV!$A$5:$X$32,23,)</f>
        <v>455707.87200000009</v>
      </c>
      <c r="U21" s="208">
        <f>VLOOKUP($A$3:$A$29,FEV!$A$5:$X$32,24,)</f>
        <v>44206.44</v>
      </c>
      <c r="V21" s="209">
        <f t="shared" si="54"/>
        <v>1526395.6720000003</v>
      </c>
      <c r="W21" s="208">
        <f t="shared" si="55"/>
        <v>901862.43200000003</v>
      </c>
      <c r="X21" s="208">
        <f t="shared" si="99"/>
        <v>121368.03199999996</v>
      </c>
      <c r="Y21" s="208">
        <f t="shared" si="100"/>
        <v>61243.8</v>
      </c>
      <c r="Z21" s="208">
        <f t="shared" si="101"/>
        <v>14732.48</v>
      </c>
      <c r="AA21" s="208">
        <f t="shared" si="102"/>
        <v>341766.40000000008</v>
      </c>
      <c r="AB21" s="208">
        <f t="shared" si="103"/>
        <v>39552.127999999997</v>
      </c>
      <c r="AC21" s="209">
        <f t="shared" si="4"/>
        <v>1480525.2720000001</v>
      </c>
      <c r="AD21" s="208">
        <f>VLOOKUP($A$3:$A$29,MAR!$A$5:$B$31,2,)</f>
        <v>797805.18400000001</v>
      </c>
      <c r="AE21" s="208">
        <f>VLOOKUP($A$3:$A$29,MAR!$A$5:$C$31,3,)</f>
        <v>104439.77600000001</v>
      </c>
      <c r="AF21" s="208">
        <f>VLOOKUP($A$3:$A$29,MAR!$A$5:$D$31,4,)</f>
        <v>20595.528000000002</v>
      </c>
      <c r="AG21" s="208">
        <f>VLOOKUP($A$3:$A$29,MAR!$A$5:$E$31,5,)</f>
        <v>17732.088</v>
      </c>
      <c r="AH21" s="208">
        <f>VLOOKUP($A$3:$A$29,MAR!$A$5:$X$32,23,)</f>
        <v>526033.82400000002</v>
      </c>
      <c r="AI21" s="208">
        <f>VLOOKUP($A$3:$A$29,MAR!$A$5:$X$32,24,)</f>
        <v>50936</v>
      </c>
      <c r="AJ21" s="209">
        <f t="shared" si="5"/>
        <v>1517542.3999999999</v>
      </c>
      <c r="AK21" s="208">
        <f t="shared" si="56"/>
        <v>539854.22400000005</v>
      </c>
      <c r="AL21" s="208">
        <f t="shared" si="57"/>
        <v>120108.32799999996</v>
      </c>
      <c r="AM21" s="208">
        <f t="shared" si="58"/>
        <v>26426.512000000002</v>
      </c>
      <c r="AN21" s="208">
        <f t="shared" si="59"/>
        <v>11694.144</v>
      </c>
      <c r="AO21" s="208">
        <f t="shared" si="60"/>
        <v>449551.32000000007</v>
      </c>
      <c r="AP21" s="208">
        <f t="shared" si="61"/>
        <v>46573.944000000003</v>
      </c>
      <c r="AQ21" s="209">
        <f t="shared" si="7"/>
        <v>1194208.4719999998</v>
      </c>
      <c r="AR21" s="208">
        <f>ABR!S23</f>
        <v>338587.45600000001</v>
      </c>
      <c r="AS21" s="208">
        <f>ABR!T23</f>
        <v>72213.2</v>
      </c>
      <c r="AT21" s="208">
        <f>ABR!U23</f>
        <v>11487.216</v>
      </c>
      <c r="AU21" s="208">
        <f>ABR!V23</f>
        <v>7708.4720000000007</v>
      </c>
      <c r="AV21" s="208">
        <f>ABR!W23</f>
        <v>459515.54400000005</v>
      </c>
      <c r="AW21" s="208">
        <f>ABR!X23</f>
        <v>30851.512000000002</v>
      </c>
      <c r="AX21" s="209">
        <f t="shared" si="8"/>
        <v>920363.4</v>
      </c>
      <c r="AY21" s="208">
        <f t="shared" si="62"/>
        <v>372523.288</v>
      </c>
      <c r="AZ21" s="208">
        <f t="shared" si="104"/>
        <v>85401.768000000025</v>
      </c>
      <c r="BA21" s="208">
        <f t="shared" si="105"/>
        <v>21913.68</v>
      </c>
      <c r="BB21" s="208">
        <f t="shared" si="106"/>
        <v>8119.3439999999991</v>
      </c>
      <c r="BC21" s="208">
        <f t="shared" si="107"/>
        <v>400262.88000000006</v>
      </c>
      <c r="BD21" s="208">
        <f t="shared" si="108"/>
        <v>41205.048000000003</v>
      </c>
      <c r="BE21" s="209">
        <f t="shared" si="10"/>
        <v>929426.00800000003</v>
      </c>
      <c r="BF21" s="208">
        <f>MAI!S23</f>
        <v>408230.95200000005</v>
      </c>
      <c r="BG21" s="208">
        <f>MAI!T23</f>
        <v>77149.736000000004</v>
      </c>
      <c r="BH21" s="208">
        <f>MAI!U23</f>
        <v>12107.744000000001</v>
      </c>
      <c r="BI21" s="208">
        <f>MAI!V23</f>
        <v>13079.64</v>
      </c>
      <c r="BJ21" s="208">
        <f>MAI!W23</f>
        <v>568926.93599999999</v>
      </c>
      <c r="BK21" s="208">
        <f>MAI!X23</f>
        <v>38524.063999999991</v>
      </c>
      <c r="BL21" s="209">
        <f t="shared" si="11"/>
        <v>1118019.0720000002</v>
      </c>
      <c r="BM21" s="208">
        <f t="shared" si="63"/>
        <v>392400.68</v>
      </c>
      <c r="BN21" s="208">
        <f t="shared" si="64"/>
        <v>107355.592</v>
      </c>
      <c r="BO21" s="208">
        <f t="shared" si="65"/>
        <v>23235.264000000003</v>
      </c>
      <c r="BP21" s="208">
        <f t="shared" si="66"/>
        <v>16299.488000000001</v>
      </c>
      <c r="BQ21" s="208">
        <f t="shared" si="67"/>
        <v>437327.16000000003</v>
      </c>
      <c r="BR21" s="208">
        <f t="shared" si="68"/>
        <v>73360.000000000015</v>
      </c>
      <c r="BS21" s="209">
        <f t="shared" si="13"/>
        <v>1049978.1840000001</v>
      </c>
      <c r="BT21" s="208">
        <f>JUN!S23</f>
        <v>419935.72000000003</v>
      </c>
      <c r="BU21" s="208">
        <f>JUN!T23</f>
        <v>65444.231999999938</v>
      </c>
      <c r="BV21" s="208">
        <f>JUN!U23</f>
        <v>9068.496000000001</v>
      </c>
      <c r="BW21" s="208">
        <f>JUN!V23</f>
        <v>8610.4719999999998</v>
      </c>
      <c r="BX21" s="208">
        <f>JUN!W23</f>
        <v>519790.46399999998</v>
      </c>
      <c r="BY21" s="208">
        <f>JUN!X23</f>
        <v>29934.240000000002</v>
      </c>
      <c r="BZ21" s="209">
        <f t="shared" si="14"/>
        <v>1052783.6240000001</v>
      </c>
      <c r="CA21" s="208">
        <f t="shared" si="69"/>
        <v>450873.64000000007</v>
      </c>
      <c r="CB21" s="208">
        <f t="shared" si="70"/>
        <v>140181.29599999997</v>
      </c>
      <c r="CC21" s="208">
        <f t="shared" si="71"/>
        <v>29256.384000000005</v>
      </c>
      <c r="CD21" s="208">
        <f t="shared" si="72"/>
        <v>24132.175999999999</v>
      </c>
      <c r="CE21" s="208">
        <f t="shared" si="73"/>
        <v>460051.56</v>
      </c>
      <c r="CF21" s="208">
        <f t="shared" si="74"/>
        <v>109252.664</v>
      </c>
      <c r="CG21" s="209">
        <f t="shared" si="16"/>
        <v>1213747.72</v>
      </c>
      <c r="CH21" s="208">
        <f>JUL!S23</f>
        <v>328405.46400000004</v>
      </c>
      <c r="CI21" s="208">
        <f>JUL!T23</f>
        <v>62047.472000000023</v>
      </c>
      <c r="CJ21" s="208">
        <f>JUL!U23</f>
        <v>19166.240000000002</v>
      </c>
      <c r="CK21" s="208">
        <f>JUL!V23</f>
        <v>10655.016000000007</v>
      </c>
      <c r="CL21" s="208">
        <f>JUL!W23</f>
        <v>525077.35200000007</v>
      </c>
      <c r="CM21" s="208">
        <f>JUL!X23</f>
        <v>46441.840000000004</v>
      </c>
      <c r="CN21" s="209">
        <f t="shared" si="17"/>
        <v>991793.38400000008</v>
      </c>
      <c r="CO21" s="208">
        <f t="shared" si="75"/>
        <v>302427.80800000002</v>
      </c>
      <c r="CP21" s="208">
        <f t="shared" si="76"/>
        <v>127580.56799999997</v>
      </c>
      <c r="CQ21" s="208">
        <f t="shared" si="77"/>
        <v>32608.68</v>
      </c>
      <c r="CR21" s="208">
        <f t="shared" si="78"/>
        <v>17640.024000000001</v>
      </c>
      <c r="CS21" s="208">
        <f t="shared" si="79"/>
        <v>478466.16000000009</v>
      </c>
      <c r="CT21" s="208">
        <f t="shared" si="80"/>
        <v>94325.616000000009</v>
      </c>
      <c r="CU21" s="209">
        <f t="shared" si="19"/>
        <v>1053048.8559999999</v>
      </c>
      <c r="CV21" s="208">
        <f>AGO!S23</f>
        <v>164785.20800000001</v>
      </c>
      <c r="CW21" s="208">
        <f>AGO!T23</f>
        <v>67534.263999999966</v>
      </c>
      <c r="CX21" s="208">
        <f>AGO!U23</f>
        <v>78332.36</v>
      </c>
      <c r="CY21" s="208">
        <f>AGO!V23</f>
        <v>14584.496000000008</v>
      </c>
      <c r="CZ21" s="208">
        <f>AGO!W23</f>
        <v>585960.93599999999</v>
      </c>
      <c r="DA21" s="208">
        <f>AGO!X23</f>
        <v>63462.296000000009</v>
      </c>
      <c r="DB21" s="209">
        <f t="shared" si="20"/>
        <v>974659.55999999994</v>
      </c>
      <c r="DC21" s="208">
        <f t="shared" si="81"/>
        <v>180281.53600000002</v>
      </c>
      <c r="DD21" s="208">
        <f t="shared" si="82"/>
        <v>102587.008</v>
      </c>
      <c r="DE21" s="208">
        <f t="shared" si="83"/>
        <v>129693.65600000002</v>
      </c>
      <c r="DF21" s="208">
        <f t="shared" si="84"/>
        <v>22448.983999999997</v>
      </c>
      <c r="DG21" s="208">
        <f t="shared" si="85"/>
        <v>509104.92</v>
      </c>
      <c r="DH21" s="208">
        <f t="shared" si="86"/>
        <v>76079.616000000024</v>
      </c>
      <c r="DI21" s="209">
        <f t="shared" si="22"/>
        <v>1020195.7200000001</v>
      </c>
      <c r="DJ21" s="208">
        <f>SET!S23</f>
        <v>142814.704</v>
      </c>
      <c r="DK21" s="208">
        <f>SET!T23</f>
        <v>56911.304000000004</v>
      </c>
      <c r="DL21" s="208">
        <f>SET!U23</f>
        <v>37508.184000000001</v>
      </c>
      <c r="DM21" s="208">
        <f>SET!V23</f>
        <v>9473.5200000000023</v>
      </c>
      <c r="DN21" s="208">
        <f>SET!W23</f>
        <v>519364.29600000003</v>
      </c>
      <c r="DO21" s="208">
        <f>SET!X23</f>
        <v>59576.680000000008</v>
      </c>
      <c r="DP21" s="209">
        <f t="shared" si="23"/>
        <v>825648.68800000008</v>
      </c>
      <c r="DQ21" s="208">
        <f t="shared" si="87"/>
        <v>143106.05600000001</v>
      </c>
      <c r="DR21" s="208">
        <f t="shared" si="88"/>
        <v>79145.215999999971</v>
      </c>
      <c r="DS21" s="208">
        <f t="shared" si="89"/>
        <v>43990.336000000003</v>
      </c>
      <c r="DT21" s="208">
        <f t="shared" si="90"/>
        <v>18041.008000000002</v>
      </c>
      <c r="DU21" s="208">
        <f t="shared" si="91"/>
        <v>492962.76000000007</v>
      </c>
      <c r="DV21" s="208">
        <f t="shared" si="92"/>
        <v>65979.576000000001</v>
      </c>
      <c r="DW21" s="209">
        <f t="shared" si="25"/>
        <v>843224.95200000016</v>
      </c>
      <c r="DX21" s="208">
        <f>OUT!S23</f>
        <v>0</v>
      </c>
      <c r="DY21" s="208">
        <f>OUT!T23</f>
        <v>0</v>
      </c>
      <c r="DZ21" s="208">
        <f>OUT!U23</f>
        <v>0</v>
      </c>
      <c r="EA21" s="208">
        <f>OUT!V23</f>
        <v>0</v>
      </c>
      <c r="EB21" s="208">
        <f>OUT!W23</f>
        <v>0</v>
      </c>
      <c r="EC21" s="208">
        <f>OUT!X23</f>
        <v>0</v>
      </c>
      <c r="ED21" s="209">
        <f t="shared" si="26"/>
        <v>0</v>
      </c>
      <c r="EE21" s="208"/>
      <c r="EF21" s="208"/>
      <c r="EG21" s="208"/>
      <c r="EH21" s="208"/>
      <c r="EI21" s="208"/>
      <c r="EJ21" s="208"/>
      <c r="EK21" s="209">
        <f t="shared" si="27"/>
        <v>0</v>
      </c>
      <c r="EL21" s="208">
        <f>NOV!S23</f>
        <v>0</v>
      </c>
      <c r="EM21" s="208">
        <f>NOV!T23</f>
        <v>0</v>
      </c>
      <c r="EN21" s="208">
        <f>NOV!U23</f>
        <v>0</v>
      </c>
      <c r="EO21" s="208">
        <f>NOV!V23</f>
        <v>0</v>
      </c>
      <c r="EP21" s="208">
        <f>NOV!W23</f>
        <v>0</v>
      </c>
      <c r="EQ21" s="208">
        <f>NOV!X23</f>
        <v>0</v>
      </c>
      <c r="ER21" s="209">
        <f t="shared" si="28"/>
        <v>0</v>
      </c>
      <c r="ES21" s="208"/>
      <c r="ET21" s="208"/>
      <c r="EU21" s="208"/>
      <c r="EV21" s="208"/>
      <c r="EW21" s="208"/>
      <c r="EX21" s="208"/>
      <c r="EY21" s="209">
        <f t="shared" si="29"/>
        <v>0</v>
      </c>
      <c r="EZ21" s="208">
        <f>DEZ!S23</f>
        <v>0</v>
      </c>
      <c r="FA21" s="208">
        <f>DEZ!T23</f>
        <v>0</v>
      </c>
      <c r="FB21" s="208">
        <f>DEZ!U23</f>
        <v>0</v>
      </c>
      <c r="FC21" s="208">
        <f>DEZ!V23</f>
        <v>0</v>
      </c>
      <c r="FD21" s="208">
        <f>DEZ!W23</f>
        <v>0</v>
      </c>
      <c r="FE21" s="208">
        <f>DEZ!X23</f>
        <v>0</v>
      </c>
      <c r="FF21" s="209">
        <f t="shared" si="30"/>
        <v>0</v>
      </c>
      <c r="FG21" s="208"/>
      <c r="FH21" s="208"/>
      <c r="FI21" s="208"/>
      <c r="FJ21" s="208"/>
      <c r="FK21" s="208"/>
      <c r="FL21" s="208"/>
      <c r="FM21" s="207">
        <f t="shared" si="31"/>
        <v>0</v>
      </c>
      <c r="FN21" s="210">
        <f t="shared" si="93"/>
        <v>4215944.1680000005</v>
      </c>
      <c r="FO21" s="518">
        <f t="shared" si="32"/>
        <v>696022.32800000021</v>
      </c>
      <c r="FP21" s="208">
        <f t="shared" si="33"/>
        <v>262183.14400000003</v>
      </c>
      <c r="FQ21" s="208">
        <f t="shared" si="34"/>
        <v>125599.36800000002</v>
      </c>
      <c r="FR21" s="208">
        <f t="shared" si="35"/>
        <v>4526065.392</v>
      </c>
      <c r="FS21" s="208">
        <f t="shared" si="36"/>
        <v>403807.38400000002</v>
      </c>
      <c r="FT21" s="209">
        <f t="shared" si="37"/>
        <v>10229621.784000002</v>
      </c>
      <c r="FU21" s="208">
        <f t="shared" si="94"/>
        <v>4105037.5360000003</v>
      </c>
      <c r="FV21" s="208">
        <f t="shared" si="38"/>
        <v>1032855.12</v>
      </c>
      <c r="FW21" s="208">
        <f t="shared" si="39"/>
        <v>426834.424</v>
      </c>
      <c r="FX21" s="208">
        <f t="shared" si="40"/>
        <v>147098.432</v>
      </c>
      <c r="FY21" s="208">
        <f t="shared" si="41"/>
        <v>3887726.5280000004</v>
      </c>
      <c r="FZ21" s="208">
        <f t="shared" si="42"/>
        <v>602947.32000000007</v>
      </c>
      <c r="GA21" s="207">
        <f t="shared" si="43"/>
        <v>10202499.360000001</v>
      </c>
      <c r="GB21" s="206">
        <f t="shared" si="95"/>
        <v>2.7017202894585211</v>
      </c>
      <c r="GC21" s="206">
        <f t="shared" si="96"/>
        <v>-32.611814133234844</v>
      </c>
      <c r="GD21" s="206">
        <f t="shared" si="44"/>
        <v>-38.574976792406034</v>
      </c>
      <c r="GE21" s="206">
        <f t="shared" si="45"/>
        <v>-14.615427035959144</v>
      </c>
      <c r="GF21" s="206">
        <f t="shared" si="46"/>
        <v>16.419335552606015</v>
      </c>
      <c r="GG21" s="206">
        <f t="shared" si="47"/>
        <v>-33.027750417731355</v>
      </c>
      <c r="GH21" s="205">
        <f t="shared" si="97"/>
        <v>0.2658409772250252</v>
      </c>
      <c r="GI21" s="215" t="str">
        <f t="shared" si="98"/>
        <v>MAIOR</v>
      </c>
    </row>
    <row r="22" spans="1:191" s="566" customFormat="1">
      <c r="A22" s="319" t="s">
        <v>96</v>
      </c>
      <c r="B22" s="208">
        <f>VLOOKUP($A$3:$A$29,JAN!$A$5:$B$31,2,)</f>
        <v>81070.688000000009</v>
      </c>
      <c r="C22" s="208">
        <f>VLOOKUP($A$3:$A$29,JAN!$A$5:$C$31,3,)</f>
        <v>13076.752000000004</v>
      </c>
      <c r="D22" s="208">
        <f>VLOOKUP($A$3:$A$29,JAN!$A$5:$D$31,4,)</f>
        <v>1704.3200000000002</v>
      </c>
      <c r="E22" s="208">
        <f>VLOOKUP($A$3:$A$29,JAN!$A$5:$E$31,5,)</f>
        <v>1134.9599999999998</v>
      </c>
      <c r="F22" s="208">
        <f>VLOOKUP($A$3:$A$29,JAN!$A$5:$X$32,23,)</f>
        <v>53599.896000000008</v>
      </c>
      <c r="G22" s="208">
        <f>VLOOKUP($A$3:$A$29,JAN!$A$5:$X$32,24,)</f>
        <v>4345.4480000000003</v>
      </c>
      <c r="H22" s="209">
        <f t="shared" si="0"/>
        <v>154932.06400000004</v>
      </c>
      <c r="I22" s="208">
        <f t="shared" si="48"/>
        <v>75585.648000000001</v>
      </c>
      <c r="J22" s="208">
        <f t="shared" si="49"/>
        <v>23055.728000000003</v>
      </c>
      <c r="K22" s="208">
        <f t="shared" si="50"/>
        <v>1667.0560000000003</v>
      </c>
      <c r="L22" s="208">
        <f t="shared" si="51"/>
        <v>1659.4160000000002</v>
      </c>
      <c r="M22" s="208">
        <f t="shared" si="52"/>
        <v>47659.48</v>
      </c>
      <c r="N22" s="208">
        <f t="shared" si="53"/>
        <v>7282.8080000000064</v>
      </c>
      <c r="O22" s="209">
        <f t="shared" si="2"/>
        <v>156910.13600000003</v>
      </c>
      <c r="P22" s="208">
        <f>VLOOKUP($A$3:$A$29,FEV!$A$5:$B$31,2,)</f>
        <v>108622.96799999999</v>
      </c>
      <c r="Q22" s="208">
        <f>VLOOKUP($A$3:$A$29,FEV!$A$5:$C$31,3,)</f>
        <v>21988.11199999999</v>
      </c>
      <c r="R22" s="208">
        <f>VLOOKUP($A$3:$A$29,FEV!$A$5:$D$31,4,)</f>
        <v>1846.3520000000001</v>
      </c>
      <c r="S22" s="208">
        <f>VLOOKUP($A$3:$A$29,FEV!$A$5:$E$31,5,)</f>
        <v>2038.0640000000003</v>
      </c>
      <c r="T22" s="208">
        <f>VLOOKUP($A$3:$A$29,FEV!$A$5:$X$32,23,)</f>
        <v>69561.600000000006</v>
      </c>
      <c r="U22" s="208">
        <f>VLOOKUP($A$3:$A$29,FEV!$A$5:$X$32,24,)</f>
        <v>8004.7439999999997</v>
      </c>
      <c r="V22" s="209">
        <f t="shared" si="54"/>
        <v>212061.84000000003</v>
      </c>
      <c r="W22" s="208">
        <f t="shared" si="55"/>
        <v>105445.296</v>
      </c>
      <c r="X22" s="208">
        <f t="shared" si="99"/>
        <v>23291.831999999999</v>
      </c>
      <c r="Y22" s="208">
        <f t="shared" si="100"/>
        <v>2455.6000000000004</v>
      </c>
      <c r="Z22" s="208">
        <f t="shared" si="101"/>
        <v>3200.4</v>
      </c>
      <c r="AA22" s="208">
        <f t="shared" si="102"/>
        <v>63459.184000000008</v>
      </c>
      <c r="AB22" s="208">
        <f t="shared" si="103"/>
        <v>9814.0319999999992</v>
      </c>
      <c r="AC22" s="209">
        <f t="shared" si="4"/>
        <v>207666.34400000001</v>
      </c>
      <c r="AD22" s="208">
        <f>VLOOKUP($A$3:$A$29,MAR!$A$5:$B$31,2,)</f>
        <v>94694.432000000001</v>
      </c>
      <c r="AE22" s="208">
        <f>VLOOKUP($A$3:$A$29,MAR!$A$5:$C$31,3,)</f>
        <v>22676.648000000001</v>
      </c>
      <c r="AF22" s="208">
        <f>VLOOKUP($A$3:$A$29,MAR!$A$5:$D$31,4,)</f>
        <v>1065.2</v>
      </c>
      <c r="AG22" s="208">
        <f>VLOOKUP($A$3:$A$29,MAR!$A$5:$E$31,5,)</f>
        <v>1899.5919999999999</v>
      </c>
      <c r="AH22" s="208">
        <f>VLOOKUP($A$3:$A$29,MAR!$A$5:$X$32,23,)</f>
        <v>74865.672000000006</v>
      </c>
      <c r="AI22" s="208">
        <f>VLOOKUP($A$3:$A$29,MAR!$A$5:$X$32,24,)</f>
        <v>9372.9680000000008</v>
      </c>
      <c r="AJ22" s="209">
        <f t="shared" si="5"/>
        <v>204574.51199999999</v>
      </c>
      <c r="AK22" s="208">
        <f t="shared" si="56"/>
        <v>90166.536000000007</v>
      </c>
      <c r="AL22" s="208">
        <f t="shared" si="57"/>
        <v>19682.648000000005</v>
      </c>
      <c r="AM22" s="208">
        <f t="shared" si="58"/>
        <v>579.03200000000004</v>
      </c>
      <c r="AN22" s="208">
        <f t="shared" si="59"/>
        <v>691</v>
      </c>
      <c r="AO22" s="208">
        <f t="shared" si="60"/>
        <v>68408.28</v>
      </c>
      <c r="AP22" s="208">
        <f t="shared" si="61"/>
        <v>5930.8</v>
      </c>
      <c r="AQ22" s="209">
        <f t="shared" si="7"/>
        <v>185458.296</v>
      </c>
      <c r="AR22" s="208">
        <f>ABR!S24</f>
        <v>57831.776000000005</v>
      </c>
      <c r="AS22" s="208">
        <f>ABR!T24</f>
        <v>17679.295999999998</v>
      </c>
      <c r="AT22" s="208">
        <f>ABR!U24</f>
        <v>202.89600000000002</v>
      </c>
      <c r="AU22" s="208">
        <f>ABR!V24</f>
        <v>475.01600000000002</v>
      </c>
      <c r="AV22" s="208">
        <f>ABR!W24</f>
        <v>71822.352000000014</v>
      </c>
      <c r="AW22" s="208">
        <f>ABR!X24</f>
        <v>12992.127999999999</v>
      </c>
      <c r="AX22" s="209">
        <f t="shared" si="8"/>
        <v>161003.46400000001</v>
      </c>
      <c r="AY22" s="208">
        <f t="shared" si="62"/>
        <v>67602.808000000005</v>
      </c>
      <c r="AZ22" s="208">
        <f t="shared" si="104"/>
        <v>22109.784000000003</v>
      </c>
      <c r="BA22" s="208">
        <f t="shared" si="105"/>
        <v>1234.248</v>
      </c>
      <c r="BB22" s="208">
        <f t="shared" si="106"/>
        <v>1360.9680000000001</v>
      </c>
      <c r="BC22" s="208">
        <f t="shared" si="107"/>
        <v>68173.200000000012</v>
      </c>
      <c r="BD22" s="208">
        <f t="shared" si="108"/>
        <v>7375.9040000000005</v>
      </c>
      <c r="BE22" s="209">
        <f t="shared" si="10"/>
        <v>167856.91200000004</v>
      </c>
      <c r="BF22" s="208">
        <f>MAI!S24</f>
        <v>72613.824000000008</v>
      </c>
      <c r="BG22" s="208">
        <f>MAI!T24</f>
        <v>14261.536000000002</v>
      </c>
      <c r="BH22" s="208">
        <f>MAI!U24</f>
        <v>852.15200000000004</v>
      </c>
      <c r="BI22" s="208">
        <f>MAI!V24</f>
        <v>937.92800000000011</v>
      </c>
      <c r="BJ22" s="208">
        <f>MAI!W24</f>
        <v>82865.256000000008</v>
      </c>
      <c r="BK22" s="208">
        <f>MAI!X24</f>
        <v>6690.3520000000017</v>
      </c>
      <c r="BL22" s="209">
        <f t="shared" si="11"/>
        <v>178221.04800000004</v>
      </c>
      <c r="BM22" s="208">
        <f t="shared" si="63"/>
        <v>57304.200000000004</v>
      </c>
      <c r="BN22" s="208">
        <f t="shared" si="64"/>
        <v>25294.36</v>
      </c>
      <c r="BO22" s="208">
        <f t="shared" si="65"/>
        <v>102.85599999999999</v>
      </c>
      <c r="BP22" s="208">
        <f t="shared" si="66"/>
        <v>2300.056</v>
      </c>
      <c r="BQ22" s="208">
        <f t="shared" si="67"/>
        <v>65900.759999999995</v>
      </c>
      <c r="BR22" s="208">
        <f t="shared" si="68"/>
        <v>10829.320000000002</v>
      </c>
      <c r="BS22" s="209">
        <f t="shared" si="13"/>
        <v>161731.552</v>
      </c>
      <c r="BT22" s="208">
        <f>JUN!S24</f>
        <v>87603.392000000007</v>
      </c>
      <c r="BU22" s="208">
        <f>JUN!T24</f>
        <v>11886.383999999998</v>
      </c>
      <c r="BV22" s="208">
        <f>JUN!U24</f>
        <v>764.23199999999997</v>
      </c>
      <c r="BW22" s="208">
        <f>JUN!V24</f>
        <v>1436.2240000000002</v>
      </c>
      <c r="BX22" s="208">
        <f>JUN!W24</f>
        <v>76865.567999999999</v>
      </c>
      <c r="BY22" s="208">
        <f>JUN!X24</f>
        <v>6141.0479999999998</v>
      </c>
      <c r="BZ22" s="209">
        <f t="shared" si="14"/>
        <v>184696.84800000003</v>
      </c>
      <c r="CA22" s="208">
        <f t="shared" si="69"/>
        <v>51497.288</v>
      </c>
      <c r="CB22" s="208">
        <f t="shared" si="70"/>
        <v>20748.079999999998</v>
      </c>
      <c r="CC22" s="208">
        <f t="shared" si="71"/>
        <v>1265.5440000000001</v>
      </c>
      <c r="CD22" s="208">
        <f t="shared" si="72"/>
        <v>1013.808</v>
      </c>
      <c r="CE22" s="208">
        <f t="shared" si="73"/>
        <v>70445.640000000014</v>
      </c>
      <c r="CF22" s="208">
        <f t="shared" si="74"/>
        <v>12701.208000000001</v>
      </c>
      <c r="CG22" s="209">
        <f t="shared" si="16"/>
        <v>157671.56800000003</v>
      </c>
      <c r="CH22" s="208">
        <f>JUL!S24</f>
        <v>76831.368000000002</v>
      </c>
      <c r="CI22" s="208">
        <f>JUL!T24</f>
        <v>9397.5919999999933</v>
      </c>
      <c r="CJ22" s="208">
        <f>JUL!U24</f>
        <v>1246.1120000000001</v>
      </c>
      <c r="CK22" s="208">
        <f>JUL!V24</f>
        <v>1613.8720000000001</v>
      </c>
      <c r="CL22" s="208">
        <f>JUL!W24</f>
        <v>75561.288000000015</v>
      </c>
      <c r="CM22" s="208">
        <f>JUL!X24</f>
        <v>12929.655999999999</v>
      </c>
      <c r="CN22" s="209">
        <f t="shared" si="17"/>
        <v>177579.88800000001</v>
      </c>
      <c r="CO22" s="208">
        <f t="shared" si="75"/>
        <v>44635.008000000002</v>
      </c>
      <c r="CP22" s="208">
        <f t="shared" si="76"/>
        <v>23295.520000000004</v>
      </c>
      <c r="CQ22" s="208">
        <f t="shared" si="77"/>
        <v>3718.8</v>
      </c>
      <c r="CR22" s="208">
        <f t="shared" si="78"/>
        <v>316.26399999999995</v>
      </c>
      <c r="CS22" s="208">
        <f t="shared" si="79"/>
        <v>85255.680000000008</v>
      </c>
      <c r="CT22" s="208">
        <f t="shared" si="80"/>
        <v>12291.12</v>
      </c>
      <c r="CU22" s="209">
        <f t="shared" si="19"/>
        <v>169512.39199999999</v>
      </c>
      <c r="CV22" s="208">
        <f>AGO!S24</f>
        <v>20956.800000000003</v>
      </c>
      <c r="CW22" s="208">
        <f>AGO!T24</f>
        <v>11588.807999999997</v>
      </c>
      <c r="CX22" s="208">
        <f>AGO!U24</f>
        <v>6381.0400000000009</v>
      </c>
      <c r="CY22" s="208">
        <f>AGO!V24</f>
        <v>1357.1680000000001</v>
      </c>
      <c r="CZ22" s="208">
        <f>AGO!W24</f>
        <v>83213.064000000013</v>
      </c>
      <c r="DA22" s="208">
        <f>AGO!X24</f>
        <v>10975.632000000001</v>
      </c>
      <c r="DB22" s="209">
        <f t="shared" si="20"/>
        <v>134472.51200000002</v>
      </c>
      <c r="DC22" s="208">
        <f t="shared" si="81"/>
        <v>32192.312000000002</v>
      </c>
      <c r="DD22" s="208">
        <f t="shared" si="82"/>
        <v>17406.440000000002</v>
      </c>
      <c r="DE22" s="208">
        <f t="shared" si="83"/>
        <v>10827.616000000002</v>
      </c>
      <c r="DF22" s="208">
        <f t="shared" si="84"/>
        <v>3626.8320000000008</v>
      </c>
      <c r="DG22" s="208">
        <f t="shared" si="85"/>
        <v>78516.72</v>
      </c>
      <c r="DH22" s="208">
        <f t="shared" si="86"/>
        <v>12047.888000000001</v>
      </c>
      <c r="DI22" s="209">
        <f t="shared" si="22"/>
        <v>154617.80800000002</v>
      </c>
      <c r="DJ22" s="208">
        <f>SET!S24</f>
        <v>12992.584000000001</v>
      </c>
      <c r="DK22" s="208">
        <f>SET!T24</f>
        <v>10501.048000000003</v>
      </c>
      <c r="DL22" s="208">
        <f>SET!U24</f>
        <v>3580.2160000000003</v>
      </c>
      <c r="DM22" s="208">
        <f>SET!V24</f>
        <v>1074.2559999999999</v>
      </c>
      <c r="DN22" s="208">
        <f>SET!W24</f>
        <v>79126.319999999992</v>
      </c>
      <c r="DO22" s="208">
        <f>SET!X24</f>
        <v>8898.2320000000018</v>
      </c>
      <c r="DP22" s="209">
        <f t="shared" si="23"/>
        <v>116172.656</v>
      </c>
      <c r="DQ22" s="208">
        <f t="shared" si="87"/>
        <v>17855.36</v>
      </c>
      <c r="DR22" s="208">
        <f t="shared" si="88"/>
        <v>12600.656000000003</v>
      </c>
      <c r="DS22" s="208">
        <f t="shared" si="89"/>
        <v>2812</v>
      </c>
      <c r="DT22" s="208">
        <f t="shared" si="90"/>
        <v>608.34400000000028</v>
      </c>
      <c r="DU22" s="208">
        <f t="shared" si="91"/>
        <v>76714.44</v>
      </c>
      <c r="DV22" s="208">
        <f t="shared" si="92"/>
        <v>10066.064</v>
      </c>
      <c r="DW22" s="209">
        <f t="shared" si="25"/>
        <v>120656.864</v>
      </c>
      <c r="DX22" s="208">
        <f>OUT!S24</f>
        <v>0</v>
      </c>
      <c r="DY22" s="208">
        <f>OUT!T24</f>
        <v>0</v>
      </c>
      <c r="DZ22" s="208">
        <f>OUT!U24</f>
        <v>0</v>
      </c>
      <c r="EA22" s="208">
        <f>OUT!V24</f>
        <v>0</v>
      </c>
      <c r="EB22" s="208">
        <f>OUT!W24</f>
        <v>0</v>
      </c>
      <c r="EC22" s="208">
        <f>OUT!X24</f>
        <v>0</v>
      </c>
      <c r="ED22" s="209">
        <f t="shared" si="26"/>
        <v>0</v>
      </c>
      <c r="EE22" s="208"/>
      <c r="EF22" s="208"/>
      <c r="EG22" s="208"/>
      <c r="EH22" s="208"/>
      <c r="EI22" s="208"/>
      <c r="EJ22" s="208"/>
      <c r="EK22" s="209">
        <f t="shared" si="27"/>
        <v>0</v>
      </c>
      <c r="EL22" s="208">
        <f>NOV!S24</f>
        <v>0</v>
      </c>
      <c r="EM22" s="208">
        <f>NOV!T24</f>
        <v>0</v>
      </c>
      <c r="EN22" s="208">
        <f>NOV!U24</f>
        <v>0</v>
      </c>
      <c r="EO22" s="208">
        <f>NOV!V24</f>
        <v>0</v>
      </c>
      <c r="EP22" s="208">
        <f>NOV!W24</f>
        <v>0</v>
      </c>
      <c r="EQ22" s="208">
        <f>NOV!X24</f>
        <v>0</v>
      </c>
      <c r="ER22" s="209">
        <f t="shared" si="28"/>
        <v>0</v>
      </c>
      <c r="ES22" s="208"/>
      <c r="ET22" s="208"/>
      <c r="EU22" s="208"/>
      <c r="EV22" s="208"/>
      <c r="EW22" s="208"/>
      <c r="EX22" s="208"/>
      <c r="EY22" s="209">
        <f t="shared" si="29"/>
        <v>0</v>
      </c>
      <c r="EZ22" s="208">
        <f>DEZ!S24</f>
        <v>0</v>
      </c>
      <c r="FA22" s="208">
        <f>DEZ!T24</f>
        <v>0</v>
      </c>
      <c r="FB22" s="208">
        <f>DEZ!U24</f>
        <v>0</v>
      </c>
      <c r="FC22" s="208">
        <f>DEZ!V24</f>
        <v>0</v>
      </c>
      <c r="FD22" s="208">
        <f>DEZ!W24</f>
        <v>0</v>
      </c>
      <c r="FE22" s="208">
        <f>DEZ!X24</f>
        <v>0</v>
      </c>
      <c r="FF22" s="209">
        <f t="shared" si="30"/>
        <v>0</v>
      </c>
      <c r="FG22" s="208"/>
      <c r="FH22" s="208"/>
      <c r="FI22" s="208"/>
      <c r="FJ22" s="208"/>
      <c r="FK22" s="208"/>
      <c r="FL22" s="208"/>
      <c r="FM22" s="207">
        <f t="shared" si="31"/>
        <v>0</v>
      </c>
      <c r="FN22" s="210">
        <f t="shared" si="93"/>
        <v>613217.83200000005</v>
      </c>
      <c r="FO22" s="518">
        <f t="shared" si="32"/>
        <v>133056.17600000001</v>
      </c>
      <c r="FP22" s="208">
        <f t="shared" si="33"/>
        <v>17642.52</v>
      </c>
      <c r="FQ22" s="208">
        <f t="shared" si="34"/>
        <v>11967.079999999998</v>
      </c>
      <c r="FR22" s="208">
        <f t="shared" si="35"/>
        <v>667481.01599999995</v>
      </c>
      <c r="FS22" s="208">
        <f t="shared" si="36"/>
        <v>80350.207999999999</v>
      </c>
      <c r="FT22" s="209">
        <f t="shared" si="37"/>
        <v>1523714.8319999999</v>
      </c>
      <c r="FU22" s="208">
        <f t="shared" si="94"/>
        <v>542284.45600000012</v>
      </c>
      <c r="FV22" s="208">
        <f t="shared" si="38"/>
        <v>187485.04800000001</v>
      </c>
      <c r="FW22" s="208">
        <f t="shared" si="39"/>
        <v>24662.752000000004</v>
      </c>
      <c r="FX22" s="208">
        <f t="shared" si="40"/>
        <v>14777.088000000002</v>
      </c>
      <c r="FY22" s="208">
        <f t="shared" si="41"/>
        <v>624533.38400000008</v>
      </c>
      <c r="FZ22" s="208">
        <f t="shared" si="42"/>
        <v>88339.144</v>
      </c>
      <c r="GA22" s="207">
        <f t="shared" si="43"/>
        <v>1482081.8720000002</v>
      </c>
      <c r="GB22" s="206">
        <f t="shared" si="95"/>
        <v>13.080473765229939</v>
      </c>
      <c r="GC22" s="206">
        <f t="shared" si="96"/>
        <v>-29.031046785128169</v>
      </c>
      <c r="GD22" s="206">
        <f t="shared" si="44"/>
        <v>-28.464917459333023</v>
      </c>
      <c r="GE22" s="206">
        <f t="shared" si="45"/>
        <v>-19.015979332328556</v>
      </c>
      <c r="GF22" s="206">
        <f t="shared" si="46"/>
        <v>6.8767552064118007</v>
      </c>
      <c r="GG22" s="206">
        <f t="shared" si="47"/>
        <v>-9.0434835999769376</v>
      </c>
      <c r="GH22" s="205">
        <f t="shared" si="97"/>
        <v>2.8090863795410996</v>
      </c>
      <c r="GI22" s="215" t="str">
        <f t="shared" si="98"/>
        <v>MAIOR</v>
      </c>
    </row>
    <row r="23" spans="1:191" s="566" customFormat="1">
      <c r="A23" s="319" t="s">
        <v>98</v>
      </c>
      <c r="B23" s="208">
        <f>VLOOKUP($A$3:$A$29,JAN!$A$5:$B$31,2,)</f>
        <v>41901.192000000003</v>
      </c>
      <c r="C23" s="208">
        <f>VLOOKUP($A$3:$A$29,JAN!$A$5:$C$31,3,)</f>
        <v>8707.5120000000024</v>
      </c>
      <c r="D23" s="208">
        <f>VLOOKUP($A$3:$A$29,JAN!$A$5:$D$31,4,)</f>
        <v>1301.9120000000003</v>
      </c>
      <c r="E23" s="208">
        <f>VLOOKUP($A$3:$A$29,JAN!$A$5:$E$31,5,)</f>
        <v>2109.6320000000001</v>
      </c>
      <c r="F23" s="208">
        <f>VLOOKUP($A$3:$A$29,JAN!$A$5:$X$32,23,)</f>
        <v>45495.144</v>
      </c>
      <c r="G23" s="208">
        <f>VLOOKUP($A$3:$A$29,JAN!$A$5:$X$32,24,)</f>
        <v>3074.848</v>
      </c>
      <c r="H23" s="209">
        <f t="shared" si="0"/>
        <v>102590.24</v>
      </c>
      <c r="I23" s="208">
        <f t="shared" si="48"/>
        <v>43784.800000000003</v>
      </c>
      <c r="J23" s="208">
        <f t="shared" si="49"/>
        <v>10486.912</v>
      </c>
      <c r="K23" s="208">
        <f t="shared" si="50"/>
        <v>3852.4879999999998</v>
      </c>
      <c r="L23" s="208">
        <f t="shared" si="51"/>
        <v>875.47200000000021</v>
      </c>
      <c r="M23" s="208">
        <f t="shared" si="52"/>
        <v>42739.088000000003</v>
      </c>
      <c r="N23" s="208">
        <f t="shared" si="53"/>
        <v>4078.4559999999938</v>
      </c>
      <c r="O23" s="209">
        <f t="shared" si="2"/>
        <v>105817.216</v>
      </c>
      <c r="P23" s="208">
        <f>VLOOKUP($A$3:$A$29,FEV!$A$5:$B$31,2,)</f>
        <v>44577.128000000004</v>
      </c>
      <c r="Q23" s="208">
        <f>VLOOKUP($A$3:$A$29,FEV!$A$5:$C$31,3,)</f>
        <v>10929.864000000001</v>
      </c>
      <c r="R23" s="208">
        <f>VLOOKUP($A$3:$A$29,FEV!$A$5:$D$31,4,)</f>
        <v>1673.8880000000001</v>
      </c>
      <c r="S23" s="208">
        <f>VLOOKUP($A$3:$A$29,FEV!$A$5:$E$31,5,)</f>
        <v>3411.5519999999992</v>
      </c>
      <c r="T23" s="208">
        <f>VLOOKUP($A$3:$A$29,FEV!$A$5:$X$32,23,)</f>
        <v>56431.847999999998</v>
      </c>
      <c r="U23" s="208">
        <f>VLOOKUP($A$3:$A$29,FEV!$A$5:$X$32,24,)</f>
        <v>5115.0640000000003</v>
      </c>
      <c r="V23" s="209">
        <f t="shared" si="54"/>
        <v>122139.344</v>
      </c>
      <c r="W23" s="208">
        <f t="shared" si="55"/>
        <v>40852.920000000006</v>
      </c>
      <c r="X23" s="208">
        <f t="shared" si="99"/>
        <v>9113.7359999999953</v>
      </c>
      <c r="Y23" s="208">
        <f t="shared" si="100"/>
        <v>1517.48</v>
      </c>
      <c r="Z23" s="208">
        <f t="shared" si="101"/>
        <v>1942.248</v>
      </c>
      <c r="AA23" s="208">
        <f t="shared" si="102"/>
        <v>58617.351999999999</v>
      </c>
      <c r="AB23" s="208">
        <f t="shared" si="103"/>
        <v>2568.2640000000006</v>
      </c>
      <c r="AC23" s="209">
        <f t="shared" si="4"/>
        <v>114612</v>
      </c>
      <c r="AD23" s="208">
        <f>VLOOKUP($A$3:$A$29,MAR!$A$5:$B$31,2,)</f>
        <v>51722.112000000001</v>
      </c>
      <c r="AE23" s="208">
        <f>VLOOKUP($A$3:$A$29,MAR!$A$5:$C$31,3,)</f>
        <v>10167.608</v>
      </c>
      <c r="AF23" s="208">
        <f>VLOOKUP($A$3:$A$29,MAR!$A$5:$D$31,4,)</f>
        <v>561.34399999999994</v>
      </c>
      <c r="AG23" s="208">
        <f>VLOOKUP($A$3:$A$29,MAR!$A$5:$E$31,5,)</f>
        <v>2007.9360000000001</v>
      </c>
      <c r="AH23" s="208">
        <f>VLOOKUP($A$3:$A$29,MAR!$A$5:$X$32,23,)</f>
        <v>72865.775999999998</v>
      </c>
      <c r="AI23" s="208">
        <f>VLOOKUP($A$3:$A$29,MAR!$A$5:$X$32,24,)</f>
        <v>5009.0879999999997</v>
      </c>
      <c r="AJ23" s="209">
        <f t="shared" si="5"/>
        <v>142333.864</v>
      </c>
      <c r="AK23" s="208">
        <f t="shared" si="56"/>
        <v>41153.928000000007</v>
      </c>
      <c r="AL23" s="208">
        <f t="shared" si="57"/>
        <v>13920.359999999999</v>
      </c>
      <c r="AM23" s="208">
        <f t="shared" si="58"/>
        <v>2236.5840000000003</v>
      </c>
      <c r="AN23" s="208">
        <f t="shared" si="59"/>
        <v>1873.0560000000003</v>
      </c>
      <c r="AO23" s="208">
        <f t="shared" si="60"/>
        <v>71307.600000000006</v>
      </c>
      <c r="AP23" s="208">
        <f t="shared" si="61"/>
        <v>3644.9760000000001</v>
      </c>
      <c r="AQ23" s="209">
        <f t="shared" si="7"/>
        <v>134136.50400000002</v>
      </c>
      <c r="AR23" s="208">
        <f>ABR!S25</f>
        <v>349032.26400000002</v>
      </c>
      <c r="AS23" s="208">
        <f>ABR!T25</f>
        <v>81205</v>
      </c>
      <c r="AT23" s="208">
        <f>ABR!U25</f>
        <v>9877.4720000000016</v>
      </c>
      <c r="AU23" s="208">
        <f>ABR!V25</f>
        <v>17939.935999999998</v>
      </c>
      <c r="AV23" s="208">
        <f>ABR!W25</f>
        <v>668660.88000000012</v>
      </c>
      <c r="AW23" s="208">
        <f>ABR!X25</f>
        <v>40458.864000000001</v>
      </c>
      <c r="AX23" s="209">
        <f t="shared" si="8"/>
        <v>1167174.4160000002</v>
      </c>
      <c r="AY23" s="208">
        <f t="shared" si="62"/>
        <v>31076.920000000002</v>
      </c>
      <c r="AZ23" s="208">
        <f t="shared" si="104"/>
        <v>8721.2239999999983</v>
      </c>
      <c r="BA23" s="208">
        <f t="shared" si="105"/>
        <v>563.79200000000003</v>
      </c>
      <c r="BB23" s="208">
        <f t="shared" si="106"/>
        <v>539.66399999999999</v>
      </c>
      <c r="BC23" s="208">
        <f t="shared" si="107"/>
        <v>68486.64</v>
      </c>
      <c r="BD23" s="208">
        <f t="shared" si="108"/>
        <v>3102.2400000000002</v>
      </c>
      <c r="BE23" s="209">
        <f t="shared" si="10"/>
        <v>112490.48</v>
      </c>
      <c r="BF23" s="208">
        <f>MAI!S25</f>
        <v>453470.88</v>
      </c>
      <c r="BG23" s="208">
        <f>MAI!T25</f>
        <v>102612.984</v>
      </c>
      <c r="BH23" s="208">
        <f>MAI!U25</f>
        <v>12020.928</v>
      </c>
      <c r="BI23" s="208">
        <f>MAI!V25</f>
        <v>20886.192000000003</v>
      </c>
      <c r="BJ23" s="208">
        <f>MAI!W25</f>
        <v>764742.84</v>
      </c>
      <c r="BK23" s="208">
        <f>MAI!X25</f>
        <v>53201.104000000007</v>
      </c>
      <c r="BL23" s="209">
        <f t="shared" si="11"/>
        <v>1406934.9280000001</v>
      </c>
      <c r="BM23" s="208">
        <f t="shared" si="63"/>
        <v>27007.144</v>
      </c>
      <c r="BN23" s="208">
        <f t="shared" si="64"/>
        <v>7700.8799999999992</v>
      </c>
      <c r="BO23" s="208">
        <f t="shared" si="65"/>
        <v>788.55200000000013</v>
      </c>
      <c r="BP23" s="208">
        <f t="shared" si="66"/>
        <v>2581.4240000000004</v>
      </c>
      <c r="BQ23" s="208">
        <f t="shared" si="67"/>
        <v>65195.520000000004</v>
      </c>
      <c r="BR23" s="208">
        <f t="shared" si="68"/>
        <v>4438.3919999999998</v>
      </c>
      <c r="BS23" s="209">
        <f t="shared" si="13"/>
        <v>107711.91200000001</v>
      </c>
      <c r="BT23" s="208">
        <f>JUN!S25</f>
        <v>524358.70400000003</v>
      </c>
      <c r="BU23" s="208">
        <f>JUN!T25</f>
        <v>99332.463999999978</v>
      </c>
      <c r="BV23" s="208">
        <f>JUN!U25</f>
        <v>11502.400000000001</v>
      </c>
      <c r="BW23" s="208">
        <f>JUN!V25</f>
        <v>12524.903999999999</v>
      </c>
      <c r="BX23" s="208">
        <f>JUN!W25</f>
        <v>720484.27200000011</v>
      </c>
      <c r="BY23" s="208">
        <f>JUN!X25</f>
        <v>50202.960000000006</v>
      </c>
      <c r="BZ23" s="209">
        <f t="shared" si="14"/>
        <v>1418405.7040000001</v>
      </c>
      <c r="CA23" s="208">
        <f t="shared" si="69"/>
        <v>27237.808000000005</v>
      </c>
      <c r="CB23" s="208">
        <f t="shared" si="70"/>
        <v>6237.0559999999987</v>
      </c>
      <c r="CC23" s="208">
        <f t="shared" si="71"/>
        <v>2451.9760000000001</v>
      </c>
      <c r="CD23" s="208">
        <f t="shared" si="72"/>
        <v>539.41600000000005</v>
      </c>
      <c r="CE23" s="208">
        <f t="shared" si="73"/>
        <v>72247.92</v>
      </c>
      <c r="CF23" s="208">
        <f t="shared" si="74"/>
        <v>4357.808</v>
      </c>
      <c r="CG23" s="209">
        <f t="shared" si="16"/>
        <v>113071.98400000001</v>
      </c>
      <c r="CH23" s="208">
        <f>JUL!S25</f>
        <v>404428.78399999999</v>
      </c>
      <c r="CI23" s="208">
        <f>JUL!T25</f>
        <v>79734.904000000097</v>
      </c>
      <c r="CJ23" s="208">
        <f>JUL!U25</f>
        <v>27116.208000000002</v>
      </c>
      <c r="CK23" s="208">
        <f>JUL!V25</f>
        <v>15989.368</v>
      </c>
      <c r="CL23" s="208">
        <f>JUL!W25</f>
        <v>721266.84000000008</v>
      </c>
      <c r="CM23" s="208">
        <f>JUL!X25</f>
        <v>61667.92</v>
      </c>
      <c r="CN23" s="209">
        <f t="shared" si="17"/>
        <v>1310204.0240000002</v>
      </c>
      <c r="CO23" s="208">
        <f t="shared" si="75"/>
        <v>20760.608</v>
      </c>
      <c r="CP23" s="208">
        <f t="shared" si="76"/>
        <v>5478.9360000000015</v>
      </c>
      <c r="CQ23" s="208">
        <f t="shared" si="77"/>
        <v>857.11200000000008</v>
      </c>
      <c r="CR23" s="208">
        <f t="shared" si="78"/>
        <v>1134.7440000000001</v>
      </c>
      <c r="CS23" s="208">
        <f t="shared" si="79"/>
        <v>79613.760000000009</v>
      </c>
      <c r="CT23" s="208">
        <f t="shared" si="80"/>
        <v>5143.8240000000005</v>
      </c>
      <c r="CU23" s="209">
        <f t="shared" si="19"/>
        <v>112988.984</v>
      </c>
      <c r="CV23" s="208">
        <f>AGO!S25</f>
        <v>128019.16800000001</v>
      </c>
      <c r="CW23" s="208">
        <f>AGO!T25</f>
        <v>85678.391999999978</v>
      </c>
      <c r="CX23" s="208">
        <f>AGO!U25</f>
        <v>123189.72</v>
      </c>
      <c r="CY23" s="208">
        <f>AGO!V25</f>
        <v>14353.056000000006</v>
      </c>
      <c r="CZ23" s="208">
        <f>AGO!W25</f>
        <v>817348.8</v>
      </c>
      <c r="DA23" s="208">
        <f>AGO!X25</f>
        <v>67354.416000000012</v>
      </c>
      <c r="DB23" s="209">
        <f t="shared" si="20"/>
        <v>1235943.5519999999</v>
      </c>
      <c r="DC23" s="208">
        <f t="shared" si="81"/>
        <v>15660.856</v>
      </c>
      <c r="DD23" s="208">
        <f t="shared" si="82"/>
        <v>8042.6800000000021</v>
      </c>
      <c r="DE23" s="208">
        <f t="shared" si="83"/>
        <v>5533.7920000000004</v>
      </c>
      <c r="DF23" s="208">
        <f t="shared" si="84"/>
        <v>1675.4080000000004</v>
      </c>
      <c r="DG23" s="208">
        <f t="shared" si="85"/>
        <v>71699.399999999994</v>
      </c>
      <c r="DH23" s="208">
        <f t="shared" si="86"/>
        <v>5710.152</v>
      </c>
      <c r="DI23" s="209">
        <f t="shared" si="22"/>
        <v>108322.288</v>
      </c>
      <c r="DJ23" s="208">
        <f>SET!S25</f>
        <v>88909.256000000008</v>
      </c>
      <c r="DK23" s="208">
        <f>SET!T25</f>
        <v>81375.695999999996</v>
      </c>
      <c r="DL23" s="208">
        <f>SET!U25</f>
        <v>41676.880000000005</v>
      </c>
      <c r="DM23" s="208">
        <f>SET!V25</f>
        <v>10738.72800000001</v>
      </c>
      <c r="DN23" s="208">
        <f>SET!W25</f>
        <v>736918.20000000007</v>
      </c>
      <c r="DO23" s="208">
        <f>SET!X25</f>
        <v>62744.600000000006</v>
      </c>
      <c r="DP23" s="209">
        <f t="shared" si="23"/>
        <v>1022363.36</v>
      </c>
      <c r="DQ23" s="208">
        <f t="shared" si="87"/>
        <v>11625.408000000001</v>
      </c>
      <c r="DR23" s="208">
        <f t="shared" si="88"/>
        <v>4141.6160000000009</v>
      </c>
      <c r="DS23" s="208">
        <f t="shared" si="89"/>
        <v>1686.296</v>
      </c>
      <c r="DT23" s="208">
        <f t="shared" si="90"/>
        <v>234.65600000000015</v>
      </c>
      <c r="DU23" s="208">
        <f t="shared" si="91"/>
        <v>75930.84</v>
      </c>
      <c r="DV23" s="208">
        <f t="shared" si="92"/>
        <v>3662.328</v>
      </c>
      <c r="DW23" s="209">
        <f t="shared" si="25"/>
        <v>97281.143999999986</v>
      </c>
      <c r="DX23" s="208">
        <f>OUT!S25</f>
        <v>0</v>
      </c>
      <c r="DY23" s="208">
        <f>OUT!T25</f>
        <v>0</v>
      </c>
      <c r="DZ23" s="208">
        <f>OUT!U25</f>
        <v>0</v>
      </c>
      <c r="EA23" s="208">
        <f>OUT!V25</f>
        <v>0</v>
      </c>
      <c r="EB23" s="208">
        <f>OUT!W25</f>
        <v>0</v>
      </c>
      <c r="EC23" s="208">
        <f>OUT!X25</f>
        <v>0</v>
      </c>
      <c r="ED23" s="209">
        <f t="shared" si="26"/>
        <v>0</v>
      </c>
      <c r="EE23" s="208"/>
      <c r="EF23" s="208"/>
      <c r="EG23" s="208"/>
      <c r="EH23" s="208"/>
      <c r="EI23" s="208"/>
      <c r="EJ23" s="208"/>
      <c r="EK23" s="209">
        <f t="shared" si="27"/>
        <v>0</v>
      </c>
      <c r="EL23" s="208">
        <f>NOV!S25</f>
        <v>0</v>
      </c>
      <c r="EM23" s="208">
        <f>NOV!T25</f>
        <v>0</v>
      </c>
      <c r="EN23" s="208">
        <f>NOV!U25</f>
        <v>0</v>
      </c>
      <c r="EO23" s="208">
        <f>NOV!V25</f>
        <v>0</v>
      </c>
      <c r="EP23" s="208">
        <f>NOV!W25</f>
        <v>0</v>
      </c>
      <c r="EQ23" s="208">
        <f>NOV!X25</f>
        <v>0</v>
      </c>
      <c r="ER23" s="209">
        <f t="shared" si="28"/>
        <v>0</v>
      </c>
      <c r="ES23" s="208"/>
      <c r="ET23" s="208"/>
      <c r="EU23" s="208"/>
      <c r="EV23" s="208"/>
      <c r="EW23" s="208"/>
      <c r="EX23" s="208"/>
      <c r="EY23" s="209">
        <f t="shared" si="29"/>
        <v>0</v>
      </c>
      <c r="EZ23" s="208">
        <f>DEZ!S25</f>
        <v>0</v>
      </c>
      <c r="FA23" s="208">
        <f>DEZ!T25</f>
        <v>0</v>
      </c>
      <c r="FB23" s="208">
        <f>DEZ!U25</f>
        <v>0</v>
      </c>
      <c r="FC23" s="208">
        <f>DEZ!V25</f>
        <v>0</v>
      </c>
      <c r="FD23" s="208">
        <f>DEZ!W25</f>
        <v>0</v>
      </c>
      <c r="FE23" s="208">
        <f>DEZ!X25</f>
        <v>0</v>
      </c>
      <c r="FF23" s="209">
        <f t="shared" si="30"/>
        <v>0</v>
      </c>
      <c r="FG23" s="208"/>
      <c r="FH23" s="208"/>
      <c r="FI23" s="208"/>
      <c r="FJ23" s="208"/>
      <c r="FK23" s="208"/>
      <c r="FL23" s="208"/>
      <c r="FM23" s="207">
        <f t="shared" si="31"/>
        <v>0</v>
      </c>
      <c r="FN23" s="210">
        <f t="shared" si="93"/>
        <v>2086419.4880000001</v>
      </c>
      <c r="FO23" s="518">
        <f t="shared" si="32"/>
        <v>559744.42400000012</v>
      </c>
      <c r="FP23" s="208">
        <f t="shared" si="33"/>
        <v>228920.75200000001</v>
      </c>
      <c r="FQ23" s="208">
        <f t="shared" si="34"/>
        <v>99961.304000000033</v>
      </c>
      <c r="FR23" s="208">
        <f t="shared" si="35"/>
        <v>4604214.5999999996</v>
      </c>
      <c r="FS23" s="208">
        <f t="shared" si="36"/>
        <v>348828.86400000006</v>
      </c>
      <c r="FT23" s="209">
        <f t="shared" si="37"/>
        <v>7928089.432</v>
      </c>
      <c r="FU23" s="208">
        <f t="shared" si="94"/>
        <v>259160.39200000002</v>
      </c>
      <c r="FV23" s="208">
        <f t="shared" si="38"/>
        <v>73843.39999999998</v>
      </c>
      <c r="FW23" s="208">
        <f t="shared" si="39"/>
        <v>19488.072</v>
      </c>
      <c r="FX23" s="208">
        <f t="shared" si="40"/>
        <v>11396.088000000002</v>
      </c>
      <c r="FY23" s="208">
        <f t="shared" si="41"/>
        <v>605838.12</v>
      </c>
      <c r="FZ23" s="208">
        <f t="shared" si="42"/>
        <v>36706.439999999995</v>
      </c>
      <c r="GA23" s="207">
        <f t="shared" si="43"/>
        <v>1006432.5119999999</v>
      </c>
      <c r="GB23" s="206">
        <f t="shared" si="95"/>
        <v>705.06881159525335</v>
      </c>
      <c r="GC23" s="206">
        <f t="shared" si="96"/>
        <v>658.01550849500461</v>
      </c>
      <c r="GD23" s="206">
        <f t="shared" si="44"/>
        <v>1074.671111642034</v>
      </c>
      <c r="GE23" s="206">
        <f t="shared" si="45"/>
        <v>777.15454636713946</v>
      </c>
      <c r="GF23" s="206">
        <f t="shared" si="46"/>
        <v>659.97439712113191</v>
      </c>
      <c r="GG23" s="206">
        <f t="shared" si="47"/>
        <v>850.32060859075443</v>
      </c>
      <c r="GH23" s="205">
        <f t="shared" si="97"/>
        <v>687.7417847169072</v>
      </c>
      <c r="GI23" s="215" t="str">
        <f t="shared" si="98"/>
        <v>MAIOR</v>
      </c>
    </row>
    <row r="24" spans="1:191" s="566" customFormat="1">
      <c r="A24" s="319" t="s">
        <v>99</v>
      </c>
      <c r="B24" s="208">
        <f>VLOOKUP($A$3:$A$29,JAN!$A$5:$B$31,2,)</f>
        <v>10118.168</v>
      </c>
      <c r="C24" s="208">
        <f>VLOOKUP($A$3:$A$29,JAN!$A$5:$C$31,3,)</f>
        <v>779.41600000000039</v>
      </c>
      <c r="D24" s="208">
        <f>VLOOKUP($A$3:$A$29,JAN!$A$5:$D$31,4,)</f>
        <v>628.97600000000011</v>
      </c>
      <c r="E24" s="208">
        <f>VLOOKUP($A$3:$A$29,JAN!$A$5:$E$31,5,)</f>
        <v>120.37600000000003</v>
      </c>
      <c r="F24" s="208">
        <f>VLOOKUP($A$3:$A$29,JAN!$A$5:$X$32,23,)</f>
        <v>10739.088</v>
      </c>
      <c r="G24" s="208">
        <f>VLOOKUP($A$3:$A$29,JAN!$A$5:$X$32,24,)</f>
        <v>231.648</v>
      </c>
      <c r="H24" s="209">
        <f t="shared" si="0"/>
        <v>22617.672000000002</v>
      </c>
      <c r="I24" s="208">
        <f t="shared" si="48"/>
        <v>4284.5440000000008</v>
      </c>
      <c r="J24" s="208">
        <f t="shared" si="49"/>
        <v>1127.4000000000001</v>
      </c>
      <c r="K24" s="208">
        <f t="shared" si="50"/>
        <v>865.61599999999999</v>
      </c>
      <c r="L24" s="208">
        <f t="shared" si="51"/>
        <v>0</v>
      </c>
      <c r="M24" s="208">
        <f t="shared" si="52"/>
        <v>5908.5840000000007</v>
      </c>
      <c r="N24" s="208">
        <f t="shared" si="53"/>
        <v>136.12</v>
      </c>
      <c r="O24" s="209">
        <f t="shared" si="2"/>
        <v>12322.264000000003</v>
      </c>
      <c r="P24" s="208">
        <f>VLOOKUP($A$3:$A$29,FEV!$A$5:$B$31,2,)</f>
        <v>11839.824000000001</v>
      </c>
      <c r="Q24" s="208">
        <f>VLOOKUP($A$3:$A$29,FEV!$A$5:$C$31,3,)</f>
        <v>4241.9999999999991</v>
      </c>
      <c r="R24" s="208">
        <f>VLOOKUP($A$3:$A$29,FEV!$A$5:$D$31,4,)</f>
        <v>439.608</v>
      </c>
      <c r="S24" s="208">
        <f>VLOOKUP($A$3:$A$29,FEV!$A$5:$E$31,5,)</f>
        <v>678.072</v>
      </c>
      <c r="T24" s="208">
        <f>VLOOKUP($A$3:$A$29,FEV!$A$5:$X$32,23,)</f>
        <v>13303.656000000001</v>
      </c>
      <c r="U24" s="208">
        <f>VLOOKUP($A$3:$A$29,FEV!$A$5:$X$32,24,)</f>
        <v>1442.2720000000002</v>
      </c>
      <c r="V24" s="209">
        <f t="shared" si="54"/>
        <v>31945.432000000004</v>
      </c>
      <c r="W24" s="208">
        <f t="shared" si="55"/>
        <v>10360.888000000001</v>
      </c>
      <c r="X24" s="208">
        <f t="shared" si="99"/>
        <v>2038.8159999999989</v>
      </c>
      <c r="Y24" s="208">
        <f t="shared" si="100"/>
        <v>0</v>
      </c>
      <c r="Z24" s="208">
        <f t="shared" si="101"/>
        <v>114.85599999999999</v>
      </c>
      <c r="AA24" s="208">
        <f t="shared" si="102"/>
        <v>10343.520000000002</v>
      </c>
      <c r="AB24" s="208">
        <f t="shared" si="103"/>
        <v>783.97600000000011</v>
      </c>
      <c r="AC24" s="209">
        <f t="shared" si="4"/>
        <v>23642.056</v>
      </c>
      <c r="AD24" s="208">
        <f>VLOOKUP($A$3:$A$29,MAR!$A$5:$B$31,2,)</f>
        <v>8702.5360000000001</v>
      </c>
      <c r="AE24" s="208">
        <f>VLOOKUP($A$3:$A$29,MAR!$A$5:$C$31,3,)</f>
        <v>2528.1360000000004</v>
      </c>
      <c r="AF24" s="208">
        <f>VLOOKUP($A$3:$A$29,MAR!$A$5:$D$31,4,)</f>
        <v>223.18400000000003</v>
      </c>
      <c r="AG24" s="208">
        <f>VLOOKUP($A$3:$A$29,MAR!$A$5:$E$31,5,)</f>
        <v>950.84799999999996</v>
      </c>
      <c r="AH24" s="208">
        <f>VLOOKUP($A$3:$A$29,MAR!$A$5:$X$32,23,)</f>
        <v>12694.992000000002</v>
      </c>
      <c r="AI24" s="208">
        <f>VLOOKUP($A$3:$A$29,MAR!$A$5:$X$32,24,)</f>
        <v>987.05600000000015</v>
      </c>
      <c r="AJ24" s="209">
        <f t="shared" si="5"/>
        <v>26086.752000000004</v>
      </c>
      <c r="AK24" s="208">
        <f t="shared" si="56"/>
        <v>8021</v>
      </c>
      <c r="AL24" s="208">
        <f t="shared" si="57"/>
        <v>1779.0080000000003</v>
      </c>
      <c r="AM24" s="208">
        <f t="shared" si="58"/>
        <v>2328.4320000000002</v>
      </c>
      <c r="AN24" s="208">
        <f t="shared" si="59"/>
        <v>0</v>
      </c>
      <c r="AO24" s="208">
        <f t="shared" si="60"/>
        <v>12459.240000000002</v>
      </c>
      <c r="AP24" s="208">
        <f t="shared" si="61"/>
        <v>447.99200000000008</v>
      </c>
      <c r="AQ24" s="209">
        <f t="shared" si="7"/>
        <v>25035.671999999999</v>
      </c>
      <c r="AR24" s="208">
        <f>ABR!S26</f>
        <v>28183.608000000004</v>
      </c>
      <c r="AS24" s="208">
        <f>ABR!T26</f>
        <v>15040.512000000001</v>
      </c>
      <c r="AT24" s="208">
        <f>ABR!U26</f>
        <v>557.95200000000011</v>
      </c>
      <c r="AU24" s="208">
        <f>ABR!V26</f>
        <v>1973.9840000000002</v>
      </c>
      <c r="AV24" s="208">
        <f>ABR!W26</f>
        <v>71561.495999999999</v>
      </c>
      <c r="AW24" s="208">
        <f>ABR!X26</f>
        <v>5177.4559999999992</v>
      </c>
      <c r="AX24" s="209">
        <f t="shared" si="8"/>
        <v>122495.008</v>
      </c>
      <c r="AY24" s="208">
        <f t="shared" si="62"/>
        <v>7452.7440000000006</v>
      </c>
      <c r="AZ24" s="208">
        <f t="shared" si="104"/>
        <v>2021.192</v>
      </c>
      <c r="BA24" s="208">
        <f t="shared" si="105"/>
        <v>41.144000000000005</v>
      </c>
      <c r="BB24" s="208">
        <f t="shared" si="106"/>
        <v>0</v>
      </c>
      <c r="BC24" s="208">
        <f t="shared" si="107"/>
        <v>7365.84</v>
      </c>
      <c r="BD24" s="208">
        <f t="shared" si="108"/>
        <v>547.56000000000006</v>
      </c>
      <c r="BE24" s="209">
        <f t="shared" si="10"/>
        <v>17428.480000000003</v>
      </c>
      <c r="BF24" s="208">
        <f>MAI!S26</f>
        <v>34653.408000000003</v>
      </c>
      <c r="BG24" s="208">
        <f>MAI!T26</f>
        <v>11613.936</v>
      </c>
      <c r="BH24" s="208">
        <f>MAI!U26</f>
        <v>405.79200000000003</v>
      </c>
      <c r="BI24" s="208">
        <f>MAI!V26</f>
        <v>2155.248</v>
      </c>
      <c r="BJ24" s="208">
        <f>MAI!W26</f>
        <v>85908.576000000001</v>
      </c>
      <c r="BK24" s="208">
        <f>MAI!X26</f>
        <v>4858.384</v>
      </c>
      <c r="BL24" s="209">
        <f t="shared" si="11"/>
        <v>139595.34400000001</v>
      </c>
      <c r="BM24" s="208">
        <f t="shared" si="63"/>
        <v>4646.2240000000002</v>
      </c>
      <c r="BN24" s="208">
        <f t="shared" si="64"/>
        <v>1453.3200000000006</v>
      </c>
      <c r="BO24" s="208">
        <f t="shared" si="65"/>
        <v>0</v>
      </c>
      <c r="BP24" s="208">
        <f t="shared" si="66"/>
        <v>0</v>
      </c>
      <c r="BQ24" s="208">
        <f t="shared" si="67"/>
        <v>10735.32</v>
      </c>
      <c r="BR24" s="208">
        <f t="shared" si="68"/>
        <v>675.39200000000005</v>
      </c>
      <c r="BS24" s="209">
        <f t="shared" si="13"/>
        <v>17510.256000000001</v>
      </c>
      <c r="BT24" s="208">
        <f>JUN!S26</f>
        <v>34687.128000000004</v>
      </c>
      <c r="BU24" s="208">
        <f>JUN!T26</f>
        <v>5634.0479999999989</v>
      </c>
      <c r="BV24" s="208">
        <f>JUN!U26</f>
        <v>1727.992</v>
      </c>
      <c r="BW24" s="208">
        <f>JUN!V26</f>
        <v>2814.9120000000003</v>
      </c>
      <c r="BX24" s="208">
        <f>JUN!W26</f>
        <v>73474.44</v>
      </c>
      <c r="BY24" s="208">
        <f>JUN!X26</f>
        <v>3001.3760000000002</v>
      </c>
      <c r="BZ24" s="209">
        <f t="shared" si="14"/>
        <v>121339.89600000001</v>
      </c>
      <c r="CA24" s="208">
        <f t="shared" si="69"/>
        <v>4584.4720000000007</v>
      </c>
      <c r="CB24" s="208">
        <f t="shared" si="70"/>
        <v>1162.6080000000002</v>
      </c>
      <c r="CC24" s="208">
        <f t="shared" si="71"/>
        <v>0</v>
      </c>
      <c r="CD24" s="208">
        <f t="shared" si="72"/>
        <v>128.44800000000001</v>
      </c>
      <c r="CE24" s="208">
        <f t="shared" si="73"/>
        <v>8854.68</v>
      </c>
      <c r="CF24" s="208">
        <f t="shared" si="74"/>
        <v>1163.2720000000002</v>
      </c>
      <c r="CG24" s="209">
        <f t="shared" si="16"/>
        <v>15893.480000000003</v>
      </c>
      <c r="CH24" s="208">
        <f>JUL!S26</f>
        <v>28630.832000000002</v>
      </c>
      <c r="CI24" s="208">
        <f>JUL!T26</f>
        <v>5106.2880000000005</v>
      </c>
      <c r="CJ24" s="208">
        <f>JUL!U26</f>
        <v>2341.752</v>
      </c>
      <c r="CK24" s="208">
        <f>JUL!V26</f>
        <v>2167.88</v>
      </c>
      <c r="CL24" s="208">
        <f>JUL!W26</f>
        <v>75648.239999999991</v>
      </c>
      <c r="CM24" s="208">
        <f>JUL!X26</f>
        <v>4519.3680000000013</v>
      </c>
      <c r="CN24" s="209">
        <f t="shared" si="17"/>
        <v>118414.36</v>
      </c>
      <c r="CO24" s="208">
        <f t="shared" si="75"/>
        <v>2849.9520000000002</v>
      </c>
      <c r="CP24" s="208">
        <f t="shared" si="76"/>
        <v>1567.6480000000001</v>
      </c>
      <c r="CQ24" s="208">
        <f t="shared" si="77"/>
        <v>0</v>
      </c>
      <c r="CR24" s="208">
        <f t="shared" si="78"/>
        <v>147.49600000000001</v>
      </c>
      <c r="CS24" s="208">
        <f t="shared" si="79"/>
        <v>11754</v>
      </c>
      <c r="CT24" s="208">
        <f t="shared" si="80"/>
        <v>743.70399999999995</v>
      </c>
      <c r="CU24" s="209">
        <f t="shared" si="19"/>
        <v>17062.800000000003</v>
      </c>
      <c r="CV24" s="208">
        <f>AGO!S26</f>
        <v>25757.704000000002</v>
      </c>
      <c r="CW24" s="208">
        <f>AGO!T26</f>
        <v>10729.375999999998</v>
      </c>
      <c r="CX24" s="208">
        <f>AGO!U26</f>
        <v>3091.3119999999999</v>
      </c>
      <c r="CY24" s="208">
        <f>AGO!V26</f>
        <v>1481.2079999999999</v>
      </c>
      <c r="CZ24" s="208">
        <f>AGO!W26</f>
        <v>79734.984000000011</v>
      </c>
      <c r="DA24" s="208">
        <f>AGO!X26</f>
        <v>9255.112000000001</v>
      </c>
      <c r="DB24" s="209">
        <f t="shared" si="20"/>
        <v>130049.696</v>
      </c>
      <c r="DC24" s="208">
        <f t="shared" si="81"/>
        <v>3124.1120000000001</v>
      </c>
      <c r="DD24" s="208">
        <f t="shared" si="82"/>
        <v>613.62400000000014</v>
      </c>
      <c r="DE24" s="208">
        <f t="shared" si="83"/>
        <v>1799.0880000000002</v>
      </c>
      <c r="DF24" s="208">
        <f t="shared" si="84"/>
        <v>0</v>
      </c>
      <c r="DG24" s="208">
        <f t="shared" si="85"/>
        <v>11832.36</v>
      </c>
      <c r="DH24" s="208">
        <f t="shared" si="86"/>
        <v>745.92000000000007</v>
      </c>
      <c r="DI24" s="209">
        <f t="shared" si="22"/>
        <v>18115.103999999999</v>
      </c>
      <c r="DJ24" s="208">
        <f>SET!S26</f>
        <v>28683.847999999998</v>
      </c>
      <c r="DK24" s="208">
        <f>SET!T26</f>
        <v>17595.128000000004</v>
      </c>
      <c r="DL24" s="208">
        <f>SET!U26</f>
        <v>4335.424</v>
      </c>
      <c r="DM24" s="208">
        <f>SET!V26</f>
        <v>3253.0080000000012</v>
      </c>
      <c r="DN24" s="208">
        <f>SET!W26</f>
        <v>69474.648000000001</v>
      </c>
      <c r="DO24" s="208">
        <f>SET!X26</f>
        <v>14981.040000000003</v>
      </c>
      <c r="DP24" s="209">
        <f t="shared" si="23"/>
        <v>138323.09600000002</v>
      </c>
      <c r="DQ24" s="208">
        <f t="shared" si="87"/>
        <v>1317.088</v>
      </c>
      <c r="DR24" s="208">
        <f t="shared" si="88"/>
        <v>979.03200000000015</v>
      </c>
      <c r="DS24" s="208">
        <f t="shared" si="89"/>
        <v>388.86400000000003</v>
      </c>
      <c r="DT24" s="208">
        <f t="shared" si="90"/>
        <v>0</v>
      </c>
      <c r="DU24" s="208">
        <f t="shared" si="91"/>
        <v>11252.495999999999</v>
      </c>
      <c r="DV24" s="208">
        <f t="shared" si="92"/>
        <v>500.05600000000004</v>
      </c>
      <c r="DW24" s="209">
        <f t="shared" si="25"/>
        <v>14437.536</v>
      </c>
      <c r="DX24" s="208">
        <f>OUT!S26</f>
        <v>0</v>
      </c>
      <c r="DY24" s="208">
        <f>OUT!T26</f>
        <v>0</v>
      </c>
      <c r="DZ24" s="208">
        <f>OUT!U26</f>
        <v>0</v>
      </c>
      <c r="EA24" s="208">
        <f>OUT!V26</f>
        <v>0</v>
      </c>
      <c r="EB24" s="208">
        <f>OUT!W26</f>
        <v>0</v>
      </c>
      <c r="EC24" s="208">
        <f>OUT!X26</f>
        <v>0</v>
      </c>
      <c r="ED24" s="209">
        <f t="shared" si="26"/>
        <v>0</v>
      </c>
      <c r="EE24" s="208"/>
      <c r="EF24" s="208"/>
      <c r="EG24" s="208"/>
      <c r="EH24" s="208"/>
      <c r="EI24" s="208"/>
      <c r="EJ24" s="208"/>
      <c r="EK24" s="209">
        <f t="shared" si="27"/>
        <v>0</v>
      </c>
      <c r="EL24" s="208">
        <f>NOV!S26</f>
        <v>0</v>
      </c>
      <c r="EM24" s="208">
        <f>NOV!T26</f>
        <v>0</v>
      </c>
      <c r="EN24" s="208">
        <f>NOV!U26</f>
        <v>0</v>
      </c>
      <c r="EO24" s="208">
        <f>NOV!V26</f>
        <v>0</v>
      </c>
      <c r="EP24" s="208">
        <f>NOV!W26</f>
        <v>0</v>
      </c>
      <c r="EQ24" s="208">
        <f>NOV!X26</f>
        <v>0</v>
      </c>
      <c r="ER24" s="209">
        <f t="shared" si="28"/>
        <v>0</v>
      </c>
      <c r="ES24" s="208"/>
      <c r="ET24" s="208"/>
      <c r="EU24" s="208"/>
      <c r="EV24" s="208"/>
      <c r="EW24" s="208"/>
      <c r="EX24" s="208"/>
      <c r="EY24" s="209">
        <f t="shared" si="29"/>
        <v>0</v>
      </c>
      <c r="EZ24" s="208">
        <f>DEZ!S26</f>
        <v>0</v>
      </c>
      <c r="FA24" s="208">
        <f>DEZ!T26</f>
        <v>0</v>
      </c>
      <c r="FB24" s="208">
        <f>DEZ!U26</f>
        <v>0</v>
      </c>
      <c r="FC24" s="208">
        <f>DEZ!V26</f>
        <v>0</v>
      </c>
      <c r="FD24" s="208">
        <f>DEZ!W26</f>
        <v>0</v>
      </c>
      <c r="FE24" s="208">
        <f>DEZ!X26</f>
        <v>0</v>
      </c>
      <c r="FF24" s="209">
        <f t="shared" si="30"/>
        <v>0</v>
      </c>
      <c r="FG24" s="208"/>
      <c r="FH24" s="208"/>
      <c r="FI24" s="208"/>
      <c r="FJ24" s="208"/>
      <c r="FK24" s="208"/>
      <c r="FL24" s="208"/>
      <c r="FM24" s="207">
        <f t="shared" si="31"/>
        <v>0</v>
      </c>
      <c r="FN24" s="210">
        <f t="shared" si="93"/>
        <v>211257.05599999998</v>
      </c>
      <c r="FO24" s="518">
        <f t="shared" si="32"/>
        <v>73268.84</v>
      </c>
      <c r="FP24" s="208">
        <f t="shared" si="33"/>
        <v>13751.991999999998</v>
      </c>
      <c r="FQ24" s="208">
        <f t="shared" si="34"/>
        <v>15595.536000000002</v>
      </c>
      <c r="FR24" s="208">
        <f t="shared" si="35"/>
        <v>492540.12</v>
      </c>
      <c r="FS24" s="208">
        <f t="shared" si="36"/>
        <v>44453.712000000007</v>
      </c>
      <c r="FT24" s="209">
        <f t="shared" si="37"/>
        <v>850867.25600000005</v>
      </c>
      <c r="FU24" s="208">
        <f t="shared" si="94"/>
        <v>46641.024000000005</v>
      </c>
      <c r="FV24" s="208">
        <f t="shared" si="38"/>
        <v>12742.648000000001</v>
      </c>
      <c r="FW24" s="208">
        <f t="shared" si="39"/>
        <v>5423.1440000000002</v>
      </c>
      <c r="FX24" s="208">
        <f t="shared" si="40"/>
        <v>390.8</v>
      </c>
      <c r="FY24" s="208">
        <f t="shared" si="41"/>
        <v>90506.040000000008</v>
      </c>
      <c r="FZ24" s="208">
        <f t="shared" si="42"/>
        <v>5743.9920000000002</v>
      </c>
      <c r="GA24" s="207">
        <f t="shared" si="43"/>
        <v>161447.64800000002</v>
      </c>
      <c r="GB24" s="206">
        <f t="shared" si="95"/>
        <v>352.94257690397177</v>
      </c>
      <c r="GC24" s="206">
        <f t="shared" si="96"/>
        <v>474.98912313986852</v>
      </c>
      <c r="GD24" s="206">
        <f t="shared" si="44"/>
        <v>153.57969473058429</v>
      </c>
      <c r="GE24" s="206">
        <f t="shared" si="45"/>
        <v>3890.6693961105425</v>
      </c>
      <c r="GF24" s="206">
        <f t="shared" si="46"/>
        <v>444.20690597003249</v>
      </c>
      <c r="GG24" s="206">
        <f t="shared" si="47"/>
        <v>673.91667676417387</v>
      </c>
      <c r="GH24" s="205">
        <f t="shared" si="97"/>
        <v>427.02363059510162</v>
      </c>
      <c r="GI24" s="215" t="str">
        <f t="shared" si="98"/>
        <v>MAIOR</v>
      </c>
    </row>
    <row r="25" spans="1:191" s="566" customFormat="1">
      <c r="A25" s="319" t="s">
        <v>97</v>
      </c>
      <c r="B25" s="208">
        <f>VLOOKUP($A$3:$A$29,JAN!$A$5:$B$31,2,)</f>
        <v>988047.04800000007</v>
      </c>
      <c r="C25" s="208">
        <f>VLOOKUP($A$3:$A$29,JAN!$A$5:$C$31,3,)</f>
        <v>124074.58399999999</v>
      </c>
      <c r="D25" s="208">
        <f>VLOOKUP($A$3:$A$29,JAN!$A$5:$D$31,4,)</f>
        <v>50172.640000000007</v>
      </c>
      <c r="E25" s="208">
        <f>VLOOKUP($A$3:$A$29,JAN!$A$5:$E$31,5,)</f>
        <v>16190.415999999997</v>
      </c>
      <c r="F25" s="208">
        <f>VLOOKUP($A$3:$A$29,JAN!$A$5:$X$32,23,)</f>
        <v>556017.16799999995</v>
      </c>
      <c r="G25" s="208">
        <f>VLOOKUP($A$3:$A$29,JAN!$A$5:$X$32,24,)</f>
        <v>44244.136000000006</v>
      </c>
      <c r="H25" s="209">
        <f t="shared" si="0"/>
        <v>1778745.9919999996</v>
      </c>
      <c r="I25" s="208">
        <f t="shared" si="48"/>
        <v>721921.83200000005</v>
      </c>
      <c r="J25" s="208">
        <f t="shared" si="49"/>
        <v>172521.60000000001</v>
      </c>
      <c r="K25" s="208">
        <f t="shared" si="50"/>
        <v>40285.736000000004</v>
      </c>
      <c r="L25" s="208">
        <f t="shared" si="51"/>
        <v>29222.471999999998</v>
      </c>
      <c r="M25" s="208">
        <f t="shared" si="52"/>
        <v>487398.92</v>
      </c>
      <c r="N25" s="208">
        <f t="shared" si="53"/>
        <v>65183.392000000007</v>
      </c>
      <c r="O25" s="209">
        <f t="shared" si="2"/>
        <v>1516533.952</v>
      </c>
      <c r="P25" s="208">
        <f>VLOOKUP($A$3:$A$29,FEV!$A$5:$B$31,2,)</f>
        <v>970484.2080000001</v>
      </c>
      <c r="Q25" s="208">
        <f>VLOOKUP($A$3:$A$29,FEV!$A$5:$C$31,3,)</f>
        <v>120469.47200000007</v>
      </c>
      <c r="R25" s="208">
        <f>VLOOKUP($A$3:$A$29,FEV!$A$5:$D$31,4,)</f>
        <v>26247.736000000001</v>
      </c>
      <c r="S25" s="208">
        <f>VLOOKUP($A$3:$A$29,FEV!$A$5:$E$31,5,)</f>
        <v>35195.887999999999</v>
      </c>
      <c r="T25" s="208">
        <f>VLOOKUP($A$3:$A$29,FEV!$A$5:$X$32,23,)</f>
        <v>672825.98400000005</v>
      </c>
      <c r="U25" s="208">
        <f>VLOOKUP($A$3:$A$29,FEV!$A$5:$X$32,24,)</f>
        <v>55187.72800000001</v>
      </c>
      <c r="V25" s="209">
        <f t="shared" si="54"/>
        <v>1880411.0160000003</v>
      </c>
      <c r="W25" s="208">
        <f t="shared" si="55"/>
        <v>833878.45600000001</v>
      </c>
      <c r="X25" s="208">
        <f t="shared" si="99"/>
        <v>138700.28000000006</v>
      </c>
      <c r="Y25" s="208">
        <f t="shared" si="100"/>
        <v>31560.408000000003</v>
      </c>
      <c r="Z25" s="208">
        <f t="shared" si="101"/>
        <v>9445.4719999999979</v>
      </c>
      <c r="AA25" s="208">
        <f t="shared" si="102"/>
        <v>527061.576</v>
      </c>
      <c r="AB25" s="208">
        <f t="shared" si="103"/>
        <v>37051.296000000002</v>
      </c>
      <c r="AC25" s="209">
        <f t="shared" si="4"/>
        <v>1577697.4880000001</v>
      </c>
      <c r="AD25" s="208">
        <f>VLOOKUP($A$3:$A$29,MAR!$A$5:$B$31,2,)</f>
        <v>714152.4</v>
      </c>
      <c r="AE25" s="208">
        <f>VLOOKUP($A$3:$A$29,MAR!$A$5:$C$31,3,)</f>
        <v>137496.39199999999</v>
      </c>
      <c r="AF25" s="208">
        <f>VLOOKUP($A$3:$A$29,MAR!$A$5:$D$31,4,)</f>
        <v>11733.416000000001</v>
      </c>
      <c r="AG25" s="208">
        <f>VLOOKUP($A$3:$A$29,MAR!$A$5:$E$31,5,)</f>
        <v>30845.4</v>
      </c>
      <c r="AH25" s="208">
        <f>VLOOKUP($A$3:$A$29,MAR!$A$5:$X$32,23,)</f>
        <v>769786.0560000001</v>
      </c>
      <c r="AI25" s="208">
        <f>VLOOKUP($A$3:$A$29,MAR!$A$5:$X$32,24,)</f>
        <v>62431.815999999999</v>
      </c>
      <c r="AJ25" s="209">
        <f t="shared" si="5"/>
        <v>1726445.4800000002</v>
      </c>
      <c r="AK25" s="208">
        <f t="shared" si="56"/>
        <v>580122.696</v>
      </c>
      <c r="AL25" s="208">
        <f t="shared" si="57"/>
        <v>126231.69599999998</v>
      </c>
      <c r="AM25" s="208">
        <f t="shared" si="58"/>
        <v>22076.544000000002</v>
      </c>
      <c r="AN25" s="208">
        <f t="shared" si="59"/>
        <v>14906.064000000002</v>
      </c>
      <c r="AO25" s="208">
        <f t="shared" si="60"/>
        <v>637458.6</v>
      </c>
      <c r="AP25" s="208">
        <f t="shared" si="61"/>
        <v>34771.368000000002</v>
      </c>
      <c r="AQ25" s="209">
        <f t="shared" si="7"/>
        <v>1415566.9680000001</v>
      </c>
      <c r="AR25" s="208">
        <f>ABR!S27</f>
        <v>4868.6959999999999</v>
      </c>
      <c r="AS25" s="208">
        <f>ABR!T27</f>
        <v>201.72800000000001</v>
      </c>
      <c r="AT25" s="208">
        <f>ABR!U27</f>
        <v>20.288</v>
      </c>
      <c r="AU25" s="208">
        <f>ABR!V27</f>
        <v>0</v>
      </c>
      <c r="AV25" s="208">
        <f>ABR!W27</f>
        <v>12260.232</v>
      </c>
      <c r="AW25" s="208">
        <f>ABR!X27</f>
        <v>429.976</v>
      </c>
      <c r="AX25" s="209">
        <f t="shared" si="8"/>
        <v>17780.919999999998</v>
      </c>
      <c r="AY25" s="208">
        <f t="shared" si="62"/>
        <v>438359.22400000005</v>
      </c>
      <c r="AZ25" s="208">
        <f t="shared" si="104"/>
        <v>98343.54399999998</v>
      </c>
      <c r="BA25" s="208">
        <f t="shared" si="105"/>
        <v>16150.68</v>
      </c>
      <c r="BB25" s="208">
        <f t="shared" si="106"/>
        <v>14945.704000000005</v>
      </c>
      <c r="BC25" s="208">
        <f t="shared" si="107"/>
        <v>590407.12800000014</v>
      </c>
      <c r="BD25" s="208">
        <f t="shared" si="108"/>
        <v>40465.896000000008</v>
      </c>
      <c r="BE25" s="209">
        <f t="shared" si="10"/>
        <v>1198672.1760000002</v>
      </c>
      <c r="BF25" s="208">
        <f>MAI!S27</f>
        <v>5508.3919999999998</v>
      </c>
      <c r="BG25" s="208">
        <f>MAI!T27</f>
        <v>182.84000000000003</v>
      </c>
      <c r="BH25" s="208">
        <f>MAI!U27</f>
        <v>40.576000000000001</v>
      </c>
      <c r="BI25" s="208">
        <f>MAI!V27</f>
        <v>179.03200000000001</v>
      </c>
      <c r="BJ25" s="208">
        <f>MAI!W27</f>
        <v>17216.496000000003</v>
      </c>
      <c r="BK25" s="208">
        <f>MAI!X27</f>
        <v>102.18400000000001</v>
      </c>
      <c r="BL25" s="209">
        <f t="shared" si="11"/>
        <v>23229.520000000004</v>
      </c>
      <c r="BM25" s="208">
        <f t="shared" si="63"/>
        <v>365327.12000000005</v>
      </c>
      <c r="BN25" s="208">
        <f t="shared" si="64"/>
        <v>95921.176000000007</v>
      </c>
      <c r="BO25" s="208">
        <f t="shared" si="65"/>
        <v>20386.536</v>
      </c>
      <c r="BP25" s="208">
        <f t="shared" si="66"/>
        <v>9129.3200000000015</v>
      </c>
      <c r="BQ25" s="208">
        <f t="shared" si="67"/>
        <v>627350.16</v>
      </c>
      <c r="BR25" s="208">
        <f t="shared" si="68"/>
        <v>50899.544000000009</v>
      </c>
      <c r="BS25" s="209">
        <f t="shared" si="13"/>
        <v>1169013.8560000001</v>
      </c>
      <c r="BT25" s="208">
        <f>JUN!S27</f>
        <v>6043.2400000000007</v>
      </c>
      <c r="BU25" s="208">
        <f>JUN!T27</f>
        <v>630.80799999999954</v>
      </c>
      <c r="BV25" s="208">
        <f>JUN!U27</f>
        <v>0</v>
      </c>
      <c r="BW25" s="208">
        <f>JUN!V27</f>
        <v>38.095999999999997</v>
      </c>
      <c r="BX25" s="208">
        <f>JUN!W27</f>
        <v>13042.800000000001</v>
      </c>
      <c r="BY25" s="208">
        <f>JUN!X27</f>
        <v>607.60800000000006</v>
      </c>
      <c r="BZ25" s="209">
        <f t="shared" si="14"/>
        <v>20362.552000000003</v>
      </c>
      <c r="CA25" s="208">
        <f t="shared" si="69"/>
        <v>349163.77600000001</v>
      </c>
      <c r="CB25" s="208">
        <f t="shared" si="70"/>
        <v>79676.975999999995</v>
      </c>
      <c r="CC25" s="208">
        <f t="shared" si="71"/>
        <v>21469.608</v>
      </c>
      <c r="CD25" s="208">
        <f t="shared" si="72"/>
        <v>13046.351999999999</v>
      </c>
      <c r="CE25" s="208">
        <f t="shared" si="73"/>
        <v>655716.48</v>
      </c>
      <c r="CF25" s="208">
        <f t="shared" si="74"/>
        <v>58640.776000000005</v>
      </c>
      <c r="CG25" s="209">
        <f t="shared" si="16"/>
        <v>1177713.9680000001</v>
      </c>
      <c r="CH25" s="208">
        <f>JUL!S27</f>
        <v>2730.6000000000004</v>
      </c>
      <c r="CI25" s="208">
        <f>JUL!T27</f>
        <v>192.36800000000005</v>
      </c>
      <c r="CJ25" s="208">
        <f>JUL!U27</f>
        <v>118.352</v>
      </c>
      <c r="CK25" s="208">
        <f>JUL!V27</f>
        <v>0</v>
      </c>
      <c r="CL25" s="208">
        <f>JUL!W27</f>
        <v>11129.856</v>
      </c>
      <c r="CM25" s="208">
        <f>JUL!X27</f>
        <v>366.75200000000007</v>
      </c>
      <c r="CN25" s="209">
        <f t="shared" si="17"/>
        <v>14537.928</v>
      </c>
      <c r="CO25" s="208">
        <f t="shared" si="75"/>
        <v>240016.6</v>
      </c>
      <c r="CP25" s="208">
        <f t="shared" si="76"/>
        <v>73348.656000000003</v>
      </c>
      <c r="CQ25" s="208">
        <f t="shared" si="77"/>
        <v>31429.488000000001</v>
      </c>
      <c r="CR25" s="208">
        <f t="shared" si="78"/>
        <v>7881.7200000000012</v>
      </c>
      <c r="CS25" s="208">
        <f t="shared" si="79"/>
        <v>707042.28</v>
      </c>
      <c r="CT25" s="208">
        <f t="shared" si="80"/>
        <v>57784.576000000008</v>
      </c>
      <c r="CU25" s="209">
        <f t="shared" si="19"/>
        <v>1117503.32</v>
      </c>
      <c r="CV25" s="208">
        <f>AGO!S27</f>
        <v>1384.7600000000002</v>
      </c>
      <c r="CW25" s="208">
        <f>AGO!T27</f>
        <v>573.31999999999994</v>
      </c>
      <c r="CX25" s="208">
        <f>AGO!U27</f>
        <v>667.84799999999996</v>
      </c>
      <c r="CY25" s="208">
        <f>AGO!V27</f>
        <v>0</v>
      </c>
      <c r="CZ25" s="208">
        <f>AGO!W27</f>
        <v>11999.376</v>
      </c>
      <c r="DA25" s="208">
        <f>AGO!X27</f>
        <v>328.32800000000003</v>
      </c>
      <c r="DB25" s="209">
        <f t="shared" si="20"/>
        <v>14953.632</v>
      </c>
      <c r="DC25" s="208">
        <f t="shared" si="81"/>
        <v>168765.448</v>
      </c>
      <c r="DD25" s="208">
        <f t="shared" si="82"/>
        <v>68442.319999999992</v>
      </c>
      <c r="DE25" s="208">
        <f t="shared" si="83"/>
        <v>135283.728</v>
      </c>
      <c r="DF25" s="208">
        <f t="shared" si="84"/>
        <v>12114.519999999997</v>
      </c>
      <c r="DG25" s="208">
        <f t="shared" si="85"/>
        <v>729296.52</v>
      </c>
      <c r="DH25" s="208">
        <f t="shared" si="86"/>
        <v>58741.768000000011</v>
      </c>
      <c r="DI25" s="209">
        <f t="shared" si="22"/>
        <v>1172644.304</v>
      </c>
      <c r="DJ25" s="208">
        <f>SET!S27</f>
        <v>1145.5040000000001</v>
      </c>
      <c r="DK25" s="208">
        <f>SET!T27</f>
        <v>1154.9279999999999</v>
      </c>
      <c r="DL25" s="208">
        <f>SET!U27</f>
        <v>211.34400000000002</v>
      </c>
      <c r="DM25" s="208">
        <f>SET!V27</f>
        <v>0</v>
      </c>
      <c r="DN25" s="208">
        <f>SET!W27</f>
        <v>11651.568000000001</v>
      </c>
      <c r="DO25" s="208">
        <f>SET!X27</f>
        <v>731.84800000000007</v>
      </c>
      <c r="DP25" s="209">
        <f t="shared" si="23"/>
        <v>14895.192000000001</v>
      </c>
      <c r="DQ25" s="208">
        <f t="shared" si="87"/>
        <v>115417.488</v>
      </c>
      <c r="DR25" s="208">
        <f t="shared" si="88"/>
        <v>60437.680000000008</v>
      </c>
      <c r="DS25" s="208">
        <f t="shared" si="89"/>
        <v>48527.040000000008</v>
      </c>
      <c r="DT25" s="208">
        <f t="shared" si="90"/>
        <v>10279.983999999997</v>
      </c>
      <c r="DU25" s="208">
        <f t="shared" si="91"/>
        <v>682515.6</v>
      </c>
      <c r="DV25" s="208">
        <f t="shared" si="92"/>
        <v>46202.44</v>
      </c>
      <c r="DW25" s="209">
        <f t="shared" si="25"/>
        <v>963380.23200000008</v>
      </c>
      <c r="DX25" s="208">
        <f>OUT!S27</f>
        <v>0</v>
      </c>
      <c r="DY25" s="208">
        <f>OUT!T27</f>
        <v>0</v>
      </c>
      <c r="DZ25" s="208">
        <f>OUT!U27</f>
        <v>0</v>
      </c>
      <c r="EA25" s="208">
        <f>OUT!V27</f>
        <v>0</v>
      </c>
      <c r="EB25" s="208">
        <f>OUT!W27</f>
        <v>0</v>
      </c>
      <c r="EC25" s="208">
        <f>OUT!X27</f>
        <v>0</v>
      </c>
      <c r="ED25" s="209">
        <f t="shared" si="26"/>
        <v>0</v>
      </c>
      <c r="EE25" s="208"/>
      <c r="EF25" s="208"/>
      <c r="EG25" s="208"/>
      <c r="EH25" s="208"/>
      <c r="EI25" s="208"/>
      <c r="EJ25" s="208"/>
      <c r="EK25" s="209">
        <f t="shared" si="27"/>
        <v>0</v>
      </c>
      <c r="EL25" s="208">
        <f>NOV!S27</f>
        <v>0</v>
      </c>
      <c r="EM25" s="208">
        <f>NOV!T27</f>
        <v>0</v>
      </c>
      <c r="EN25" s="208">
        <f>NOV!U27</f>
        <v>0</v>
      </c>
      <c r="EO25" s="208">
        <f>NOV!V27</f>
        <v>0</v>
      </c>
      <c r="EP25" s="208">
        <f>NOV!W27</f>
        <v>0</v>
      </c>
      <c r="EQ25" s="208">
        <f>NOV!X27</f>
        <v>0</v>
      </c>
      <c r="ER25" s="209">
        <f t="shared" si="28"/>
        <v>0</v>
      </c>
      <c r="ES25" s="208"/>
      <c r="ET25" s="208"/>
      <c r="EU25" s="208"/>
      <c r="EV25" s="208"/>
      <c r="EW25" s="208"/>
      <c r="EX25" s="208"/>
      <c r="EY25" s="209">
        <f t="shared" si="29"/>
        <v>0</v>
      </c>
      <c r="EZ25" s="208">
        <f>DEZ!S27</f>
        <v>0</v>
      </c>
      <c r="FA25" s="208">
        <f>DEZ!T27</f>
        <v>0</v>
      </c>
      <c r="FB25" s="208">
        <f>DEZ!U27</f>
        <v>0</v>
      </c>
      <c r="FC25" s="208">
        <f>DEZ!V27</f>
        <v>0</v>
      </c>
      <c r="FD25" s="208">
        <f>DEZ!W27</f>
        <v>0</v>
      </c>
      <c r="FE25" s="208">
        <f>DEZ!X27</f>
        <v>0</v>
      </c>
      <c r="FF25" s="209">
        <f t="shared" si="30"/>
        <v>0</v>
      </c>
      <c r="FG25" s="208"/>
      <c r="FH25" s="208"/>
      <c r="FI25" s="208"/>
      <c r="FJ25" s="208"/>
      <c r="FK25" s="208"/>
      <c r="FL25" s="208"/>
      <c r="FM25" s="207">
        <f t="shared" si="31"/>
        <v>0</v>
      </c>
      <c r="FN25" s="210">
        <f t="shared" si="93"/>
        <v>2694364.8480000002</v>
      </c>
      <c r="FO25" s="518">
        <f t="shared" si="32"/>
        <v>384976.44000000012</v>
      </c>
      <c r="FP25" s="208">
        <f t="shared" si="33"/>
        <v>89212.2</v>
      </c>
      <c r="FQ25" s="208">
        <f t="shared" si="34"/>
        <v>82448.832000000009</v>
      </c>
      <c r="FR25" s="208">
        <f t="shared" si="35"/>
        <v>2075929.5360000001</v>
      </c>
      <c r="FS25" s="208">
        <f t="shared" si="36"/>
        <v>164430.37600000005</v>
      </c>
      <c r="FT25" s="209">
        <f t="shared" si="37"/>
        <v>5491362.2320000008</v>
      </c>
      <c r="FU25" s="208">
        <f t="shared" si="94"/>
        <v>3812972.64</v>
      </c>
      <c r="FV25" s="208">
        <f t="shared" si="38"/>
        <v>913623.92799999996</v>
      </c>
      <c r="FW25" s="208">
        <f t="shared" si="39"/>
        <v>367169.76800000004</v>
      </c>
      <c r="FX25" s="208">
        <f t="shared" si="40"/>
        <v>120971.60800000001</v>
      </c>
      <c r="FY25" s="208">
        <f t="shared" si="41"/>
        <v>5644247.2640000004</v>
      </c>
      <c r="FZ25" s="208">
        <f t="shared" si="42"/>
        <v>449741.05600000004</v>
      </c>
      <c r="GA25" s="207">
        <f t="shared" si="43"/>
        <v>11308726.264</v>
      </c>
      <c r="GB25" s="206">
        <f t="shared" si="95"/>
        <v>-29.336895320602139</v>
      </c>
      <c r="GC25" s="206">
        <f t="shared" si="96"/>
        <v>-57.862701687033734</v>
      </c>
      <c r="GD25" s="206">
        <f t="shared" si="44"/>
        <v>-75.702738140466948</v>
      </c>
      <c r="GE25" s="206">
        <f t="shared" si="45"/>
        <v>-31.844477094162457</v>
      </c>
      <c r="GF25" s="206">
        <f t="shared" si="46"/>
        <v>-63.220435978405078</v>
      </c>
      <c r="GG25" s="206">
        <f t="shared" si="47"/>
        <v>-63.438878037410035</v>
      </c>
      <c r="GH25" s="205">
        <f t="shared" si="97"/>
        <v>-51.44137276112955</v>
      </c>
      <c r="GI25" s="215" t="str">
        <f t="shared" si="98"/>
        <v>menor</v>
      </c>
    </row>
    <row r="26" spans="1:191" s="566" customFormat="1">
      <c r="A26" s="319" t="s">
        <v>100</v>
      </c>
      <c r="B26" s="208">
        <f>VLOOKUP($A$3:$A$29,JAN!$A$5:$B$31,2,)</f>
        <v>551830.79200000002</v>
      </c>
      <c r="C26" s="208">
        <f>VLOOKUP($A$3:$A$29,JAN!$A$5:$C$31,3,)</f>
        <v>85075.73599999999</v>
      </c>
      <c r="D26" s="208">
        <f>VLOOKUP($A$3:$A$29,JAN!$A$5:$D$31,4,)</f>
        <v>17618.096000000001</v>
      </c>
      <c r="E26" s="208">
        <f>VLOOKUP($A$3:$A$29,JAN!$A$5:$E$31,5,)</f>
        <v>18097.256000000005</v>
      </c>
      <c r="F26" s="208">
        <f>VLOOKUP($A$3:$A$29,JAN!$A$5:$X$32,23,)</f>
        <v>305108.40000000002</v>
      </c>
      <c r="G26" s="208">
        <f>VLOOKUP($A$3:$A$29,JAN!$A$5:$X$32,24,)</f>
        <v>35357.567999999999</v>
      </c>
      <c r="H26" s="209">
        <f t="shared" si="0"/>
        <v>1013087.8480000001</v>
      </c>
      <c r="I26" s="208">
        <f t="shared" si="48"/>
        <v>495182.81600000005</v>
      </c>
      <c r="J26" s="208">
        <f t="shared" si="49"/>
        <v>81582.271999999983</v>
      </c>
      <c r="K26" s="208">
        <f t="shared" si="50"/>
        <v>23923.576000000001</v>
      </c>
      <c r="L26" s="208">
        <f t="shared" si="51"/>
        <v>6207.3679999999995</v>
      </c>
      <c r="M26" s="208">
        <f t="shared" si="52"/>
        <v>270821.80800000002</v>
      </c>
      <c r="N26" s="208">
        <f t="shared" si="53"/>
        <v>37088.616000000307</v>
      </c>
      <c r="O26" s="209">
        <f t="shared" si="2"/>
        <v>914806.45600000035</v>
      </c>
      <c r="P26" s="208">
        <f>VLOOKUP($A$3:$A$29,FEV!$A$5:$B$31,2,)</f>
        <v>692159.32000000007</v>
      </c>
      <c r="Q26" s="208">
        <f>VLOOKUP($A$3:$A$29,FEV!$A$5:$C$31,3,)</f>
        <v>106951.984</v>
      </c>
      <c r="R26" s="208">
        <f>VLOOKUP($A$3:$A$29,FEV!$A$5:$D$31,4,)</f>
        <v>20401.960000000003</v>
      </c>
      <c r="S26" s="208">
        <f>VLOOKUP($A$3:$A$29,FEV!$A$5:$E$31,5,)</f>
        <v>28650.312000000002</v>
      </c>
      <c r="T26" s="208">
        <f>VLOOKUP($A$3:$A$29,FEV!$A$5:$X$32,23,)</f>
        <v>402918.38400000002</v>
      </c>
      <c r="U26" s="208">
        <f>VLOOKUP($A$3:$A$29,FEV!$A$5:$X$32,24,)</f>
        <v>49330.960000000006</v>
      </c>
      <c r="V26" s="209">
        <f t="shared" si="54"/>
        <v>1300412.92</v>
      </c>
      <c r="W26" s="208">
        <f t="shared" si="55"/>
        <v>629082.70400000003</v>
      </c>
      <c r="X26" s="208">
        <f t="shared" si="99"/>
        <v>68863.496000000014</v>
      </c>
      <c r="Y26" s="208">
        <f t="shared" si="100"/>
        <v>27134.800000000003</v>
      </c>
      <c r="Z26" s="208">
        <f t="shared" si="101"/>
        <v>8576.6319999999996</v>
      </c>
      <c r="AA26" s="208">
        <f t="shared" si="102"/>
        <v>376287.41600000003</v>
      </c>
      <c r="AB26" s="208">
        <f t="shared" si="103"/>
        <v>24513.200000000004</v>
      </c>
      <c r="AC26" s="209">
        <f t="shared" si="4"/>
        <v>1134458.2480000001</v>
      </c>
      <c r="AD26" s="208">
        <f>VLOOKUP($A$3:$A$29,MAR!$A$5:$B$31,2,)</f>
        <v>516115.12800000003</v>
      </c>
      <c r="AE26" s="208">
        <f>VLOOKUP($A$3:$A$29,MAR!$A$5:$C$31,3,)</f>
        <v>90482.296000000002</v>
      </c>
      <c r="AF26" s="208">
        <f>VLOOKUP($A$3:$A$29,MAR!$A$5:$D$31,4,)</f>
        <v>13354.128000000001</v>
      </c>
      <c r="AG26" s="208">
        <f>VLOOKUP($A$3:$A$29,MAR!$A$5:$E$31,5,)</f>
        <v>30945.256000000001</v>
      </c>
      <c r="AH26" s="208">
        <f>VLOOKUP($A$3:$A$29,MAR!$A$5:$X$32,23,)</f>
        <v>557275.36800000002</v>
      </c>
      <c r="AI26" s="208">
        <f>VLOOKUP($A$3:$A$29,MAR!$A$5:$X$32,24,)</f>
        <v>42986.696000000004</v>
      </c>
      <c r="AJ26" s="209">
        <f t="shared" si="5"/>
        <v>1251158.872</v>
      </c>
      <c r="AK26" s="208">
        <f t="shared" si="56"/>
        <v>407821.36800000002</v>
      </c>
      <c r="AL26" s="208">
        <f t="shared" si="57"/>
        <v>75031.623999999996</v>
      </c>
      <c r="AM26" s="208">
        <f t="shared" si="58"/>
        <v>13362.351999999999</v>
      </c>
      <c r="AN26" s="208">
        <f t="shared" si="59"/>
        <v>6361.4320000000025</v>
      </c>
      <c r="AO26" s="208">
        <f t="shared" si="60"/>
        <v>459032.88</v>
      </c>
      <c r="AP26" s="208">
        <f t="shared" si="61"/>
        <v>24785.576000000005</v>
      </c>
      <c r="AQ26" s="209">
        <f t="shared" si="7"/>
        <v>986395.23200000008</v>
      </c>
      <c r="AR26" s="208">
        <f>ABR!S28</f>
        <v>262753.00800000003</v>
      </c>
      <c r="AS26" s="208">
        <f>ABR!T28</f>
        <v>58745.464000000007</v>
      </c>
      <c r="AT26" s="208">
        <f>ABR!U28</f>
        <v>9168.2880000000005</v>
      </c>
      <c r="AU26" s="208">
        <f>ABR!V28</f>
        <v>22138.063999999998</v>
      </c>
      <c r="AV26" s="208">
        <f>ABR!W28</f>
        <v>440759.68800000002</v>
      </c>
      <c r="AW26" s="208">
        <f>ABR!X28</f>
        <v>34540.784</v>
      </c>
      <c r="AX26" s="209">
        <f t="shared" si="8"/>
        <v>828105.29600000009</v>
      </c>
      <c r="AY26" s="208">
        <f t="shared" si="62"/>
        <v>306355.64799999999</v>
      </c>
      <c r="AZ26" s="208">
        <f t="shared" si="104"/>
        <v>63681.352000000006</v>
      </c>
      <c r="BA26" s="208">
        <f t="shared" si="105"/>
        <v>9142.32</v>
      </c>
      <c r="BB26" s="208">
        <f t="shared" si="106"/>
        <v>9189.64</v>
      </c>
      <c r="BC26" s="208">
        <f t="shared" si="107"/>
        <v>419852.88</v>
      </c>
      <c r="BD26" s="208">
        <f t="shared" si="108"/>
        <v>28106.800000000003</v>
      </c>
      <c r="BE26" s="209">
        <f t="shared" si="10"/>
        <v>836328.64000000013</v>
      </c>
      <c r="BF26" s="208">
        <f>MAI!S28</f>
        <v>315602.16000000003</v>
      </c>
      <c r="BG26" s="208">
        <f>MAI!T28</f>
        <v>110921.58399999999</v>
      </c>
      <c r="BH26" s="208">
        <f>MAI!U28</f>
        <v>10899.6</v>
      </c>
      <c r="BI26" s="208">
        <f>MAI!V28</f>
        <v>39991.112000000001</v>
      </c>
      <c r="BJ26" s="208">
        <f>MAI!W28</f>
        <v>504843.31200000003</v>
      </c>
      <c r="BK26" s="208">
        <f>MAI!X28</f>
        <v>52775.392</v>
      </c>
      <c r="BL26" s="209">
        <f t="shared" si="11"/>
        <v>1035033.16</v>
      </c>
      <c r="BM26" s="208">
        <f t="shared" si="63"/>
        <v>245770.45600000001</v>
      </c>
      <c r="BN26" s="208">
        <f t="shared" si="64"/>
        <v>66565.152000000016</v>
      </c>
      <c r="BO26" s="208">
        <f t="shared" si="65"/>
        <v>11992.992</v>
      </c>
      <c r="BP26" s="208">
        <f t="shared" si="66"/>
        <v>8549.608000000002</v>
      </c>
      <c r="BQ26" s="208">
        <f t="shared" si="67"/>
        <v>454707.44800000003</v>
      </c>
      <c r="BR26" s="208">
        <f t="shared" si="68"/>
        <v>29463.984000000004</v>
      </c>
      <c r="BS26" s="209">
        <f t="shared" si="13"/>
        <v>817049.64000000013</v>
      </c>
      <c r="BT26" s="208">
        <f>JUN!S28</f>
        <v>412829.95200000005</v>
      </c>
      <c r="BU26" s="208">
        <f>JUN!T28</f>
        <v>95189.280000000028</v>
      </c>
      <c r="BV26" s="208">
        <f>JUN!U28</f>
        <v>9691.8320000000003</v>
      </c>
      <c r="BW26" s="208">
        <f>JUN!V28</f>
        <v>24699.256000000001</v>
      </c>
      <c r="BX26" s="208">
        <f>JUN!W28</f>
        <v>478236.00000000006</v>
      </c>
      <c r="BY26" s="208">
        <f>JUN!X28</f>
        <v>48152.264000000003</v>
      </c>
      <c r="BZ26" s="209">
        <f t="shared" si="14"/>
        <v>1068798.584</v>
      </c>
      <c r="CA26" s="208">
        <f t="shared" si="69"/>
        <v>238331.11200000002</v>
      </c>
      <c r="CB26" s="208">
        <f t="shared" si="70"/>
        <v>54941.175999999978</v>
      </c>
      <c r="CC26" s="208">
        <f t="shared" si="71"/>
        <v>18145.168000000001</v>
      </c>
      <c r="CD26" s="208">
        <f t="shared" si="72"/>
        <v>6183.0239999999994</v>
      </c>
      <c r="CE26" s="208">
        <f t="shared" si="73"/>
        <v>481600.56000000006</v>
      </c>
      <c r="CF26" s="208">
        <f t="shared" si="74"/>
        <v>39703.952000000005</v>
      </c>
      <c r="CG26" s="209">
        <f t="shared" si="16"/>
        <v>838904.99200000009</v>
      </c>
      <c r="CH26" s="208">
        <f>JUL!S28</f>
        <v>313105.44800000003</v>
      </c>
      <c r="CI26" s="208">
        <f>JUL!T28</f>
        <v>88985.712000000014</v>
      </c>
      <c r="CJ26" s="208">
        <f>JUL!U28</f>
        <v>17864.024000000001</v>
      </c>
      <c r="CK26" s="208">
        <f>JUL!V28</f>
        <v>14954.559999999998</v>
      </c>
      <c r="CL26" s="208">
        <f>JUL!W28</f>
        <v>484670.44799999997</v>
      </c>
      <c r="CM26" s="208">
        <f>JUL!X28</f>
        <v>53985.343999999997</v>
      </c>
      <c r="CN26" s="209">
        <f t="shared" si="17"/>
        <v>973565.53600000008</v>
      </c>
      <c r="CO26" s="208">
        <f t="shared" si="75"/>
        <v>168498.424</v>
      </c>
      <c r="CP26" s="208">
        <f t="shared" si="76"/>
        <v>61141.840000000004</v>
      </c>
      <c r="CQ26" s="208">
        <f t="shared" si="77"/>
        <v>17624.344000000001</v>
      </c>
      <c r="CR26" s="208">
        <f t="shared" si="78"/>
        <v>5452.5919999999987</v>
      </c>
      <c r="CS26" s="208">
        <f t="shared" si="79"/>
        <v>473137.68000000011</v>
      </c>
      <c r="CT26" s="208">
        <f t="shared" si="80"/>
        <v>44907.104000000007</v>
      </c>
      <c r="CU26" s="209">
        <f t="shared" si="19"/>
        <v>770761.98400000017</v>
      </c>
      <c r="CV26" s="208">
        <f>AGO!S28</f>
        <v>103556.376</v>
      </c>
      <c r="CW26" s="208">
        <f>AGO!T28</f>
        <v>88286.208000000013</v>
      </c>
      <c r="CX26" s="208">
        <f>AGO!U28</f>
        <v>70588.968000000008</v>
      </c>
      <c r="CY26" s="208">
        <f>AGO!V28</f>
        <v>15612.047999999999</v>
      </c>
      <c r="CZ26" s="208">
        <f>AGO!W28</f>
        <v>517103.54399999999</v>
      </c>
      <c r="DA26" s="208">
        <f>AGO!X28</f>
        <v>59105.703999999998</v>
      </c>
      <c r="DB26" s="209">
        <f t="shared" si="20"/>
        <v>854252.84800000011</v>
      </c>
      <c r="DC26" s="208">
        <f t="shared" si="81"/>
        <v>106797.08000000002</v>
      </c>
      <c r="DD26" s="208">
        <f t="shared" si="82"/>
        <v>54939.608</v>
      </c>
      <c r="DE26" s="208">
        <f t="shared" si="83"/>
        <v>91912.712</v>
      </c>
      <c r="DF26" s="208">
        <f t="shared" si="84"/>
        <v>5645.2240000000056</v>
      </c>
      <c r="DG26" s="208">
        <f t="shared" si="85"/>
        <v>484186.44</v>
      </c>
      <c r="DH26" s="208">
        <f t="shared" si="86"/>
        <v>40177.488000000005</v>
      </c>
      <c r="DI26" s="209">
        <f t="shared" si="22"/>
        <v>783658.55200000003</v>
      </c>
      <c r="DJ26" s="208">
        <f>SET!S28</f>
        <v>70843.888000000006</v>
      </c>
      <c r="DK26" s="208">
        <f>SET!T28</f>
        <v>65683.823999999993</v>
      </c>
      <c r="DL26" s="208">
        <f>SET!U28</f>
        <v>42756.72</v>
      </c>
      <c r="DM26" s="208">
        <f>SET!V28</f>
        <v>25799.43199999999</v>
      </c>
      <c r="DN26" s="208">
        <f>SET!W28</f>
        <v>471627.64800000004</v>
      </c>
      <c r="DO26" s="208">
        <f>SET!X28</f>
        <v>57296.544000000009</v>
      </c>
      <c r="DP26" s="209">
        <f t="shared" si="23"/>
        <v>734008.0560000001</v>
      </c>
      <c r="DQ26" s="208">
        <f t="shared" si="87"/>
        <v>76905.487999999998</v>
      </c>
      <c r="DR26" s="208">
        <f t="shared" si="88"/>
        <v>43272.288</v>
      </c>
      <c r="DS26" s="208">
        <f t="shared" si="89"/>
        <v>28322.576000000001</v>
      </c>
      <c r="DT26" s="208">
        <f t="shared" si="90"/>
        <v>8800.0319999999974</v>
      </c>
      <c r="DU26" s="208">
        <f t="shared" si="91"/>
        <v>474704.88</v>
      </c>
      <c r="DV26" s="208">
        <f t="shared" si="92"/>
        <v>34771.632000000005</v>
      </c>
      <c r="DW26" s="209">
        <f t="shared" si="25"/>
        <v>666776.89599999995</v>
      </c>
      <c r="DX26" s="208">
        <f>OUT!S28</f>
        <v>0</v>
      </c>
      <c r="DY26" s="208">
        <f>OUT!T28</f>
        <v>0</v>
      </c>
      <c r="DZ26" s="208">
        <f>OUT!U28</f>
        <v>0</v>
      </c>
      <c r="EA26" s="208">
        <f>OUT!V28</f>
        <v>0</v>
      </c>
      <c r="EB26" s="208">
        <f>OUT!W28</f>
        <v>0</v>
      </c>
      <c r="EC26" s="208">
        <f>OUT!X28</f>
        <v>0</v>
      </c>
      <c r="ED26" s="209">
        <f t="shared" si="26"/>
        <v>0</v>
      </c>
      <c r="EE26" s="208"/>
      <c r="EF26" s="208"/>
      <c r="EG26" s="208"/>
      <c r="EH26" s="208"/>
      <c r="EI26" s="208"/>
      <c r="EJ26" s="208"/>
      <c r="EK26" s="209">
        <f t="shared" si="27"/>
        <v>0</v>
      </c>
      <c r="EL26" s="208">
        <f>NOV!S28</f>
        <v>0</v>
      </c>
      <c r="EM26" s="208">
        <f>NOV!T28</f>
        <v>0</v>
      </c>
      <c r="EN26" s="208">
        <f>NOV!U28</f>
        <v>0</v>
      </c>
      <c r="EO26" s="208">
        <f>NOV!V28</f>
        <v>0</v>
      </c>
      <c r="EP26" s="208">
        <f>NOV!W28</f>
        <v>0</v>
      </c>
      <c r="EQ26" s="208">
        <f>NOV!X28</f>
        <v>0</v>
      </c>
      <c r="ER26" s="209">
        <f t="shared" si="28"/>
        <v>0</v>
      </c>
      <c r="ES26" s="208"/>
      <c r="ET26" s="208"/>
      <c r="EU26" s="208"/>
      <c r="EV26" s="208"/>
      <c r="EW26" s="208"/>
      <c r="EX26" s="208"/>
      <c r="EY26" s="209">
        <f t="shared" si="29"/>
        <v>0</v>
      </c>
      <c r="EZ26" s="208">
        <f>DEZ!S28</f>
        <v>0</v>
      </c>
      <c r="FA26" s="208">
        <f>DEZ!T28</f>
        <v>0</v>
      </c>
      <c r="FB26" s="208">
        <f>DEZ!U28</f>
        <v>0</v>
      </c>
      <c r="FC26" s="208">
        <f>DEZ!V28</f>
        <v>0</v>
      </c>
      <c r="FD26" s="208">
        <f>DEZ!W28</f>
        <v>0</v>
      </c>
      <c r="FE26" s="208">
        <f>DEZ!X28</f>
        <v>0</v>
      </c>
      <c r="FF26" s="209">
        <f t="shared" si="30"/>
        <v>0</v>
      </c>
      <c r="FG26" s="208"/>
      <c r="FH26" s="208"/>
      <c r="FI26" s="208"/>
      <c r="FJ26" s="208"/>
      <c r="FK26" s="208"/>
      <c r="FL26" s="208"/>
      <c r="FM26" s="207">
        <f t="shared" si="31"/>
        <v>0</v>
      </c>
      <c r="FN26" s="210">
        <f t="shared" si="93"/>
        <v>3238796.0720000002</v>
      </c>
      <c r="FO26" s="518">
        <f t="shared" si="32"/>
        <v>790322.08800000011</v>
      </c>
      <c r="FP26" s="208">
        <f t="shared" si="33"/>
        <v>212343.61600000001</v>
      </c>
      <c r="FQ26" s="208">
        <f t="shared" si="34"/>
        <v>220887.296</v>
      </c>
      <c r="FR26" s="208">
        <f t="shared" si="35"/>
        <v>4162542.7920000004</v>
      </c>
      <c r="FS26" s="208">
        <f t="shared" si="36"/>
        <v>433531.25600000005</v>
      </c>
      <c r="FT26" s="209">
        <f t="shared" si="37"/>
        <v>9058423.120000001</v>
      </c>
      <c r="FU26" s="208">
        <f t="shared" si="94"/>
        <v>2674745.0960000004</v>
      </c>
      <c r="FV26" s="208">
        <f t="shared" si="38"/>
        <v>570018.80799999996</v>
      </c>
      <c r="FW26" s="208">
        <f t="shared" si="39"/>
        <v>241560.84000000003</v>
      </c>
      <c r="FX26" s="208">
        <f t="shared" si="40"/>
        <v>64965.552000000003</v>
      </c>
      <c r="FY26" s="208">
        <f t="shared" si="41"/>
        <v>3894331.9920000006</v>
      </c>
      <c r="FZ26" s="208">
        <f t="shared" si="42"/>
        <v>303518.3520000003</v>
      </c>
      <c r="GA26" s="207">
        <f t="shared" si="43"/>
        <v>7749140.6400000006</v>
      </c>
      <c r="GB26" s="206">
        <f t="shared" si="95"/>
        <v>21.088027298134733</v>
      </c>
      <c r="GC26" s="206">
        <f t="shared" si="96"/>
        <v>38.648422983264112</v>
      </c>
      <c r="GD26" s="206">
        <f t="shared" si="44"/>
        <v>-12.095182315146786</v>
      </c>
      <c r="GE26" s="206">
        <f t="shared" si="45"/>
        <v>240.0068023742798</v>
      </c>
      <c r="GF26" s="206">
        <f t="shared" si="46"/>
        <v>6.8872094251588294</v>
      </c>
      <c r="GG26" s="206">
        <f t="shared" si="47"/>
        <v>42.835269479849956</v>
      </c>
      <c r="GH26" s="205">
        <f t="shared" si="97"/>
        <v>16.895840981923385</v>
      </c>
      <c r="GI26" s="215" t="str">
        <f t="shared" si="98"/>
        <v>MAIOR</v>
      </c>
    </row>
    <row r="27" spans="1:191" s="566" customFormat="1">
      <c r="A27" s="319" t="s">
        <v>102</v>
      </c>
      <c r="B27" s="208">
        <f>VLOOKUP($A$3:$A$29,JAN!$A$5:$B$31,2,)</f>
        <v>66389.568000000014</v>
      </c>
      <c r="C27" s="208">
        <f>VLOOKUP($A$3:$A$29,JAN!$A$5:$C$31,3,)</f>
        <v>11842.119999999995</v>
      </c>
      <c r="D27" s="208">
        <f>VLOOKUP($A$3:$A$29,JAN!$A$5:$D$31,4,)</f>
        <v>2397.5439999999999</v>
      </c>
      <c r="E27" s="208">
        <f>VLOOKUP($A$3:$A$29,JAN!$A$5:$E$31,5,)</f>
        <v>1317.5360000000001</v>
      </c>
      <c r="F27" s="208">
        <f>VLOOKUP($A$3:$A$29,JAN!$A$5:$X$32,23,)</f>
        <v>50268.911999999997</v>
      </c>
      <c r="G27" s="208">
        <f>VLOOKUP($A$3:$A$29,JAN!$A$5:$X$32,24,)</f>
        <v>4174.9280000000008</v>
      </c>
      <c r="H27" s="209">
        <f t="shared" si="0"/>
        <v>136390.60800000001</v>
      </c>
      <c r="I27" s="208">
        <f t="shared" si="48"/>
        <v>55705.207999999999</v>
      </c>
      <c r="J27" s="208">
        <f t="shared" si="49"/>
        <v>19094.976000000002</v>
      </c>
      <c r="K27" s="208">
        <f t="shared" si="50"/>
        <v>2121.2560000000003</v>
      </c>
      <c r="L27" s="208">
        <f t="shared" si="51"/>
        <v>1962.9279999999997</v>
      </c>
      <c r="M27" s="208">
        <f t="shared" si="52"/>
        <v>45950.856</v>
      </c>
      <c r="N27" s="208">
        <f t="shared" si="53"/>
        <v>7204.2399999999952</v>
      </c>
      <c r="O27" s="209">
        <f t="shared" si="2"/>
        <v>132039.46400000001</v>
      </c>
      <c r="P27" s="208">
        <f>VLOOKUP($A$3:$A$29,FEV!$A$5:$B$31,2,)</f>
        <v>62505.52</v>
      </c>
      <c r="Q27" s="208">
        <f>VLOOKUP($A$3:$A$29,FEV!$A$5:$C$31,3,)</f>
        <v>18528.352000000014</v>
      </c>
      <c r="R27" s="208">
        <f>VLOOKUP($A$3:$A$29,FEV!$A$5:$D$31,4,)</f>
        <v>1274.856</v>
      </c>
      <c r="S27" s="208">
        <f>VLOOKUP($A$3:$A$29,FEV!$A$5:$E$31,5,)</f>
        <v>773.58399999999983</v>
      </c>
      <c r="T27" s="208">
        <f>VLOOKUP($A$3:$A$29,FEV!$A$5:$X$32,23,)</f>
        <v>59292.671999999999</v>
      </c>
      <c r="U27" s="208">
        <f>VLOOKUP($A$3:$A$29,FEV!$A$5:$X$32,24,)</f>
        <v>5016.616</v>
      </c>
      <c r="V27" s="209">
        <f t="shared" si="54"/>
        <v>147391.6</v>
      </c>
      <c r="W27" s="208">
        <f t="shared" si="55"/>
        <v>62915.568000000007</v>
      </c>
      <c r="X27" s="208">
        <f t="shared" si="99"/>
        <v>20645.623999999996</v>
      </c>
      <c r="Y27" s="208">
        <f t="shared" si="100"/>
        <v>2559.7280000000001</v>
      </c>
      <c r="Z27" s="208">
        <f t="shared" si="101"/>
        <v>623.33600000000024</v>
      </c>
      <c r="AA27" s="208">
        <f t="shared" si="102"/>
        <v>53676.600000000006</v>
      </c>
      <c r="AB27" s="208">
        <f t="shared" si="103"/>
        <v>4287.6639999999998</v>
      </c>
      <c r="AC27" s="209">
        <f t="shared" si="4"/>
        <v>144708.52000000002</v>
      </c>
      <c r="AD27" s="208">
        <f>VLOOKUP($A$3:$A$29,MAR!$A$5:$B$31,2,)</f>
        <v>55323.19200000001</v>
      </c>
      <c r="AE27" s="208">
        <f>VLOOKUP($A$3:$A$29,MAR!$A$5:$C$31,3,)</f>
        <v>15698.032000000001</v>
      </c>
      <c r="AF27" s="208">
        <f>VLOOKUP($A$3:$A$29,MAR!$A$5:$D$31,4,)</f>
        <v>923.16800000000012</v>
      </c>
      <c r="AG27" s="208">
        <f>VLOOKUP($A$3:$A$29,MAR!$A$5:$E$31,5,)</f>
        <v>1025</v>
      </c>
      <c r="AH27" s="208">
        <f>VLOOKUP($A$3:$A$29,MAR!$A$5:$X$32,23,)</f>
        <v>83995.631999999998</v>
      </c>
      <c r="AI27" s="208">
        <f>VLOOKUP($A$3:$A$29,MAR!$A$5:$X$32,24,)</f>
        <v>6248.5280000000002</v>
      </c>
      <c r="AJ27" s="209">
        <f t="shared" si="5"/>
        <v>163213.55200000003</v>
      </c>
      <c r="AK27" s="208">
        <f t="shared" si="56"/>
        <v>55686.695999999996</v>
      </c>
      <c r="AL27" s="208">
        <f t="shared" si="57"/>
        <v>17060.960000000003</v>
      </c>
      <c r="AM27" s="208">
        <f t="shared" si="58"/>
        <v>1997.4160000000002</v>
      </c>
      <c r="AN27" s="208">
        <f t="shared" si="59"/>
        <v>1107.8000000000002</v>
      </c>
      <c r="AO27" s="208">
        <f t="shared" si="60"/>
        <v>64176.840000000004</v>
      </c>
      <c r="AP27" s="208">
        <f t="shared" si="61"/>
        <v>5593.9120000000003</v>
      </c>
      <c r="AQ27" s="209">
        <f t="shared" si="7"/>
        <v>145623.62400000001</v>
      </c>
      <c r="AR27" s="208">
        <f>ABR!S29</f>
        <v>1289127.952</v>
      </c>
      <c r="AS27" s="208">
        <f>ABR!T29</f>
        <v>345118.984</v>
      </c>
      <c r="AT27" s="208">
        <f>ABR!U29</f>
        <v>29190.528000000006</v>
      </c>
      <c r="AU27" s="208">
        <f>ABR!V29</f>
        <v>56751.528000000006</v>
      </c>
      <c r="AV27" s="208">
        <f>ABR!W29</f>
        <v>2434221.2400000002</v>
      </c>
      <c r="AW27" s="208">
        <f>ABR!X29</f>
        <v>186100.90400000001</v>
      </c>
      <c r="AX27" s="209">
        <f t="shared" si="8"/>
        <v>4340511.1359999999</v>
      </c>
      <c r="AY27" s="208">
        <f t="shared" si="62"/>
        <v>37402.288</v>
      </c>
      <c r="AZ27" s="208">
        <f t="shared" si="104"/>
        <v>15768.744000000001</v>
      </c>
      <c r="BA27" s="208">
        <f t="shared" si="105"/>
        <v>1750.8080000000002</v>
      </c>
      <c r="BB27" s="208">
        <f t="shared" si="106"/>
        <v>1400.704</v>
      </c>
      <c r="BC27" s="208">
        <f t="shared" si="107"/>
        <v>64098.48000000001</v>
      </c>
      <c r="BD27" s="208">
        <f t="shared" si="108"/>
        <v>4520.2160000000003</v>
      </c>
      <c r="BE27" s="209">
        <f t="shared" si="10"/>
        <v>124941.24</v>
      </c>
      <c r="BF27" s="208">
        <f>MAI!S29</f>
        <v>1538621.6</v>
      </c>
      <c r="BG27" s="208">
        <f>MAI!T29</f>
        <v>399717.19200000004</v>
      </c>
      <c r="BH27" s="208">
        <f>MAI!U29</f>
        <v>28406.184000000005</v>
      </c>
      <c r="BI27" s="208">
        <f>MAI!V29</f>
        <v>69605.208000000013</v>
      </c>
      <c r="BJ27" s="208">
        <f>MAI!W29</f>
        <v>2888980.2</v>
      </c>
      <c r="BK27" s="208">
        <f>MAI!X29</f>
        <v>246396.21799999999</v>
      </c>
      <c r="BL27" s="209">
        <f t="shared" si="11"/>
        <v>5171726.6020000009</v>
      </c>
      <c r="BM27" s="208">
        <f t="shared" si="63"/>
        <v>34974.496000000006</v>
      </c>
      <c r="BN27" s="208">
        <f t="shared" si="64"/>
        <v>13199.903999999999</v>
      </c>
      <c r="BO27" s="208">
        <f t="shared" si="65"/>
        <v>941.97600000000011</v>
      </c>
      <c r="BP27" s="208">
        <f t="shared" si="66"/>
        <v>1028.944</v>
      </c>
      <c r="BQ27" s="208">
        <f t="shared" si="67"/>
        <v>55635.600000000006</v>
      </c>
      <c r="BR27" s="208">
        <f t="shared" si="68"/>
        <v>4622.808</v>
      </c>
      <c r="BS27" s="209">
        <f t="shared" si="13"/>
        <v>110403.72800000002</v>
      </c>
      <c r="BT27" s="208">
        <f>JUN!S29</f>
        <v>1593098.4160000002</v>
      </c>
      <c r="BU27" s="208">
        <f>JUN!T29</f>
        <v>325029.02399999986</v>
      </c>
      <c r="BV27" s="208">
        <f>JUN!U29</f>
        <v>30339.304</v>
      </c>
      <c r="BW27" s="208">
        <f>JUN!V29</f>
        <v>68904.552000000011</v>
      </c>
      <c r="BX27" s="208">
        <f>JUN!W29</f>
        <v>2716293.5280000004</v>
      </c>
      <c r="BY27" s="208">
        <f>JUN!X29</f>
        <v>196664.92</v>
      </c>
      <c r="BZ27" s="209">
        <f t="shared" si="14"/>
        <v>4930329.7439999999</v>
      </c>
      <c r="CA27" s="208">
        <f t="shared" si="69"/>
        <v>30575.176000000003</v>
      </c>
      <c r="CB27" s="208">
        <f t="shared" si="70"/>
        <v>15267.912</v>
      </c>
      <c r="CC27" s="208">
        <f t="shared" si="71"/>
        <v>1380.432</v>
      </c>
      <c r="CD27" s="208">
        <f t="shared" si="72"/>
        <v>1080.5759999999998</v>
      </c>
      <c r="CE27" s="208">
        <f t="shared" si="73"/>
        <v>58456.560000000005</v>
      </c>
      <c r="CF27" s="208">
        <f t="shared" si="74"/>
        <v>6814.6319999999996</v>
      </c>
      <c r="CG27" s="209">
        <f t="shared" si="16"/>
        <v>113575.28800000002</v>
      </c>
      <c r="CH27" s="208">
        <f>JUL!S29</f>
        <v>1193413.08</v>
      </c>
      <c r="CI27" s="208">
        <f>JUL!T29</f>
        <v>279459.55199999979</v>
      </c>
      <c r="CJ27" s="208">
        <f>JUL!U29</f>
        <v>54922.92</v>
      </c>
      <c r="CK27" s="208">
        <f>JUL!V29</f>
        <v>47690.504000000008</v>
      </c>
      <c r="CL27" s="208">
        <f>JUL!W29</f>
        <v>2650731.7200000002</v>
      </c>
      <c r="CM27" s="208">
        <f>JUL!X29</f>
        <v>239456.71399999998</v>
      </c>
      <c r="CN27" s="209">
        <f t="shared" si="17"/>
        <v>4465674.4899999993</v>
      </c>
      <c r="CO27" s="208">
        <f t="shared" si="75"/>
        <v>27722.024000000001</v>
      </c>
      <c r="CP27" s="208">
        <f t="shared" si="76"/>
        <v>15227.488000000001</v>
      </c>
      <c r="CQ27" s="208">
        <f t="shared" si="77"/>
        <v>1688.8560000000002</v>
      </c>
      <c r="CR27" s="208">
        <f t="shared" si="78"/>
        <v>1246.2559999999999</v>
      </c>
      <c r="CS27" s="208">
        <f t="shared" si="79"/>
        <v>66057.48000000001</v>
      </c>
      <c r="CT27" s="208">
        <f t="shared" si="80"/>
        <v>8081.6560000000009</v>
      </c>
      <c r="CU27" s="209">
        <f t="shared" si="19"/>
        <v>120023.76000000002</v>
      </c>
      <c r="CV27" s="208">
        <f>AGO!S29</f>
        <v>536718.13600000006</v>
      </c>
      <c r="CW27" s="208">
        <f>AGO!T29</f>
        <v>324729.82399999996</v>
      </c>
      <c r="CX27" s="208">
        <f>AGO!U29</f>
        <v>282244.21600000001</v>
      </c>
      <c r="CY27" s="208">
        <f>AGO!V29</f>
        <v>183847.71999999994</v>
      </c>
      <c r="CZ27" s="208">
        <f>AGO!W29</f>
        <v>2908979.16</v>
      </c>
      <c r="DA27" s="208">
        <f>AGO!X29</f>
        <v>345335.17600000004</v>
      </c>
      <c r="DB27" s="209">
        <f t="shared" si="20"/>
        <v>4581854.2319999998</v>
      </c>
      <c r="DC27" s="208">
        <f t="shared" si="81"/>
        <v>19180.007999999998</v>
      </c>
      <c r="DD27" s="208">
        <f t="shared" si="82"/>
        <v>14799.696</v>
      </c>
      <c r="DE27" s="208">
        <f t="shared" si="83"/>
        <v>4910.92</v>
      </c>
      <c r="DF27" s="208">
        <f t="shared" si="84"/>
        <v>209.66400000000036</v>
      </c>
      <c r="DG27" s="208">
        <f t="shared" si="85"/>
        <v>64098.479999999996</v>
      </c>
      <c r="DH27" s="208">
        <f t="shared" si="86"/>
        <v>8250.1840000000011</v>
      </c>
      <c r="DI27" s="209">
        <f t="shared" si="22"/>
        <v>111448.95199999999</v>
      </c>
      <c r="DJ27" s="208">
        <f>SET!S29</f>
        <v>408236.39199999999</v>
      </c>
      <c r="DK27" s="208">
        <f>SET!T29</f>
        <v>263065.52</v>
      </c>
      <c r="DL27" s="208">
        <f>SET!U29</f>
        <v>152503.47200000001</v>
      </c>
      <c r="DM27" s="208">
        <f>SET!V29</f>
        <v>181900.568</v>
      </c>
      <c r="DN27" s="208">
        <f>SET!W29</f>
        <v>2603951.5440000002</v>
      </c>
      <c r="DO27" s="208">
        <f>SET!X29</f>
        <v>328115.46199999988</v>
      </c>
      <c r="DP27" s="209">
        <f t="shared" si="23"/>
        <v>3937772.9580000001</v>
      </c>
      <c r="DQ27" s="208">
        <f t="shared" si="87"/>
        <v>15569.432000000001</v>
      </c>
      <c r="DR27" s="208">
        <f t="shared" si="88"/>
        <v>10897.456</v>
      </c>
      <c r="DS27" s="208">
        <f t="shared" si="89"/>
        <v>3607.2480000000005</v>
      </c>
      <c r="DT27" s="208">
        <f t="shared" si="90"/>
        <v>1386.3039999999994</v>
      </c>
      <c r="DU27" s="208">
        <f t="shared" si="91"/>
        <v>65195.520000000004</v>
      </c>
      <c r="DV27" s="208">
        <f t="shared" si="92"/>
        <v>7315.2</v>
      </c>
      <c r="DW27" s="209">
        <f t="shared" si="25"/>
        <v>103971.16</v>
      </c>
      <c r="DX27" s="208">
        <f>OUT!S29</f>
        <v>0</v>
      </c>
      <c r="DY27" s="208">
        <f>OUT!T29</f>
        <v>0</v>
      </c>
      <c r="DZ27" s="208">
        <f>OUT!U29</f>
        <v>0</v>
      </c>
      <c r="EA27" s="208">
        <f>OUT!V29</f>
        <v>0</v>
      </c>
      <c r="EB27" s="208">
        <f>OUT!W29</f>
        <v>0</v>
      </c>
      <c r="EC27" s="208">
        <f>OUT!X29</f>
        <v>0</v>
      </c>
      <c r="ED27" s="209">
        <f t="shared" si="26"/>
        <v>0</v>
      </c>
      <c r="EE27" s="208"/>
      <c r="EF27" s="208"/>
      <c r="EG27" s="208"/>
      <c r="EH27" s="208"/>
      <c r="EI27" s="208"/>
      <c r="EJ27" s="208"/>
      <c r="EK27" s="209">
        <f t="shared" si="27"/>
        <v>0</v>
      </c>
      <c r="EL27" s="208">
        <f>NOV!S29</f>
        <v>0</v>
      </c>
      <c r="EM27" s="208">
        <f>NOV!T29</f>
        <v>0</v>
      </c>
      <c r="EN27" s="208">
        <f>NOV!U29</f>
        <v>0</v>
      </c>
      <c r="EO27" s="208">
        <f>NOV!V29</f>
        <v>0</v>
      </c>
      <c r="EP27" s="208">
        <f>NOV!W29</f>
        <v>0</v>
      </c>
      <c r="EQ27" s="208">
        <f>NOV!X29</f>
        <v>0</v>
      </c>
      <c r="ER27" s="209">
        <f t="shared" si="28"/>
        <v>0</v>
      </c>
      <c r="ES27" s="208"/>
      <c r="ET27" s="208"/>
      <c r="EU27" s="208"/>
      <c r="EV27" s="208"/>
      <c r="EW27" s="208"/>
      <c r="EX27" s="208"/>
      <c r="EY27" s="209">
        <f t="shared" si="29"/>
        <v>0</v>
      </c>
      <c r="EZ27" s="208">
        <f>DEZ!S29</f>
        <v>0</v>
      </c>
      <c r="FA27" s="208">
        <f>DEZ!T29</f>
        <v>0</v>
      </c>
      <c r="FB27" s="208">
        <f>DEZ!U29</f>
        <v>0</v>
      </c>
      <c r="FC27" s="208">
        <f>DEZ!V29</f>
        <v>0</v>
      </c>
      <c r="FD27" s="208">
        <f>DEZ!W29</f>
        <v>0</v>
      </c>
      <c r="FE27" s="208">
        <f>DEZ!X29</f>
        <v>0</v>
      </c>
      <c r="FF27" s="209">
        <f t="shared" si="30"/>
        <v>0</v>
      </c>
      <c r="FG27" s="208"/>
      <c r="FH27" s="208"/>
      <c r="FI27" s="208"/>
      <c r="FJ27" s="208"/>
      <c r="FK27" s="208"/>
      <c r="FL27" s="208"/>
      <c r="FM27" s="207">
        <f t="shared" si="31"/>
        <v>0</v>
      </c>
      <c r="FN27" s="210">
        <f t="shared" si="93"/>
        <v>6743433.8560000006</v>
      </c>
      <c r="FO27" s="518">
        <f t="shared" si="32"/>
        <v>1983188.5999999996</v>
      </c>
      <c r="FP27" s="208">
        <f t="shared" si="33"/>
        <v>582202.19200000004</v>
      </c>
      <c r="FQ27" s="208">
        <f t="shared" si="34"/>
        <v>611816.19999999995</v>
      </c>
      <c r="FR27" s="208">
        <f t="shared" si="35"/>
        <v>16396714.608000001</v>
      </c>
      <c r="FS27" s="208">
        <f t="shared" si="36"/>
        <v>1557509.4659999998</v>
      </c>
      <c r="FT27" s="209">
        <f t="shared" si="37"/>
        <v>27874864.921999998</v>
      </c>
      <c r="FU27" s="208">
        <f t="shared" si="94"/>
        <v>339730.89599999995</v>
      </c>
      <c r="FV27" s="208">
        <f t="shared" si="38"/>
        <v>141962.75999999998</v>
      </c>
      <c r="FW27" s="208">
        <f t="shared" si="39"/>
        <v>20958.64</v>
      </c>
      <c r="FX27" s="208">
        <f t="shared" si="40"/>
        <v>10046.512000000001</v>
      </c>
      <c r="FY27" s="208">
        <f t="shared" si="41"/>
        <v>537346.41600000008</v>
      </c>
      <c r="FZ27" s="208">
        <f t="shared" si="42"/>
        <v>56690.511999999995</v>
      </c>
      <c r="GA27" s="207">
        <f t="shared" si="43"/>
        <v>1106735.736</v>
      </c>
      <c r="GB27" s="206">
        <f t="shared" si="95"/>
        <v>1884.9339390080086</v>
      </c>
      <c r="GC27" s="206">
        <f t="shared" si="96"/>
        <v>1296.9780525540641</v>
      </c>
      <c r="GD27" s="206">
        <f t="shared" si="44"/>
        <v>2677.8624567242914</v>
      </c>
      <c r="GE27" s="206">
        <f t="shared" si="45"/>
        <v>5989.8369503764088</v>
      </c>
      <c r="GF27" s="206">
        <f t="shared" si="46"/>
        <v>2951.4234616203335</v>
      </c>
      <c r="GG27" s="206">
        <f t="shared" si="47"/>
        <v>2647.3900147523805</v>
      </c>
      <c r="GH27" s="205">
        <f t="shared" si="97"/>
        <v>2418.6559008879785</v>
      </c>
      <c r="GI27" s="215" t="str">
        <f t="shared" si="98"/>
        <v>MAIOR</v>
      </c>
    </row>
    <row r="28" spans="1:191" s="566" customFormat="1">
      <c r="A28" s="319" t="s">
        <v>101</v>
      </c>
      <c r="B28" s="208">
        <f>VLOOKUP($A$3:$A$29,JAN!$A$5:$B$31,2,)</f>
        <v>3071719.08</v>
      </c>
      <c r="C28" s="208">
        <f>VLOOKUP($A$3:$A$29,JAN!$A$5:$C$31,3,)</f>
        <v>411876.2800000002</v>
      </c>
      <c r="D28" s="208">
        <f>VLOOKUP($A$3:$A$29,JAN!$A$5:$D$31,4,)</f>
        <v>109741.11200000002</v>
      </c>
      <c r="E28" s="208">
        <f>VLOOKUP($A$3:$A$29,JAN!$A$5:$E$31,5,)</f>
        <v>64372.064000000006</v>
      </c>
      <c r="F28" s="208">
        <f>VLOOKUP($A$3:$A$29,JAN!$A$5:$X$32,23,)</f>
        <v>1890930.432</v>
      </c>
      <c r="G28" s="208">
        <f>VLOOKUP($A$3:$A$29,JAN!$A$5:$X$32,24,)</f>
        <v>178842.46</v>
      </c>
      <c r="H28" s="209">
        <f t="shared" si="0"/>
        <v>5727481.4280000003</v>
      </c>
      <c r="I28" s="208">
        <f t="shared" si="48"/>
        <v>2899267.8160000001</v>
      </c>
      <c r="J28" s="208">
        <f t="shared" si="49"/>
        <v>537658.59999999963</v>
      </c>
      <c r="K28" s="208">
        <f t="shared" si="50"/>
        <v>171575.04000000001</v>
      </c>
      <c r="L28" s="208">
        <f t="shared" si="51"/>
        <v>57607.280000000028</v>
      </c>
      <c r="M28" s="208">
        <f t="shared" si="52"/>
        <v>1707285.784</v>
      </c>
      <c r="N28" s="208">
        <f t="shared" si="53"/>
        <v>209036.51200000188</v>
      </c>
      <c r="O28" s="209">
        <f t="shared" si="2"/>
        <v>5582431.0320000015</v>
      </c>
      <c r="P28" s="208">
        <f>VLOOKUP($A$3:$A$29,FEV!$A$5:$B$31,2,)</f>
        <v>3320795.6960000005</v>
      </c>
      <c r="Q28" s="208">
        <f>VLOOKUP($A$3:$A$29,FEV!$A$5:$C$31,3,)</f>
        <v>513328.43200000003</v>
      </c>
      <c r="R28" s="208">
        <f>VLOOKUP($A$3:$A$29,FEV!$A$5:$D$31,4,)</f>
        <v>100539.39200000001</v>
      </c>
      <c r="S28" s="208">
        <f>VLOOKUP($A$3:$A$29,FEV!$A$5:$E$31,5,)</f>
        <v>80940.640000000014</v>
      </c>
      <c r="T28" s="208">
        <f>VLOOKUP($A$3:$A$29,FEV!$A$5:$X$32,23,)</f>
        <v>2280100.8480000002</v>
      </c>
      <c r="U28" s="208">
        <f>VLOOKUP($A$3:$A$29,FEV!$A$5:$X$32,24,)</f>
        <v>250255.10000000003</v>
      </c>
      <c r="V28" s="209">
        <f t="shared" si="54"/>
        <v>6545960.1080000009</v>
      </c>
      <c r="W28" s="208">
        <f t="shared" si="55"/>
        <v>3175271.2</v>
      </c>
      <c r="X28" s="208">
        <f t="shared" si="99"/>
        <v>538897.02400000021</v>
      </c>
      <c r="Y28" s="208">
        <f t="shared" si="100"/>
        <v>167341.98400000003</v>
      </c>
      <c r="Z28" s="208">
        <f t="shared" si="101"/>
        <v>48535.728000000003</v>
      </c>
      <c r="AA28" s="208">
        <f t="shared" si="102"/>
        <v>2087486.736</v>
      </c>
      <c r="AB28" s="208">
        <f t="shared" si="103"/>
        <v>199241.16000000003</v>
      </c>
      <c r="AC28" s="209">
        <f t="shared" si="4"/>
        <v>6216773.8320000004</v>
      </c>
      <c r="AD28" s="208">
        <f>VLOOKUP($A$3:$A$29,MAR!$A$5:$B$31,2,)</f>
        <v>2762173.6880000001</v>
      </c>
      <c r="AE28" s="208">
        <f>VLOOKUP($A$3:$A$29,MAR!$A$5:$C$31,3,)</f>
        <v>520882.19200000004</v>
      </c>
      <c r="AF28" s="208">
        <f>VLOOKUP($A$3:$A$29,MAR!$A$5:$D$31,4,)</f>
        <v>56169.768000000011</v>
      </c>
      <c r="AG28" s="208">
        <f>VLOOKUP($A$3:$A$29,MAR!$A$5:$E$31,5,)</f>
        <v>93335.216000000015</v>
      </c>
      <c r="AH28" s="208">
        <f>VLOOKUP($A$3:$A$29,MAR!$A$5:$X$32,23,)</f>
        <v>2854112.4480000003</v>
      </c>
      <c r="AI28" s="208">
        <f>VLOOKUP($A$3:$A$29,MAR!$A$5:$X$32,24,)</f>
        <v>277236.68000000005</v>
      </c>
      <c r="AJ28" s="209">
        <f t="shared" si="5"/>
        <v>6563909.9920000006</v>
      </c>
      <c r="AK28" s="208">
        <f t="shared" si="56"/>
        <v>2352336.7039999999</v>
      </c>
      <c r="AL28" s="208">
        <f t="shared" si="57"/>
        <v>515443.95200000016</v>
      </c>
      <c r="AM28" s="208">
        <f t="shared" si="58"/>
        <v>101307.47200000001</v>
      </c>
      <c r="AN28" s="208">
        <f t="shared" si="59"/>
        <v>65766.767999999996</v>
      </c>
      <c r="AO28" s="208">
        <f t="shared" si="60"/>
        <v>2239594.7439999999</v>
      </c>
      <c r="AP28" s="208">
        <f t="shared" si="61"/>
        <v>180278.976</v>
      </c>
      <c r="AQ28" s="209">
        <f t="shared" si="7"/>
        <v>5454728.6160000004</v>
      </c>
      <c r="AR28" s="208">
        <f>ABR!S30</f>
        <v>32430.576000000001</v>
      </c>
      <c r="AS28" s="208">
        <f>ABR!T30</f>
        <v>10193.976000000001</v>
      </c>
      <c r="AT28" s="208">
        <f>ABR!U30</f>
        <v>913.024</v>
      </c>
      <c r="AU28" s="208">
        <f>ABR!V30</f>
        <v>1194.6479999999999</v>
      </c>
      <c r="AV28" s="208">
        <f>ABR!W30</f>
        <v>64518.384000000005</v>
      </c>
      <c r="AW28" s="208">
        <f>ABR!X30</f>
        <v>4167.576</v>
      </c>
      <c r="AX28" s="209">
        <f t="shared" si="8"/>
        <v>113418.18400000001</v>
      </c>
      <c r="AY28" s="208">
        <f t="shared" si="62"/>
        <v>1493177.936</v>
      </c>
      <c r="AZ28" s="208">
        <f t="shared" si="104"/>
        <v>374021.44</v>
      </c>
      <c r="BA28" s="208">
        <f t="shared" si="105"/>
        <v>65859.432000000001</v>
      </c>
      <c r="BB28" s="208">
        <f t="shared" si="106"/>
        <v>58567.92</v>
      </c>
      <c r="BC28" s="208">
        <f t="shared" si="107"/>
        <v>2018338.128</v>
      </c>
      <c r="BD28" s="208">
        <f t="shared" si="108"/>
        <v>177861.86400000003</v>
      </c>
      <c r="BE28" s="209">
        <f t="shared" si="10"/>
        <v>4187826.7199999997</v>
      </c>
      <c r="BF28" s="208">
        <f>MAI!S30</f>
        <v>39940.984000000004</v>
      </c>
      <c r="BG28" s="208">
        <f>MAI!T30</f>
        <v>10310.168000000001</v>
      </c>
      <c r="BH28" s="208">
        <f>MAI!U30</f>
        <v>941.76800000000003</v>
      </c>
      <c r="BI28" s="208">
        <f>MAI!V30</f>
        <v>4216.3680000000004</v>
      </c>
      <c r="BJ28" s="208">
        <f>MAI!W30</f>
        <v>70952.831999999995</v>
      </c>
      <c r="BK28" s="208">
        <f>MAI!X30</f>
        <v>5512.0879999999997</v>
      </c>
      <c r="BL28" s="209">
        <f t="shared" si="11"/>
        <v>131874.20799999998</v>
      </c>
      <c r="BM28" s="208">
        <f t="shared" si="63"/>
        <v>1262985.0480000002</v>
      </c>
      <c r="BN28" s="208">
        <f t="shared" si="64"/>
        <v>424847.75199999998</v>
      </c>
      <c r="BO28" s="208">
        <f t="shared" si="65"/>
        <v>47326.752000000008</v>
      </c>
      <c r="BP28" s="208">
        <f t="shared" si="66"/>
        <v>53494.32</v>
      </c>
      <c r="BQ28" s="208">
        <f t="shared" si="67"/>
        <v>2252632.4720000001</v>
      </c>
      <c r="BR28" s="208">
        <f t="shared" si="68"/>
        <v>210334.71200000003</v>
      </c>
      <c r="BS28" s="209">
        <f t="shared" si="13"/>
        <v>4251621.0560000008</v>
      </c>
      <c r="BT28" s="208">
        <f>JUN!S30</f>
        <v>48740.528000000006</v>
      </c>
      <c r="BU28" s="208">
        <f>JUN!T30</f>
        <v>16579.735999999986</v>
      </c>
      <c r="BV28" s="208">
        <f>JUN!U30</f>
        <v>769.29600000000005</v>
      </c>
      <c r="BW28" s="208">
        <f>JUN!V30</f>
        <v>772.54399999999998</v>
      </c>
      <c r="BX28" s="208">
        <f>JUN!W30</f>
        <v>53562.432000000008</v>
      </c>
      <c r="BY28" s="208">
        <f>JUN!X30</f>
        <v>3811.096</v>
      </c>
      <c r="BZ28" s="209">
        <f t="shared" si="14"/>
        <v>124235.632</v>
      </c>
      <c r="CA28" s="208">
        <f t="shared" si="69"/>
        <v>1284285.544</v>
      </c>
      <c r="CB28" s="208">
        <f t="shared" si="70"/>
        <v>477495.12799999997</v>
      </c>
      <c r="CC28" s="208">
        <f t="shared" si="71"/>
        <v>69867.088000000003</v>
      </c>
      <c r="CD28" s="208">
        <f t="shared" si="72"/>
        <v>63170.688000000002</v>
      </c>
      <c r="CE28" s="208">
        <f t="shared" si="73"/>
        <v>2360203.1999999997</v>
      </c>
      <c r="CF28" s="208">
        <f t="shared" si="74"/>
        <v>350089.07799999998</v>
      </c>
      <c r="CG28" s="209">
        <f t="shared" si="16"/>
        <v>4605110.7259999998</v>
      </c>
      <c r="CH28" s="208">
        <f>JUL!S30</f>
        <v>37506.488000000005</v>
      </c>
      <c r="CI28" s="208">
        <f>JUL!T30</f>
        <v>7572.1440000000002</v>
      </c>
      <c r="CJ28" s="208">
        <f>JUL!U30</f>
        <v>1799</v>
      </c>
      <c r="CK28" s="208">
        <f>JUL!V30</f>
        <v>101.74399999999987</v>
      </c>
      <c r="CL28" s="208">
        <f>JUL!W30</f>
        <v>59475.168000000005</v>
      </c>
      <c r="CM28" s="208">
        <f>JUL!X30</f>
        <v>5714.5440000000008</v>
      </c>
      <c r="CN28" s="209">
        <f t="shared" si="17"/>
        <v>112169.088</v>
      </c>
      <c r="CO28" s="208">
        <f t="shared" si="75"/>
        <v>873893.68000000017</v>
      </c>
      <c r="CP28" s="208">
        <f t="shared" si="76"/>
        <v>425204.72</v>
      </c>
      <c r="CQ28" s="208">
        <f t="shared" si="77"/>
        <v>70239.112000000008</v>
      </c>
      <c r="CR28" s="208">
        <f t="shared" si="78"/>
        <v>74953.072</v>
      </c>
      <c r="CS28" s="208">
        <f t="shared" si="79"/>
        <v>2440053.8320000004</v>
      </c>
      <c r="CT28" s="208">
        <f t="shared" si="80"/>
        <v>320987.95999999996</v>
      </c>
      <c r="CU28" s="209">
        <f t="shared" si="19"/>
        <v>4205332.3760000002</v>
      </c>
      <c r="CV28" s="208">
        <f>AGO!S30</f>
        <v>18388.856</v>
      </c>
      <c r="CW28" s="208">
        <f>AGO!T30</f>
        <v>7129.5679999999993</v>
      </c>
      <c r="CX28" s="208">
        <f>AGO!U30</f>
        <v>3980.6080000000002</v>
      </c>
      <c r="CY28" s="208">
        <f>AGO!V30</f>
        <v>3020.0479999999998</v>
      </c>
      <c r="CZ28" s="208">
        <f>AGO!W30</f>
        <v>72257.112000000008</v>
      </c>
      <c r="DA28" s="208">
        <f>AGO!X30</f>
        <v>9543.5600000000031</v>
      </c>
      <c r="DB28" s="209">
        <f t="shared" si="20"/>
        <v>114319.75200000001</v>
      </c>
      <c r="DC28" s="208">
        <f t="shared" si="81"/>
        <v>604722.21600000001</v>
      </c>
      <c r="DD28" s="208">
        <f t="shared" si="82"/>
        <v>470145.23199999996</v>
      </c>
      <c r="DE28" s="208">
        <f t="shared" si="83"/>
        <v>365561.63199999998</v>
      </c>
      <c r="DF28" s="208">
        <f t="shared" si="84"/>
        <v>106056.76000000001</v>
      </c>
      <c r="DG28" s="208">
        <f t="shared" si="85"/>
        <v>2654992.9600000004</v>
      </c>
      <c r="DH28" s="208">
        <f t="shared" si="86"/>
        <v>420132.39800000004</v>
      </c>
      <c r="DI28" s="209">
        <f t="shared" si="22"/>
        <v>4621611.1980000008</v>
      </c>
      <c r="DJ28" s="208">
        <f>SET!S30</f>
        <v>11831.24</v>
      </c>
      <c r="DK28" s="208">
        <f>SET!T30</f>
        <v>6730.3919999999989</v>
      </c>
      <c r="DL28" s="208">
        <f>SET!U30</f>
        <v>941.18400000000008</v>
      </c>
      <c r="DM28" s="208">
        <f>SET!V30</f>
        <v>1642.7200000000003</v>
      </c>
      <c r="DN28" s="208">
        <f>SET!W30</f>
        <v>73996.152000000002</v>
      </c>
      <c r="DO28" s="208">
        <f>SET!X30</f>
        <v>6893.7600000000011</v>
      </c>
      <c r="DP28" s="209">
        <f t="shared" si="23"/>
        <v>102035.44799999999</v>
      </c>
      <c r="DQ28" s="208">
        <f t="shared" si="87"/>
        <v>419542.304</v>
      </c>
      <c r="DR28" s="208">
        <f t="shared" si="88"/>
        <v>354450.71200000006</v>
      </c>
      <c r="DS28" s="208">
        <f t="shared" si="89"/>
        <v>134045.93600000002</v>
      </c>
      <c r="DT28" s="208">
        <f t="shared" si="90"/>
        <v>61425.279999999999</v>
      </c>
      <c r="DU28" s="208">
        <f t="shared" si="91"/>
        <v>2538315.48</v>
      </c>
      <c r="DV28" s="208">
        <f t="shared" si="92"/>
        <v>288369.22200000001</v>
      </c>
      <c r="DW28" s="209">
        <f t="shared" si="25"/>
        <v>3796148.9340000004</v>
      </c>
      <c r="DX28" s="208">
        <f>OUT!S30</f>
        <v>0</v>
      </c>
      <c r="DY28" s="208">
        <f>OUT!T30</f>
        <v>0</v>
      </c>
      <c r="DZ28" s="208">
        <f>OUT!U30</f>
        <v>0</v>
      </c>
      <c r="EA28" s="208">
        <f>OUT!V30</f>
        <v>0</v>
      </c>
      <c r="EB28" s="208">
        <f>OUT!W30</f>
        <v>0</v>
      </c>
      <c r="EC28" s="208">
        <f>OUT!X30</f>
        <v>0</v>
      </c>
      <c r="ED28" s="209">
        <f t="shared" si="26"/>
        <v>0</v>
      </c>
      <c r="EE28" s="208"/>
      <c r="EF28" s="208"/>
      <c r="EG28" s="208"/>
      <c r="EH28" s="208"/>
      <c r="EI28" s="208"/>
      <c r="EJ28" s="208"/>
      <c r="EK28" s="209">
        <f t="shared" si="27"/>
        <v>0</v>
      </c>
      <c r="EL28" s="208">
        <f>NOV!S30</f>
        <v>0</v>
      </c>
      <c r="EM28" s="208">
        <f>NOV!T30</f>
        <v>0</v>
      </c>
      <c r="EN28" s="208">
        <f>NOV!U30</f>
        <v>0</v>
      </c>
      <c r="EO28" s="208">
        <f>NOV!V30</f>
        <v>0</v>
      </c>
      <c r="EP28" s="208">
        <f>NOV!W30</f>
        <v>0</v>
      </c>
      <c r="EQ28" s="208">
        <f>NOV!X30</f>
        <v>0</v>
      </c>
      <c r="ER28" s="209">
        <f t="shared" si="28"/>
        <v>0</v>
      </c>
      <c r="ES28" s="208"/>
      <c r="ET28" s="208"/>
      <c r="EU28" s="208"/>
      <c r="EV28" s="208"/>
      <c r="EW28" s="208"/>
      <c r="EX28" s="208"/>
      <c r="EY28" s="209">
        <f t="shared" si="29"/>
        <v>0</v>
      </c>
      <c r="EZ28" s="208">
        <f>DEZ!S30</f>
        <v>0</v>
      </c>
      <c r="FA28" s="208">
        <f>DEZ!T30</f>
        <v>0</v>
      </c>
      <c r="FB28" s="208">
        <f>DEZ!U30</f>
        <v>0</v>
      </c>
      <c r="FC28" s="208">
        <f>DEZ!V30</f>
        <v>0</v>
      </c>
      <c r="FD28" s="208">
        <f>DEZ!W30</f>
        <v>0</v>
      </c>
      <c r="FE28" s="208">
        <f>DEZ!X30</f>
        <v>0</v>
      </c>
      <c r="FF28" s="209">
        <f t="shared" si="30"/>
        <v>0</v>
      </c>
      <c r="FG28" s="208"/>
      <c r="FH28" s="208"/>
      <c r="FI28" s="208"/>
      <c r="FJ28" s="208"/>
      <c r="FK28" s="208"/>
      <c r="FL28" s="208"/>
      <c r="FM28" s="207">
        <f t="shared" si="31"/>
        <v>0</v>
      </c>
      <c r="FN28" s="210">
        <f t="shared" si="93"/>
        <v>9343527.1360000018</v>
      </c>
      <c r="FO28" s="518">
        <f t="shared" si="32"/>
        <v>1504602.8880000005</v>
      </c>
      <c r="FP28" s="208">
        <f t="shared" si="33"/>
        <v>275795.15199999994</v>
      </c>
      <c r="FQ28" s="208">
        <f t="shared" si="34"/>
        <v>249595.99200000003</v>
      </c>
      <c r="FR28" s="208">
        <f t="shared" si="35"/>
        <v>7419905.8079999993</v>
      </c>
      <c r="FS28" s="208">
        <f t="shared" si="36"/>
        <v>741976.86400000018</v>
      </c>
      <c r="FT28" s="209">
        <f t="shared" si="37"/>
        <v>19535403.840000004</v>
      </c>
      <c r="FU28" s="208">
        <f t="shared" si="94"/>
        <v>14365482.448000001</v>
      </c>
      <c r="FV28" s="208">
        <f t="shared" si="38"/>
        <v>4118164.5599999996</v>
      </c>
      <c r="FW28" s="208">
        <f t="shared" si="39"/>
        <v>1193124.4480000001</v>
      </c>
      <c r="FX28" s="208">
        <f t="shared" si="40"/>
        <v>589577.81600000011</v>
      </c>
      <c r="FY28" s="208">
        <f t="shared" si="41"/>
        <v>20298903.335999999</v>
      </c>
      <c r="FZ28" s="208">
        <f t="shared" si="42"/>
        <v>2356331.8820000021</v>
      </c>
      <c r="GA28" s="207">
        <f t="shared" si="43"/>
        <v>42921584.489999995</v>
      </c>
      <c r="GB28" s="206">
        <f t="shared" si="95"/>
        <v>-34.958486985580976</v>
      </c>
      <c r="GC28" s="206">
        <f t="shared" si="96"/>
        <v>-63.464235921645624</v>
      </c>
      <c r="GD28" s="206">
        <f t="shared" si="44"/>
        <v>-76.884628216083627</v>
      </c>
      <c r="GE28" s="206">
        <f t="shared" si="45"/>
        <v>-57.665301300956685</v>
      </c>
      <c r="GF28" s="206">
        <f t="shared" si="46"/>
        <v>-63.446765151884662</v>
      </c>
      <c r="GG28" s="206">
        <f t="shared" si="47"/>
        <v>-68.511359979977584</v>
      </c>
      <c r="GH28" s="205">
        <f t="shared" si="97"/>
        <v>-54.485827883284635</v>
      </c>
      <c r="GI28" s="215" t="str">
        <f t="shared" si="98"/>
        <v>menor</v>
      </c>
    </row>
    <row r="29" spans="1:191" s="566" customFormat="1">
      <c r="A29" s="319" t="s">
        <v>103</v>
      </c>
      <c r="B29" s="208">
        <f>VLOOKUP($A$3:$A$29,JAN!$A$5:$B$31,2,)</f>
        <v>24559.64</v>
      </c>
      <c r="C29" s="208">
        <f>VLOOKUP($A$3:$A$29,JAN!$A$5:$C$31,3,)</f>
        <v>4399.840000000002</v>
      </c>
      <c r="D29" s="208">
        <f>VLOOKUP($A$3:$A$29,JAN!$A$5:$D$31,4,)</f>
        <v>1055.056</v>
      </c>
      <c r="E29" s="208">
        <f>VLOOKUP($A$3:$A$29,JAN!$A$5:$E$31,5,)</f>
        <v>115.42400000000001</v>
      </c>
      <c r="F29" s="208">
        <f>VLOOKUP($A$3:$A$29,JAN!$A$5:$X$32,23,)</f>
        <v>25574.544000000002</v>
      </c>
      <c r="G29" s="208">
        <f>VLOOKUP($A$3:$A$29,JAN!$A$5:$X$32,24,)</f>
        <v>1418.64</v>
      </c>
      <c r="H29" s="209">
        <f t="shared" si="0"/>
        <v>57123.144</v>
      </c>
      <c r="I29" s="208">
        <f t="shared" si="48"/>
        <v>21910.800000000003</v>
      </c>
      <c r="J29" s="208">
        <f t="shared" si="49"/>
        <v>6713.7599999999984</v>
      </c>
      <c r="K29" s="208">
        <f t="shared" si="50"/>
        <v>3045.6320000000001</v>
      </c>
      <c r="L29" s="208">
        <f t="shared" si="51"/>
        <v>717.67200000000014</v>
      </c>
      <c r="M29" s="208">
        <f t="shared" si="52"/>
        <v>24066.856</v>
      </c>
      <c r="N29" s="208">
        <f t="shared" si="53"/>
        <v>2327.5840000000107</v>
      </c>
      <c r="O29" s="209">
        <f t="shared" si="2"/>
        <v>58782.304000000011</v>
      </c>
      <c r="P29" s="208">
        <f>VLOOKUP($A$3:$A$29,FEV!$A$5:$B$31,2,)</f>
        <v>35064.384000000005</v>
      </c>
      <c r="Q29" s="208">
        <f>VLOOKUP($A$3:$A$29,FEV!$A$5:$C$31,3,)</f>
        <v>5992.0079999999962</v>
      </c>
      <c r="R29" s="208">
        <f>VLOOKUP($A$3:$A$29,FEV!$A$5:$D$31,4,)</f>
        <v>869.06399999999996</v>
      </c>
      <c r="S29" s="208">
        <f>VLOOKUP($A$3:$A$29,FEV!$A$5:$E$31,5,)</f>
        <v>3496.4320000000002</v>
      </c>
      <c r="T29" s="208">
        <f>VLOOKUP($A$3:$A$29,FEV!$A$5:$X$32,23,)</f>
        <v>33389.567999999999</v>
      </c>
      <c r="U29" s="208">
        <f>VLOOKUP($A$3:$A$29,FEV!$A$5:$X$32,24,)</f>
        <v>3332.864</v>
      </c>
      <c r="V29" s="209">
        <f t="shared" si="54"/>
        <v>82144.320000000007</v>
      </c>
      <c r="W29" s="208">
        <f t="shared" si="55"/>
        <v>34966.056000000004</v>
      </c>
      <c r="X29" s="208">
        <f t="shared" si="99"/>
        <v>9343.608000000002</v>
      </c>
      <c r="Y29" s="208">
        <f t="shared" si="100"/>
        <v>2531.0320000000002</v>
      </c>
      <c r="Z29" s="208">
        <f t="shared" si="101"/>
        <v>2183.2400000000002</v>
      </c>
      <c r="AA29" s="208">
        <f t="shared" si="102"/>
        <v>29228.280000000006</v>
      </c>
      <c r="AB29" s="208">
        <f t="shared" si="103"/>
        <v>3195.864</v>
      </c>
      <c r="AC29" s="209">
        <f t="shared" si="4"/>
        <v>81448.080000000016</v>
      </c>
      <c r="AD29" s="208">
        <f>VLOOKUP($A$3:$A$29,MAR!$A$5:$B$31,2,)</f>
        <v>31904.368000000002</v>
      </c>
      <c r="AE29" s="208">
        <f>VLOOKUP($A$3:$A$29,MAR!$A$5:$C$31,3,)</f>
        <v>6929.0880000000006</v>
      </c>
      <c r="AF29" s="208">
        <f>VLOOKUP($A$3:$A$29,MAR!$A$5:$D$31,4,)</f>
        <v>20.288</v>
      </c>
      <c r="AG29" s="208">
        <f>VLOOKUP($A$3:$A$29,MAR!$A$5:$E$31,5,)</f>
        <v>1280.7040000000002</v>
      </c>
      <c r="AH29" s="208">
        <f>VLOOKUP($A$3:$A$29,MAR!$A$5:$X$32,23,)</f>
        <v>41128.296000000002</v>
      </c>
      <c r="AI29" s="208">
        <f>VLOOKUP($A$3:$A$29,MAR!$A$5:$X$32,24,)</f>
        <v>3983.1920000000005</v>
      </c>
      <c r="AJ29" s="209">
        <f t="shared" si="5"/>
        <v>85245.936000000002</v>
      </c>
      <c r="AK29" s="208">
        <f t="shared" si="56"/>
        <v>33661.520000000004</v>
      </c>
      <c r="AL29" s="208">
        <f t="shared" si="57"/>
        <v>9851.8320000000003</v>
      </c>
      <c r="AM29" s="208">
        <f t="shared" si="58"/>
        <v>411.416</v>
      </c>
      <c r="AN29" s="208">
        <f t="shared" si="59"/>
        <v>2209.9840000000004</v>
      </c>
      <c r="AO29" s="208">
        <f t="shared" si="60"/>
        <v>36123.960000000006</v>
      </c>
      <c r="AP29" s="208">
        <f t="shared" si="61"/>
        <v>1046.6320000000001</v>
      </c>
      <c r="AQ29" s="209">
        <f t="shared" si="7"/>
        <v>83305.344000000012</v>
      </c>
      <c r="AR29" s="208">
        <f>ABR!S31</f>
        <v>21321.328000000001</v>
      </c>
      <c r="AS29" s="208">
        <f>ABR!T31</f>
        <v>5162.6480000000001</v>
      </c>
      <c r="AT29" s="208">
        <f>ABR!U31</f>
        <v>963.75200000000007</v>
      </c>
      <c r="AU29" s="208">
        <f>ABR!V31</f>
        <v>2451.0240000000003</v>
      </c>
      <c r="AV29" s="208">
        <f>ABR!W31</f>
        <v>41302.200000000004</v>
      </c>
      <c r="AW29" s="208">
        <f>ABR!X31</f>
        <v>2664.9360000000001</v>
      </c>
      <c r="AX29" s="209">
        <f t="shared" si="8"/>
        <v>73865.888000000006</v>
      </c>
      <c r="AY29" s="208">
        <f t="shared" si="62"/>
        <v>19733.248000000003</v>
      </c>
      <c r="AZ29" s="208">
        <f t="shared" si="104"/>
        <v>4791.4399999999996</v>
      </c>
      <c r="BA29" s="208">
        <f t="shared" si="105"/>
        <v>0</v>
      </c>
      <c r="BB29" s="208">
        <f t="shared" si="106"/>
        <v>787.17600000000004</v>
      </c>
      <c r="BC29" s="208">
        <f t="shared" si="107"/>
        <v>35026.920000000006</v>
      </c>
      <c r="BD29" s="208">
        <f t="shared" si="108"/>
        <v>1658.992</v>
      </c>
      <c r="BE29" s="209">
        <f t="shared" si="10"/>
        <v>61997.776000000005</v>
      </c>
      <c r="BF29" s="208">
        <f>MAI!S31</f>
        <v>19502.896000000001</v>
      </c>
      <c r="BG29" s="208">
        <f>MAI!T31</f>
        <v>2883.0240000000003</v>
      </c>
      <c r="BH29" s="208">
        <f>MAI!U31</f>
        <v>1051.672</v>
      </c>
      <c r="BI29" s="208">
        <f>MAI!V31</f>
        <v>2902.9520000000002</v>
      </c>
      <c r="BJ29" s="208">
        <f>MAI!W31</f>
        <v>52779.864000000001</v>
      </c>
      <c r="BK29" s="208">
        <f>MAI!X31</f>
        <v>4094.3039999999996</v>
      </c>
      <c r="BL29" s="209">
        <f t="shared" si="11"/>
        <v>83214.712</v>
      </c>
      <c r="BM29" s="208">
        <f t="shared" si="63"/>
        <v>15138.423999999999</v>
      </c>
      <c r="BN29" s="208">
        <f t="shared" si="64"/>
        <v>5686.8480000000018</v>
      </c>
      <c r="BO29" s="208">
        <f t="shared" si="65"/>
        <v>959.97600000000011</v>
      </c>
      <c r="BP29" s="208">
        <f t="shared" si="66"/>
        <v>1489.3920000000001</v>
      </c>
      <c r="BQ29" s="208">
        <f t="shared" si="67"/>
        <v>34948.560000000005</v>
      </c>
      <c r="BR29" s="208">
        <f t="shared" si="68"/>
        <v>2858.7920000000004</v>
      </c>
      <c r="BS29" s="209">
        <f t="shared" si="13"/>
        <v>61081.992000000006</v>
      </c>
      <c r="BT29" s="208">
        <f>JUN!S31</f>
        <v>29315.216</v>
      </c>
      <c r="BU29" s="208">
        <f>JUN!T31</f>
        <v>4467.2320000000063</v>
      </c>
      <c r="BV29" s="208">
        <f>JUN!U31</f>
        <v>658</v>
      </c>
      <c r="BW29" s="208">
        <f>JUN!V31</f>
        <v>1259.1040000000003</v>
      </c>
      <c r="BX29" s="208">
        <f>JUN!W31</f>
        <v>43215.144</v>
      </c>
      <c r="BY29" s="208">
        <f>JUN!X31</f>
        <v>2360.6480000000001</v>
      </c>
      <c r="BZ29" s="209">
        <f t="shared" si="14"/>
        <v>81275.343999999997</v>
      </c>
      <c r="CA29" s="208">
        <f t="shared" si="69"/>
        <v>16837.560000000001</v>
      </c>
      <c r="CB29" s="208">
        <f t="shared" si="70"/>
        <v>6161.2239999999993</v>
      </c>
      <c r="CC29" s="208">
        <f t="shared" si="71"/>
        <v>1151.7040000000002</v>
      </c>
      <c r="CD29" s="208">
        <f t="shared" si="72"/>
        <v>525.05599999999981</v>
      </c>
      <c r="CE29" s="208">
        <f t="shared" si="73"/>
        <v>41217.360000000008</v>
      </c>
      <c r="CF29" s="208">
        <f t="shared" si="74"/>
        <v>3270.2080000000005</v>
      </c>
      <c r="CG29" s="209">
        <f t="shared" si="16"/>
        <v>69163.112000000008</v>
      </c>
      <c r="CH29" s="208">
        <f>JUL!S31</f>
        <v>17469.176000000003</v>
      </c>
      <c r="CI29" s="208">
        <f>JUL!T31</f>
        <v>3918.8399999999997</v>
      </c>
      <c r="CJ29" s="208">
        <f>JUL!U31</f>
        <v>1477.7520000000002</v>
      </c>
      <c r="CK29" s="208">
        <f>JUL!V31</f>
        <v>724.65600000000018</v>
      </c>
      <c r="CL29" s="208">
        <f>JUL!W31</f>
        <v>35041.656000000003</v>
      </c>
      <c r="CM29" s="208">
        <f>JUL!X31</f>
        <v>2656.7840000000001</v>
      </c>
      <c r="CN29" s="209">
        <f t="shared" si="17"/>
        <v>61288.864000000001</v>
      </c>
      <c r="CO29" s="208">
        <f t="shared" si="75"/>
        <v>13058.960000000001</v>
      </c>
      <c r="CP29" s="208">
        <f t="shared" si="76"/>
        <v>5796.6959999999999</v>
      </c>
      <c r="CQ29" s="208">
        <f t="shared" si="77"/>
        <v>557.70400000000006</v>
      </c>
      <c r="CR29" s="208">
        <f t="shared" si="78"/>
        <v>1467.5840000000001</v>
      </c>
      <c r="CS29" s="208">
        <f t="shared" si="79"/>
        <v>50228.76</v>
      </c>
      <c r="CT29" s="208">
        <f t="shared" si="80"/>
        <v>3956.4079999999999</v>
      </c>
      <c r="CU29" s="209">
        <f t="shared" si="19"/>
        <v>75066.111999999994</v>
      </c>
      <c r="CV29" s="208">
        <f>AGO!S31</f>
        <v>9519.2479999999996</v>
      </c>
      <c r="CW29" s="208">
        <f>AGO!T31</f>
        <v>2999.8720000000017</v>
      </c>
      <c r="CX29" s="208">
        <f>AGO!U31</f>
        <v>3709.0160000000005</v>
      </c>
      <c r="CY29" s="208">
        <f>AGO!V31</f>
        <v>2137.0719999999997</v>
      </c>
      <c r="CZ29" s="208">
        <f>AGO!W31</f>
        <v>41215.248000000007</v>
      </c>
      <c r="DA29" s="208">
        <f>AGO!X31</f>
        <v>3721.3760000000002</v>
      </c>
      <c r="DB29" s="209">
        <f t="shared" si="20"/>
        <v>63301.832000000009</v>
      </c>
      <c r="DC29" s="208">
        <f t="shared" si="81"/>
        <v>7357.3520000000008</v>
      </c>
      <c r="DD29" s="208">
        <f t="shared" si="82"/>
        <v>2406.152</v>
      </c>
      <c r="DE29" s="208">
        <f t="shared" si="83"/>
        <v>3745.424</v>
      </c>
      <c r="DF29" s="208">
        <f t="shared" si="84"/>
        <v>563.12799999999993</v>
      </c>
      <c r="DG29" s="208">
        <f t="shared" si="85"/>
        <v>37534.44</v>
      </c>
      <c r="DH29" s="208">
        <f t="shared" si="86"/>
        <v>2353.7280000000001</v>
      </c>
      <c r="DI29" s="209">
        <f t="shared" si="22"/>
        <v>53960.224000000002</v>
      </c>
      <c r="DJ29" s="208">
        <f>SET!S31</f>
        <v>7976.9440000000004</v>
      </c>
      <c r="DK29" s="208">
        <f>SET!T31</f>
        <v>1447.1520000000005</v>
      </c>
      <c r="DL29" s="208">
        <f>SET!U31</f>
        <v>1090.5520000000001</v>
      </c>
      <c r="DM29" s="208">
        <f>SET!V31</f>
        <v>1201.864</v>
      </c>
      <c r="DN29" s="208">
        <f>SET!W31</f>
        <v>37737.168000000005</v>
      </c>
      <c r="DO29" s="208">
        <f>SET!X31</f>
        <v>2512.4000000000005</v>
      </c>
      <c r="DP29" s="209">
        <f t="shared" si="23"/>
        <v>51966.080000000009</v>
      </c>
      <c r="DQ29" s="208">
        <f t="shared" si="87"/>
        <v>9532.1360000000004</v>
      </c>
      <c r="DR29" s="208">
        <f t="shared" si="88"/>
        <v>4416.32</v>
      </c>
      <c r="DS29" s="208">
        <f t="shared" si="89"/>
        <v>3076.7440000000001</v>
      </c>
      <c r="DT29" s="208">
        <f t="shared" si="90"/>
        <v>723.03200000000038</v>
      </c>
      <c r="DU29" s="208">
        <f t="shared" si="91"/>
        <v>37221</v>
      </c>
      <c r="DV29" s="208">
        <f t="shared" si="92"/>
        <v>3759.864</v>
      </c>
      <c r="DW29" s="209">
        <f t="shared" si="25"/>
        <v>58729.096000000005</v>
      </c>
      <c r="DX29" s="208">
        <f>OUT!S31</f>
        <v>0</v>
      </c>
      <c r="DY29" s="208">
        <f>OUT!T31</f>
        <v>0</v>
      </c>
      <c r="DZ29" s="208">
        <f>OUT!U31</f>
        <v>0</v>
      </c>
      <c r="EA29" s="208">
        <f>OUT!V31</f>
        <v>0</v>
      </c>
      <c r="EB29" s="208">
        <f>OUT!W31</f>
        <v>0</v>
      </c>
      <c r="EC29" s="208">
        <f>OUT!X31</f>
        <v>0</v>
      </c>
      <c r="ED29" s="209">
        <f t="shared" si="26"/>
        <v>0</v>
      </c>
      <c r="EE29" s="208"/>
      <c r="EF29" s="208"/>
      <c r="EG29" s="208"/>
      <c r="EH29" s="208"/>
      <c r="EI29" s="208"/>
      <c r="EJ29" s="208"/>
      <c r="EK29" s="209">
        <f t="shared" si="27"/>
        <v>0</v>
      </c>
      <c r="EL29" s="208">
        <f>NOV!S31</f>
        <v>0</v>
      </c>
      <c r="EM29" s="208">
        <f>NOV!T31</f>
        <v>0</v>
      </c>
      <c r="EN29" s="208">
        <f>NOV!U31</f>
        <v>0</v>
      </c>
      <c r="EO29" s="208">
        <f>NOV!V31</f>
        <v>0</v>
      </c>
      <c r="EP29" s="208">
        <f>NOV!W31</f>
        <v>0</v>
      </c>
      <c r="EQ29" s="208">
        <f>NOV!X31</f>
        <v>0</v>
      </c>
      <c r="ER29" s="209">
        <f t="shared" si="28"/>
        <v>0</v>
      </c>
      <c r="ES29" s="208"/>
      <c r="ET29" s="208"/>
      <c r="EU29" s="208"/>
      <c r="EV29" s="208"/>
      <c r="EW29" s="208"/>
      <c r="EX29" s="208"/>
      <c r="EY29" s="209">
        <f t="shared" si="29"/>
        <v>0</v>
      </c>
      <c r="EZ29" s="208">
        <f>DEZ!S31</f>
        <v>0</v>
      </c>
      <c r="FA29" s="208">
        <f>DEZ!T31</f>
        <v>0</v>
      </c>
      <c r="FB29" s="208">
        <f>DEZ!U31</f>
        <v>0</v>
      </c>
      <c r="FC29" s="208">
        <f>DEZ!V31</f>
        <v>0</v>
      </c>
      <c r="FD29" s="208">
        <f>DEZ!W31</f>
        <v>0</v>
      </c>
      <c r="FE29" s="208">
        <f>DEZ!X31</f>
        <v>0</v>
      </c>
      <c r="FF29" s="209">
        <f t="shared" si="30"/>
        <v>0</v>
      </c>
      <c r="FG29" s="208"/>
      <c r="FH29" s="208"/>
      <c r="FI29" s="208"/>
      <c r="FJ29" s="208"/>
      <c r="FK29" s="208"/>
      <c r="FL29" s="208"/>
      <c r="FM29" s="207">
        <f t="shared" si="31"/>
        <v>0</v>
      </c>
      <c r="FN29" s="210">
        <f t="shared" si="93"/>
        <v>196633.19999999998</v>
      </c>
      <c r="FO29" s="518">
        <f t="shared" si="32"/>
        <v>38199.704000000012</v>
      </c>
      <c r="FP29" s="208">
        <f t="shared" si="33"/>
        <v>10895.152000000002</v>
      </c>
      <c r="FQ29" s="208">
        <f t="shared" si="34"/>
        <v>15569.232</v>
      </c>
      <c r="FR29" s="208">
        <f t="shared" si="35"/>
        <v>351383.68800000002</v>
      </c>
      <c r="FS29" s="208">
        <f t="shared" si="36"/>
        <v>26745.144</v>
      </c>
      <c r="FT29" s="209">
        <f t="shared" si="37"/>
        <v>639426.12</v>
      </c>
      <c r="FU29" s="208">
        <f t="shared" si="94"/>
        <v>172196.05600000004</v>
      </c>
      <c r="FV29" s="208">
        <f t="shared" si="38"/>
        <v>55167.88</v>
      </c>
      <c r="FW29" s="208">
        <f t="shared" si="39"/>
        <v>15479.632</v>
      </c>
      <c r="FX29" s="208">
        <f t="shared" si="40"/>
        <v>10666.264000000003</v>
      </c>
      <c r="FY29" s="208">
        <f t="shared" si="41"/>
        <v>325596.13600000006</v>
      </c>
      <c r="FZ29" s="208">
        <f t="shared" si="42"/>
        <v>24428.072000000015</v>
      </c>
      <c r="GA29" s="207">
        <f t="shared" si="43"/>
        <v>603534.04000000015</v>
      </c>
      <c r="GB29" s="206">
        <f t="shared" si="95"/>
        <v>14.191465569919856</v>
      </c>
      <c r="GC29" s="206">
        <f t="shared" si="96"/>
        <v>-30.757346484947377</v>
      </c>
      <c r="GD29" s="206">
        <f t="shared" si="44"/>
        <v>-29.616207930524425</v>
      </c>
      <c r="GE29" s="206">
        <f t="shared" si="45"/>
        <v>45.967060256524633</v>
      </c>
      <c r="GF29" s="206">
        <f t="shared" si="46"/>
        <v>7.9201038184310448</v>
      </c>
      <c r="GG29" s="206">
        <f t="shared" si="47"/>
        <v>9.4852839798408297</v>
      </c>
      <c r="GH29" s="205">
        <f t="shared" si="97"/>
        <v>5.9469851940745286</v>
      </c>
      <c r="GI29" s="215" t="str">
        <f t="shared" si="98"/>
        <v>MAIOR</v>
      </c>
    </row>
    <row r="30" spans="1:191" s="566" customFormat="1">
      <c r="A30" s="320" t="s">
        <v>349</v>
      </c>
      <c r="B30" s="327">
        <f>SUM(B3:B29)</f>
        <v>8938951.472000001</v>
      </c>
      <c r="C30" s="327">
        <f t="shared" ref="C30:E30" si="109">SUM(C3:C29)</f>
        <v>1299901.6480000003</v>
      </c>
      <c r="D30" s="327">
        <f t="shared" si="109"/>
        <v>331435.56800000003</v>
      </c>
      <c r="E30" s="327">
        <f t="shared" si="109"/>
        <v>218962.88000000003</v>
      </c>
      <c r="F30" s="327">
        <f>SUM(F3:F29)</f>
        <v>5368551.0720000006</v>
      </c>
      <c r="G30" s="327">
        <f>SUM(G3:G29)</f>
        <v>524163.228</v>
      </c>
      <c r="H30" s="327">
        <f t="shared" si="0"/>
        <v>16681965.868000003</v>
      </c>
      <c r="I30" s="327">
        <f t="shared" ref="I30:P30" si="110">SUM(I3:I29)</f>
        <v>8703333.4000000004</v>
      </c>
      <c r="J30" s="327">
        <f t="shared" si="110"/>
        <v>1837529.112</v>
      </c>
      <c r="K30" s="327">
        <f t="shared" si="110"/>
        <v>471448.51199999999</v>
      </c>
      <c r="L30" s="327">
        <f t="shared" si="110"/>
        <v>198530.06399999998</v>
      </c>
      <c r="M30" s="327">
        <f t="shared" si="110"/>
        <v>4750508.3199999994</v>
      </c>
      <c r="N30" s="327">
        <f t="shared" si="110"/>
        <v>699463.98400000192</v>
      </c>
      <c r="O30" s="327">
        <f t="shared" si="110"/>
        <v>16660813.392000001</v>
      </c>
      <c r="P30" s="327">
        <f t="shared" si="110"/>
        <v>10338358.007999999</v>
      </c>
      <c r="Q30" s="327"/>
      <c r="R30" s="327">
        <f t="shared" ref="R30" si="111">SUM(R3:R29)</f>
        <v>310603.71200000006</v>
      </c>
      <c r="S30" s="327"/>
      <c r="T30" s="327">
        <f t="shared" ref="T30:AD30" si="112">SUM(T3:T29)</f>
        <v>6570861.120000001</v>
      </c>
      <c r="U30" s="327">
        <f t="shared" si="112"/>
        <v>685729.24400000006</v>
      </c>
      <c r="V30" s="327">
        <f t="shared" si="112"/>
        <v>19717646.276000004</v>
      </c>
      <c r="W30" s="327">
        <f t="shared" si="112"/>
        <v>9561329.728000002</v>
      </c>
      <c r="X30" s="327">
        <f t="shared" si="112"/>
        <v>1665838.6640000003</v>
      </c>
      <c r="Y30" s="327">
        <f t="shared" si="112"/>
        <v>457848.304</v>
      </c>
      <c r="Z30" s="327">
        <f t="shared" si="112"/>
        <v>179307.272</v>
      </c>
      <c r="AA30" s="327">
        <f t="shared" si="112"/>
        <v>5755627.8640000001</v>
      </c>
      <c r="AB30" s="327">
        <f t="shared" si="112"/>
        <v>546944.96799999999</v>
      </c>
      <c r="AC30" s="327">
        <f t="shared" si="112"/>
        <v>18166896.799999997</v>
      </c>
      <c r="AD30" s="327">
        <f t="shared" si="112"/>
        <v>8968735.8160000034</v>
      </c>
      <c r="AE30" s="327"/>
      <c r="AF30" s="327">
        <f t="shared" ref="AF30" si="113">SUM(AF3:AF29)</f>
        <v>181283.296</v>
      </c>
      <c r="AG30" s="327"/>
      <c r="AH30" s="327">
        <f t="shared" ref="AH30:AR30" si="114">SUM(AH3:AH29)</f>
        <v>8203911.5520000011</v>
      </c>
      <c r="AI30" s="327">
        <f t="shared" si="114"/>
        <v>763204.50400000007</v>
      </c>
      <c r="AJ30" s="327">
        <f t="shared" si="114"/>
        <v>20023081.904000003</v>
      </c>
      <c r="AK30" s="327">
        <f t="shared" si="114"/>
        <v>6845091.2879999988</v>
      </c>
      <c r="AL30" s="327">
        <f t="shared" si="114"/>
        <v>1605296.7280000001</v>
      </c>
      <c r="AM30" s="327">
        <f t="shared" si="114"/>
        <v>279633.93600000005</v>
      </c>
      <c r="AN30" s="327">
        <f t="shared" si="114"/>
        <v>186703.76</v>
      </c>
      <c r="AO30" s="327">
        <f t="shared" si="114"/>
        <v>6696222.8160000006</v>
      </c>
      <c r="AP30" s="327">
        <f t="shared" si="114"/>
        <v>516106.32000000007</v>
      </c>
      <c r="AQ30" s="327">
        <f t="shared" si="114"/>
        <v>16129054.848000003</v>
      </c>
      <c r="AR30" s="327">
        <f t="shared" si="114"/>
        <v>4215646.8319999995</v>
      </c>
      <c r="AS30" s="327"/>
      <c r="AT30" s="327">
        <f t="shared" ref="AT30" si="115">SUM(AT3:AT29)</f>
        <v>111453.84800000001</v>
      </c>
      <c r="AU30" s="327"/>
      <c r="AV30" s="327">
        <f t="shared" ref="AV30:CM30" si="116">SUM(AV3:AV29)</f>
        <v>6983708.9359999998</v>
      </c>
      <c r="AW30" s="327">
        <f t="shared" si="116"/>
        <v>544946.54400000011</v>
      </c>
      <c r="AX30" s="327">
        <f t="shared" si="116"/>
        <v>13138801.648000002</v>
      </c>
      <c r="AY30" s="327">
        <f t="shared" si="116"/>
        <v>5041436.6399999997</v>
      </c>
      <c r="AZ30" s="327">
        <f t="shared" si="116"/>
        <v>1229576.2239999999</v>
      </c>
      <c r="BA30" s="327">
        <f t="shared" si="116"/>
        <v>212685.704</v>
      </c>
      <c r="BB30" s="327">
        <f t="shared" si="116"/>
        <v>166140.92799999999</v>
      </c>
      <c r="BC30" s="327">
        <f t="shared" si="116"/>
        <v>6100325.8080000002</v>
      </c>
      <c r="BD30" s="327">
        <f t="shared" si="116"/>
        <v>542259.48</v>
      </c>
      <c r="BE30" s="327">
        <f t="shared" si="116"/>
        <v>13292424.784000002</v>
      </c>
      <c r="BF30" s="327">
        <f t="shared" si="116"/>
        <v>4988685.8720000004</v>
      </c>
      <c r="BG30" s="327">
        <f t="shared" si="116"/>
        <v>1289522.7520000001</v>
      </c>
      <c r="BH30" s="327">
        <f t="shared" si="116"/>
        <v>108088.11200000002</v>
      </c>
      <c r="BI30" s="327">
        <f t="shared" si="116"/>
        <v>246985.60000000003</v>
      </c>
      <c r="BJ30" s="327">
        <f t="shared" si="116"/>
        <v>8231137.1760000028</v>
      </c>
      <c r="BK30" s="327">
        <f t="shared" si="116"/>
        <v>694220.89800000004</v>
      </c>
      <c r="BL30" s="327">
        <f t="shared" si="116"/>
        <v>15558640.410000002</v>
      </c>
      <c r="BM30" s="327">
        <f t="shared" si="116"/>
        <v>4059224.64</v>
      </c>
      <c r="BN30" s="327">
        <f t="shared" si="116"/>
        <v>1243982.544</v>
      </c>
      <c r="BO30" s="327">
        <f t="shared" si="116"/>
        <v>183865.432</v>
      </c>
      <c r="BP30" s="327">
        <f t="shared" si="116"/>
        <v>160438.016</v>
      </c>
      <c r="BQ30" s="327">
        <f t="shared" si="116"/>
        <v>6653316</v>
      </c>
      <c r="BR30" s="327">
        <f t="shared" si="116"/>
        <v>628859.91400000011</v>
      </c>
      <c r="BS30" s="327">
        <f t="shared" si="116"/>
        <v>12929686.546000002</v>
      </c>
      <c r="BT30" s="327">
        <f t="shared" si="116"/>
        <v>5487157.4160000002</v>
      </c>
      <c r="BU30" s="327">
        <f t="shared" si="116"/>
        <v>1132395.3039999998</v>
      </c>
      <c r="BV30" s="327">
        <f t="shared" si="116"/>
        <v>113487.63199999998</v>
      </c>
      <c r="BW30" s="327">
        <f t="shared" si="116"/>
        <v>204553.67200000002</v>
      </c>
      <c r="BX30" s="327">
        <f t="shared" si="116"/>
        <v>7652767.1360000027</v>
      </c>
      <c r="BY30" s="327">
        <f t="shared" si="116"/>
        <v>605826.76800000016</v>
      </c>
      <c r="BZ30" s="327">
        <f t="shared" si="116"/>
        <v>15196187.927999999</v>
      </c>
      <c r="CA30" s="327">
        <f t="shared" si="116"/>
        <v>4123982.208000001</v>
      </c>
      <c r="CB30" s="327">
        <f t="shared" si="116"/>
        <v>1332396.3119999999</v>
      </c>
      <c r="CC30" s="327">
        <f t="shared" si="116"/>
        <v>246623.76000000004</v>
      </c>
      <c r="CD30" s="327">
        <f t="shared" si="116"/>
        <v>189426.75200000004</v>
      </c>
      <c r="CE30" s="327">
        <f t="shared" si="116"/>
        <v>6978768.8160000006</v>
      </c>
      <c r="CF30" s="327">
        <f t="shared" si="116"/>
        <v>925413.54200000002</v>
      </c>
      <c r="CG30" s="327">
        <f t="shared" si="116"/>
        <v>13796611.390000001</v>
      </c>
      <c r="CH30" s="327">
        <f t="shared" si="116"/>
        <v>4266309.8079999993</v>
      </c>
      <c r="CI30" s="327">
        <f t="shared" si="116"/>
        <v>969793.41600000008</v>
      </c>
      <c r="CJ30" s="327">
        <f t="shared" si="116"/>
        <v>245828.84000000005</v>
      </c>
      <c r="CK30" s="327">
        <f t="shared" si="116"/>
        <v>173314.88</v>
      </c>
      <c r="CL30" s="327">
        <f t="shared" si="116"/>
        <v>7590362.1039999994</v>
      </c>
      <c r="CM30" s="327">
        <f t="shared" si="116"/>
        <v>748995</v>
      </c>
      <c r="CN30" s="327">
        <f t="shared" ref="CN30:EW30" si="117">SUM(CN3:CN29)</f>
        <v>13994604.048</v>
      </c>
      <c r="CO30" s="327">
        <f t="shared" si="117"/>
        <v>2908071.8</v>
      </c>
      <c r="CP30" s="327">
        <f t="shared" si="117"/>
        <v>1233295.784</v>
      </c>
      <c r="CQ30" s="327">
        <f t="shared" si="117"/>
        <v>283763.97600000002</v>
      </c>
      <c r="CR30" s="327">
        <f t="shared" si="117"/>
        <v>178473.62400000001</v>
      </c>
      <c r="CS30" s="327">
        <f t="shared" si="117"/>
        <v>7361986.4800000014</v>
      </c>
      <c r="CT30" s="327">
        <f t="shared" si="117"/>
        <v>888853.01600000006</v>
      </c>
      <c r="CU30" s="327">
        <f t="shared" si="117"/>
        <v>12854444.68</v>
      </c>
      <c r="CV30" s="327">
        <f t="shared" si="117"/>
        <v>1963197.52</v>
      </c>
      <c r="CW30" s="327">
        <f t="shared" si="117"/>
        <v>1128397.6719999998</v>
      </c>
      <c r="CX30" s="327">
        <f t="shared" si="117"/>
        <v>904273.6399999999</v>
      </c>
      <c r="CY30" s="327">
        <f t="shared" si="117"/>
        <v>324026.39199999999</v>
      </c>
      <c r="CZ30" s="327">
        <f t="shared" si="117"/>
        <v>8366408.5039999997</v>
      </c>
      <c r="DA30" s="327">
        <f t="shared" si="117"/>
        <v>1001444.7680000003</v>
      </c>
      <c r="DB30" s="327">
        <f t="shared" si="117"/>
        <v>13687748.496000001</v>
      </c>
      <c r="DC30" s="327">
        <f t="shared" si="117"/>
        <v>1992672.9839999999</v>
      </c>
      <c r="DD30" s="327">
        <f t="shared" si="117"/>
        <v>1187329</v>
      </c>
      <c r="DE30" s="327">
        <f t="shared" si="117"/>
        <v>1221563.6880000001</v>
      </c>
      <c r="DF30" s="327">
        <f t="shared" si="117"/>
        <v>233030.35199999998</v>
      </c>
      <c r="DG30" s="327">
        <f t="shared" si="117"/>
        <v>7601859.7600000026</v>
      </c>
      <c r="DH30" s="327">
        <f t="shared" si="117"/>
        <v>964674.23800000013</v>
      </c>
      <c r="DI30" s="327">
        <f t="shared" si="117"/>
        <v>13201130.022</v>
      </c>
      <c r="DJ30" s="327">
        <f t="shared" si="117"/>
        <v>1439839.3279999997</v>
      </c>
      <c r="DK30" s="327">
        <f t="shared" si="117"/>
        <v>921158.92</v>
      </c>
      <c r="DL30" s="327">
        <f t="shared" si="117"/>
        <v>435632.75200000009</v>
      </c>
      <c r="DM30" s="327">
        <f t="shared" si="117"/>
        <v>302424.77599999995</v>
      </c>
      <c r="DN30" s="327">
        <f t="shared" si="117"/>
        <v>7563432.7680000002</v>
      </c>
      <c r="DO30" s="327">
        <f t="shared" si="117"/>
        <v>919492.64</v>
      </c>
      <c r="DP30" s="327">
        <f t="shared" si="117"/>
        <v>11581981.184</v>
      </c>
      <c r="DQ30" s="327">
        <f t="shared" si="117"/>
        <v>1486118.1199999999</v>
      </c>
      <c r="DR30" s="327">
        <f t="shared" si="117"/>
        <v>977657.17600000009</v>
      </c>
      <c r="DS30" s="327">
        <f t="shared" si="117"/>
        <v>453241.28000000009</v>
      </c>
      <c r="DT30" s="327">
        <f t="shared" si="117"/>
        <v>167033.32799999998</v>
      </c>
      <c r="DU30" s="327">
        <f t="shared" si="117"/>
        <v>7285034.8080000002</v>
      </c>
      <c r="DV30" s="327">
        <f t="shared" si="117"/>
        <v>767550.75599999994</v>
      </c>
      <c r="DW30" s="327">
        <f t="shared" si="117"/>
        <v>11136635.468000002</v>
      </c>
      <c r="DX30" s="327">
        <f t="shared" si="117"/>
        <v>0</v>
      </c>
      <c r="DY30" s="327">
        <f t="shared" si="117"/>
        <v>0</v>
      </c>
      <c r="DZ30" s="327">
        <f t="shared" si="117"/>
        <v>0</v>
      </c>
      <c r="EA30" s="327">
        <f t="shared" si="117"/>
        <v>0</v>
      </c>
      <c r="EB30" s="327">
        <f t="shared" si="117"/>
        <v>0</v>
      </c>
      <c r="EC30" s="327">
        <f t="shared" si="117"/>
        <v>0</v>
      </c>
      <c r="ED30" s="327">
        <f t="shared" si="117"/>
        <v>0</v>
      </c>
      <c r="EE30" s="327">
        <f t="shared" si="117"/>
        <v>0</v>
      </c>
      <c r="EF30" s="327">
        <f t="shared" si="117"/>
        <v>0</v>
      </c>
      <c r="EG30" s="327">
        <f t="shared" si="117"/>
        <v>0</v>
      </c>
      <c r="EH30" s="327">
        <f t="shared" si="117"/>
        <v>0</v>
      </c>
      <c r="EI30" s="327">
        <f t="shared" si="117"/>
        <v>0</v>
      </c>
      <c r="EJ30" s="327">
        <f t="shared" si="117"/>
        <v>0</v>
      </c>
      <c r="EK30" s="327">
        <f t="shared" si="117"/>
        <v>0</v>
      </c>
      <c r="EL30" s="327">
        <f t="shared" si="117"/>
        <v>0</v>
      </c>
      <c r="EM30" s="327">
        <f t="shared" si="117"/>
        <v>0</v>
      </c>
      <c r="EN30" s="327">
        <f t="shared" si="117"/>
        <v>0</v>
      </c>
      <c r="EO30" s="327">
        <f t="shared" si="117"/>
        <v>0</v>
      </c>
      <c r="EP30" s="327">
        <f t="shared" si="117"/>
        <v>0</v>
      </c>
      <c r="EQ30" s="327">
        <f t="shared" si="117"/>
        <v>0</v>
      </c>
      <c r="ER30" s="327">
        <f t="shared" si="117"/>
        <v>0</v>
      </c>
      <c r="ES30" s="327">
        <f t="shared" si="117"/>
        <v>0</v>
      </c>
      <c r="ET30" s="327">
        <f t="shared" si="117"/>
        <v>0</v>
      </c>
      <c r="EU30" s="327">
        <f t="shared" si="117"/>
        <v>0</v>
      </c>
      <c r="EV30" s="327">
        <f t="shared" si="117"/>
        <v>0</v>
      </c>
      <c r="EW30" s="327">
        <f t="shared" si="117"/>
        <v>0</v>
      </c>
      <c r="EX30" s="327">
        <f t="shared" ref="EX30:FZ30" si="118">SUM(EX3:EX29)</f>
        <v>0</v>
      </c>
      <c r="EY30" s="327">
        <f t="shared" si="118"/>
        <v>0</v>
      </c>
      <c r="EZ30" s="327">
        <f t="shared" si="118"/>
        <v>0</v>
      </c>
      <c r="FA30" s="327">
        <f t="shared" si="118"/>
        <v>0</v>
      </c>
      <c r="FB30" s="327">
        <f t="shared" si="118"/>
        <v>0</v>
      </c>
      <c r="FC30" s="327">
        <f t="shared" si="118"/>
        <v>0</v>
      </c>
      <c r="FD30" s="327">
        <f t="shared" si="118"/>
        <v>0</v>
      </c>
      <c r="FE30" s="327">
        <f t="shared" si="118"/>
        <v>0</v>
      </c>
      <c r="FF30" s="327">
        <f t="shared" si="118"/>
        <v>0</v>
      </c>
      <c r="FG30" s="327">
        <f t="shared" si="118"/>
        <v>0</v>
      </c>
      <c r="FH30" s="327">
        <f t="shared" si="118"/>
        <v>0</v>
      </c>
      <c r="FI30" s="327">
        <f t="shared" si="118"/>
        <v>0</v>
      </c>
      <c r="FJ30" s="327">
        <f t="shared" si="118"/>
        <v>0</v>
      </c>
      <c r="FK30" s="327">
        <f t="shared" si="118"/>
        <v>0</v>
      </c>
      <c r="FL30" s="327">
        <f t="shared" si="118"/>
        <v>0</v>
      </c>
      <c r="FM30" s="327">
        <f t="shared" si="118"/>
        <v>0</v>
      </c>
      <c r="FN30" s="334">
        <f t="shared" si="118"/>
        <v>50606882.072000004</v>
      </c>
      <c r="FO30" s="334">
        <f t="shared" si="118"/>
        <v>10952710.696</v>
      </c>
      <c r="FP30" s="334">
        <f t="shared" si="118"/>
        <v>2742087.3999999994</v>
      </c>
      <c r="FQ30" s="334">
        <f t="shared" si="118"/>
        <v>2259813.6319999998</v>
      </c>
      <c r="FR30" s="334">
        <f t="shared" si="118"/>
        <v>66531140.368000001</v>
      </c>
      <c r="FS30" s="334">
        <f t="shared" si="118"/>
        <v>6488023.5940000005</v>
      </c>
      <c r="FT30" s="327">
        <f t="shared" si="118"/>
        <v>139580657.76199999</v>
      </c>
      <c r="FU30" s="327">
        <f t="shared" si="118"/>
        <v>44721260.808000006</v>
      </c>
      <c r="FV30" s="327">
        <f t="shared" si="118"/>
        <v>12312901.544000002</v>
      </c>
      <c r="FW30" s="327">
        <f t="shared" si="118"/>
        <v>3810674.5920000002</v>
      </c>
      <c r="FX30" s="327">
        <f t="shared" si="118"/>
        <v>1659084.0960000001</v>
      </c>
      <c r="FY30" s="327">
        <f t="shared" si="118"/>
        <v>59183650.671999998</v>
      </c>
      <c r="FZ30" s="327">
        <f t="shared" si="118"/>
        <v>6480126.2180000022</v>
      </c>
      <c r="GA30" s="213">
        <f t="shared" si="43"/>
        <v>128167697.93000001</v>
      </c>
      <c r="GB30" s="332">
        <f t="shared" si="95"/>
        <v>13.160678294085898</v>
      </c>
      <c r="GC30" s="332">
        <f t="shared" si="96"/>
        <v>-11.046875045166047</v>
      </c>
      <c r="GD30" s="332">
        <f t="shared" si="44"/>
        <v>-28.041942868681474</v>
      </c>
      <c r="GE30" s="332">
        <f t="shared" si="45"/>
        <v>36.208504285487379</v>
      </c>
      <c r="GF30" s="332">
        <f t="shared" si="46"/>
        <v>12.414728751222711</v>
      </c>
      <c r="GG30" s="332">
        <f>FS30/FZ30*100-100</f>
        <v>0.12187071261145377</v>
      </c>
      <c r="GH30" s="332">
        <f t="shared" si="97"/>
        <v>8.9047084533212768</v>
      </c>
    </row>
    <row r="31" spans="1:191" s="566" customFormat="1">
      <c r="A31" s="319" t="s">
        <v>171</v>
      </c>
      <c r="B31" s="208">
        <f>JAN!S67</f>
        <v>2234737.8680000002</v>
      </c>
      <c r="C31" s="208">
        <f>JAN!T67</f>
        <v>324975.41200000007</v>
      </c>
      <c r="D31" s="208">
        <f>JAN!U67</f>
        <v>82858.892000000007</v>
      </c>
      <c r="E31" s="208">
        <f>JAN!V67</f>
        <v>54740.72</v>
      </c>
      <c r="F31" s="208">
        <f>JAN!W67</f>
        <v>1342137.7679999999</v>
      </c>
      <c r="G31" s="208">
        <f>JAN!X67</f>
        <v>129452.14200000001</v>
      </c>
      <c r="H31" s="209">
        <f t="shared" si="0"/>
        <v>4168902.8020000001</v>
      </c>
      <c r="I31" s="208">
        <f>B64</f>
        <v>2175833.3500000006</v>
      </c>
      <c r="J31" s="208">
        <f t="shared" ref="J31:N31" si="119">C64</f>
        <v>459382.27799999993</v>
      </c>
      <c r="K31" s="208">
        <f t="shared" si="119"/>
        <v>117862.12800000001</v>
      </c>
      <c r="L31" s="208">
        <f t="shared" si="119"/>
        <v>49632.516000000003</v>
      </c>
      <c r="M31" s="208">
        <f t="shared" si="119"/>
        <v>1187627.0799999996</v>
      </c>
      <c r="N31" s="208">
        <f t="shared" si="119"/>
        <v>174865.99600000048</v>
      </c>
      <c r="O31" s="209">
        <f>SUM(I31:N31)</f>
        <v>4165203.3480000002</v>
      </c>
      <c r="P31" s="208">
        <f>FEV!S67</f>
        <v>2584589.5019999999</v>
      </c>
      <c r="Q31" s="208">
        <f>FEV!T67</f>
        <v>379915.23200000002</v>
      </c>
      <c r="R31" s="208">
        <f>FEV!U67</f>
        <v>77650.928000000029</v>
      </c>
      <c r="S31" s="208">
        <f>FEV!V67</f>
        <v>73108.315999999992</v>
      </c>
      <c r="T31" s="208">
        <f>FEV!W67</f>
        <v>1642715.2800000003</v>
      </c>
      <c r="U31" s="208">
        <f>FEV!X67</f>
        <v>167574.89600000004</v>
      </c>
      <c r="V31" s="209">
        <f>SUM(P31:U31)</f>
        <v>4925554.1539999992</v>
      </c>
      <c r="W31" s="208">
        <f>P64</f>
        <v>2390332.4320000005</v>
      </c>
      <c r="X31" s="208">
        <f t="shared" ref="X31:AB31" si="120">Q64</f>
        <v>416459.66600000008</v>
      </c>
      <c r="Y31" s="208">
        <f t="shared" si="120"/>
        <v>114462.076</v>
      </c>
      <c r="Z31" s="208">
        <f t="shared" si="120"/>
        <v>44826.817999999999</v>
      </c>
      <c r="AA31" s="208">
        <f t="shared" si="120"/>
        <v>1438906.966</v>
      </c>
      <c r="AB31" s="208">
        <f t="shared" si="120"/>
        <v>136736.242</v>
      </c>
      <c r="AC31" s="209">
        <f>SUM(W31:AB31)</f>
        <v>4541724.2</v>
      </c>
      <c r="AD31" s="208">
        <f>MAR!S67</f>
        <v>2242183.9540000004</v>
      </c>
      <c r="AE31" s="208">
        <f>MAR!T67</f>
        <v>401702.29399999999</v>
      </c>
      <c r="AF31" s="208">
        <f>MAR!U67</f>
        <v>45320.824000000008</v>
      </c>
      <c r="AG31" s="208">
        <f>MAR!V67</f>
        <v>74784.390000000014</v>
      </c>
      <c r="AH31" s="208">
        <f>MAR!W67</f>
        <v>2050977.888</v>
      </c>
      <c r="AI31" s="208">
        <f>MAR!X67</f>
        <v>184729.14600000004</v>
      </c>
      <c r="AJ31" s="209">
        <f>SUM(AD31:AI31)</f>
        <v>4999698.4960000003</v>
      </c>
      <c r="AK31" s="208">
        <f>AD64</f>
        <v>1711272.8219999997</v>
      </c>
      <c r="AL31" s="208">
        <f t="shared" ref="AL31:AP31" si="121">AE64</f>
        <v>401324.18200000003</v>
      </c>
      <c r="AM31" s="208">
        <f t="shared" si="121"/>
        <v>69908.484000000026</v>
      </c>
      <c r="AN31" s="208">
        <f t="shared" si="121"/>
        <v>46675.939999999995</v>
      </c>
      <c r="AO31" s="208">
        <f t="shared" si="121"/>
        <v>1674055.7040000001</v>
      </c>
      <c r="AP31" s="208">
        <f t="shared" si="121"/>
        <v>129026.58000000002</v>
      </c>
      <c r="AQ31" s="209">
        <f>SUM(AK31:AP31)</f>
        <v>4032263.7120000003</v>
      </c>
      <c r="AR31" s="208">
        <f>ABR!B67</f>
        <v>1053911.7079999999</v>
      </c>
      <c r="AS31" s="208">
        <f>ABR!C67</f>
        <v>271267.72000000003</v>
      </c>
      <c r="AT31" s="208">
        <f>ABR!D67</f>
        <v>27863.462000000003</v>
      </c>
      <c r="AU31" s="208">
        <f>ABR!E67</f>
        <v>49493.651999999995</v>
      </c>
      <c r="AV31" s="208">
        <f>ABR!W67</f>
        <v>1745927.2339999999</v>
      </c>
      <c r="AW31" s="208">
        <f>ABR!X67</f>
        <v>136236.63600000003</v>
      </c>
      <c r="AX31" s="209">
        <f>SUM(AR31:AW31)</f>
        <v>3284700.4119999995</v>
      </c>
      <c r="AY31" s="208">
        <f>AR64</f>
        <v>1260359.1599999999</v>
      </c>
      <c r="AZ31" s="208">
        <f t="shared" ref="AZ31:BD31" si="122">AS64</f>
        <v>307394.05599999998</v>
      </c>
      <c r="BA31" s="208">
        <f t="shared" si="122"/>
        <v>53171.426000000007</v>
      </c>
      <c r="BB31" s="208">
        <f t="shared" si="122"/>
        <v>41535.232000000004</v>
      </c>
      <c r="BC31" s="208">
        <f t="shared" si="122"/>
        <v>1525081.452</v>
      </c>
      <c r="BD31" s="208">
        <f t="shared" si="122"/>
        <v>135564.87</v>
      </c>
      <c r="BE31" s="209">
        <f>SUM(AY31:BD31)</f>
        <v>3323106.1960000005</v>
      </c>
      <c r="BF31" s="208">
        <f>MAI!S67</f>
        <v>1247171.4680000001</v>
      </c>
      <c r="BG31" s="208">
        <f>MAI!T67</f>
        <v>322380.68800000002</v>
      </c>
      <c r="BH31" s="208">
        <f>MAI!U67</f>
        <v>27022.028000000006</v>
      </c>
      <c r="BI31" s="208">
        <f>MAI!V67</f>
        <v>61746.400000000009</v>
      </c>
      <c r="BJ31" s="208">
        <f>MAI!W67</f>
        <v>2057784.2940000007</v>
      </c>
      <c r="BK31" s="208">
        <f>MAI!X67</f>
        <v>169721.23200000002</v>
      </c>
      <c r="BL31" s="209">
        <f>SUM(BF31:BK31)</f>
        <v>3885826.1100000003</v>
      </c>
      <c r="BM31" s="208">
        <f>BF64</f>
        <v>1014806.1600000001</v>
      </c>
      <c r="BN31" s="208">
        <f t="shared" ref="BN31:BR31" si="123">BG64</f>
        <v>310995.636</v>
      </c>
      <c r="BO31" s="208">
        <f t="shared" si="123"/>
        <v>45966.358</v>
      </c>
      <c r="BP31" s="208">
        <f t="shared" si="123"/>
        <v>40109.504000000001</v>
      </c>
      <c r="BQ31" s="208">
        <f t="shared" si="123"/>
        <v>1663328.9999999998</v>
      </c>
      <c r="BR31" s="208">
        <f t="shared" si="123"/>
        <v>151067.58600000001</v>
      </c>
      <c r="BS31" s="209">
        <f>SUM(BM31:BR31)</f>
        <v>3226274.2439999999</v>
      </c>
      <c r="BT31" s="208">
        <f>JUN!S67</f>
        <v>1371789.3540000001</v>
      </c>
      <c r="BU31" s="208">
        <f>JUN!T67</f>
        <v>283098.82599999994</v>
      </c>
      <c r="BV31" s="208">
        <f>JUN!U67</f>
        <v>28371.907999999996</v>
      </c>
      <c r="BW31" s="208">
        <f>JUN!V67</f>
        <v>51138.418000000005</v>
      </c>
      <c r="BX31" s="208">
        <f>JUN!W67</f>
        <v>1913191.7840000007</v>
      </c>
      <c r="BY31" s="208">
        <f>JUN!X67</f>
        <v>151456.69200000004</v>
      </c>
      <c r="BZ31" s="209">
        <f>SUM(BT31:BY31)</f>
        <v>3799046.9820000008</v>
      </c>
      <c r="CA31" s="208">
        <f>BT64</f>
        <v>1030995.552</v>
      </c>
      <c r="CB31" s="208">
        <f t="shared" ref="CB31:CF31" si="124">BU64</f>
        <v>333099.07799999998</v>
      </c>
      <c r="CC31" s="208">
        <f t="shared" si="124"/>
        <v>61655.94</v>
      </c>
      <c r="CD31" s="208">
        <f t="shared" si="124"/>
        <v>47356.688000000002</v>
      </c>
      <c r="CE31" s="208">
        <f t="shared" si="124"/>
        <v>1744692.2039999999</v>
      </c>
      <c r="CF31" s="208">
        <f t="shared" si="124"/>
        <v>220040.39800000002</v>
      </c>
      <c r="CG31" s="209">
        <f>SUM(CA31:CF31)</f>
        <v>3437839.86</v>
      </c>
      <c r="CH31" s="208">
        <f>JUL!S67</f>
        <v>1066577.4519999998</v>
      </c>
      <c r="CI31" s="208">
        <f>JUL!T67</f>
        <v>242448.35400000002</v>
      </c>
      <c r="CJ31" s="208">
        <f>JUL!U67</f>
        <v>61457.210000000014</v>
      </c>
      <c r="CK31" s="208">
        <f>JUL!V67</f>
        <v>43328.72</v>
      </c>
      <c r="CL31" s="208">
        <f>JUL!W67</f>
        <v>1897590.5259999998</v>
      </c>
      <c r="CM31" s="208">
        <f>JUL!X67</f>
        <v>183407.06</v>
      </c>
      <c r="CN31" s="209">
        <f>SUM(CH31:CM31)</f>
        <v>3494809.3219999997</v>
      </c>
      <c r="CO31" s="208">
        <f>CH64</f>
        <v>727017.95000000007</v>
      </c>
      <c r="CP31" s="208">
        <f t="shared" ref="CP31:CT31" si="125">CI64</f>
        <v>308323.946</v>
      </c>
      <c r="CQ31" s="208">
        <f t="shared" si="125"/>
        <v>70940.994000000021</v>
      </c>
      <c r="CR31" s="208">
        <f t="shared" si="125"/>
        <v>44618.406000000003</v>
      </c>
      <c r="CS31" s="208">
        <f t="shared" si="125"/>
        <v>1840496.62</v>
      </c>
      <c r="CT31" s="208">
        <f t="shared" si="125"/>
        <v>222213.25400000002</v>
      </c>
      <c r="CU31" s="209">
        <f>SUM(CO31:CT31)</f>
        <v>3213611.1700000004</v>
      </c>
      <c r="CV31" s="208">
        <f>AGO!S67</f>
        <v>490799.38</v>
      </c>
      <c r="CW31" s="208">
        <f>AGO!T67</f>
        <v>282099.41799999995</v>
      </c>
      <c r="CX31" s="208">
        <f>AGO!U67</f>
        <v>226068.40999999997</v>
      </c>
      <c r="CY31" s="208">
        <f>AGO!V67</f>
        <v>81006.597999999998</v>
      </c>
      <c r="CZ31" s="208">
        <f>AGO!W67</f>
        <v>2091602.1259999999</v>
      </c>
      <c r="DA31" s="208">
        <f>AGO!X67</f>
        <v>250361.19200000007</v>
      </c>
      <c r="DB31" s="209">
        <f>SUM(CV31:DA31)</f>
        <v>3421937.1240000003</v>
      </c>
      <c r="DC31" s="208">
        <f>CV64</f>
        <v>498168.24599999998</v>
      </c>
      <c r="DD31" s="208">
        <f t="shared" ref="DD31:DH31" si="126">CW64</f>
        <v>296832.25</v>
      </c>
      <c r="DE31" s="208">
        <f t="shared" si="126"/>
        <v>305390.92200000002</v>
      </c>
      <c r="DF31" s="208">
        <f t="shared" si="126"/>
        <v>58257.587999999996</v>
      </c>
      <c r="DG31" s="208">
        <f t="shared" si="126"/>
        <v>1900464.9400000006</v>
      </c>
      <c r="DH31" s="208">
        <f t="shared" si="126"/>
        <v>229485.772</v>
      </c>
      <c r="DI31" s="209">
        <f>SUM(DC31:DH31)</f>
        <v>3288599.7180000003</v>
      </c>
      <c r="DJ31" s="208">
        <f>SET!S67</f>
        <v>359959.83199999994</v>
      </c>
      <c r="DK31" s="208">
        <f>SET!T67</f>
        <v>230289.73</v>
      </c>
      <c r="DL31" s="208">
        <f>SET!U67</f>
        <v>108908.18800000002</v>
      </c>
      <c r="DM31" s="208">
        <f>SET!V67</f>
        <v>75606.193999999989</v>
      </c>
      <c r="DN31" s="208">
        <f>SET!W67</f>
        <v>1890858.192</v>
      </c>
      <c r="DO31" s="208">
        <f>SET!X67</f>
        <v>226149.95</v>
      </c>
      <c r="DP31" s="209">
        <f>SUM(DJ31:DO31)</f>
        <v>2891772.0860000001</v>
      </c>
      <c r="DQ31" s="208">
        <f>DJ64</f>
        <v>371529.53</v>
      </c>
      <c r="DR31" s="208">
        <f t="shared" ref="DR31:DV31" si="127">DK64</f>
        <v>244414.29400000002</v>
      </c>
      <c r="DS31" s="208">
        <f t="shared" si="127"/>
        <v>113310.32000000002</v>
      </c>
      <c r="DT31" s="208">
        <f t="shared" si="127"/>
        <v>41758.331999999995</v>
      </c>
      <c r="DU31" s="208">
        <f t="shared" si="127"/>
        <v>1821258.702</v>
      </c>
      <c r="DV31" s="208">
        <f t="shared" si="127"/>
        <v>186562.95399999997</v>
      </c>
      <c r="DW31" s="209">
        <f>SUM(DQ31:DV31)</f>
        <v>2778834.1320000002</v>
      </c>
      <c r="DX31" s="208">
        <f>OUT!S67</f>
        <v>0</v>
      </c>
      <c r="DY31" s="208">
        <f>OUT!T67</f>
        <v>0</v>
      </c>
      <c r="DZ31" s="208">
        <f>OUT!U67</f>
        <v>0</v>
      </c>
      <c r="EA31" s="208">
        <f>OUT!V67</f>
        <v>0</v>
      </c>
      <c r="EB31" s="208">
        <f>OUT!W67</f>
        <v>0</v>
      </c>
      <c r="EC31" s="208">
        <f>OUT!X67</f>
        <v>0</v>
      </c>
      <c r="ED31" s="209">
        <f>SUM(DX31:EC31)</f>
        <v>0</v>
      </c>
      <c r="EE31" s="208"/>
      <c r="EF31" s="208"/>
      <c r="EG31" s="208"/>
      <c r="EH31" s="208"/>
      <c r="EI31" s="208"/>
      <c r="EJ31" s="208"/>
      <c r="EK31" s="209">
        <f>SUM(EE31:EJ31)</f>
        <v>0</v>
      </c>
      <c r="EL31" s="208">
        <f>NOV!S67</f>
        <v>0</v>
      </c>
      <c r="EM31" s="208">
        <f>NOV!T67</f>
        <v>0</v>
      </c>
      <c r="EN31" s="208">
        <f>NOV!U67</f>
        <v>0</v>
      </c>
      <c r="EO31" s="208">
        <f>NOV!V67</f>
        <v>0</v>
      </c>
      <c r="EP31" s="208">
        <f>NOV!W67</f>
        <v>0</v>
      </c>
      <c r="EQ31" s="208">
        <f>NOV!X67</f>
        <v>0</v>
      </c>
      <c r="ER31" s="209">
        <f>SUM(EL31:EQ31)</f>
        <v>0</v>
      </c>
      <c r="ES31" s="208"/>
      <c r="ET31" s="208"/>
      <c r="EU31" s="208"/>
      <c r="EV31" s="208"/>
      <c r="EW31" s="208"/>
      <c r="EX31" s="208"/>
      <c r="EY31" s="209">
        <f>SUM(ES31:EX31)</f>
        <v>0</v>
      </c>
      <c r="EZ31" s="208">
        <f>DEZ!S67</f>
        <v>0</v>
      </c>
      <c r="FA31" s="208">
        <f>DEZ!T67</f>
        <v>0</v>
      </c>
      <c r="FB31" s="208">
        <f>DEZ!U67</f>
        <v>0</v>
      </c>
      <c r="FC31" s="208">
        <f>DEZ!V67</f>
        <v>0</v>
      </c>
      <c r="FD31" s="208">
        <f>DEZ!W67</f>
        <v>0</v>
      </c>
      <c r="FE31" s="208">
        <f>DEZ!X67</f>
        <v>0</v>
      </c>
      <c r="FF31" s="209">
        <f>SUM(EZ31:FE31)</f>
        <v>0</v>
      </c>
      <c r="FG31" s="208"/>
      <c r="FH31" s="208"/>
      <c r="FI31" s="208"/>
      <c r="FJ31" s="208"/>
      <c r="FK31" s="208"/>
      <c r="FL31" s="208"/>
      <c r="FM31" s="207">
        <f>SUM(FG31:FL31)</f>
        <v>0</v>
      </c>
      <c r="FN31" s="210">
        <f t="shared" ref="FN31" si="128">B31+P31+AD31+AR31+BF31+BT31+CH31+CV31+DJ31+DX31+EL31+EZ31</f>
        <v>12651720.518000001</v>
      </c>
      <c r="FO31" s="518">
        <f t="shared" ref="FO31" si="129">C31+Q31+AE31+AS31+BG31+BU31+CI31+CW31+DK31+DY31+EM31+FA31</f>
        <v>2738177.6740000001</v>
      </c>
      <c r="FP31" s="208">
        <f t="shared" ref="FP31" si="130">D31+R31+AF31+AT31+BH31+BV31+CJ31+CX31+DL31+DZ31+EN31+FB31</f>
        <v>685521.85000000009</v>
      </c>
      <c r="FQ31" s="208">
        <f t="shared" ref="FQ31" si="131">E31+S31+AG31+AU31+BI31+BW31+CK31+CY31+DM31+EA31+EO31+FC31</f>
        <v>564953.40800000005</v>
      </c>
      <c r="FR31" s="208">
        <f>F31+T31+AH31+AV31+BJ31+BX31+CL31+CZ31+DN31+EB31+EP31+FD31</f>
        <v>16632785.092000002</v>
      </c>
      <c r="FS31" s="208">
        <f>G31+U31+AI31+AW31+BK31+BY31+CM31+DA31+DO31+EC31+EQ31+FE31</f>
        <v>1599088.9460000002</v>
      </c>
      <c r="FT31" s="209">
        <f>SUM(FN31:FS31)</f>
        <v>34872247.488000005</v>
      </c>
      <c r="FU31" s="208">
        <f t="shared" ref="FU31" si="132">I31+W31+AK31+AY31+BM31+CA31+CO31+DC31+DQ31+EE31+ES31+FG31</f>
        <v>11180315.202</v>
      </c>
      <c r="FV31" s="208">
        <f t="shared" ref="FV31" si="133">J31+X31+AL31+AZ31+BN31+CB31+CP31+DD31+DR31+EF31+ET31+FH31</f>
        <v>3078225.3859999999</v>
      </c>
      <c r="FW31" s="208">
        <f t="shared" ref="FW31" si="134">K31+Y31+AM31+BA31+BO31+CC31+CQ31+DE31+DS31+EG31+EU31+FI31</f>
        <v>952668.64800000016</v>
      </c>
      <c r="FX31" s="208">
        <f t="shared" ref="FX31" si="135">L31+Z31+AN31+BB31+BP31+CD31+CR31+DF31+DT31+EH31+EV31+FJ31</f>
        <v>414771.02400000003</v>
      </c>
      <c r="FY31" s="208">
        <f>M31+AA31+AO31+BC31+BQ31+CE31+CS31+DG31+DU871+DU31+EI31+EW31+FK31</f>
        <v>14795912.668000001</v>
      </c>
      <c r="FZ31" s="208">
        <f>N31+AB31+AP31+BD31+BR31+CF31+CT31+DH31+DV871+DV31+EJ31+EX31+FL31</f>
        <v>1585563.6520000007</v>
      </c>
      <c r="GA31" s="207">
        <f t="shared" si="43"/>
        <v>32007456.580000006</v>
      </c>
      <c r="GB31" s="206">
        <f>FN31/FU31*100-100</f>
        <v>13.160678294085912</v>
      </c>
      <c r="GC31" s="206">
        <f>FO31/FV31*100-100</f>
        <v>-11.046875045166033</v>
      </c>
      <c r="GD31" s="206">
        <f t="shared" si="44"/>
        <v>-28.04194286868146</v>
      </c>
      <c r="GE31" s="206">
        <f t="shared" si="45"/>
        <v>36.208504285487408</v>
      </c>
      <c r="GF31" s="206">
        <f t="shared" si="46"/>
        <v>12.414728751222711</v>
      </c>
      <c r="GG31" s="206">
        <f t="shared" ref="GG31" si="136">FS31/FZ31*100-100</f>
        <v>0.85302750116269976</v>
      </c>
      <c r="GH31" s="205">
        <f t="shared" si="97"/>
        <v>8.9503859853396648</v>
      </c>
    </row>
    <row r="32" spans="1:191" s="566" customFormat="1" ht="15.75" thickBot="1">
      <c r="A32" s="320" t="s">
        <v>346</v>
      </c>
      <c r="B32" s="328">
        <f t="shared" ref="B32:G32" si="137">B30+B31</f>
        <v>11173689.340000002</v>
      </c>
      <c r="C32" s="328">
        <f t="shared" si="137"/>
        <v>1624877.0600000003</v>
      </c>
      <c r="D32" s="328">
        <f t="shared" si="137"/>
        <v>414294.46</v>
      </c>
      <c r="E32" s="328">
        <f t="shared" si="137"/>
        <v>273703.60000000003</v>
      </c>
      <c r="F32" s="328">
        <f t="shared" si="137"/>
        <v>6710688.8400000008</v>
      </c>
      <c r="G32" s="203">
        <f t="shared" si="137"/>
        <v>653615.37</v>
      </c>
      <c r="H32" s="203">
        <f t="shared" si="0"/>
        <v>20850868.670000006</v>
      </c>
      <c r="I32" s="328">
        <f>I30+I31</f>
        <v>10879166.75</v>
      </c>
      <c r="J32" s="328">
        <f t="shared" ref="J32:AB32" si="138">J30+J31</f>
        <v>2296911.3899999997</v>
      </c>
      <c r="K32" s="328">
        <f t="shared" si="138"/>
        <v>589310.64</v>
      </c>
      <c r="L32" s="328">
        <f t="shared" si="138"/>
        <v>248162.58</v>
      </c>
      <c r="M32" s="328">
        <f t="shared" si="138"/>
        <v>5938135.3999999985</v>
      </c>
      <c r="N32" s="328">
        <f t="shared" si="138"/>
        <v>874329.98000000243</v>
      </c>
      <c r="O32" s="328">
        <f t="shared" si="138"/>
        <v>20826016.740000002</v>
      </c>
      <c r="P32" s="328">
        <f t="shared" si="138"/>
        <v>12922947.51</v>
      </c>
      <c r="Q32" s="328">
        <f t="shared" si="138"/>
        <v>379915.23200000002</v>
      </c>
      <c r="R32" s="328">
        <f t="shared" si="138"/>
        <v>388254.64000000007</v>
      </c>
      <c r="S32" s="328">
        <f t="shared" si="138"/>
        <v>73108.315999999992</v>
      </c>
      <c r="T32" s="328">
        <f t="shared" si="138"/>
        <v>8213576.4000000013</v>
      </c>
      <c r="U32" s="328">
        <f t="shared" si="138"/>
        <v>853304.14000000013</v>
      </c>
      <c r="V32" s="328">
        <f t="shared" si="138"/>
        <v>24643200.430000003</v>
      </c>
      <c r="W32" s="328">
        <f t="shared" si="138"/>
        <v>11951662.160000002</v>
      </c>
      <c r="X32" s="328">
        <f t="shared" si="138"/>
        <v>2082298.3300000005</v>
      </c>
      <c r="Y32" s="328">
        <f t="shared" si="138"/>
        <v>572310.38</v>
      </c>
      <c r="Z32" s="328">
        <f t="shared" si="138"/>
        <v>224134.09</v>
      </c>
      <c r="AA32" s="328">
        <f t="shared" si="138"/>
        <v>7194534.8300000001</v>
      </c>
      <c r="AB32" s="328">
        <f t="shared" si="138"/>
        <v>683681.21</v>
      </c>
      <c r="AC32" s="327">
        <f>SUM(W32:AB32)</f>
        <v>22708621.000000004</v>
      </c>
      <c r="AD32" s="328">
        <f t="shared" ref="AD32:AP32" si="139">AD30+AD31</f>
        <v>11210919.770000003</v>
      </c>
      <c r="AE32" s="328">
        <f t="shared" si="139"/>
        <v>401702.29399999999</v>
      </c>
      <c r="AF32" s="328">
        <f t="shared" si="139"/>
        <v>226604.12</v>
      </c>
      <c r="AG32" s="328">
        <f t="shared" si="139"/>
        <v>74784.390000000014</v>
      </c>
      <c r="AH32" s="328">
        <f t="shared" si="139"/>
        <v>10254889.440000001</v>
      </c>
      <c r="AI32" s="328">
        <f t="shared" si="139"/>
        <v>947933.65000000014</v>
      </c>
      <c r="AJ32" s="328">
        <f t="shared" si="139"/>
        <v>25022780.400000002</v>
      </c>
      <c r="AK32" s="328">
        <f t="shared" si="139"/>
        <v>8556364.1099999994</v>
      </c>
      <c r="AL32" s="328">
        <f t="shared" si="139"/>
        <v>2006620.9100000001</v>
      </c>
      <c r="AM32" s="328">
        <f t="shared" si="139"/>
        <v>349542.42000000004</v>
      </c>
      <c r="AN32" s="328">
        <f t="shared" si="139"/>
        <v>233379.7</v>
      </c>
      <c r="AO32" s="328">
        <f t="shared" si="139"/>
        <v>8370278.5200000005</v>
      </c>
      <c r="AP32" s="328">
        <f t="shared" si="139"/>
        <v>645132.90000000014</v>
      </c>
      <c r="AQ32" s="328">
        <f>SUM(AK32:AP32)</f>
        <v>20161318.559999999</v>
      </c>
      <c r="AR32" s="328">
        <f t="shared" ref="AR32:AW32" si="140">AR30+AR31</f>
        <v>5269558.5399999991</v>
      </c>
      <c r="AS32" s="328">
        <f t="shared" si="140"/>
        <v>271267.72000000003</v>
      </c>
      <c r="AT32" s="328">
        <f t="shared" si="140"/>
        <v>139317.31000000003</v>
      </c>
      <c r="AU32" s="328">
        <f t="shared" si="140"/>
        <v>49493.651999999995</v>
      </c>
      <c r="AV32" s="328">
        <f t="shared" si="140"/>
        <v>8729636.1699999999</v>
      </c>
      <c r="AW32" s="328">
        <f t="shared" si="140"/>
        <v>681183.18000000017</v>
      </c>
      <c r="AX32" s="328">
        <f>AX30+AX31</f>
        <v>16423502.060000002</v>
      </c>
      <c r="AY32" s="328">
        <f t="shared" ref="AY32:BD32" si="141">AY30+AY31</f>
        <v>6301795.7999999998</v>
      </c>
      <c r="AZ32" s="328">
        <f t="shared" si="141"/>
        <v>1536970.2799999998</v>
      </c>
      <c r="BA32" s="328">
        <f t="shared" si="141"/>
        <v>265857.13</v>
      </c>
      <c r="BB32" s="328">
        <f t="shared" si="141"/>
        <v>207676.15999999997</v>
      </c>
      <c r="BC32" s="328">
        <f t="shared" si="141"/>
        <v>7625407.2599999998</v>
      </c>
      <c r="BD32" s="328">
        <f t="shared" si="141"/>
        <v>677824.35</v>
      </c>
      <c r="BE32" s="328">
        <f>SUM(AY32:BD32)</f>
        <v>16615530.979999999</v>
      </c>
      <c r="BF32" s="328">
        <f t="shared" ref="BF32:BR32" si="142">BF30+BF31</f>
        <v>6235857.3400000008</v>
      </c>
      <c r="BG32" s="328">
        <f t="shared" si="142"/>
        <v>1611903.4400000002</v>
      </c>
      <c r="BH32" s="328">
        <f t="shared" si="142"/>
        <v>135110.14000000001</v>
      </c>
      <c r="BI32" s="328">
        <f t="shared" si="142"/>
        <v>308732.00000000006</v>
      </c>
      <c r="BJ32" s="328">
        <f t="shared" si="142"/>
        <v>10288921.470000003</v>
      </c>
      <c r="BK32" s="328">
        <f t="shared" si="142"/>
        <v>863942.13000000012</v>
      </c>
      <c r="BL32" s="328">
        <f t="shared" si="142"/>
        <v>19444466.520000003</v>
      </c>
      <c r="BM32" s="328">
        <f t="shared" si="142"/>
        <v>5074030.8000000007</v>
      </c>
      <c r="BN32" s="328">
        <f t="shared" si="142"/>
        <v>1554978.18</v>
      </c>
      <c r="BO32" s="328">
        <f t="shared" si="142"/>
        <v>229831.79</v>
      </c>
      <c r="BP32" s="328">
        <f t="shared" si="142"/>
        <v>200547.52000000002</v>
      </c>
      <c r="BQ32" s="328">
        <f t="shared" si="142"/>
        <v>8316645</v>
      </c>
      <c r="BR32" s="328">
        <f t="shared" si="142"/>
        <v>779927.50000000012</v>
      </c>
      <c r="BS32" s="328">
        <f>SUM(BM32:BR32)</f>
        <v>16155960.790000001</v>
      </c>
      <c r="BT32" s="328">
        <f t="shared" ref="BT32:CT32" si="143">BT30+BT31</f>
        <v>6858946.7700000005</v>
      </c>
      <c r="BU32" s="328">
        <f t="shared" si="143"/>
        <v>1415494.1299999997</v>
      </c>
      <c r="BV32" s="328">
        <f t="shared" si="143"/>
        <v>141859.53999999998</v>
      </c>
      <c r="BW32" s="328">
        <f t="shared" si="143"/>
        <v>255692.09000000003</v>
      </c>
      <c r="BX32" s="328">
        <f t="shared" si="143"/>
        <v>9565958.9200000037</v>
      </c>
      <c r="BY32" s="328">
        <f t="shared" si="143"/>
        <v>757283.4600000002</v>
      </c>
      <c r="BZ32" s="328">
        <f t="shared" si="143"/>
        <v>18995234.91</v>
      </c>
      <c r="CA32" s="328">
        <f t="shared" si="143"/>
        <v>5154977.7600000007</v>
      </c>
      <c r="CB32" s="328">
        <f t="shared" si="143"/>
        <v>1665495.39</v>
      </c>
      <c r="CC32" s="328">
        <f t="shared" si="143"/>
        <v>308279.70000000007</v>
      </c>
      <c r="CD32" s="328">
        <f t="shared" si="143"/>
        <v>236783.44000000003</v>
      </c>
      <c r="CE32" s="328">
        <f t="shared" si="143"/>
        <v>8723461.0199999996</v>
      </c>
      <c r="CF32" s="328">
        <f t="shared" si="143"/>
        <v>1145453.94</v>
      </c>
      <c r="CG32" s="328">
        <f t="shared" si="143"/>
        <v>17234451.25</v>
      </c>
      <c r="CH32" s="328">
        <f t="shared" si="143"/>
        <v>5332887.2599999988</v>
      </c>
      <c r="CI32" s="328">
        <f t="shared" si="143"/>
        <v>1212241.77</v>
      </c>
      <c r="CJ32" s="328">
        <f t="shared" si="143"/>
        <v>307286.05000000005</v>
      </c>
      <c r="CK32" s="328">
        <f t="shared" si="143"/>
        <v>216643.6</v>
      </c>
      <c r="CL32" s="328">
        <f t="shared" si="143"/>
        <v>9487952.629999999</v>
      </c>
      <c r="CM32" s="328">
        <f t="shared" si="143"/>
        <v>932402.06</v>
      </c>
      <c r="CN32" s="328">
        <f t="shared" si="143"/>
        <v>17489413.370000001</v>
      </c>
      <c r="CO32" s="328">
        <f t="shared" si="143"/>
        <v>3635089.75</v>
      </c>
      <c r="CP32" s="328">
        <f t="shared" si="143"/>
        <v>1541619.73</v>
      </c>
      <c r="CQ32" s="328">
        <f t="shared" si="143"/>
        <v>354704.97000000003</v>
      </c>
      <c r="CR32" s="328">
        <f t="shared" si="143"/>
        <v>223092.03000000003</v>
      </c>
      <c r="CS32" s="328">
        <f t="shared" si="143"/>
        <v>9202483.1000000015</v>
      </c>
      <c r="CT32" s="328">
        <f t="shared" si="143"/>
        <v>1111066.27</v>
      </c>
      <c r="CU32" s="327">
        <f>SUM(CO32:CT32)</f>
        <v>16068055.850000001</v>
      </c>
      <c r="CV32" s="328">
        <f t="shared" ref="CV32:FG32" si="144">CV30+CV31</f>
        <v>2453996.9</v>
      </c>
      <c r="CW32" s="328">
        <f t="shared" si="144"/>
        <v>1410497.0899999999</v>
      </c>
      <c r="CX32" s="328">
        <f t="shared" si="144"/>
        <v>1130342.0499999998</v>
      </c>
      <c r="CY32" s="328">
        <f t="shared" si="144"/>
        <v>405032.99</v>
      </c>
      <c r="CZ32" s="328">
        <f t="shared" si="144"/>
        <v>10458010.629999999</v>
      </c>
      <c r="DA32" s="328">
        <f t="shared" si="144"/>
        <v>1251805.9600000004</v>
      </c>
      <c r="DB32" s="328">
        <f t="shared" si="144"/>
        <v>17109685.620000001</v>
      </c>
      <c r="DC32" s="328">
        <f t="shared" si="144"/>
        <v>2490841.23</v>
      </c>
      <c r="DD32" s="328">
        <f t="shared" si="144"/>
        <v>1484161.25</v>
      </c>
      <c r="DE32" s="328">
        <f t="shared" si="144"/>
        <v>1526954.61</v>
      </c>
      <c r="DF32" s="328">
        <f t="shared" si="144"/>
        <v>291287.94</v>
      </c>
      <c r="DG32" s="328">
        <f t="shared" si="144"/>
        <v>9502324.700000003</v>
      </c>
      <c r="DH32" s="328">
        <f t="shared" si="144"/>
        <v>1194160.0100000002</v>
      </c>
      <c r="DI32" s="328">
        <f t="shared" si="144"/>
        <v>16489729.74</v>
      </c>
      <c r="DJ32" s="328">
        <f t="shared" si="144"/>
        <v>1799799.1599999997</v>
      </c>
      <c r="DK32" s="328">
        <f t="shared" si="144"/>
        <v>1151448.6500000001</v>
      </c>
      <c r="DL32" s="328">
        <f t="shared" si="144"/>
        <v>544540.94000000018</v>
      </c>
      <c r="DM32" s="328">
        <f t="shared" si="144"/>
        <v>378030.97</v>
      </c>
      <c r="DN32" s="328">
        <f t="shared" si="144"/>
        <v>9454290.9600000009</v>
      </c>
      <c r="DO32" s="328">
        <f t="shared" si="144"/>
        <v>1145642.5900000001</v>
      </c>
      <c r="DP32" s="328">
        <f t="shared" si="144"/>
        <v>14473753.27</v>
      </c>
      <c r="DQ32" s="328">
        <f t="shared" si="144"/>
        <v>1857647.65</v>
      </c>
      <c r="DR32" s="328">
        <f t="shared" si="144"/>
        <v>1222071.4700000002</v>
      </c>
      <c r="DS32" s="328">
        <f t="shared" si="144"/>
        <v>566551.60000000009</v>
      </c>
      <c r="DT32" s="328">
        <f t="shared" si="144"/>
        <v>208791.65999999997</v>
      </c>
      <c r="DU32" s="328">
        <f t="shared" si="144"/>
        <v>9106293.5099999998</v>
      </c>
      <c r="DV32" s="328">
        <f t="shared" si="144"/>
        <v>954113.71</v>
      </c>
      <c r="DW32" s="328">
        <f t="shared" si="144"/>
        <v>13915469.600000001</v>
      </c>
      <c r="DX32" s="328">
        <f t="shared" si="144"/>
        <v>0</v>
      </c>
      <c r="DY32" s="328">
        <f t="shared" si="144"/>
        <v>0</v>
      </c>
      <c r="DZ32" s="328">
        <f t="shared" si="144"/>
        <v>0</v>
      </c>
      <c r="EA32" s="328">
        <f t="shared" si="144"/>
        <v>0</v>
      </c>
      <c r="EB32" s="328">
        <f t="shared" si="144"/>
        <v>0</v>
      </c>
      <c r="EC32" s="328">
        <f t="shared" si="144"/>
        <v>0</v>
      </c>
      <c r="ED32" s="328">
        <f t="shared" si="144"/>
        <v>0</v>
      </c>
      <c r="EE32" s="328">
        <f t="shared" si="144"/>
        <v>0</v>
      </c>
      <c r="EF32" s="328">
        <f t="shared" si="144"/>
        <v>0</v>
      </c>
      <c r="EG32" s="328">
        <f t="shared" si="144"/>
        <v>0</v>
      </c>
      <c r="EH32" s="328">
        <f t="shared" si="144"/>
        <v>0</v>
      </c>
      <c r="EI32" s="328">
        <f t="shared" si="144"/>
        <v>0</v>
      </c>
      <c r="EJ32" s="328">
        <f t="shared" si="144"/>
        <v>0</v>
      </c>
      <c r="EK32" s="328">
        <f t="shared" si="144"/>
        <v>0</v>
      </c>
      <c r="EL32" s="328">
        <f t="shared" si="144"/>
        <v>0</v>
      </c>
      <c r="EM32" s="328">
        <f t="shared" si="144"/>
        <v>0</v>
      </c>
      <c r="EN32" s="328">
        <f t="shared" si="144"/>
        <v>0</v>
      </c>
      <c r="EO32" s="328">
        <f t="shared" si="144"/>
        <v>0</v>
      </c>
      <c r="EP32" s="328">
        <f t="shared" si="144"/>
        <v>0</v>
      </c>
      <c r="EQ32" s="328">
        <f t="shared" si="144"/>
        <v>0</v>
      </c>
      <c r="ER32" s="328">
        <f t="shared" si="144"/>
        <v>0</v>
      </c>
      <c r="ES32" s="328">
        <f t="shared" si="144"/>
        <v>0</v>
      </c>
      <c r="ET32" s="328">
        <f t="shared" si="144"/>
        <v>0</v>
      </c>
      <c r="EU32" s="328">
        <f t="shared" si="144"/>
        <v>0</v>
      </c>
      <c r="EV32" s="328">
        <f t="shared" si="144"/>
        <v>0</v>
      </c>
      <c r="EW32" s="328">
        <f t="shared" si="144"/>
        <v>0</v>
      </c>
      <c r="EX32" s="328">
        <f t="shared" si="144"/>
        <v>0</v>
      </c>
      <c r="EY32" s="328">
        <f t="shared" si="144"/>
        <v>0</v>
      </c>
      <c r="EZ32" s="328">
        <f t="shared" si="144"/>
        <v>0</v>
      </c>
      <c r="FA32" s="328">
        <f t="shared" si="144"/>
        <v>0</v>
      </c>
      <c r="FB32" s="328">
        <f t="shared" si="144"/>
        <v>0</v>
      </c>
      <c r="FC32" s="328">
        <f t="shared" si="144"/>
        <v>0</v>
      </c>
      <c r="FD32" s="328">
        <f t="shared" si="144"/>
        <v>0</v>
      </c>
      <c r="FE32" s="328">
        <f t="shared" si="144"/>
        <v>0</v>
      </c>
      <c r="FF32" s="328">
        <f t="shared" si="144"/>
        <v>0</v>
      </c>
      <c r="FG32" s="328">
        <f t="shared" si="144"/>
        <v>0</v>
      </c>
      <c r="FH32" s="328">
        <f t="shared" ref="FH32:FL32" si="145">FH30+FH31</f>
        <v>0</v>
      </c>
      <c r="FI32" s="328">
        <f t="shared" si="145"/>
        <v>0</v>
      </c>
      <c r="FJ32" s="328">
        <f t="shared" si="145"/>
        <v>0</v>
      </c>
      <c r="FK32" s="328">
        <f t="shared" si="145"/>
        <v>0</v>
      </c>
      <c r="FL32" s="328">
        <f t="shared" si="145"/>
        <v>0</v>
      </c>
      <c r="FM32" s="200">
        <f>SUM(FG32:FL32)</f>
        <v>0</v>
      </c>
      <c r="FN32" s="336">
        <f>FN30+FN31</f>
        <v>63258602.590000004</v>
      </c>
      <c r="FO32" s="336">
        <f t="shared" ref="FO32:FS32" si="146">FO30+FO31</f>
        <v>13690888.370000001</v>
      </c>
      <c r="FP32" s="336">
        <f t="shared" si="146"/>
        <v>3427609.2499999995</v>
      </c>
      <c r="FQ32" s="336">
        <f t="shared" si="146"/>
        <v>2824767.04</v>
      </c>
      <c r="FR32" s="336">
        <f t="shared" si="146"/>
        <v>83163925.460000008</v>
      </c>
      <c r="FS32" s="336">
        <f t="shared" si="146"/>
        <v>8087112.540000001</v>
      </c>
      <c r="FT32" s="337">
        <f>SUM(FN32:FS32)</f>
        <v>174452905.25000003</v>
      </c>
      <c r="FU32" s="337">
        <f>FU30+FU31</f>
        <v>55901576.010000005</v>
      </c>
      <c r="FV32" s="337">
        <f t="shared" ref="FV32:FY32" si="147">FV30+FV31</f>
        <v>15391126.930000002</v>
      </c>
      <c r="FW32" s="337">
        <f t="shared" si="147"/>
        <v>4763343.24</v>
      </c>
      <c r="FX32" s="337">
        <f t="shared" si="147"/>
        <v>2073855.12</v>
      </c>
      <c r="FY32" s="337">
        <f t="shared" si="147"/>
        <v>73979563.340000004</v>
      </c>
      <c r="FZ32" s="337">
        <f>FZ30+FZ31</f>
        <v>8065689.8700000029</v>
      </c>
      <c r="GA32" s="337">
        <f>GA30+GA31</f>
        <v>160175154.51000002</v>
      </c>
      <c r="GB32" s="338">
        <f>FN32/FU32*100-100</f>
        <v>13.160678294085898</v>
      </c>
      <c r="GC32" s="338">
        <f>FO32/FV32*100-100</f>
        <v>-11.046875045166033</v>
      </c>
      <c r="GD32" s="338">
        <f t="shared" si="44"/>
        <v>-28.041942868681474</v>
      </c>
      <c r="GE32" s="338">
        <f t="shared" si="45"/>
        <v>36.208504285487408</v>
      </c>
      <c r="GF32" s="338">
        <f t="shared" si="46"/>
        <v>12.414728751222711</v>
      </c>
      <c r="GG32" s="338">
        <f>FS32/FZ32*100-100</f>
        <v>0.2656024511886983</v>
      </c>
      <c r="GH32" s="332">
        <f t="shared" si="97"/>
        <v>8.9138360962896002</v>
      </c>
    </row>
    <row r="33" spans="1:197" s="566" customFormat="1" ht="15.75" thickBot="1">
      <c r="AX33" s="566" t="b">
        <f>AX32=ABR!R102</f>
        <v>1</v>
      </c>
      <c r="BE33" s="787" t="b">
        <f>BE32=AX65</f>
        <v>1</v>
      </c>
    </row>
    <row r="34" spans="1:197" ht="30" customHeight="1">
      <c r="A34" s="939" t="s">
        <v>172</v>
      </c>
      <c r="B34" s="938">
        <v>80721</v>
      </c>
      <c r="C34" s="938"/>
      <c r="D34" s="938"/>
      <c r="E34" s="938"/>
      <c r="F34" s="938"/>
      <c r="G34" s="938"/>
      <c r="H34" s="938"/>
      <c r="I34" s="937">
        <v>80355</v>
      </c>
      <c r="J34" s="937"/>
      <c r="K34" s="937"/>
      <c r="L34" s="937"/>
      <c r="M34" s="937"/>
      <c r="N34" s="937"/>
      <c r="O34" s="937"/>
      <c r="P34" s="938">
        <v>80752</v>
      </c>
      <c r="Q34" s="938"/>
      <c r="R34" s="938"/>
      <c r="S34" s="938"/>
      <c r="T34" s="938"/>
      <c r="U34" s="938"/>
      <c r="V34" s="938"/>
      <c r="W34" s="937">
        <v>80386</v>
      </c>
      <c r="X34" s="937"/>
      <c r="Y34" s="937"/>
      <c r="Z34" s="937"/>
      <c r="AA34" s="937"/>
      <c r="AB34" s="937"/>
      <c r="AC34" s="937"/>
      <c r="AD34" s="938">
        <v>80780</v>
      </c>
      <c r="AE34" s="938"/>
      <c r="AF34" s="938"/>
      <c r="AG34" s="938"/>
      <c r="AH34" s="938"/>
      <c r="AI34" s="938"/>
      <c r="AJ34" s="938"/>
      <c r="AK34" s="937">
        <v>80415</v>
      </c>
      <c r="AL34" s="937"/>
      <c r="AM34" s="937"/>
      <c r="AN34" s="937"/>
      <c r="AO34" s="937"/>
      <c r="AP34" s="937"/>
      <c r="AQ34" s="937"/>
      <c r="AR34" s="938">
        <v>80811</v>
      </c>
      <c r="AS34" s="938"/>
      <c r="AT34" s="938"/>
      <c r="AU34" s="938"/>
      <c r="AV34" s="938"/>
      <c r="AW34" s="938"/>
      <c r="AX34" s="938"/>
      <c r="AY34" s="937">
        <v>80446</v>
      </c>
      <c r="AZ34" s="937"/>
      <c r="BA34" s="937"/>
      <c r="BB34" s="937"/>
      <c r="BC34" s="937"/>
      <c r="BD34" s="937"/>
      <c r="BE34" s="937"/>
      <c r="BF34" s="938">
        <v>80841</v>
      </c>
      <c r="BG34" s="938"/>
      <c r="BH34" s="938"/>
      <c r="BI34" s="938"/>
      <c r="BJ34" s="938"/>
      <c r="BK34" s="938"/>
      <c r="BL34" s="938"/>
      <c r="BM34" s="937">
        <v>80476</v>
      </c>
      <c r="BN34" s="937"/>
      <c r="BO34" s="937"/>
      <c r="BP34" s="937"/>
      <c r="BQ34" s="937"/>
      <c r="BR34" s="937"/>
      <c r="BS34" s="937"/>
      <c r="BT34" s="938">
        <v>80872</v>
      </c>
      <c r="BU34" s="938"/>
      <c r="BV34" s="938"/>
      <c r="BW34" s="938"/>
      <c r="BX34" s="938"/>
      <c r="BY34" s="938"/>
      <c r="BZ34" s="938"/>
      <c r="CA34" s="937">
        <v>80507</v>
      </c>
      <c r="CB34" s="937"/>
      <c r="CC34" s="937"/>
      <c r="CD34" s="937"/>
      <c r="CE34" s="937"/>
      <c r="CF34" s="937"/>
      <c r="CG34" s="937"/>
      <c r="CH34" s="938">
        <v>80902</v>
      </c>
      <c r="CI34" s="938"/>
      <c r="CJ34" s="938"/>
      <c r="CK34" s="938"/>
      <c r="CL34" s="938"/>
      <c r="CM34" s="938"/>
      <c r="CN34" s="938"/>
      <c r="CO34" s="937">
        <v>80537</v>
      </c>
      <c r="CP34" s="937"/>
      <c r="CQ34" s="937"/>
      <c r="CR34" s="937"/>
      <c r="CS34" s="937"/>
      <c r="CT34" s="937"/>
      <c r="CU34" s="937"/>
      <c r="CV34" s="938">
        <v>80933</v>
      </c>
      <c r="CW34" s="938"/>
      <c r="CX34" s="938"/>
      <c r="CY34" s="938"/>
      <c r="CZ34" s="938"/>
      <c r="DA34" s="938"/>
      <c r="DB34" s="938"/>
      <c r="DC34" s="937">
        <v>80568</v>
      </c>
      <c r="DD34" s="937"/>
      <c r="DE34" s="937"/>
      <c r="DF34" s="937"/>
      <c r="DG34" s="937"/>
      <c r="DH34" s="937"/>
      <c r="DI34" s="937"/>
      <c r="DJ34" s="938">
        <v>80964</v>
      </c>
      <c r="DK34" s="938"/>
      <c r="DL34" s="938"/>
      <c r="DM34" s="938"/>
      <c r="DN34" s="938"/>
      <c r="DO34" s="938"/>
      <c r="DP34" s="938"/>
      <c r="DQ34" s="937">
        <v>80599</v>
      </c>
      <c r="DR34" s="937"/>
      <c r="DS34" s="937"/>
      <c r="DT34" s="937"/>
      <c r="DU34" s="937"/>
      <c r="DV34" s="937"/>
      <c r="DW34" s="937"/>
      <c r="DX34" s="938">
        <v>80994</v>
      </c>
      <c r="DY34" s="938"/>
      <c r="DZ34" s="938"/>
      <c r="EA34" s="938"/>
      <c r="EB34" s="938"/>
      <c r="EC34" s="938"/>
      <c r="ED34" s="938"/>
      <c r="EE34" s="937">
        <v>80629</v>
      </c>
      <c r="EF34" s="937"/>
      <c r="EG34" s="937"/>
      <c r="EH34" s="937"/>
      <c r="EI34" s="937"/>
      <c r="EJ34" s="937"/>
      <c r="EK34" s="937"/>
      <c r="EL34" s="938">
        <v>81025</v>
      </c>
      <c r="EM34" s="938"/>
      <c r="EN34" s="938"/>
      <c r="EO34" s="938"/>
      <c r="EP34" s="938"/>
      <c r="EQ34" s="938"/>
      <c r="ER34" s="938"/>
      <c r="ES34" s="937">
        <v>80660</v>
      </c>
      <c r="ET34" s="937"/>
      <c r="EU34" s="937"/>
      <c r="EV34" s="937"/>
      <c r="EW34" s="937"/>
      <c r="EX34" s="937"/>
      <c r="EY34" s="937"/>
      <c r="EZ34" s="938">
        <v>81055</v>
      </c>
      <c r="FA34" s="938"/>
      <c r="FB34" s="938"/>
      <c r="FC34" s="938"/>
      <c r="FD34" s="938"/>
      <c r="FE34" s="938"/>
      <c r="FF34" s="938"/>
      <c r="FG34" s="937">
        <v>80690</v>
      </c>
      <c r="FH34" s="937"/>
      <c r="FI34" s="937"/>
      <c r="FJ34" s="937"/>
      <c r="FK34" s="937"/>
      <c r="FL34" s="937"/>
      <c r="FM34" s="948"/>
      <c r="FN34" s="941" t="s">
        <v>438</v>
      </c>
      <c r="FO34" s="942"/>
      <c r="FP34" s="942"/>
      <c r="FQ34" s="942"/>
      <c r="FR34" s="942"/>
      <c r="FS34" s="942"/>
      <c r="FT34" s="943"/>
      <c r="FU34" s="944" t="s">
        <v>414</v>
      </c>
      <c r="FV34" s="945"/>
      <c r="FW34" s="946"/>
      <c r="FX34" s="946"/>
      <c r="FY34" s="946"/>
      <c r="FZ34" s="946"/>
      <c r="GA34" s="947"/>
      <c r="GB34" s="944" t="s">
        <v>416</v>
      </c>
      <c r="GC34" s="945"/>
      <c r="GD34" s="946"/>
      <c r="GE34" s="946"/>
      <c r="GF34" s="946"/>
      <c r="GG34" s="946"/>
      <c r="GH34" s="947"/>
    </row>
    <row r="35" spans="1:197" ht="30">
      <c r="A35" s="940"/>
      <c r="B35" s="220" t="s">
        <v>534</v>
      </c>
      <c r="C35" s="489" t="s">
        <v>535</v>
      </c>
      <c r="D35" s="220" t="s">
        <v>533</v>
      </c>
      <c r="E35" s="489" t="s">
        <v>536</v>
      </c>
      <c r="F35" s="220" t="s">
        <v>28</v>
      </c>
      <c r="G35" s="220" t="s">
        <v>132</v>
      </c>
      <c r="H35" s="220" t="s">
        <v>118</v>
      </c>
      <c r="I35" s="489" t="s">
        <v>534</v>
      </c>
      <c r="J35" s="489" t="s">
        <v>535</v>
      </c>
      <c r="K35" s="489" t="s">
        <v>533</v>
      </c>
      <c r="L35" s="489" t="s">
        <v>536</v>
      </c>
      <c r="M35" s="220" t="s">
        <v>28</v>
      </c>
      <c r="N35" s="220" t="s">
        <v>132</v>
      </c>
      <c r="O35" s="220" t="s">
        <v>118</v>
      </c>
      <c r="P35" s="489" t="s">
        <v>534</v>
      </c>
      <c r="Q35" s="489" t="s">
        <v>535</v>
      </c>
      <c r="R35" s="489" t="s">
        <v>533</v>
      </c>
      <c r="S35" s="489" t="s">
        <v>536</v>
      </c>
      <c r="T35" s="220" t="s">
        <v>28</v>
      </c>
      <c r="U35" s="220" t="s">
        <v>132</v>
      </c>
      <c r="V35" s="220" t="s">
        <v>118</v>
      </c>
      <c r="W35" s="489" t="s">
        <v>534</v>
      </c>
      <c r="X35" s="489" t="s">
        <v>535</v>
      </c>
      <c r="Y35" s="489" t="s">
        <v>533</v>
      </c>
      <c r="Z35" s="489" t="s">
        <v>536</v>
      </c>
      <c r="AA35" s="220" t="s">
        <v>28</v>
      </c>
      <c r="AB35" s="220" t="s">
        <v>132</v>
      </c>
      <c r="AC35" s="220" t="s">
        <v>118</v>
      </c>
      <c r="AD35" s="489" t="s">
        <v>534</v>
      </c>
      <c r="AE35" s="489" t="s">
        <v>535</v>
      </c>
      <c r="AF35" s="489" t="s">
        <v>533</v>
      </c>
      <c r="AG35" s="489" t="s">
        <v>536</v>
      </c>
      <c r="AH35" s="220" t="s">
        <v>28</v>
      </c>
      <c r="AI35" s="220" t="s">
        <v>132</v>
      </c>
      <c r="AJ35" s="220" t="s">
        <v>118</v>
      </c>
      <c r="AK35" s="489" t="s">
        <v>534</v>
      </c>
      <c r="AL35" s="489" t="s">
        <v>535</v>
      </c>
      <c r="AM35" s="489" t="s">
        <v>533</v>
      </c>
      <c r="AN35" s="489" t="s">
        <v>536</v>
      </c>
      <c r="AO35" s="220" t="s">
        <v>28</v>
      </c>
      <c r="AP35" s="220" t="s">
        <v>132</v>
      </c>
      <c r="AQ35" s="220" t="s">
        <v>118</v>
      </c>
      <c r="AR35" s="489" t="s">
        <v>534</v>
      </c>
      <c r="AS35" s="489" t="s">
        <v>535</v>
      </c>
      <c r="AT35" s="489" t="s">
        <v>533</v>
      </c>
      <c r="AU35" s="489" t="s">
        <v>536</v>
      </c>
      <c r="AV35" s="220" t="s">
        <v>28</v>
      </c>
      <c r="AW35" s="220" t="s">
        <v>132</v>
      </c>
      <c r="AX35" s="220" t="s">
        <v>118</v>
      </c>
      <c r="AY35" s="489" t="s">
        <v>534</v>
      </c>
      <c r="AZ35" s="489" t="s">
        <v>535</v>
      </c>
      <c r="BA35" s="489" t="s">
        <v>533</v>
      </c>
      <c r="BB35" s="489" t="s">
        <v>536</v>
      </c>
      <c r="BC35" s="220" t="s">
        <v>28</v>
      </c>
      <c r="BD35" s="220" t="s">
        <v>132</v>
      </c>
      <c r="BE35" s="220" t="s">
        <v>118</v>
      </c>
      <c r="BF35" s="489" t="s">
        <v>534</v>
      </c>
      <c r="BG35" s="489" t="s">
        <v>535</v>
      </c>
      <c r="BH35" s="489" t="s">
        <v>533</v>
      </c>
      <c r="BI35" s="489" t="s">
        <v>536</v>
      </c>
      <c r="BJ35" s="220" t="s">
        <v>28</v>
      </c>
      <c r="BK35" s="220" t="s">
        <v>132</v>
      </c>
      <c r="BL35" s="220" t="s">
        <v>118</v>
      </c>
      <c r="BM35" s="489" t="s">
        <v>534</v>
      </c>
      <c r="BN35" s="489" t="s">
        <v>535</v>
      </c>
      <c r="BO35" s="489" t="s">
        <v>533</v>
      </c>
      <c r="BP35" s="489" t="s">
        <v>536</v>
      </c>
      <c r="BQ35" s="220" t="s">
        <v>28</v>
      </c>
      <c r="BR35" s="220" t="s">
        <v>132</v>
      </c>
      <c r="BS35" s="220" t="s">
        <v>118</v>
      </c>
      <c r="BT35" s="489" t="s">
        <v>534</v>
      </c>
      <c r="BU35" s="489" t="s">
        <v>535</v>
      </c>
      <c r="BV35" s="489" t="s">
        <v>533</v>
      </c>
      <c r="BW35" s="489" t="s">
        <v>536</v>
      </c>
      <c r="BX35" s="220" t="s">
        <v>28</v>
      </c>
      <c r="BY35" s="220" t="s">
        <v>132</v>
      </c>
      <c r="BZ35" s="220" t="s">
        <v>118</v>
      </c>
      <c r="CA35" s="489" t="s">
        <v>534</v>
      </c>
      <c r="CB35" s="489" t="s">
        <v>535</v>
      </c>
      <c r="CC35" s="489" t="s">
        <v>533</v>
      </c>
      <c r="CD35" s="489" t="s">
        <v>536</v>
      </c>
      <c r="CE35" s="220" t="s">
        <v>28</v>
      </c>
      <c r="CF35" s="220" t="s">
        <v>132</v>
      </c>
      <c r="CG35" s="220" t="s">
        <v>118</v>
      </c>
      <c r="CH35" s="489" t="s">
        <v>534</v>
      </c>
      <c r="CI35" s="489" t="s">
        <v>535</v>
      </c>
      <c r="CJ35" s="489" t="s">
        <v>533</v>
      </c>
      <c r="CK35" s="489" t="s">
        <v>536</v>
      </c>
      <c r="CL35" s="220" t="s">
        <v>28</v>
      </c>
      <c r="CM35" s="220" t="s">
        <v>132</v>
      </c>
      <c r="CN35" s="220" t="s">
        <v>118</v>
      </c>
      <c r="CO35" s="489" t="s">
        <v>534</v>
      </c>
      <c r="CP35" s="489" t="s">
        <v>535</v>
      </c>
      <c r="CQ35" s="489" t="s">
        <v>533</v>
      </c>
      <c r="CR35" s="489" t="s">
        <v>536</v>
      </c>
      <c r="CS35" s="220" t="s">
        <v>28</v>
      </c>
      <c r="CT35" s="220" t="s">
        <v>132</v>
      </c>
      <c r="CU35" s="220" t="s">
        <v>118</v>
      </c>
      <c r="CV35" s="489" t="s">
        <v>534</v>
      </c>
      <c r="CW35" s="489" t="s">
        <v>535</v>
      </c>
      <c r="CX35" s="489" t="s">
        <v>533</v>
      </c>
      <c r="CY35" s="489" t="s">
        <v>536</v>
      </c>
      <c r="CZ35" s="220" t="s">
        <v>28</v>
      </c>
      <c r="DA35" s="220" t="s">
        <v>132</v>
      </c>
      <c r="DB35" s="220" t="s">
        <v>118</v>
      </c>
      <c r="DC35" s="489" t="s">
        <v>534</v>
      </c>
      <c r="DD35" s="489" t="s">
        <v>535</v>
      </c>
      <c r="DE35" s="489" t="s">
        <v>533</v>
      </c>
      <c r="DF35" s="489" t="s">
        <v>536</v>
      </c>
      <c r="DG35" s="220" t="s">
        <v>28</v>
      </c>
      <c r="DH35" s="220" t="s">
        <v>132</v>
      </c>
      <c r="DI35" s="220" t="s">
        <v>118</v>
      </c>
      <c r="DJ35" s="489" t="s">
        <v>534</v>
      </c>
      <c r="DK35" s="489" t="s">
        <v>535</v>
      </c>
      <c r="DL35" s="489" t="s">
        <v>533</v>
      </c>
      <c r="DM35" s="489" t="s">
        <v>536</v>
      </c>
      <c r="DN35" s="220" t="s">
        <v>28</v>
      </c>
      <c r="DO35" s="220" t="s">
        <v>132</v>
      </c>
      <c r="DP35" s="220" t="s">
        <v>118</v>
      </c>
      <c r="DQ35" s="489" t="s">
        <v>534</v>
      </c>
      <c r="DR35" s="489" t="s">
        <v>535</v>
      </c>
      <c r="DS35" s="489" t="s">
        <v>533</v>
      </c>
      <c r="DT35" s="489" t="s">
        <v>536</v>
      </c>
      <c r="DU35" s="220" t="s">
        <v>28</v>
      </c>
      <c r="DV35" s="220" t="s">
        <v>132</v>
      </c>
      <c r="DW35" s="220" t="s">
        <v>118</v>
      </c>
      <c r="DX35" s="489" t="s">
        <v>534</v>
      </c>
      <c r="DY35" s="489" t="s">
        <v>535</v>
      </c>
      <c r="DZ35" s="489" t="s">
        <v>533</v>
      </c>
      <c r="EA35" s="489" t="s">
        <v>536</v>
      </c>
      <c r="EB35" s="220" t="s">
        <v>28</v>
      </c>
      <c r="EC35" s="220" t="s">
        <v>132</v>
      </c>
      <c r="ED35" s="220" t="s">
        <v>118</v>
      </c>
      <c r="EE35" s="489" t="s">
        <v>534</v>
      </c>
      <c r="EF35" s="489" t="s">
        <v>535</v>
      </c>
      <c r="EG35" s="489" t="s">
        <v>533</v>
      </c>
      <c r="EH35" s="489" t="s">
        <v>536</v>
      </c>
      <c r="EI35" s="220" t="s">
        <v>28</v>
      </c>
      <c r="EJ35" s="220" t="s">
        <v>132</v>
      </c>
      <c r="EK35" s="220" t="s">
        <v>118</v>
      </c>
      <c r="EL35" s="489" t="s">
        <v>534</v>
      </c>
      <c r="EM35" s="489" t="s">
        <v>535</v>
      </c>
      <c r="EN35" s="489" t="s">
        <v>533</v>
      </c>
      <c r="EO35" s="489" t="s">
        <v>536</v>
      </c>
      <c r="EP35" s="220" t="s">
        <v>28</v>
      </c>
      <c r="EQ35" s="220" t="s">
        <v>132</v>
      </c>
      <c r="ER35" s="220" t="s">
        <v>118</v>
      </c>
      <c r="ES35" s="489" t="s">
        <v>534</v>
      </c>
      <c r="ET35" s="489" t="s">
        <v>535</v>
      </c>
      <c r="EU35" s="489" t="s">
        <v>533</v>
      </c>
      <c r="EV35" s="489" t="s">
        <v>536</v>
      </c>
      <c r="EW35" s="220" t="s">
        <v>28</v>
      </c>
      <c r="EX35" s="220" t="s">
        <v>132</v>
      </c>
      <c r="EY35" s="220" t="s">
        <v>118</v>
      </c>
      <c r="EZ35" s="489" t="s">
        <v>534</v>
      </c>
      <c r="FA35" s="489" t="s">
        <v>535</v>
      </c>
      <c r="FB35" s="489" t="s">
        <v>533</v>
      </c>
      <c r="FC35" s="489" t="s">
        <v>536</v>
      </c>
      <c r="FD35" s="220" t="s">
        <v>28</v>
      </c>
      <c r="FE35" s="220" t="s">
        <v>132</v>
      </c>
      <c r="FF35" s="220" t="s">
        <v>118</v>
      </c>
      <c r="FG35" s="489" t="s">
        <v>534</v>
      </c>
      <c r="FH35" s="489" t="s">
        <v>535</v>
      </c>
      <c r="FI35" s="489" t="s">
        <v>533</v>
      </c>
      <c r="FJ35" s="489" t="s">
        <v>536</v>
      </c>
      <c r="FK35" s="220" t="s">
        <v>28</v>
      </c>
      <c r="FL35" s="220" t="s">
        <v>132</v>
      </c>
      <c r="FM35" s="219" t="s">
        <v>118</v>
      </c>
      <c r="FN35" s="489" t="s">
        <v>534</v>
      </c>
      <c r="FO35" s="489" t="s">
        <v>535</v>
      </c>
      <c r="FP35" s="489" t="s">
        <v>533</v>
      </c>
      <c r="FQ35" s="489" t="s">
        <v>536</v>
      </c>
      <c r="FR35" s="220" t="s">
        <v>28</v>
      </c>
      <c r="FS35" s="220" t="s">
        <v>132</v>
      </c>
      <c r="FT35" s="220" t="s">
        <v>118</v>
      </c>
      <c r="FU35" s="489" t="s">
        <v>534</v>
      </c>
      <c r="FV35" s="489" t="s">
        <v>535</v>
      </c>
      <c r="FW35" s="489" t="s">
        <v>533</v>
      </c>
      <c r="FX35" s="489" t="s">
        <v>536</v>
      </c>
      <c r="FY35" s="220" t="s">
        <v>28</v>
      </c>
      <c r="FZ35" s="220" t="s">
        <v>132</v>
      </c>
      <c r="GA35" s="219" t="s">
        <v>118</v>
      </c>
      <c r="GB35" s="489" t="s">
        <v>534</v>
      </c>
      <c r="GC35" s="489" t="s">
        <v>535</v>
      </c>
      <c r="GD35" s="489" t="s">
        <v>533</v>
      </c>
      <c r="GE35" s="489" t="s">
        <v>536</v>
      </c>
      <c r="GF35" s="218" t="s">
        <v>28</v>
      </c>
      <c r="GG35" s="218" t="s">
        <v>132</v>
      </c>
      <c r="GH35" s="217" t="s">
        <v>118</v>
      </c>
    </row>
    <row r="36" spans="1:197">
      <c r="A36" s="211" t="s">
        <v>77</v>
      </c>
      <c r="B36" s="208">
        <v>14633.376000000002</v>
      </c>
      <c r="C36" s="208">
        <v>4688.9599999999982</v>
      </c>
      <c r="D36" s="208">
        <v>2197.4479999999999</v>
      </c>
      <c r="E36" s="208">
        <v>314.27999999999997</v>
      </c>
      <c r="F36" s="208">
        <v>14781.640000000001</v>
      </c>
      <c r="G36" s="208">
        <v>1917.5600000000015</v>
      </c>
      <c r="H36" s="209">
        <v>38533.264000000003</v>
      </c>
      <c r="I36" s="208">
        <v>14560.495999999999</v>
      </c>
      <c r="J36" s="208">
        <v>3850.3919999999998</v>
      </c>
      <c r="K36" s="208">
        <v>2697.0560000000005</v>
      </c>
      <c r="L36" s="208">
        <v>420.52800000000002</v>
      </c>
      <c r="M36" s="208">
        <v>14855.224</v>
      </c>
      <c r="N36" s="208">
        <v>1657.2000000000003</v>
      </c>
      <c r="O36" s="209">
        <v>38040.895999999993</v>
      </c>
      <c r="P36" s="208">
        <v>16068.44</v>
      </c>
      <c r="Q36" s="208">
        <v>4609.376000000002</v>
      </c>
      <c r="R36" s="208">
        <v>411.416</v>
      </c>
      <c r="S36" s="208">
        <v>0</v>
      </c>
      <c r="T36" s="208">
        <v>13877.864000000001</v>
      </c>
      <c r="U36" s="208">
        <v>1021.6320000000001</v>
      </c>
      <c r="V36" s="209">
        <v>35988.728000000003</v>
      </c>
      <c r="W36" s="208">
        <v>19304.727999999999</v>
      </c>
      <c r="X36" s="208">
        <v>3351.2480000000005</v>
      </c>
      <c r="Y36" s="208">
        <v>3304.6559999999999</v>
      </c>
      <c r="Z36" s="208">
        <v>693.88800000000003</v>
      </c>
      <c r="AA36" s="208">
        <v>14104.800000000001</v>
      </c>
      <c r="AB36" s="208">
        <v>1784.0319999999999</v>
      </c>
      <c r="AC36" s="209">
        <v>42543.351999999999</v>
      </c>
      <c r="AD36" s="208">
        <v>16717.024000000001</v>
      </c>
      <c r="AE36" s="208">
        <v>3356.6160000000013</v>
      </c>
      <c r="AF36" s="208">
        <v>1645.664</v>
      </c>
      <c r="AG36" s="208">
        <v>1192.768</v>
      </c>
      <c r="AH36" s="208">
        <v>16690.68</v>
      </c>
      <c r="AI36" s="208">
        <v>711.36000000000013</v>
      </c>
      <c r="AJ36" s="209">
        <v>40314.112000000008</v>
      </c>
      <c r="AK36" s="208">
        <v>14407.112000000001</v>
      </c>
      <c r="AL36" s="208">
        <v>3421.1040000000003</v>
      </c>
      <c r="AM36" s="208">
        <v>2255.16</v>
      </c>
      <c r="AN36" s="208">
        <v>295.952</v>
      </c>
      <c r="AO36" s="208">
        <v>14165.448000000002</v>
      </c>
      <c r="AP36" s="208">
        <v>1948.992</v>
      </c>
      <c r="AQ36" s="209">
        <v>36493.768000000004</v>
      </c>
      <c r="AR36" s="208">
        <v>13891.023999999999</v>
      </c>
      <c r="AS36" s="208">
        <v>2769.1040000000012</v>
      </c>
      <c r="AT36" s="208">
        <v>1727.9520000000002</v>
      </c>
      <c r="AU36" s="208">
        <v>1271.2079999999999</v>
      </c>
      <c r="AV36" s="208">
        <v>17787.72</v>
      </c>
      <c r="AW36" s="208">
        <v>1624.3200000000002</v>
      </c>
      <c r="AX36" s="209">
        <v>39071.328000000001</v>
      </c>
      <c r="AY36" s="208">
        <v>6038.5120000000006</v>
      </c>
      <c r="AZ36" s="208">
        <v>1214.288</v>
      </c>
      <c r="BA36" s="208">
        <v>510.45600000000007</v>
      </c>
      <c r="BB36" s="208">
        <v>184.584</v>
      </c>
      <c r="BC36" s="208">
        <v>7836</v>
      </c>
      <c r="BD36" s="208">
        <v>693.32800000000009</v>
      </c>
      <c r="BE36" s="209">
        <v>16477.168000000001</v>
      </c>
      <c r="BF36" s="208">
        <v>14600.392000000002</v>
      </c>
      <c r="BG36" s="208">
        <v>1787.879999999999</v>
      </c>
      <c r="BH36" s="208">
        <v>1611.3760000000002</v>
      </c>
      <c r="BI36" s="208">
        <v>422.8159999999998</v>
      </c>
      <c r="BJ36" s="208">
        <v>27112.560000000001</v>
      </c>
      <c r="BK36" s="208">
        <v>2014.2720000000002</v>
      </c>
      <c r="BL36" s="209">
        <v>47549.296000000002</v>
      </c>
      <c r="BM36" s="208">
        <v>5366.7760000000007</v>
      </c>
      <c r="BN36" s="208">
        <v>1032.5040000000001</v>
      </c>
      <c r="BO36" s="208">
        <v>1119.96</v>
      </c>
      <c r="BP36" s="208">
        <v>439.20000000000005</v>
      </c>
      <c r="BQ36" s="208">
        <v>11048.760000000002</v>
      </c>
      <c r="BR36" s="208">
        <v>2495.7440000000001</v>
      </c>
      <c r="BS36" s="209">
        <v>21502.944000000003</v>
      </c>
      <c r="BT36" s="208">
        <v>16999.464000000004</v>
      </c>
      <c r="BU36" s="208">
        <v>4198.3999999999978</v>
      </c>
      <c r="BV36" s="208">
        <v>1103.9680000000001</v>
      </c>
      <c r="BW36" s="208">
        <v>1030.2160000000001</v>
      </c>
      <c r="BX36" s="208">
        <v>25310.280000000002</v>
      </c>
      <c r="BY36" s="208">
        <v>3436.3120000000008</v>
      </c>
      <c r="BZ36" s="209">
        <v>52078.640000000007</v>
      </c>
      <c r="CA36" s="208">
        <v>9320.3120000000017</v>
      </c>
      <c r="CB36" s="208">
        <v>1915.1120000000001</v>
      </c>
      <c r="CC36" s="208">
        <v>1538.9920000000002</v>
      </c>
      <c r="CD36" s="208">
        <v>295.49600000000004</v>
      </c>
      <c r="CE36" s="208">
        <v>13164.48</v>
      </c>
      <c r="CF36" s="208">
        <v>2931.6960000000004</v>
      </c>
      <c r="CG36" s="209">
        <v>29166.088</v>
      </c>
      <c r="CH36" s="208">
        <v>16335.807999999999</v>
      </c>
      <c r="CI36" s="208">
        <v>4189.8480000000018</v>
      </c>
      <c r="CJ36" s="208">
        <v>622.45600000000013</v>
      </c>
      <c r="CK36" s="208">
        <v>191.27199999999993</v>
      </c>
      <c r="CL36" s="208">
        <v>26172.240000000002</v>
      </c>
      <c r="CM36" s="208">
        <v>4630.0560000000005</v>
      </c>
      <c r="CN36" s="209">
        <v>52141.680000000008</v>
      </c>
      <c r="CO36" s="208">
        <v>14005.264000000003</v>
      </c>
      <c r="CP36" s="208">
        <v>1261.7439999999974</v>
      </c>
      <c r="CQ36" s="208">
        <v>1752.328</v>
      </c>
      <c r="CR36" s="208">
        <v>0</v>
      </c>
      <c r="CS36" s="208">
        <v>17631</v>
      </c>
      <c r="CT36" s="208">
        <v>1272.9040000000002</v>
      </c>
      <c r="CU36" s="209">
        <v>35923.24</v>
      </c>
      <c r="CV36" s="208">
        <v>8668.8720000000012</v>
      </c>
      <c r="CW36" s="208">
        <v>5177.6560000000009</v>
      </c>
      <c r="CX36" s="208">
        <v>2717.0480000000002</v>
      </c>
      <c r="CY36" s="208">
        <v>950.2560000000002</v>
      </c>
      <c r="CZ36" s="208">
        <v>24605.040000000001</v>
      </c>
      <c r="DA36" s="208">
        <v>3426.7919999999999</v>
      </c>
      <c r="DB36" s="209">
        <v>45545.664000000004</v>
      </c>
      <c r="DC36" s="208">
        <v>19565.816000000003</v>
      </c>
      <c r="DD36" s="208">
        <v>4474.0639999999985</v>
      </c>
      <c r="DE36" s="208">
        <v>3047.5439999999999</v>
      </c>
      <c r="DF36" s="208">
        <v>0</v>
      </c>
      <c r="DG36" s="208">
        <v>23508</v>
      </c>
      <c r="DH36" s="208">
        <v>2230.2800000000002</v>
      </c>
      <c r="DI36" s="209">
        <v>52825.703999999998</v>
      </c>
      <c r="DJ36" s="208">
        <v>9009.76</v>
      </c>
      <c r="DK36" s="208">
        <v>6533.0399999999991</v>
      </c>
      <c r="DL36" s="208">
        <v>1260.9120000000003</v>
      </c>
      <c r="DM36" s="208">
        <v>709.09600000000012</v>
      </c>
      <c r="DN36" s="208">
        <v>22646.040000000005</v>
      </c>
      <c r="DO36" s="208">
        <v>4807.5920000000006</v>
      </c>
      <c r="DP36" s="209">
        <v>44966.44</v>
      </c>
      <c r="DQ36" s="208">
        <v>7479.9120000000003</v>
      </c>
      <c r="DR36" s="208">
        <v>3106.2000000000016</v>
      </c>
      <c r="DS36" s="208">
        <v>1310.4480000000001</v>
      </c>
      <c r="DT36" s="208">
        <v>527.64800000000002</v>
      </c>
      <c r="DU36" s="208">
        <v>28209.600000000002</v>
      </c>
      <c r="DV36" s="208">
        <v>2638.5440000000008</v>
      </c>
      <c r="DW36" s="209">
        <v>43272.352000000006</v>
      </c>
      <c r="DX36" s="208">
        <v>5196.6559999999999</v>
      </c>
      <c r="DY36" s="208">
        <v>2887.9920000000002</v>
      </c>
      <c r="DZ36" s="208">
        <v>2681.8240000000005</v>
      </c>
      <c r="EA36" s="208">
        <v>237.18400000000003</v>
      </c>
      <c r="EB36" s="208">
        <v>19668.528000000002</v>
      </c>
      <c r="EC36" s="208">
        <v>2386.9040000000005</v>
      </c>
      <c r="ED36" s="209">
        <v>33059.088000000003</v>
      </c>
      <c r="EE36" s="208">
        <v>2464.5439999999999</v>
      </c>
      <c r="EF36" s="208">
        <v>8339.1119999999992</v>
      </c>
      <c r="EG36" s="208">
        <v>393.13600000000002</v>
      </c>
      <c r="EH36" s="208">
        <v>1757.1840000000002</v>
      </c>
      <c r="EI36" s="208">
        <v>24056.520000000004</v>
      </c>
      <c r="EJ36" s="208">
        <v>2950.1840000000002</v>
      </c>
      <c r="EK36" s="209">
        <v>39960.68</v>
      </c>
      <c r="EL36" s="208">
        <v>4898.1840000000002</v>
      </c>
      <c r="EM36" s="208">
        <v>1636.2160000000006</v>
      </c>
      <c r="EN36" s="208">
        <v>1865.3360000000002</v>
      </c>
      <c r="EO36" s="208">
        <v>265.12799999999987</v>
      </c>
      <c r="EP36" s="208">
        <v>19590</v>
      </c>
      <c r="EQ36" s="208">
        <v>1998.3679999999999</v>
      </c>
      <c r="ER36" s="209">
        <v>30253.232</v>
      </c>
      <c r="ES36" s="208">
        <v>3617.5360000000001</v>
      </c>
      <c r="ET36" s="208">
        <v>1325.3760000000002</v>
      </c>
      <c r="EU36" s="208">
        <v>758.80799999999999</v>
      </c>
      <c r="EV36" s="208">
        <v>568.6</v>
      </c>
      <c r="EW36" s="208">
        <v>20765.400000000001</v>
      </c>
      <c r="EX36" s="208">
        <v>1446.4240000000004</v>
      </c>
      <c r="EY36" s="209">
        <v>28482.144</v>
      </c>
      <c r="EZ36" s="208">
        <v>5381.344000000001</v>
      </c>
      <c r="FA36" s="208">
        <v>2489.8559999999998</v>
      </c>
      <c r="FB36" s="208">
        <v>1523.7600000000002</v>
      </c>
      <c r="FC36" s="208">
        <v>187.89600000000002</v>
      </c>
      <c r="FD36" s="208">
        <v>15358.560000000001</v>
      </c>
      <c r="FE36" s="208">
        <v>1761.0640000000001</v>
      </c>
      <c r="FF36" s="209">
        <v>26702.480000000003</v>
      </c>
      <c r="FG36" s="208">
        <v>6135.9440000000004</v>
      </c>
      <c r="FH36" s="208">
        <v>2157.559999999999</v>
      </c>
      <c r="FI36" s="208">
        <v>167.61600000000001</v>
      </c>
      <c r="FJ36" s="208">
        <v>0</v>
      </c>
      <c r="FK36" s="208">
        <v>19981.800000000003</v>
      </c>
      <c r="FL36" s="208">
        <v>2589.6640000000007</v>
      </c>
      <c r="FM36" s="207">
        <v>31032.584000000003</v>
      </c>
      <c r="FN36" s="210">
        <v>142400.34400000004</v>
      </c>
      <c r="FO36" s="518">
        <v>44324.944000000003</v>
      </c>
      <c r="FP36" s="208">
        <v>19369.160000000003</v>
      </c>
      <c r="FQ36" s="208">
        <v>6772.12</v>
      </c>
      <c r="FR36" s="208">
        <v>243601.152</v>
      </c>
      <c r="FS36" s="208">
        <v>29736.232</v>
      </c>
      <c r="FT36" s="209">
        <v>486203.95200000011</v>
      </c>
      <c r="FU36" s="208">
        <v>122266.952</v>
      </c>
      <c r="FV36" s="208">
        <v>35448.703999999998</v>
      </c>
      <c r="FW36" s="208">
        <v>18856.16</v>
      </c>
      <c r="FX36" s="208">
        <v>5183.0800000000008</v>
      </c>
      <c r="FY36" s="208">
        <v>209327.03200000001</v>
      </c>
      <c r="FZ36" s="208">
        <v>24638.992000000002</v>
      </c>
      <c r="GA36" s="207">
        <v>415720.92000000004</v>
      </c>
      <c r="GB36" s="206">
        <v>16.46674892165467</v>
      </c>
      <c r="GC36" s="206">
        <v>25.039674228992979</v>
      </c>
      <c r="GD36" s="206">
        <v>2.7205963462338332</v>
      </c>
      <c r="GE36" s="206">
        <v>30.658218665349551</v>
      </c>
      <c r="GF36" s="206">
        <v>16.373480134185442</v>
      </c>
      <c r="GG36" s="206">
        <v>20.687696964226461</v>
      </c>
      <c r="GH36" s="205">
        <v>16.954410665693715</v>
      </c>
      <c r="GI36" s="215" t="str">
        <f>IF(GH36&lt;0,"menor","MAIOR")</f>
        <v>MAIOR</v>
      </c>
      <c r="GJ36" s="216">
        <f>COUNTIF(GI36:GI62,"MAIOR")</f>
        <v>27</v>
      </c>
      <c r="GK36" s="194" t="s">
        <v>350</v>
      </c>
      <c r="GL36" s="194"/>
      <c r="GM36" s="194"/>
      <c r="GN36" s="194"/>
      <c r="GO36" s="194"/>
    </row>
    <row r="37" spans="1:197">
      <c r="A37" s="211" t="s">
        <v>78</v>
      </c>
      <c r="B37" s="208">
        <v>85686.983999999997</v>
      </c>
      <c r="C37" s="208">
        <v>31277.640000000003</v>
      </c>
      <c r="D37" s="208">
        <v>2986.8720000000003</v>
      </c>
      <c r="E37" s="208">
        <v>1760.1519999999998</v>
      </c>
      <c r="F37" s="208">
        <v>42954.8</v>
      </c>
      <c r="G37" s="208">
        <v>10996.271999999986</v>
      </c>
      <c r="H37" s="209">
        <v>175662.72</v>
      </c>
      <c r="I37" s="208">
        <v>82619.016000000003</v>
      </c>
      <c r="J37" s="208">
        <v>25126.440000000002</v>
      </c>
      <c r="K37" s="208">
        <v>3794.1680000000001</v>
      </c>
      <c r="L37" s="208">
        <v>1131.8399999999999</v>
      </c>
      <c r="M37" s="208">
        <v>37533.688000000002</v>
      </c>
      <c r="N37" s="208">
        <v>8492.5360000000001</v>
      </c>
      <c r="O37" s="209">
        <v>158697.68799999999</v>
      </c>
      <c r="P37" s="208">
        <v>103876.288</v>
      </c>
      <c r="Q37" s="208">
        <v>22101.583999999999</v>
      </c>
      <c r="R37" s="208">
        <v>3265.5360000000001</v>
      </c>
      <c r="S37" s="208">
        <v>1291.9440000000002</v>
      </c>
      <c r="T37" s="208">
        <v>55016.864000000001</v>
      </c>
      <c r="U37" s="208">
        <v>5677.9120000000003</v>
      </c>
      <c r="V37" s="209">
        <v>191230.12800000003</v>
      </c>
      <c r="W37" s="208">
        <v>76937.648000000001</v>
      </c>
      <c r="X37" s="208">
        <v>16464.688000000002</v>
      </c>
      <c r="Y37" s="208">
        <v>8479.728000000001</v>
      </c>
      <c r="Z37" s="208">
        <v>568</v>
      </c>
      <c r="AA37" s="208">
        <v>39963.600000000006</v>
      </c>
      <c r="AB37" s="208">
        <v>5033.6800000000012</v>
      </c>
      <c r="AC37" s="209">
        <v>147447.34400000001</v>
      </c>
      <c r="AD37" s="208">
        <v>62166.448000000004</v>
      </c>
      <c r="AE37" s="208">
        <v>30632.720000000008</v>
      </c>
      <c r="AF37" s="208">
        <v>548.55200000000002</v>
      </c>
      <c r="AG37" s="208">
        <v>1003.3600000000001</v>
      </c>
      <c r="AH37" s="208">
        <v>69352.672000000006</v>
      </c>
      <c r="AI37" s="208">
        <v>7891.2719999999999</v>
      </c>
      <c r="AJ37" s="209">
        <v>171595.024</v>
      </c>
      <c r="AK37" s="208">
        <v>41772.520000000004</v>
      </c>
      <c r="AL37" s="208">
        <v>13770.735999999999</v>
      </c>
      <c r="AM37" s="208">
        <v>1409.472</v>
      </c>
      <c r="AN37" s="208">
        <v>325.03200000000004</v>
      </c>
      <c r="AO37" s="208">
        <v>40903.920000000006</v>
      </c>
      <c r="AP37" s="208">
        <v>4618.384</v>
      </c>
      <c r="AQ37" s="209">
        <v>102800.06400000001</v>
      </c>
      <c r="AR37" s="208">
        <v>59125.288</v>
      </c>
      <c r="AS37" s="208">
        <v>20131.696</v>
      </c>
      <c r="AT37" s="208">
        <v>2087.9360000000001</v>
      </c>
      <c r="AU37" s="208">
        <v>1024.2160000000001</v>
      </c>
      <c r="AV37" s="208">
        <v>58848.360000000008</v>
      </c>
      <c r="AW37" s="208">
        <v>6454.7679999999991</v>
      </c>
      <c r="AX37" s="209">
        <v>147672.26400000002</v>
      </c>
      <c r="AY37" s="208">
        <v>17309.544000000002</v>
      </c>
      <c r="AZ37" s="208">
        <v>10478.880000000001</v>
      </c>
      <c r="BA37" s="208">
        <v>746.64</v>
      </c>
      <c r="BB37" s="208">
        <v>506.52800000000002</v>
      </c>
      <c r="BC37" s="208">
        <v>30482.040000000005</v>
      </c>
      <c r="BD37" s="208">
        <v>3787.4720000000002</v>
      </c>
      <c r="BE37" s="209">
        <v>63311.104000000007</v>
      </c>
      <c r="BF37" s="208">
        <v>47800.328000000009</v>
      </c>
      <c r="BG37" s="208">
        <v>25078.432000000001</v>
      </c>
      <c r="BH37" s="208">
        <v>1069.6879999999999</v>
      </c>
      <c r="BI37" s="208">
        <v>1257.7280000000001</v>
      </c>
      <c r="BJ37" s="208">
        <v>66135.840000000011</v>
      </c>
      <c r="BK37" s="208">
        <v>10913.344000000001</v>
      </c>
      <c r="BL37" s="209">
        <v>152255.36000000002</v>
      </c>
      <c r="BM37" s="208">
        <v>17241.904000000002</v>
      </c>
      <c r="BN37" s="208">
        <v>8710.2320000000018</v>
      </c>
      <c r="BO37" s="208">
        <v>959.96800000000007</v>
      </c>
      <c r="BP37" s="208">
        <v>233.80799999999999</v>
      </c>
      <c r="BQ37" s="208">
        <v>30403.68</v>
      </c>
      <c r="BR37" s="208">
        <v>2855.6959999999999</v>
      </c>
      <c r="BS37" s="209">
        <v>60405.288</v>
      </c>
      <c r="BT37" s="208">
        <v>35337.984000000004</v>
      </c>
      <c r="BU37" s="208">
        <v>20422.968000000001</v>
      </c>
      <c r="BV37" s="208">
        <v>1402.624</v>
      </c>
      <c r="BW37" s="208">
        <v>89.736000000000061</v>
      </c>
      <c r="BX37" s="208">
        <v>56654.280000000013</v>
      </c>
      <c r="BY37" s="208">
        <v>8881.232</v>
      </c>
      <c r="BZ37" s="209">
        <v>122788.82400000002</v>
      </c>
      <c r="CA37" s="208">
        <v>22298.959999999999</v>
      </c>
      <c r="CB37" s="208">
        <v>10994.336000000001</v>
      </c>
      <c r="CC37" s="208">
        <v>182.84800000000001</v>
      </c>
      <c r="CD37" s="208">
        <v>297.44</v>
      </c>
      <c r="CE37" s="208">
        <v>34400.04</v>
      </c>
      <c r="CF37" s="208">
        <v>3645.5840000000003</v>
      </c>
      <c r="CG37" s="209">
        <v>71819.208000000013</v>
      </c>
      <c r="CH37" s="208">
        <v>24529.264000000003</v>
      </c>
      <c r="CI37" s="208">
        <v>16901.392000000003</v>
      </c>
      <c r="CJ37" s="208">
        <v>697.12</v>
      </c>
      <c r="CK37" s="208">
        <v>449.42400000000009</v>
      </c>
      <c r="CL37" s="208">
        <v>70759.08</v>
      </c>
      <c r="CM37" s="208">
        <v>9386.0560000000005</v>
      </c>
      <c r="CN37" s="209">
        <v>122722.336</v>
      </c>
      <c r="CO37" s="208">
        <v>46785.784000000007</v>
      </c>
      <c r="CP37" s="208">
        <v>14140.256000000001</v>
      </c>
      <c r="CQ37" s="208">
        <v>2392.3040000000001</v>
      </c>
      <c r="CR37" s="208">
        <v>254.14399999999989</v>
      </c>
      <c r="CS37" s="208">
        <v>43489.8</v>
      </c>
      <c r="CT37" s="208">
        <v>4303.6480000000001</v>
      </c>
      <c r="CU37" s="209">
        <v>111365.93600000002</v>
      </c>
      <c r="CV37" s="208">
        <v>20633.264000000003</v>
      </c>
      <c r="CW37" s="208">
        <v>15375.807999999999</v>
      </c>
      <c r="CX37" s="208">
        <v>6157.4800000000005</v>
      </c>
      <c r="CY37" s="208">
        <v>1925.7039999999995</v>
      </c>
      <c r="CZ37" s="208">
        <v>67076.160000000003</v>
      </c>
      <c r="DA37" s="208">
        <v>9232.8880000000008</v>
      </c>
      <c r="DB37" s="209">
        <v>120401.304</v>
      </c>
      <c r="DC37" s="208">
        <v>51631.240000000005</v>
      </c>
      <c r="DD37" s="208">
        <v>14468.976000000002</v>
      </c>
      <c r="DE37" s="208">
        <v>2173.92</v>
      </c>
      <c r="DF37" s="208">
        <v>64.247999999999962</v>
      </c>
      <c r="DG37" s="208">
        <v>50463.840000000011</v>
      </c>
      <c r="DH37" s="208">
        <v>5400.9439999999995</v>
      </c>
      <c r="DI37" s="209">
        <v>124203.16800000003</v>
      </c>
      <c r="DJ37" s="208">
        <v>13659.696</v>
      </c>
      <c r="DK37" s="208">
        <v>16325.744000000004</v>
      </c>
      <c r="DL37" s="208">
        <v>3006.7360000000003</v>
      </c>
      <c r="DM37" s="208">
        <v>436.96800000000007</v>
      </c>
      <c r="DN37" s="208">
        <v>63706.320000000007</v>
      </c>
      <c r="DO37" s="208">
        <v>8709.3280000000013</v>
      </c>
      <c r="DP37" s="209">
        <v>105844.79200000002</v>
      </c>
      <c r="DQ37" s="208">
        <v>18370.256000000001</v>
      </c>
      <c r="DR37" s="208">
        <v>13769.927999999998</v>
      </c>
      <c r="DS37" s="208">
        <v>2377.1040000000003</v>
      </c>
      <c r="DT37" s="208">
        <v>335.32799999999992</v>
      </c>
      <c r="DU37" s="208">
        <v>45448.800000000003</v>
      </c>
      <c r="DV37" s="208">
        <v>7119.5039999999999</v>
      </c>
      <c r="DW37" s="209">
        <v>87420.92</v>
      </c>
      <c r="DX37" s="208">
        <v>15524.951999999999</v>
      </c>
      <c r="DY37" s="208">
        <v>19525.352000000003</v>
      </c>
      <c r="DZ37" s="208">
        <v>1032.5120000000002</v>
      </c>
      <c r="EA37" s="208">
        <v>436.96799999999985</v>
      </c>
      <c r="EB37" s="208">
        <v>65508.960000000006</v>
      </c>
      <c r="EC37" s="208">
        <v>10760.296</v>
      </c>
      <c r="ED37" s="209">
        <v>112789.04000000001</v>
      </c>
      <c r="EE37" s="208">
        <v>7539.1840000000002</v>
      </c>
      <c r="EF37" s="208">
        <v>26093.544000000005</v>
      </c>
      <c r="EG37" s="208">
        <v>253.96</v>
      </c>
      <c r="EH37" s="208">
        <v>335.31200000000007</v>
      </c>
      <c r="EI37" s="208">
        <v>62139.48000000001</v>
      </c>
      <c r="EJ37" s="208">
        <v>6219.424</v>
      </c>
      <c r="EK37" s="209">
        <v>102580.90400000001</v>
      </c>
      <c r="EL37" s="208">
        <v>15430.992000000002</v>
      </c>
      <c r="EM37" s="208">
        <v>13975.503999999999</v>
      </c>
      <c r="EN37" s="208">
        <v>499.20000000000005</v>
      </c>
      <c r="EO37" s="208">
        <v>333.28</v>
      </c>
      <c r="EP37" s="208">
        <v>61355.880000000005</v>
      </c>
      <c r="EQ37" s="208">
        <v>9532.9120000000003</v>
      </c>
      <c r="ER37" s="209">
        <v>101127.768</v>
      </c>
      <c r="ES37" s="208">
        <v>13876.696000000004</v>
      </c>
      <c r="ET37" s="208">
        <v>11461.576000000001</v>
      </c>
      <c r="EU37" s="208">
        <v>1427.248</v>
      </c>
      <c r="EV37" s="208">
        <v>589.48</v>
      </c>
      <c r="EW37" s="208">
        <v>55635.600000000006</v>
      </c>
      <c r="EX37" s="208">
        <v>6028.7920000000004</v>
      </c>
      <c r="EY37" s="209">
        <v>89019.392000000007</v>
      </c>
      <c r="EZ37" s="208">
        <v>13792.824000000001</v>
      </c>
      <c r="FA37" s="208">
        <v>15587.743999999999</v>
      </c>
      <c r="FB37" s="208">
        <v>1120.296</v>
      </c>
      <c r="FC37" s="208">
        <v>179.47200000000001</v>
      </c>
      <c r="FD37" s="208">
        <v>57437.880000000005</v>
      </c>
      <c r="FE37" s="208">
        <v>9522.0159999999996</v>
      </c>
      <c r="FF37" s="209">
        <v>97640.232000000004</v>
      </c>
      <c r="FG37" s="208">
        <v>21301.232000000004</v>
      </c>
      <c r="FH37" s="208">
        <v>17132.072000000004</v>
      </c>
      <c r="FI37" s="208">
        <v>1447.5680000000002</v>
      </c>
      <c r="FJ37" s="208">
        <v>760.60799999999983</v>
      </c>
      <c r="FK37" s="208">
        <v>50542.200000000004</v>
      </c>
      <c r="FL37" s="208">
        <v>7661.6080000000002</v>
      </c>
      <c r="FM37" s="207">
        <v>98845.288</v>
      </c>
      <c r="FN37" s="210">
        <v>497564.31200000009</v>
      </c>
      <c r="FO37" s="518">
        <v>247336.584</v>
      </c>
      <c r="FP37" s="208">
        <v>23874.552</v>
      </c>
      <c r="FQ37" s="208">
        <v>10188.952000000001</v>
      </c>
      <c r="FR37" s="208">
        <v>734807.09600000014</v>
      </c>
      <c r="FS37" s="208">
        <v>107958.29599999999</v>
      </c>
      <c r="FT37" s="209">
        <v>1621729.7920000004</v>
      </c>
      <c r="FU37" s="208">
        <v>417683.984</v>
      </c>
      <c r="FV37" s="208">
        <v>182611.66400000002</v>
      </c>
      <c r="FW37" s="208">
        <v>25644.928</v>
      </c>
      <c r="FX37" s="208">
        <v>5401.768</v>
      </c>
      <c r="FY37" s="208">
        <v>521406.68800000002</v>
      </c>
      <c r="FZ37" s="208">
        <v>65167.272000000004</v>
      </c>
      <c r="GA37" s="207">
        <v>1217916.3040000002</v>
      </c>
      <c r="GB37" s="206">
        <v>19.124584867970441</v>
      </c>
      <c r="GC37" s="206">
        <v>35.444022896587796</v>
      </c>
      <c r="GD37" s="206">
        <v>-6.9034157553493571</v>
      </c>
      <c r="GE37" s="206">
        <v>88.622539879535765</v>
      </c>
      <c r="GF37" s="206">
        <v>40.92782331169488</v>
      </c>
      <c r="GG37" s="206">
        <v>65.663365500400232</v>
      </c>
      <c r="GH37" s="205">
        <v>33.156095100603892</v>
      </c>
      <c r="GI37" s="215" t="str">
        <f t="shared" ref="GI37:GI62" si="148">IF(GH37&lt;0,"menor","MAIOR")</f>
        <v>MAIOR</v>
      </c>
    </row>
    <row r="38" spans="1:197">
      <c r="A38" s="211" t="s">
        <v>80</v>
      </c>
      <c r="B38" s="208">
        <v>39396.552000000003</v>
      </c>
      <c r="C38" s="208">
        <v>17692.264000000003</v>
      </c>
      <c r="D38" s="208">
        <v>2575.4560000000001</v>
      </c>
      <c r="E38" s="208">
        <v>1695.384</v>
      </c>
      <c r="F38" s="208">
        <v>24565.527999999998</v>
      </c>
      <c r="G38" s="208">
        <v>5050.2159999999976</v>
      </c>
      <c r="H38" s="209">
        <v>90975.400000000009</v>
      </c>
      <c r="I38" s="208">
        <v>56159.095999999998</v>
      </c>
      <c r="J38" s="208">
        <v>20675.456000000002</v>
      </c>
      <c r="K38" s="208">
        <v>7055.0240000000013</v>
      </c>
      <c r="L38" s="208">
        <v>1523.9760000000001</v>
      </c>
      <c r="M38" s="208">
        <v>33880.640000000007</v>
      </c>
      <c r="N38" s="208">
        <v>5780.9679999999998</v>
      </c>
      <c r="O38" s="209">
        <v>125075.16</v>
      </c>
      <c r="P38" s="208">
        <v>57227.031999999999</v>
      </c>
      <c r="Q38" s="208">
        <v>21633.584000000006</v>
      </c>
      <c r="R38" s="208">
        <v>3367.52</v>
      </c>
      <c r="S38" s="208">
        <v>638.04800000000034</v>
      </c>
      <c r="T38" s="208">
        <v>26799.120000000003</v>
      </c>
      <c r="U38" s="208">
        <v>7830.496000000001</v>
      </c>
      <c r="V38" s="209">
        <v>117495.8</v>
      </c>
      <c r="W38" s="208">
        <v>65980.911999999997</v>
      </c>
      <c r="X38" s="208">
        <v>13188.688000000002</v>
      </c>
      <c r="Y38" s="208">
        <v>7854.9759999999997</v>
      </c>
      <c r="Z38" s="208">
        <v>2352.4320000000002</v>
      </c>
      <c r="AA38" s="208">
        <v>37299.360000000001</v>
      </c>
      <c r="AB38" s="208">
        <v>4908.24</v>
      </c>
      <c r="AC38" s="209">
        <v>131584.60800000001</v>
      </c>
      <c r="AD38" s="208">
        <v>66320.992000000013</v>
      </c>
      <c r="AE38" s="208">
        <v>18275.688000000002</v>
      </c>
      <c r="AF38" s="208">
        <v>2757.3919999999998</v>
      </c>
      <c r="AG38" s="208">
        <v>1960.4080000000004</v>
      </c>
      <c r="AH38" s="208">
        <v>54303.48</v>
      </c>
      <c r="AI38" s="208">
        <v>6443.9520000000002</v>
      </c>
      <c r="AJ38" s="209">
        <v>150061.91200000001</v>
      </c>
      <c r="AK38" s="208">
        <v>47458.544000000002</v>
      </c>
      <c r="AL38" s="208">
        <v>14358.808000000003</v>
      </c>
      <c r="AM38" s="208">
        <v>5015.0640000000003</v>
      </c>
      <c r="AN38" s="208">
        <v>4690.424</v>
      </c>
      <c r="AO38" s="208">
        <v>43959.96</v>
      </c>
      <c r="AP38" s="208">
        <v>5436.768</v>
      </c>
      <c r="AQ38" s="209">
        <v>120919.56800000001</v>
      </c>
      <c r="AR38" s="208">
        <v>57114.96</v>
      </c>
      <c r="AS38" s="208">
        <v>20106.448000000004</v>
      </c>
      <c r="AT38" s="208">
        <v>2368.7040000000002</v>
      </c>
      <c r="AU38" s="208">
        <v>1011.1680000000001</v>
      </c>
      <c r="AV38" s="208">
        <v>50934</v>
      </c>
      <c r="AW38" s="208">
        <v>7863.8080000000009</v>
      </c>
      <c r="AX38" s="209">
        <v>139399.08799999999</v>
      </c>
      <c r="AY38" s="208">
        <v>17888.84</v>
      </c>
      <c r="AZ38" s="208">
        <v>7205.8640000000005</v>
      </c>
      <c r="BA38" s="208">
        <v>1211.3920000000001</v>
      </c>
      <c r="BB38" s="208">
        <v>824.24</v>
      </c>
      <c r="BC38" s="208">
        <v>16612.320000000003</v>
      </c>
      <c r="BD38" s="208">
        <v>2440.4080000000008</v>
      </c>
      <c r="BE38" s="209">
        <v>46183.064000000006</v>
      </c>
      <c r="BF38" s="208">
        <v>47632.08</v>
      </c>
      <c r="BG38" s="208">
        <v>11052.640000000005</v>
      </c>
      <c r="BH38" s="208">
        <v>2201.84</v>
      </c>
      <c r="BI38" s="208">
        <v>697.51199999999994</v>
      </c>
      <c r="BJ38" s="208">
        <v>57908.04</v>
      </c>
      <c r="BK38" s="208">
        <v>7747.561999999999</v>
      </c>
      <c r="BL38" s="209">
        <v>127239.67400000003</v>
      </c>
      <c r="BM38" s="208">
        <v>19643.088</v>
      </c>
      <c r="BN38" s="208">
        <v>10934.152000000002</v>
      </c>
      <c r="BO38" s="208">
        <v>182.84800000000001</v>
      </c>
      <c r="BP38" s="208">
        <v>801.37600000000009</v>
      </c>
      <c r="BQ38" s="208">
        <v>21000.48</v>
      </c>
      <c r="BR38" s="208">
        <v>3558.9120000000007</v>
      </c>
      <c r="BS38" s="209">
        <v>56120.856000000007</v>
      </c>
      <c r="BT38" s="208">
        <v>44937.56</v>
      </c>
      <c r="BU38" s="208">
        <v>17090.223999999998</v>
      </c>
      <c r="BV38" s="208">
        <v>1290.6400000000001</v>
      </c>
      <c r="BW38" s="208">
        <v>542.30399999999997</v>
      </c>
      <c r="BX38" s="208">
        <v>53128.08</v>
      </c>
      <c r="BY38" s="208">
        <v>10614.152</v>
      </c>
      <c r="BZ38" s="209">
        <v>127602.95999999999</v>
      </c>
      <c r="CA38" s="208">
        <v>35431.775999999991</v>
      </c>
      <c r="CB38" s="208">
        <v>18924.511999999999</v>
      </c>
      <c r="CC38" s="208">
        <v>2697.0480000000002</v>
      </c>
      <c r="CD38" s="208">
        <v>0</v>
      </c>
      <c r="CE38" s="208">
        <v>37142.640000000007</v>
      </c>
      <c r="CF38" s="208">
        <v>7074.5399999999991</v>
      </c>
      <c r="CG38" s="209">
        <v>101270.51599999999</v>
      </c>
      <c r="CH38" s="208">
        <v>33885.847999999998</v>
      </c>
      <c r="CI38" s="208">
        <v>9619.0400000000045</v>
      </c>
      <c r="CJ38" s="208">
        <v>1546.64</v>
      </c>
      <c r="CK38" s="208">
        <v>2017.9279999999999</v>
      </c>
      <c r="CL38" s="208">
        <v>63941.760000000009</v>
      </c>
      <c r="CM38" s="208">
        <v>8797.648000000001</v>
      </c>
      <c r="CN38" s="209">
        <v>119808.86400000002</v>
      </c>
      <c r="CO38" s="208">
        <v>40861.856</v>
      </c>
      <c r="CP38" s="208">
        <v>16617.168000000001</v>
      </c>
      <c r="CQ38" s="208">
        <v>3146.56</v>
      </c>
      <c r="CR38" s="208">
        <v>1741.2720000000002</v>
      </c>
      <c r="CS38" s="208">
        <v>50150.400000000001</v>
      </c>
      <c r="CT38" s="208">
        <v>4988.6559999999999</v>
      </c>
      <c r="CU38" s="209">
        <v>117505.912</v>
      </c>
      <c r="CV38" s="208">
        <v>24412.024000000001</v>
      </c>
      <c r="CW38" s="208">
        <v>12966.672000000002</v>
      </c>
      <c r="CX38" s="208">
        <v>4627.7040000000006</v>
      </c>
      <c r="CY38" s="208">
        <v>1886.992</v>
      </c>
      <c r="CZ38" s="208">
        <v>62061.120000000003</v>
      </c>
      <c r="DA38" s="208">
        <v>10083.776</v>
      </c>
      <c r="DB38" s="209">
        <v>116038.288</v>
      </c>
      <c r="DC38" s="208">
        <v>53688.128000000004</v>
      </c>
      <c r="DD38" s="208">
        <v>15477.903999999993</v>
      </c>
      <c r="DE38" s="208">
        <v>5288.9760000000006</v>
      </c>
      <c r="DF38" s="208">
        <v>412.20799999999946</v>
      </c>
      <c r="DG38" s="208">
        <v>55557.240000000005</v>
      </c>
      <c r="DH38" s="208">
        <v>7398.1819999999998</v>
      </c>
      <c r="DI38" s="209">
        <v>137822.63799999998</v>
      </c>
      <c r="DJ38" s="208">
        <v>18824.52</v>
      </c>
      <c r="DK38" s="208">
        <v>9331.503999999999</v>
      </c>
      <c r="DL38" s="208">
        <v>3221.5040000000004</v>
      </c>
      <c r="DM38" s="208">
        <v>543.83199999999999</v>
      </c>
      <c r="DN38" s="208">
        <v>63079.80000000001</v>
      </c>
      <c r="DO38" s="208">
        <v>7777.3180000000011</v>
      </c>
      <c r="DP38" s="209">
        <v>102778.478</v>
      </c>
      <c r="DQ38" s="208">
        <v>20534.320000000003</v>
      </c>
      <c r="DR38" s="208">
        <v>13935.639999999998</v>
      </c>
      <c r="DS38" s="208">
        <v>1660.9360000000001</v>
      </c>
      <c r="DT38" s="208">
        <v>762.95999999999992</v>
      </c>
      <c r="DU38" s="208">
        <v>46859.28</v>
      </c>
      <c r="DV38" s="208">
        <v>7821.0080000000007</v>
      </c>
      <c r="DW38" s="209">
        <v>91574.144</v>
      </c>
      <c r="DX38" s="208">
        <v>14460.648000000001</v>
      </c>
      <c r="DY38" s="208">
        <v>6410.4080000000004</v>
      </c>
      <c r="DZ38" s="208">
        <v>2912.9680000000003</v>
      </c>
      <c r="EA38" s="208">
        <v>646.7199999999998</v>
      </c>
      <c r="EB38" s="208">
        <v>56889.36</v>
      </c>
      <c r="EC38" s="208">
        <v>5441.2880000000005</v>
      </c>
      <c r="ED38" s="209">
        <v>86761.392000000007</v>
      </c>
      <c r="EE38" s="208">
        <v>7970.0479999999998</v>
      </c>
      <c r="EF38" s="208">
        <v>20796.992000000006</v>
      </c>
      <c r="EG38" s="208">
        <v>777.15200000000004</v>
      </c>
      <c r="EH38" s="208">
        <v>1483.1279999999999</v>
      </c>
      <c r="EI38" s="208">
        <v>53990.040000000008</v>
      </c>
      <c r="EJ38" s="208">
        <v>8012.9119999999994</v>
      </c>
      <c r="EK38" s="209">
        <v>93030.272000000012</v>
      </c>
      <c r="EL38" s="208">
        <v>9217.1039999999994</v>
      </c>
      <c r="EM38" s="208">
        <v>6688.9520000000011</v>
      </c>
      <c r="EN38" s="208">
        <v>2869.0720000000001</v>
      </c>
      <c r="EO38" s="208">
        <v>1226.4799999999998</v>
      </c>
      <c r="EP38" s="208">
        <v>58221.48</v>
      </c>
      <c r="EQ38" s="208">
        <v>4782.8160000000007</v>
      </c>
      <c r="ER38" s="209">
        <v>83005.90400000001</v>
      </c>
      <c r="ES38" s="208">
        <v>15815.928000000004</v>
      </c>
      <c r="ET38" s="208">
        <v>8722.3360000000011</v>
      </c>
      <c r="EU38" s="208">
        <v>1478.0879999999997</v>
      </c>
      <c r="EV38" s="208">
        <v>1795.0560000000003</v>
      </c>
      <c r="EW38" s="208">
        <v>50934</v>
      </c>
      <c r="EX38" s="208">
        <v>7795.6</v>
      </c>
      <c r="EY38" s="209">
        <v>86541.008000000002</v>
      </c>
      <c r="EZ38" s="208">
        <v>15016</v>
      </c>
      <c r="FA38" s="208">
        <v>9684.8559999999998</v>
      </c>
      <c r="FB38" s="208">
        <v>2869.2960000000003</v>
      </c>
      <c r="FC38" s="208">
        <v>2795.4079999999999</v>
      </c>
      <c r="FD38" s="208">
        <v>52109.4</v>
      </c>
      <c r="FE38" s="208">
        <v>6064.119999999999</v>
      </c>
      <c r="FF38" s="209">
        <v>88539.08</v>
      </c>
      <c r="FG38" s="208">
        <v>15140.256000000001</v>
      </c>
      <c r="FH38" s="208">
        <v>17263.135999999999</v>
      </c>
      <c r="FI38" s="208">
        <v>1577.088</v>
      </c>
      <c r="FJ38" s="208">
        <v>1848.4160000000004</v>
      </c>
      <c r="FK38" s="208">
        <v>41217.360000000001</v>
      </c>
      <c r="FL38" s="208">
        <v>10237.296000000002</v>
      </c>
      <c r="FM38" s="207">
        <v>87283.551999999996</v>
      </c>
      <c r="FN38" s="210">
        <v>428445.31999999995</v>
      </c>
      <c r="FO38" s="518">
        <v>160552.28000000003</v>
      </c>
      <c r="FP38" s="208">
        <v>32608.736000000004</v>
      </c>
      <c r="FQ38" s="208">
        <v>15662.183999999999</v>
      </c>
      <c r="FR38" s="208">
        <v>623941.16800000006</v>
      </c>
      <c r="FS38" s="208">
        <v>88497.152000000002</v>
      </c>
      <c r="FT38" s="209">
        <v>1349706.84</v>
      </c>
      <c r="FU38" s="208">
        <v>396572.79200000002</v>
      </c>
      <c r="FV38" s="208">
        <v>178100.65600000002</v>
      </c>
      <c r="FW38" s="208">
        <v>37945.152000000002</v>
      </c>
      <c r="FX38" s="208">
        <v>18235.488000000001</v>
      </c>
      <c r="FY38" s="208">
        <v>488603.72000000009</v>
      </c>
      <c r="FZ38" s="208">
        <v>75453.489999999991</v>
      </c>
      <c r="GA38" s="207">
        <v>1194911.2980000002</v>
      </c>
      <c r="GB38" s="206">
        <v>8.0369931177729228</v>
      </c>
      <c r="GC38" s="206">
        <v>-9.8530664592274064</v>
      </c>
      <c r="GD38" s="206">
        <v>-14.063498810071962</v>
      </c>
      <c r="GE38" s="206">
        <v>-14.111517059483148</v>
      </c>
      <c r="GF38" s="206">
        <v>27.698816537868339</v>
      </c>
      <c r="GG38" s="206">
        <v>17.287022773896894</v>
      </c>
      <c r="GH38" s="205">
        <v>12.954563427351573</v>
      </c>
      <c r="GI38" s="215" t="str">
        <f t="shared" si="148"/>
        <v>MAIOR</v>
      </c>
    </row>
    <row r="39" spans="1:197">
      <c r="A39" s="211" t="s">
        <v>79</v>
      </c>
      <c r="B39" s="208">
        <v>20979.544000000002</v>
      </c>
      <c r="C39" s="208">
        <v>7505.7760000000017</v>
      </c>
      <c r="D39" s="208">
        <v>2217.4320000000002</v>
      </c>
      <c r="E39" s="208">
        <v>1243.56</v>
      </c>
      <c r="F39" s="208">
        <v>19531.112000000001</v>
      </c>
      <c r="G39" s="208">
        <v>3258.0160000000092</v>
      </c>
      <c r="H39" s="209">
        <v>54735.440000000017</v>
      </c>
      <c r="I39" s="208">
        <v>16939.752</v>
      </c>
      <c r="J39" s="208">
        <v>6473.5680000000002</v>
      </c>
      <c r="K39" s="208">
        <v>2392.3040000000001</v>
      </c>
      <c r="L39" s="208">
        <v>3040.6640000000002</v>
      </c>
      <c r="M39" s="208">
        <v>22650.392000000003</v>
      </c>
      <c r="N39" s="208">
        <v>3571.6000000000004</v>
      </c>
      <c r="O39" s="209">
        <v>55068.280000000006</v>
      </c>
      <c r="P39" s="208">
        <v>20042.936000000002</v>
      </c>
      <c r="Q39" s="208">
        <v>5861.6720000000005</v>
      </c>
      <c r="R39" s="208">
        <v>962.51200000000017</v>
      </c>
      <c r="S39" s="208">
        <v>1083.72</v>
      </c>
      <c r="T39" s="208">
        <v>23590.432000000001</v>
      </c>
      <c r="U39" s="208">
        <v>1420.8960000000002</v>
      </c>
      <c r="V39" s="209">
        <v>52962.167999999998</v>
      </c>
      <c r="W39" s="208">
        <v>22377.328000000001</v>
      </c>
      <c r="X39" s="208">
        <v>5700.0400000000009</v>
      </c>
      <c r="Y39" s="208">
        <v>3702.7440000000006</v>
      </c>
      <c r="Z39" s="208">
        <v>793.95200000000011</v>
      </c>
      <c r="AA39" s="208">
        <v>23508</v>
      </c>
      <c r="AB39" s="208">
        <v>2668.4560000000001</v>
      </c>
      <c r="AC39" s="209">
        <v>58750.52</v>
      </c>
      <c r="AD39" s="208">
        <v>22227.392000000003</v>
      </c>
      <c r="AE39" s="208">
        <v>6899.4959999999992</v>
      </c>
      <c r="AF39" s="208">
        <v>3994.8</v>
      </c>
      <c r="AG39" s="208">
        <v>1472.2560000000001</v>
      </c>
      <c r="AH39" s="208">
        <v>27426.000000000004</v>
      </c>
      <c r="AI39" s="208">
        <v>1854.472</v>
      </c>
      <c r="AJ39" s="209">
        <v>63874.416000000005</v>
      </c>
      <c r="AK39" s="208">
        <v>14640.120000000003</v>
      </c>
      <c r="AL39" s="208">
        <v>3919.8559999999998</v>
      </c>
      <c r="AM39" s="208">
        <v>2636.096</v>
      </c>
      <c r="AN39" s="208">
        <v>1394.96</v>
      </c>
      <c r="AO39" s="208">
        <v>22019.160000000003</v>
      </c>
      <c r="AP39" s="208">
        <v>2375.1439999999998</v>
      </c>
      <c r="AQ39" s="209">
        <v>46985.33600000001</v>
      </c>
      <c r="AR39" s="208">
        <v>16381.951999999999</v>
      </c>
      <c r="AS39" s="208">
        <v>4700.3280000000022</v>
      </c>
      <c r="AT39" s="208">
        <v>1394.24</v>
      </c>
      <c r="AU39" s="208">
        <v>1182.7439999999999</v>
      </c>
      <c r="AV39" s="208">
        <v>21784.080000000002</v>
      </c>
      <c r="AW39" s="208">
        <v>1554.624</v>
      </c>
      <c r="AX39" s="209">
        <v>46997.968000000008</v>
      </c>
      <c r="AY39" s="208">
        <v>8337.8240000000005</v>
      </c>
      <c r="AZ39" s="208">
        <v>3079.4400000000005</v>
      </c>
      <c r="BA39" s="208">
        <v>1828.5119999999999</v>
      </c>
      <c r="BB39" s="208">
        <v>871.51200000000017</v>
      </c>
      <c r="BC39" s="208">
        <v>13481.592000000002</v>
      </c>
      <c r="BD39" s="208">
        <v>2837.9839999999999</v>
      </c>
      <c r="BE39" s="209">
        <v>30436.864000000005</v>
      </c>
      <c r="BF39" s="208">
        <v>14954.976000000002</v>
      </c>
      <c r="BG39" s="208">
        <v>8559.0480000000007</v>
      </c>
      <c r="BH39" s="208">
        <v>2619.1200000000003</v>
      </c>
      <c r="BI39" s="208">
        <v>1702.1920000000002</v>
      </c>
      <c r="BJ39" s="208">
        <v>22410.959999999999</v>
      </c>
      <c r="BK39" s="208">
        <v>2486.7200000000007</v>
      </c>
      <c r="BL39" s="209">
        <v>52733.016000000003</v>
      </c>
      <c r="BM39" s="208">
        <v>4209.384</v>
      </c>
      <c r="BN39" s="208">
        <v>3016.1759999999999</v>
      </c>
      <c r="BO39" s="208">
        <v>548.55200000000002</v>
      </c>
      <c r="BP39" s="208">
        <v>311.56799999999998</v>
      </c>
      <c r="BQ39" s="208">
        <v>13477.920000000002</v>
      </c>
      <c r="BR39" s="208">
        <v>1129.0880000000002</v>
      </c>
      <c r="BS39" s="209">
        <v>22692.688000000002</v>
      </c>
      <c r="BT39" s="208">
        <v>16025.256000000001</v>
      </c>
      <c r="BU39" s="208">
        <v>7560.8880000000008</v>
      </c>
      <c r="BV39" s="208">
        <v>1447.5840000000001</v>
      </c>
      <c r="BW39" s="208">
        <v>0</v>
      </c>
      <c r="BX39" s="208">
        <v>29228.280000000002</v>
      </c>
      <c r="BY39" s="208">
        <v>3662.7760000000003</v>
      </c>
      <c r="BZ39" s="209">
        <v>57924.784</v>
      </c>
      <c r="CA39" s="208">
        <v>11290.143999999998</v>
      </c>
      <c r="CB39" s="208">
        <v>3764.2160000000003</v>
      </c>
      <c r="CC39" s="208">
        <v>2836.8240000000001</v>
      </c>
      <c r="CD39" s="208">
        <v>435.63200000000001</v>
      </c>
      <c r="CE39" s="208">
        <v>14888.400000000001</v>
      </c>
      <c r="CF39" s="208">
        <v>1714.6480000000001</v>
      </c>
      <c r="CG39" s="209">
        <v>34929.864000000001</v>
      </c>
      <c r="CH39" s="208">
        <v>11146.832000000002</v>
      </c>
      <c r="CI39" s="208">
        <v>5476.2879999999996</v>
      </c>
      <c r="CJ39" s="208">
        <v>1474.232</v>
      </c>
      <c r="CK39" s="208">
        <v>368.85599999999988</v>
      </c>
      <c r="CL39" s="208">
        <v>27426.000000000004</v>
      </c>
      <c r="CM39" s="208">
        <v>2803.6559999999999</v>
      </c>
      <c r="CN39" s="209">
        <v>48695.864000000009</v>
      </c>
      <c r="CO39" s="208">
        <v>23954.448000000004</v>
      </c>
      <c r="CP39" s="208">
        <v>6781.24</v>
      </c>
      <c r="CQ39" s="208">
        <v>4015.1120000000005</v>
      </c>
      <c r="CR39" s="208">
        <v>1225.992</v>
      </c>
      <c r="CS39" s="208">
        <v>26877.48</v>
      </c>
      <c r="CT39" s="208">
        <v>2666.7040000000006</v>
      </c>
      <c r="CU39" s="209">
        <v>65520.975999999995</v>
      </c>
      <c r="CV39" s="208">
        <v>7176.192</v>
      </c>
      <c r="CW39" s="208">
        <v>2424.5040000000008</v>
      </c>
      <c r="CX39" s="208">
        <v>2785.76</v>
      </c>
      <c r="CY39" s="208">
        <v>535.01600000000019</v>
      </c>
      <c r="CZ39" s="208">
        <v>31422.36</v>
      </c>
      <c r="DA39" s="208">
        <v>2594.6720000000005</v>
      </c>
      <c r="DB39" s="209">
        <v>46938.504000000001</v>
      </c>
      <c r="DC39" s="208">
        <v>24375.440000000002</v>
      </c>
      <c r="DD39" s="208">
        <v>7456.7600000000011</v>
      </c>
      <c r="DE39" s="208">
        <v>5607.5040000000008</v>
      </c>
      <c r="DF39" s="208">
        <v>659.17599999999948</v>
      </c>
      <c r="DG39" s="208">
        <v>32597.759999999998</v>
      </c>
      <c r="DH39" s="208">
        <v>2978.6320000000001</v>
      </c>
      <c r="DI39" s="209">
        <v>73675.271999999997</v>
      </c>
      <c r="DJ39" s="208">
        <v>6146.68</v>
      </c>
      <c r="DK39" s="208">
        <v>8592.0240000000013</v>
      </c>
      <c r="DL39" s="208">
        <v>4069.056</v>
      </c>
      <c r="DM39" s="208">
        <v>2116.8000000000006</v>
      </c>
      <c r="DN39" s="208">
        <v>31814.160000000003</v>
      </c>
      <c r="DO39" s="208">
        <v>6586.3679999999995</v>
      </c>
      <c r="DP39" s="209">
        <v>59325.088000000003</v>
      </c>
      <c r="DQ39" s="208">
        <v>7634.4480000000003</v>
      </c>
      <c r="DR39" s="208">
        <v>4516.3840000000009</v>
      </c>
      <c r="DS39" s="208">
        <v>1447.6000000000001</v>
      </c>
      <c r="DT39" s="208">
        <v>511.61599999999999</v>
      </c>
      <c r="DU39" s="208">
        <v>28052.880000000001</v>
      </c>
      <c r="DV39" s="208">
        <v>3262.84</v>
      </c>
      <c r="DW39" s="209">
        <v>45425.767999999996</v>
      </c>
      <c r="DX39" s="208">
        <v>4022.2640000000001</v>
      </c>
      <c r="DY39" s="208">
        <v>3000.3120000000004</v>
      </c>
      <c r="DZ39" s="208">
        <v>4644.0640000000003</v>
      </c>
      <c r="EA39" s="208">
        <v>457.28000000000003</v>
      </c>
      <c r="EB39" s="208">
        <v>31030.560000000005</v>
      </c>
      <c r="EC39" s="208">
        <v>3414.7599999999998</v>
      </c>
      <c r="ED39" s="209">
        <v>46569.240000000013</v>
      </c>
      <c r="EE39" s="208">
        <v>2324.5520000000001</v>
      </c>
      <c r="EF39" s="208">
        <v>10084.023999999999</v>
      </c>
      <c r="EG39" s="208">
        <v>266.64800000000002</v>
      </c>
      <c r="EH39" s="208">
        <v>1221.912</v>
      </c>
      <c r="EI39" s="208">
        <v>26093.88</v>
      </c>
      <c r="EJ39" s="208">
        <v>3230.12</v>
      </c>
      <c r="EK39" s="209">
        <v>43221.136000000006</v>
      </c>
      <c r="EL39" s="208">
        <v>4967.0960000000005</v>
      </c>
      <c r="EM39" s="208">
        <v>3429.7599999999993</v>
      </c>
      <c r="EN39" s="208">
        <v>2593.0720000000001</v>
      </c>
      <c r="EO39" s="208">
        <v>519.91199999999992</v>
      </c>
      <c r="EP39" s="208">
        <v>33146.28</v>
      </c>
      <c r="EQ39" s="208">
        <v>3572.1520000000005</v>
      </c>
      <c r="ER39" s="209">
        <v>48228.271999999997</v>
      </c>
      <c r="ES39" s="208">
        <v>4392.5760000000009</v>
      </c>
      <c r="ET39" s="208">
        <v>4774.5280000000002</v>
      </c>
      <c r="EU39" s="208">
        <v>2079.904</v>
      </c>
      <c r="EV39" s="208">
        <v>242.01599999999999</v>
      </c>
      <c r="EW39" s="208">
        <v>14888.400000000001</v>
      </c>
      <c r="EX39" s="208">
        <v>3264.0560000000005</v>
      </c>
      <c r="EY39" s="209">
        <v>29641.480000000003</v>
      </c>
      <c r="EZ39" s="208">
        <v>5357.1680000000006</v>
      </c>
      <c r="FA39" s="208">
        <v>2612.5440000000003</v>
      </c>
      <c r="FB39" s="208">
        <v>2422.8000000000002</v>
      </c>
      <c r="FC39" s="208">
        <v>0</v>
      </c>
      <c r="FD39" s="208">
        <v>27739.440000000002</v>
      </c>
      <c r="FE39" s="208">
        <v>2485.7440000000001</v>
      </c>
      <c r="FF39" s="209">
        <v>40617.696000000004</v>
      </c>
      <c r="FG39" s="208">
        <v>6185.6080000000002</v>
      </c>
      <c r="FH39" s="208">
        <v>2685.7280000000001</v>
      </c>
      <c r="FI39" s="208">
        <v>2064.7040000000002</v>
      </c>
      <c r="FJ39" s="208">
        <v>330.03199999999998</v>
      </c>
      <c r="FK39" s="208">
        <v>21470.639999999999</v>
      </c>
      <c r="FL39" s="208">
        <v>2923.9840000000004</v>
      </c>
      <c r="FM39" s="207">
        <v>35660.695999999996</v>
      </c>
      <c r="FN39" s="210">
        <v>149428.288</v>
      </c>
      <c r="FO39" s="518">
        <v>66622.64</v>
      </c>
      <c r="FP39" s="208">
        <v>30624.672000000002</v>
      </c>
      <c r="FQ39" s="208">
        <v>10682.336000000001</v>
      </c>
      <c r="FR39" s="208">
        <v>326549.66400000005</v>
      </c>
      <c r="FS39" s="208">
        <v>35694.856000000007</v>
      </c>
      <c r="FT39" s="209">
        <v>619602.45600000012</v>
      </c>
      <c r="FU39" s="208">
        <v>146661.62400000001</v>
      </c>
      <c r="FV39" s="208">
        <v>62251.96</v>
      </c>
      <c r="FW39" s="208">
        <v>29426.504000000001</v>
      </c>
      <c r="FX39" s="208">
        <v>11039.032000000001</v>
      </c>
      <c r="FY39" s="208">
        <v>260006.50400000002</v>
      </c>
      <c r="FZ39" s="208">
        <v>32623.256000000005</v>
      </c>
      <c r="GA39" s="207">
        <v>542008.88</v>
      </c>
      <c r="GB39" s="206">
        <v>1.8864266769608378</v>
      </c>
      <c r="GC39" s="206">
        <v>7.0209516294748084</v>
      </c>
      <c r="GD39" s="206">
        <v>4.0717307091593398</v>
      </c>
      <c r="GE39" s="206">
        <v>-3.2312253465702412</v>
      </c>
      <c r="GF39" s="206">
        <v>25.592882861114902</v>
      </c>
      <c r="GG39" s="206">
        <v>9.4153692077823194</v>
      </c>
      <c r="GH39" s="205">
        <v>14.31592338487151</v>
      </c>
      <c r="GI39" s="215" t="str">
        <f t="shared" si="148"/>
        <v>MAIOR</v>
      </c>
    </row>
    <row r="40" spans="1:197">
      <c r="A40" s="211" t="s">
        <v>81</v>
      </c>
      <c r="B40" s="208">
        <v>242000.87200000003</v>
      </c>
      <c r="C40" s="208">
        <v>59740.200000000004</v>
      </c>
      <c r="D40" s="208">
        <v>12373.728000000001</v>
      </c>
      <c r="E40" s="208">
        <v>7503.7200000000012</v>
      </c>
      <c r="F40" s="208">
        <v>118156.48800000001</v>
      </c>
      <c r="G40" s="208">
        <v>20825.095999999987</v>
      </c>
      <c r="H40" s="209">
        <v>460600.10399999999</v>
      </c>
      <c r="I40" s="208">
        <v>240394.49600000001</v>
      </c>
      <c r="J40" s="208">
        <v>56708.472000000002</v>
      </c>
      <c r="K40" s="208">
        <v>30840.920000000002</v>
      </c>
      <c r="L40" s="208">
        <v>3606.4400000000005</v>
      </c>
      <c r="M40" s="208">
        <v>103651.664</v>
      </c>
      <c r="N40" s="208">
        <v>17829.168000000001</v>
      </c>
      <c r="O40" s="209">
        <v>453031.16</v>
      </c>
      <c r="P40" s="208">
        <v>257495.67200000002</v>
      </c>
      <c r="Q40" s="208">
        <v>51329.68</v>
      </c>
      <c r="R40" s="208">
        <v>10251.424000000001</v>
      </c>
      <c r="S40" s="208">
        <v>5404.16</v>
      </c>
      <c r="T40" s="208">
        <v>138227.04</v>
      </c>
      <c r="U40" s="208">
        <v>17790.255999999998</v>
      </c>
      <c r="V40" s="209">
        <v>480498.23200000002</v>
      </c>
      <c r="W40" s="208">
        <v>232154.37599999999</v>
      </c>
      <c r="X40" s="208">
        <v>53191.592000000004</v>
      </c>
      <c r="Y40" s="208">
        <v>36066.455999999998</v>
      </c>
      <c r="Z40" s="208">
        <v>2710.0320000000002</v>
      </c>
      <c r="AA40" s="208">
        <v>120282.6</v>
      </c>
      <c r="AB40" s="208">
        <v>18188.568000000007</v>
      </c>
      <c r="AC40" s="209">
        <v>462593.62400000001</v>
      </c>
      <c r="AD40" s="208">
        <v>206828.47200000001</v>
      </c>
      <c r="AE40" s="208">
        <v>51736.52800000002</v>
      </c>
      <c r="AF40" s="208">
        <v>7765.9440000000004</v>
      </c>
      <c r="AG40" s="208">
        <v>4424.1039999999994</v>
      </c>
      <c r="AH40" s="208">
        <v>163694.04</v>
      </c>
      <c r="AI40" s="208">
        <v>14429.280000000002</v>
      </c>
      <c r="AJ40" s="209">
        <v>448878.36800000002</v>
      </c>
      <c r="AK40" s="208">
        <v>150004.91200000001</v>
      </c>
      <c r="AL40" s="208">
        <v>34697.200000000004</v>
      </c>
      <c r="AM40" s="208">
        <v>16043.2</v>
      </c>
      <c r="AN40" s="208">
        <v>3676.6080000000002</v>
      </c>
      <c r="AO40" s="208">
        <v>110017.44</v>
      </c>
      <c r="AP40" s="208">
        <v>11901.512000000002</v>
      </c>
      <c r="AQ40" s="209">
        <v>326340.87200000003</v>
      </c>
      <c r="AR40" s="208">
        <v>180433.12</v>
      </c>
      <c r="AS40" s="208">
        <v>43996.720000000016</v>
      </c>
      <c r="AT40" s="208">
        <v>3832.424</v>
      </c>
      <c r="AU40" s="208">
        <v>5336.64</v>
      </c>
      <c r="AV40" s="208">
        <v>158287.20000000001</v>
      </c>
      <c r="AW40" s="208">
        <v>18702.912000000004</v>
      </c>
      <c r="AX40" s="209">
        <v>410589.01600000006</v>
      </c>
      <c r="AY40" s="208">
        <v>53443.19200000001</v>
      </c>
      <c r="AZ40" s="208">
        <v>19805.048000000003</v>
      </c>
      <c r="BA40" s="208">
        <v>8719.68</v>
      </c>
      <c r="BB40" s="208">
        <v>1494.7920000000001</v>
      </c>
      <c r="BC40" s="208">
        <v>59396.880000000005</v>
      </c>
      <c r="BD40" s="208">
        <v>7733.0240000000003</v>
      </c>
      <c r="BE40" s="209">
        <v>150592.61600000001</v>
      </c>
      <c r="BF40" s="208">
        <v>130945.592</v>
      </c>
      <c r="BG40" s="208">
        <v>31981.768</v>
      </c>
      <c r="BH40" s="208">
        <v>5573.3600000000006</v>
      </c>
      <c r="BI40" s="208">
        <v>1570.9360000000008</v>
      </c>
      <c r="BJ40" s="208">
        <v>161891.76000000004</v>
      </c>
      <c r="BK40" s="208">
        <v>16199.448000000002</v>
      </c>
      <c r="BL40" s="209">
        <v>348162.86400000006</v>
      </c>
      <c r="BM40" s="208">
        <v>49621.16</v>
      </c>
      <c r="BN40" s="208">
        <v>14971.176000000001</v>
      </c>
      <c r="BO40" s="208">
        <v>4533.152</v>
      </c>
      <c r="BP40" s="208">
        <v>1919.3440000000001</v>
      </c>
      <c r="BQ40" s="208">
        <v>62844.72</v>
      </c>
      <c r="BR40" s="208">
        <v>6517.1679999999997</v>
      </c>
      <c r="BS40" s="209">
        <v>140406.72</v>
      </c>
      <c r="BT40" s="208">
        <v>124387.82400000001</v>
      </c>
      <c r="BU40" s="208">
        <v>38060.591999999997</v>
      </c>
      <c r="BV40" s="208">
        <v>6375.5280000000002</v>
      </c>
      <c r="BW40" s="208">
        <v>2135.2479999999996</v>
      </c>
      <c r="BX40" s="208">
        <v>170433</v>
      </c>
      <c r="BY40" s="208">
        <v>23627.632000000001</v>
      </c>
      <c r="BZ40" s="209">
        <v>365019.82399999996</v>
      </c>
      <c r="CA40" s="208">
        <v>78866.736000000004</v>
      </c>
      <c r="CB40" s="208">
        <v>18748.416000000001</v>
      </c>
      <c r="CC40" s="208">
        <v>11102.448</v>
      </c>
      <c r="CD40" s="208">
        <v>1449.5440000000001</v>
      </c>
      <c r="CE40" s="208">
        <v>90819.24</v>
      </c>
      <c r="CF40" s="208">
        <v>6651.72</v>
      </c>
      <c r="CG40" s="209">
        <v>207638.10400000002</v>
      </c>
      <c r="CH40" s="208">
        <v>98187.04800000001</v>
      </c>
      <c r="CI40" s="208">
        <v>31558.488000000001</v>
      </c>
      <c r="CJ40" s="208">
        <v>9869.224000000002</v>
      </c>
      <c r="CK40" s="208">
        <v>3000.215999999999</v>
      </c>
      <c r="CL40" s="208">
        <v>176231.64</v>
      </c>
      <c r="CM40" s="208">
        <v>22839.008000000005</v>
      </c>
      <c r="CN40" s="209">
        <v>341685.62400000007</v>
      </c>
      <c r="CO40" s="208">
        <v>144233.67199999999</v>
      </c>
      <c r="CP40" s="208">
        <v>26473.567999999996</v>
      </c>
      <c r="CQ40" s="208">
        <v>17660.376</v>
      </c>
      <c r="CR40" s="208">
        <v>1998.8319999999978</v>
      </c>
      <c r="CS40" s="208">
        <v>119342.28000000001</v>
      </c>
      <c r="CT40" s="208">
        <v>9969.4959999999992</v>
      </c>
      <c r="CU40" s="209">
        <v>319678.22399999999</v>
      </c>
      <c r="CV40" s="208">
        <v>74755.847999999998</v>
      </c>
      <c r="CW40" s="208">
        <v>34560.088000000003</v>
      </c>
      <c r="CX40" s="208">
        <v>35580.352000000006</v>
      </c>
      <c r="CY40" s="208">
        <v>7274.7760000000017</v>
      </c>
      <c r="CZ40" s="208">
        <v>198094.08000000002</v>
      </c>
      <c r="DA40" s="208">
        <v>30176.232</v>
      </c>
      <c r="DB40" s="209">
        <v>380441.37600000005</v>
      </c>
      <c r="DC40" s="208">
        <v>164233.23200000002</v>
      </c>
      <c r="DD40" s="208">
        <v>20238.911999999989</v>
      </c>
      <c r="DE40" s="208">
        <v>18569.007999999998</v>
      </c>
      <c r="DF40" s="208">
        <v>4831.0880000000006</v>
      </c>
      <c r="DG40" s="208">
        <v>128275.32000000002</v>
      </c>
      <c r="DH40" s="208">
        <v>10353.472</v>
      </c>
      <c r="DI40" s="209">
        <v>346501.03200000001</v>
      </c>
      <c r="DJ40" s="208">
        <v>64141.495999999999</v>
      </c>
      <c r="DK40" s="208">
        <v>35848.90400000001</v>
      </c>
      <c r="DL40" s="208">
        <v>14716.416000000001</v>
      </c>
      <c r="DM40" s="208">
        <v>3956.5440000000003</v>
      </c>
      <c r="DN40" s="208">
        <v>199661.28</v>
      </c>
      <c r="DO40" s="208">
        <v>28153.248</v>
      </c>
      <c r="DP40" s="209">
        <v>346477.88800000004</v>
      </c>
      <c r="DQ40" s="208">
        <v>70406.216</v>
      </c>
      <c r="DR40" s="208">
        <v>25005.064000000002</v>
      </c>
      <c r="DS40" s="208">
        <v>6823.5119999999997</v>
      </c>
      <c r="DT40" s="208">
        <v>1290.3919999999998</v>
      </c>
      <c r="DU40" s="208">
        <v>135797.88</v>
      </c>
      <c r="DV40" s="208">
        <v>15934.376000000004</v>
      </c>
      <c r="DW40" s="209">
        <v>255257.44</v>
      </c>
      <c r="DX40" s="208">
        <v>45822.256000000001</v>
      </c>
      <c r="DY40" s="208">
        <v>31708.879999999994</v>
      </c>
      <c r="DZ40" s="208">
        <v>19284.088</v>
      </c>
      <c r="EA40" s="208">
        <v>4055.6959999999995</v>
      </c>
      <c r="EB40" s="208">
        <v>172235.28</v>
      </c>
      <c r="EC40" s="208">
        <v>23795.4</v>
      </c>
      <c r="ED40" s="209">
        <v>296901.60000000003</v>
      </c>
      <c r="EE40" s="208">
        <v>24346.512000000002</v>
      </c>
      <c r="EF40" s="208">
        <v>52198.776000000005</v>
      </c>
      <c r="EG40" s="208">
        <v>1820.9360000000001</v>
      </c>
      <c r="EH40" s="208">
        <v>4229.9040000000005</v>
      </c>
      <c r="EI40" s="208">
        <v>151783.32</v>
      </c>
      <c r="EJ40" s="208">
        <v>15001.344000000003</v>
      </c>
      <c r="EK40" s="209">
        <v>249380.79200000002</v>
      </c>
      <c r="EL40" s="208">
        <v>34615.912000000004</v>
      </c>
      <c r="EM40" s="208">
        <v>19525.592000000004</v>
      </c>
      <c r="EN40" s="208">
        <v>11494.112000000001</v>
      </c>
      <c r="EO40" s="208">
        <v>5617.6160000000009</v>
      </c>
      <c r="EP40" s="208">
        <v>171921.84</v>
      </c>
      <c r="EQ40" s="208">
        <v>18197.856</v>
      </c>
      <c r="ER40" s="209">
        <v>261372.92799999999</v>
      </c>
      <c r="ES40" s="208">
        <v>42854.840000000004</v>
      </c>
      <c r="ET40" s="208">
        <v>18467.472000000002</v>
      </c>
      <c r="EU40" s="208">
        <v>6159</v>
      </c>
      <c r="EV40" s="208">
        <v>3076.0880000000002</v>
      </c>
      <c r="EW40" s="208">
        <v>146689.92000000001</v>
      </c>
      <c r="EX40" s="208">
        <v>18513.511999999999</v>
      </c>
      <c r="EY40" s="209">
        <v>235760.83199999999</v>
      </c>
      <c r="EZ40" s="208">
        <v>42556.392</v>
      </c>
      <c r="FA40" s="208">
        <v>38932.056000000004</v>
      </c>
      <c r="FB40" s="208">
        <v>14876.023999999999</v>
      </c>
      <c r="FC40" s="208">
        <v>13529.64</v>
      </c>
      <c r="FD40" s="208">
        <v>171216.6</v>
      </c>
      <c r="FE40" s="208">
        <v>21670.856000000007</v>
      </c>
      <c r="FF40" s="209">
        <v>302781.56800000003</v>
      </c>
      <c r="FG40" s="208">
        <v>43961.96</v>
      </c>
      <c r="FH40" s="208">
        <v>20282.943999999996</v>
      </c>
      <c r="FI40" s="208">
        <v>4921.32</v>
      </c>
      <c r="FJ40" s="208">
        <v>3087.3120000000013</v>
      </c>
      <c r="FK40" s="208">
        <v>153742.32</v>
      </c>
      <c r="FL40" s="208">
        <v>16964.896000000001</v>
      </c>
      <c r="FM40" s="207">
        <v>242960.75200000001</v>
      </c>
      <c r="FN40" s="210">
        <v>1502170.5040000002</v>
      </c>
      <c r="FO40" s="518">
        <v>468979.49599999998</v>
      </c>
      <c r="FP40" s="208">
        <v>151992.62400000001</v>
      </c>
      <c r="FQ40" s="208">
        <v>63809.296000000002</v>
      </c>
      <c r="FR40" s="208">
        <v>2000050.2480000004</v>
      </c>
      <c r="FS40" s="208">
        <v>256407.22399999999</v>
      </c>
      <c r="FT40" s="209">
        <v>4443409.3920000009</v>
      </c>
      <c r="FU40" s="208">
        <v>1294521.3040000002</v>
      </c>
      <c r="FV40" s="208">
        <v>360788.64000000007</v>
      </c>
      <c r="FW40" s="208">
        <v>163260.00799999997</v>
      </c>
      <c r="FX40" s="208">
        <v>33370.375999999997</v>
      </c>
      <c r="FY40" s="208">
        <v>1382643.584</v>
      </c>
      <c r="FZ40" s="208">
        <v>155558.25599999999</v>
      </c>
      <c r="GA40" s="207">
        <v>3390142.1680000005</v>
      </c>
      <c r="GB40" s="206">
        <v>16.040616663346924</v>
      </c>
      <c r="GC40" s="206">
        <v>29.987323325922858</v>
      </c>
      <c r="GD40" s="206">
        <v>-6.9014966604681121</v>
      </c>
      <c r="GE40" s="206">
        <v>91.215394156781485</v>
      </c>
      <c r="GF40" s="206">
        <v>44.654072180614861</v>
      </c>
      <c r="GG40" s="206">
        <v>64.830353973626444</v>
      </c>
      <c r="GH40" s="205">
        <v>31.068526681327057</v>
      </c>
      <c r="GI40" s="215" t="str">
        <f t="shared" si="148"/>
        <v>MAIOR</v>
      </c>
    </row>
    <row r="41" spans="1:197">
      <c r="A41" s="211" t="s">
        <v>82</v>
      </c>
      <c r="B41" s="208">
        <v>210017.18400000001</v>
      </c>
      <c r="C41" s="208">
        <v>36606.880000000026</v>
      </c>
      <c r="D41" s="208">
        <v>7368.2880000000005</v>
      </c>
      <c r="E41" s="208">
        <v>2934.848</v>
      </c>
      <c r="F41" s="208">
        <v>71108.592000000004</v>
      </c>
      <c r="G41" s="208">
        <v>15853.056000000019</v>
      </c>
      <c r="H41" s="209">
        <v>343888.84800000006</v>
      </c>
      <c r="I41" s="208">
        <v>187853.024</v>
      </c>
      <c r="J41" s="208">
        <v>23023.120000000003</v>
      </c>
      <c r="K41" s="208">
        <v>19353.648000000001</v>
      </c>
      <c r="L41" s="208">
        <v>1410.6080000000002</v>
      </c>
      <c r="M41" s="208">
        <v>75146.487999999998</v>
      </c>
      <c r="N41" s="208">
        <v>8037.68</v>
      </c>
      <c r="O41" s="209">
        <v>314824.56800000003</v>
      </c>
      <c r="P41" s="208">
        <v>168378.76</v>
      </c>
      <c r="Q41" s="208">
        <v>21198.591999999982</v>
      </c>
      <c r="R41" s="208">
        <v>5217.1440000000002</v>
      </c>
      <c r="S41" s="208">
        <v>2994.9599999999991</v>
      </c>
      <c r="T41" s="208">
        <v>90200.504000000001</v>
      </c>
      <c r="U41" s="208">
        <v>8868.7839999999997</v>
      </c>
      <c r="V41" s="209">
        <v>296858.74399999995</v>
      </c>
      <c r="W41" s="208">
        <v>123844.62400000001</v>
      </c>
      <c r="X41" s="208">
        <v>13182.407999999999</v>
      </c>
      <c r="Y41" s="208">
        <v>14031.920000000002</v>
      </c>
      <c r="Z41" s="208">
        <v>800.73599999999999</v>
      </c>
      <c r="AA41" s="208">
        <v>69113.52</v>
      </c>
      <c r="AB41" s="208">
        <v>10542.575999999999</v>
      </c>
      <c r="AC41" s="209">
        <v>231515.78400000004</v>
      </c>
      <c r="AD41" s="208">
        <v>114965.75200000001</v>
      </c>
      <c r="AE41" s="208">
        <v>24192.231999999996</v>
      </c>
      <c r="AF41" s="208">
        <v>3926.9519999999998</v>
      </c>
      <c r="AG41" s="208">
        <v>3241.7840000000006</v>
      </c>
      <c r="AH41" s="208">
        <v>92151.360000000015</v>
      </c>
      <c r="AI41" s="208">
        <v>8428.9840000000004</v>
      </c>
      <c r="AJ41" s="209">
        <v>246907.06400000001</v>
      </c>
      <c r="AK41" s="208">
        <v>80019.960000000006</v>
      </c>
      <c r="AL41" s="208">
        <v>10926.344000000001</v>
      </c>
      <c r="AM41" s="208">
        <v>7915.2320000000009</v>
      </c>
      <c r="AN41" s="208">
        <v>655.98400000000004</v>
      </c>
      <c r="AO41" s="208">
        <v>57359.519999999997</v>
      </c>
      <c r="AP41" s="208">
        <v>4848.1360000000004</v>
      </c>
      <c r="AQ41" s="209">
        <v>161725.17600000001</v>
      </c>
      <c r="AR41" s="208">
        <v>102782.33600000001</v>
      </c>
      <c r="AS41" s="208">
        <v>18622.951999999994</v>
      </c>
      <c r="AT41" s="208">
        <v>2637.1200000000003</v>
      </c>
      <c r="AU41" s="208">
        <v>1185.9999999999998</v>
      </c>
      <c r="AV41" s="208">
        <v>88625.16</v>
      </c>
      <c r="AW41" s="208">
        <v>10165.240000000002</v>
      </c>
      <c r="AX41" s="209">
        <v>224018.80799999999</v>
      </c>
      <c r="AY41" s="208">
        <v>24080.440000000002</v>
      </c>
      <c r="AZ41" s="208">
        <v>8071.8880000000008</v>
      </c>
      <c r="BA41" s="208">
        <v>1452.6320000000001</v>
      </c>
      <c r="BB41" s="208">
        <v>88.448000000000008</v>
      </c>
      <c r="BC41" s="208">
        <v>26642.400000000001</v>
      </c>
      <c r="BD41" s="208">
        <v>3931.44</v>
      </c>
      <c r="BE41" s="209">
        <v>64267.248</v>
      </c>
      <c r="BF41" s="208">
        <v>74469.423999999999</v>
      </c>
      <c r="BG41" s="208">
        <v>16912.471999999998</v>
      </c>
      <c r="BH41" s="208">
        <v>3206.4880000000003</v>
      </c>
      <c r="BI41" s="208">
        <v>749.08800000000019</v>
      </c>
      <c r="BJ41" s="208">
        <v>93248.400000000009</v>
      </c>
      <c r="BK41" s="208">
        <v>8830.2880000000005</v>
      </c>
      <c r="BL41" s="209">
        <v>197416.16</v>
      </c>
      <c r="BM41" s="208">
        <v>23167.584000000003</v>
      </c>
      <c r="BN41" s="208">
        <v>6142.2640000000001</v>
      </c>
      <c r="BO41" s="208">
        <v>3304.0080000000003</v>
      </c>
      <c r="BP41" s="208">
        <v>1261.384</v>
      </c>
      <c r="BQ41" s="208">
        <v>27582.720000000001</v>
      </c>
      <c r="BR41" s="208">
        <v>4578.5120000000006</v>
      </c>
      <c r="BS41" s="209">
        <v>66036.472000000009</v>
      </c>
      <c r="BT41" s="208">
        <v>76047.176000000007</v>
      </c>
      <c r="BU41" s="208">
        <v>16694.583999999999</v>
      </c>
      <c r="BV41" s="208">
        <v>2346.6080000000002</v>
      </c>
      <c r="BW41" s="208">
        <v>1121.0080000000003</v>
      </c>
      <c r="BX41" s="208">
        <v>106099.44</v>
      </c>
      <c r="BY41" s="208">
        <v>13068.672</v>
      </c>
      <c r="BZ41" s="209">
        <v>215377.48800000001</v>
      </c>
      <c r="CA41" s="208">
        <v>51427.80000000001</v>
      </c>
      <c r="CB41" s="208">
        <v>8411.3680000000004</v>
      </c>
      <c r="CC41" s="208">
        <v>3276.0480000000002</v>
      </c>
      <c r="CD41" s="208">
        <v>678.08</v>
      </c>
      <c r="CE41" s="208">
        <v>68016.48000000001</v>
      </c>
      <c r="CF41" s="208">
        <v>9590.1839999999993</v>
      </c>
      <c r="CG41" s="209">
        <v>141399.96000000002</v>
      </c>
      <c r="CH41" s="208">
        <v>55867.495999999999</v>
      </c>
      <c r="CI41" s="208">
        <v>15715.016000000001</v>
      </c>
      <c r="CJ41" s="208">
        <v>3367.2640000000001</v>
      </c>
      <c r="CK41" s="208">
        <v>2212.4800000000005</v>
      </c>
      <c r="CL41" s="208">
        <v>128902.20000000001</v>
      </c>
      <c r="CM41" s="208">
        <v>13224.12</v>
      </c>
      <c r="CN41" s="209">
        <v>219288.576</v>
      </c>
      <c r="CO41" s="208">
        <v>100681.424</v>
      </c>
      <c r="CP41" s="208">
        <v>13491.567999999994</v>
      </c>
      <c r="CQ41" s="208">
        <v>7805.4240000000009</v>
      </c>
      <c r="CR41" s="208">
        <v>0</v>
      </c>
      <c r="CS41" s="208">
        <v>85020.6</v>
      </c>
      <c r="CT41" s="208">
        <v>5997.9920000000011</v>
      </c>
      <c r="CU41" s="209">
        <v>212997.008</v>
      </c>
      <c r="CV41" s="208">
        <v>42234.456000000006</v>
      </c>
      <c r="CW41" s="208">
        <v>13308.608000000006</v>
      </c>
      <c r="CX41" s="208">
        <v>15099.712</v>
      </c>
      <c r="CY41" s="208">
        <v>2349.5119999999997</v>
      </c>
      <c r="CZ41" s="208">
        <v>122868.48000000001</v>
      </c>
      <c r="DA41" s="208">
        <v>12321.368</v>
      </c>
      <c r="DB41" s="209">
        <v>208182.13600000003</v>
      </c>
      <c r="DC41" s="208">
        <v>91472.576000000001</v>
      </c>
      <c r="DD41" s="208">
        <v>14412.303999999982</v>
      </c>
      <c r="DE41" s="208">
        <v>9679.7119999999995</v>
      </c>
      <c r="DF41" s="208">
        <v>36.688000000000464</v>
      </c>
      <c r="DG41" s="208">
        <v>90740.88</v>
      </c>
      <c r="DH41" s="208">
        <v>8096.8880000000017</v>
      </c>
      <c r="DI41" s="209">
        <v>214439.04799999998</v>
      </c>
      <c r="DJ41" s="208">
        <v>29877.72</v>
      </c>
      <c r="DK41" s="208">
        <v>11241.503999999997</v>
      </c>
      <c r="DL41" s="208">
        <v>7197.2960000000012</v>
      </c>
      <c r="DM41" s="208">
        <v>2671.8399999999997</v>
      </c>
      <c r="DN41" s="208">
        <v>114405.6</v>
      </c>
      <c r="DO41" s="208">
        <v>11051.304000000002</v>
      </c>
      <c r="DP41" s="209">
        <v>176445.26400000002</v>
      </c>
      <c r="DQ41" s="208">
        <v>44046.592000000004</v>
      </c>
      <c r="DR41" s="208">
        <v>17535.616000000009</v>
      </c>
      <c r="DS41" s="208">
        <v>4681.808</v>
      </c>
      <c r="DT41" s="208">
        <v>788.47200000000021</v>
      </c>
      <c r="DU41" s="208">
        <v>88860.24</v>
      </c>
      <c r="DV41" s="208">
        <v>13045.264000000003</v>
      </c>
      <c r="DW41" s="209">
        <v>168957.992</v>
      </c>
      <c r="DX41" s="208">
        <v>21004.248000000003</v>
      </c>
      <c r="DY41" s="208">
        <v>13552.624</v>
      </c>
      <c r="DZ41" s="208">
        <v>3947.8320000000003</v>
      </c>
      <c r="EA41" s="208">
        <v>1405.5199999999998</v>
      </c>
      <c r="EB41" s="208">
        <v>115816.08</v>
      </c>
      <c r="EC41" s="208">
        <v>11807.944000000001</v>
      </c>
      <c r="ED41" s="209">
        <v>167534.24799999999</v>
      </c>
      <c r="EE41" s="208">
        <v>15217.560000000001</v>
      </c>
      <c r="EF41" s="208">
        <v>36124.248</v>
      </c>
      <c r="EG41" s="208">
        <v>819</v>
      </c>
      <c r="EH41" s="208">
        <v>959.5200000000001</v>
      </c>
      <c r="EI41" s="208">
        <v>106334.52</v>
      </c>
      <c r="EJ41" s="208">
        <v>9985.2560000000012</v>
      </c>
      <c r="EK41" s="209">
        <v>169440.10399999999</v>
      </c>
      <c r="EL41" s="208">
        <v>24687.056</v>
      </c>
      <c r="EM41" s="208">
        <v>22842.712</v>
      </c>
      <c r="EN41" s="208">
        <v>4815.4319999999998</v>
      </c>
      <c r="EO41" s="208">
        <v>730.60800000000017</v>
      </c>
      <c r="EP41" s="208">
        <v>112446.60000000002</v>
      </c>
      <c r="EQ41" s="208">
        <v>15515.856000000002</v>
      </c>
      <c r="ER41" s="209">
        <v>181038.26400000002</v>
      </c>
      <c r="ES41" s="208">
        <v>24076.272000000004</v>
      </c>
      <c r="ET41" s="208">
        <v>8695.6320000000014</v>
      </c>
      <c r="EU41" s="208">
        <v>1558.0160000000003</v>
      </c>
      <c r="EV41" s="208">
        <v>267.24</v>
      </c>
      <c r="EW41" s="208">
        <v>94267.080000000016</v>
      </c>
      <c r="EX41" s="208">
        <v>9812.7599999999984</v>
      </c>
      <c r="EY41" s="209">
        <v>138677.00000000003</v>
      </c>
      <c r="EZ41" s="208">
        <v>27493.344000000008</v>
      </c>
      <c r="FA41" s="208">
        <v>36114.631999999998</v>
      </c>
      <c r="FB41" s="208">
        <v>10717.256000000001</v>
      </c>
      <c r="FC41" s="208">
        <v>9779.0640000000003</v>
      </c>
      <c r="FD41" s="208">
        <v>110644.32000000002</v>
      </c>
      <c r="FE41" s="208">
        <v>15546.503999999999</v>
      </c>
      <c r="FF41" s="209">
        <v>210295.12000000002</v>
      </c>
      <c r="FG41" s="208">
        <v>20529.264000000003</v>
      </c>
      <c r="FH41" s="208">
        <v>11474.439999999997</v>
      </c>
      <c r="FI41" s="208">
        <v>2057.056</v>
      </c>
      <c r="FJ41" s="208">
        <v>694.87199999999984</v>
      </c>
      <c r="FK41" s="208">
        <v>90035.640000000014</v>
      </c>
      <c r="FL41" s="208">
        <v>11043.496000000001</v>
      </c>
      <c r="FM41" s="207">
        <v>135834.76800000001</v>
      </c>
      <c r="FN41" s="210">
        <v>947824.95200000005</v>
      </c>
      <c r="FO41" s="518">
        <v>247002.80799999996</v>
      </c>
      <c r="FP41" s="208">
        <v>69847.392000000007</v>
      </c>
      <c r="FQ41" s="208">
        <v>31376.712</v>
      </c>
      <c r="FR41" s="208">
        <v>1246516.736</v>
      </c>
      <c r="FS41" s="208">
        <v>144682.12000000002</v>
      </c>
      <c r="FT41" s="209">
        <v>2687250.72</v>
      </c>
      <c r="FU41" s="208">
        <v>786417.12000000023</v>
      </c>
      <c r="FV41" s="208">
        <v>171491.20000000001</v>
      </c>
      <c r="FW41" s="208">
        <v>75934.504000000015</v>
      </c>
      <c r="FX41" s="208">
        <v>7642.0319999999992</v>
      </c>
      <c r="FY41" s="208">
        <v>879120.08800000011</v>
      </c>
      <c r="FZ41" s="208">
        <v>99510.183999999979</v>
      </c>
      <c r="GA41" s="207">
        <v>2020115.1280000003</v>
      </c>
      <c r="GB41" s="206">
        <v>20.524455520500325</v>
      </c>
      <c r="GC41" s="206">
        <v>44.032351514246756</v>
      </c>
      <c r="GD41" s="206">
        <v>-8.0162662285908937</v>
      </c>
      <c r="GE41" s="206">
        <v>310.58074606335072</v>
      </c>
      <c r="GF41" s="206">
        <v>41.79140631808653</v>
      </c>
      <c r="GG41" s="206">
        <v>45.394284468411854</v>
      </c>
      <c r="GH41" s="205">
        <v>33.02463224759336</v>
      </c>
      <c r="GI41" s="215" t="str">
        <f t="shared" si="148"/>
        <v>MAIOR</v>
      </c>
    </row>
    <row r="42" spans="1:197">
      <c r="A42" s="211" t="s">
        <v>83</v>
      </c>
      <c r="B42" s="208">
        <v>270511.32799999998</v>
      </c>
      <c r="C42" s="208">
        <v>60776.248</v>
      </c>
      <c r="D42" s="208">
        <v>6882.1440000000002</v>
      </c>
      <c r="E42" s="208">
        <v>2733.9119999999998</v>
      </c>
      <c r="F42" s="208">
        <v>98439.26400000001</v>
      </c>
      <c r="G42" s="208">
        <v>21814.584000000032</v>
      </c>
      <c r="H42" s="209">
        <v>461157.48000000004</v>
      </c>
      <c r="I42" s="208">
        <v>256441</v>
      </c>
      <c r="J42" s="208">
        <v>59251.224000000002</v>
      </c>
      <c r="K42" s="208">
        <v>17348.032000000003</v>
      </c>
      <c r="L42" s="208">
        <v>7419.1759999999995</v>
      </c>
      <c r="M42" s="208">
        <v>96113.040000000008</v>
      </c>
      <c r="N42" s="208">
        <v>22522.968000000004</v>
      </c>
      <c r="O42" s="209">
        <v>459095.43999999994</v>
      </c>
      <c r="P42" s="208">
        <v>333519.75200000004</v>
      </c>
      <c r="Q42" s="208">
        <v>42452.431999999979</v>
      </c>
      <c r="R42" s="208">
        <v>12869.352000000001</v>
      </c>
      <c r="S42" s="208">
        <v>6516.0319999999992</v>
      </c>
      <c r="T42" s="208">
        <v>106812.82400000001</v>
      </c>
      <c r="U42" s="208">
        <v>18843.984</v>
      </c>
      <c r="V42" s="209">
        <v>521014.37600000005</v>
      </c>
      <c r="W42" s="208">
        <v>393662.38400000002</v>
      </c>
      <c r="X42" s="208">
        <v>44075.12</v>
      </c>
      <c r="Y42" s="208">
        <v>34402.688000000002</v>
      </c>
      <c r="Z42" s="208">
        <v>3635.1120000000005</v>
      </c>
      <c r="AA42" s="208">
        <v>94658.880000000005</v>
      </c>
      <c r="AB42" s="208">
        <v>16258.056000000002</v>
      </c>
      <c r="AC42" s="209">
        <v>586692.24000000011</v>
      </c>
      <c r="AD42" s="208">
        <v>220545.50400000002</v>
      </c>
      <c r="AE42" s="208">
        <v>52389.216</v>
      </c>
      <c r="AF42" s="208">
        <v>6368.9440000000004</v>
      </c>
      <c r="AG42" s="208">
        <v>2614.6800000000003</v>
      </c>
      <c r="AH42" s="208">
        <v>143868.96000000002</v>
      </c>
      <c r="AI42" s="208">
        <v>15673.368</v>
      </c>
      <c r="AJ42" s="209">
        <v>441460.67200000008</v>
      </c>
      <c r="AK42" s="208">
        <v>152089.4</v>
      </c>
      <c r="AL42" s="208">
        <v>46693.456000000006</v>
      </c>
      <c r="AM42" s="208">
        <v>10359.616000000002</v>
      </c>
      <c r="AN42" s="208">
        <v>1122</v>
      </c>
      <c r="AO42" s="208">
        <v>93013.32</v>
      </c>
      <c r="AP42" s="208">
        <v>16483.400000000001</v>
      </c>
      <c r="AQ42" s="209">
        <v>319761.19200000004</v>
      </c>
      <c r="AR42" s="208">
        <v>182934.55200000003</v>
      </c>
      <c r="AS42" s="208">
        <v>43092.56</v>
      </c>
      <c r="AT42" s="208">
        <v>4068.7120000000004</v>
      </c>
      <c r="AU42" s="208">
        <v>3857.0639999999994</v>
      </c>
      <c r="AV42" s="208">
        <v>118088.52000000002</v>
      </c>
      <c r="AW42" s="208">
        <v>16466.055999999997</v>
      </c>
      <c r="AX42" s="209">
        <v>368507.46400000004</v>
      </c>
      <c r="AY42" s="208">
        <v>72820.504000000001</v>
      </c>
      <c r="AZ42" s="208">
        <v>33072.103999999999</v>
      </c>
      <c r="BA42" s="208">
        <v>7362.2640000000001</v>
      </c>
      <c r="BB42" s="208">
        <v>1098.0160000000001</v>
      </c>
      <c r="BC42" s="208">
        <v>51952.68</v>
      </c>
      <c r="BD42" s="208">
        <v>10684.04</v>
      </c>
      <c r="BE42" s="209">
        <v>176989.60800000001</v>
      </c>
      <c r="BF42" s="208">
        <v>110522.35200000001</v>
      </c>
      <c r="BG42" s="208">
        <v>39012.424000000014</v>
      </c>
      <c r="BH42" s="208">
        <v>4197.0879999999997</v>
      </c>
      <c r="BI42" s="208">
        <v>1679.6800000000003</v>
      </c>
      <c r="BJ42" s="208">
        <v>128667.12000000001</v>
      </c>
      <c r="BK42" s="208">
        <v>19618.128000000004</v>
      </c>
      <c r="BL42" s="209">
        <v>303696.79200000002</v>
      </c>
      <c r="BM42" s="208">
        <v>59736.216000000008</v>
      </c>
      <c r="BN42" s="208">
        <v>30243.520000000004</v>
      </c>
      <c r="BO42" s="208">
        <v>4771.88</v>
      </c>
      <c r="BP42" s="208">
        <v>619.13599999999997</v>
      </c>
      <c r="BQ42" s="208">
        <v>73815.12</v>
      </c>
      <c r="BR42" s="208">
        <v>14942.055999999999</v>
      </c>
      <c r="BS42" s="209">
        <v>184127.92800000001</v>
      </c>
      <c r="BT42" s="208">
        <v>113401.20000000001</v>
      </c>
      <c r="BU42" s="208">
        <v>32656.136000000006</v>
      </c>
      <c r="BV42" s="208">
        <v>8473.9040000000005</v>
      </c>
      <c r="BW42" s="208">
        <v>2732.8160000000007</v>
      </c>
      <c r="BX42" s="208">
        <v>133650.81600000002</v>
      </c>
      <c r="BY42" s="208">
        <v>21863.024000000001</v>
      </c>
      <c r="BZ42" s="209">
        <v>312777.89600000001</v>
      </c>
      <c r="CA42" s="208">
        <v>85062.576000000001</v>
      </c>
      <c r="CB42" s="208">
        <v>26023.592000000004</v>
      </c>
      <c r="CC42" s="208">
        <v>9762.2000000000007</v>
      </c>
      <c r="CD42" s="208">
        <v>2493.3040000000001</v>
      </c>
      <c r="CE42" s="208">
        <v>99047.040000000008</v>
      </c>
      <c r="CF42" s="208">
        <v>10220.784000000001</v>
      </c>
      <c r="CG42" s="209">
        <v>232609.49600000001</v>
      </c>
      <c r="CH42" s="208">
        <v>86031.464000000007</v>
      </c>
      <c r="CI42" s="208">
        <v>36361.80000000001</v>
      </c>
      <c r="CJ42" s="208">
        <v>6411.8559999999998</v>
      </c>
      <c r="CK42" s="208">
        <v>3141.5680000000011</v>
      </c>
      <c r="CL42" s="208">
        <v>144495.84</v>
      </c>
      <c r="CM42" s="208">
        <v>23002.792000000001</v>
      </c>
      <c r="CN42" s="209">
        <v>299445.32000000007</v>
      </c>
      <c r="CO42" s="208">
        <v>109989.77600000001</v>
      </c>
      <c r="CP42" s="208">
        <v>27928.295999999998</v>
      </c>
      <c r="CQ42" s="208">
        <v>8830.1759999999995</v>
      </c>
      <c r="CR42" s="208">
        <v>353.79199999999986</v>
      </c>
      <c r="CS42" s="208">
        <v>116364.6</v>
      </c>
      <c r="CT42" s="208">
        <v>9663.52</v>
      </c>
      <c r="CU42" s="209">
        <v>273130.16000000003</v>
      </c>
      <c r="CV42" s="208">
        <v>56014.92</v>
      </c>
      <c r="CW42" s="208">
        <v>27903.432000000008</v>
      </c>
      <c r="CX42" s="208">
        <v>27842.896000000004</v>
      </c>
      <c r="CY42" s="208">
        <v>4690.7759999999953</v>
      </c>
      <c r="CZ42" s="208">
        <v>132820.20000000001</v>
      </c>
      <c r="DA42" s="208">
        <v>21669.84</v>
      </c>
      <c r="DB42" s="209">
        <v>270942.06400000007</v>
      </c>
      <c r="DC42" s="208">
        <v>144259.75200000001</v>
      </c>
      <c r="DD42" s="208">
        <v>39178.92</v>
      </c>
      <c r="DE42" s="208">
        <v>17371.68</v>
      </c>
      <c r="DF42" s="208">
        <v>4806.0960000000023</v>
      </c>
      <c r="DG42" s="208">
        <v>134152.32000000001</v>
      </c>
      <c r="DH42" s="208">
        <v>17413.232</v>
      </c>
      <c r="DI42" s="209">
        <v>357182.00000000006</v>
      </c>
      <c r="DJ42" s="208">
        <v>44432.144</v>
      </c>
      <c r="DK42" s="208">
        <v>27540.223999999995</v>
      </c>
      <c r="DL42" s="208">
        <v>9018.2080000000005</v>
      </c>
      <c r="DM42" s="208">
        <v>1575.6559999999999</v>
      </c>
      <c r="DN42" s="208">
        <v>134073.96000000002</v>
      </c>
      <c r="DO42" s="208">
        <v>19213.872000000003</v>
      </c>
      <c r="DP42" s="209">
        <v>235854.06400000001</v>
      </c>
      <c r="DQ42" s="208">
        <v>48831.288</v>
      </c>
      <c r="DR42" s="208">
        <v>26288.543999999994</v>
      </c>
      <c r="DS42" s="208">
        <v>3055.16</v>
      </c>
      <c r="DT42" s="208">
        <v>1762.768</v>
      </c>
      <c r="DU42" s="208">
        <v>114719.03999999999</v>
      </c>
      <c r="DV42" s="208">
        <v>16664.072</v>
      </c>
      <c r="DW42" s="209">
        <v>211320.87199999997</v>
      </c>
      <c r="DX42" s="208">
        <v>27619.96</v>
      </c>
      <c r="DY42" s="208">
        <v>16026.784</v>
      </c>
      <c r="DZ42" s="208">
        <v>9844.52</v>
      </c>
      <c r="EA42" s="208">
        <v>662.07200000000012</v>
      </c>
      <c r="EB42" s="208">
        <v>131785.848</v>
      </c>
      <c r="EC42" s="208">
        <v>13430.896000000001</v>
      </c>
      <c r="ED42" s="209">
        <v>199370.08000000002</v>
      </c>
      <c r="EE42" s="208">
        <v>21576.407999999999</v>
      </c>
      <c r="EF42" s="208">
        <v>70347.160000000018</v>
      </c>
      <c r="EG42" s="208">
        <v>4108.4480000000003</v>
      </c>
      <c r="EH42" s="208">
        <v>962.1519999999997</v>
      </c>
      <c r="EI42" s="208">
        <v>131174.63999999998</v>
      </c>
      <c r="EJ42" s="208">
        <v>20630.543999999998</v>
      </c>
      <c r="EK42" s="209">
        <v>248799.35200000001</v>
      </c>
      <c r="EL42" s="208">
        <v>29012.528000000006</v>
      </c>
      <c r="EM42" s="208">
        <v>12989.68</v>
      </c>
      <c r="EN42" s="208">
        <v>5921.7440000000006</v>
      </c>
      <c r="EO42" s="208">
        <v>974.71199999999953</v>
      </c>
      <c r="EP42" s="208">
        <v>121536.36000000002</v>
      </c>
      <c r="EQ42" s="208">
        <v>13572.896000000001</v>
      </c>
      <c r="ER42" s="209">
        <v>184007.92000000004</v>
      </c>
      <c r="ES42" s="208">
        <v>36527.928000000007</v>
      </c>
      <c r="ET42" s="208">
        <v>27436.368000000002</v>
      </c>
      <c r="EU42" s="208">
        <v>4664.6320000000005</v>
      </c>
      <c r="EV42" s="208">
        <v>850.36800000000005</v>
      </c>
      <c r="EW42" s="208">
        <v>126237.96000000002</v>
      </c>
      <c r="EX42" s="208">
        <v>22226.432000000004</v>
      </c>
      <c r="EY42" s="209">
        <v>217943.68800000005</v>
      </c>
      <c r="EZ42" s="208">
        <v>33759.455999999998</v>
      </c>
      <c r="FA42" s="208">
        <v>20757.184000000005</v>
      </c>
      <c r="FB42" s="208">
        <v>9230.84</v>
      </c>
      <c r="FC42" s="208">
        <v>3628.4320000000002</v>
      </c>
      <c r="FD42" s="208">
        <v>112054.80000000002</v>
      </c>
      <c r="FE42" s="208">
        <v>14838.264000000001</v>
      </c>
      <c r="FF42" s="209">
        <v>194268.976</v>
      </c>
      <c r="FG42" s="208">
        <v>33431.760000000002</v>
      </c>
      <c r="FH42" s="208">
        <v>23338.648000000012</v>
      </c>
      <c r="FI42" s="208">
        <v>4893.1440000000002</v>
      </c>
      <c r="FJ42" s="208">
        <v>2356.2720000000004</v>
      </c>
      <c r="FK42" s="208">
        <v>106334.52</v>
      </c>
      <c r="FL42" s="208">
        <v>15818.215999999999</v>
      </c>
      <c r="FM42" s="207">
        <v>186172.56</v>
      </c>
      <c r="FN42" s="210">
        <v>1508305.16</v>
      </c>
      <c r="FO42" s="518">
        <v>411958.12</v>
      </c>
      <c r="FP42" s="208">
        <v>111130.20800000001</v>
      </c>
      <c r="FQ42" s="208">
        <v>34807.399999999994</v>
      </c>
      <c r="FR42" s="208">
        <v>1506294.5120000001</v>
      </c>
      <c r="FS42" s="208">
        <v>220007.70400000006</v>
      </c>
      <c r="FT42" s="209">
        <v>3792503.1039999998</v>
      </c>
      <c r="FU42" s="208">
        <v>1414428.9920000003</v>
      </c>
      <c r="FV42" s="208">
        <v>453876.95199999999</v>
      </c>
      <c r="FW42" s="208">
        <v>126929.92</v>
      </c>
      <c r="FX42" s="208">
        <v>27478.191999999999</v>
      </c>
      <c r="FY42" s="208">
        <v>1237583.1600000001</v>
      </c>
      <c r="FZ42" s="208">
        <v>193527.32</v>
      </c>
      <c r="GA42" s="207">
        <v>3453824.5360000003</v>
      </c>
      <c r="GB42" s="206">
        <v>6.6370364670805344</v>
      </c>
      <c r="GC42" s="206">
        <v>-9.2357260740571832</v>
      </c>
      <c r="GD42" s="206">
        <v>-12.447586825864207</v>
      </c>
      <c r="GE42" s="206">
        <v>26.672817483770388</v>
      </c>
      <c r="GF42" s="206">
        <v>21.712589560446176</v>
      </c>
      <c r="GG42" s="206">
        <v>13.683021084568338</v>
      </c>
      <c r="GH42" s="205">
        <v>9.8058996474741349</v>
      </c>
      <c r="GI42" s="215" t="str">
        <f t="shared" si="148"/>
        <v>MAIOR</v>
      </c>
    </row>
    <row r="43" spans="1:197">
      <c r="A43" s="211" t="s">
        <v>84</v>
      </c>
      <c r="B43" s="208">
        <v>170046.32800000001</v>
      </c>
      <c r="C43" s="208">
        <v>22793.143999999997</v>
      </c>
      <c r="D43" s="208">
        <v>5972.0960000000005</v>
      </c>
      <c r="E43" s="208">
        <v>2231.0879999999997</v>
      </c>
      <c r="F43" s="208">
        <v>74319.368000000002</v>
      </c>
      <c r="G43" s="208">
        <v>12656.67200000001</v>
      </c>
      <c r="H43" s="209">
        <v>288018.696</v>
      </c>
      <c r="I43" s="208">
        <v>196303.32800000001</v>
      </c>
      <c r="J43" s="208">
        <v>26082.856</v>
      </c>
      <c r="K43" s="208">
        <v>16850.904000000002</v>
      </c>
      <c r="L43" s="208">
        <v>3367.92</v>
      </c>
      <c r="M43" s="208">
        <v>79599.495999999999</v>
      </c>
      <c r="N43" s="208">
        <v>12693.168</v>
      </c>
      <c r="O43" s="209">
        <v>334897.67200000002</v>
      </c>
      <c r="P43" s="208">
        <v>258604.56000000003</v>
      </c>
      <c r="Q43" s="208">
        <v>18728.527999999973</v>
      </c>
      <c r="R43" s="208">
        <v>12824.872000000001</v>
      </c>
      <c r="S43" s="208">
        <v>2476.096</v>
      </c>
      <c r="T43" s="208">
        <v>94291.512000000017</v>
      </c>
      <c r="U43" s="208">
        <v>7177.1760000000013</v>
      </c>
      <c r="V43" s="209">
        <v>394102.74399999995</v>
      </c>
      <c r="W43" s="208">
        <v>274147.38400000002</v>
      </c>
      <c r="X43" s="208">
        <v>25864.600000000002</v>
      </c>
      <c r="Y43" s="208">
        <v>45672.832000000002</v>
      </c>
      <c r="Z43" s="208">
        <v>2910.3919999999998</v>
      </c>
      <c r="AA43" s="208">
        <v>78908.52</v>
      </c>
      <c r="AB43" s="208">
        <v>11108.432000000001</v>
      </c>
      <c r="AC43" s="209">
        <v>438612.16000000003</v>
      </c>
      <c r="AD43" s="208">
        <v>150522.68799999999</v>
      </c>
      <c r="AE43" s="208">
        <v>19113.240000000016</v>
      </c>
      <c r="AF43" s="208">
        <v>3472.2800000000007</v>
      </c>
      <c r="AG43" s="208">
        <v>2427.9759999999997</v>
      </c>
      <c r="AH43" s="208">
        <v>121458.00000000003</v>
      </c>
      <c r="AI43" s="208">
        <v>6973.4080000000004</v>
      </c>
      <c r="AJ43" s="209">
        <v>303967.592</v>
      </c>
      <c r="AK43" s="208">
        <v>101387.68800000001</v>
      </c>
      <c r="AL43" s="208">
        <v>18605.400000000001</v>
      </c>
      <c r="AM43" s="208">
        <v>12975.400000000001</v>
      </c>
      <c r="AN43" s="208">
        <v>3004.4639999999999</v>
      </c>
      <c r="AO43" s="208">
        <v>81102.600000000006</v>
      </c>
      <c r="AP43" s="208">
        <v>9799.7920000000013</v>
      </c>
      <c r="AQ43" s="209">
        <v>226875.34400000004</v>
      </c>
      <c r="AR43" s="208">
        <v>139374.12</v>
      </c>
      <c r="AS43" s="208">
        <v>10474.312000000007</v>
      </c>
      <c r="AT43" s="208">
        <v>4713.8160000000007</v>
      </c>
      <c r="AU43" s="208">
        <v>1988.1040000000003</v>
      </c>
      <c r="AV43" s="208">
        <v>98968.680000000008</v>
      </c>
      <c r="AW43" s="208">
        <v>8851.0560000000005</v>
      </c>
      <c r="AX43" s="209">
        <v>264370.08799999999</v>
      </c>
      <c r="AY43" s="208">
        <v>42986.024000000005</v>
      </c>
      <c r="AZ43" s="208">
        <v>9887.4480000000003</v>
      </c>
      <c r="BA43" s="208">
        <v>3329.384</v>
      </c>
      <c r="BB43" s="208">
        <v>1503.4</v>
      </c>
      <c r="BC43" s="208">
        <v>44351.76</v>
      </c>
      <c r="BD43" s="208">
        <v>6983.8159999999998</v>
      </c>
      <c r="BE43" s="209">
        <v>109041.83200000001</v>
      </c>
      <c r="BF43" s="208">
        <v>89569.376000000004</v>
      </c>
      <c r="BG43" s="208">
        <v>10670.847999999996</v>
      </c>
      <c r="BH43" s="208">
        <v>1881.848</v>
      </c>
      <c r="BI43" s="208">
        <v>1170.2639999999999</v>
      </c>
      <c r="BJ43" s="208">
        <v>113230.2</v>
      </c>
      <c r="BK43" s="208">
        <v>10470.175999999999</v>
      </c>
      <c r="BL43" s="209">
        <v>226992.712</v>
      </c>
      <c r="BM43" s="208">
        <v>38097.896000000001</v>
      </c>
      <c r="BN43" s="208">
        <v>9854.9600000000009</v>
      </c>
      <c r="BO43" s="208">
        <v>4197.9279999999999</v>
      </c>
      <c r="BP43" s="208">
        <v>1018.3920000000001</v>
      </c>
      <c r="BQ43" s="208">
        <v>65822.400000000009</v>
      </c>
      <c r="BR43" s="208">
        <v>4861.9359999999997</v>
      </c>
      <c r="BS43" s="209">
        <v>123853.512</v>
      </c>
      <c r="BT43" s="208">
        <v>91407.831999999995</v>
      </c>
      <c r="BU43" s="208">
        <v>16130.528</v>
      </c>
      <c r="BV43" s="208">
        <v>3052.1040000000003</v>
      </c>
      <c r="BW43" s="208">
        <v>3004.5520000000001</v>
      </c>
      <c r="BX43" s="208">
        <v>121301.28000000001</v>
      </c>
      <c r="BY43" s="208">
        <v>16559.344000000001</v>
      </c>
      <c r="BZ43" s="209">
        <v>251455.64000000004</v>
      </c>
      <c r="CA43" s="208">
        <v>50946.192000000003</v>
      </c>
      <c r="CB43" s="208">
        <v>8620.2960000000003</v>
      </c>
      <c r="CC43" s="208">
        <v>4214.4160000000002</v>
      </c>
      <c r="CD43" s="208">
        <v>519.52</v>
      </c>
      <c r="CE43" s="208">
        <v>75460.680000000008</v>
      </c>
      <c r="CF43" s="208">
        <v>4955.6320000000005</v>
      </c>
      <c r="CG43" s="209">
        <v>144716.736</v>
      </c>
      <c r="CH43" s="208">
        <v>66254.600000000006</v>
      </c>
      <c r="CI43" s="208">
        <v>20117.175999999999</v>
      </c>
      <c r="CJ43" s="208">
        <v>7245.8240000000005</v>
      </c>
      <c r="CK43" s="208">
        <v>1842.8320000000001</v>
      </c>
      <c r="CL43" s="208">
        <v>133368.72</v>
      </c>
      <c r="CM43" s="208">
        <v>16967.256000000001</v>
      </c>
      <c r="CN43" s="209">
        <v>245796.408</v>
      </c>
      <c r="CO43" s="208">
        <v>97065.48000000001</v>
      </c>
      <c r="CP43" s="208">
        <v>7222.9359999999988</v>
      </c>
      <c r="CQ43" s="208">
        <v>6823.92</v>
      </c>
      <c r="CR43" s="208">
        <v>2920.7759999999998</v>
      </c>
      <c r="CS43" s="208">
        <v>97009.680000000008</v>
      </c>
      <c r="CT43" s="208">
        <v>4963.3040000000001</v>
      </c>
      <c r="CU43" s="209">
        <v>216006.09600000002</v>
      </c>
      <c r="CV43" s="208">
        <v>56221.016000000003</v>
      </c>
      <c r="CW43" s="208">
        <v>16311.6</v>
      </c>
      <c r="CX43" s="208">
        <v>30265.496000000003</v>
      </c>
      <c r="CY43" s="208">
        <v>1436.6559999999963</v>
      </c>
      <c r="CZ43" s="208">
        <v>147003.35999999999</v>
      </c>
      <c r="DA43" s="208">
        <v>19643.064000000002</v>
      </c>
      <c r="DB43" s="209">
        <v>270881.19199999998</v>
      </c>
      <c r="DC43" s="208">
        <v>128604.024</v>
      </c>
      <c r="DD43" s="208">
        <v>8568.4320000000062</v>
      </c>
      <c r="DE43" s="208">
        <v>12088.744000000001</v>
      </c>
      <c r="DF43" s="208">
        <v>2770.2320000000009</v>
      </c>
      <c r="DG43" s="208">
        <v>110957.76000000004</v>
      </c>
      <c r="DH43" s="208">
        <v>6655.6</v>
      </c>
      <c r="DI43" s="209">
        <v>269644.79200000002</v>
      </c>
      <c r="DJ43" s="208">
        <v>50031.824000000001</v>
      </c>
      <c r="DK43" s="208">
        <v>16156.08</v>
      </c>
      <c r="DL43" s="208">
        <v>12844.400000000001</v>
      </c>
      <c r="DM43" s="208">
        <v>3714.4720000000002</v>
      </c>
      <c r="DN43" s="208">
        <v>124827.48</v>
      </c>
      <c r="DO43" s="208">
        <v>16720.712</v>
      </c>
      <c r="DP43" s="209">
        <v>224294.96799999999</v>
      </c>
      <c r="DQ43" s="208">
        <v>29862.335999999999</v>
      </c>
      <c r="DR43" s="208">
        <v>7131.3600000000042</v>
      </c>
      <c r="DS43" s="208">
        <v>4302.3680000000004</v>
      </c>
      <c r="DT43" s="208">
        <v>1745.6240000000007</v>
      </c>
      <c r="DU43" s="208">
        <v>97323.12</v>
      </c>
      <c r="DV43" s="208">
        <v>7214.0720000000001</v>
      </c>
      <c r="DW43" s="209">
        <v>147578.88</v>
      </c>
      <c r="DX43" s="208">
        <v>33943.064000000006</v>
      </c>
      <c r="DY43" s="208">
        <v>15663.864</v>
      </c>
      <c r="DZ43" s="208">
        <v>12690.696000000002</v>
      </c>
      <c r="EA43" s="208">
        <v>4772.4799999999987</v>
      </c>
      <c r="EB43" s="208">
        <v>124514.04000000001</v>
      </c>
      <c r="EC43" s="208">
        <v>15991.808000000001</v>
      </c>
      <c r="ED43" s="209">
        <v>207575.95200000002</v>
      </c>
      <c r="EE43" s="208">
        <v>13485.400000000001</v>
      </c>
      <c r="EF43" s="208">
        <v>21131.112000000001</v>
      </c>
      <c r="EG43" s="208">
        <v>2081.4639999999999</v>
      </c>
      <c r="EH43" s="208">
        <v>3201.9840000000004</v>
      </c>
      <c r="EI43" s="208">
        <v>122711.76000000001</v>
      </c>
      <c r="EJ43" s="208">
        <v>8883.7200000000012</v>
      </c>
      <c r="EK43" s="209">
        <v>171495.44000000003</v>
      </c>
      <c r="EL43" s="208">
        <v>26435.168000000001</v>
      </c>
      <c r="EM43" s="208">
        <v>14376.136000000006</v>
      </c>
      <c r="EN43" s="208">
        <v>9707.1759999999995</v>
      </c>
      <c r="EO43" s="208">
        <v>2806.2960000000003</v>
      </c>
      <c r="EP43" s="208">
        <v>109939.08</v>
      </c>
      <c r="EQ43" s="208">
        <v>12745.64</v>
      </c>
      <c r="ER43" s="209">
        <v>176009.49599999998</v>
      </c>
      <c r="ES43" s="208">
        <v>20271.847999999998</v>
      </c>
      <c r="ET43" s="208">
        <v>4899.3919999999998</v>
      </c>
      <c r="EU43" s="208">
        <v>3269.9920000000002</v>
      </c>
      <c r="EV43" s="208">
        <v>1792.384</v>
      </c>
      <c r="EW43" s="208">
        <v>102573.24</v>
      </c>
      <c r="EX43" s="208">
        <v>9636.3040000000001</v>
      </c>
      <c r="EY43" s="209">
        <v>142443.16</v>
      </c>
      <c r="EZ43" s="208">
        <v>35213.232000000004</v>
      </c>
      <c r="FA43" s="208">
        <v>25349.632000000001</v>
      </c>
      <c r="FB43" s="208">
        <v>12490</v>
      </c>
      <c r="FC43" s="208">
        <v>4480.1839999999993</v>
      </c>
      <c r="FD43" s="208">
        <v>116521.32</v>
      </c>
      <c r="FE43" s="208">
        <v>14446.295999999998</v>
      </c>
      <c r="FF43" s="209">
        <v>208500.66400000002</v>
      </c>
      <c r="FG43" s="208">
        <v>31194.768</v>
      </c>
      <c r="FH43" s="208">
        <v>8858.6159999999982</v>
      </c>
      <c r="FI43" s="208">
        <v>4201.9679999999998</v>
      </c>
      <c r="FJ43" s="208">
        <v>1743.3119999999997</v>
      </c>
      <c r="FK43" s="208">
        <v>98185.080000000016</v>
      </c>
      <c r="FL43" s="208">
        <v>15517.103999999999</v>
      </c>
      <c r="FM43" s="207">
        <v>159700.848</v>
      </c>
      <c r="FN43" s="210">
        <v>1167623.8080000002</v>
      </c>
      <c r="FO43" s="518">
        <v>205885.08799999999</v>
      </c>
      <c r="FP43" s="208">
        <v>117160.60800000001</v>
      </c>
      <c r="FQ43" s="208">
        <v>32351</v>
      </c>
      <c r="FR43" s="208">
        <v>1379743.04</v>
      </c>
      <c r="FS43" s="208">
        <v>159202.60800000004</v>
      </c>
      <c r="FT43" s="209">
        <v>3061966.1520000002</v>
      </c>
      <c r="FU43" s="208">
        <v>1024352.368</v>
      </c>
      <c r="FV43" s="208">
        <v>156727.40800000002</v>
      </c>
      <c r="FW43" s="208">
        <v>120009.32</v>
      </c>
      <c r="FX43" s="208">
        <v>26498.400000000001</v>
      </c>
      <c r="FY43" s="208">
        <v>1054006.0960000001</v>
      </c>
      <c r="FZ43" s="208">
        <v>103272.88</v>
      </c>
      <c r="GA43" s="207">
        <v>2484866.4720000001</v>
      </c>
      <c r="GB43" s="206">
        <v>13.986538663422138</v>
      </c>
      <c r="GC43" s="206">
        <v>31.365081977237793</v>
      </c>
      <c r="GD43" s="206">
        <v>-2.3737423060142362</v>
      </c>
      <c r="GE43" s="206">
        <v>22.08661655043322</v>
      </c>
      <c r="GF43" s="206">
        <v>30.904654653913866</v>
      </c>
      <c r="GG43" s="206">
        <v>54.157226950579883</v>
      </c>
      <c r="GH43" s="205">
        <v>23.224575103044003</v>
      </c>
      <c r="GI43" s="215" t="str">
        <f t="shared" si="148"/>
        <v>MAIOR</v>
      </c>
    </row>
    <row r="44" spans="1:197">
      <c r="A44" s="211" t="s">
        <v>85</v>
      </c>
      <c r="B44" s="208">
        <v>185235.08799999999</v>
      </c>
      <c r="C44" s="208">
        <v>49922.832000000031</v>
      </c>
      <c r="D44" s="208">
        <v>6445.6880000000001</v>
      </c>
      <c r="E44" s="208">
        <v>4063.264000000001</v>
      </c>
      <c r="F44" s="208">
        <v>154982.92000000001</v>
      </c>
      <c r="G44" s="208">
        <v>17298.735999999932</v>
      </c>
      <c r="H44" s="209">
        <v>417948.52799999993</v>
      </c>
      <c r="I44" s="208">
        <v>163799.96799999999</v>
      </c>
      <c r="J44" s="208">
        <v>32932.112000000001</v>
      </c>
      <c r="K44" s="208">
        <v>13953.848000000002</v>
      </c>
      <c r="L44" s="208">
        <v>4949.9440000000004</v>
      </c>
      <c r="M44" s="208">
        <v>156191.44</v>
      </c>
      <c r="N44" s="208">
        <v>13902</v>
      </c>
      <c r="O44" s="209">
        <v>385729.31199999998</v>
      </c>
      <c r="P44" s="208">
        <v>235206.20800000001</v>
      </c>
      <c r="Q44" s="208">
        <v>43557.359999999986</v>
      </c>
      <c r="R44" s="208">
        <v>8421.5920000000006</v>
      </c>
      <c r="S44" s="208">
        <v>4019.4080000000004</v>
      </c>
      <c r="T44" s="208">
        <v>200230.16000000003</v>
      </c>
      <c r="U44" s="208">
        <v>14143.775999999998</v>
      </c>
      <c r="V44" s="209">
        <v>505578.50400000002</v>
      </c>
      <c r="W44" s="208">
        <v>210842.74400000001</v>
      </c>
      <c r="X44" s="208">
        <v>34125</v>
      </c>
      <c r="Y44" s="208">
        <v>30779.976000000002</v>
      </c>
      <c r="Z44" s="208">
        <v>6452.7520000000004</v>
      </c>
      <c r="AA44" s="208">
        <v>162048.48000000001</v>
      </c>
      <c r="AB44" s="208">
        <v>13566.871999999999</v>
      </c>
      <c r="AC44" s="209">
        <v>457815.82400000002</v>
      </c>
      <c r="AD44" s="208">
        <v>156422.44</v>
      </c>
      <c r="AE44" s="208">
        <v>37388.60000000002</v>
      </c>
      <c r="AF44" s="208">
        <v>7328.5440000000008</v>
      </c>
      <c r="AG44" s="208">
        <v>6528.0959999999995</v>
      </c>
      <c r="AH44" s="208">
        <v>202638.96000000002</v>
      </c>
      <c r="AI44" s="208">
        <v>12538.016000000001</v>
      </c>
      <c r="AJ44" s="209">
        <v>422844.65600000002</v>
      </c>
      <c r="AK44" s="208">
        <v>113464.82400000001</v>
      </c>
      <c r="AL44" s="208">
        <v>29089.800000000003</v>
      </c>
      <c r="AM44" s="208">
        <v>13795.688000000002</v>
      </c>
      <c r="AN44" s="208">
        <v>3303.0320000000002</v>
      </c>
      <c r="AO44" s="208">
        <v>160638</v>
      </c>
      <c r="AP44" s="208">
        <v>12007.431999999999</v>
      </c>
      <c r="AQ44" s="209">
        <v>332298.77600000001</v>
      </c>
      <c r="AR44" s="208">
        <v>119456.68799999999</v>
      </c>
      <c r="AS44" s="208">
        <v>24587.128000000012</v>
      </c>
      <c r="AT44" s="208">
        <v>6823.8</v>
      </c>
      <c r="AU44" s="208">
        <v>1804.6000000000001</v>
      </c>
      <c r="AV44" s="208">
        <v>199504.56</v>
      </c>
      <c r="AW44" s="208">
        <v>13121.2</v>
      </c>
      <c r="AX44" s="209">
        <v>365297.97599999997</v>
      </c>
      <c r="AY44" s="208">
        <v>52267.320000000007</v>
      </c>
      <c r="AZ44" s="208">
        <v>15206.256000000001</v>
      </c>
      <c r="BA44" s="208">
        <v>6578.8160000000007</v>
      </c>
      <c r="BB44" s="208">
        <v>3891.4320000000002</v>
      </c>
      <c r="BC44" s="208">
        <v>110409.23999999999</v>
      </c>
      <c r="BD44" s="208">
        <v>10820.216000000002</v>
      </c>
      <c r="BE44" s="209">
        <v>199173.28000000003</v>
      </c>
      <c r="BF44" s="208">
        <v>99820.280000000013</v>
      </c>
      <c r="BG44" s="208">
        <v>36184.919999999984</v>
      </c>
      <c r="BH44" s="208">
        <v>4700.808</v>
      </c>
      <c r="BI44" s="208">
        <v>2689.3759999999997</v>
      </c>
      <c r="BJ44" s="208">
        <v>232964.28000000003</v>
      </c>
      <c r="BK44" s="208">
        <v>15393.064</v>
      </c>
      <c r="BL44" s="209">
        <v>391752.728</v>
      </c>
      <c r="BM44" s="208">
        <v>45166.648000000001</v>
      </c>
      <c r="BN44" s="208">
        <v>19263.848000000002</v>
      </c>
      <c r="BO44" s="208">
        <v>8007.344000000001</v>
      </c>
      <c r="BP44" s="208">
        <v>2114</v>
      </c>
      <c r="BQ44" s="208">
        <v>149197.44</v>
      </c>
      <c r="BR44" s="208">
        <v>6865.0559999999996</v>
      </c>
      <c r="BS44" s="209">
        <v>230614.33600000001</v>
      </c>
      <c r="BT44" s="208">
        <v>96935.512000000002</v>
      </c>
      <c r="BU44" s="208">
        <v>33522.44000000001</v>
      </c>
      <c r="BV44" s="208">
        <v>6814.7920000000004</v>
      </c>
      <c r="BW44" s="208">
        <v>5594.8559999999998</v>
      </c>
      <c r="BX44" s="208">
        <v>244953.36000000002</v>
      </c>
      <c r="BY44" s="208">
        <v>25890.384000000002</v>
      </c>
      <c r="BZ44" s="209">
        <v>413711.34400000004</v>
      </c>
      <c r="CA44" s="208">
        <v>70346.64</v>
      </c>
      <c r="CB44" s="208">
        <v>24349</v>
      </c>
      <c r="CC44" s="208">
        <v>8813.6720000000005</v>
      </c>
      <c r="CD44" s="208">
        <v>1812.7919999999999</v>
      </c>
      <c r="CE44" s="208">
        <v>187828.92</v>
      </c>
      <c r="CF44" s="208">
        <v>11446.232</v>
      </c>
      <c r="CG44" s="209">
        <v>304597.25600000005</v>
      </c>
      <c r="CH44" s="208">
        <v>74814.024000000005</v>
      </c>
      <c r="CI44" s="208">
        <v>33641.919999999998</v>
      </c>
      <c r="CJ44" s="208">
        <v>6711.24</v>
      </c>
      <c r="CK44" s="208">
        <v>1899.5600000000006</v>
      </c>
      <c r="CL44" s="208">
        <v>279588.47999999998</v>
      </c>
      <c r="CM44" s="208">
        <v>21075.271999999997</v>
      </c>
      <c r="CN44" s="209">
        <v>417730.49599999998</v>
      </c>
      <c r="CO44" s="208">
        <v>104491.17600000001</v>
      </c>
      <c r="CP44" s="208">
        <v>25897.552000000003</v>
      </c>
      <c r="CQ44" s="208">
        <v>11978.008000000002</v>
      </c>
      <c r="CR44" s="208">
        <v>4266.9680000000008</v>
      </c>
      <c r="CS44" s="208">
        <v>251457.24</v>
      </c>
      <c r="CT44" s="208">
        <v>11317.624</v>
      </c>
      <c r="CU44" s="209">
        <v>409408.56800000003</v>
      </c>
      <c r="CV44" s="208">
        <v>47945.671999999999</v>
      </c>
      <c r="CW44" s="208">
        <v>24311.184000000001</v>
      </c>
      <c r="CX44" s="208">
        <v>29912.936000000002</v>
      </c>
      <c r="CY44" s="208">
        <v>1655.0720000000031</v>
      </c>
      <c r="CZ44" s="208">
        <v>245110.08000000002</v>
      </c>
      <c r="DA44" s="208">
        <v>17789.048000000003</v>
      </c>
      <c r="DB44" s="209">
        <v>366723.99200000003</v>
      </c>
      <c r="DC44" s="208">
        <v>125827.288</v>
      </c>
      <c r="DD44" s="208">
        <v>27109.232000000007</v>
      </c>
      <c r="DE44" s="208">
        <v>18768.952000000001</v>
      </c>
      <c r="DF44" s="208">
        <v>1777.1200000000013</v>
      </c>
      <c r="DG44" s="208">
        <v>207262.20000000004</v>
      </c>
      <c r="DH44" s="208">
        <v>13906.760000000002</v>
      </c>
      <c r="DI44" s="209">
        <v>394651.55200000003</v>
      </c>
      <c r="DJ44" s="208">
        <v>36647.240000000005</v>
      </c>
      <c r="DK44" s="208">
        <v>30415.431999999997</v>
      </c>
      <c r="DL44" s="208">
        <v>8942.4480000000003</v>
      </c>
      <c r="DM44" s="208">
        <v>4387.0319999999992</v>
      </c>
      <c r="DN44" s="208">
        <v>234139.68</v>
      </c>
      <c r="DO44" s="208">
        <v>18441.903999999999</v>
      </c>
      <c r="DP44" s="209">
        <v>332973.73599999998</v>
      </c>
      <c r="DQ44" s="208">
        <v>52867.983999999997</v>
      </c>
      <c r="DR44" s="208">
        <v>28553.768000000007</v>
      </c>
      <c r="DS44" s="208">
        <v>7455.0640000000003</v>
      </c>
      <c r="DT44" s="208">
        <v>943.23999999999944</v>
      </c>
      <c r="DU44" s="208">
        <v>198642.6</v>
      </c>
      <c r="DV44" s="208">
        <v>18807.912</v>
      </c>
      <c r="DW44" s="209">
        <v>307270.56800000003</v>
      </c>
      <c r="DX44" s="208">
        <v>28359.640000000003</v>
      </c>
      <c r="DY44" s="208">
        <v>17189.695999999996</v>
      </c>
      <c r="DZ44" s="208">
        <v>8059.6559999999999</v>
      </c>
      <c r="EA44" s="208">
        <v>3525.6559999999999</v>
      </c>
      <c r="EB44" s="208">
        <v>215646.72</v>
      </c>
      <c r="EC44" s="208">
        <v>13433.848000000002</v>
      </c>
      <c r="ED44" s="209">
        <v>286215.21600000001</v>
      </c>
      <c r="EE44" s="208">
        <v>19614.752</v>
      </c>
      <c r="EF44" s="208">
        <v>53344.655999999995</v>
      </c>
      <c r="EG44" s="208">
        <v>3356.056</v>
      </c>
      <c r="EH44" s="208">
        <v>1828.2560000000005</v>
      </c>
      <c r="EI44" s="208">
        <v>238527.84</v>
      </c>
      <c r="EJ44" s="208">
        <v>19051.335999999999</v>
      </c>
      <c r="EK44" s="209">
        <v>335722.89600000001</v>
      </c>
      <c r="EL44" s="208">
        <v>26841.288</v>
      </c>
      <c r="EM44" s="208">
        <v>13747.392</v>
      </c>
      <c r="EN44" s="208">
        <v>8918.2160000000003</v>
      </c>
      <c r="EO44" s="208">
        <v>3173.1839999999997</v>
      </c>
      <c r="EP44" s="208">
        <v>209613</v>
      </c>
      <c r="EQ44" s="208">
        <v>13431.296</v>
      </c>
      <c r="ER44" s="209">
        <v>275724.37599999999</v>
      </c>
      <c r="ES44" s="208">
        <v>33858.735999999997</v>
      </c>
      <c r="ET44" s="208">
        <v>24889.543999999998</v>
      </c>
      <c r="EU44" s="208">
        <v>5504.5040000000008</v>
      </c>
      <c r="EV44" s="208">
        <v>2146.6480000000001</v>
      </c>
      <c r="EW44" s="208">
        <v>185556.48000000001</v>
      </c>
      <c r="EX44" s="208">
        <v>17154.072</v>
      </c>
      <c r="EY44" s="209">
        <v>269109.984</v>
      </c>
      <c r="EZ44" s="208">
        <v>28909.360000000004</v>
      </c>
      <c r="FA44" s="208">
        <v>22534.560000000001</v>
      </c>
      <c r="FB44" s="208">
        <v>9034.3119999999999</v>
      </c>
      <c r="FC44" s="208">
        <v>2790.0239999999999</v>
      </c>
      <c r="FD44" s="208">
        <v>217370.63999999998</v>
      </c>
      <c r="FE44" s="208">
        <v>13776.968000000001</v>
      </c>
      <c r="FF44" s="209">
        <v>294415.864</v>
      </c>
      <c r="FG44" s="208">
        <v>34910.064000000006</v>
      </c>
      <c r="FH44" s="208">
        <v>32841.159999999989</v>
      </c>
      <c r="FI44" s="208">
        <v>3931.2960000000003</v>
      </c>
      <c r="FJ44" s="208">
        <v>826.95999999999992</v>
      </c>
      <c r="FK44" s="208">
        <v>207340.56000000003</v>
      </c>
      <c r="FL44" s="208">
        <v>17181.68</v>
      </c>
      <c r="FM44" s="207">
        <v>297031.72000000003</v>
      </c>
      <c r="FN44" s="210">
        <v>1136593.44</v>
      </c>
      <c r="FO44" s="518">
        <v>367003.46399999998</v>
      </c>
      <c r="FP44" s="208">
        <v>112114.03200000001</v>
      </c>
      <c r="FQ44" s="208">
        <v>42130.128000000004</v>
      </c>
      <c r="FR44" s="208">
        <v>2636742.8400000003</v>
      </c>
      <c r="FS44" s="208">
        <v>196333.51199999993</v>
      </c>
      <c r="FT44" s="209">
        <v>4490917.4160000002</v>
      </c>
      <c r="FU44" s="208">
        <v>1027458.144</v>
      </c>
      <c r="FV44" s="208">
        <v>347601.92800000001</v>
      </c>
      <c r="FW44" s="208">
        <v>132923.22400000002</v>
      </c>
      <c r="FX44" s="208">
        <v>34313.144</v>
      </c>
      <c r="FY44" s="208">
        <v>2215100.4400000004</v>
      </c>
      <c r="FZ44" s="208">
        <v>166027.19199999998</v>
      </c>
      <c r="GA44" s="207">
        <v>3923424.0720000002</v>
      </c>
      <c r="GB44" s="206">
        <v>10.621872690124889</v>
      </c>
      <c r="GC44" s="206">
        <v>5.5815386616612699</v>
      </c>
      <c r="GD44" s="206">
        <v>-15.655046103907324</v>
      </c>
      <c r="GE44" s="206">
        <v>22.781310858602779</v>
      </c>
      <c r="GF44" s="206">
        <v>19.034911121231147</v>
      </c>
      <c r="GG44" s="206">
        <v>18.253829167935294</v>
      </c>
      <c r="GH44" s="205">
        <v>14.464236686775365</v>
      </c>
      <c r="GI44" s="215" t="str">
        <f t="shared" si="148"/>
        <v>MAIOR</v>
      </c>
    </row>
    <row r="45" spans="1:197">
      <c r="A45" s="211" t="s">
        <v>86</v>
      </c>
      <c r="B45" s="208">
        <v>52658.872000000003</v>
      </c>
      <c r="C45" s="208">
        <v>22296.608000000007</v>
      </c>
      <c r="D45" s="208">
        <v>4478.9520000000002</v>
      </c>
      <c r="E45" s="208">
        <v>2993.8560000000007</v>
      </c>
      <c r="F45" s="208">
        <v>36276.112000000001</v>
      </c>
      <c r="G45" s="208">
        <v>7052.6480000000047</v>
      </c>
      <c r="H45" s="209">
        <v>125757.04800000002</v>
      </c>
      <c r="I45" s="208">
        <v>66259.423999999999</v>
      </c>
      <c r="J45" s="208">
        <v>17902.864000000001</v>
      </c>
      <c r="K45" s="208">
        <v>6171.2400000000007</v>
      </c>
      <c r="L45" s="208">
        <v>496.18400000000003</v>
      </c>
      <c r="M45" s="208">
        <v>28570.776000000002</v>
      </c>
      <c r="N45" s="208">
        <v>5276.0319999999992</v>
      </c>
      <c r="O45" s="209">
        <v>124676.51999999999</v>
      </c>
      <c r="P45" s="208">
        <v>64498.592000000004</v>
      </c>
      <c r="Q45" s="208">
        <v>16136.879999999997</v>
      </c>
      <c r="R45" s="208">
        <v>2747</v>
      </c>
      <c r="S45" s="208">
        <v>1695.0160000000005</v>
      </c>
      <c r="T45" s="208">
        <v>44038.320000000007</v>
      </c>
      <c r="U45" s="208">
        <v>4740.4080000000004</v>
      </c>
      <c r="V45" s="209">
        <v>133856.21600000001</v>
      </c>
      <c r="W45" s="208">
        <v>57314.552000000003</v>
      </c>
      <c r="X45" s="208">
        <v>21475.376000000004</v>
      </c>
      <c r="Y45" s="208">
        <v>6721.688000000001</v>
      </c>
      <c r="Z45" s="208">
        <v>732.75200000000007</v>
      </c>
      <c r="AA45" s="208">
        <v>29933.520000000004</v>
      </c>
      <c r="AB45" s="208">
        <v>6220.6720000000005</v>
      </c>
      <c r="AC45" s="209">
        <v>122398.56000000001</v>
      </c>
      <c r="AD45" s="208">
        <v>60841.824000000001</v>
      </c>
      <c r="AE45" s="208">
        <v>17542.208000000006</v>
      </c>
      <c r="AF45" s="208">
        <v>2887.5280000000002</v>
      </c>
      <c r="AG45" s="208">
        <v>1012.4800000000004</v>
      </c>
      <c r="AH45" s="208">
        <v>49366.8</v>
      </c>
      <c r="AI45" s="208">
        <v>4933.72</v>
      </c>
      <c r="AJ45" s="209">
        <v>136584.56000000003</v>
      </c>
      <c r="AK45" s="208">
        <v>36106</v>
      </c>
      <c r="AL45" s="208">
        <v>34177.512000000002</v>
      </c>
      <c r="AM45" s="208">
        <v>1851.36</v>
      </c>
      <c r="AN45" s="208">
        <v>1214.28</v>
      </c>
      <c r="AO45" s="208">
        <v>27269.279999999999</v>
      </c>
      <c r="AP45" s="208">
        <v>9229.4959999999992</v>
      </c>
      <c r="AQ45" s="209">
        <v>109847.928</v>
      </c>
      <c r="AR45" s="208">
        <v>48462.488000000005</v>
      </c>
      <c r="AS45" s="208">
        <v>12833.248000000005</v>
      </c>
      <c r="AT45" s="208">
        <v>1222.816</v>
      </c>
      <c r="AU45" s="208">
        <v>883.6880000000001</v>
      </c>
      <c r="AV45" s="208">
        <v>40590.480000000003</v>
      </c>
      <c r="AW45" s="208">
        <v>5641.9120000000003</v>
      </c>
      <c r="AX45" s="209">
        <v>109634.63200000001</v>
      </c>
      <c r="AY45" s="208">
        <v>16393.696</v>
      </c>
      <c r="AZ45" s="208">
        <v>11482.784</v>
      </c>
      <c r="BA45" s="208">
        <v>319.98400000000004</v>
      </c>
      <c r="BB45" s="208">
        <v>189.024</v>
      </c>
      <c r="BC45" s="208">
        <v>14653.320000000002</v>
      </c>
      <c r="BD45" s="208">
        <v>4121.576</v>
      </c>
      <c r="BE45" s="209">
        <v>47160.384000000005</v>
      </c>
      <c r="BF45" s="208">
        <v>35667.159999999996</v>
      </c>
      <c r="BG45" s="208">
        <v>9433.0240000000013</v>
      </c>
      <c r="BH45" s="208">
        <v>914.26400000000001</v>
      </c>
      <c r="BI45" s="208">
        <v>295.416</v>
      </c>
      <c r="BJ45" s="208">
        <v>50150.400000000001</v>
      </c>
      <c r="BK45" s="208">
        <v>4573.5280000000002</v>
      </c>
      <c r="BL45" s="209">
        <v>101033.792</v>
      </c>
      <c r="BM45" s="208">
        <v>11440.864000000001</v>
      </c>
      <c r="BN45" s="208">
        <v>7851.44</v>
      </c>
      <c r="BO45" s="208">
        <v>685.6880000000001</v>
      </c>
      <c r="BP45" s="208">
        <v>644.32000000000005</v>
      </c>
      <c r="BQ45" s="208">
        <v>12537.6</v>
      </c>
      <c r="BR45" s="208">
        <v>2310.3680000000004</v>
      </c>
      <c r="BS45" s="209">
        <v>35470.28</v>
      </c>
      <c r="BT45" s="208">
        <v>46679.656000000003</v>
      </c>
      <c r="BU45" s="208">
        <v>15591.416000000005</v>
      </c>
      <c r="BV45" s="208">
        <v>1043.7840000000001</v>
      </c>
      <c r="BW45" s="208">
        <v>1726.616</v>
      </c>
      <c r="BX45" s="208">
        <v>56497.56</v>
      </c>
      <c r="BY45" s="208">
        <v>9506.8160000000025</v>
      </c>
      <c r="BZ45" s="209">
        <v>131045.84800000001</v>
      </c>
      <c r="CA45" s="208">
        <v>23737.912000000004</v>
      </c>
      <c r="CB45" s="208">
        <v>12072.192000000003</v>
      </c>
      <c r="CC45" s="208">
        <v>2110.4</v>
      </c>
      <c r="CD45" s="208">
        <v>163.56</v>
      </c>
      <c r="CE45" s="208">
        <v>27112.559999999998</v>
      </c>
      <c r="CF45" s="208">
        <v>3687.5280000000007</v>
      </c>
      <c r="CG45" s="209">
        <v>68884.152000000002</v>
      </c>
      <c r="CH45" s="208">
        <v>29784.168000000001</v>
      </c>
      <c r="CI45" s="208">
        <v>12327.424000000003</v>
      </c>
      <c r="CJ45" s="208">
        <v>1691.3919999999998</v>
      </c>
      <c r="CK45" s="208">
        <v>1591.3760000000002</v>
      </c>
      <c r="CL45" s="208">
        <v>59867.039999999994</v>
      </c>
      <c r="CM45" s="208">
        <v>11003.872000000001</v>
      </c>
      <c r="CN45" s="209">
        <v>116265.272</v>
      </c>
      <c r="CO45" s="208">
        <v>45941.408000000003</v>
      </c>
      <c r="CP45" s="208">
        <v>12548.400000000007</v>
      </c>
      <c r="CQ45" s="208">
        <v>3039.8960000000002</v>
      </c>
      <c r="CR45" s="208">
        <v>1868.3120000000004</v>
      </c>
      <c r="CS45" s="208">
        <v>40120.320000000007</v>
      </c>
      <c r="CT45" s="208">
        <v>3787.5279999999998</v>
      </c>
      <c r="CU45" s="209">
        <v>107305.86400000002</v>
      </c>
      <c r="CV45" s="208">
        <v>17843.583999999999</v>
      </c>
      <c r="CW45" s="208">
        <v>9822.3439999999991</v>
      </c>
      <c r="CX45" s="208">
        <v>6417.7360000000008</v>
      </c>
      <c r="CY45" s="208">
        <v>1627.0240000000006</v>
      </c>
      <c r="CZ45" s="208">
        <v>62374.559999999998</v>
      </c>
      <c r="DA45" s="208">
        <v>6853.2480000000014</v>
      </c>
      <c r="DB45" s="209">
        <v>104938.496</v>
      </c>
      <c r="DC45" s="208">
        <v>39359.312000000005</v>
      </c>
      <c r="DD45" s="208">
        <v>11230.735999999999</v>
      </c>
      <c r="DE45" s="208">
        <v>4578.9360000000006</v>
      </c>
      <c r="DF45" s="208">
        <v>420.9839999999997</v>
      </c>
      <c r="DG45" s="208">
        <v>39180</v>
      </c>
      <c r="DH45" s="208">
        <v>4394.3920000000007</v>
      </c>
      <c r="DI45" s="209">
        <v>99164.36</v>
      </c>
      <c r="DJ45" s="208">
        <v>13304.560000000001</v>
      </c>
      <c r="DK45" s="208">
        <v>6410.6799999999985</v>
      </c>
      <c r="DL45" s="208">
        <v>2156.2240000000002</v>
      </c>
      <c r="DM45" s="208">
        <v>2115.056</v>
      </c>
      <c r="DN45" s="208">
        <v>54852.000000000007</v>
      </c>
      <c r="DO45" s="208">
        <v>5562.7759999999998</v>
      </c>
      <c r="DP45" s="209">
        <v>84401.296000000002</v>
      </c>
      <c r="DQ45" s="208">
        <v>20340.976000000002</v>
      </c>
      <c r="DR45" s="208">
        <v>11860.592000000004</v>
      </c>
      <c r="DS45" s="208">
        <v>2144.7040000000002</v>
      </c>
      <c r="DT45" s="208">
        <v>579.27199999999982</v>
      </c>
      <c r="DU45" s="208">
        <v>42784.56</v>
      </c>
      <c r="DV45" s="208">
        <v>7201.6239999999998</v>
      </c>
      <c r="DW45" s="209">
        <v>84911.727999999988</v>
      </c>
      <c r="DX45" s="208">
        <v>14169.44</v>
      </c>
      <c r="DY45" s="208">
        <v>7639.4720000000016</v>
      </c>
      <c r="DZ45" s="208">
        <v>2713.8560000000002</v>
      </c>
      <c r="EA45" s="208">
        <v>933.71199999999999</v>
      </c>
      <c r="EB45" s="208">
        <v>57281.16</v>
      </c>
      <c r="EC45" s="208">
        <v>6300.2160000000003</v>
      </c>
      <c r="ED45" s="209">
        <v>89037.856000000014</v>
      </c>
      <c r="EE45" s="208">
        <v>5853.2720000000008</v>
      </c>
      <c r="EF45" s="208">
        <v>21160.487999999998</v>
      </c>
      <c r="EG45" s="208">
        <v>982.84799999999996</v>
      </c>
      <c r="EH45" s="208">
        <v>665.52799999999991</v>
      </c>
      <c r="EI45" s="208">
        <v>46624.200000000004</v>
      </c>
      <c r="EJ45" s="208">
        <v>6232.1200000000008</v>
      </c>
      <c r="EK45" s="209">
        <v>81518.456000000006</v>
      </c>
      <c r="EL45" s="208">
        <v>11910.696000000002</v>
      </c>
      <c r="EM45" s="208">
        <v>6693.0399999999981</v>
      </c>
      <c r="EN45" s="208">
        <v>2474.328</v>
      </c>
      <c r="EO45" s="208">
        <v>830.33600000000013</v>
      </c>
      <c r="EP45" s="208">
        <v>50072.04</v>
      </c>
      <c r="EQ45" s="208">
        <v>5906.7760000000007</v>
      </c>
      <c r="ER45" s="209">
        <v>77887.216</v>
      </c>
      <c r="ES45" s="208">
        <v>12190.168</v>
      </c>
      <c r="ET45" s="208">
        <v>7590.8959999999997</v>
      </c>
      <c r="EU45" s="208">
        <v>1226.6479999999999</v>
      </c>
      <c r="EV45" s="208">
        <v>1185.568</v>
      </c>
      <c r="EW45" s="208">
        <v>40825.56</v>
      </c>
      <c r="EX45" s="208">
        <v>6177.0640000000003</v>
      </c>
      <c r="EY45" s="209">
        <v>69195.903999999995</v>
      </c>
      <c r="EZ45" s="208">
        <v>15280.584000000001</v>
      </c>
      <c r="FA45" s="208">
        <v>10702.023999999999</v>
      </c>
      <c r="FB45" s="208">
        <v>2493.5920000000001</v>
      </c>
      <c r="FC45" s="208">
        <v>938.44</v>
      </c>
      <c r="FD45" s="208">
        <v>45213.72</v>
      </c>
      <c r="FE45" s="208">
        <v>5446.9920000000002</v>
      </c>
      <c r="FF45" s="209">
        <v>80075.351999999999</v>
      </c>
      <c r="FG45" s="208">
        <v>9415.7440000000006</v>
      </c>
      <c r="FH45" s="208">
        <v>8651.8160000000007</v>
      </c>
      <c r="FI45" s="208">
        <v>1679.9360000000001</v>
      </c>
      <c r="FJ45" s="208">
        <v>820.4079999999999</v>
      </c>
      <c r="FK45" s="208">
        <v>35340.36</v>
      </c>
      <c r="FL45" s="208">
        <v>8216.2160000000003</v>
      </c>
      <c r="FM45" s="207">
        <v>64124.480000000003</v>
      </c>
      <c r="FN45" s="210">
        <v>411101.62399999995</v>
      </c>
      <c r="FO45" s="518">
        <v>147428.36800000002</v>
      </c>
      <c r="FP45" s="208">
        <v>31241.472000000005</v>
      </c>
      <c r="FQ45" s="208">
        <v>16643.016000000003</v>
      </c>
      <c r="FR45" s="208">
        <v>606580.19200000004</v>
      </c>
      <c r="FS45" s="208">
        <v>77522.911999999997</v>
      </c>
      <c r="FT45" s="209">
        <v>1290517.584</v>
      </c>
      <c r="FU45" s="208">
        <v>344353.32800000004</v>
      </c>
      <c r="FV45" s="208">
        <v>178005.09600000002</v>
      </c>
      <c r="FW45" s="208">
        <v>31513.328000000009</v>
      </c>
      <c r="FX45" s="208">
        <v>8980.1920000000009</v>
      </c>
      <c r="FY45" s="208">
        <v>384952.05599999998</v>
      </c>
      <c r="FZ45" s="208">
        <v>66854.616000000009</v>
      </c>
      <c r="GA45" s="207">
        <v>1014658.6160000002</v>
      </c>
      <c r="GB45" s="206">
        <v>19.383665140590693</v>
      </c>
      <c r="GC45" s="206">
        <v>-17.177445301903035</v>
      </c>
      <c r="GD45" s="206">
        <v>-0.86266991540850313</v>
      </c>
      <c r="GE45" s="206">
        <v>85.330291379070758</v>
      </c>
      <c r="GF45" s="206">
        <v>57.572919158535427</v>
      </c>
      <c r="GG45" s="206">
        <v>15.957456101460494</v>
      </c>
      <c r="GH45" s="205">
        <v>27.187367618036347</v>
      </c>
      <c r="GI45" s="215" t="str">
        <f t="shared" si="148"/>
        <v>MAIOR</v>
      </c>
    </row>
    <row r="46" spans="1:197">
      <c r="A46" s="211" t="s">
        <v>89</v>
      </c>
      <c r="B46" s="208">
        <v>925423.25600000005</v>
      </c>
      <c r="C46" s="208">
        <v>171739.42400000003</v>
      </c>
      <c r="D46" s="208">
        <v>34321.064000000006</v>
      </c>
      <c r="E46" s="208">
        <v>13551.776000000002</v>
      </c>
      <c r="F46" s="208">
        <v>293033.02400000003</v>
      </c>
      <c r="G46" s="208">
        <v>65937.599999999831</v>
      </c>
      <c r="H46" s="209">
        <v>1504006.1440000001</v>
      </c>
      <c r="I46" s="208">
        <v>829661.576</v>
      </c>
      <c r="J46" s="208">
        <v>185115.45600000001</v>
      </c>
      <c r="K46" s="208">
        <v>84454.495999999999</v>
      </c>
      <c r="L46" s="208">
        <v>27282.232000000004</v>
      </c>
      <c r="M46" s="208">
        <v>325183.33600000001</v>
      </c>
      <c r="N46" s="208">
        <v>60622.336000000003</v>
      </c>
      <c r="O46" s="209">
        <v>1512319.4319999998</v>
      </c>
      <c r="P46" s="208">
        <v>791395.88</v>
      </c>
      <c r="Q46" s="208">
        <v>158364.32</v>
      </c>
      <c r="R46" s="208">
        <v>29515.032000000003</v>
      </c>
      <c r="S46" s="208">
        <v>14082.903999999999</v>
      </c>
      <c r="T46" s="208">
        <v>343620.93600000005</v>
      </c>
      <c r="U46" s="208">
        <v>49961.720000000008</v>
      </c>
      <c r="V46" s="209">
        <v>1386940.7919999999</v>
      </c>
      <c r="W46" s="208">
        <v>654690.59200000006</v>
      </c>
      <c r="X46" s="208">
        <v>143770.992</v>
      </c>
      <c r="Y46" s="208">
        <v>94701.664000000004</v>
      </c>
      <c r="Z46" s="208">
        <v>19393.48</v>
      </c>
      <c r="AA46" s="208">
        <v>283506.48</v>
      </c>
      <c r="AB46" s="208">
        <v>47805.136000000006</v>
      </c>
      <c r="AC46" s="209">
        <v>1243868.344</v>
      </c>
      <c r="AD46" s="208">
        <v>547245.34400000004</v>
      </c>
      <c r="AE46" s="208">
        <v>169086.992</v>
      </c>
      <c r="AF46" s="208">
        <v>20335.576000000001</v>
      </c>
      <c r="AG46" s="208">
        <v>18033.88</v>
      </c>
      <c r="AH46" s="208">
        <v>433731.30400000006</v>
      </c>
      <c r="AI46" s="208">
        <v>48718.536000000007</v>
      </c>
      <c r="AJ46" s="209">
        <v>1237151.6320000002</v>
      </c>
      <c r="AK46" s="208">
        <v>362506.23200000002</v>
      </c>
      <c r="AL46" s="208">
        <v>138896.89600000001</v>
      </c>
      <c r="AM46" s="208">
        <v>46743.056000000004</v>
      </c>
      <c r="AN46" s="208">
        <v>16598.423999999999</v>
      </c>
      <c r="AO46" s="208">
        <v>292204.44</v>
      </c>
      <c r="AP46" s="208">
        <v>45276.992000000006</v>
      </c>
      <c r="AQ46" s="209">
        <v>902226.03999999992</v>
      </c>
      <c r="AR46" s="208">
        <v>472215.22400000005</v>
      </c>
      <c r="AS46" s="208">
        <v>127684.58399999994</v>
      </c>
      <c r="AT46" s="208">
        <v>19883.696</v>
      </c>
      <c r="AU46" s="208">
        <v>18862.920000000002</v>
      </c>
      <c r="AV46" s="208">
        <v>379262.4</v>
      </c>
      <c r="AW46" s="208">
        <v>50597.495999999999</v>
      </c>
      <c r="AX46" s="209">
        <v>1068506.32</v>
      </c>
      <c r="AY46" s="208">
        <v>160160.76800000001</v>
      </c>
      <c r="AZ46" s="208">
        <v>84243.983999999997</v>
      </c>
      <c r="BA46" s="208">
        <v>14156.248000000001</v>
      </c>
      <c r="BB46" s="208">
        <v>9891.9760000000006</v>
      </c>
      <c r="BC46" s="208">
        <v>193784.28000000003</v>
      </c>
      <c r="BD46" s="208">
        <v>30131.295999999998</v>
      </c>
      <c r="BE46" s="209">
        <v>492368.55200000003</v>
      </c>
      <c r="BF46" s="208">
        <v>315891.288</v>
      </c>
      <c r="BG46" s="208">
        <v>99715.992000000027</v>
      </c>
      <c r="BH46" s="208">
        <v>15921.44</v>
      </c>
      <c r="BI46" s="208">
        <v>12658.304000000002</v>
      </c>
      <c r="BJ46" s="208">
        <v>422048.52000000008</v>
      </c>
      <c r="BK46" s="208">
        <v>50896.368000000002</v>
      </c>
      <c r="BL46" s="209">
        <v>917131.91200000013</v>
      </c>
      <c r="BM46" s="208">
        <v>150660.78400000001</v>
      </c>
      <c r="BN46" s="208">
        <v>67184.504000000001</v>
      </c>
      <c r="BO46" s="208">
        <v>16198.752</v>
      </c>
      <c r="BP46" s="208">
        <v>11258.352000000001</v>
      </c>
      <c r="BQ46" s="208">
        <v>251457.24</v>
      </c>
      <c r="BR46" s="208">
        <v>33399.288</v>
      </c>
      <c r="BS46" s="209">
        <v>530158.91999999993</v>
      </c>
      <c r="BT46" s="208">
        <v>316606.38400000002</v>
      </c>
      <c r="BU46" s="208">
        <v>113665.05600000006</v>
      </c>
      <c r="BV46" s="208">
        <v>22655.616000000002</v>
      </c>
      <c r="BW46" s="208">
        <v>13182.656000000001</v>
      </c>
      <c r="BX46" s="208">
        <v>437307.36000000004</v>
      </c>
      <c r="BY46" s="208">
        <v>62368.976000000002</v>
      </c>
      <c r="BZ46" s="209">
        <v>965786.04800000018</v>
      </c>
      <c r="CA46" s="208">
        <v>234616.93599999999</v>
      </c>
      <c r="CB46" s="208">
        <v>87725.216000000015</v>
      </c>
      <c r="CC46" s="208">
        <v>25764.096000000005</v>
      </c>
      <c r="CD46" s="208">
        <v>11858.968000000001</v>
      </c>
      <c r="CE46" s="208">
        <v>317514.72000000003</v>
      </c>
      <c r="CF46" s="208">
        <v>35544.544000000002</v>
      </c>
      <c r="CG46" s="209">
        <v>713024.48</v>
      </c>
      <c r="CH46" s="208">
        <v>226444.68799999999</v>
      </c>
      <c r="CI46" s="208">
        <v>112115.58400000002</v>
      </c>
      <c r="CJ46" s="208">
        <v>24979.592000000004</v>
      </c>
      <c r="CK46" s="208">
        <v>17740.575999999997</v>
      </c>
      <c r="CL46" s="208">
        <v>471257.04000000004</v>
      </c>
      <c r="CM46" s="208">
        <v>68041.127999999997</v>
      </c>
      <c r="CN46" s="209">
        <v>920578.60800000001</v>
      </c>
      <c r="CO46" s="208">
        <v>399205.88800000004</v>
      </c>
      <c r="CP46" s="208">
        <v>97839.735999999946</v>
      </c>
      <c r="CQ46" s="208">
        <v>40958.632000000005</v>
      </c>
      <c r="CR46" s="208">
        <v>10326.151999999996</v>
      </c>
      <c r="CS46" s="208">
        <v>374795.88</v>
      </c>
      <c r="CT46" s="208">
        <v>34341.623999999996</v>
      </c>
      <c r="CU46" s="209">
        <v>957467.91199999989</v>
      </c>
      <c r="CV46" s="208">
        <v>159138.28000000003</v>
      </c>
      <c r="CW46" s="208">
        <v>100283.57599999999</v>
      </c>
      <c r="CX46" s="208">
        <v>101865.584</v>
      </c>
      <c r="CY46" s="208">
        <v>16442.039999999994</v>
      </c>
      <c r="CZ46" s="208">
        <v>480660.24</v>
      </c>
      <c r="DA46" s="208">
        <v>63779.680000000008</v>
      </c>
      <c r="DB46" s="209">
        <v>922169.4</v>
      </c>
      <c r="DC46" s="208">
        <v>403442.89600000001</v>
      </c>
      <c r="DD46" s="208">
        <v>87586.343999999954</v>
      </c>
      <c r="DE46" s="208">
        <v>42586.976000000002</v>
      </c>
      <c r="DF46" s="208">
        <v>11881.240000000003</v>
      </c>
      <c r="DG46" s="208">
        <v>390075.52</v>
      </c>
      <c r="DH46" s="208">
        <v>37508.744000000006</v>
      </c>
      <c r="DI46" s="209">
        <v>973081.72</v>
      </c>
      <c r="DJ46" s="208">
        <v>120875.04</v>
      </c>
      <c r="DK46" s="208">
        <v>89048.928000000014</v>
      </c>
      <c r="DL46" s="208">
        <v>28600.815999999999</v>
      </c>
      <c r="DM46" s="208">
        <v>17271.312000000002</v>
      </c>
      <c r="DN46" s="208">
        <v>437797.32</v>
      </c>
      <c r="DO46" s="208">
        <v>59540.90400000001</v>
      </c>
      <c r="DP46" s="209">
        <v>753134.32</v>
      </c>
      <c r="DQ46" s="208">
        <v>163912.32000000001</v>
      </c>
      <c r="DR46" s="208">
        <v>91409.895999999979</v>
      </c>
      <c r="DS46" s="208">
        <v>12176.816000000001</v>
      </c>
      <c r="DT46" s="208">
        <v>9360.2320000000018</v>
      </c>
      <c r="DU46" s="208">
        <v>370407.72000000003</v>
      </c>
      <c r="DV46" s="208">
        <v>45116.671999999999</v>
      </c>
      <c r="DW46" s="209">
        <v>692383.65600000008</v>
      </c>
      <c r="DX46" s="208">
        <v>81213.728000000003</v>
      </c>
      <c r="DY46" s="208">
        <v>65323.255999999994</v>
      </c>
      <c r="DZ46" s="208">
        <v>23842.848000000002</v>
      </c>
      <c r="EA46" s="208">
        <v>12555.607999999998</v>
      </c>
      <c r="EB46" s="208">
        <v>415778.16000000003</v>
      </c>
      <c r="EC46" s="208">
        <v>42839.592000000004</v>
      </c>
      <c r="ED46" s="209">
        <v>641553.19200000004</v>
      </c>
      <c r="EE46" s="208">
        <v>72964.688000000009</v>
      </c>
      <c r="EF46" s="208">
        <v>166212.41600000003</v>
      </c>
      <c r="EG46" s="208">
        <v>5351.4480000000003</v>
      </c>
      <c r="EH46" s="208">
        <v>14109.143999999998</v>
      </c>
      <c r="EI46" s="208">
        <v>386784.96</v>
      </c>
      <c r="EJ46" s="208">
        <v>48610.376000000004</v>
      </c>
      <c r="EK46" s="209">
        <v>694033.03200000012</v>
      </c>
      <c r="EL46" s="208">
        <v>82960.407999999996</v>
      </c>
      <c r="EM46" s="208">
        <v>71945.144</v>
      </c>
      <c r="EN46" s="208">
        <v>21715.008000000002</v>
      </c>
      <c r="EO46" s="208">
        <v>11258.760000000002</v>
      </c>
      <c r="EP46" s="208">
        <v>404964.48</v>
      </c>
      <c r="EQ46" s="208">
        <v>48389.12000000001</v>
      </c>
      <c r="ER46" s="209">
        <v>641232.92000000004</v>
      </c>
      <c r="ES46" s="208">
        <v>119049.76000000001</v>
      </c>
      <c r="ET46" s="208">
        <v>99450.384000000005</v>
      </c>
      <c r="EU46" s="208">
        <v>9232.4399999999987</v>
      </c>
      <c r="EV46" s="208">
        <v>9004.0960000000014</v>
      </c>
      <c r="EW46" s="208">
        <v>368495.04000000004</v>
      </c>
      <c r="EX46" s="208">
        <v>54979.184000000001</v>
      </c>
      <c r="EY46" s="209">
        <v>660210.9040000001</v>
      </c>
      <c r="EZ46" s="208">
        <v>97917.024000000005</v>
      </c>
      <c r="FA46" s="208">
        <v>90979.32</v>
      </c>
      <c r="FB46" s="208">
        <v>30490.696000000004</v>
      </c>
      <c r="FC46" s="208">
        <v>15187.128000000001</v>
      </c>
      <c r="FD46" s="208">
        <v>428237.32</v>
      </c>
      <c r="FE46" s="208">
        <v>44318.744000000013</v>
      </c>
      <c r="FF46" s="209">
        <v>707130.23200000008</v>
      </c>
      <c r="FG46" s="208">
        <v>113260.73600000002</v>
      </c>
      <c r="FH46" s="208">
        <v>97816.09600000002</v>
      </c>
      <c r="FI46" s="208">
        <v>14337.936</v>
      </c>
      <c r="FJ46" s="208">
        <v>12662.056</v>
      </c>
      <c r="FK46" s="208">
        <v>355676.04000000004</v>
      </c>
      <c r="FL46" s="208">
        <v>55572.216000000008</v>
      </c>
      <c r="FM46" s="207">
        <v>649325.08000000007</v>
      </c>
      <c r="FN46" s="210">
        <v>4137326.5440000007</v>
      </c>
      <c r="FO46" s="518">
        <v>1369952.1760000002</v>
      </c>
      <c r="FP46" s="208">
        <v>374126.96799999999</v>
      </c>
      <c r="FQ46" s="208">
        <v>180827.864</v>
      </c>
      <c r="FR46" s="208">
        <v>4947698.1040000003</v>
      </c>
      <c r="FS46" s="208">
        <v>655389.86400000006</v>
      </c>
      <c r="FT46" s="209">
        <v>11665321.520000001</v>
      </c>
      <c r="FU46" s="208">
        <v>3664133.1760000004</v>
      </c>
      <c r="FV46" s="208">
        <v>1347251.92</v>
      </c>
      <c r="FW46" s="208">
        <v>406662.56</v>
      </c>
      <c r="FX46" s="208">
        <v>163626.35200000001</v>
      </c>
      <c r="FY46" s="208">
        <v>3909885.6560000004</v>
      </c>
      <c r="FZ46" s="208">
        <v>528908.40800000005</v>
      </c>
      <c r="GA46" s="207">
        <v>10020468.072000001</v>
      </c>
      <c r="GB46" s="206">
        <v>12.914196762808942</v>
      </c>
      <c r="GC46" s="206">
        <v>1.6849303135526554</v>
      </c>
      <c r="GD46" s="206">
        <v>-8.0006362031459162</v>
      </c>
      <c r="GE46" s="206">
        <v>10.512678300131</v>
      </c>
      <c r="GF46" s="206">
        <v>26.543294083483033</v>
      </c>
      <c r="GG46" s="206">
        <v>23.913678452999747</v>
      </c>
      <c r="GH46" s="205">
        <v>16.414936270254501</v>
      </c>
      <c r="GI46" s="215" t="str">
        <f t="shared" si="148"/>
        <v>MAIOR</v>
      </c>
    </row>
    <row r="47" spans="1:197">
      <c r="A47" s="211" t="s">
        <v>88</v>
      </c>
      <c r="B47" s="208">
        <v>132461.16800000001</v>
      </c>
      <c r="C47" s="208">
        <v>31786.056000000008</v>
      </c>
      <c r="D47" s="208">
        <v>7662.192</v>
      </c>
      <c r="E47" s="208">
        <v>8969.0640000000003</v>
      </c>
      <c r="F47" s="208">
        <v>105211.68800000001</v>
      </c>
      <c r="G47" s="208">
        <v>16195.463999999974</v>
      </c>
      <c r="H47" s="209">
        <v>302285.63200000004</v>
      </c>
      <c r="I47" s="208">
        <v>141702.24</v>
      </c>
      <c r="J47" s="208">
        <v>24890.128000000001</v>
      </c>
      <c r="K47" s="208">
        <v>21671.696</v>
      </c>
      <c r="L47" s="208">
        <v>4095.2080000000005</v>
      </c>
      <c r="M47" s="208">
        <v>96885.384000000005</v>
      </c>
      <c r="N47" s="208">
        <v>10979.584000000004</v>
      </c>
      <c r="O47" s="209">
        <v>300224.24000000005</v>
      </c>
      <c r="P47" s="208">
        <v>130059.18400000001</v>
      </c>
      <c r="Q47" s="208">
        <v>27110.072</v>
      </c>
      <c r="R47" s="208">
        <v>8285.76</v>
      </c>
      <c r="S47" s="208">
        <v>4174.655999999999</v>
      </c>
      <c r="T47" s="208">
        <v>129693.94400000002</v>
      </c>
      <c r="U47" s="208">
        <v>10304.552000000001</v>
      </c>
      <c r="V47" s="209">
        <v>309628.16800000006</v>
      </c>
      <c r="W47" s="208">
        <v>112600.264</v>
      </c>
      <c r="X47" s="208">
        <v>19847.592000000004</v>
      </c>
      <c r="Y47" s="208">
        <v>17017.544000000002</v>
      </c>
      <c r="Z47" s="208">
        <v>2218.9680000000003</v>
      </c>
      <c r="AA47" s="208">
        <v>118480.32000000001</v>
      </c>
      <c r="AB47" s="208">
        <v>8976.1439999999984</v>
      </c>
      <c r="AC47" s="209">
        <v>279140.83199999994</v>
      </c>
      <c r="AD47" s="208">
        <v>90522.847999999998</v>
      </c>
      <c r="AE47" s="208">
        <v>25215.311999999994</v>
      </c>
      <c r="AF47" s="208">
        <v>3567.9040000000005</v>
      </c>
      <c r="AG47" s="208">
        <v>3032.4879999999998</v>
      </c>
      <c r="AH47" s="208">
        <v>152488.56000000003</v>
      </c>
      <c r="AI47" s="208">
        <v>8271.0480000000007</v>
      </c>
      <c r="AJ47" s="209">
        <v>283098.16000000003</v>
      </c>
      <c r="AK47" s="208">
        <v>71643.19200000001</v>
      </c>
      <c r="AL47" s="208">
        <v>20246.744000000002</v>
      </c>
      <c r="AM47" s="208">
        <v>11386.567999999999</v>
      </c>
      <c r="AN47" s="208">
        <v>3617.1760000000004</v>
      </c>
      <c r="AO47" s="208">
        <v>123181.92</v>
      </c>
      <c r="AP47" s="208">
        <v>9400.9600000000009</v>
      </c>
      <c r="AQ47" s="209">
        <v>239476.56000000003</v>
      </c>
      <c r="AR47" s="208">
        <v>83135.672000000006</v>
      </c>
      <c r="AS47" s="208">
        <v>20979.696000000007</v>
      </c>
      <c r="AT47" s="208">
        <v>2091.4639999999999</v>
      </c>
      <c r="AU47" s="208">
        <v>1025.8799999999999</v>
      </c>
      <c r="AV47" s="208">
        <v>149824.32000000004</v>
      </c>
      <c r="AW47" s="208">
        <v>8456.8000000000011</v>
      </c>
      <c r="AX47" s="209">
        <v>265513.83200000005</v>
      </c>
      <c r="AY47" s="208">
        <v>35176.056000000004</v>
      </c>
      <c r="AZ47" s="208">
        <v>12041.232000000002</v>
      </c>
      <c r="BA47" s="208">
        <v>5594.3919999999998</v>
      </c>
      <c r="BB47" s="208">
        <v>1956.5840000000001</v>
      </c>
      <c r="BC47" s="208">
        <v>93091.680000000008</v>
      </c>
      <c r="BD47" s="208">
        <v>8330.2720000000008</v>
      </c>
      <c r="BE47" s="209">
        <v>156190.21600000001</v>
      </c>
      <c r="BF47" s="208">
        <v>55348.592000000004</v>
      </c>
      <c r="BG47" s="208">
        <v>23283.112000000001</v>
      </c>
      <c r="BH47" s="208">
        <v>2320.44</v>
      </c>
      <c r="BI47" s="208">
        <v>3242.7119999999995</v>
      </c>
      <c r="BJ47" s="208">
        <v>154839.36000000002</v>
      </c>
      <c r="BK47" s="208">
        <v>9632.5040000000026</v>
      </c>
      <c r="BL47" s="209">
        <v>248666.72000000003</v>
      </c>
      <c r="BM47" s="208">
        <v>30022.096000000005</v>
      </c>
      <c r="BN47" s="208">
        <v>12309.456</v>
      </c>
      <c r="BO47" s="208">
        <v>7232.4480000000003</v>
      </c>
      <c r="BP47" s="208">
        <v>1447.7440000000001</v>
      </c>
      <c r="BQ47" s="208">
        <v>104297.16</v>
      </c>
      <c r="BR47" s="208">
        <v>5320.5519999999997</v>
      </c>
      <c r="BS47" s="209">
        <v>160629.45600000001</v>
      </c>
      <c r="BT47" s="208">
        <v>56209.784</v>
      </c>
      <c r="BU47" s="208">
        <v>18688.152000000002</v>
      </c>
      <c r="BV47" s="208">
        <v>3802.3360000000002</v>
      </c>
      <c r="BW47" s="208">
        <v>2691.4320000000002</v>
      </c>
      <c r="BX47" s="208">
        <v>142301.75999999998</v>
      </c>
      <c r="BY47" s="208">
        <v>13763.176000000001</v>
      </c>
      <c r="BZ47" s="209">
        <v>237456.63999999998</v>
      </c>
      <c r="CA47" s="208">
        <v>42391.167999999998</v>
      </c>
      <c r="CB47" s="208">
        <v>15826.816000000001</v>
      </c>
      <c r="CC47" s="208">
        <v>5240.4480000000012</v>
      </c>
      <c r="CD47" s="208">
        <v>1705.88</v>
      </c>
      <c r="CE47" s="208">
        <v>133995.6</v>
      </c>
      <c r="CF47" s="208">
        <v>6491.9439999999995</v>
      </c>
      <c r="CG47" s="209">
        <v>205651.856</v>
      </c>
      <c r="CH47" s="208">
        <v>40563.671999999999</v>
      </c>
      <c r="CI47" s="208">
        <v>23249.352000000006</v>
      </c>
      <c r="CJ47" s="208">
        <v>3138.2000000000003</v>
      </c>
      <c r="CK47" s="208">
        <v>2496.9200000000005</v>
      </c>
      <c r="CL47" s="208">
        <v>162597</v>
      </c>
      <c r="CM47" s="208">
        <v>16894.896000000001</v>
      </c>
      <c r="CN47" s="209">
        <v>248940.04</v>
      </c>
      <c r="CO47" s="208">
        <v>70911.368000000002</v>
      </c>
      <c r="CP47" s="208">
        <v>15290.399999999989</v>
      </c>
      <c r="CQ47" s="208">
        <v>12108.832000000002</v>
      </c>
      <c r="CR47" s="208">
        <v>3067.3919999999985</v>
      </c>
      <c r="CS47" s="208">
        <v>155543.88</v>
      </c>
      <c r="CT47" s="208">
        <v>6688.52</v>
      </c>
      <c r="CU47" s="209">
        <v>263610.39199999999</v>
      </c>
      <c r="CV47" s="208">
        <v>30933.608000000004</v>
      </c>
      <c r="CW47" s="208">
        <v>19184.335999999996</v>
      </c>
      <c r="CX47" s="208">
        <v>23812.768</v>
      </c>
      <c r="CY47" s="208">
        <v>4432.2320000000027</v>
      </c>
      <c r="CZ47" s="208">
        <v>164791.08000000002</v>
      </c>
      <c r="DA47" s="208">
        <v>14209.583999999999</v>
      </c>
      <c r="DB47" s="209">
        <v>257363.60800000004</v>
      </c>
      <c r="DC47" s="208">
        <v>62978.559999999998</v>
      </c>
      <c r="DD47" s="208">
        <v>18751.935999999998</v>
      </c>
      <c r="DE47" s="208">
        <v>10908.256000000001</v>
      </c>
      <c r="DF47" s="208">
        <v>1312.440000000001</v>
      </c>
      <c r="DG47" s="208">
        <v>152723.63999999998</v>
      </c>
      <c r="DH47" s="208">
        <v>8384.9840000000004</v>
      </c>
      <c r="DI47" s="209">
        <v>255059.81599999999</v>
      </c>
      <c r="DJ47" s="208">
        <v>25341.456000000002</v>
      </c>
      <c r="DK47" s="208">
        <v>16512.432000000001</v>
      </c>
      <c r="DL47" s="208">
        <v>7542.848</v>
      </c>
      <c r="DM47" s="208">
        <v>1914.5840000000012</v>
      </c>
      <c r="DN47" s="208">
        <v>150999.72</v>
      </c>
      <c r="DO47" s="208">
        <v>11541.672</v>
      </c>
      <c r="DP47" s="209">
        <v>213852.712</v>
      </c>
      <c r="DQ47" s="208">
        <v>36028.488000000005</v>
      </c>
      <c r="DR47" s="208">
        <v>23869.248000000011</v>
      </c>
      <c r="DS47" s="208">
        <v>6697</v>
      </c>
      <c r="DT47" s="208">
        <v>5847.9600000000009</v>
      </c>
      <c r="DU47" s="208">
        <v>137600.16</v>
      </c>
      <c r="DV47" s="208">
        <v>14644.839999999998</v>
      </c>
      <c r="DW47" s="209">
        <v>224687.69600000003</v>
      </c>
      <c r="DX47" s="208">
        <v>22477.920000000002</v>
      </c>
      <c r="DY47" s="208">
        <v>11910.039999999999</v>
      </c>
      <c r="DZ47" s="208">
        <v>8666.2240000000002</v>
      </c>
      <c r="EA47" s="208">
        <v>1828.9840000000002</v>
      </c>
      <c r="EB47" s="208">
        <v>135014.28</v>
      </c>
      <c r="EC47" s="208">
        <v>10843.248</v>
      </c>
      <c r="ED47" s="209">
        <v>190740.696</v>
      </c>
      <c r="EE47" s="208">
        <v>12267.744000000001</v>
      </c>
      <c r="EF47" s="208">
        <v>30709.320000000003</v>
      </c>
      <c r="EG47" s="208">
        <v>3100.8720000000003</v>
      </c>
      <c r="EH47" s="208">
        <v>3216.5520000000006</v>
      </c>
      <c r="EI47" s="208">
        <v>152802</v>
      </c>
      <c r="EJ47" s="208">
        <v>13006.72</v>
      </c>
      <c r="EK47" s="209">
        <v>215103.20800000001</v>
      </c>
      <c r="EL47" s="208">
        <v>16783.248000000003</v>
      </c>
      <c r="EM47" s="208">
        <v>16441.448</v>
      </c>
      <c r="EN47" s="208">
        <v>6261.96</v>
      </c>
      <c r="EO47" s="208">
        <v>2619.6400000000012</v>
      </c>
      <c r="EP47" s="208">
        <v>142771.91999999998</v>
      </c>
      <c r="EQ47" s="208">
        <v>11838.712000000001</v>
      </c>
      <c r="ER47" s="209">
        <v>196716.92799999999</v>
      </c>
      <c r="ES47" s="208">
        <v>21576.736000000001</v>
      </c>
      <c r="ET47" s="208">
        <v>18556.456000000002</v>
      </c>
      <c r="EU47" s="208">
        <v>3771.3199999999997</v>
      </c>
      <c r="EV47" s="208">
        <v>1536.5040000000001</v>
      </c>
      <c r="EW47" s="208">
        <v>145906.32</v>
      </c>
      <c r="EX47" s="208">
        <v>11097.816000000001</v>
      </c>
      <c r="EY47" s="209">
        <v>202445.152</v>
      </c>
      <c r="EZ47" s="208">
        <v>16909.464000000004</v>
      </c>
      <c r="FA47" s="208">
        <v>10561.568000000001</v>
      </c>
      <c r="FB47" s="208">
        <v>6018.4720000000007</v>
      </c>
      <c r="FC47" s="208">
        <v>1781.9920000000002</v>
      </c>
      <c r="FD47" s="208">
        <v>121301.28</v>
      </c>
      <c r="FE47" s="208">
        <v>10701.792000000001</v>
      </c>
      <c r="FF47" s="209">
        <v>167274.56800000003</v>
      </c>
      <c r="FG47" s="208">
        <v>20971.504000000001</v>
      </c>
      <c r="FH47" s="208">
        <v>15961.464</v>
      </c>
      <c r="FI47" s="208">
        <v>2948.4639999999999</v>
      </c>
      <c r="FJ47" s="208">
        <v>2421.288</v>
      </c>
      <c r="FK47" s="208">
        <v>115972.8</v>
      </c>
      <c r="FL47" s="208">
        <v>9135.0879999999997</v>
      </c>
      <c r="FM47" s="207">
        <v>167410.60800000001</v>
      </c>
      <c r="FN47" s="210">
        <v>700746.61600000015</v>
      </c>
      <c r="FO47" s="518">
        <v>244921.57600000006</v>
      </c>
      <c r="FP47" s="208">
        <v>83170.567999999999</v>
      </c>
      <c r="FQ47" s="208">
        <v>38210.584000000003</v>
      </c>
      <c r="FR47" s="208">
        <v>1711834.912</v>
      </c>
      <c r="FS47" s="208">
        <v>142653.44799999997</v>
      </c>
      <c r="FT47" s="209">
        <v>2921537.7039999999</v>
      </c>
      <c r="FU47" s="208">
        <v>658269.41599999997</v>
      </c>
      <c r="FV47" s="208">
        <v>228300.79200000004</v>
      </c>
      <c r="FW47" s="208">
        <v>107677.84000000003</v>
      </c>
      <c r="FX47" s="208">
        <v>32443.696000000007</v>
      </c>
      <c r="FY47" s="208">
        <v>1530480.8640000001</v>
      </c>
      <c r="FZ47" s="208">
        <v>112457.42400000001</v>
      </c>
      <c r="GA47" s="207">
        <v>2669630.0320000001</v>
      </c>
      <c r="GB47" s="206">
        <v>6.4528594170627684</v>
      </c>
      <c r="GC47" s="206">
        <v>7.2802130270314507</v>
      </c>
      <c r="GD47" s="206">
        <v>-22.759810189357452</v>
      </c>
      <c r="GE47" s="206">
        <v>17.77506483848201</v>
      </c>
      <c r="GF47" s="206">
        <v>11.849481575746125</v>
      </c>
      <c r="GG47" s="206">
        <v>26.851072099961982</v>
      </c>
      <c r="GH47" s="205">
        <v>9.436051774233249</v>
      </c>
      <c r="GI47" s="215" t="str">
        <f t="shared" si="148"/>
        <v>MAIOR</v>
      </c>
    </row>
    <row r="48" spans="1:197">
      <c r="A48" s="211" t="s">
        <v>87</v>
      </c>
      <c r="B48" s="208">
        <v>118625.992</v>
      </c>
      <c r="C48" s="208">
        <v>33646.175999999999</v>
      </c>
      <c r="D48" s="208">
        <v>6187.4400000000005</v>
      </c>
      <c r="E48" s="208">
        <v>3001.8879999999999</v>
      </c>
      <c r="F48" s="208">
        <v>130098.89600000001</v>
      </c>
      <c r="G48" s="208">
        <v>12398.511999999952</v>
      </c>
      <c r="H48" s="209">
        <v>303958.90399999992</v>
      </c>
      <c r="I48" s="208">
        <v>112503.58400000002</v>
      </c>
      <c r="J48" s="208">
        <v>14915.576000000001</v>
      </c>
      <c r="K48" s="208">
        <v>13970.344000000001</v>
      </c>
      <c r="L48" s="208">
        <v>5375.1760000000004</v>
      </c>
      <c r="M48" s="208">
        <v>136832.16800000001</v>
      </c>
      <c r="N48" s="208">
        <v>5504.3360000000002</v>
      </c>
      <c r="O48" s="209">
        <v>289101.18400000001</v>
      </c>
      <c r="P48" s="208">
        <v>136776.53600000002</v>
      </c>
      <c r="Q48" s="208">
        <v>35668.976000000002</v>
      </c>
      <c r="R48" s="208">
        <v>6917.3040000000001</v>
      </c>
      <c r="S48" s="208">
        <v>4346.7760000000007</v>
      </c>
      <c r="T48" s="208">
        <v>193341.63200000001</v>
      </c>
      <c r="U48" s="208">
        <v>10664.088</v>
      </c>
      <c r="V48" s="209">
        <v>387715.31200000003</v>
      </c>
      <c r="W48" s="208">
        <v>159482.152</v>
      </c>
      <c r="X48" s="208">
        <v>16993.920000000002</v>
      </c>
      <c r="Y48" s="208">
        <v>26962.615999999998</v>
      </c>
      <c r="Z48" s="208">
        <v>2830.32</v>
      </c>
      <c r="AA48" s="208">
        <v>171135.68799999999</v>
      </c>
      <c r="AB48" s="208">
        <v>6385.3919999999998</v>
      </c>
      <c r="AC48" s="209">
        <v>383790.08799999999</v>
      </c>
      <c r="AD48" s="208">
        <v>119543.68000000001</v>
      </c>
      <c r="AE48" s="208">
        <v>35214.784000000007</v>
      </c>
      <c r="AF48" s="208">
        <v>5112.4400000000005</v>
      </c>
      <c r="AG48" s="208">
        <v>2436.7439999999992</v>
      </c>
      <c r="AH48" s="208">
        <v>237430.80000000002</v>
      </c>
      <c r="AI48" s="208">
        <v>8498.0400000000009</v>
      </c>
      <c r="AJ48" s="209">
        <v>408236.48800000001</v>
      </c>
      <c r="AK48" s="208">
        <v>96224.847999999998</v>
      </c>
      <c r="AL48" s="208">
        <v>17366.744000000002</v>
      </c>
      <c r="AM48" s="208">
        <v>8617.728000000001</v>
      </c>
      <c r="AN48" s="208">
        <v>1620.5039999999999</v>
      </c>
      <c r="AO48" s="208">
        <v>191982</v>
      </c>
      <c r="AP48" s="208">
        <v>7158.5920000000006</v>
      </c>
      <c r="AQ48" s="209">
        <v>322970.41600000003</v>
      </c>
      <c r="AR48" s="208">
        <v>125087.31200000002</v>
      </c>
      <c r="AS48" s="208">
        <v>32732.559999999998</v>
      </c>
      <c r="AT48" s="208">
        <v>5109.12</v>
      </c>
      <c r="AU48" s="208">
        <v>3189.5840000000007</v>
      </c>
      <c r="AV48" s="208">
        <v>209769.72000000003</v>
      </c>
      <c r="AW48" s="208">
        <v>12714.824000000001</v>
      </c>
      <c r="AX48" s="209">
        <v>388603.12000000011</v>
      </c>
      <c r="AY48" s="208">
        <v>48535.088000000003</v>
      </c>
      <c r="AZ48" s="208">
        <v>8215.344000000001</v>
      </c>
      <c r="BA48" s="208">
        <v>6268.32</v>
      </c>
      <c r="BB48" s="208">
        <v>1093.08</v>
      </c>
      <c r="BC48" s="208">
        <v>147316.80000000002</v>
      </c>
      <c r="BD48" s="208">
        <v>3672.288</v>
      </c>
      <c r="BE48" s="209">
        <v>215100.92</v>
      </c>
      <c r="BF48" s="208">
        <v>87050.495999999999</v>
      </c>
      <c r="BG48" s="208">
        <v>18682.368000000013</v>
      </c>
      <c r="BH48" s="208">
        <v>4393.384</v>
      </c>
      <c r="BI48" s="208">
        <v>3917.6400000000003</v>
      </c>
      <c r="BJ48" s="208">
        <v>236725.56</v>
      </c>
      <c r="BK48" s="208">
        <v>11226.744000000001</v>
      </c>
      <c r="BL48" s="209">
        <v>361996.19200000004</v>
      </c>
      <c r="BM48" s="208">
        <v>35019.336000000003</v>
      </c>
      <c r="BN48" s="208">
        <v>16833.312000000002</v>
      </c>
      <c r="BO48" s="208">
        <v>4585.2240000000002</v>
      </c>
      <c r="BP48" s="208">
        <v>1615.864</v>
      </c>
      <c r="BQ48" s="208">
        <v>197075.40000000002</v>
      </c>
      <c r="BR48" s="208">
        <v>8091.4160000000011</v>
      </c>
      <c r="BS48" s="209">
        <v>263220.55200000003</v>
      </c>
      <c r="BT48" s="208">
        <v>85780.296000000002</v>
      </c>
      <c r="BU48" s="208">
        <v>23467.104000000018</v>
      </c>
      <c r="BV48" s="208">
        <v>4966.6959999999999</v>
      </c>
      <c r="BW48" s="208">
        <v>6585.3840000000018</v>
      </c>
      <c r="BX48" s="208">
        <v>262819.44</v>
      </c>
      <c r="BY48" s="208">
        <v>18040.008000000002</v>
      </c>
      <c r="BZ48" s="209">
        <v>401658.92800000007</v>
      </c>
      <c r="CA48" s="208">
        <v>59305.888000000006</v>
      </c>
      <c r="CB48" s="208">
        <v>33394.536</v>
      </c>
      <c r="CC48" s="208">
        <v>5546.4480000000003</v>
      </c>
      <c r="CD48" s="208">
        <v>3602.7120000000004</v>
      </c>
      <c r="CE48" s="208">
        <v>221288.64</v>
      </c>
      <c r="CF48" s="208">
        <v>13183.984</v>
      </c>
      <c r="CG48" s="209">
        <v>336322.20800000004</v>
      </c>
      <c r="CH48" s="208">
        <v>61744.031999999999</v>
      </c>
      <c r="CI48" s="208">
        <v>27318.368000000006</v>
      </c>
      <c r="CJ48" s="208">
        <v>5714.880000000001</v>
      </c>
      <c r="CK48" s="208">
        <v>4803.0240000000003</v>
      </c>
      <c r="CL48" s="208">
        <v>269166.60000000003</v>
      </c>
      <c r="CM48" s="208">
        <v>17798.367999999999</v>
      </c>
      <c r="CN48" s="209">
        <v>386545.27200000006</v>
      </c>
      <c r="CO48" s="208">
        <v>75994.296000000002</v>
      </c>
      <c r="CP48" s="208">
        <v>32080.760000000009</v>
      </c>
      <c r="CQ48" s="208">
        <v>5109.4160000000011</v>
      </c>
      <c r="CR48" s="208">
        <v>1996.6240000000007</v>
      </c>
      <c r="CS48" s="208">
        <v>222777.47999999998</v>
      </c>
      <c r="CT48" s="208">
        <v>9734.0879999999997</v>
      </c>
      <c r="CU48" s="209">
        <v>347692.66399999999</v>
      </c>
      <c r="CV48" s="208">
        <v>37770.936000000002</v>
      </c>
      <c r="CW48" s="208">
        <v>22149.152000000002</v>
      </c>
      <c r="CX48" s="208">
        <v>20751.184000000001</v>
      </c>
      <c r="CY48" s="208">
        <v>3202.5040000000017</v>
      </c>
      <c r="CZ48" s="208">
        <v>258979.80000000002</v>
      </c>
      <c r="DA48" s="208">
        <v>14075.928000000004</v>
      </c>
      <c r="DB48" s="209">
        <v>356929.50400000002</v>
      </c>
      <c r="DC48" s="208">
        <v>122473.848</v>
      </c>
      <c r="DD48" s="208">
        <v>39660.576000000001</v>
      </c>
      <c r="DE48" s="208">
        <v>17846.264000000003</v>
      </c>
      <c r="DF48" s="208">
        <v>4789.2719999999999</v>
      </c>
      <c r="DG48" s="208">
        <v>236020.32000000004</v>
      </c>
      <c r="DH48" s="208">
        <v>14512.743999999999</v>
      </c>
      <c r="DI48" s="209">
        <v>435303.02400000003</v>
      </c>
      <c r="DJ48" s="208">
        <v>48457.880000000005</v>
      </c>
      <c r="DK48" s="208">
        <v>18539.504000000008</v>
      </c>
      <c r="DL48" s="208">
        <v>12281.032000000001</v>
      </c>
      <c r="DM48" s="208">
        <v>3377.0320000000002</v>
      </c>
      <c r="DN48" s="208">
        <v>254356.56</v>
      </c>
      <c r="DO48" s="208">
        <v>18154.736000000001</v>
      </c>
      <c r="DP48" s="209">
        <v>355166.74400000001</v>
      </c>
      <c r="DQ48" s="208">
        <v>32784.384000000005</v>
      </c>
      <c r="DR48" s="208">
        <v>24372.200000000008</v>
      </c>
      <c r="DS48" s="208">
        <v>3512.3360000000002</v>
      </c>
      <c r="DT48" s="208">
        <v>3597.6880000000006</v>
      </c>
      <c r="DU48" s="208">
        <v>210945.12000000002</v>
      </c>
      <c r="DV48" s="208">
        <v>11351.584000000001</v>
      </c>
      <c r="DW48" s="209">
        <v>286563.31200000003</v>
      </c>
      <c r="DX48" s="208">
        <v>26918.040000000005</v>
      </c>
      <c r="DY48" s="208">
        <v>15999.455999999998</v>
      </c>
      <c r="DZ48" s="208">
        <v>8689.5360000000001</v>
      </c>
      <c r="EA48" s="208">
        <v>1788.4719999999995</v>
      </c>
      <c r="EB48" s="208">
        <v>220034.88</v>
      </c>
      <c r="EC48" s="208">
        <v>11361.84</v>
      </c>
      <c r="ED48" s="209">
        <v>284792.22400000005</v>
      </c>
      <c r="EE48" s="208">
        <v>13640.351999999999</v>
      </c>
      <c r="EF48" s="208">
        <v>26457.016000000003</v>
      </c>
      <c r="EG48" s="208">
        <v>1691.3680000000002</v>
      </c>
      <c r="EH48" s="208">
        <v>3649.1600000000008</v>
      </c>
      <c r="EI48" s="208">
        <v>223404.36000000002</v>
      </c>
      <c r="EJ48" s="208">
        <v>9614.0560000000005</v>
      </c>
      <c r="EK48" s="209">
        <v>278456.31200000003</v>
      </c>
      <c r="EL48" s="208">
        <v>22426.592000000004</v>
      </c>
      <c r="EM48" s="208">
        <v>17528.383999999998</v>
      </c>
      <c r="EN48" s="208">
        <v>6651.192</v>
      </c>
      <c r="EO48" s="208">
        <v>3376.7200000000007</v>
      </c>
      <c r="EP48" s="208">
        <v>207654</v>
      </c>
      <c r="EQ48" s="208">
        <v>14240.896000000001</v>
      </c>
      <c r="ER48" s="209">
        <v>271877.78399999999</v>
      </c>
      <c r="ES48" s="208">
        <v>24398.687999999998</v>
      </c>
      <c r="ET48" s="208">
        <v>14600.480000000003</v>
      </c>
      <c r="EU48" s="208">
        <v>2201.8320000000003</v>
      </c>
      <c r="EV48" s="208">
        <v>1614.5840000000001</v>
      </c>
      <c r="EW48" s="208">
        <v>197623.92</v>
      </c>
      <c r="EX48" s="208">
        <v>11433.784000000001</v>
      </c>
      <c r="EY48" s="209">
        <v>251873.28800000003</v>
      </c>
      <c r="EZ48" s="208">
        <v>32202.167999999994</v>
      </c>
      <c r="FA48" s="208">
        <v>22792.560000000005</v>
      </c>
      <c r="FB48" s="208">
        <v>15411.256000000001</v>
      </c>
      <c r="FC48" s="208">
        <v>3578.5280000000002</v>
      </c>
      <c r="FD48" s="208">
        <v>197075.40000000002</v>
      </c>
      <c r="FE48" s="208">
        <v>17444.752000000004</v>
      </c>
      <c r="FF48" s="209">
        <v>288504.66399999999</v>
      </c>
      <c r="FG48" s="208">
        <v>22283.448000000004</v>
      </c>
      <c r="FH48" s="208">
        <v>22111.112000000005</v>
      </c>
      <c r="FI48" s="208">
        <v>2565.5840000000003</v>
      </c>
      <c r="FJ48" s="208">
        <v>4103.9920000000011</v>
      </c>
      <c r="FK48" s="208">
        <v>181011.6</v>
      </c>
      <c r="FL48" s="208">
        <v>12366.672000000002</v>
      </c>
      <c r="FM48" s="207">
        <v>244442.40800000002</v>
      </c>
      <c r="FN48" s="210">
        <v>902383.96000000008</v>
      </c>
      <c r="FO48" s="518">
        <v>303739.39200000011</v>
      </c>
      <c r="FP48" s="208">
        <v>102185.46400000001</v>
      </c>
      <c r="FQ48" s="208">
        <v>43604.296000000009</v>
      </c>
      <c r="FR48" s="208">
        <v>2677453.2880000002</v>
      </c>
      <c r="FS48" s="208">
        <v>166618.73599999998</v>
      </c>
      <c r="FT48" s="209">
        <v>4195985.1359999999</v>
      </c>
      <c r="FU48" s="208">
        <v>802645.91199999989</v>
      </c>
      <c r="FV48" s="208">
        <v>267001.57600000006</v>
      </c>
      <c r="FW48" s="208">
        <v>98877.48000000001</v>
      </c>
      <c r="FX48" s="208">
        <v>35888.976000000002</v>
      </c>
      <c r="FY48" s="208">
        <v>2337413.4960000003</v>
      </c>
      <c r="FZ48" s="208">
        <v>113008.936</v>
      </c>
      <c r="GA48" s="207">
        <v>3654836.3760000006</v>
      </c>
      <c r="GB48" s="206">
        <v>12.42615784978922</v>
      </c>
      <c r="GC48" s="206">
        <v>13.759400431404202</v>
      </c>
      <c r="GD48" s="206">
        <v>3.3455383369398248</v>
      </c>
      <c r="GE48" s="206">
        <v>21.497743485353297</v>
      </c>
      <c r="GF48" s="206">
        <v>14.547695244418989</v>
      </c>
      <c r="GG48" s="206">
        <v>47.438549461256741</v>
      </c>
      <c r="GH48" s="205">
        <v>14.806374467364108</v>
      </c>
      <c r="GI48" s="215" t="str">
        <f t="shared" si="148"/>
        <v>MAIOR</v>
      </c>
    </row>
    <row r="49" spans="1:191">
      <c r="A49" s="211" t="s">
        <v>90</v>
      </c>
      <c r="B49" s="208">
        <v>84887.464000000007</v>
      </c>
      <c r="C49" s="208">
        <v>38066.559999999998</v>
      </c>
      <c r="D49" s="208">
        <v>4020.8480000000004</v>
      </c>
      <c r="E49" s="208">
        <v>2277.5839999999998</v>
      </c>
      <c r="F49" s="208">
        <v>51373.743999999999</v>
      </c>
      <c r="G49" s="208">
        <v>10786.488000000021</v>
      </c>
      <c r="H49" s="209">
        <v>191412.68800000002</v>
      </c>
      <c r="I49" s="208">
        <v>84695.631999999998</v>
      </c>
      <c r="J49" s="208">
        <v>33064.248</v>
      </c>
      <c r="K49" s="208">
        <v>7336.9039999999995</v>
      </c>
      <c r="L49" s="208">
        <v>931.16000000000008</v>
      </c>
      <c r="M49" s="208">
        <v>42419.328000000009</v>
      </c>
      <c r="N49" s="208">
        <v>13758.328000000001</v>
      </c>
      <c r="O49" s="209">
        <v>182205.6</v>
      </c>
      <c r="P49" s="208">
        <v>104487.592</v>
      </c>
      <c r="Q49" s="208">
        <v>30470.007999999998</v>
      </c>
      <c r="R49" s="208">
        <v>3500.8480000000004</v>
      </c>
      <c r="S49" s="208">
        <v>3931.5999999999995</v>
      </c>
      <c r="T49" s="208">
        <v>67362.327999999994</v>
      </c>
      <c r="U49" s="208">
        <v>9834.9279999999999</v>
      </c>
      <c r="V49" s="209">
        <v>219587.304</v>
      </c>
      <c r="W49" s="208">
        <v>90843.080000000016</v>
      </c>
      <c r="X49" s="208">
        <v>29025.512000000002</v>
      </c>
      <c r="Y49" s="208">
        <v>9211.1200000000008</v>
      </c>
      <c r="Z49" s="208">
        <v>2140.384</v>
      </c>
      <c r="AA49" s="208">
        <v>43176.36</v>
      </c>
      <c r="AB49" s="208">
        <v>8869.112000000001</v>
      </c>
      <c r="AC49" s="209">
        <v>183265.568</v>
      </c>
      <c r="AD49" s="208">
        <v>75275.183999999994</v>
      </c>
      <c r="AE49" s="208">
        <v>25401.047999999999</v>
      </c>
      <c r="AF49" s="208">
        <v>2368.6480000000001</v>
      </c>
      <c r="AG49" s="208">
        <v>1230.8960000000004</v>
      </c>
      <c r="AH49" s="208">
        <v>64631.328000000009</v>
      </c>
      <c r="AI49" s="208">
        <v>7629.6720000000005</v>
      </c>
      <c r="AJ49" s="209">
        <v>176536.77599999998</v>
      </c>
      <c r="AK49" s="208">
        <v>61631.352000000006</v>
      </c>
      <c r="AL49" s="208">
        <v>30848.928000000004</v>
      </c>
      <c r="AM49" s="208">
        <v>7409.2479999999996</v>
      </c>
      <c r="AN49" s="208">
        <v>3005.5040000000004</v>
      </c>
      <c r="AO49" s="208">
        <v>43724.880000000005</v>
      </c>
      <c r="AP49" s="208">
        <v>12402.455999999998</v>
      </c>
      <c r="AQ49" s="209">
        <v>159022.36800000002</v>
      </c>
      <c r="AR49" s="208">
        <v>68362.471999999994</v>
      </c>
      <c r="AS49" s="208">
        <v>22849.600000000002</v>
      </c>
      <c r="AT49" s="208">
        <v>2391.672</v>
      </c>
      <c r="AU49" s="208">
        <v>1418.7119999999995</v>
      </c>
      <c r="AV49" s="208">
        <v>66543.312000000005</v>
      </c>
      <c r="AW49" s="208">
        <v>9417.08</v>
      </c>
      <c r="AX49" s="209">
        <v>170982.848</v>
      </c>
      <c r="AY49" s="208">
        <v>25953.616000000002</v>
      </c>
      <c r="AZ49" s="208">
        <v>18431.128000000001</v>
      </c>
      <c r="BA49" s="208">
        <v>1417.096</v>
      </c>
      <c r="BB49" s="208">
        <v>259.22399999999999</v>
      </c>
      <c r="BC49" s="208">
        <v>29071.559999999998</v>
      </c>
      <c r="BD49" s="208">
        <v>5258.56</v>
      </c>
      <c r="BE49" s="209">
        <v>80391.184000000008</v>
      </c>
      <c r="BF49" s="208">
        <v>50643.968000000001</v>
      </c>
      <c r="BG49" s="208">
        <v>20175.48</v>
      </c>
      <c r="BH49" s="208">
        <v>5388.0240000000003</v>
      </c>
      <c r="BI49" s="208">
        <v>1469.768</v>
      </c>
      <c r="BJ49" s="208">
        <v>80319</v>
      </c>
      <c r="BK49" s="208">
        <v>8204.9760000000006</v>
      </c>
      <c r="BL49" s="209">
        <v>166201.21599999999</v>
      </c>
      <c r="BM49" s="208">
        <v>21439.800000000003</v>
      </c>
      <c r="BN49" s="208">
        <v>11827.856</v>
      </c>
      <c r="BO49" s="208">
        <v>1531.3760000000002</v>
      </c>
      <c r="BP49" s="208">
        <v>497.19200000000001</v>
      </c>
      <c r="BQ49" s="208">
        <v>20687.04</v>
      </c>
      <c r="BR49" s="208">
        <v>4842.3840000000009</v>
      </c>
      <c r="BS49" s="209">
        <v>60825.648000000008</v>
      </c>
      <c r="BT49" s="208">
        <v>55552.872000000003</v>
      </c>
      <c r="BU49" s="208">
        <v>19732.912</v>
      </c>
      <c r="BV49" s="208">
        <v>3640.5360000000001</v>
      </c>
      <c r="BW49" s="208">
        <v>1294.7839999999997</v>
      </c>
      <c r="BX49" s="208">
        <v>84628.800000000003</v>
      </c>
      <c r="BY49" s="208">
        <v>10430.128000000001</v>
      </c>
      <c r="BZ49" s="209">
        <v>175280.03200000001</v>
      </c>
      <c r="CA49" s="208">
        <v>41889.936000000002</v>
      </c>
      <c r="CB49" s="208">
        <v>16226.992000000002</v>
      </c>
      <c r="CC49" s="208">
        <v>4418.88</v>
      </c>
      <c r="CD49" s="208">
        <v>1148.7920000000001</v>
      </c>
      <c r="CE49" s="208">
        <v>44821.920000000006</v>
      </c>
      <c r="CF49" s="208">
        <v>5226.0880000000006</v>
      </c>
      <c r="CG49" s="209">
        <v>113732.60800000001</v>
      </c>
      <c r="CH49" s="208">
        <v>39022.296000000002</v>
      </c>
      <c r="CI49" s="208">
        <v>21255.096000000005</v>
      </c>
      <c r="CJ49" s="208">
        <v>4938.76</v>
      </c>
      <c r="CK49" s="208">
        <v>1774.0079999999996</v>
      </c>
      <c r="CL49" s="208">
        <v>77341.319999999992</v>
      </c>
      <c r="CM49" s="208">
        <v>12664.791999999999</v>
      </c>
      <c r="CN49" s="209">
        <v>156996.27199999997</v>
      </c>
      <c r="CO49" s="208">
        <v>63045.144</v>
      </c>
      <c r="CP49" s="208">
        <v>18482.392000000003</v>
      </c>
      <c r="CQ49" s="208">
        <v>6186.4560000000001</v>
      </c>
      <c r="CR49" s="208">
        <v>1601.4639999999999</v>
      </c>
      <c r="CS49" s="208">
        <v>58064.76</v>
      </c>
      <c r="CT49" s="208">
        <v>7211.3680000000013</v>
      </c>
      <c r="CU49" s="209">
        <v>154591.584</v>
      </c>
      <c r="CV49" s="208">
        <v>29638.488000000001</v>
      </c>
      <c r="CW49" s="208">
        <v>18730.727999999999</v>
      </c>
      <c r="CX49" s="208">
        <v>11527.384</v>
      </c>
      <c r="CY49" s="208">
        <v>970.35200000000043</v>
      </c>
      <c r="CZ49" s="208">
        <v>82669.8</v>
      </c>
      <c r="DA49" s="208">
        <v>13304.520000000002</v>
      </c>
      <c r="DB49" s="209">
        <v>156841.272</v>
      </c>
      <c r="DC49" s="208">
        <v>62900.824000000001</v>
      </c>
      <c r="DD49" s="208">
        <v>27617.576000000001</v>
      </c>
      <c r="DE49" s="208">
        <v>9034.8080000000009</v>
      </c>
      <c r="DF49" s="208">
        <v>2402.7039999999993</v>
      </c>
      <c r="DG49" s="208">
        <v>71229.24000000002</v>
      </c>
      <c r="DH49" s="208">
        <v>10368.808000000001</v>
      </c>
      <c r="DI49" s="209">
        <v>183553.96</v>
      </c>
      <c r="DJ49" s="208">
        <v>23262.016000000003</v>
      </c>
      <c r="DK49" s="208">
        <v>18621.280000000002</v>
      </c>
      <c r="DL49" s="208">
        <v>5473.8160000000007</v>
      </c>
      <c r="DM49" s="208">
        <v>1101.9199999999998</v>
      </c>
      <c r="DN49" s="208">
        <v>87073.632000000012</v>
      </c>
      <c r="DO49" s="208">
        <v>12195.263999999999</v>
      </c>
      <c r="DP49" s="209">
        <v>147727.92800000001</v>
      </c>
      <c r="DQ49" s="208">
        <v>27420.064000000002</v>
      </c>
      <c r="DR49" s="208">
        <v>20854.151999999998</v>
      </c>
      <c r="DS49" s="208">
        <v>2363.7759999999998</v>
      </c>
      <c r="DT49" s="208">
        <v>538.1600000000002</v>
      </c>
      <c r="DU49" s="208">
        <v>59475.240000000005</v>
      </c>
      <c r="DV49" s="208">
        <v>9060.2480000000014</v>
      </c>
      <c r="DW49" s="209">
        <v>119711.64000000001</v>
      </c>
      <c r="DX49" s="208">
        <v>17947.423999999999</v>
      </c>
      <c r="DY49" s="208">
        <v>15322.248</v>
      </c>
      <c r="DZ49" s="208">
        <v>4832.88</v>
      </c>
      <c r="EA49" s="208">
        <v>91.415999999999627</v>
      </c>
      <c r="EB49" s="208">
        <v>86431.08</v>
      </c>
      <c r="EC49" s="208">
        <v>9091.2000000000007</v>
      </c>
      <c r="ED49" s="209">
        <v>133716.24799999999</v>
      </c>
      <c r="EE49" s="208">
        <v>13065.072</v>
      </c>
      <c r="EF49" s="208">
        <v>44025.704000000005</v>
      </c>
      <c r="EG49" s="208">
        <v>1086.4480000000001</v>
      </c>
      <c r="EH49" s="208">
        <v>502.69600000000014</v>
      </c>
      <c r="EI49" s="208">
        <v>74755.44</v>
      </c>
      <c r="EJ49" s="208">
        <v>11953.336000000001</v>
      </c>
      <c r="EK49" s="209">
        <v>145388.69600000003</v>
      </c>
      <c r="EL49" s="208">
        <v>20388.784</v>
      </c>
      <c r="EM49" s="208">
        <v>17272.063999999998</v>
      </c>
      <c r="EN49" s="208">
        <v>3527.5360000000001</v>
      </c>
      <c r="EO49" s="208">
        <v>160.15999999999985</v>
      </c>
      <c r="EP49" s="208">
        <v>87919.920000000013</v>
      </c>
      <c r="EQ49" s="208">
        <v>12811.904000000002</v>
      </c>
      <c r="ER49" s="209">
        <v>142080.36800000002</v>
      </c>
      <c r="ES49" s="208">
        <v>22207.592000000004</v>
      </c>
      <c r="ET49" s="208">
        <v>18437.416000000001</v>
      </c>
      <c r="EU49" s="208">
        <v>1657.8480000000004</v>
      </c>
      <c r="EV49" s="208">
        <v>1491.056</v>
      </c>
      <c r="EW49" s="208">
        <v>63941.760000000002</v>
      </c>
      <c r="EX49" s="208">
        <v>11905.6</v>
      </c>
      <c r="EY49" s="209">
        <v>119641.272</v>
      </c>
      <c r="EZ49" s="208">
        <v>20948.2</v>
      </c>
      <c r="FA49" s="208">
        <v>20623.616000000002</v>
      </c>
      <c r="FB49" s="208">
        <v>4798.3360000000002</v>
      </c>
      <c r="FC49" s="208">
        <v>640.88000000000011</v>
      </c>
      <c r="FD49" s="208">
        <v>77811.48</v>
      </c>
      <c r="FE49" s="208">
        <v>9588.4959999999992</v>
      </c>
      <c r="FF49" s="209">
        <v>134411.008</v>
      </c>
      <c r="FG49" s="208">
        <v>17888.232</v>
      </c>
      <c r="FH49" s="208">
        <v>16974.952000000001</v>
      </c>
      <c r="FI49" s="208">
        <v>463.608</v>
      </c>
      <c r="FJ49" s="208">
        <v>417.36800000000005</v>
      </c>
      <c r="FK49" s="208">
        <v>63393.240000000005</v>
      </c>
      <c r="FL49" s="208">
        <v>9030.9840000000004</v>
      </c>
      <c r="FM49" s="207">
        <v>108168.38400000001</v>
      </c>
      <c r="FN49" s="210">
        <v>590416.75999999989</v>
      </c>
      <c r="FO49" s="518">
        <v>268520.64</v>
      </c>
      <c r="FP49" s="208">
        <v>56409.288</v>
      </c>
      <c r="FQ49" s="208">
        <v>16362.079999999998</v>
      </c>
      <c r="FR49" s="208">
        <v>914105.74399999995</v>
      </c>
      <c r="FS49" s="208">
        <v>125959.44800000002</v>
      </c>
      <c r="FT49" s="209">
        <v>1971773.9599999997</v>
      </c>
      <c r="FU49" s="208">
        <v>532980.34399999992</v>
      </c>
      <c r="FV49" s="208">
        <v>285816.85600000003</v>
      </c>
      <c r="FW49" s="208">
        <v>52117.567999999999</v>
      </c>
      <c r="FX49" s="208">
        <v>14935.704000000002</v>
      </c>
      <c r="FY49" s="208">
        <v>614760.76800000004</v>
      </c>
      <c r="FZ49" s="208">
        <v>109887.27200000001</v>
      </c>
      <c r="GA49" s="207">
        <v>1610498.5120000001</v>
      </c>
      <c r="GB49" s="206">
        <v>10.776460454233927</v>
      </c>
      <c r="GC49" s="206">
        <v>-6.0515031345806989</v>
      </c>
      <c r="GD49" s="206">
        <v>8.2346896923509547</v>
      </c>
      <c r="GE49" s="206">
        <v>9.5501089202088849</v>
      </c>
      <c r="GF49" s="206">
        <v>48.69292114619779</v>
      </c>
      <c r="GG49" s="206">
        <v>14.626057875019399</v>
      </c>
      <c r="GH49" s="205">
        <v>22.432522930514793</v>
      </c>
      <c r="GI49" s="215" t="str">
        <f t="shared" si="148"/>
        <v>MAIOR</v>
      </c>
    </row>
    <row r="50" spans="1:191">
      <c r="A50" s="211" t="s">
        <v>91</v>
      </c>
      <c r="B50" s="208">
        <v>93040.432000000001</v>
      </c>
      <c r="C50" s="208">
        <v>32469.455999999995</v>
      </c>
      <c r="D50" s="208">
        <v>4337.3360000000002</v>
      </c>
      <c r="E50" s="208">
        <v>2921.192</v>
      </c>
      <c r="F50" s="208">
        <v>64663.704000000005</v>
      </c>
      <c r="G50" s="208">
        <v>9417.2720000000008</v>
      </c>
      <c r="H50" s="209">
        <v>206849.39199999999</v>
      </c>
      <c r="I50" s="208">
        <v>93676.256000000008</v>
      </c>
      <c r="J50" s="208">
        <v>34927.256000000001</v>
      </c>
      <c r="K50" s="208">
        <v>6376.9440000000004</v>
      </c>
      <c r="L50" s="208">
        <v>3045.768</v>
      </c>
      <c r="M50" s="208">
        <v>58018.072</v>
      </c>
      <c r="N50" s="208">
        <v>9565.0160000000014</v>
      </c>
      <c r="O50" s="209">
        <v>205609.31200000003</v>
      </c>
      <c r="P50" s="208">
        <v>113858.648</v>
      </c>
      <c r="Q50" s="208">
        <v>26429.680000000011</v>
      </c>
      <c r="R50" s="208">
        <v>2748.9279999999999</v>
      </c>
      <c r="S50" s="208">
        <v>1087.104</v>
      </c>
      <c r="T50" s="208">
        <v>67942.191999999995</v>
      </c>
      <c r="U50" s="208">
        <v>7155.6880000000001</v>
      </c>
      <c r="V50" s="209">
        <v>219222.23999999996</v>
      </c>
      <c r="W50" s="208">
        <v>100608.296</v>
      </c>
      <c r="X50" s="208">
        <v>25313.816000000003</v>
      </c>
      <c r="Y50" s="208">
        <v>10910.136</v>
      </c>
      <c r="Z50" s="208">
        <v>4342.4480000000003</v>
      </c>
      <c r="AA50" s="208">
        <v>58299.840000000004</v>
      </c>
      <c r="AB50" s="208">
        <v>9103.5119999999988</v>
      </c>
      <c r="AC50" s="209">
        <v>208578.04800000001</v>
      </c>
      <c r="AD50" s="208">
        <v>92864.328000000009</v>
      </c>
      <c r="AE50" s="208">
        <v>20959.159999999989</v>
      </c>
      <c r="AF50" s="208">
        <v>2903.92</v>
      </c>
      <c r="AG50" s="208">
        <v>1317.2880000000002</v>
      </c>
      <c r="AH50" s="208">
        <v>86979.6</v>
      </c>
      <c r="AI50" s="208">
        <v>5081.648000000001</v>
      </c>
      <c r="AJ50" s="209">
        <v>210105.94400000002</v>
      </c>
      <c r="AK50" s="208">
        <v>57602.336000000003</v>
      </c>
      <c r="AL50" s="208">
        <v>21610.808000000001</v>
      </c>
      <c r="AM50" s="208">
        <v>6592.1440000000002</v>
      </c>
      <c r="AN50" s="208">
        <v>2208.7440000000001</v>
      </c>
      <c r="AO50" s="208">
        <v>59631.96</v>
      </c>
      <c r="AP50" s="208">
        <v>7063.2400000000007</v>
      </c>
      <c r="AQ50" s="209">
        <v>154709.23199999999</v>
      </c>
      <c r="AR50" s="208">
        <v>70816.288</v>
      </c>
      <c r="AS50" s="208">
        <v>19511.416000000001</v>
      </c>
      <c r="AT50" s="208">
        <v>2005.6560000000002</v>
      </c>
      <c r="AU50" s="208">
        <v>1080.2879999999998</v>
      </c>
      <c r="AV50" s="208">
        <v>80710.8</v>
      </c>
      <c r="AW50" s="208">
        <v>6709.7280000000001</v>
      </c>
      <c r="AX50" s="209">
        <v>180834.17600000001</v>
      </c>
      <c r="AY50" s="208">
        <v>26024.184000000001</v>
      </c>
      <c r="AZ50" s="208">
        <v>16525.216</v>
      </c>
      <c r="BA50" s="208">
        <v>2062.1439999999998</v>
      </c>
      <c r="BB50" s="208">
        <v>618.30400000000009</v>
      </c>
      <c r="BC50" s="208">
        <v>28209.600000000002</v>
      </c>
      <c r="BD50" s="208">
        <v>5017.9760000000006</v>
      </c>
      <c r="BE50" s="209">
        <v>78457.423999999999</v>
      </c>
      <c r="BF50" s="208">
        <v>60510.271999999997</v>
      </c>
      <c r="BG50" s="208">
        <v>26458.928000000004</v>
      </c>
      <c r="BH50" s="208">
        <v>1988.7520000000002</v>
      </c>
      <c r="BI50" s="208">
        <v>1777.0960000000005</v>
      </c>
      <c r="BJ50" s="208">
        <v>79300.320000000007</v>
      </c>
      <c r="BK50" s="208">
        <v>8684.5680000000011</v>
      </c>
      <c r="BL50" s="209">
        <v>178719.93600000002</v>
      </c>
      <c r="BM50" s="208">
        <v>18356.448</v>
      </c>
      <c r="BN50" s="208">
        <v>9397.9840000000004</v>
      </c>
      <c r="BO50" s="208">
        <v>2270.4</v>
      </c>
      <c r="BP50" s="208">
        <v>546.72799999999995</v>
      </c>
      <c r="BQ50" s="208">
        <v>36123.96</v>
      </c>
      <c r="BR50" s="208">
        <v>2705.8160000000003</v>
      </c>
      <c r="BS50" s="209">
        <v>69401.33600000001</v>
      </c>
      <c r="BT50" s="208">
        <v>57477.824000000001</v>
      </c>
      <c r="BU50" s="208">
        <v>25100.720000000001</v>
      </c>
      <c r="BV50" s="208">
        <v>2279.8000000000002</v>
      </c>
      <c r="BW50" s="208">
        <v>6062.4319999999998</v>
      </c>
      <c r="BX50" s="208">
        <v>85098.960000000021</v>
      </c>
      <c r="BY50" s="208">
        <v>11757.264000000001</v>
      </c>
      <c r="BZ50" s="209">
        <v>187777.00000000003</v>
      </c>
      <c r="CA50" s="208">
        <v>34712.400000000001</v>
      </c>
      <c r="CB50" s="208">
        <v>11919.736000000001</v>
      </c>
      <c r="CC50" s="208">
        <v>3535.12</v>
      </c>
      <c r="CD50" s="208">
        <v>82.00800000000001</v>
      </c>
      <c r="CE50" s="208">
        <v>39963.600000000006</v>
      </c>
      <c r="CF50" s="208">
        <v>3374.2639999999997</v>
      </c>
      <c r="CG50" s="209">
        <v>93587.127999999997</v>
      </c>
      <c r="CH50" s="208">
        <v>40508.808000000005</v>
      </c>
      <c r="CI50" s="208">
        <v>25509.399999999994</v>
      </c>
      <c r="CJ50" s="208">
        <v>2943.9120000000003</v>
      </c>
      <c r="CK50" s="208">
        <v>2987.92</v>
      </c>
      <c r="CL50" s="208">
        <v>93702.888000000006</v>
      </c>
      <c r="CM50" s="208">
        <v>13678.687999999998</v>
      </c>
      <c r="CN50" s="209">
        <v>179331.61600000001</v>
      </c>
      <c r="CO50" s="208">
        <v>64099.216000000008</v>
      </c>
      <c r="CP50" s="208">
        <v>18175.511999999988</v>
      </c>
      <c r="CQ50" s="208">
        <v>4223.3919999999998</v>
      </c>
      <c r="CR50" s="208">
        <v>836.2080000000002</v>
      </c>
      <c r="CS50" s="208">
        <v>64960.44</v>
      </c>
      <c r="CT50" s="208">
        <v>4833.1680000000006</v>
      </c>
      <c r="CU50" s="209">
        <v>157127.93599999999</v>
      </c>
      <c r="CV50" s="208">
        <v>30426.28</v>
      </c>
      <c r="CW50" s="208">
        <v>17999.040000000005</v>
      </c>
      <c r="CX50" s="208">
        <v>6823.6240000000007</v>
      </c>
      <c r="CY50" s="208">
        <v>1918.7759999999998</v>
      </c>
      <c r="CZ50" s="208">
        <v>85960.920000000013</v>
      </c>
      <c r="DA50" s="208">
        <v>11088.455999999998</v>
      </c>
      <c r="DB50" s="209">
        <v>154217.09600000002</v>
      </c>
      <c r="DC50" s="208">
        <v>82877.056000000011</v>
      </c>
      <c r="DD50" s="208">
        <v>21334.480000000007</v>
      </c>
      <c r="DE50" s="208">
        <v>6205.5440000000008</v>
      </c>
      <c r="DF50" s="208">
        <v>1061.8319999999992</v>
      </c>
      <c r="DG50" s="208">
        <v>76244.280000000013</v>
      </c>
      <c r="DH50" s="208">
        <v>6454.7920000000004</v>
      </c>
      <c r="DI50" s="209">
        <v>194177.98400000003</v>
      </c>
      <c r="DJ50" s="208">
        <v>30607.264000000003</v>
      </c>
      <c r="DK50" s="208">
        <v>18817.095999999998</v>
      </c>
      <c r="DL50" s="208">
        <v>4914.4639999999999</v>
      </c>
      <c r="DM50" s="208">
        <v>1693.4400000000003</v>
      </c>
      <c r="DN50" s="208">
        <v>104297.16</v>
      </c>
      <c r="DO50" s="208">
        <v>11435.352000000001</v>
      </c>
      <c r="DP50" s="209">
        <v>171764.77600000001</v>
      </c>
      <c r="DQ50" s="208">
        <v>31390.384000000005</v>
      </c>
      <c r="DR50" s="208">
        <v>20925.072</v>
      </c>
      <c r="DS50" s="208">
        <v>1295.2080000000001</v>
      </c>
      <c r="DT50" s="208">
        <v>1191.0719999999999</v>
      </c>
      <c r="DU50" s="208">
        <v>76322.64</v>
      </c>
      <c r="DV50" s="208">
        <v>9255.76</v>
      </c>
      <c r="DW50" s="209">
        <v>140380.136</v>
      </c>
      <c r="DX50" s="208">
        <v>23594.400000000001</v>
      </c>
      <c r="DY50" s="208">
        <v>16696.296000000002</v>
      </c>
      <c r="DZ50" s="208">
        <v>3001.2160000000003</v>
      </c>
      <c r="EA50" s="208">
        <v>1128.3039999999999</v>
      </c>
      <c r="EB50" s="208">
        <v>92073</v>
      </c>
      <c r="EC50" s="208">
        <v>10163.144000000002</v>
      </c>
      <c r="ED50" s="209">
        <v>146656.36000000002</v>
      </c>
      <c r="EE50" s="208">
        <v>9966.264000000001</v>
      </c>
      <c r="EF50" s="208">
        <v>39640.207999999999</v>
      </c>
      <c r="EG50" s="208">
        <v>914.24800000000005</v>
      </c>
      <c r="EH50" s="208">
        <v>3298.7360000000003</v>
      </c>
      <c r="EI50" s="208">
        <v>84785.52</v>
      </c>
      <c r="EJ50" s="208">
        <v>11961.128000000002</v>
      </c>
      <c r="EK50" s="209">
        <v>150566.10399999999</v>
      </c>
      <c r="EL50" s="208">
        <v>18183.552</v>
      </c>
      <c r="EM50" s="208">
        <v>14382.792000000001</v>
      </c>
      <c r="EN50" s="208">
        <v>5044.9840000000004</v>
      </c>
      <c r="EO50" s="208">
        <v>3471.3520000000008</v>
      </c>
      <c r="EP50" s="208">
        <v>90114.000000000015</v>
      </c>
      <c r="EQ50" s="208">
        <v>10429.392</v>
      </c>
      <c r="ER50" s="209">
        <v>141626.07200000001</v>
      </c>
      <c r="ES50" s="208">
        <v>17378.136000000002</v>
      </c>
      <c r="ET50" s="208">
        <v>15281.512000000002</v>
      </c>
      <c r="EU50" s="208">
        <v>1447.5599999999995</v>
      </c>
      <c r="EV50" s="208">
        <v>2816.152</v>
      </c>
      <c r="EW50" s="208">
        <v>73971.840000000011</v>
      </c>
      <c r="EX50" s="208">
        <v>8985.5519999999997</v>
      </c>
      <c r="EY50" s="209">
        <v>119880.75200000001</v>
      </c>
      <c r="EZ50" s="208">
        <v>20132</v>
      </c>
      <c r="FA50" s="208">
        <v>27532.520000000004</v>
      </c>
      <c r="FB50" s="208">
        <v>6715.9279999999999</v>
      </c>
      <c r="FC50" s="208">
        <v>4139.4160000000002</v>
      </c>
      <c r="FD50" s="208">
        <v>85569.12000000001</v>
      </c>
      <c r="FE50" s="208">
        <v>12377.368</v>
      </c>
      <c r="FF50" s="209">
        <v>156466.35199999998</v>
      </c>
      <c r="FG50" s="208">
        <v>21644.792000000001</v>
      </c>
      <c r="FH50" s="208">
        <v>22429.376</v>
      </c>
      <c r="FI50" s="208">
        <v>3847.4560000000001</v>
      </c>
      <c r="FJ50" s="208">
        <v>1333.6480000000004</v>
      </c>
      <c r="FK50" s="208">
        <v>76165.919999999998</v>
      </c>
      <c r="FL50" s="208">
        <v>12253.576000000001</v>
      </c>
      <c r="FM50" s="207">
        <v>137674.76800000001</v>
      </c>
      <c r="FN50" s="210">
        <v>652020.09600000014</v>
      </c>
      <c r="FO50" s="518">
        <v>271866.50400000002</v>
      </c>
      <c r="FP50" s="208">
        <v>45708.520000000004</v>
      </c>
      <c r="FQ50" s="208">
        <v>29584.607999999997</v>
      </c>
      <c r="FR50" s="208">
        <v>1016412.6640000001</v>
      </c>
      <c r="FS50" s="208">
        <v>117978.56800000001</v>
      </c>
      <c r="FT50" s="209">
        <v>2133570.9600000004</v>
      </c>
      <c r="FU50" s="208">
        <v>558335.76800000016</v>
      </c>
      <c r="FV50" s="208">
        <v>257480.97599999997</v>
      </c>
      <c r="FW50" s="208">
        <v>49680.295999999995</v>
      </c>
      <c r="FX50" s="208">
        <v>21381.648000000001</v>
      </c>
      <c r="FY50" s="208">
        <v>732697.67200000002</v>
      </c>
      <c r="FZ50" s="208">
        <v>90573.8</v>
      </c>
      <c r="GA50" s="207">
        <v>1710150.1600000004</v>
      </c>
      <c r="GB50" s="206">
        <v>16.779209459494979</v>
      </c>
      <c r="GC50" s="206">
        <v>5.5870255828143485</v>
      </c>
      <c r="GD50" s="206">
        <v>-7.9946705631544432</v>
      </c>
      <c r="GE50" s="206">
        <v>38.364489023484026</v>
      </c>
      <c r="GF50" s="206">
        <v>38.721972628295731</v>
      </c>
      <c r="GG50" s="206">
        <v>30.256838070170403</v>
      </c>
      <c r="GH50" s="205">
        <v>24.759276109414856</v>
      </c>
      <c r="GI50" s="215" t="str">
        <f t="shared" si="148"/>
        <v>MAIOR</v>
      </c>
    </row>
    <row r="51" spans="1:191">
      <c r="A51" s="211" t="s">
        <v>93</v>
      </c>
      <c r="B51" s="208">
        <v>219339.96000000002</v>
      </c>
      <c r="C51" s="208">
        <v>54782.560000000012</v>
      </c>
      <c r="D51" s="208">
        <v>7316</v>
      </c>
      <c r="E51" s="208">
        <v>3786.0880000000006</v>
      </c>
      <c r="F51" s="208">
        <v>96794.592000000004</v>
      </c>
      <c r="G51" s="208">
        <v>17656.064000000035</v>
      </c>
      <c r="H51" s="209">
        <v>399675.26400000002</v>
      </c>
      <c r="I51" s="208">
        <v>203282.79200000002</v>
      </c>
      <c r="J51" s="208">
        <v>66953.768000000011</v>
      </c>
      <c r="K51" s="208">
        <v>22182.168000000001</v>
      </c>
      <c r="L51" s="208">
        <v>5265.0960000000005</v>
      </c>
      <c r="M51" s="208">
        <v>104110.864</v>
      </c>
      <c r="N51" s="208">
        <v>22886.712000000003</v>
      </c>
      <c r="O51" s="209">
        <v>424681.40000000008</v>
      </c>
      <c r="P51" s="208">
        <v>253764.16800000003</v>
      </c>
      <c r="Q51" s="208">
        <v>72519.975999999995</v>
      </c>
      <c r="R51" s="208">
        <v>13053.976000000001</v>
      </c>
      <c r="S51" s="208">
        <v>10769.24</v>
      </c>
      <c r="T51" s="208">
        <v>114739.4</v>
      </c>
      <c r="U51" s="208">
        <v>5863.6720000000005</v>
      </c>
      <c r="V51" s="209">
        <v>470710.43200000003</v>
      </c>
      <c r="W51" s="208">
        <v>221314.696</v>
      </c>
      <c r="X51" s="208">
        <v>42619.872000000003</v>
      </c>
      <c r="Y51" s="208">
        <v>28568.576000000001</v>
      </c>
      <c r="Z51" s="208">
        <v>5529.16</v>
      </c>
      <c r="AA51" s="208">
        <v>103278.48000000001</v>
      </c>
      <c r="AB51" s="208">
        <v>16196.048000000001</v>
      </c>
      <c r="AC51" s="209">
        <v>417506.83199999999</v>
      </c>
      <c r="AD51" s="208">
        <v>167242.73600000003</v>
      </c>
      <c r="AE51" s="208">
        <v>51328.48799999999</v>
      </c>
      <c r="AF51" s="208">
        <v>5206.9520000000002</v>
      </c>
      <c r="AG51" s="208">
        <v>6442.2000000000007</v>
      </c>
      <c r="AH51" s="208">
        <v>145827.96000000002</v>
      </c>
      <c r="AI51" s="208">
        <v>16750.712</v>
      </c>
      <c r="AJ51" s="209">
        <v>392799.04800000001</v>
      </c>
      <c r="AK51" s="208">
        <v>114693.97600000001</v>
      </c>
      <c r="AL51" s="208">
        <v>32370.056</v>
      </c>
      <c r="AM51" s="208">
        <v>10928.152000000002</v>
      </c>
      <c r="AN51" s="208">
        <v>2478.6240000000003</v>
      </c>
      <c r="AO51" s="208">
        <v>94110.36</v>
      </c>
      <c r="AP51" s="208">
        <v>13074.576000000001</v>
      </c>
      <c r="AQ51" s="209">
        <v>267655.74400000001</v>
      </c>
      <c r="AR51" s="208">
        <v>141066.424</v>
      </c>
      <c r="AS51" s="208">
        <v>41118.120000000017</v>
      </c>
      <c r="AT51" s="208">
        <v>5994.8160000000007</v>
      </c>
      <c r="AU51" s="208">
        <v>3114.5279999999998</v>
      </c>
      <c r="AV51" s="208">
        <v>121222.92000000001</v>
      </c>
      <c r="AW51" s="208">
        <v>18614.992000000002</v>
      </c>
      <c r="AX51" s="209">
        <v>331131.80000000005</v>
      </c>
      <c r="AY51" s="208">
        <v>46351.528000000006</v>
      </c>
      <c r="AZ51" s="208">
        <v>17392.135999999999</v>
      </c>
      <c r="BA51" s="208">
        <v>5470.2560000000003</v>
      </c>
      <c r="BB51" s="208">
        <v>746.50400000000002</v>
      </c>
      <c r="BC51" s="208">
        <v>42471.12</v>
      </c>
      <c r="BD51" s="208">
        <v>6821.4960000000001</v>
      </c>
      <c r="BE51" s="209">
        <v>119253.04</v>
      </c>
      <c r="BF51" s="208">
        <v>98786.672000000006</v>
      </c>
      <c r="BG51" s="208">
        <v>34518.432000000008</v>
      </c>
      <c r="BH51" s="208">
        <v>2760.2960000000003</v>
      </c>
      <c r="BI51" s="208">
        <v>4969.76</v>
      </c>
      <c r="BJ51" s="208">
        <v>126316.32000000002</v>
      </c>
      <c r="BK51" s="208">
        <v>8354.4720000000016</v>
      </c>
      <c r="BL51" s="209">
        <v>275705.95200000005</v>
      </c>
      <c r="BM51" s="208">
        <v>39281.784000000007</v>
      </c>
      <c r="BN51" s="208">
        <v>14371.872000000001</v>
      </c>
      <c r="BO51" s="208">
        <v>4723.6160000000009</v>
      </c>
      <c r="BP51" s="208">
        <v>512.25600000000009</v>
      </c>
      <c r="BQ51" s="208">
        <v>55713.96</v>
      </c>
      <c r="BR51" s="208">
        <v>6117.3360000000002</v>
      </c>
      <c r="BS51" s="209">
        <v>120720.82400000001</v>
      </c>
      <c r="BT51" s="208">
        <v>106674.52800000001</v>
      </c>
      <c r="BU51" s="208">
        <v>42086.184000000001</v>
      </c>
      <c r="BV51" s="208">
        <v>3637.2160000000003</v>
      </c>
      <c r="BW51" s="208">
        <v>7820.6239999999998</v>
      </c>
      <c r="BX51" s="208">
        <v>125454.35999999999</v>
      </c>
      <c r="BY51" s="208">
        <v>24247.096000000005</v>
      </c>
      <c r="BZ51" s="209">
        <v>309920.00800000003</v>
      </c>
      <c r="CA51" s="208">
        <v>52520.056000000011</v>
      </c>
      <c r="CB51" s="208">
        <v>16920</v>
      </c>
      <c r="CC51" s="208">
        <v>5683.5840000000007</v>
      </c>
      <c r="CD51" s="208">
        <v>993.84</v>
      </c>
      <c r="CE51" s="208">
        <v>68721.72</v>
      </c>
      <c r="CF51" s="208">
        <v>6669.2720000000008</v>
      </c>
      <c r="CG51" s="209">
        <v>151508.47200000001</v>
      </c>
      <c r="CH51" s="208">
        <v>75855.072</v>
      </c>
      <c r="CI51" s="208">
        <v>26468.320000000003</v>
      </c>
      <c r="CJ51" s="208">
        <v>6397.7040000000006</v>
      </c>
      <c r="CK51" s="208">
        <v>2225.1440000000002</v>
      </c>
      <c r="CL51" s="208">
        <v>138853.92000000001</v>
      </c>
      <c r="CM51" s="208">
        <v>18551.096000000001</v>
      </c>
      <c r="CN51" s="209">
        <v>268351.25600000005</v>
      </c>
      <c r="CO51" s="208">
        <v>107163.20800000001</v>
      </c>
      <c r="CP51" s="208">
        <v>26410.552000000003</v>
      </c>
      <c r="CQ51" s="208">
        <v>7561.6320000000014</v>
      </c>
      <c r="CR51" s="208">
        <v>1809.12</v>
      </c>
      <c r="CS51" s="208">
        <v>107588.28000000001</v>
      </c>
      <c r="CT51" s="208">
        <v>10192.831999999999</v>
      </c>
      <c r="CU51" s="209">
        <v>260725.62400000001</v>
      </c>
      <c r="CV51" s="208">
        <v>49235.776000000005</v>
      </c>
      <c r="CW51" s="208">
        <v>25441.68</v>
      </c>
      <c r="CX51" s="208">
        <v>16801.68</v>
      </c>
      <c r="CY51" s="208">
        <v>2782.2960000000016</v>
      </c>
      <c r="CZ51" s="208">
        <v>151626.6</v>
      </c>
      <c r="DA51" s="208">
        <v>17921.824000000001</v>
      </c>
      <c r="DB51" s="209">
        <v>263809.85600000003</v>
      </c>
      <c r="DC51" s="208">
        <v>119480.992</v>
      </c>
      <c r="DD51" s="208">
        <v>24570.704000000005</v>
      </c>
      <c r="DE51" s="208">
        <v>14390.648000000001</v>
      </c>
      <c r="DF51" s="208">
        <v>1597.0639999999985</v>
      </c>
      <c r="DG51" s="208">
        <v>112368.23999999999</v>
      </c>
      <c r="DH51" s="208">
        <v>10544.544000000004</v>
      </c>
      <c r="DI51" s="209">
        <v>282952.19199999998</v>
      </c>
      <c r="DJ51" s="208">
        <v>43052.176000000007</v>
      </c>
      <c r="DK51" s="208">
        <v>24915.335999999996</v>
      </c>
      <c r="DL51" s="208">
        <v>9034.1119999999992</v>
      </c>
      <c r="DM51" s="208">
        <v>3467.768</v>
      </c>
      <c r="DN51" s="208">
        <v>148100.4</v>
      </c>
      <c r="DO51" s="208">
        <v>18036.047999999999</v>
      </c>
      <c r="DP51" s="209">
        <v>246605.84</v>
      </c>
      <c r="DQ51" s="208">
        <v>58027.936000000002</v>
      </c>
      <c r="DR51" s="208">
        <v>25122.648000000001</v>
      </c>
      <c r="DS51" s="208">
        <v>5766.2640000000001</v>
      </c>
      <c r="DT51" s="208">
        <v>2842.52</v>
      </c>
      <c r="DU51" s="208">
        <v>107274.84</v>
      </c>
      <c r="DV51" s="208">
        <v>16730.688000000002</v>
      </c>
      <c r="DW51" s="209">
        <v>215764.89599999998</v>
      </c>
      <c r="DX51" s="208">
        <v>30894.840000000004</v>
      </c>
      <c r="DY51" s="208">
        <v>15535.215999999995</v>
      </c>
      <c r="DZ51" s="208">
        <v>8939.9359999999997</v>
      </c>
      <c r="EA51" s="208">
        <v>6951.48</v>
      </c>
      <c r="EB51" s="208">
        <v>146219.76</v>
      </c>
      <c r="EC51" s="208">
        <v>15328.912</v>
      </c>
      <c r="ED51" s="209">
        <v>223870.14400000003</v>
      </c>
      <c r="EE51" s="208">
        <v>25052.712</v>
      </c>
      <c r="EF51" s="208">
        <v>59329.031999999999</v>
      </c>
      <c r="EG51" s="208">
        <v>1234.232</v>
      </c>
      <c r="EH51" s="208">
        <v>5136.344000000001</v>
      </c>
      <c r="EI51" s="208">
        <v>136346.4</v>
      </c>
      <c r="EJ51" s="208">
        <v>18254.448000000004</v>
      </c>
      <c r="EK51" s="209">
        <v>245353.16800000001</v>
      </c>
      <c r="EL51" s="208">
        <v>28114.080000000002</v>
      </c>
      <c r="EM51" s="208">
        <v>20960.144</v>
      </c>
      <c r="EN51" s="208">
        <v>8238.9440000000013</v>
      </c>
      <c r="EO51" s="208">
        <v>3895.6879999999992</v>
      </c>
      <c r="EP51" s="208">
        <v>145749.60000000003</v>
      </c>
      <c r="EQ51" s="208">
        <v>18262.896000000001</v>
      </c>
      <c r="ER51" s="209">
        <v>225221.35200000004</v>
      </c>
      <c r="ES51" s="208">
        <v>37330.328000000001</v>
      </c>
      <c r="ET51" s="208">
        <v>21197.632000000001</v>
      </c>
      <c r="EU51" s="208">
        <v>2971.3039999999996</v>
      </c>
      <c r="EV51" s="208">
        <v>1931.6000000000001</v>
      </c>
      <c r="EW51" s="208">
        <v>127021.56000000001</v>
      </c>
      <c r="EX51" s="208">
        <v>16075.903999999999</v>
      </c>
      <c r="EY51" s="209">
        <v>206528.32800000001</v>
      </c>
      <c r="EZ51" s="208">
        <v>40213.879999999997</v>
      </c>
      <c r="FA51" s="208">
        <v>36918.520000000004</v>
      </c>
      <c r="FB51" s="208">
        <v>10462.848</v>
      </c>
      <c r="FC51" s="208">
        <v>9912.0800000000017</v>
      </c>
      <c r="FD51" s="208">
        <v>149510.88</v>
      </c>
      <c r="FE51" s="208">
        <v>17838.760000000006</v>
      </c>
      <c r="FF51" s="209">
        <v>264856.96799999999</v>
      </c>
      <c r="FG51" s="208">
        <v>41523.808000000005</v>
      </c>
      <c r="FH51" s="208">
        <v>15237.856</v>
      </c>
      <c r="FI51" s="208">
        <v>3954.1360000000004</v>
      </c>
      <c r="FJ51" s="208">
        <v>2184.3840000000005</v>
      </c>
      <c r="FK51" s="208">
        <v>125532.72</v>
      </c>
      <c r="FL51" s="208">
        <v>15879.288</v>
      </c>
      <c r="FM51" s="207">
        <v>204312.19200000001</v>
      </c>
      <c r="FN51" s="210">
        <v>1254240.3120000002</v>
      </c>
      <c r="FO51" s="518">
        <v>446592.97600000002</v>
      </c>
      <c r="FP51" s="208">
        <v>97844.48000000001</v>
      </c>
      <c r="FQ51" s="208">
        <v>66136.896000000008</v>
      </c>
      <c r="FR51" s="208">
        <v>1610416.7120000003</v>
      </c>
      <c r="FS51" s="208">
        <v>197426.54400000008</v>
      </c>
      <c r="FT51" s="209">
        <v>3672657.9200000004</v>
      </c>
      <c r="FU51" s="208">
        <v>1066023.8159999999</v>
      </c>
      <c r="FV51" s="208">
        <v>362496.12800000003</v>
      </c>
      <c r="FW51" s="208">
        <v>113434.568</v>
      </c>
      <c r="FX51" s="208">
        <v>31026.512000000002</v>
      </c>
      <c r="FY51" s="208">
        <v>1184538.544</v>
      </c>
      <c r="FZ51" s="208">
        <v>159443.14400000003</v>
      </c>
      <c r="GA51" s="207">
        <v>2916962.7119999998</v>
      </c>
      <c r="GB51" s="206">
        <v>17.655937247841024</v>
      </c>
      <c r="GC51" s="206">
        <v>23.199378284117842</v>
      </c>
      <c r="GD51" s="206">
        <v>-13.743683495140559</v>
      </c>
      <c r="GE51" s="206">
        <v>113.16252371520204</v>
      </c>
      <c r="GF51" s="206">
        <v>35.953086554860164</v>
      </c>
      <c r="GG51" s="206">
        <v>23.822535762340479</v>
      </c>
      <c r="GH51" s="205">
        <v>25.906920403581779</v>
      </c>
      <c r="GI51" s="215" t="str">
        <f t="shared" si="148"/>
        <v>MAIOR</v>
      </c>
    </row>
    <row r="52" spans="1:191">
      <c r="A52" s="211" t="s">
        <v>94</v>
      </c>
      <c r="B52" s="208">
        <v>66814.888000000006</v>
      </c>
      <c r="C52" s="208">
        <v>31524.192000000006</v>
      </c>
      <c r="D52" s="208">
        <v>6738.4480000000003</v>
      </c>
      <c r="E52" s="208">
        <v>5628.7680000000009</v>
      </c>
      <c r="F52" s="208">
        <v>29537.856000000003</v>
      </c>
      <c r="G52" s="208">
        <v>10105.695999999985</v>
      </c>
      <c r="H52" s="209">
        <v>150349.84800000003</v>
      </c>
      <c r="I52" s="208">
        <v>64615.952000000005</v>
      </c>
      <c r="J52" s="208">
        <v>11724.016000000001</v>
      </c>
      <c r="K52" s="208">
        <v>8445.4480000000003</v>
      </c>
      <c r="L52" s="208">
        <v>3252.7520000000004</v>
      </c>
      <c r="M52" s="208">
        <v>30533.047999999999</v>
      </c>
      <c r="N52" s="208">
        <v>4178.4480000000003</v>
      </c>
      <c r="O52" s="209">
        <v>122749.664</v>
      </c>
      <c r="P52" s="208">
        <v>63699.792000000009</v>
      </c>
      <c r="Q52" s="208">
        <v>21532.183999999994</v>
      </c>
      <c r="R52" s="208">
        <v>3037.16</v>
      </c>
      <c r="S52" s="208">
        <v>4056.424</v>
      </c>
      <c r="T52" s="208">
        <v>35497.08</v>
      </c>
      <c r="U52" s="208">
        <v>5522.8879999999999</v>
      </c>
      <c r="V52" s="209">
        <v>133345.52799999999</v>
      </c>
      <c r="W52" s="208">
        <v>41620.016000000003</v>
      </c>
      <c r="X52" s="208">
        <v>8931.0079999999998</v>
      </c>
      <c r="Y52" s="208">
        <v>8008.92</v>
      </c>
      <c r="Z52" s="208">
        <v>1141.4559999999999</v>
      </c>
      <c r="AA52" s="208">
        <v>24840.120000000003</v>
      </c>
      <c r="AB52" s="208">
        <v>3586.0960000000005</v>
      </c>
      <c r="AC52" s="209">
        <v>88127.616000000009</v>
      </c>
      <c r="AD52" s="208">
        <v>47196.504000000001</v>
      </c>
      <c r="AE52" s="208">
        <v>15647.527999999998</v>
      </c>
      <c r="AF52" s="208">
        <v>1637.9040000000002</v>
      </c>
      <c r="AG52" s="208">
        <v>3201.5120000000006</v>
      </c>
      <c r="AH52" s="208">
        <v>38396.400000000009</v>
      </c>
      <c r="AI52" s="208">
        <v>4155.9840000000004</v>
      </c>
      <c r="AJ52" s="209">
        <v>110235.83200000001</v>
      </c>
      <c r="AK52" s="208">
        <v>28510.400000000001</v>
      </c>
      <c r="AL52" s="208">
        <v>5319.9520000000002</v>
      </c>
      <c r="AM52" s="208">
        <v>3603.056</v>
      </c>
      <c r="AN52" s="208">
        <v>536.85600000000011</v>
      </c>
      <c r="AO52" s="208">
        <v>23508</v>
      </c>
      <c r="AP52" s="208">
        <v>2315.424</v>
      </c>
      <c r="AQ52" s="209">
        <v>63793.687999999995</v>
      </c>
      <c r="AR52" s="208">
        <v>33815.128000000004</v>
      </c>
      <c r="AS52" s="208">
        <v>12884.663999999997</v>
      </c>
      <c r="AT52" s="208">
        <v>2112.1040000000003</v>
      </c>
      <c r="AU52" s="208">
        <v>3297.6959999999999</v>
      </c>
      <c r="AV52" s="208">
        <v>34243.320000000007</v>
      </c>
      <c r="AW52" s="208">
        <v>5252.4639999999999</v>
      </c>
      <c r="AX52" s="209">
        <v>91605.376000000018</v>
      </c>
      <c r="AY52" s="208">
        <v>12301.304</v>
      </c>
      <c r="AZ52" s="208">
        <v>3246.9040000000005</v>
      </c>
      <c r="BA52" s="208">
        <v>914.24800000000005</v>
      </c>
      <c r="BB52" s="208">
        <v>216.76</v>
      </c>
      <c r="BC52" s="208">
        <v>12772.68</v>
      </c>
      <c r="BD52" s="208">
        <v>2167.52</v>
      </c>
      <c r="BE52" s="209">
        <v>31619.416000000001</v>
      </c>
      <c r="BF52" s="208">
        <v>32211.96</v>
      </c>
      <c r="BG52" s="208">
        <v>12195</v>
      </c>
      <c r="BH52" s="208">
        <v>2766.9360000000001</v>
      </c>
      <c r="BI52" s="208">
        <v>4184.6240000000007</v>
      </c>
      <c r="BJ52" s="208">
        <v>46310.76</v>
      </c>
      <c r="BK52" s="208">
        <v>5568.9919999999993</v>
      </c>
      <c r="BL52" s="209">
        <v>103238.272</v>
      </c>
      <c r="BM52" s="208">
        <v>13853.008</v>
      </c>
      <c r="BN52" s="208">
        <v>3917.9440000000004</v>
      </c>
      <c r="BO52" s="208">
        <v>1024.72</v>
      </c>
      <c r="BP52" s="208">
        <v>278.84000000000003</v>
      </c>
      <c r="BQ52" s="208">
        <v>13477.920000000002</v>
      </c>
      <c r="BR52" s="208">
        <v>1431.3200000000002</v>
      </c>
      <c r="BS52" s="209">
        <v>33983.752000000008</v>
      </c>
      <c r="BT52" s="208">
        <v>43639.488000000005</v>
      </c>
      <c r="BU52" s="208">
        <v>12848.168000000003</v>
      </c>
      <c r="BV52" s="208">
        <v>1233.6480000000001</v>
      </c>
      <c r="BW52" s="208">
        <v>2206.8560000000002</v>
      </c>
      <c r="BX52" s="208">
        <v>51795.960000000006</v>
      </c>
      <c r="BY52" s="208">
        <v>8061.2080000000014</v>
      </c>
      <c r="BZ52" s="209">
        <v>119785.32800000002</v>
      </c>
      <c r="CA52" s="208">
        <v>14661.528000000004</v>
      </c>
      <c r="CB52" s="208">
        <v>2119.9919999999997</v>
      </c>
      <c r="CC52" s="208">
        <v>1978.7439999999999</v>
      </c>
      <c r="CD52" s="208">
        <v>867.35200000000009</v>
      </c>
      <c r="CE52" s="208">
        <v>22881.120000000003</v>
      </c>
      <c r="CF52" s="208">
        <v>1027.9440000000002</v>
      </c>
      <c r="CG52" s="209">
        <v>43536.680000000008</v>
      </c>
      <c r="CH52" s="208">
        <v>31216.144</v>
      </c>
      <c r="CI52" s="208">
        <v>11224.720000000001</v>
      </c>
      <c r="CJ52" s="208">
        <v>3318.3040000000001</v>
      </c>
      <c r="CK52" s="208">
        <v>2611.9840000000004</v>
      </c>
      <c r="CL52" s="208">
        <v>51717.600000000006</v>
      </c>
      <c r="CM52" s="208">
        <v>8110.4639999999999</v>
      </c>
      <c r="CN52" s="209">
        <v>108199.21600000001</v>
      </c>
      <c r="CO52" s="208">
        <v>30025.335999999999</v>
      </c>
      <c r="CP52" s="208">
        <v>2514.9840000000027</v>
      </c>
      <c r="CQ52" s="208">
        <v>5601.0879999999997</v>
      </c>
      <c r="CR52" s="208">
        <v>1663.8879999999999</v>
      </c>
      <c r="CS52" s="208">
        <v>33929.879999999997</v>
      </c>
      <c r="CT52" s="208">
        <v>1362.44</v>
      </c>
      <c r="CU52" s="209">
        <v>75097.616000000009</v>
      </c>
      <c r="CV52" s="208">
        <v>17646.223999999998</v>
      </c>
      <c r="CW52" s="208">
        <v>5595.1280000000006</v>
      </c>
      <c r="CX52" s="208">
        <v>7851.880000000001</v>
      </c>
      <c r="CY52" s="208">
        <v>2142.1280000000002</v>
      </c>
      <c r="CZ52" s="208">
        <v>52501.2</v>
      </c>
      <c r="DA52" s="208">
        <v>5182.768</v>
      </c>
      <c r="DB52" s="209">
        <v>90919.327999999994</v>
      </c>
      <c r="DC52" s="208">
        <v>39957.271999999997</v>
      </c>
      <c r="DD52" s="208">
        <v>8196.6640000000025</v>
      </c>
      <c r="DE52" s="208">
        <v>5675.3680000000004</v>
      </c>
      <c r="DF52" s="208">
        <v>241.51999999999973</v>
      </c>
      <c r="DG52" s="208">
        <v>37691.160000000003</v>
      </c>
      <c r="DH52" s="208">
        <v>5693.4080000000004</v>
      </c>
      <c r="DI52" s="209">
        <v>97455.391999999993</v>
      </c>
      <c r="DJ52" s="208">
        <v>10855.344000000001</v>
      </c>
      <c r="DK52" s="208">
        <v>4046.751999999999</v>
      </c>
      <c r="DL52" s="208">
        <v>5023.7440000000006</v>
      </c>
      <c r="DM52" s="208">
        <v>1438.4479999999996</v>
      </c>
      <c r="DN52" s="208">
        <v>50698.920000000006</v>
      </c>
      <c r="DO52" s="208">
        <v>3539.136</v>
      </c>
      <c r="DP52" s="209">
        <v>75602.344000000012</v>
      </c>
      <c r="DQ52" s="208">
        <v>18491.184000000001</v>
      </c>
      <c r="DR52" s="208">
        <v>7317.4720000000007</v>
      </c>
      <c r="DS52" s="208">
        <v>1573.672</v>
      </c>
      <c r="DT52" s="208">
        <v>683.74400000000014</v>
      </c>
      <c r="DU52" s="208">
        <v>33067.920000000006</v>
      </c>
      <c r="DV52" s="208">
        <v>3805.5280000000002</v>
      </c>
      <c r="DW52" s="209">
        <v>64939.520000000004</v>
      </c>
      <c r="DX52" s="208">
        <v>7279.2240000000011</v>
      </c>
      <c r="DY52" s="208">
        <v>3699.9599999999991</v>
      </c>
      <c r="DZ52" s="208">
        <v>4644.4720000000007</v>
      </c>
      <c r="EA52" s="208">
        <v>927.83199999999999</v>
      </c>
      <c r="EB52" s="208">
        <v>41530.800000000003</v>
      </c>
      <c r="EC52" s="208">
        <v>2882.6000000000004</v>
      </c>
      <c r="ED52" s="209">
        <v>60964.887999999999</v>
      </c>
      <c r="EE52" s="208">
        <v>6063.2640000000001</v>
      </c>
      <c r="EF52" s="208">
        <v>11390.368000000002</v>
      </c>
      <c r="EG52" s="208">
        <v>1425.48</v>
      </c>
      <c r="EH52" s="208">
        <v>685.88800000000015</v>
      </c>
      <c r="EI52" s="208">
        <v>44508.480000000003</v>
      </c>
      <c r="EJ52" s="208">
        <v>4369.6399999999994</v>
      </c>
      <c r="EK52" s="209">
        <v>68443.12</v>
      </c>
      <c r="EL52" s="208">
        <v>8151.9440000000004</v>
      </c>
      <c r="EM52" s="208">
        <v>3551.8800000000006</v>
      </c>
      <c r="EN52" s="208">
        <v>3075.1360000000004</v>
      </c>
      <c r="EO52" s="208">
        <v>2174.1280000000002</v>
      </c>
      <c r="EP52" s="208">
        <v>42471.12</v>
      </c>
      <c r="EQ52" s="208">
        <v>3733.6640000000002</v>
      </c>
      <c r="ER52" s="209">
        <v>63157.871999999996</v>
      </c>
      <c r="ES52" s="208">
        <v>10168.584000000001</v>
      </c>
      <c r="ET52" s="208">
        <v>3505.6400000000003</v>
      </c>
      <c r="EU52" s="208">
        <v>1760.7040000000002</v>
      </c>
      <c r="EV52" s="208">
        <v>419.19200000000001</v>
      </c>
      <c r="EW52" s="208">
        <v>37221</v>
      </c>
      <c r="EX52" s="208">
        <v>4494.5120000000006</v>
      </c>
      <c r="EY52" s="209">
        <v>57569.632000000005</v>
      </c>
      <c r="EZ52" s="208">
        <v>6055.1040000000012</v>
      </c>
      <c r="FA52" s="208">
        <v>5053.4639999999999</v>
      </c>
      <c r="FB52" s="208">
        <v>3056.1840000000002</v>
      </c>
      <c r="FC52" s="208">
        <v>557.68799999999999</v>
      </c>
      <c r="FD52" s="208">
        <v>41530.800000000003</v>
      </c>
      <c r="FE52" s="208">
        <v>3019.1119999999996</v>
      </c>
      <c r="FF52" s="209">
        <v>59272.352000000006</v>
      </c>
      <c r="FG52" s="208">
        <v>14427.848000000002</v>
      </c>
      <c r="FH52" s="208">
        <v>13957.855999999998</v>
      </c>
      <c r="FI52" s="208">
        <v>2059.712</v>
      </c>
      <c r="FJ52" s="208">
        <v>2099.7920000000004</v>
      </c>
      <c r="FK52" s="208">
        <v>34556.76</v>
      </c>
      <c r="FL52" s="208">
        <v>8478.6080000000002</v>
      </c>
      <c r="FM52" s="207">
        <v>75580.576000000001</v>
      </c>
      <c r="FN52" s="210">
        <v>368581.74399999995</v>
      </c>
      <c r="FO52" s="518">
        <v>139803.64000000001</v>
      </c>
      <c r="FP52" s="208">
        <v>44495.920000000006</v>
      </c>
      <c r="FQ52" s="208">
        <v>32428.088</v>
      </c>
      <c r="FR52" s="208">
        <v>516231.81599999999</v>
      </c>
      <c r="FS52" s="208">
        <v>65134.975999999973</v>
      </c>
      <c r="FT52" s="209">
        <v>1166676.1840000001</v>
      </c>
      <c r="FU52" s="208">
        <v>294695.696</v>
      </c>
      <c r="FV52" s="208">
        <v>82142.800000000017</v>
      </c>
      <c r="FW52" s="208">
        <v>42071.16</v>
      </c>
      <c r="FX52" s="208">
        <v>12088.040000000005</v>
      </c>
      <c r="FY52" s="208">
        <v>348988.08800000005</v>
      </c>
      <c r="FZ52" s="208">
        <v>42910.888000000006</v>
      </c>
      <c r="GA52" s="207">
        <v>822896.67200000014</v>
      </c>
      <c r="GB52" s="206">
        <v>25.071980691567333</v>
      </c>
      <c r="GC52" s="206">
        <v>70.19585404928975</v>
      </c>
      <c r="GD52" s="206">
        <v>5.7634731250576436</v>
      </c>
      <c r="GE52" s="206">
        <v>168.26588925913535</v>
      </c>
      <c r="GF52" s="206">
        <v>47.922474649048752</v>
      </c>
      <c r="GG52" s="206">
        <v>51.791256335687962</v>
      </c>
      <c r="GH52" s="205">
        <v>41.776753230082306</v>
      </c>
      <c r="GI52" s="215" t="str">
        <f t="shared" si="148"/>
        <v>MAIOR</v>
      </c>
    </row>
    <row r="53" spans="1:191">
      <c r="A53" s="211" t="s">
        <v>92</v>
      </c>
      <c r="B53" s="208">
        <v>632222.77600000007</v>
      </c>
      <c r="C53" s="208">
        <v>128845.57599999999</v>
      </c>
      <c r="D53" s="208">
        <v>41564.567999999999</v>
      </c>
      <c r="E53" s="208">
        <v>18676.248000000003</v>
      </c>
      <c r="F53" s="208">
        <v>374614.24800000002</v>
      </c>
      <c r="G53" s="208">
        <v>51287.575999999877</v>
      </c>
      <c r="H53" s="209">
        <v>1247210.9920000001</v>
      </c>
      <c r="I53" s="208">
        <v>662450.64000000013</v>
      </c>
      <c r="J53" s="208">
        <v>163800.576</v>
      </c>
      <c r="K53" s="208">
        <v>106628.96000000002</v>
      </c>
      <c r="L53" s="208">
        <v>44301.504000000001</v>
      </c>
      <c r="M53" s="208">
        <v>371881.54399999999</v>
      </c>
      <c r="N53" s="208">
        <v>61992.088000000003</v>
      </c>
      <c r="O53" s="209">
        <v>1411055.3120000002</v>
      </c>
      <c r="P53" s="208">
        <v>657734.16800000006</v>
      </c>
      <c r="Q53" s="208">
        <v>113871.31200000002</v>
      </c>
      <c r="R53" s="208">
        <v>34106.096000000005</v>
      </c>
      <c r="S53" s="208">
        <v>21384.792000000001</v>
      </c>
      <c r="T53" s="208">
        <v>462418.64799999999</v>
      </c>
      <c r="U53" s="208">
        <v>39114.527999999998</v>
      </c>
      <c r="V53" s="209">
        <v>1328629.544</v>
      </c>
      <c r="W53" s="208">
        <v>563936.01600000006</v>
      </c>
      <c r="X53" s="208">
        <v>115342.728</v>
      </c>
      <c r="Y53" s="208">
        <v>106411.66399999999</v>
      </c>
      <c r="Z53" s="208">
        <v>30599.135999999999</v>
      </c>
      <c r="AA53" s="208">
        <v>424946.28</v>
      </c>
      <c r="AB53" s="208">
        <v>46965.248</v>
      </c>
      <c r="AC53" s="209">
        <v>1288201.0719999999</v>
      </c>
      <c r="AD53" s="208">
        <v>518817.45600000001</v>
      </c>
      <c r="AE53" s="208">
        <v>101806.46400000002</v>
      </c>
      <c r="AF53" s="208">
        <v>27078.232000000004</v>
      </c>
      <c r="AG53" s="208">
        <v>20520.592000000001</v>
      </c>
      <c r="AH53" s="208">
        <v>557672.44799999997</v>
      </c>
      <c r="AI53" s="208">
        <v>34048.671999999999</v>
      </c>
      <c r="AJ53" s="209">
        <v>1259943.8639999998</v>
      </c>
      <c r="AK53" s="208">
        <v>344323.32000000007</v>
      </c>
      <c r="AL53" s="208">
        <v>108481.66399999999</v>
      </c>
      <c r="AM53" s="208">
        <v>78715.504000000015</v>
      </c>
      <c r="AN53" s="208">
        <v>32049.304</v>
      </c>
      <c r="AO53" s="208">
        <v>453234.24000000005</v>
      </c>
      <c r="AP53" s="208">
        <v>46103.76</v>
      </c>
      <c r="AQ53" s="209">
        <v>1062907.7920000001</v>
      </c>
      <c r="AR53" s="208">
        <v>353297.48800000001</v>
      </c>
      <c r="AS53" s="208">
        <v>75640.600000000049</v>
      </c>
      <c r="AT53" s="208">
        <v>25563.552</v>
      </c>
      <c r="AU53" s="208">
        <v>19694.768000000004</v>
      </c>
      <c r="AV53" s="208">
        <v>533318.16</v>
      </c>
      <c r="AW53" s="208">
        <v>35205.68</v>
      </c>
      <c r="AX53" s="209">
        <v>1042720.2480000001</v>
      </c>
      <c r="AY53" s="208">
        <v>149972.90400000001</v>
      </c>
      <c r="AZ53" s="208">
        <v>61886.456000000006</v>
      </c>
      <c r="BA53" s="208">
        <v>32472.976000000002</v>
      </c>
      <c r="BB53" s="208">
        <v>17739.04</v>
      </c>
      <c r="BC53" s="208">
        <v>291264.12000000005</v>
      </c>
      <c r="BD53" s="208">
        <v>25708.336000000003</v>
      </c>
      <c r="BE53" s="209">
        <v>579043.83200000005</v>
      </c>
      <c r="BF53" s="208">
        <v>287245.64</v>
      </c>
      <c r="BG53" s="208">
        <v>70254.792000000001</v>
      </c>
      <c r="BH53" s="208">
        <v>14615.376000000002</v>
      </c>
      <c r="BI53" s="208">
        <v>21110.552</v>
      </c>
      <c r="BJ53" s="208">
        <v>549303.6</v>
      </c>
      <c r="BK53" s="208">
        <v>40561.815999999999</v>
      </c>
      <c r="BL53" s="209">
        <v>983091.77599999995</v>
      </c>
      <c r="BM53" s="208">
        <v>155391.22400000002</v>
      </c>
      <c r="BN53" s="208">
        <v>58469.368000000009</v>
      </c>
      <c r="BO53" s="208">
        <v>30086.440000000002</v>
      </c>
      <c r="BP53" s="208">
        <v>12153.68</v>
      </c>
      <c r="BQ53" s="208">
        <v>427218.72000000003</v>
      </c>
      <c r="BR53" s="208">
        <v>26532.560000000001</v>
      </c>
      <c r="BS53" s="209">
        <v>709851.99200000009</v>
      </c>
      <c r="BT53" s="208">
        <v>286495.19199999998</v>
      </c>
      <c r="BU53" s="208">
        <v>73008.384000000005</v>
      </c>
      <c r="BV53" s="208">
        <v>26068.472000000002</v>
      </c>
      <c r="BW53" s="208">
        <v>21785.688000000002</v>
      </c>
      <c r="BX53" s="208">
        <v>583311.84</v>
      </c>
      <c r="BY53" s="208">
        <v>53641.743999999992</v>
      </c>
      <c r="BZ53" s="209">
        <v>1044311.32</v>
      </c>
      <c r="CA53" s="208">
        <v>214869.16000000003</v>
      </c>
      <c r="CB53" s="208">
        <v>66993.304000000004</v>
      </c>
      <c r="CC53" s="208">
        <v>48530.880000000005</v>
      </c>
      <c r="CD53" s="208">
        <v>16490.952000000001</v>
      </c>
      <c r="CE53" s="208">
        <v>492335.88</v>
      </c>
      <c r="CF53" s="208">
        <v>27349.384000000002</v>
      </c>
      <c r="CG53" s="209">
        <v>866569.55999999994</v>
      </c>
      <c r="CH53" s="208">
        <v>202017.47200000001</v>
      </c>
      <c r="CI53" s="208">
        <v>61604.48000000001</v>
      </c>
      <c r="CJ53" s="208">
        <v>33971.279999999999</v>
      </c>
      <c r="CK53" s="208">
        <v>16878.784000000003</v>
      </c>
      <c r="CL53" s="208">
        <v>594987.48</v>
      </c>
      <c r="CM53" s="208">
        <v>51161.880000000005</v>
      </c>
      <c r="CN53" s="209">
        <v>960621.37600000005</v>
      </c>
      <c r="CO53" s="208">
        <v>333465.31200000003</v>
      </c>
      <c r="CP53" s="208">
        <v>58988.439999999995</v>
      </c>
      <c r="CQ53" s="208">
        <v>56680.959999999999</v>
      </c>
      <c r="CR53" s="208">
        <v>15796.040000000003</v>
      </c>
      <c r="CS53" s="208">
        <v>559255.32000000007</v>
      </c>
      <c r="CT53" s="208">
        <v>27767.824000000001</v>
      </c>
      <c r="CU53" s="209">
        <v>1051953.8960000002</v>
      </c>
      <c r="CV53" s="208">
        <v>143896.62400000001</v>
      </c>
      <c r="CW53" s="208">
        <v>76400.704000000012</v>
      </c>
      <c r="CX53" s="208">
        <v>121453.89600000001</v>
      </c>
      <c r="CY53" s="208">
        <v>24467.719999999994</v>
      </c>
      <c r="CZ53" s="208">
        <v>589972.43999999994</v>
      </c>
      <c r="DA53" s="208">
        <v>67081.40800000001</v>
      </c>
      <c r="DB53" s="209">
        <v>1023272.792</v>
      </c>
      <c r="DC53" s="208">
        <v>320284.08</v>
      </c>
      <c r="DD53" s="208">
        <v>64240.86400000006</v>
      </c>
      <c r="DE53" s="208">
        <v>60975.088000000003</v>
      </c>
      <c r="DF53" s="208">
        <v>10409.471999999998</v>
      </c>
      <c r="DG53" s="208">
        <v>558785.16</v>
      </c>
      <c r="DH53" s="208">
        <v>34528.207999999999</v>
      </c>
      <c r="DI53" s="209">
        <v>1049222.8720000002</v>
      </c>
      <c r="DJ53" s="208">
        <v>86720.543999999994</v>
      </c>
      <c r="DK53" s="208">
        <v>48419.736000000004</v>
      </c>
      <c r="DL53" s="208">
        <v>47480.208000000006</v>
      </c>
      <c r="DM53" s="208">
        <v>13042.888000000004</v>
      </c>
      <c r="DN53" s="208">
        <v>553691.76000000013</v>
      </c>
      <c r="DO53" s="208">
        <v>45456.840000000004</v>
      </c>
      <c r="DP53" s="209">
        <v>794811.97600000014</v>
      </c>
      <c r="DQ53" s="208">
        <v>116131.152</v>
      </c>
      <c r="DR53" s="208">
        <v>63436</v>
      </c>
      <c r="DS53" s="208">
        <v>22474.135999999999</v>
      </c>
      <c r="DT53" s="208">
        <v>16162.368000000006</v>
      </c>
      <c r="DU53" s="208">
        <v>548911.80000000005</v>
      </c>
      <c r="DV53" s="208">
        <v>44242.504000000001</v>
      </c>
      <c r="DW53" s="209">
        <v>811357.96</v>
      </c>
      <c r="DX53" s="208">
        <v>67387.895999999993</v>
      </c>
      <c r="DY53" s="208">
        <v>44473.967999999993</v>
      </c>
      <c r="DZ53" s="208">
        <v>41864.152000000002</v>
      </c>
      <c r="EA53" s="208">
        <v>14030.368</v>
      </c>
      <c r="EB53" s="208">
        <v>515608.80000000005</v>
      </c>
      <c r="EC53" s="208">
        <v>39609.103999999999</v>
      </c>
      <c r="ED53" s="209">
        <v>722974.28800000006</v>
      </c>
      <c r="EE53" s="208">
        <v>52082.144</v>
      </c>
      <c r="EF53" s="208">
        <v>107887.91200000001</v>
      </c>
      <c r="EG53" s="208">
        <v>9027.848</v>
      </c>
      <c r="EH53" s="208">
        <v>17819.439999999999</v>
      </c>
      <c r="EI53" s="208">
        <v>583703.64</v>
      </c>
      <c r="EJ53" s="208">
        <v>37896.19200000001</v>
      </c>
      <c r="EK53" s="209">
        <v>808417.17600000009</v>
      </c>
      <c r="EL53" s="208">
        <v>67511.128000000012</v>
      </c>
      <c r="EM53" s="208">
        <v>35728.392000000007</v>
      </c>
      <c r="EN53" s="208">
        <v>39063.984000000004</v>
      </c>
      <c r="EO53" s="208">
        <v>12371.535999999996</v>
      </c>
      <c r="EP53" s="208">
        <v>517332.72</v>
      </c>
      <c r="EQ53" s="208">
        <v>43603.424000000006</v>
      </c>
      <c r="ER53" s="209">
        <v>715611.18400000001</v>
      </c>
      <c r="ES53" s="208">
        <v>87188.944000000018</v>
      </c>
      <c r="ET53" s="208">
        <v>55170.335999999988</v>
      </c>
      <c r="EU53" s="208">
        <v>15988.839999999997</v>
      </c>
      <c r="EV53" s="208">
        <v>10213.632000000001</v>
      </c>
      <c r="EW53" s="208">
        <v>505186.92000000004</v>
      </c>
      <c r="EX53" s="208">
        <v>44387.752000000008</v>
      </c>
      <c r="EY53" s="209">
        <v>718136.424</v>
      </c>
      <c r="EZ53" s="208">
        <v>76139.703999999998</v>
      </c>
      <c r="FA53" s="208">
        <v>55267.312000000005</v>
      </c>
      <c r="FB53" s="208">
        <v>39177.943999999996</v>
      </c>
      <c r="FC53" s="208">
        <v>13415.432000000001</v>
      </c>
      <c r="FD53" s="208">
        <v>491552.27999999997</v>
      </c>
      <c r="FE53" s="208">
        <v>36673.392000000007</v>
      </c>
      <c r="FF53" s="209">
        <v>712226.06400000001</v>
      </c>
      <c r="FG53" s="208">
        <v>94481.104000000007</v>
      </c>
      <c r="FH53" s="208">
        <v>52872.58400000001</v>
      </c>
      <c r="FI53" s="208">
        <v>13659.264000000003</v>
      </c>
      <c r="FJ53" s="208">
        <v>9324.5919999999987</v>
      </c>
      <c r="FK53" s="208">
        <v>482854.32000000007</v>
      </c>
      <c r="FL53" s="208">
        <v>38493.807999999997</v>
      </c>
      <c r="FM53" s="207">
        <v>691685.67200000002</v>
      </c>
      <c r="FN53" s="210">
        <v>3379486.0880000005</v>
      </c>
      <c r="FO53" s="518">
        <v>885321.72000000009</v>
      </c>
      <c r="FP53" s="208">
        <v>492007.76</v>
      </c>
      <c r="FQ53" s="208">
        <v>217379.36800000002</v>
      </c>
      <c r="FR53" s="208">
        <v>6323784.4239999996</v>
      </c>
      <c r="FS53" s="208">
        <v>537446.0639999999</v>
      </c>
      <c r="FT53" s="209">
        <v>11835425.423999999</v>
      </c>
      <c r="FU53" s="208">
        <v>3094576</v>
      </c>
      <c r="FV53" s="208">
        <v>977570.23200000008</v>
      </c>
      <c r="FW53" s="208">
        <v>581652.55999999994</v>
      </c>
      <c r="FX53" s="208">
        <v>233059.16000000003</v>
      </c>
      <c r="FY53" s="208">
        <v>5699577.9440000001</v>
      </c>
      <c r="FZ53" s="208">
        <v>461967.66400000005</v>
      </c>
      <c r="GA53" s="207">
        <v>11048403.560000001</v>
      </c>
      <c r="GB53" s="206">
        <v>9.2067568545739533</v>
      </c>
      <c r="GC53" s="206">
        <v>-9.4365099284242575</v>
      </c>
      <c r="GD53" s="206">
        <v>-15.412087243284873</v>
      </c>
      <c r="GE53" s="206">
        <v>-6.7278162334404783</v>
      </c>
      <c r="GF53" s="206">
        <v>10.951801802396744</v>
      </c>
      <c r="GG53" s="206">
        <v>16.338459568027218</v>
      </c>
      <c r="GH53" s="205">
        <v>7.1233989573783845</v>
      </c>
      <c r="GI53" s="215" t="str">
        <f t="shared" si="148"/>
        <v>MAIOR</v>
      </c>
    </row>
    <row r="54" spans="1:191">
      <c r="A54" s="211" t="s">
        <v>95</v>
      </c>
      <c r="B54" s="208">
        <v>821707.87199999997</v>
      </c>
      <c r="C54" s="208">
        <v>149127.31200000001</v>
      </c>
      <c r="D54" s="208">
        <v>58466.112000000001</v>
      </c>
      <c r="E54" s="208">
        <v>13990.783999999998</v>
      </c>
      <c r="F54" s="208">
        <v>318233.36799999996</v>
      </c>
      <c r="G54" s="208">
        <v>56618.727999999981</v>
      </c>
      <c r="H54" s="209">
        <v>1418144.1759999997</v>
      </c>
      <c r="I54" s="208">
        <v>926093.58400000003</v>
      </c>
      <c r="J54" s="208">
        <v>146034.54399999999</v>
      </c>
      <c r="K54" s="208">
        <v>125810.91200000001</v>
      </c>
      <c r="L54" s="208">
        <v>18606</v>
      </c>
      <c r="M54" s="208">
        <v>344969.68</v>
      </c>
      <c r="N54" s="208">
        <v>61254.712000000014</v>
      </c>
      <c r="O54" s="209">
        <v>1622769.432</v>
      </c>
      <c r="P54" s="208">
        <v>901862.43200000003</v>
      </c>
      <c r="Q54" s="208">
        <v>121368.03199999996</v>
      </c>
      <c r="R54" s="208">
        <v>61243.8</v>
      </c>
      <c r="S54" s="208">
        <v>14732.48</v>
      </c>
      <c r="T54" s="208">
        <v>341766.40000000008</v>
      </c>
      <c r="U54" s="208">
        <v>39552.127999999997</v>
      </c>
      <c r="V54" s="209">
        <v>1480525.2720000001</v>
      </c>
      <c r="W54" s="208">
        <v>789365.62400000007</v>
      </c>
      <c r="X54" s="208">
        <v>99699.280000000013</v>
      </c>
      <c r="Y54" s="208">
        <v>143578.17600000001</v>
      </c>
      <c r="Z54" s="208">
        <v>16482.960000000003</v>
      </c>
      <c r="AA54" s="208">
        <v>335759.84</v>
      </c>
      <c r="AB54" s="208">
        <v>51662.624000000003</v>
      </c>
      <c r="AC54" s="209">
        <v>1436548.5040000002</v>
      </c>
      <c r="AD54" s="208">
        <v>539854.22400000005</v>
      </c>
      <c r="AE54" s="208">
        <v>120108.32799999996</v>
      </c>
      <c r="AF54" s="208">
        <v>26426.512000000002</v>
      </c>
      <c r="AG54" s="208">
        <v>11694.144</v>
      </c>
      <c r="AH54" s="208">
        <v>449551.32000000007</v>
      </c>
      <c r="AI54" s="208">
        <v>46573.944000000003</v>
      </c>
      <c r="AJ54" s="209">
        <v>1194208.4719999998</v>
      </c>
      <c r="AK54" s="208">
        <v>445397.48</v>
      </c>
      <c r="AL54" s="208">
        <v>93884.104000000007</v>
      </c>
      <c r="AM54" s="208">
        <v>75875.376000000004</v>
      </c>
      <c r="AN54" s="208">
        <v>15240.936000000002</v>
      </c>
      <c r="AO54" s="208">
        <v>299724.44800000003</v>
      </c>
      <c r="AP54" s="208">
        <v>51521.655999999995</v>
      </c>
      <c r="AQ54" s="209">
        <v>981644</v>
      </c>
      <c r="AR54" s="208">
        <v>372523.288</v>
      </c>
      <c r="AS54" s="208">
        <v>85401.768000000025</v>
      </c>
      <c r="AT54" s="208">
        <v>21913.68</v>
      </c>
      <c r="AU54" s="208">
        <v>8119.3439999999991</v>
      </c>
      <c r="AV54" s="208">
        <v>400262.88000000006</v>
      </c>
      <c r="AW54" s="208">
        <v>41205.048000000003</v>
      </c>
      <c r="AX54" s="209">
        <v>929426.00800000003</v>
      </c>
      <c r="AY54" s="208">
        <v>166387.23200000002</v>
      </c>
      <c r="AZ54" s="208">
        <v>55580.104000000007</v>
      </c>
      <c r="BA54" s="208">
        <v>23336.848000000002</v>
      </c>
      <c r="BB54" s="208">
        <v>8184.8</v>
      </c>
      <c r="BC54" s="208">
        <v>123649.52800000001</v>
      </c>
      <c r="BD54" s="208">
        <v>31526.144000000004</v>
      </c>
      <c r="BE54" s="209">
        <v>408664.65600000002</v>
      </c>
      <c r="BF54" s="208">
        <v>392400.68</v>
      </c>
      <c r="BG54" s="208">
        <v>107355.592</v>
      </c>
      <c r="BH54" s="208">
        <v>23235.264000000003</v>
      </c>
      <c r="BI54" s="208">
        <v>16299.488000000001</v>
      </c>
      <c r="BJ54" s="208">
        <v>437327.16000000003</v>
      </c>
      <c r="BK54" s="208">
        <v>73360.000000000015</v>
      </c>
      <c r="BL54" s="209">
        <v>1049978.1840000001</v>
      </c>
      <c r="BM54" s="208">
        <v>140905.04</v>
      </c>
      <c r="BN54" s="208">
        <v>44998.815999999999</v>
      </c>
      <c r="BO54" s="208">
        <v>15936.495999999999</v>
      </c>
      <c r="BP54" s="208">
        <v>7156.4240000000009</v>
      </c>
      <c r="BQ54" s="208">
        <v>149824.32000000001</v>
      </c>
      <c r="BR54" s="208">
        <v>22940.631999999994</v>
      </c>
      <c r="BS54" s="209">
        <v>381761.728</v>
      </c>
      <c r="BT54" s="208">
        <v>450873.64000000007</v>
      </c>
      <c r="BU54" s="208">
        <v>140181.29599999997</v>
      </c>
      <c r="BV54" s="208">
        <v>29256.384000000005</v>
      </c>
      <c r="BW54" s="208">
        <v>24132.175999999999</v>
      </c>
      <c r="BX54" s="208">
        <v>460051.56</v>
      </c>
      <c r="BY54" s="208">
        <v>109252.664</v>
      </c>
      <c r="BZ54" s="209">
        <v>1213747.72</v>
      </c>
      <c r="CA54" s="208">
        <v>233695.52800000005</v>
      </c>
      <c r="CB54" s="208">
        <v>63753.872000000003</v>
      </c>
      <c r="CC54" s="208">
        <v>34346.624000000003</v>
      </c>
      <c r="CD54" s="208">
        <v>6892.7520000000004</v>
      </c>
      <c r="CE54" s="208">
        <v>233277.72000000003</v>
      </c>
      <c r="CF54" s="208">
        <v>31326.879999999997</v>
      </c>
      <c r="CG54" s="209">
        <v>603293.37600000005</v>
      </c>
      <c r="CH54" s="208">
        <v>302427.80800000002</v>
      </c>
      <c r="CI54" s="208">
        <v>127580.56799999997</v>
      </c>
      <c r="CJ54" s="208">
        <v>32608.68</v>
      </c>
      <c r="CK54" s="208">
        <v>17640.024000000001</v>
      </c>
      <c r="CL54" s="208">
        <v>478466.16000000009</v>
      </c>
      <c r="CM54" s="208">
        <v>94325.616000000009</v>
      </c>
      <c r="CN54" s="209">
        <v>1053048.8559999999</v>
      </c>
      <c r="CO54" s="208">
        <v>370268.76</v>
      </c>
      <c r="CP54" s="208">
        <v>72585.807999999961</v>
      </c>
      <c r="CQ54" s="208">
        <v>41122.344000000005</v>
      </c>
      <c r="CR54" s="208">
        <v>7149.4080000000022</v>
      </c>
      <c r="CS54" s="208">
        <v>324410.40000000002</v>
      </c>
      <c r="CT54" s="208">
        <v>32968.655999999995</v>
      </c>
      <c r="CU54" s="209">
        <v>848505.37599999993</v>
      </c>
      <c r="CV54" s="208">
        <v>180281.53600000002</v>
      </c>
      <c r="CW54" s="208">
        <v>102587.008</v>
      </c>
      <c r="CX54" s="208">
        <v>129693.65600000002</v>
      </c>
      <c r="CY54" s="208">
        <v>22448.983999999997</v>
      </c>
      <c r="CZ54" s="208">
        <v>509104.92</v>
      </c>
      <c r="DA54" s="208">
        <v>76079.616000000024</v>
      </c>
      <c r="DB54" s="209">
        <v>1020195.7200000001</v>
      </c>
      <c r="DC54" s="208">
        <v>389682.48800000001</v>
      </c>
      <c r="DD54" s="208">
        <v>69544.880000000077</v>
      </c>
      <c r="DE54" s="208">
        <v>57174.728000000003</v>
      </c>
      <c r="DF54" s="208">
        <v>5840.7599999999984</v>
      </c>
      <c r="DG54" s="208">
        <v>371578.01600000006</v>
      </c>
      <c r="DH54" s="208">
        <v>36844.568000000007</v>
      </c>
      <c r="DI54" s="209">
        <v>930665.44000000018</v>
      </c>
      <c r="DJ54" s="208">
        <v>143106.05600000001</v>
      </c>
      <c r="DK54" s="208">
        <v>79145.215999999971</v>
      </c>
      <c r="DL54" s="208">
        <v>43990.336000000003</v>
      </c>
      <c r="DM54" s="208">
        <v>18041.008000000002</v>
      </c>
      <c r="DN54" s="208">
        <v>492962.76000000007</v>
      </c>
      <c r="DO54" s="208">
        <v>65979.576000000001</v>
      </c>
      <c r="DP54" s="209">
        <v>843224.95200000016</v>
      </c>
      <c r="DQ54" s="208">
        <v>179660.33600000001</v>
      </c>
      <c r="DR54" s="208">
        <v>76282.559999999983</v>
      </c>
      <c r="DS54" s="208">
        <v>14805.048000000003</v>
      </c>
      <c r="DT54" s="208">
        <v>7063.5519999999997</v>
      </c>
      <c r="DU54" s="208">
        <v>405748.08</v>
      </c>
      <c r="DV54" s="208">
        <v>49235.631999999998</v>
      </c>
      <c r="DW54" s="209">
        <v>732795.2080000001</v>
      </c>
      <c r="DX54" s="208">
        <v>109939.90400000001</v>
      </c>
      <c r="DY54" s="208">
        <v>73973.967999999993</v>
      </c>
      <c r="DZ54" s="208">
        <v>35267.976000000002</v>
      </c>
      <c r="EA54" s="208">
        <v>8954.9360000000015</v>
      </c>
      <c r="EB54" s="208">
        <v>474313.08</v>
      </c>
      <c r="EC54" s="208">
        <v>56790.296000000009</v>
      </c>
      <c r="ED54" s="209">
        <v>759240.16</v>
      </c>
      <c r="EE54" s="208">
        <v>67916.248000000007</v>
      </c>
      <c r="EF54" s="208">
        <v>146238.66400000002</v>
      </c>
      <c r="EG54" s="208">
        <v>8140.3919999999998</v>
      </c>
      <c r="EH54" s="208">
        <v>14351.272000000004</v>
      </c>
      <c r="EI54" s="208">
        <v>447513.95999999996</v>
      </c>
      <c r="EJ54" s="208">
        <v>49797.240000000005</v>
      </c>
      <c r="EK54" s="209">
        <v>733957.77599999995</v>
      </c>
      <c r="EL54" s="208">
        <v>100163.04000000001</v>
      </c>
      <c r="EM54" s="208">
        <v>68458.984000000011</v>
      </c>
      <c r="EN54" s="208">
        <v>42199.096000000005</v>
      </c>
      <c r="EO54" s="208">
        <v>9994.6319999999978</v>
      </c>
      <c r="EP54" s="208">
        <v>478936.32000000001</v>
      </c>
      <c r="EQ54" s="208">
        <v>57242.896000000001</v>
      </c>
      <c r="ER54" s="209">
        <v>756994.96799999999</v>
      </c>
      <c r="ES54" s="208">
        <v>121086.984</v>
      </c>
      <c r="ET54" s="208">
        <v>62151.256000000008</v>
      </c>
      <c r="EU54" s="208">
        <v>13376.352000000003</v>
      </c>
      <c r="EV54" s="208">
        <v>6954.9520000000011</v>
      </c>
      <c r="EW54" s="208">
        <v>407942.16000000003</v>
      </c>
      <c r="EX54" s="208">
        <v>52169.176000000007</v>
      </c>
      <c r="EY54" s="209">
        <v>663680.88</v>
      </c>
      <c r="EZ54" s="208">
        <v>102634.48800000001</v>
      </c>
      <c r="FA54" s="208">
        <v>85257.928000000014</v>
      </c>
      <c r="FB54" s="208">
        <v>52042.664000000004</v>
      </c>
      <c r="FC54" s="208">
        <v>19769.72</v>
      </c>
      <c r="FD54" s="208">
        <v>442422.35200000013</v>
      </c>
      <c r="FE54" s="208">
        <v>57604.191999999995</v>
      </c>
      <c r="FF54" s="209">
        <v>759731.34400000016</v>
      </c>
      <c r="FG54" s="208">
        <v>122128.76000000001</v>
      </c>
      <c r="FH54" s="208">
        <v>60651.4</v>
      </c>
      <c r="FI54" s="208">
        <v>15631</v>
      </c>
      <c r="FJ54" s="208">
        <v>9964.4239999999991</v>
      </c>
      <c r="FK54" s="208">
        <v>368056.92000000004</v>
      </c>
      <c r="FL54" s="208">
        <v>47482.96</v>
      </c>
      <c r="FM54" s="207">
        <v>623915.46400000004</v>
      </c>
      <c r="FN54" s="210">
        <v>4417774.9680000003</v>
      </c>
      <c r="FO54" s="518">
        <v>1260546</v>
      </c>
      <c r="FP54" s="208">
        <v>556344.16</v>
      </c>
      <c r="FQ54" s="208">
        <v>185817.72</v>
      </c>
      <c r="FR54" s="208">
        <v>5283398.28</v>
      </c>
      <c r="FS54" s="208">
        <v>774584.70400000003</v>
      </c>
      <c r="FT54" s="209">
        <v>12478465.832</v>
      </c>
      <c r="FU54" s="208">
        <v>3952588.0640000002</v>
      </c>
      <c r="FV54" s="208">
        <v>991405.28800000006</v>
      </c>
      <c r="FW54" s="208">
        <v>569134.29599999986</v>
      </c>
      <c r="FX54" s="208">
        <v>123888.24</v>
      </c>
      <c r="FY54" s="208">
        <v>3812455.0720000006</v>
      </c>
      <c r="FZ54" s="208">
        <v>518730.88000000006</v>
      </c>
      <c r="GA54" s="207">
        <v>9968201.8400000017</v>
      </c>
      <c r="GB54" s="206">
        <v>11.769172412296186</v>
      </c>
      <c r="GC54" s="206">
        <v>27.147395243669493</v>
      </c>
      <c r="GD54" s="206">
        <v>-2.2472966556209428</v>
      </c>
      <c r="GE54" s="206">
        <v>49.98818289774718</v>
      </c>
      <c r="GF54" s="206">
        <v>38.582571603351312</v>
      </c>
      <c r="GG54" s="206">
        <v>49.323037024516424</v>
      </c>
      <c r="GH54" s="205">
        <v>25.182716324291434</v>
      </c>
      <c r="GI54" s="215" t="str">
        <f t="shared" si="148"/>
        <v>MAIOR</v>
      </c>
    </row>
    <row r="55" spans="1:191">
      <c r="A55" s="211" t="s">
        <v>96</v>
      </c>
      <c r="B55" s="208">
        <v>75585.648000000001</v>
      </c>
      <c r="C55" s="208">
        <v>23055.728000000003</v>
      </c>
      <c r="D55" s="208">
        <v>1667.0560000000003</v>
      </c>
      <c r="E55" s="208">
        <v>1659.4160000000002</v>
      </c>
      <c r="F55" s="208">
        <v>47659.48</v>
      </c>
      <c r="G55" s="208">
        <v>7282.8080000000064</v>
      </c>
      <c r="H55" s="209">
        <v>156910.13600000003</v>
      </c>
      <c r="I55" s="208">
        <v>93402.648000000001</v>
      </c>
      <c r="J55" s="208">
        <v>33630.336000000003</v>
      </c>
      <c r="K55" s="208">
        <v>5005.5519999999997</v>
      </c>
      <c r="L55" s="208">
        <v>1252.672</v>
      </c>
      <c r="M55" s="208">
        <v>41903.984000000004</v>
      </c>
      <c r="N55" s="208">
        <v>11183.976000000001</v>
      </c>
      <c r="O55" s="209">
        <v>186379.16799999998</v>
      </c>
      <c r="P55" s="208">
        <v>105445.296</v>
      </c>
      <c r="Q55" s="208">
        <v>23291.831999999999</v>
      </c>
      <c r="R55" s="208">
        <v>2455.6000000000004</v>
      </c>
      <c r="S55" s="208">
        <v>3200.4</v>
      </c>
      <c r="T55" s="208">
        <v>63459.184000000008</v>
      </c>
      <c r="U55" s="208">
        <v>9814.0319999999992</v>
      </c>
      <c r="V55" s="209">
        <v>207666.34400000001</v>
      </c>
      <c r="W55" s="208">
        <v>103318.424</v>
      </c>
      <c r="X55" s="208">
        <v>26112.800000000003</v>
      </c>
      <c r="Y55" s="208">
        <v>9249.2160000000003</v>
      </c>
      <c r="Z55" s="208">
        <v>2064.616</v>
      </c>
      <c r="AA55" s="208">
        <v>44586.840000000004</v>
      </c>
      <c r="AB55" s="208">
        <v>8972.84</v>
      </c>
      <c r="AC55" s="209">
        <v>194304.736</v>
      </c>
      <c r="AD55" s="208">
        <v>90166.536000000007</v>
      </c>
      <c r="AE55" s="208">
        <v>19682.648000000005</v>
      </c>
      <c r="AF55" s="208">
        <v>579.03200000000004</v>
      </c>
      <c r="AG55" s="208">
        <v>691</v>
      </c>
      <c r="AH55" s="208">
        <v>68408.28</v>
      </c>
      <c r="AI55" s="208">
        <v>5930.8</v>
      </c>
      <c r="AJ55" s="209">
        <v>185458.296</v>
      </c>
      <c r="AK55" s="208">
        <v>73981.464000000007</v>
      </c>
      <c r="AL55" s="208">
        <v>31526.624000000007</v>
      </c>
      <c r="AM55" s="208">
        <v>5501.384</v>
      </c>
      <c r="AN55" s="208">
        <v>2341.9919999999997</v>
      </c>
      <c r="AO55" s="208">
        <v>49680.240000000005</v>
      </c>
      <c r="AP55" s="208">
        <v>10645.76</v>
      </c>
      <c r="AQ55" s="209">
        <v>173677.46400000004</v>
      </c>
      <c r="AR55" s="208">
        <v>67602.808000000005</v>
      </c>
      <c r="AS55" s="208">
        <v>22109.784000000003</v>
      </c>
      <c r="AT55" s="208">
        <v>1234.248</v>
      </c>
      <c r="AU55" s="208">
        <v>1360.9680000000001</v>
      </c>
      <c r="AV55" s="208">
        <v>68173.200000000012</v>
      </c>
      <c r="AW55" s="208">
        <v>7375.9040000000005</v>
      </c>
      <c r="AX55" s="209">
        <v>167856.91200000004</v>
      </c>
      <c r="AY55" s="208">
        <v>26968.224000000002</v>
      </c>
      <c r="AZ55" s="208">
        <v>17326.952000000001</v>
      </c>
      <c r="BA55" s="208">
        <v>1932.6320000000001</v>
      </c>
      <c r="BB55" s="208">
        <v>340.48800000000006</v>
      </c>
      <c r="BC55" s="208">
        <v>28758.120000000003</v>
      </c>
      <c r="BD55" s="208">
        <v>5703.8720000000012</v>
      </c>
      <c r="BE55" s="209">
        <v>81030.288</v>
      </c>
      <c r="BF55" s="208">
        <v>57304.200000000004</v>
      </c>
      <c r="BG55" s="208">
        <v>25294.36</v>
      </c>
      <c r="BH55" s="208">
        <v>102.85599999999999</v>
      </c>
      <c r="BI55" s="208">
        <v>2300.056</v>
      </c>
      <c r="BJ55" s="208">
        <v>65900.759999999995</v>
      </c>
      <c r="BK55" s="208">
        <v>10829.320000000002</v>
      </c>
      <c r="BL55" s="209">
        <v>161731.552</v>
      </c>
      <c r="BM55" s="208">
        <v>20763.696</v>
      </c>
      <c r="BN55" s="208">
        <v>15047.36</v>
      </c>
      <c r="BO55" s="208">
        <v>2811.328</v>
      </c>
      <c r="BP55" s="208">
        <v>845.12000000000012</v>
      </c>
      <c r="BQ55" s="208">
        <v>38082.959999999999</v>
      </c>
      <c r="BR55" s="208">
        <v>3906.3119999999999</v>
      </c>
      <c r="BS55" s="209">
        <v>81456.776000000013</v>
      </c>
      <c r="BT55" s="208">
        <v>51497.288</v>
      </c>
      <c r="BU55" s="208">
        <v>20748.079999999998</v>
      </c>
      <c r="BV55" s="208">
        <v>1265.5440000000001</v>
      </c>
      <c r="BW55" s="208">
        <v>1013.808</v>
      </c>
      <c r="BX55" s="208">
        <v>70445.640000000014</v>
      </c>
      <c r="BY55" s="208">
        <v>12701.208000000001</v>
      </c>
      <c r="BZ55" s="209">
        <v>157671.56800000003</v>
      </c>
      <c r="CA55" s="208">
        <v>30129.712</v>
      </c>
      <c r="CB55" s="208">
        <v>16622.416000000001</v>
      </c>
      <c r="CC55" s="208">
        <v>2247.5360000000001</v>
      </c>
      <c r="CD55" s="208">
        <v>817.56000000000006</v>
      </c>
      <c r="CE55" s="208">
        <v>37299.360000000001</v>
      </c>
      <c r="CF55" s="208">
        <v>5248.7120000000004</v>
      </c>
      <c r="CG55" s="209">
        <v>92365.296000000002</v>
      </c>
      <c r="CH55" s="208">
        <v>44635.008000000002</v>
      </c>
      <c r="CI55" s="208">
        <v>23295.520000000004</v>
      </c>
      <c r="CJ55" s="208">
        <v>3718.8</v>
      </c>
      <c r="CK55" s="208">
        <v>316.26399999999995</v>
      </c>
      <c r="CL55" s="208">
        <v>85255.680000000008</v>
      </c>
      <c r="CM55" s="208">
        <v>12291.12</v>
      </c>
      <c r="CN55" s="209">
        <v>169512.39199999999</v>
      </c>
      <c r="CO55" s="208">
        <v>54233.8</v>
      </c>
      <c r="CP55" s="208">
        <v>20801.49600000001</v>
      </c>
      <c r="CQ55" s="208">
        <v>2294.5360000000001</v>
      </c>
      <c r="CR55" s="208">
        <v>644.06399999999996</v>
      </c>
      <c r="CS55" s="208">
        <v>59318.52</v>
      </c>
      <c r="CT55" s="208">
        <v>4668.8959999999997</v>
      </c>
      <c r="CU55" s="209">
        <v>141961.31200000003</v>
      </c>
      <c r="CV55" s="208">
        <v>32192.312000000002</v>
      </c>
      <c r="CW55" s="208">
        <v>17406.440000000002</v>
      </c>
      <c r="CX55" s="208">
        <v>10827.616000000002</v>
      </c>
      <c r="CY55" s="208">
        <v>3626.8320000000008</v>
      </c>
      <c r="CZ55" s="208">
        <v>78516.72</v>
      </c>
      <c r="DA55" s="208">
        <v>12047.888000000001</v>
      </c>
      <c r="DB55" s="209">
        <v>154617.80800000002</v>
      </c>
      <c r="DC55" s="208">
        <v>62992.256000000008</v>
      </c>
      <c r="DD55" s="208">
        <v>16950.119999999984</v>
      </c>
      <c r="DE55" s="208">
        <v>7312.7839999999997</v>
      </c>
      <c r="DF55" s="208">
        <v>1156.8400000000008</v>
      </c>
      <c r="DG55" s="208">
        <v>65665.680000000008</v>
      </c>
      <c r="DH55" s="208">
        <v>5809.6319999999996</v>
      </c>
      <c r="DI55" s="209">
        <v>159887.31200000001</v>
      </c>
      <c r="DJ55" s="208">
        <v>17855.36</v>
      </c>
      <c r="DK55" s="208">
        <v>12600.656000000003</v>
      </c>
      <c r="DL55" s="208">
        <v>2812</v>
      </c>
      <c r="DM55" s="208">
        <v>608.34400000000028</v>
      </c>
      <c r="DN55" s="208">
        <v>76714.44</v>
      </c>
      <c r="DO55" s="208">
        <v>10066.064</v>
      </c>
      <c r="DP55" s="209">
        <v>120656.864</v>
      </c>
      <c r="DQ55" s="208">
        <v>28472.544000000002</v>
      </c>
      <c r="DR55" s="208">
        <v>13425.896000000002</v>
      </c>
      <c r="DS55" s="208">
        <v>1536.4880000000001</v>
      </c>
      <c r="DT55" s="208">
        <v>366.52800000000008</v>
      </c>
      <c r="DU55" s="208">
        <v>68486.64</v>
      </c>
      <c r="DV55" s="208">
        <v>6459.9999999999991</v>
      </c>
      <c r="DW55" s="209">
        <v>118748.09599999999</v>
      </c>
      <c r="DX55" s="208">
        <v>12133.896000000001</v>
      </c>
      <c r="DY55" s="208">
        <v>15698.672</v>
      </c>
      <c r="DZ55" s="208">
        <v>1853.68</v>
      </c>
      <c r="EA55" s="208">
        <v>1185.1119999999999</v>
      </c>
      <c r="EB55" s="208">
        <v>70759.080000000016</v>
      </c>
      <c r="EC55" s="208">
        <v>7742.6240000000007</v>
      </c>
      <c r="ED55" s="209">
        <v>109373.06400000001</v>
      </c>
      <c r="EE55" s="208">
        <v>8783.503999999999</v>
      </c>
      <c r="EF55" s="208">
        <v>28207.648000000005</v>
      </c>
      <c r="EG55" s="208">
        <v>599.35200000000009</v>
      </c>
      <c r="EH55" s="208">
        <v>850.73599999999988</v>
      </c>
      <c r="EI55" s="208">
        <v>67389.600000000006</v>
      </c>
      <c r="EJ55" s="208">
        <v>7041.9199999999992</v>
      </c>
      <c r="EK55" s="209">
        <v>112872.76</v>
      </c>
      <c r="EL55" s="208">
        <v>11749.567999999999</v>
      </c>
      <c r="EM55" s="208">
        <v>10908.880000000003</v>
      </c>
      <c r="EN55" s="208">
        <v>2668.9040000000005</v>
      </c>
      <c r="EO55" s="208">
        <v>801.85599999999977</v>
      </c>
      <c r="EP55" s="208">
        <v>76479.360000000001</v>
      </c>
      <c r="EQ55" s="208">
        <v>7276.6400000000012</v>
      </c>
      <c r="ER55" s="209">
        <v>109885.208</v>
      </c>
      <c r="ES55" s="208">
        <v>15955.847999999998</v>
      </c>
      <c r="ET55" s="208">
        <v>12317.112000000001</v>
      </c>
      <c r="EU55" s="208">
        <v>599.35200000000009</v>
      </c>
      <c r="EV55" s="208">
        <v>134.56</v>
      </c>
      <c r="EW55" s="208">
        <v>64176.840000000004</v>
      </c>
      <c r="EX55" s="208">
        <v>8210.0320000000011</v>
      </c>
      <c r="EY55" s="209">
        <v>101393.74400000001</v>
      </c>
      <c r="EZ55" s="208">
        <v>14753.112000000001</v>
      </c>
      <c r="FA55" s="208">
        <v>17180.791999999998</v>
      </c>
      <c r="FB55" s="208">
        <v>2703.1200000000003</v>
      </c>
      <c r="FC55" s="208">
        <v>99.48</v>
      </c>
      <c r="FD55" s="208">
        <v>73658.400000000009</v>
      </c>
      <c r="FE55" s="208">
        <v>8723.351999999999</v>
      </c>
      <c r="FF55" s="209">
        <v>117118.25600000001</v>
      </c>
      <c r="FG55" s="208">
        <v>19058.832000000002</v>
      </c>
      <c r="FH55" s="208">
        <v>17731.344000000001</v>
      </c>
      <c r="FI55" s="208">
        <v>1249.4560000000001</v>
      </c>
      <c r="FJ55" s="208">
        <v>126.25600000000014</v>
      </c>
      <c r="FK55" s="208">
        <v>63706.680000000008</v>
      </c>
      <c r="FL55" s="208">
        <v>12275.888000000001</v>
      </c>
      <c r="FM55" s="207">
        <v>114148.45600000002</v>
      </c>
      <c r="FN55" s="210">
        <v>580921.03200000001</v>
      </c>
      <c r="FO55" s="518">
        <v>231273.39199999999</v>
      </c>
      <c r="FP55" s="208">
        <v>31888.456000000002</v>
      </c>
      <c r="FQ55" s="208">
        <v>16863.536</v>
      </c>
      <c r="FR55" s="208">
        <v>845430.22400000016</v>
      </c>
      <c r="FS55" s="208">
        <v>112081.76</v>
      </c>
      <c r="FT55" s="209">
        <v>1818458.4000000001</v>
      </c>
      <c r="FU55" s="208">
        <v>538060.95199999993</v>
      </c>
      <c r="FV55" s="208">
        <v>249700.10400000005</v>
      </c>
      <c r="FW55" s="208">
        <v>40339.616000000002</v>
      </c>
      <c r="FX55" s="208">
        <v>10941.432000000001</v>
      </c>
      <c r="FY55" s="208">
        <v>629055.46400000004</v>
      </c>
      <c r="FZ55" s="208">
        <v>90127.840000000011</v>
      </c>
      <c r="GA55" s="207">
        <v>1558225.4080000001</v>
      </c>
      <c r="GB55" s="206">
        <v>7.9656551624285328</v>
      </c>
      <c r="GC55" s="206">
        <v>-7.3795371747222305</v>
      </c>
      <c r="GD55" s="206">
        <v>-20.950025900097813</v>
      </c>
      <c r="GE55" s="206">
        <v>54.125492897090624</v>
      </c>
      <c r="GF55" s="206">
        <v>34.39676982123791</v>
      </c>
      <c r="GG55" s="206">
        <v>24.358644343412621</v>
      </c>
      <c r="GH55" s="205">
        <v>16.700599968653592</v>
      </c>
      <c r="GI55" s="215" t="str">
        <f t="shared" si="148"/>
        <v>MAIOR</v>
      </c>
    </row>
    <row r="56" spans="1:191">
      <c r="A56" s="211" t="s">
        <v>98</v>
      </c>
      <c r="B56" s="208">
        <v>43784.800000000003</v>
      </c>
      <c r="C56" s="208">
        <v>10486.912</v>
      </c>
      <c r="D56" s="208">
        <v>3852.4879999999998</v>
      </c>
      <c r="E56" s="208">
        <v>875.47200000000021</v>
      </c>
      <c r="F56" s="208">
        <v>42739.088000000003</v>
      </c>
      <c r="G56" s="208">
        <v>4078.4559999999938</v>
      </c>
      <c r="H56" s="209">
        <v>105817.216</v>
      </c>
      <c r="I56" s="208">
        <v>47562.847999999998</v>
      </c>
      <c r="J56" s="208">
        <v>10134.36</v>
      </c>
      <c r="K56" s="208">
        <v>5562.9920000000002</v>
      </c>
      <c r="L56" s="208">
        <v>2103.1840000000002</v>
      </c>
      <c r="M56" s="208">
        <v>52359.040000000008</v>
      </c>
      <c r="N56" s="208">
        <v>3342.6960000000004</v>
      </c>
      <c r="O56" s="209">
        <v>121065.12</v>
      </c>
      <c r="P56" s="208">
        <v>40852.920000000006</v>
      </c>
      <c r="Q56" s="208">
        <v>9113.7359999999953</v>
      </c>
      <c r="R56" s="208">
        <v>1517.48</v>
      </c>
      <c r="S56" s="208">
        <v>1942.248</v>
      </c>
      <c r="T56" s="208">
        <v>58617.351999999999</v>
      </c>
      <c r="U56" s="208">
        <v>2568.2640000000006</v>
      </c>
      <c r="V56" s="209">
        <v>114612</v>
      </c>
      <c r="W56" s="208">
        <v>32643.615999999998</v>
      </c>
      <c r="X56" s="208">
        <v>9188.3680000000004</v>
      </c>
      <c r="Y56" s="208">
        <v>2956.0880000000002</v>
      </c>
      <c r="Z56" s="208">
        <v>1861.864</v>
      </c>
      <c r="AA56" s="208">
        <v>56105.760000000002</v>
      </c>
      <c r="AB56" s="208">
        <v>3575.0400000000004</v>
      </c>
      <c r="AC56" s="209">
        <v>106330.73599999999</v>
      </c>
      <c r="AD56" s="208">
        <v>41153.928000000007</v>
      </c>
      <c r="AE56" s="208">
        <v>13920.359999999999</v>
      </c>
      <c r="AF56" s="208">
        <v>2236.5840000000003</v>
      </c>
      <c r="AG56" s="208">
        <v>1873.0560000000003</v>
      </c>
      <c r="AH56" s="208">
        <v>71307.600000000006</v>
      </c>
      <c r="AI56" s="208">
        <v>3644.9760000000001</v>
      </c>
      <c r="AJ56" s="209">
        <v>134136.50400000002</v>
      </c>
      <c r="AK56" s="208">
        <v>26662.688000000002</v>
      </c>
      <c r="AL56" s="208">
        <v>5198.8960000000006</v>
      </c>
      <c r="AM56" s="208">
        <v>4883.6320000000005</v>
      </c>
      <c r="AN56" s="208">
        <v>1007.792</v>
      </c>
      <c r="AO56" s="208">
        <v>47486.16</v>
      </c>
      <c r="AP56" s="208">
        <v>2399.5680000000007</v>
      </c>
      <c r="AQ56" s="209">
        <v>87638.736000000004</v>
      </c>
      <c r="AR56" s="208">
        <v>31076.920000000002</v>
      </c>
      <c r="AS56" s="208">
        <v>8721.2239999999983</v>
      </c>
      <c r="AT56" s="208">
        <v>563.79200000000003</v>
      </c>
      <c r="AU56" s="208">
        <v>539.66399999999999</v>
      </c>
      <c r="AV56" s="208">
        <v>68486.64</v>
      </c>
      <c r="AW56" s="208">
        <v>3102.2400000000002</v>
      </c>
      <c r="AX56" s="209">
        <v>112490.48</v>
      </c>
      <c r="AY56" s="208">
        <v>12444.976000000001</v>
      </c>
      <c r="AZ56" s="208">
        <v>5218.4480000000003</v>
      </c>
      <c r="BA56" s="208">
        <v>2232.2959999999998</v>
      </c>
      <c r="BB56" s="208">
        <v>652.77600000000007</v>
      </c>
      <c r="BC56" s="208">
        <v>40355.4</v>
      </c>
      <c r="BD56" s="208">
        <v>2987.5360000000001</v>
      </c>
      <c r="BE56" s="209">
        <v>63891.432000000001</v>
      </c>
      <c r="BF56" s="208">
        <v>27007.144</v>
      </c>
      <c r="BG56" s="208">
        <v>7700.8799999999992</v>
      </c>
      <c r="BH56" s="208">
        <v>788.55200000000013</v>
      </c>
      <c r="BI56" s="208">
        <v>2581.4240000000004</v>
      </c>
      <c r="BJ56" s="208">
        <v>65195.520000000004</v>
      </c>
      <c r="BK56" s="208">
        <v>4438.3919999999998</v>
      </c>
      <c r="BL56" s="209">
        <v>107711.91200000001</v>
      </c>
      <c r="BM56" s="208">
        <v>12404.936000000002</v>
      </c>
      <c r="BN56" s="208">
        <v>5513.0160000000005</v>
      </c>
      <c r="BO56" s="208">
        <v>2095.1680000000001</v>
      </c>
      <c r="BP56" s="208">
        <v>311.16000000000003</v>
      </c>
      <c r="BQ56" s="208">
        <v>53519.880000000005</v>
      </c>
      <c r="BR56" s="208">
        <v>1842.8880000000001</v>
      </c>
      <c r="BS56" s="209">
        <v>75687.04800000001</v>
      </c>
      <c r="BT56" s="208">
        <v>27237.808000000005</v>
      </c>
      <c r="BU56" s="208">
        <v>6237.0559999999987</v>
      </c>
      <c r="BV56" s="208">
        <v>2451.9760000000001</v>
      </c>
      <c r="BW56" s="208">
        <v>539.41600000000005</v>
      </c>
      <c r="BX56" s="208">
        <v>72247.92</v>
      </c>
      <c r="BY56" s="208">
        <v>4357.808</v>
      </c>
      <c r="BZ56" s="209">
        <v>113071.98400000001</v>
      </c>
      <c r="CA56" s="208">
        <v>20772.952000000005</v>
      </c>
      <c r="CB56" s="208">
        <v>5617.7759999999998</v>
      </c>
      <c r="CC56" s="208">
        <v>2765.6160000000004</v>
      </c>
      <c r="CD56" s="208">
        <v>952.39200000000005</v>
      </c>
      <c r="CE56" s="208">
        <v>66762.720000000001</v>
      </c>
      <c r="CF56" s="208">
        <v>3936.4320000000007</v>
      </c>
      <c r="CG56" s="209">
        <v>100807.88800000001</v>
      </c>
      <c r="CH56" s="208">
        <v>20760.608</v>
      </c>
      <c r="CI56" s="208">
        <v>5478.9360000000015</v>
      </c>
      <c r="CJ56" s="208">
        <v>857.11200000000008</v>
      </c>
      <c r="CK56" s="208">
        <v>1134.7440000000001</v>
      </c>
      <c r="CL56" s="208">
        <v>79613.760000000009</v>
      </c>
      <c r="CM56" s="208">
        <v>5143.8240000000005</v>
      </c>
      <c r="CN56" s="209">
        <v>112988.984</v>
      </c>
      <c r="CO56" s="208">
        <v>39303.864000000001</v>
      </c>
      <c r="CP56" s="208">
        <v>4543.4799999999987</v>
      </c>
      <c r="CQ56" s="208">
        <v>2133.2720000000004</v>
      </c>
      <c r="CR56" s="208">
        <v>716.53600000000006</v>
      </c>
      <c r="CS56" s="208">
        <v>87214.680000000008</v>
      </c>
      <c r="CT56" s="208">
        <v>3056.84</v>
      </c>
      <c r="CU56" s="209">
        <v>136968.67199999999</v>
      </c>
      <c r="CV56" s="208">
        <v>15660.856</v>
      </c>
      <c r="CW56" s="208">
        <v>8042.6800000000021</v>
      </c>
      <c r="CX56" s="208">
        <v>5533.7920000000004</v>
      </c>
      <c r="CY56" s="208">
        <v>1675.4080000000004</v>
      </c>
      <c r="CZ56" s="208">
        <v>71699.399999999994</v>
      </c>
      <c r="DA56" s="208">
        <v>5710.152</v>
      </c>
      <c r="DB56" s="209">
        <v>108322.288</v>
      </c>
      <c r="DC56" s="208">
        <v>25069.656000000003</v>
      </c>
      <c r="DD56" s="208">
        <v>4806.7280000000028</v>
      </c>
      <c r="DE56" s="208">
        <v>3429.76</v>
      </c>
      <c r="DF56" s="208">
        <v>671.76000000000067</v>
      </c>
      <c r="DG56" s="208">
        <v>76087.56</v>
      </c>
      <c r="DH56" s="208">
        <v>2463.44</v>
      </c>
      <c r="DI56" s="209">
        <v>112528.90400000001</v>
      </c>
      <c r="DJ56" s="208">
        <v>11625.408000000001</v>
      </c>
      <c r="DK56" s="208">
        <v>4141.6160000000009</v>
      </c>
      <c r="DL56" s="208">
        <v>1686.296</v>
      </c>
      <c r="DM56" s="208">
        <v>234.65600000000015</v>
      </c>
      <c r="DN56" s="208">
        <v>75930.84</v>
      </c>
      <c r="DO56" s="208">
        <v>3662.328</v>
      </c>
      <c r="DP56" s="209">
        <v>97281.143999999986</v>
      </c>
      <c r="DQ56" s="208">
        <v>12119.784</v>
      </c>
      <c r="DR56" s="208">
        <v>4775.4720000000007</v>
      </c>
      <c r="DS56" s="208">
        <v>1517.432</v>
      </c>
      <c r="DT56" s="208">
        <v>742.2</v>
      </c>
      <c r="DU56" s="208">
        <v>71777.759999999995</v>
      </c>
      <c r="DV56" s="208">
        <v>3250.3520000000003</v>
      </c>
      <c r="DW56" s="209">
        <v>94183</v>
      </c>
      <c r="DX56" s="208">
        <v>6993.576</v>
      </c>
      <c r="DY56" s="208">
        <v>4219.3919999999998</v>
      </c>
      <c r="DZ56" s="208">
        <v>2303.44</v>
      </c>
      <c r="EA56" s="208">
        <v>843.45599999999979</v>
      </c>
      <c r="EB56" s="208">
        <v>63549.96</v>
      </c>
      <c r="EC56" s="208">
        <v>3325.3519999999999</v>
      </c>
      <c r="ED56" s="209">
        <v>81235.175999999992</v>
      </c>
      <c r="EE56" s="208">
        <v>5265.0400000000009</v>
      </c>
      <c r="EF56" s="208">
        <v>8793.6880000000001</v>
      </c>
      <c r="EG56" s="208">
        <v>322.54400000000004</v>
      </c>
      <c r="EH56" s="208">
        <v>2180.4720000000002</v>
      </c>
      <c r="EI56" s="208">
        <v>66370.92</v>
      </c>
      <c r="EJ56" s="208">
        <v>4280.72</v>
      </c>
      <c r="EK56" s="209">
        <v>87213.384000000005</v>
      </c>
      <c r="EL56" s="208">
        <v>8741.0399999999991</v>
      </c>
      <c r="EM56" s="208">
        <v>4013.7600000000007</v>
      </c>
      <c r="EN56" s="208">
        <v>2418.4720000000002</v>
      </c>
      <c r="EO56" s="208">
        <v>345.55200000000008</v>
      </c>
      <c r="EP56" s="208">
        <v>59005.080000000009</v>
      </c>
      <c r="EQ56" s="208">
        <v>3587.944</v>
      </c>
      <c r="ER56" s="209">
        <v>78111.848000000013</v>
      </c>
      <c r="ES56" s="208">
        <v>7833.1920000000018</v>
      </c>
      <c r="ET56" s="208">
        <v>3785.4320000000002</v>
      </c>
      <c r="EU56" s="208">
        <v>932.04000000000019</v>
      </c>
      <c r="EV56" s="208">
        <v>217.26400000000001</v>
      </c>
      <c r="EW56" s="208">
        <v>65665.680000000008</v>
      </c>
      <c r="EX56" s="208">
        <v>3615.4480000000003</v>
      </c>
      <c r="EY56" s="209">
        <v>82049.056000000011</v>
      </c>
      <c r="EZ56" s="208">
        <v>9383.76</v>
      </c>
      <c r="FA56" s="208">
        <v>4403.0320000000011</v>
      </c>
      <c r="FB56" s="208">
        <v>2473.8960000000002</v>
      </c>
      <c r="FC56" s="208">
        <v>735.45600000000002</v>
      </c>
      <c r="FD56" s="208">
        <v>61826.04</v>
      </c>
      <c r="FE56" s="208">
        <v>3702.400000000001</v>
      </c>
      <c r="FF56" s="209">
        <v>82524.584000000003</v>
      </c>
      <c r="FG56" s="208">
        <v>9373.4639999999999</v>
      </c>
      <c r="FH56" s="208">
        <v>4790.5440000000017</v>
      </c>
      <c r="FI56" s="208">
        <v>868.5440000000001</v>
      </c>
      <c r="FJ56" s="208">
        <v>758.48799999999994</v>
      </c>
      <c r="FK56" s="208">
        <v>58064.76</v>
      </c>
      <c r="FL56" s="208">
        <v>4403.1359999999995</v>
      </c>
      <c r="FM56" s="207">
        <v>78258.936000000002</v>
      </c>
      <c r="FN56" s="210">
        <v>284278.76799999998</v>
      </c>
      <c r="FO56" s="518">
        <v>86479.583999999988</v>
      </c>
      <c r="FP56" s="208">
        <v>26683.88</v>
      </c>
      <c r="FQ56" s="208">
        <v>13320.552000000001</v>
      </c>
      <c r="FR56" s="208">
        <v>790219.2</v>
      </c>
      <c r="FS56" s="208">
        <v>47322.135999999999</v>
      </c>
      <c r="FT56" s="209">
        <v>1248304.1199999999</v>
      </c>
      <c r="FU56" s="208">
        <v>251457.01600000003</v>
      </c>
      <c r="FV56" s="208">
        <v>72366.208000000013</v>
      </c>
      <c r="FW56" s="208">
        <v>29699.384000000005</v>
      </c>
      <c r="FX56" s="208">
        <v>12175.887999999999</v>
      </c>
      <c r="FY56" s="208">
        <v>741770.32000000007</v>
      </c>
      <c r="FZ56" s="208">
        <v>39154.096000000005</v>
      </c>
      <c r="GA56" s="207">
        <v>1146622.912</v>
      </c>
      <c r="GB56" s="206">
        <v>13.052629241412745</v>
      </c>
      <c r="GC56" s="206">
        <v>19.502715963782393</v>
      </c>
      <c r="GD56" s="206">
        <v>-10.153422710720207</v>
      </c>
      <c r="GE56" s="206">
        <v>9.4010720203733911</v>
      </c>
      <c r="GF56" s="206">
        <v>6.5315204307446351</v>
      </c>
      <c r="GG56" s="206">
        <v>20.8612657025717</v>
      </c>
      <c r="GH56" s="205">
        <v>8.8678855913180854</v>
      </c>
      <c r="GI56" s="215" t="str">
        <f t="shared" si="148"/>
        <v>MAIOR</v>
      </c>
    </row>
    <row r="57" spans="1:191">
      <c r="A57" s="211" t="s">
        <v>99</v>
      </c>
      <c r="B57" s="208">
        <v>4284.5440000000008</v>
      </c>
      <c r="C57" s="208">
        <v>1127.4000000000001</v>
      </c>
      <c r="D57" s="208">
        <v>865.61599999999999</v>
      </c>
      <c r="E57" s="208">
        <v>0</v>
      </c>
      <c r="F57" s="208">
        <v>5908.5840000000007</v>
      </c>
      <c r="G57" s="208">
        <v>136.12</v>
      </c>
      <c r="H57" s="209">
        <v>12322.264000000003</v>
      </c>
      <c r="I57" s="208">
        <v>9237.7839999999997</v>
      </c>
      <c r="J57" s="208">
        <v>706.03200000000004</v>
      </c>
      <c r="K57" s="208">
        <v>2559.92</v>
      </c>
      <c r="L57" s="208">
        <v>0</v>
      </c>
      <c r="M57" s="208">
        <v>8680.0960000000014</v>
      </c>
      <c r="N57" s="208">
        <v>240.66400000000002</v>
      </c>
      <c r="O57" s="209">
        <v>21424.496000000003</v>
      </c>
      <c r="P57" s="208">
        <v>10360.888000000001</v>
      </c>
      <c r="Q57" s="208">
        <v>2038.8159999999989</v>
      </c>
      <c r="R57" s="208">
        <v>0</v>
      </c>
      <c r="S57" s="208">
        <v>114.85599999999999</v>
      </c>
      <c r="T57" s="208">
        <v>10343.520000000002</v>
      </c>
      <c r="U57" s="208">
        <v>783.97600000000011</v>
      </c>
      <c r="V57" s="209">
        <v>23642.056</v>
      </c>
      <c r="W57" s="208">
        <v>9443.4800000000014</v>
      </c>
      <c r="X57" s="208">
        <v>1243.6480000000001</v>
      </c>
      <c r="Y57" s="208">
        <v>1005.68</v>
      </c>
      <c r="Z57" s="208">
        <v>368.52800000000002</v>
      </c>
      <c r="AA57" s="208">
        <v>7522.5600000000013</v>
      </c>
      <c r="AB57" s="208">
        <v>320.06400000000002</v>
      </c>
      <c r="AC57" s="209">
        <v>19903.96</v>
      </c>
      <c r="AD57" s="208">
        <v>8021</v>
      </c>
      <c r="AE57" s="208">
        <v>1779.0080000000003</v>
      </c>
      <c r="AF57" s="208">
        <v>2328.4320000000002</v>
      </c>
      <c r="AG57" s="208">
        <v>0</v>
      </c>
      <c r="AH57" s="208">
        <v>12459.240000000002</v>
      </c>
      <c r="AI57" s="208">
        <v>447.99200000000008</v>
      </c>
      <c r="AJ57" s="209">
        <v>25035.671999999999</v>
      </c>
      <c r="AK57" s="208">
        <v>4625.5600000000004</v>
      </c>
      <c r="AL57" s="208">
        <v>221.11199999999999</v>
      </c>
      <c r="AM57" s="208">
        <v>1500.9120000000003</v>
      </c>
      <c r="AN57" s="208">
        <v>176.904</v>
      </c>
      <c r="AO57" s="208">
        <v>7992.72</v>
      </c>
      <c r="AP57" s="208">
        <v>103.864</v>
      </c>
      <c r="AQ57" s="209">
        <v>14621.072000000002</v>
      </c>
      <c r="AR57" s="208">
        <v>7452.7440000000006</v>
      </c>
      <c r="AS57" s="208">
        <v>2021.192</v>
      </c>
      <c r="AT57" s="208">
        <v>41.144000000000005</v>
      </c>
      <c r="AU57" s="208">
        <v>0</v>
      </c>
      <c r="AV57" s="208">
        <v>7365.84</v>
      </c>
      <c r="AW57" s="208">
        <v>547.56000000000006</v>
      </c>
      <c r="AX57" s="209">
        <v>17428.480000000003</v>
      </c>
      <c r="AY57" s="208">
        <v>1356.152</v>
      </c>
      <c r="AZ57" s="208">
        <v>0</v>
      </c>
      <c r="BA57" s="208">
        <v>0</v>
      </c>
      <c r="BB57" s="208">
        <v>0</v>
      </c>
      <c r="BC57" s="208">
        <v>4153.0800000000008</v>
      </c>
      <c r="BD57" s="208">
        <v>0</v>
      </c>
      <c r="BE57" s="209">
        <v>5509.2320000000009</v>
      </c>
      <c r="BF57" s="208">
        <v>4646.2240000000002</v>
      </c>
      <c r="BG57" s="208">
        <v>1453.3200000000006</v>
      </c>
      <c r="BH57" s="208">
        <v>0</v>
      </c>
      <c r="BI57" s="208">
        <v>0</v>
      </c>
      <c r="BJ57" s="208">
        <v>10735.32</v>
      </c>
      <c r="BK57" s="208">
        <v>675.39200000000005</v>
      </c>
      <c r="BL57" s="209">
        <v>17510.256000000001</v>
      </c>
      <c r="BM57" s="208">
        <v>2464.6720000000005</v>
      </c>
      <c r="BN57" s="208">
        <v>461.82400000000001</v>
      </c>
      <c r="BO57" s="208">
        <v>0</v>
      </c>
      <c r="BP57" s="208">
        <v>0</v>
      </c>
      <c r="BQ57" s="208">
        <v>5877</v>
      </c>
      <c r="BR57" s="208">
        <v>369.17600000000004</v>
      </c>
      <c r="BS57" s="209">
        <v>9172.6720000000005</v>
      </c>
      <c r="BT57" s="208">
        <v>4584.4720000000007</v>
      </c>
      <c r="BU57" s="208">
        <v>1162.6080000000002</v>
      </c>
      <c r="BV57" s="208">
        <v>0</v>
      </c>
      <c r="BW57" s="208">
        <v>128.44800000000001</v>
      </c>
      <c r="BX57" s="208">
        <v>8854.68</v>
      </c>
      <c r="BY57" s="208">
        <v>1163.2720000000002</v>
      </c>
      <c r="BZ57" s="209">
        <v>15893.480000000003</v>
      </c>
      <c r="CA57" s="208">
        <v>1123.7759999999998</v>
      </c>
      <c r="CB57" s="208">
        <v>400.88000000000005</v>
      </c>
      <c r="CC57" s="208">
        <v>91.424000000000035</v>
      </c>
      <c r="CD57" s="208">
        <v>265.35200000000003</v>
      </c>
      <c r="CE57" s="208">
        <v>5641.92</v>
      </c>
      <c r="CF57" s="208">
        <v>207.18400000000003</v>
      </c>
      <c r="CG57" s="209">
        <v>7730.5360000000001</v>
      </c>
      <c r="CH57" s="208">
        <v>2849.9520000000002</v>
      </c>
      <c r="CI57" s="208">
        <v>1567.6480000000001</v>
      </c>
      <c r="CJ57" s="208">
        <v>0</v>
      </c>
      <c r="CK57" s="208">
        <v>147.49600000000001</v>
      </c>
      <c r="CL57" s="208">
        <v>11754</v>
      </c>
      <c r="CM57" s="208">
        <v>743.70399999999995</v>
      </c>
      <c r="CN57" s="209">
        <v>17062.800000000003</v>
      </c>
      <c r="CO57" s="208">
        <v>4822.6959999999999</v>
      </c>
      <c r="CP57" s="208">
        <v>144.87200000000013</v>
      </c>
      <c r="CQ57" s="208">
        <v>548.55200000000002</v>
      </c>
      <c r="CR57" s="208">
        <v>0</v>
      </c>
      <c r="CS57" s="208">
        <v>6503.880000000001</v>
      </c>
      <c r="CT57" s="208">
        <v>248.46400000000006</v>
      </c>
      <c r="CU57" s="209">
        <v>12268.464</v>
      </c>
      <c r="CV57" s="208">
        <v>3124.1120000000001</v>
      </c>
      <c r="CW57" s="208">
        <v>613.62400000000014</v>
      </c>
      <c r="CX57" s="208">
        <v>1799.0880000000002</v>
      </c>
      <c r="CY57" s="208">
        <v>0</v>
      </c>
      <c r="CZ57" s="208">
        <v>11832.36</v>
      </c>
      <c r="DA57" s="208">
        <v>745.92000000000007</v>
      </c>
      <c r="DB57" s="209">
        <v>18115.103999999999</v>
      </c>
      <c r="DC57" s="208">
        <v>2845.6320000000001</v>
      </c>
      <c r="DD57" s="208">
        <v>568.4</v>
      </c>
      <c r="DE57" s="208">
        <v>182.85599999999999</v>
      </c>
      <c r="DF57" s="208">
        <v>73.703999999999994</v>
      </c>
      <c r="DG57" s="208">
        <v>9403.2000000000007</v>
      </c>
      <c r="DH57" s="208">
        <v>669.00800000000004</v>
      </c>
      <c r="DI57" s="209">
        <v>13742.800000000001</v>
      </c>
      <c r="DJ57" s="208">
        <v>1317.088</v>
      </c>
      <c r="DK57" s="208">
        <v>979.03200000000015</v>
      </c>
      <c r="DL57" s="208">
        <v>388.86400000000003</v>
      </c>
      <c r="DM57" s="208">
        <v>0</v>
      </c>
      <c r="DN57" s="208">
        <v>11252.495999999999</v>
      </c>
      <c r="DO57" s="208">
        <v>500.05600000000004</v>
      </c>
      <c r="DP57" s="209">
        <v>14437.536</v>
      </c>
      <c r="DQ57" s="208">
        <v>3180.8880000000004</v>
      </c>
      <c r="DR57" s="208">
        <v>609.39200000000017</v>
      </c>
      <c r="DS57" s="208">
        <v>451.03999999999996</v>
      </c>
      <c r="DT57" s="208">
        <v>884.44799999999998</v>
      </c>
      <c r="DU57" s="208">
        <v>8619.6</v>
      </c>
      <c r="DV57" s="208">
        <v>700.024</v>
      </c>
      <c r="DW57" s="209">
        <v>14445.392000000002</v>
      </c>
      <c r="DX57" s="208">
        <v>814.24</v>
      </c>
      <c r="DY57" s="208">
        <v>737.84799999999996</v>
      </c>
      <c r="DZ57" s="208">
        <v>76.191999999999993</v>
      </c>
      <c r="EA57" s="208">
        <v>0</v>
      </c>
      <c r="EB57" s="208">
        <v>10265.16</v>
      </c>
      <c r="EC57" s="208">
        <v>285.10400000000004</v>
      </c>
      <c r="ED57" s="209">
        <v>12178.544</v>
      </c>
      <c r="EE57" s="208">
        <v>1813.28</v>
      </c>
      <c r="EF57" s="208">
        <v>192.39200000000019</v>
      </c>
      <c r="EG57" s="208">
        <v>152.376</v>
      </c>
      <c r="EH57" s="208">
        <v>53.904000000000025</v>
      </c>
      <c r="EI57" s="208">
        <v>7836</v>
      </c>
      <c r="EJ57" s="208">
        <v>538.62400000000002</v>
      </c>
      <c r="EK57" s="209">
        <v>10586.576000000001</v>
      </c>
      <c r="EL57" s="208">
        <v>1543.2</v>
      </c>
      <c r="EM57" s="208">
        <v>726.34399999999994</v>
      </c>
      <c r="EN57" s="208">
        <v>304.76799999999997</v>
      </c>
      <c r="EO57" s="208">
        <v>457.1280000000001</v>
      </c>
      <c r="EP57" s="208">
        <v>11048.76</v>
      </c>
      <c r="EQ57" s="208">
        <v>1561.4560000000001</v>
      </c>
      <c r="ER57" s="209">
        <v>15641.656000000001</v>
      </c>
      <c r="ES57" s="208">
        <v>2908.4799999999996</v>
      </c>
      <c r="ET57" s="208">
        <v>928.51200000000017</v>
      </c>
      <c r="EU57" s="208">
        <v>228.56799999999998</v>
      </c>
      <c r="EV57" s="208">
        <v>0</v>
      </c>
      <c r="EW57" s="208">
        <v>11283.84</v>
      </c>
      <c r="EX57" s="208">
        <v>762.23200000000008</v>
      </c>
      <c r="EY57" s="209">
        <v>16111.632</v>
      </c>
      <c r="EZ57" s="208">
        <v>1133.68</v>
      </c>
      <c r="FA57" s="208">
        <v>1052.768</v>
      </c>
      <c r="FB57" s="208">
        <v>100.312</v>
      </c>
      <c r="FC57" s="208">
        <v>0</v>
      </c>
      <c r="FD57" s="208">
        <v>12537.6</v>
      </c>
      <c r="FE57" s="208">
        <v>421.40800000000002</v>
      </c>
      <c r="FF57" s="209">
        <v>15245.768</v>
      </c>
      <c r="FG57" s="208">
        <v>1173.3040000000001</v>
      </c>
      <c r="FH57" s="208">
        <v>489.95999999999987</v>
      </c>
      <c r="FI57" s="208">
        <v>219.42399999999998</v>
      </c>
      <c r="FJ57" s="208">
        <v>0</v>
      </c>
      <c r="FK57" s="208">
        <v>11283.84</v>
      </c>
      <c r="FL57" s="208">
        <v>1045.04</v>
      </c>
      <c r="FM57" s="207">
        <v>14211.567999999999</v>
      </c>
      <c r="FN57" s="210">
        <v>50132.144</v>
      </c>
      <c r="FO57" s="518">
        <v>15259.608</v>
      </c>
      <c r="FP57" s="208">
        <v>5904.4160000000002</v>
      </c>
      <c r="FQ57" s="208">
        <v>847.92800000000011</v>
      </c>
      <c r="FR57" s="208">
        <v>124357.56000000001</v>
      </c>
      <c r="FS57" s="208">
        <v>8011.9600000000009</v>
      </c>
      <c r="FT57" s="209">
        <v>204513.61600000001</v>
      </c>
      <c r="FU57" s="208">
        <v>44995.703999999998</v>
      </c>
      <c r="FV57" s="208">
        <v>5967.0240000000003</v>
      </c>
      <c r="FW57" s="208">
        <v>6940.7520000000004</v>
      </c>
      <c r="FX57" s="208">
        <v>1822.8400000000001</v>
      </c>
      <c r="FY57" s="208">
        <v>94797.736000000004</v>
      </c>
      <c r="FZ57" s="208">
        <v>5204.3440000000001</v>
      </c>
      <c r="GA57" s="207">
        <v>159728.4</v>
      </c>
      <c r="GB57" s="206">
        <v>11.415400901383848</v>
      </c>
      <c r="GC57" s="206">
        <v>155.7323047468889</v>
      </c>
      <c r="GD57" s="206">
        <v>-14.93117748624357</v>
      </c>
      <c r="GE57" s="206">
        <v>-53.483136205042683</v>
      </c>
      <c r="GF57" s="206">
        <v>31.181993629046161</v>
      </c>
      <c r="GG57" s="206">
        <v>53.947548432617083</v>
      </c>
      <c r="GH57" s="205">
        <v>28.038355107795496</v>
      </c>
      <c r="GI57" s="215" t="str">
        <f t="shared" si="148"/>
        <v>MAIOR</v>
      </c>
    </row>
    <row r="58" spans="1:191">
      <c r="A58" s="211" t="s">
        <v>97</v>
      </c>
      <c r="B58" s="208">
        <v>721921.83200000005</v>
      </c>
      <c r="C58" s="208">
        <v>172521.60000000001</v>
      </c>
      <c r="D58" s="208">
        <v>40285.736000000004</v>
      </c>
      <c r="E58" s="208">
        <v>29222.471999999998</v>
      </c>
      <c r="F58" s="208">
        <v>487398.92</v>
      </c>
      <c r="G58" s="208">
        <v>65183.392000000007</v>
      </c>
      <c r="H58" s="209">
        <v>1516533.952</v>
      </c>
      <c r="I58" s="208">
        <v>861931.18400000001</v>
      </c>
      <c r="J58" s="208">
        <v>131183.56000000003</v>
      </c>
      <c r="K58" s="208">
        <v>98484.488000000012</v>
      </c>
      <c r="L58" s="208">
        <v>31813.528000000006</v>
      </c>
      <c r="M58" s="208">
        <v>544917.83200000005</v>
      </c>
      <c r="N58" s="208">
        <v>47822.792000000001</v>
      </c>
      <c r="O58" s="209">
        <v>1716153.3840000001</v>
      </c>
      <c r="P58" s="208">
        <v>833878.45600000001</v>
      </c>
      <c r="Q58" s="208">
        <v>138700.28000000006</v>
      </c>
      <c r="R58" s="208">
        <v>31560.408000000003</v>
      </c>
      <c r="S58" s="208">
        <v>9445.4719999999979</v>
      </c>
      <c r="T58" s="208">
        <v>527061.576</v>
      </c>
      <c r="U58" s="208">
        <v>37051.296000000002</v>
      </c>
      <c r="V58" s="209">
        <v>1577697.4880000001</v>
      </c>
      <c r="W58" s="208">
        <v>797194.24800000014</v>
      </c>
      <c r="X58" s="208">
        <v>89675.648000000001</v>
      </c>
      <c r="Y58" s="208">
        <v>116429.144</v>
      </c>
      <c r="Z58" s="208">
        <v>23029.248000000003</v>
      </c>
      <c r="AA58" s="208">
        <v>556669.44000000006</v>
      </c>
      <c r="AB58" s="208">
        <v>33525.144</v>
      </c>
      <c r="AC58" s="209">
        <v>1616522.8720000002</v>
      </c>
      <c r="AD58" s="208">
        <v>580122.696</v>
      </c>
      <c r="AE58" s="208">
        <v>126231.69599999998</v>
      </c>
      <c r="AF58" s="208">
        <v>22076.544000000002</v>
      </c>
      <c r="AG58" s="208">
        <v>14906.064000000002</v>
      </c>
      <c r="AH58" s="208">
        <v>637458.6</v>
      </c>
      <c r="AI58" s="208">
        <v>34771.368000000002</v>
      </c>
      <c r="AJ58" s="209">
        <v>1415566.9680000001</v>
      </c>
      <c r="AK58" s="208">
        <v>402252.84</v>
      </c>
      <c r="AL58" s="208">
        <v>98485.952000000005</v>
      </c>
      <c r="AM58" s="208">
        <v>62860.743999999999</v>
      </c>
      <c r="AN58" s="208">
        <v>27382.712</v>
      </c>
      <c r="AO58" s="208">
        <v>538725</v>
      </c>
      <c r="AP58" s="208">
        <v>38866.096000000005</v>
      </c>
      <c r="AQ58" s="209">
        <v>1168573.3439999998</v>
      </c>
      <c r="AR58" s="208">
        <v>438359.22400000005</v>
      </c>
      <c r="AS58" s="208">
        <v>98343.54399999998</v>
      </c>
      <c r="AT58" s="208">
        <v>16150.68</v>
      </c>
      <c r="AU58" s="208">
        <v>14945.704000000005</v>
      </c>
      <c r="AV58" s="208">
        <v>590407.12800000014</v>
      </c>
      <c r="AW58" s="208">
        <v>40465.896000000008</v>
      </c>
      <c r="AX58" s="209">
        <v>1198672.1760000002</v>
      </c>
      <c r="AY58" s="208">
        <v>173775.40000000002</v>
      </c>
      <c r="AZ58" s="208">
        <v>55000.512000000002</v>
      </c>
      <c r="BA58" s="208">
        <v>28207.768</v>
      </c>
      <c r="BB58" s="208">
        <v>11017.24</v>
      </c>
      <c r="BC58" s="208">
        <v>314145.24</v>
      </c>
      <c r="BD58" s="208">
        <v>24445.903999999999</v>
      </c>
      <c r="BE58" s="209">
        <v>606592.06400000001</v>
      </c>
      <c r="BF58" s="208">
        <v>365327.12000000005</v>
      </c>
      <c r="BG58" s="208">
        <v>95921.176000000007</v>
      </c>
      <c r="BH58" s="208">
        <v>20386.536</v>
      </c>
      <c r="BI58" s="208">
        <v>9129.3200000000015</v>
      </c>
      <c r="BJ58" s="208">
        <v>627350.16</v>
      </c>
      <c r="BK58" s="208">
        <v>50899.544000000009</v>
      </c>
      <c r="BL58" s="209">
        <v>1169013.8560000001</v>
      </c>
      <c r="BM58" s="208">
        <v>163836.448</v>
      </c>
      <c r="BN58" s="208">
        <v>44244.456000000006</v>
      </c>
      <c r="BO58" s="208">
        <v>25030.760000000002</v>
      </c>
      <c r="BP58" s="208">
        <v>8636.344000000001</v>
      </c>
      <c r="BQ58" s="208">
        <v>446652</v>
      </c>
      <c r="BR58" s="208">
        <v>17703.04</v>
      </c>
      <c r="BS58" s="209">
        <v>706103.04800000007</v>
      </c>
      <c r="BT58" s="208">
        <v>349163.77600000001</v>
      </c>
      <c r="BU58" s="208">
        <v>79676.975999999995</v>
      </c>
      <c r="BV58" s="208">
        <v>21469.608</v>
      </c>
      <c r="BW58" s="208">
        <v>13046.351999999999</v>
      </c>
      <c r="BX58" s="208">
        <v>655716.48</v>
      </c>
      <c r="BY58" s="208">
        <v>58640.776000000005</v>
      </c>
      <c r="BZ58" s="209">
        <v>1177713.9680000001</v>
      </c>
      <c r="CA58" s="208">
        <v>256787.51200000002</v>
      </c>
      <c r="CB58" s="208">
        <v>58944.072</v>
      </c>
      <c r="CC58" s="208">
        <v>37227.167999999998</v>
      </c>
      <c r="CD58" s="208">
        <v>12704.704</v>
      </c>
      <c r="CE58" s="208">
        <v>527206.07999999996</v>
      </c>
      <c r="CF58" s="208">
        <v>22149.696000000004</v>
      </c>
      <c r="CG58" s="209">
        <v>915019.23200000008</v>
      </c>
      <c r="CH58" s="208">
        <v>240016.6</v>
      </c>
      <c r="CI58" s="208">
        <v>73348.656000000003</v>
      </c>
      <c r="CJ58" s="208">
        <v>31429.488000000001</v>
      </c>
      <c r="CK58" s="208">
        <v>7881.7200000000012</v>
      </c>
      <c r="CL58" s="208">
        <v>707042.28</v>
      </c>
      <c r="CM58" s="208">
        <v>57784.576000000008</v>
      </c>
      <c r="CN58" s="209">
        <v>1117503.32</v>
      </c>
      <c r="CO58" s="208">
        <v>353290.50400000002</v>
      </c>
      <c r="CP58" s="208">
        <v>62622.031999999985</v>
      </c>
      <c r="CQ58" s="208">
        <v>43995.936000000002</v>
      </c>
      <c r="CR58" s="208">
        <v>13106.088000000002</v>
      </c>
      <c r="CS58" s="208">
        <v>549068.52</v>
      </c>
      <c r="CT58" s="208">
        <v>29538.544000000002</v>
      </c>
      <c r="CU58" s="209">
        <v>1051621.6240000001</v>
      </c>
      <c r="CV58" s="208">
        <v>168765.448</v>
      </c>
      <c r="CW58" s="208">
        <v>68442.319999999992</v>
      </c>
      <c r="CX58" s="208">
        <v>135283.728</v>
      </c>
      <c r="CY58" s="208">
        <v>12114.519999999997</v>
      </c>
      <c r="CZ58" s="208">
        <v>729296.52</v>
      </c>
      <c r="DA58" s="208">
        <v>58741.768000000011</v>
      </c>
      <c r="DB58" s="209">
        <v>1172644.304</v>
      </c>
      <c r="DC58" s="208">
        <v>412251.95200000005</v>
      </c>
      <c r="DD58" s="208">
        <v>70627.512000000061</v>
      </c>
      <c r="DE58" s="208">
        <v>66542.248000000007</v>
      </c>
      <c r="DF58" s="208">
        <v>12905.704000000005</v>
      </c>
      <c r="DG58" s="208">
        <v>633854.04000000015</v>
      </c>
      <c r="DH58" s="208">
        <v>36322.584000000003</v>
      </c>
      <c r="DI58" s="209">
        <v>1232504.0400000003</v>
      </c>
      <c r="DJ58" s="208">
        <v>115417.488</v>
      </c>
      <c r="DK58" s="208">
        <v>60437.680000000008</v>
      </c>
      <c r="DL58" s="208">
        <v>48527.040000000008</v>
      </c>
      <c r="DM58" s="208">
        <v>10279.983999999997</v>
      </c>
      <c r="DN58" s="208">
        <v>682515.6</v>
      </c>
      <c r="DO58" s="208">
        <v>46202.44</v>
      </c>
      <c r="DP58" s="209">
        <v>963380.23200000008</v>
      </c>
      <c r="DQ58" s="208">
        <v>158552.85600000003</v>
      </c>
      <c r="DR58" s="208">
        <v>77108.551999999952</v>
      </c>
      <c r="DS58" s="208">
        <v>23378.2</v>
      </c>
      <c r="DT58" s="208">
        <v>8145.7280000000028</v>
      </c>
      <c r="DU58" s="208">
        <v>633227.16</v>
      </c>
      <c r="DV58" s="208">
        <v>41373.880000000005</v>
      </c>
      <c r="DW58" s="209">
        <v>941786.37600000005</v>
      </c>
      <c r="DX58" s="208">
        <v>99927.112000000008</v>
      </c>
      <c r="DY58" s="208">
        <v>67000.472000000009</v>
      </c>
      <c r="DZ58" s="208">
        <v>40849.392</v>
      </c>
      <c r="EA58" s="208">
        <v>12084.168</v>
      </c>
      <c r="EB58" s="208">
        <v>689097.84</v>
      </c>
      <c r="EC58" s="208">
        <v>51041.536</v>
      </c>
      <c r="ED58" s="209">
        <v>960000.5199999999</v>
      </c>
      <c r="EE58" s="208">
        <v>75680.639999999999</v>
      </c>
      <c r="EF58" s="208">
        <v>127105.67199999998</v>
      </c>
      <c r="EG58" s="208">
        <v>12853.656000000001</v>
      </c>
      <c r="EH58" s="208">
        <v>8678.5360000000019</v>
      </c>
      <c r="EI58" s="208">
        <v>712135.68000000005</v>
      </c>
      <c r="EJ58" s="208">
        <v>40667.632000000005</v>
      </c>
      <c r="EK58" s="209">
        <v>977121.81599999999</v>
      </c>
      <c r="EL58" s="208">
        <v>89647.528000000006</v>
      </c>
      <c r="EM58" s="208">
        <v>63265.024000000005</v>
      </c>
      <c r="EN58" s="208">
        <v>39490.584000000003</v>
      </c>
      <c r="EO58" s="208">
        <v>11400.807999999997</v>
      </c>
      <c r="EP58" s="208">
        <v>672563.88</v>
      </c>
      <c r="EQ58" s="208">
        <v>51491.136000000006</v>
      </c>
      <c r="ER58" s="209">
        <v>927858.96000000008</v>
      </c>
      <c r="ES58" s="208">
        <v>129152.29600000003</v>
      </c>
      <c r="ET58" s="208">
        <v>61135.463999999993</v>
      </c>
      <c r="EU58" s="208">
        <v>22386.495999999999</v>
      </c>
      <c r="EV58" s="208">
        <v>8250.4639999999999</v>
      </c>
      <c r="EW58" s="208">
        <v>628603.92000000004</v>
      </c>
      <c r="EX58" s="208">
        <v>45341.112000000001</v>
      </c>
      <c r="EY58" s="209">
        <v>894869.75199999998</v>
      </c>
      <c r="EZ58" s="208">
        <v>115289.40000000001</v>
      </c>
      <c r="FA58" s="208">
        <v>92642.64</v>
      </c>
      <c r="FB58" s="208">
        <v>43338.304000000004</v>
      </c>
      <c r="FC58" s="208">
        <v>19736.216</v>
      </c>
      <c r="FD58" s="208">
        <v>670526.52</v>
      </c>
      <c r="FE58" s="208">
        <v>51983.703999999998</v>
      </c>
      <c r="FF58" s="209">
        <v>993516.7840000001</v>
      </c>
      <c r="FG58" s="208">
        <v>178814.13600000003</v>
      </c>
      <c r="FH58" s="208">
        <v>97773.655999999988</v>
      </c>
      <c r="FI58" s="208">
        <v>18873.144</v>
      </c>
      <c r="FJ58" s="208">
        <v>10486.552000000003</v>
      </c>
      <c r="FK58" s="208">
        <v>630562.92000000004</v>
      </c>
      <c r="FL58" s="208">
        <v>52777.376000000004</v>
      </c>
      <c r="FM58" s="207">
        <v>989287.7840000001</v>
      </c>
      <c r="FN58" s="210">
        <v>4117836.68</v>
      </c>
      <c r="FO58" s="518">
        <v>1136532.0639999998</v>
      </c>
      <c r="FP58" s="208">
        <v>490848.04800000007</v>
      </c>
      <c r="FQ58" s="208">
        <v>164192.79999999999</v>
      </c>
      <c r="FR58" s="208">
        <v>7676435.5040000007</v>
      </c>
      <c r="FS58" s="208">
        <v>604257.43200000015</v>
      </c>
      <c r="FT58" s="209">
        <v>14190102.528000001</v>
      </c>
      <c r="FU58" s="208">
        <v>3963520.0160000008</v>
      </c>
      <c r="FV58" s="208">
        <v>973907.08799999999</v>
      </c>
      <c r="FW58" s="208">
        <v>556269.75199999998</v>
      </c>
      <c r="FX58" s="208">
        <v>176156.84800000003</v>
      </c>
      <c r="FY58" s="208">
        <v>6715767.8319999995</v>
      </c>
      <c r="FZ58" s="208">
        <v>430533.80000000005</v>
      </c>
      <c r="GA58" s="207">
        <v>12816155.336000001</v>
      </c>
      <c r="GB58" s="206">
        <v>3.8934246169327196</v>
      </c>
      <c r="GC58" s="206">
        <v>16.698202323792913</v>
      </c>
      <c r="GD58" s="206">
        <v>-11.760787597165617</v>
      </c>
      <c r="GE58" s="206">
        <v>-6.7917019042030233</v>
      </c>
      <c r="GF58" s="206">
        <v>14.304658767721406</v>
      </c>
      <c r="GG58" s="206">
        <v>40.35075341355315</v>
      </c>
      <c r="GH58" s="205">
        <v>10.7204317986116</v>
      </c>
      <c r="GI58" s="215" t="str">
        <f t="shared" si="148"/>
        <v>MAIOR</v>
      </c>
    </row>
    <row r="59" spans="1:191">
      <c r="A59" s="211" t="s">
        <v>100</v>
      </c>
      <c r="B59" s="208">
        <v>495182.81600000005</v>
      </c>
      <c r="C59" s="208">
        <v>81582.271999999983</v>
      </c>
      <c r="D59" s="208">
        <v>23923.576000000001</v>
      </c>
      <c r="E59" s="208">
        <v>6207.3679999999995</v>
      </c>
      <c r="F59" s="208">
        <v>270821.80800000002</v>
      </c>
      <c r="G59" s="208">
        <v>37088.616000000307</v>
      </c>
      <c r="H59" s="209">
        <v>914806.45600000035</v>
      </c>
      <c r="I59" s="208">
        <v>499567.94400000008</v>
      </c>
      <c r="J59" s="208">
        <v>56408.32</v>
      </c>
      <c r="K59" s="208">
        <v>57631.528000000006</v>
      </c>
      <c r="L59" s="208">
        <v>9873.8240000000005</v>
      </c>
      <c r="M59" s="208">
        <v>244161.64800000002</v>
      </c>
      <c r="N59" s="208">
        <v>22701.640000000003</v>
      </c>
      <c r="O59" s="209">
        <v>890344.90400000021</v>
      </c>
      <c r="P59" s="208">
        <v>629082.70400000003</v>
      </c>
      <c r="Q59" s="208">
        <v>68863.496000000014</v>
      </c>
      <c r="R59" s="208">
        <v>27134.800000000003</v>
      </c>
      <c r="S59" s="208">
        <v>8576.6319999999996</v>
      </c>
      <c r="T59" s="208">
        <v>376287.41600000003</v>
      </c>
      <c r="U59" s="208">
        <v>24513.200000000004</v>
      </c>
      <c r="V59" s="209">
        <v>1134458.2480000001</v>
      </c>
      <c r="W59" s="208">
        <v>592718.48</v>
      </c>
      <c r="X59" s="208">
        <v>50157.872000000003</v>
      </c>
      <c r="Y59" s="208">
        <v>89545.631999999998</v>
      </c>
      <c r="Z59" s="208">
        <v>10202.944000000001</v>
      </c>
      <c r="AA59" s="208">
        <v>328328.40000000002</v>
      </c>
      <c r="AB59" s="208">
        <v>17646.007999999998</v>
      </c>
      <c r="AC59" s="209">
        <v>1088599.3359999999</v>
      </c>
      <c r="AD59" s="208">
        <v>407821.36800000002</v>
      </c>
      <c r="AE59" s="208">
        <v>75031.623999999996</v>
      </c>
      <c r="AF59" s="208">
        <v>13362.351999999999</v>
      </c>
      <c r="AG59" s="208">
        <v>6361.4320000000025</v>
      </c>
      <c r="AH59" s="208">
        <v>459032.88</v>
      </c>
      <c r="AI59" s="208">
        <v>24785.576000000005</v>
      </c>
      <c r="AJ59" s="209">
        <v>986395.23200000008</v>
      </c>
      <c r="AK59" s="208">
        <v>282166.728</v>
      </c>
      <c r="AL59" s="208">
        <v>36179.112000000001</v>
      </c>
      <c r="AM59" s="208">
        <v>40676.592000000004</v>
      </c>
      <c r="AN59" s="208">
        <v>6572.04</v>
      </c>
      <c r="AO59" s="208">
        <v>322294.68</v>
      </c>
      <c r="AP59" s="208">
        <v>15142.216</v>
      </c>
      <c r="AQ59" s="209">
        <v>703031.36800000002</v>
      </c>
      <c r="AR59" s="208">
        <v>306355.64799999999</v>
      </c>
      <c r="AS59" s="208">
        <v>63681.352000000006</v>
      </c>
      <c r="AT59" s="208">
        <v>9142.32</v>
      </c>
      <c r="AU59" s="208">
        <v>9189.64</v>
      </c>
      <c r="AV59" s="208">
        <v>419852.88</v>
      </c>
      <c r="AW59" s="208">
        <v>28106.800000000003</v>
      </c>
      <c r="AX59" s="209">
        <v>836328.64000000013</v>
      </c>
      <c r="AY59" s="208">
        <v>138726.52800000002</v>
      </c>
      <c r="AZ59" s="208">
        <v>19525.808000000001</v>
      </c>
      <c r="BA59" s="208">
        <v>20754.440000000002</v>
      </c>
      <c r="BB59" s="208">
        <v>4669.7120000000004</v>
      </c>
      <c r="BC59" s="208">
        <v>238998</v>
      </c>
      <c r="BD59" s="208">
        <v>9664.5759999999991</v>
      </c>
      <c r="BE59" s="209">
        <v>432339.06400000001</v>
      </c>
      <c r="BF59" s="208">
        <v>245770.45600000001</v>
      </c>
      <c r="BG59" s="208">
        <v>66565.152000000016</v>
      </c>
      <c r="BH59" s="208">
        <v>11992.992</v>
      </c>
      <c r="BI59" s="208">
        <v>8549.608000000002</v>
      </c>
      <c r="BJ59" s="208">
        <v>454707.44800000003</v>
      </c>
      <c r="BK59" s="208">
        <v>29463.984000000004</v>
      </c>
      <c r="BL59" s="209">
        <v>817049.64000000013</v>
      </c>
      <c r="BM59" s="208">
        <v>118827.63200000001</v>
      </c>
      <c r="BN59" s="208">
        <v>20184.176000000003</v>
      </c>
      <c r="BO59" s="208">
        <v>14580.064000000002</v>
      </c>
      <c r="BP59" s="208">
        <v>3281.1040000000003</v>
      </c>
      <c r="BQ59" s="208">
        <v>322529.76</v>
      </c>
      <c r="BR59" s="208">
        <v>9642.4159999999993</v>
      </c>
      <c r="BS59" s="209">
        <v>489045.15200000006</v>
      </c>
      <c r="BT59" s="208">
        <v>238331.11200000002</v>
      </c>
      <c r="BU59" s="208">
        <v>54941.175999999978</v>
      </c>
      <c r="BV59" s="208">
        <v>18145.168000000001</v>
      </c>
      <c r="BW59" s="208">
        <v>6183.0239999999994</v>
      </c>
      <c r="BX59" s="208">
        <v>481600.56000000006</v>
      </c>
      <c r="BY59" s="208">
        <v>39703.952000000005</v>
      </c>
      <c r="BZ59" s="209">
        <v>838904.99200000009</v>
      </c>
      <c r="CA59" s="208">
        <v>183298.66400000002</v>
      </c>
      <c r="CB59" s="208">
        <v>26316.216</v>
      </c>
      <c r="CC59" s="208">
        <v>28890.368000000002</v>
      </c>
      <c r="CD59" s="208">
        <v>4661.6400000000003</v>
      </c>
      <c r="CE59" s="208">
        <v>352933.44</v>
      </c>
      <c r="CF59" s="208">
        <v>14790.656000000003</v>
      </c>
      <c r="CG59" s="209">
        <v>610890.98399999994</v>
      </c>
      <c r="CH59" s="208">
        <v>168498.424</v>
      </c>
      <c r="CI59" s="208">
        <v>61141.840000000004</v>
      </c>
      <c r="CJ59" s="208">
        <v>17624.344000000001</v>
      </c>
      <c r="CK59" s="208">
        <v>5452.5919999999987</v>
      </c>
      <c r="CL59" s="208">
        <v>473137.68000000011</v>
      </c>
      <c r="CM59" s="208">
        <v>44907.104000000007</v>
      </c>
      <c r="CN59" s="209">
        <v>770761.98400000017</v>
      </c>
      <c r="CO59" s="208">
        <v>241949.53599999999</v>
      </c>
      <c r="CP59" s="208">
        <v>36762.688000000038</v>
      </c>
      <c r="CQ59" s="208">
        <v>27032.152000000002</v>
      </c>
      <c r="CR59" s="208">
        <v>3170.8079999999959</v>
      </c>
      <c r="CS59" s="208">
        <v>385221.76</v>
      </c>
      <c r="CT59" s="208">
        <v>14193.432000000001</v>
      </c>
      <c r="CU59" s="209">
        <v>708330.37600000016</v>
      </c>
      <c r="CV59" s="208">
        <v>106797.08000000002</v>
      </c>
      <c r="CW59" s="208">
        <v>54939.608</v>
      </c>
      <c r="CX59" s="208">
        <v>91912.712</v>
      </c>
      <c r="CY59" s="208">
        <v>5645.2240000000056</v>
      </c>
      <c r="CZ59" s="208">
        <v>484186.44</v>
      </c>
      <c r="DA59" s="208">
        <v>40177.488000000005</v>
      </c>
      <c r="DB59" s="209">
        <v>783658.55200000003</v>
      </c>
      <c r="DC59" s="208">
        <v>297526.68</v>
      </c>
      <c r="DD59" s="208">
        <v>36805.032000000028</v>
      </c>
      <c r="DE59" s="208">
        <v>43838.928000000007</v>
      </c>
      <c r="DF59" s="208">
        <v>3901.3119999999999</v>
      </c>
      <c r="DG59" s="208">
        <v>424162.68</v>
      </c>
      <c r="DH59" s="208">
        <v>17491.504000000001</v>
      </c>
      <c r="DI59" s="209">
        <v>823726.13599999994</v>
      </c>
      <c r="DJ59" s="208">
        <v>76905.487999999998</v>
      </c>
      <c r="DK59" s="208">
        <v>43272.288</v>
      </c>
      <c r="DL59" s="208">
        <v>28322.576000000001</v>
      </c>
      <c r="DM59" s="208">
        <v>8800.0319999999974</v>
      </c>
      <c r="DN59" s="208">
        <v>474704.88</v>
      </c>
      <c r="DO59" s="208">
        <v>34771.632000000005</v>
      </c>
      <c r="DP59" s="209">
        <v>666776.89599999995</v>
      </c>
      <c r="DQ59" s="208">
        <v>93282.816000000006</v>
      </c>
      <c r="DR59" s="208">
        <v>40565.167999999983</v>
      </c>
      <c r="DS59" s="208">
        <v>10427.992</v>
      </c>
      <c r="DT59" s="208">
        <v>2873.3439999999991</v>
      </c>
      <c r="DU59" s="208">
        <v>420714.84000000008</v>
      </c>
      <c r="DV59" s="208">
        <v>26991.728000000003</v>
      </c>
      <c r="DW59" s="209">
        <v>594855.88800000015</v>
      </c>
      <c r="DX59" s="208">
        <v>60915.216000000008</v>
      </c>
      <c r="DY59" s="208">
        <v>40840.216000000008</v>
      </c>
      <c r="DZ59" s="208">
        <v>29531.072</v>
      </c>
      <c r="EA59" s="208">
        <v>6622.2160000000022</v>
      </c>
      <c r="EB59" s="208">
        <v>454096.20000000007</v>
      </c>
      <c r="EC59" s="208">
        <v>30703.240000000005</v>
      </c>
      <c r="ED59" s="209">
        <v>622708.16000000015</v>
      </c>
      <c r="EE59" s="208">
        <v>35460.752</v>
      </c>
      <c r="EF59" s="208">
        <v>84830.52</v>
      </c>
      <c r="EG59" s="208">
        <v>5050.232</v>
      </c>
      <c r="EH59" s="208">
        <v>5789.3840000000009</v>
      </c>
      <c r="EI59" s="208">
        <v>459424.68</v>
      </c>
      <c r="EJ59" s="208">
        <v>28090.088000000011</v>
      </c>
      <c r="EK59" s="209">
        <v>618645.65599999996</v>
      </c>
      <c r="EL59" s="208">
        <v>60459.416000000005</v>
      </c>
      <c r="EM59" s="208">
        <v>43025.90400000001</v>
      </c>
      <c r="EN59" s="208">
        <v>18069.912</v>
      </c>
      <c r="EO59" s="208">
        <v>5342.2240000000011</v>
      </c>
      <c r="EP59" s="208">
        <v>440853.36000000004</v>
      </c>
      <c r="EQ59" s="208">
        <v>34266.680000000008</v>
      </c>
      <c r="ER59" s="209">
        <v>602017.49600000016</v>
      </c>
      <c r="ES59" s="208">
        <v>65740.432000000015</v>
      </c>
      <c r="ET59" s="208">
        <v>34924.752</v>
      </c>
      <c r="EU59" s="208">
        <v>5332.1360000000004</v>
      </c>
      <c r="EV59" s="208">
        <v>4310.9360000000006</v>
      </c>
      <c r="EW59" s="208">
        <v>398538.96</v>
      </c>
      <c r="EX59" s="208">
        <v>26978.432000000001</v>
      </c>
      <c r="EY59" s="209">
        <v>535825.64800000004</v>
      </c>
      <c r="EZ59" s="208">
        <v>69960.495999999999</v>
      </c>
      <c r="FA59" s="208">
        <v>68402.159999999989</v>
      </c>
      <c r="FB59" s="208">
        <v>24089.104000000003</v>
      </c>
      <c r="FC59" s="208">
        <v>7986.52</v>
      </c>
      <c r="FD59" s="208">
        <v>409744.44</v>
      </c>
      <c r="FE59" s="208">
        <v>34841.639999999992</v>
      </c>
      <c r="FF59" s="209">
        <v>615024.36</v>
      </c>
      <c r="FG59" s="208">
        <v>65009.616000000009</v>
      </c>
      <c r="FH59" s="208">
        <v>41731.792000000009</v>
      </c>
      <c r="FI59" s="208">
        <v>8882.6880000000001</v>
      </c>
      <c r="FJ59" s="208">
        <v>6651.8480000000018</v>
      </c>
      <c r="FK59" s="208">
        <v>396423.24</v>
      </c>
      <c r="FL59" s="208">
        <v>27771.512000000002</v>
      </c>
      <c r="FM59" s="207">
        <v>546470.696</v>
      </c>
      <c r="FN59" s="210">
        <v>2866080.2240000004</v>
      </c>
      <c r="FO59" s="518">
        <v>722287.08799999999</v>
      </c>
      <c r="FP59" s="208">
        <v>313250.92800000001</v>
      </c>
      <c r="FQ59" s="208">
        <v>84916.512000000017</v>
      </c>
      <c r="FR59" s="208">
        <v>5199025.9920000015</v>
      </c>
      <c r="FS59" s="208">
        <v>403329.9120000003</v>
      </c>
      <c r="FT59" s="209">
        <v>9588890.6560000032</v>
      </c>
      <c r="FU59" s="208">
        <v>2614275.8080000002</v>
      </c>
      <c r="FV59" s="208">
        <v>484391.45600000006</v>
      </c>
      <c r="FW59" s="208">
        <v>352642.75200000009</v>
      </c>
      <c r="FX59" s="208">
        <v>65958.895999999993</v>
      </c>
      <c r="FY59" s="208">
        <v>4293732.0880000005</v>
      </c>
      <c r="FZ59" s="208">
        <v>231104.20800000004</v>
      </c>
      <c r="GA59" s="207">
        <v>8042105.2080000015</v>
      </c>
      <c r="GB59" s="206">
        <v>9.6318994051602544</v>
      </c>
      <c r="GC59" s="206">
        <v>49.1122684046681</v>
      </c>
      <c r="GD59" s="206">
        <v>-11.170461827611888</v>
      </c>
      <c r="GE59" s="206">
        <v>28.741560501558467</v>
      </c>
      <c r="GF59" s="206">
        <v>21.084079897068818</v>
      </c>
      <c r="GG59" s="206">
        <v>74.52296325127935</v>
      </c>
      <c r="GH59" s="205">
        <v>19.233588817780117</v>
      </c>
      <c r="GI59" s="215" t="str">
        <f t="shared" si="148"/>
        <v>MAIOR</v>
      </c>
    </row>
    <row r="60" spans="1:191">
      <c r="A60" s="211" t="s">
        <v>102</v>
      </c>
      <c r="B60" s="208">
        <v>55705.207999999999</v>
      </c>
      <c r="C60" s="208">
        <v>19094.976000000002</v>
      </c>
      <c r="D60" s="208">
        <v>2121.2560000000003</v>
      </c>
      <c r="E60" s="208">
        <v>1962.9279999999997</v>
      </c>
      <c r="F60" s="208">
        <v>45950.856</v>
      </c>
      <c r="G60" s="208">
        <v>7204.2399999999952</v>
      </c>
      <c r="H60" s="209">
        <v>132039.46400000001</v>
      </c>
      <c r="I60" s="208">
        <v>53316.256000000008</v>
      </c>
      <c r="J60" s="208">
        <v>10739.464</v>
      </c>
      <c r="K60" s="208">
        <v>7274.0560000000005</v>
      </c>
      <c r="L60" s="208">
        <v>347</v>
      </c>
      <c r="M60" s="208">
        <v>47771.528000000006</v>
      </c>
      <c r="N60" s="208">
        <v>4694.9279999999999</v>
      </c>
      <c r="O60" s="209">
        <v>124143.23200000002</v>
      </c>
      <c r="P60" s="208">
        <v>62915.568000000007</v>
      </c>
      <c r="Q60" s="208">
        <v>20645.623999999996</v>
      </c>
      <c r="R60" s="208">
        <v>2559.7280000000001</v>
      </c>
      <c r="S60" s="208">
        <v>623.33600000000024</v>
      </c>
      <c r="T60" s="208">
        <v>53676.600000000006</v>
      </c>
      <c r="U60" s="208">
        <v>4287.6639999999998</v>
      </c>
      <c r="V60" s="209">
        <v>144708.52000000002</v>
      </c>
      <c r="W60" s="208">
        <v>51482.008000000002</v>
      </c>
      <c r="X60" s="208">
        <v>10287.496000000001</v>
      </c>
      <c r="Y60" s="208">
        <v>5950.2800000000007</v>
      </c>
      <c r="Z60" s="208">
        <v>517.10400000000004</v>
      </c>
      <c r="AA60" s="208">
        <v>40825.56</v>
      </c>
      <c r="AB60" s="208">
        <v>4659.9920000000002</v>
      </c>
      <c r="AC60" s="209">
        <v>113722.44</v>
      </c>
      <c r="AD60" s="208">
        <v>55686.695999999996</v>
      </c>
      <c r="AE60" s="208">
        <v>17060.960000000003</v>
      </c>
      <c r="AF60" s="208">
        <v>1997.4160000000002</v>
      </c>
      <c r="AG60" s="208">
        <v>1107.8000000000002</v>
      </c>
      <c r="AH60" s="208">
        <v>64176.840000000004</v>
      </c>
      <c r="AI60" s="208">
        <v>5593.9120000000003</v>
      </c>
      <c r="AJ60" s="209">
        <v>145623.62400000001</v>
      </c>
      <c r="AK60" s="208">
        <v>33554.768000000004</v>
      </c>
      <c r="AL60" s="208">
        <v>7317.3600000000006</v>
      </c>
      <c r="AM60" s="208">
        <v>4997.9120000000003</v>
      </c>
      <c r="AN60" s="208">
        <v>684.29599999999994</v>
      </c>
      <c r="AO60" s="208">
        <v>41452.44</v>
      </c>
      <c r="AP60" s="208">
        <v>3558.9360000000001</v>
      </c>
      <c r="AQ60" s="209">
        <v>91565.712000000014</v>
      </c>
      <c r="AR60" s="208">
        <v>37402.288</v>
      </c>
      <c r="AS60" s="208">
        <v>15768.744000000001</v>
      </c>
      <c r="AT60" s="208">
        <v>1750.8080000000002</v>
      </c>
      <c r="AU60" s="208">
        <v>1400.704</v>
      </c>
      <c r="AV60" s="208">
        <v>64098.48000000001</v>
      </c>
      <c r="AW60" s="208">
        <v>4520.2160000000003</v>
      </c>
      <c r="AX60" s="209">
        <v>124941.24</v>
      </c>
      <c r="AY60" s="208">
        <v>17529.223999999998</v>
      </c>
      <c r="AZ60" s="208">
        <v>4609.6160000000009</v>
      </c>
      <c r="BA60" s="208">
        <v>967.58400000000006</v>
      </c>
      <c r="BB60" s="208">
        <v>110.56</v>
      </c>
      <c r="BC60" s="208">
        <v>28601.4</v>
      </c>
      <c r="BD60" s="208">
        <v>2073.8240000000001</v>
      </c>
      <c r="BE60" s="209">
        <v>53892.208000000006</v>
      </c>
      <c r="BF60" s="208">
        <v>34974.496000000006</v>
      </c>
      <c r="BG60" s="208">
        <v>13199.903999999999</v>
      </c>
      <c r="BH60" s="208">
        <v>941.97600000000011</v>
      </c>
      <c r="BI60" s="208">
        <v>1028.944</v>
      </c>
      <c r="BJ60" s="208">
        <v>55635.600000000006</v>
      </c>
      <c r="BK60" s="208">
        <v>4622.808</v>
      </c>
      <c r="BL60" s="209">
        <v>110403.72800000002</v>
      </c>
      <c r="BM60" s="208">
        <v>13182.032000000001</v>
      </c>
      <c r="BN60" s="208">
        <v>4824.8480000000009</v>
      </c>
      <c r="BO60" s="208">
        <v>1005.672</v>
      </c>
      <c r="BP60" s="208">
        <v>639.18400000000008</v>
      </c>
      <c r="BQ60" s="208">
        <v>27739.440000000002</v>
      </c>
      <c r="BR60" s="208">
        <v>1719.0239999999999</v>
      </c>
      <c r="BS60" s="209">
        <v>49110.200000000004</v>
      </c>
      <c r="BT60" s="208">
        <v>30575.176000000003</v>
      </c>
      <c r="BU60" s="208">
        <v>15267.912</v>
      </c>
      <c r="BV60" s="208">
        <v>1380.432</v>
      </c>
      <c r="BW60" s="208">
        <v>1080.5759999999998</v>
      </c>
      <c r="BX60" s="208">
        <v>58456.560000000005</v>
      </c>
      <c r="BY60" s="208">
        <v>6814.6319999999996</v>
      </c>
      <c r="BZ60" s="209">
        <v>113575.28800000002</v>
      </c>
      <c r="CA60" s="208">
        <v>24239.119999999999</v>
      </c>
      <c r="CB60" s="208">
        <v>10043.416000000001</v>
      </c>
      <c r="CC60" s="208">
        <v>1158.056</v>
      </c>
      <c r="CD60" s="208">
        <v>1288.1280000000002</v>
      </c>
      <c r="CE60" s="208">
        <v>36515.760000000002</v>
      </c>
      <c r="CF60" s="208">
        <v>3492.4560000000001</v>
      </c>
      <c r="CG60" s="209">
        <v>76736.936000000002</v>
      </c>
      <c r="CH60" s="208">
        <v>27722.024000000001</v>
      </c>
      <c r="CI60" s="208">
        <v>15227.488000000001</v>
      </c>
      <c r="CJ60" s="208">
        <v>1688.8560000000002</v>
      </c>
      <c r="CK60" s="208">
        <v>1246.2559999999999</v>
      </c>
      <c r="CL60" s="208">
        <v>66057.48000000001</v>
      </c>
      <c r="CM60" s="208">
        <v>8081.6560000000009</v>
      </c>
      <c r="CN60" s="209">
        <v>120023.76000000002</v>
      </c>
      <c r="CO60" s="208">
        <v>47235</v>
      </c>
      <c r="CP60" s="208">
        <v>13197.463999999991</v>
      </c>
      <c r="CQ60" s="208">
        <v>2377.08</v>
      </c>
      <c r="CR60" s="208">
        <v>343.48799999999977</v>
      </c>
      <c r="CS60" s="208">
        <v>44978.640000000007</v>
      </c>
      <c r="CT60" s="208">
        <v>4263.6719999999996</v>
      </c>
      <c r="CU60" s="209">
        <v>112395.344</v>
      </c>
      <c r="CV60" s="208">
        <v>19180.007999999998</v>
      </c>
      <c r="CW60" s="208">
        <v>14799.696</v>
      </c>
      <c r="CX60" s="208">
        <v>4910.92</v>
      </c>
      <c r="CY60" s="208">
        <v>209.66400000000036</v>
      </c>
      <c r="CZ60" s="208">
        <v>64098.479999999996</v>
      </c>
      <c r="DA60" s="208">
        <v>8250.1840000000011</v>
      </c>
      <c r="DB60" s="209">
        <v>111448.95199999999</v>
      </c>
      <c r="DC60" s="208">
        <v>41985.216</v>
      </c>
      <c r="DD60" s="208">
        <v>14934.256000000001</v>
      </c>
      <c r="DE60" s="208">
        <v>2927.1680000000001</v>
      </c>
      <c r="DF60" s="208">
        <v>158.07199999999978</v>
      </c>
      <c r="DG60" s="208">
        <v>45292.08</v>
      </c>
      <c r="DH60" s="208">
        <v>6630.8480000000009</v>
      </c>
      <c r="DI60" s="209">
        <v>111927.64</v>
      </c>
      <c r="DJ60" s="208">
        <v>15569.432000000001</v>
      </c>
      <c r="DK60" s="208">
        <v>10897.456</v>
      </c>
      <c r="DL60" s="208">
        <v>3607.2480000000005</v>
      </c>
      <c r="DM60" s="208">
        <v>1386.3039999999994</v>
      </c>
      <c r="DN60" s="208">
        <v>65195.520000000004</v>
      </c>
      <c r="DO60" s="208">
        <v>7315.2</v>
      </c>
      <c r="DP60" s="209">
        <v>103971.16</v>
      </c>
      <c r="DQ60" s="208">
        <v>17703.135999999999</v>
      </c>
      <c r="DR60" s="208">
        <v>11504.744000000001</v>
      </c>
      <c r="DS60" s="208">
        <v>1037.7040000000002</v>
      </c>
      <c r="DT60" s="208">
        <v>772.33599999999979</v>
      </c>
      <c r="DU60" s="208">
        <v>51560.880000000005</v>
      </c>
      <c r="DV60" s="208">
        <v>5975.648000000001</v>
      </c>
      <c r="DW60" s="209">
        <v>88554.448000000004</v>
      </c>
      <c r="DX60" s="208">
        <v>11129.448</v>
      </c>
      <c r="DY60" s="208">
        <v>8173.8960000000006</v>
      </c>
      <c r="DZ60" s="208">
        <v>3263.6320000000001</v>
      </c>
      <c r="EA60" s="208">
        <v>511.87999999999988</v>
      </c>
      <c r="EB60" s="208">
        <v>60415.56</v>
      </c>
      <c r="EC60" s="208">
        <v>5406.6240000000007</v>
      </c>
      <c r="ED60" s="209">
        <v>88901.04</v>
      </c>
      <c r="EE60" s="208">
        <v>7342.4000000000005</v>
      </c>
      <c r="EF60" s="208">
        <v>18527.680000000004</v>
      </c>
      <c r="EG60" s="208">
        <v>365.69600000000003</v>
      </c>
      <c r="EH60" s="208">
        <v>1251.6080000000002</v>
      </c>
      <c r="EI60" s="208">
        <v>59945.4</v>
      </c>
      <c r="EJ60" s="208">
        <v>7528.4720000000016</v>
      </c>
      <c r="EK60" s="209">
        <v>94961.256000000023</v>
      </c>
      <c r="EL60" s="208">
        <v>10846.544000000002</v>
      </c>
      <c r="EM60" s="208">
        <v>15345.712</v>
      </c>
      <c r="EN60" s="208">
        <v>2171.288</v>
      </c>
      <c r="EO60" s="208">
        <v>885.32799999999997</v>
      </c>
      <c r="EP60" s="208">
        <v>60180.480000000003</v>
      </c>
      <c r="EQ60" s="208">
        <v>8772.6239999999998</v>
      </c>
      <c r="ER60" s="209">
        <v>98201.97600000001</v>
      </c>
      <c r="ES60" s="208">
        <v>11989.376000000004</v>
      </c>
      <c r="ET60" s="208">
        <v>11807.264000000001</v>
      </c>
      <c r="EU60" s="208">
        <v>717.68000000000006</v>
      </c>
      <c r="EV60" s="208">
        <v>380.32799999999997</v>
      </c>
      <c r="EW60" s="208">
        <v>51169.08</v>
      </c>
      <c r="EX60" s="208">
        <v>7383.1200000000008</v>
      </c>
      <c r="EY60" s="209">
        <v>83446.847999999998</v>
      </c>
      <c r="EZ60" s="208">
        <v>10716.424000000001</v>
      </c>
      <c r="FA60" s="208">
        <v>10726.696000000002</v>
      </c>
      <c r="FB60" s="208">
        <v>2749.28</v>
      </c>
      <c r="FC60" s="208">
        <v>1306.3440000000001</v>
      </c>
      <c r="FD60" s="208">
        <v>51482.520000000004</v>
      </c>
      <c r="FE60" s="208">
        <v>5350.1919999999991</v>
      </c>
      <c r="FF60" s="209">
        <v>82331.456000000006</v>
      </c>
      <c r="FG60" s="208">
        <v>9627.0240000000013</v>
      </c>
      <c r="FH60" s="208">
        <v>11711.776</v>
      </c>
      <c r="FI60" s="208">
        <v>1112.3520000000001</v>
      </c>
      <c r="FJ60" s="208">
        <v>487.37599999999986</v>
      </c>
      <c r="FK60" s="208">
        <v>47407.8</v>
      </c>
      <c r="FL60" s="208">
        <v>5616.2080000000005</v>
      </c>
      <c r="FM60" s="207">
        <v>75962.536000000007</v>
      </c>
      <c r="FN60" s="210">
        <v>372423.31199999992</v>
      </c>
      <c r="FO60" s="518">
        <v>176209.06399999998</v>
      </c>
      <c r="FP60" s="208">
        <v>29142.84</v>
      </c>
      <c r="FQ60" s="208">
        <v>12750.063999999998</v>
      </c>
      <c r="FR60" s="208">
        <v>709424.97600000002</v>
      </c>
      <c r="FS60" s="208">
        <v>76219.95199999999</v>
      </c>
      <c r="FT60" s="209">
        <v>1376170.2080000001</v>
      </c>
      <c r="FU60" s="208">
        <v>329185.56</v>
      </c>
      <c r="FV60" s="208">
        <v>129505.38399999999</v>
      </c>
      <c r="FW60" s="208">
        <v>29891.24</v>
      </c>
      <c r="FX60" s="208">
        <v>6979.48</v>
      </c>
      <c r="FY60" s="208">
        <v>523260.00800000009</v>
      </c>
      <c r="FZ60" s="208">
        <v>57597.128000000012</v>
      </c>
      <c r="GA60" s="207">
        <v>1076418.8</v>
      </c>
      <c r="GB60" s="206">
        <v>13.134765692638496</v>
      </c>
      <c r="GC60" s="206">
        <v>36.063118426026222</v>
      </c>
      <c r="GD60" s="206">
        <v>-2.5037435716952672</v>
      </c>
      <c r="GE60" s="206">
        <v>82.679282697278296</v>
      </c>
      <c r="GF60" s="206">
        <v>35.577908717227984</v>
      </c>
      <c r="GG60" s="206">
        <v>32.332903821176586</v>
      </c>
      <c r="GH60" s="205">
        <v>27.847098917261576</v>
      </c>
      <c r="GI60" s="215" t="str">
        <f t="shared" si="148"/>
        <v>MAIOR</v>
      </c>
    </row>
    <row r="61" spans="1:191">
      <c r="A61" s="211" t="s">
        <v>101</v>
      </c>
      <c r="B61" s="208">
        <v>2899267.8160000001</v>
      </c>
      <c r="C61" s="208">
        <v>537658.59999999963</v>
      </c>
      <c r="D61" s="208">
        <v>171575.04000000001</v>
      </c>
      <c r="E61" s="208">
        <v>57607.280000000028</v>
      </c>
      <c r="F61" s="208">
        <v>1707285.784</v>
      </c>
      <c r="G61" s="208">
        <v>209036.51200000188</v>
      </c>
      <c r="H61" s="209">
        <v>5582431.0320000015</v>
      </c>
      <c r="I61" s="208">
        <v>3419659.3920000005</v>
      </c>
      <c r="J61" s="208">
        <v>584707.04800000007</v>
      </c>
      <c r="K61" s="208">
        <v>385907.76800000004</v>
      </c>
      <c r="L61" s="208">
        <v>70190.623999999996</v>
      </c>
      <c r="M61" s="208">
        <v>1756131.4960000003</v>
      </c>
      <c r="N61" s="208">
        <v>215271.36400000006</v>
      </c>
      <c r="O61" s="209">
        <v>6431867.6920000007</v>
      </c>
      <c r="P61" s="208">
        <v>3175271.2</v>
      </c>
      <c r="Q61" s="208">
        <v>538897.02400000021</v>
      </c>
      <c r="R61" s="208">
        <v>167341.98400000003</v>
      </c>
      <c r="S61" s="208">
        <v>48535.728000000003</v>
      </c>
      <c r="T61" s="208">
        <v>2087486.736</v>
      </c>
      <c r="U61" s="208">
        <v>199241.16000000003</v>
      </c>
      <c r="V61" s="209">
        <v>6216773.8320000004</v>
      </c>
      <c r="W61" s="208">
        <v>2968615.3440000005</v>
      </c>
      <c r="X61" s="208">
        <v>454471.14400000009</v>
      </c>
      <c r="Y61" s="208">
        <v>467816.91200000001</v>
      </c>
      <c r="Z61" s="208">
        <v>55168.52</v>
      </c>
      <c r="AA61" s="208">
        <v>1895763.4800000002</v>
      </c>
      <c r="AB61" s="208">
        <v>175661.73</v>
      </c>
      <c r="AC61" s="209">
        <v>6017497.1300000018</v>
      </c>
      <c r="AD61" s="208">
        <v>2352336.7039999999</v>
      </c>
      <c r="AE61" s="208">
        <v>515443.95200000016</v>
      </c>
      <c r="AF61" s="208">
        <v>101307.47200000001</v>
      </c>
      <c r="AG61" s="208">
        <v>65766.767999999996</v>
      </c>
      <c r="AH61" s="208">
        <v>2239594.7439999999</v>
      </c>
      <c r="AI61" s="208">
        <v>180278.976</v>
      </c>
      <c r="AJ61" s="209">
        <v>5454728.6160000004</v>
      </c>
      <c r="AK61" s="208">
        <v>1570889.5520000001</v>
      </c>
      <c r="AL61" s="208">
        <v>406613.31200000003</v>
      </c>
      <c r="AM61" s="208">
        <v>221627.05600000001</v>
      </c>
      <c r="AN61" s="208">
        <v>51641.656000000003</v>
      </c>
      <c r="AO61" s="208">
        <v>1992773.1600000001</v>
      </c>
      <c r="AP61" s="208">
        <v>163064.07399999999</v>
      </c>
      <c r="AQ61" s="209">
        <v>4406608.8099999996</v>
      </c>
      <c r="AR61" s="208">
        <v>1493177.936</v>
      </c>
      <c r="AS61" s="208">
        <v>374021.44</v>
      </c>
      <c r="AT61" s="208">
        <v>65859.432000000001</v>
      </c>
      <c r="AU61" s="208">
        <v>58567.92</v>
      </c>
      <c r="AV61" s="208">
        <v>2018338.128</v>
      </c>
      <c r="AW61" s="208">
        <v>177861.86400000003</v>
      </c>
      <c r="AX61" s="209">
        <v>4187826.7199999997</v>
      </c>
      <c r="AY61" s="208">
        <v>719121.79200000002</v>
      </c>
      <c r="AZ61" s="208">
        <v>237978.12000000002</v>
      </c>
      <c r="BA61" s="208">
        <v>95789.352000000014</v>
      </c>
      <c r="BB61" s="208">
        <v>24785.312000000002</v>
      </c>
      <c r="BC61" s="208">
        <v>1007239.4400000001</v>
      </c>
      <c r="BD61" s="208">
        <v>91893.760000000009</v>
      </c>
      <c r="BE61" s="209">
        <v>2176807.7759999996</v>
      </c>
      <c r="BF61" s="208">
        <v>1262985.0480000002</v>
      </c>
      <c r="BG61" s="208">
        <v>424847.75199999998</v>
      </c>
      <c r="BH61" s="208">
        <v>47326.752000000008</v>
      </c>
      <c r="BI61" s="208">
        <v>53494.32</v>
      </c>
      <c r="BJ61" s="208">
        <v>2252632.4720000001</v>
      </c>
      <c r="BK61" s="208">
        <v>210334.71200000003</v>
      </c>
      <c r="BL61" s="209">
        <v>4251621.0560000008</v>
      </c>
      <c r="BM61" s="208">
        <v>603814.90399999998</v>
      </c>
      <c r="BN61" s="208">
        <v>205530.61600000001</v>
      </c>
      <c r="BO61" s="208">
        <v>72968.072</v>
      </c>
      <c r="BP61" s="208">
        <v>25577.872000000003</v>
      </c>
      <c r="BQ61" s="208">
        <v>1204236.4800000002</v>
      </c>
      <c r="BR61" s="208">
        <v>83124.637999999992</v>
      </c>
      <c r="BS61" s="209">
        <v>2195252.5819999999</v>
      </c>
      <c r="BT61" s="208">
        <v>1284285.544</v>
      </c>
      <c r="BU61" s="208">
        <v>477495.12799999997</v>
      </c>
      <c r="BV61" s="208">
        <v>69867.088000000003</v>
      </c>
      <c r="BW61" s="208">
        <v>63170.688000000002</v>
      </c>
      <c r="BX61" s="208">
        <v>2360203.1999999997</v>
      </c>
      <c r="BY61" s="208">
        <v>350089.07799999998</v>
      </c>
      <c r="BZ61" s="209">
        <v>4605110.7259999998</v>
      </c>
      <c r="CA61" s="208">
        <v>917268.54399999999</v>
      </c>
      <c r="CB61" s="208">
        <v>270693.24800000008</v>
      </c>
      <c r="CC61" s="208">
        <v>103465.944</v>
      </c>
      <c r="CD61" s="208">
        <v>41828.04800000001</v>
      </c>
      <c r="CE61" s="208">
        <v>1710833.8800000001</v>
      </c>
      <c r="CF61" s="208">
        <v>115013.57800000001</v>
      </c>
      <c r="CG61" s="209">
        <v>3159103.2420000001</v>
      </c>
      <c r="CH61" s="208">
        <v>873893.68000000017</v>
      </c>
      <c r="CI61" s="208">
        <v>425204.72</v>
      </c>
      <c r="CJ61" s="208">
        <v>70239.112000000008</v>
      </c>
      <c r="CK61" s="208">
        <v>74953.072</v>
      </c>
      <c r="CL61" s="208">
        <v>2440053.8320000004</v>
      </c>
      <c r="CM61" s="208">
        <v>320987.95999999996</v>
      </c>
      <c r="CN61" s="209">
        <v>4205332.3760000002</v>
      </c>
      <c r="CO61" s="208">
        <v>1305496.1359999999</v>
      </c>
      <c r="CP61" s="208">
        <v>345558.27199999988</v>
      </c>
      <c r="CQ61" s="208">
        <v>104462.296</v>
      </c>
      <c r="CR61" s="208">
        <v>55157.648000000001</v>
      </c>
      <c r="CS61" s="208">
        <v>2136798.84</v>
      </c>
      <c r="CT61" s="208">
        <v>167383.5</v>
      </c>
      <c r="CU61" s="209">
        <v>4114856.6919999998</v>
      </c>
      <c r="CV61" s="208">
        <v>604722.21600000001</v>
      </c>
      <c r="CW61" s="208">
        <v>470145.23199999996</v>
      </c>
      <c r="CX61" s="208">
        <v>365561.63199999998</v>
      </c>
      <c r="CY61" s="208">
        <v>106056.76000000001</v>
      </c>
      <c r="CZ61" s="208">
        <v>2654992.9600000004</v>
      </c>
      <c r="DA61" s="208">
        <v>420132.39800000004</v>
      </c>
      <c r="DB61" s="209">
        <v>4621611.1980000008</v>
      </c>
      <c r="DC61" s="208">
        <v>1273103.0160000001</v>
      </c>
      <c r="DD61" s="208">
        <v>322951.96799999999</v>
      </c>
      <c r="DE61" s="208">
        <v>141136.82399999999</v>
      </c>
      <c r="DF61" s="208">
        <v>50839.495999999999</v>
      </c>
      <c r="DG61" s="208">
        <v>2246267.2000000002</v>
      </c>
      <c r="DH61" s="208">
        <v>173812.962</v>
      </c>
      <c r="DI61" s="209">
        <v>4208111.4660000009</v>
      </c>
      <c r="DJ61" s="208">
        <v>419542.304</v>
      </c>
      <c r="DK61" s="208">
        <v>354450.71200000006</v>
      </c>
      <c r="DL61" s="208">
        <v>134045.93600000002</v>
      </c>
      <c r="DM61" s="208">
        <v>61425.279999999999</v>
      </c>
      <c r="DN61" s="208">
        <v>2538315.48</v>
      </c>
      <c r="DO61" s="208">
        <v>288369.22200000001</v>
      </c>
      <c r="DP61" s="209">
        <v>3796148.9340000004</v>
      </c>
      <c r="DQ61" s="208">
        <v>522277.60000000003</v>
      </c>
      <c r="DR61" s="208">
        <v>338472.88799999992</v>
      </c>
      <c r="DS61" s="208">
        <v>54066.128000000004</v>
      </c>
      <c r="DT61" s="208">
        <v>40324.519999999997</v>
      </c>
      <c r="DU61" s="208">
        <v>2268992.16</v>
      </c>
      <c r="DV61" s="208">
        <v>210014.35400000005</v>
      </c>
      <c r="DW61" s="209">
        <v>3434147.6500000004</v>
      </c>
      <c r="DX61" s="208">
        <v>320970.82400000002</v>
      </c>
      <c r="DY61" s="208">
        <v>318812.33599999995</v>
      </c>
      <c r="DZ61" s="208">
        <v>114290.48000000001</v>
      </c>
      <c r="EA61" s="208">
        <v>58257.743999999999</v>
      </c>
      <c r="EB61" s="208">
        <v>2390998.6800000002</v>
      </c>
      <c r="EC61" s="208">
        <v>263212.00800000003</v>
      </c>
      <c r="ED61" s="209">
        <v>3466542.0720000002</v>
      </c>
      <c r="EE61" s="208">
        <v>238277.96000000002</v>
      </c>
      <c r="EF61" s="208">
        <v>590811.31999999995</v>
      </c>
      <c r="EG61" s="208">
        <v>21150.624</v>
      </c>
      <c r="EH61" s="208">
        <v>66340.639999999999</v>
      </c>
      <c r="EI61" s="208">
        <v>2507441.64</v>
      </c>
      <c r="EJ61" s="208">
        <v>221841.60400000005</v>
      </c>
      <c r="EK61" s="209">
        <v>3645863.7880000006</v>
      </c>
      <c r="EL61" s="208">
        <v>324106.64</v>
      </c>
      <c r="EM61" s="208">
        <v>320585.84800000006</v>
      </c>
      <c r="EN61" s="208">
        <v>95895.040000000008</v>
      </c>
      <c r="EO61" s="208">
        <v>54350.376000000004</v>
      </c>
      <c r="EP61" s="208">
        <v>2341475.16</v>
      </c>
      <c r="EQ61" s="208">
        <v>290214.26599999995</v>
      </c>
      <c r="ER61" s="209">
        <v>3426627.33</v>
      </c>
      <c r="ES61" s="208">
        <v>413061.50400000002</v>
      </c>
      <c r="ET61" s="208">
        <v>266009.68</v>
      </c>
      <c r="EU61" s="208">
        <v>39511.784000000014</v>
      </c>
      <c r="EV61" s="208">
        <v>39898.527999999998</v>
      </c>
      <c r="EW61" s="208">
        <v>2160820.9760000003</v>
      </c>
      <c r="EX61" s="208">
        <v>207006.27</v>
      </c>
      <c r="EY61" s="209">
        <v>3126308.7420000001</v>
      </c>
      <c r="EZ61" s="208">
        <v>398806.42400000006</v>
      </c>
      <c r="FA61" s="208">
        <v>432880.56</v>
      </c>
      <c r="FB61" s="208">
        <v>113256.71200000001</v>
      </c>
      <c r="FC61" s="208">
        <v>75396.527999999991</v>
      </c>
      <c r="FD61" s="208">
        <v>2216412.6</v>
      </c>
      <c r="FE61" s="208">
        <v>240233.27000000002</v>
      </c>
      <c r="FF61" s="209">
        <v>3476986.094</v>
      </c>
      <c r="FG61" s="208">
        <v>395220.50400000002</v>
      </c>
      <c r="FH61" s="208">
        <v>314550.08799999993</v>
      </c>
      <c r="FI61" s="208">
        <v>43030.776000000005</v>
      </c>
      <c r="FJ61" s="208">
        <v>52976.695999999996</v>
      </c>
      <c r="FK61" s="208">
        <v>2086570.08</v>
      </c>
      <c r="FL61" s="208">
        <v>203150.78199999998</v>
      </c>
      <c r="FM61" s="207">
        <v>3095498.926</v>
      </c>
      <c r="FN61" s="210">
        <v>15409366.336000001</v>
      </c>
      <c r="FO61" s="518">
        <v>5190443.3039999995</v>
      </c>
      <c r="FP61" s="208">
        <v>1516566.6800000002</v>
      </c>
      <c r="FQ61" s="208">
        <v>777582.46400000015</v>
      </c>
      <c r="FR61" s="208">
        <v>27247789.776000001</v>
      </c>
      <c r="FS61" s="208">
        <v>3149991.4260000018</v>
      </c>
      <c r="FT61" s="209">
        <v>53291739.986000001</v>
      </c>
      <c r="FU61" s="208">
        <v>14346806.248000003</v>
      </c>
      <c r="FV61" s="208">
        <v>4338347.7039999999</v>
      </c>
      <c r="FW61" s="208">
        <v>1750933.5360000001</v>
      </c>
      <c r="FX61" s="208">
        <v>574729.56000000006</v>
      </c>
      <c r="FY61" s="208">
        <v>22973868.832000002</v>
      </c>
      <c r="FZ61" s="208">
        <v>2027238.6160000002</v>
      </c>
      <c r="GA61" s="207">
        <v>46011924.495999999</v>
      </c>
      <c r="GB61" s="206">
        <v>7.4062482592466949</v>
      </c>
      <c r="GC61" s="206">
        <v>19.641016768074152</v>
      </c>
      <c r="GD61" s="206">
        <v>-13.385251420531347</v>
      </c>
      <c r="GE61" s="206">
        <v>35.295366398067301</v>
      </c>
      <c r="GF61" s="206">
        <v>18.603400999865144</v>
      </c>
      <c r="GG61" s="206">
        <v>55.383357496185425</v>
      </c>
      <c r="GH61" s="205">
        <v>15.821584447381383</v>
      </c>
      <c r="GI61" s="215" t="str">
        <f t="shared" si="148"/>
        <v>MAIOR</v>
      </c>
    </row>
    <row r="62" spans="1:191">
      <c r="A62" s="211" t="s">
        <v>103</v>
      </c>
      <c r="B62" s="208">
        <v>21910.800000000003</v>
      </c>
      <c r="C62" s="208">
        <v>6713.7599999999984</v>
      </c>
      <c r="D62" s="208">
        <v>3045.6320000000001</v>
      </c>
      <c r="E62" s="208">
        <v>717.67200000000014</v>
      </c>
      <c r="F62" s="208">
        <v>24066.856</v>
      </c>
      <c r="G62" s="208">
        <v>2327.5840000000107</v>
      </c>
      <c r="H62" s="209">
        <v>58782.304000000011</v>
      </c>
      <c r="I62" s="208">
        <v>17624.168000000001</v>
      </c>
      <c r="J62" s="208">
        <v>5320.0240000000003</v>
      </c>
      <c r="K62" s="208">
        <v>2986.5680000000002</v>
      </c>
      <c r="L62" s="208">
        <v>1131.7440000000001</v>
      </c>
      <c r="M62" s="208">
        <v>21652.128000000001</v>
      </c>
      <c r="N62" s="208">
        <v>2259.5600000000004</v>
      </c>
      <c r="O62" s="209">
        <v>50974.191999999995</v>
      </c>
      <c r="P62" s="208">
        <v>34966.056000000004</v>
      </c>
      <c r="Q62" s="208">
        <v>9343.608000000002</v>
      </c>
      <c r="R62" s="208">
        <v>2531.0320000000002</v>
      </c>
      <c r="S62" s="208">
        <v>2183.2400000000002</v>
      </c>
      <c r="T62" s="208">
        <v>29228.280000000006</v>
      </c>
      <c r="U62" s="208">
        <v>3195.864</v>
      </c>
      <c r="V62" s="209">
        <v>81448.080000000016</v>
      </c>
      <c r="W62" s="208">
        <v>25512.432000000001</v>
      </c>
      <c r="X62" s="208">
        <v>7799.44</v>
      </c>
      <c r="Y62" s="208">
        <v>3626.5440000000003</v>
      </c>
      <c r="Z62" s="208">
        <v>1490.0320000000002</v>
      </c>
      <c r="AA62" s="208">
        <v>26328.959999999999</v>
      </c>
      <c r="AB62" s="208">
        <v>2598.3679999999999</v>
      </c>
      <c r="AC62" s="209">
        <v>67355.775999999998</v>
      </c>
      <c r="AD62" s="208">
        <v>33661.520000000004</v>
      </c>
      <c r="AE62" s="208">
        <v>9851.8320000000003</v>
      </c>
      <c r="AF62" s="208">
        <v>411.416</v>
      </c>
      <c r="AG62" s="208">
        <v>2209.9840000000004</v>
      </c>
      <c r="AH62" s="208">
        <v>36123.960000000006</v>
      </c>
      <c r="AI62" s="208">
        <v>1046.6320000000001</v>
      </c>
      <c r="AJ62" s="209">
        <v>83305.344000000012</v>
      </c>
      <c r="AK62" s="208">
        <v>21991.896000000001</v>
      </c>
      <c r="AL62" s="208">
        <v>8371.5120000000006</v>
      </c>
      <c r="AM62" s="208">
        <v>3371.3120000000004</v>
      </c>
      <c r="AN62" s="208">
        <v>1767.376</v>
      </c>
      <c r="AO62" s="208">
        <v>27504.36</v>
      </c>
      <c r="AP62" s="208">
        <v>3263.1760000000004</v>
      </c>
      <c r="AQ62" s="209">
        <v>66269.631999999998</v>
      </c>
      <c r="AR62" s="208">
        <v>19733.248000000003</v>
      </c>
      <c r="AS62" s="208">
        <v>4791.4399999999996</v>
      </c>
      <c r="AT62" s="208">
        <v>0</v>
      </c>
      <c r="AU62" s="208">
        <v>787.17600000000004</v>
      </c>
      <c r="AV62" s="208">
        <v>35026.920000000006</v>
      </c>
      <c r="AW62" s="208">
        <v>1658.992</v>
      </c>
      <c r="AX62" s="209">
        <v>61997.776000000005</v>
      </c>
      <c r="AY62" s="208">
        <v>5583.9279999999999</v>
      </c>
      <c r="AZ62" s="208">
        <v>5174.84</v>
      </c>
      <c r="BA62" s="208">
        <v>1036.1600000000001</v>
      </c>
      <c r="BB62" s="208">
        <v>678.67200000000003</v>
      </c>
      <c r="BC62" s="208">
        <v>14810.04</v>
      </c>
      <c r="BD62" s="208">
        <v>1619.3200000000002</v>
      </c>
      <c r="BE62" s="209">
        <v>28902.959999999999</v>
      </c>
      <c r="BF62" s="208">
        <v>15138.423999999999</v>
      </c>
      <c r="BG62" s="208">
        <v>5686.8480000000018</v>
      </c>
      <c r="BH62" s="208">
        <v>959.97600000000011</v>
      </c>
      <c r="BI62" s="208">
        <v>1489.3920000000001</v>
      </c>
      <c r="BJ62" s="208">
        <v>34948.560000000005</v>
      </c>
      <c r="BK62" s="208">
        <v>2858.7920000000004</v>
      </c>
      <c r="BL62" s="209">
        <v>61081.992000000006</v>
      </c>
      <c r="BM62" s="208">
        <v>7324.2080000000005</v>
      </c>
      <c r="BN62" s="208">
        <v>9993.384</v>
      </c>
      <c r="BO62" s="208">
        <v>700.928</v>
      </c>
      <c r="BP62" s="208">
        <v>1525.3040000000001</v>
      </c>
      <c r="BQ62" s="208">
        <v>26093.88</v>
      </c>
      <c r="BR62" s="208">
        <v>3903.3120000000004</v>
      </c>
      <c r="BS62" s="209">
        <v>49541.015999999996</v>
      </c>
      <c r="BT62" s="208">
        <v>16837.560000000001</v>
      </c>
      <c r="BU62" s="208">
        <v>6161.2239999999993</v>
      </c>
      <c r="BV62" s="208">
        <v>1151.7040000000002</v>
      </c>
      <c r="BW62" s="208">
        <v>525.05599999999981</v>
      </c>
      <c r="BX62" s="208">
        <v>41217.360000000008</v>
      </c>
      <c r="BY62" s="208">
        <v>3270.2080000000005</v>
      </c>
      <c r="BZ62" s="209">
        <v>69163.112000000008</v>
      </c>
      <c r="CA62" s="208">
        <v>13765.832000000002</v>
      </c>
      <c r="CB62" s="208">
        <v>6381.8559999999998</v>
      </c>
      <c r="CC62" s="208">
        <v>2049.4480000000003</v>
      </c>
      <c r="CD62" s="208">
        <v>1653.1279999999999</v>
      </c>
      <c r="CE62" s="208">
        <v>28601.4</v>
      </c>
      <c r="CF62" s="208">
        <v>3467.904</v>
      </c>
      <c r="CG62" s="209">
        <v>55919.568000000007</v>
      </c>
      <c r="CH62" s="208">
        <v>13058.960000000001</v>
      </c>
      <c r="CI62" s="208">
        <v>5796.6959999999999</v>
      </c>
      <c r="CJ62" s="208">
        <v>557.70400000000006</v>
      </c>
      <c r="CK62" s="208">
        <v>1467.5840000000001</v>
      </c>
      <c r="CL62" s="208">
        <v>50228.76</v>
      </c>
      <c r="CM62" s="208">
        <v>3956.4079999999999</v>
      </c>
      <c r="CN62" s="209">
        <v>75066.111999999994</v>
      </c>
      <c r="CO62" s="208">
        <v>23388.392000000003</v>
      </c>
      <c r="CP62" s="208">
        <v>4700.855999999997</v>
      </c>
      <c r="CQ62" s="208">
        <v>2369.4479999999999</v>
      </c>
      <c r="CR62" s="208">
        <v>750.98400000000004</v>
      </c>
      <c r="CS62" s="208">
        <v>37064.28</v>
      </c>
      <c r="CT62" s="208">
        <v>2088.6400000000003</v>
      </c>
      <c r="CU62" s="209">
        <v>70362.599999999991</v>
      </c>
      <c r="CV62" s="208">
        <v>7357.3520000000008</v>
      </c>
      <c r="CW62" s="208">
        <v>2406.152</v>
      </c>
      <c r="CX62" s="208">
        <v>3745.424</v>
      </c>
      <c r="CY62" s="208">
        <v>563.12799999999993</v>
      </c>
      <c r="CZ62" s="208">
        <v>37534.44</v>
      </c>
      <c r="DA62" s="208">
        <v>2353.7280000000001</v>
      </c>
      <c r="DB62" s="209">
        <v>53960.224000000002</v>
      </c>
      <c r="DC62" s="208">
        <v>31956.304</v>
      </c>
      <c r="DD62" s="208">
        <v>5635.2960000000021</v>
      </c>
      <c r="DE62" s="208">
        <v>3923.7040000000002</v>
      </c>
      <c r="DF62" s="208">
        <v>628.1520000000005</v>
      </c>
      <c r="DG62" s="208">
        <v>38004.6</v>
      </c>
      <c r="DH62" s="208">
        <v>3464.1519999999996</v>
      </c>
      <c r="DI62" s="209">
        <v>83612.208000000013</v>
      </c>
      <c r="DJ62" s="208">
        <v>9532.1360000000004</v>
      </c>
      <c r="DK62" s="208">
        <v>4416.32</v>
      </c>
      <c r="DL62" s="208">
        <v>3076.7440000000001</v>
      </c>
      <c r="DM62" s="208">
        <v>723.03200000000038</v>
      </c>
      <c r="DN62" s="208">
        <v>37221</v>
      </c>
      <c r="DO62" s="208">
        <v>3759.864</v>
      </c>
      <c r="DP62" s="209">
        <v>58729.096000000005</v>
      </c>
      <c r="DQ62" s="208">
        <v>7306.4720000000007</v>
      </c>
      <c r="DR62" s="208">
        <v>3393.2880000000005</v>
      </c>
      <c r="DS62" s="208">
        <v>901.55200000000013</v>
      </c>
      <c r="DT62" s="208">
        <v>404.47999999999996</v>
      </c>
      <c r="DU62" s="208">
        <v>31657.440000000002</v>
      </c>
      <c r="DV62" s="208">
        <v>1780.7920000000004</v>
      </c>
      <c r="DW62" s="209">
        <v>45444.024000000005</v>
      </c>
      <c r="DX62" s="208">
        <v>7024.4160000000011</v>
      </c>
      <c r="DY62" s="208">
        <v>3146.9040000000005</v>
      </c>
      <c r="DZ62" s="208">
        <v>1359.9520000000002</v>
      </c>
      <c r="EA62" s="208">
        <v>450.78400000000005</v>
      </c>
      <c r="EB62" s="208">
        <v>39415.08</v>
      </c>
      <c r="EC62" s="208">
        <v>2917.4880000000003</v>
      </c>
      <c r="ED62" s="209">
        <v>54314.623999999996</v>
      </c>
      <c r="EE62" s="208">
        <v>2901.56</v>
      </c>
      <c r="EF62" s="208">
        <v>10021.016000000001</v>
      </c>
      <c r="EG62" s="208">
        <v>845.68</v>
      </c>
      <c r="EH62" s="208">
        <v>1193.8399999999999</v>
      </c>
      <c r="EI62" s="208">
        <v>35653.800000000003</v>
      </c>
      <c r="EJ62" s="208">
        <v>3636.0080000000003</v>
      </c>
      <c r="EK62" s="209">
        <v>54251.90400000001</v>
      </c>
      <c r="EL62" s="208">
        <v>3086.8320000000003</v>
      </c>
      <c r="EM62" s="208">
        <v>2831.7440000000001</v>
      </c>
      <c r="EN62" s="208">
        <v>1507.008</v>
      </c>
      <c r="EO62" s="208">
        <v>394.47199999999998</v>
      </c>
      <c r="EP62" s="208">
        <v>32519.399999999998</v>
      </c>
      <c r="EQ62" s="208">
        <v>1963.2639999999999</v>
      </c>
      <c r="ER62" s="209">
        <v>42302.720000000001</v>
      </c>
      <c r="ES62" s="208">
        <v>5029.0720000000001</v>
      </c>
      <c r="ET62" s="208">
        <v>2433.5920000000001</v>
      </c>
      <c r="EU62" s="208">
        <v>2034.1920000000002</v>
      </c>
      <c r="EV62" s="208">
        <v>1059</v>
      </c>
      <c r="EW62" s="208">
        <v>34713.480000000003</v>
      </c>
      <c r="EX62" s="208">
        <v>3054.136</v>
      </c>
      <c r="EY62" s="209">
        <v>48323.472000000002</v>
      </c>
      <c r="EZ62" s="208">
        <v>4534.5440000000008</v>
      </c>
      <c r="FA62" s="208">
        <v>4406.5679999999993</v>
      </c>
      <c r="FB62" s="208">
        <v>2229.84</v>
      </c>
      <c r="FC62" s="208">
        <v>710.64800000000002</v>
      </c>
      <c r="FD62" s="208">
        <v>33224.639999999999</v>
      </c>
      <c r="FE62" s="208">
        <v>2213.6480000000001</v>
      </c>
      <c r="FF62" s="209">
        <v>47319.887999999999</v>
      </c>
      <c r="FG62" s="208">
        <v>8374.9279999999999</v>
      </c>
      <c r="FH62" s="208">
        <v>2305.9839999999999</v>
      </c>
      <c r="FI62" s="208">
        <v>1119.952</v>
      </c>
      <c r="FJ62" s="208">
        <v>1327.248</v>
      </c>
      <c r="FK62" s="208">
        <v>32911.200000000004</v>
      </c>
      <c r="FL62" s="208">
        <v>3579.1280000000002</v>
      </c>
      <c r="FM62" s="207">
        <v>49618.44</v>
      </c>
      <c r="FN62" s="210">
        <v>186841.84800000003</v>
      </c>
      <c r="FO62" s="518">
        <v>65553.09599999999</v>
      </c>
      <c r="FP62" s="208">
        <v>20576.432000000001</v>
      </c>
      <c r="FQ62" s="208">
        <v>12222.168000000001</v>
      </c>
      <c r="FR62" s="208">
        <v>430755.25600000011</v>
      </c>
      <c r="FS62" s="208">
        <v>31522.472000000016</v>
      </c>
      <c r="FT62" s="209">
        <v>747471.27200000023</v>
      </c>
      <c r="FU62" s="208">
        <v>170759.19200000004</v>
      </c>
      <c r="FV62" s="208">
        <v>71531.088000000003</v>
      </c>
      <c r="FW62" s="208">
        <v>24965.488000000001</v>
      </c>
      <c r="FX62" s="208">
        <v>13609.960000000001</v>
      </c>
      <c r="FY62" s="208">
        <v>354995.56800000003</v>
      </c>
      <c r="FZ62" s="208">
        <v>34714.495999999999</v>
      </c>
      <c r="GA62" s="207">
        <v>670575.79200000013</v>
      </c>
      <c r="GB62" s="206">
        <v>9.4183251932932421</v>
      </c>
      <c r="GC62" s="206">
        <v>-8.3571942873286247</v>
      </c>
      <c r="GD62" s="206">
        <v>-17.580493519694073</v>
      </c>
      <c r="GE62" s="206">
        <v>-10.196885222293091</v>
      </c>
      <c r="GF62" s="206">
        <v>21.341023615258223</v>
      </c>
      <c r="GG62" s="206">
        <v>-9.1950751639890882</v>
      </c>
      <c r="GH62" s="205">
        <v>11.467082605332109</v>
      </c>
      <c r="GI62" s="215" t="str">
        <f t="shared" si="148"/>
        <v>MAIOR</v>
      </c>
    </row>
    <row r="63" spans="1:191">
      <c r="A63" s="204" t="s">
        <v>349</v>
      </c>
      <c r="B63" s="202">
        <v>8703333.4000000004</v>
      </c>
      <c r="C63" s="327">
        <v>1837529.112</v>
      </c>
      <c r="D63" s="327">
        <v>471448.51199999999</v>
      </c>
      <c r="E63" s="327">
        <v>198530.06399999998</v>
      </c>
      <c r="F63" s="202">
        <v>4750508.3199999994</v>
      </c>
      <c r="G63" s="202">
        <v>699463.98400000192</v>
      </c>
      <c r="H63" s="202">
        <v>16660813.392000001</v>
      </c>
      <c r="I63" s="202">
        <v>9402314.0800000019</v>
      </c>
      <c r="J63" s="327">
        <v>1786281.2160000002</v>
      </c>
      <c r="K63" s="327">
        <v>1082747.8880000003</v>
      </c>
      <c r="L63" s="327">
        <v>256234.75200000004</v>
      </c>
      <c r="M63" s="327">
        <v>4876604.0239999993</v>
      </c>
      <c r="N63" s="327">
        <v>658022.50000000023</v>
      </c>
      <c r="O63" s="327">
        <v>18062204.460000001</v>
      </c>
      <c r="P63" s="202">
        <v>9561329.728000002</v>
      </c>
      <c r="Q63" s="327"/>
      <c r="R63" s="202">
        <v>457848.304</v>
      </c>
      <c r="S63" s="327"/>
      <c r="T63" s="202">
        <v>5755627.8640000001</v>
      </c>
      <c r="U63" s="202">
        <v>546944.96799999999</v>
      </c>
      <c r="V63" s="202">
        <v>18166896.799999997</v>
      </c>
      <c r="W63" s="202">
        <v>8791955.4480000027</v>
      </c>
      <c r="X63" s="327">
        <v>1381099.8960000002</v>
      </c>
      <c r="Y63" s="327">
        <v>1332967.5760000001</v>
      </c>
      <c r="Z63" s="327">
        <v>201031.21599999999</v>
      </c>
      <c r="AA63" s="327">
        <v>5189375.6880000001</v>
      </c>
      <c r="AB63" s="327">
        <v>536788.08200000005</v>
      </c>
      <c r="AC63" s="202">
        <v>17433217.905999999</v>
      </c>
      <c r="AD63" s="202">
        <v>6845091.2879999988</v>
      </c>
      <c r="AE63" s="327"/>
      <c r="AF63" s="202">
        <v>279633.93600000005</v>
      </c>
      <c r="AG63" s="327"/>
      <c r="AH63" s="202">
        <v>6696222.8160000006</v>
      </c>
      <c r="AI63" s="202">
        <v>516106.32000000007</v>
      </c>
      <c r="AJ63" s="202">
        <v>16129054.848000003</v>
      </c>
      <c r="AK63" s="202">
        <v>4750009.7120000003</v>
      </c>
      <c r="AL63" s="327">
        <v>1272599.9920000001</v>
      </c>
      <c r="AM63" s="327">
        <v>669546.66400000011</v>
      </c>
      <c r="AN63" s="327">
        <v>188613.576</v>
      </c>
      <c r="AO63" s="327">
        <v>5259659.6560000004</v>
      </c>
      <c r="AP63" s="327">
        <v>510010.402</v>
      </c>
      <c r="AQ63" s="202">
        <v>12650440.001999998</v>
      </c>
      <c r="AR63" s="202">
        <v>5041436.6399999997</v>
      </c>
      <c r="AS63" s="327"/>
      <c r="AT63" s="202">
        <v>212685.704</v>
      </c>
      <c r="AU63" s="327"/>
      <c r="AV63" s="202">
        <v>6100325.8080000002</v>
      </c>
      <c r="AW63" s="202">
        <v>542259.48</v>
      </c>
      <c r="AX63" s="202">
        <v>13292424.784000002</v>
      </c>
      <c r="AY63" s="202">
        <v>2077934.8</v>
      </c>
      <c r="AZ63" s="327">
        <v>741900.79999999993</v>
      </c>
      <c r="BA63" s="327">
        <v>274672.51999999996</v>
      </c>
      <c r="BB63" s="327">
        <v>93613.008000000016</v>
      </c>
      <c r="BC63" s="327">
        <v>3014510.3200000003</v>
      </c>
      <c r="BD63" s="327">
        <v>311055.984</v>
      </c>
      <c r="BE63" s="202">
        <v>6513687.432</v>
      </c>
      <c r="BF63" s="202">
        <v>4059224.64</v>
      </c>
      <c r="BG63" s="327">
        <v>1243982.544</v>
      </c>
      <c r="BH63" s="327">
        <v>183865.432</v>
      </c>
      <c r="BI63" s="327">
        <v>160438.016</v>
      </c>
      <c r="BJ63" s="202">
        <v>6653316</v>
      </c>
      <c r="BK63" s="202">
        <v>628859.91400000011</v>
      </c>
      <c r="BL63" s="202">
        <v>12929686.546000002</v>
      </c>
      <c r="BM63" s="202">
        <v>1821239.568</v>
      </c>
      <c r="BN63" s="327">
        <v>657131.06400000001</v>
      </c>
      <c r="BO63" s="327">
        <v>231092.79200000002</v>
      </c>
      <c r="BP63" s="327">
        <v>85645.696000000011</v>
      </c>
      <c r="BQ63" s="327">
        <v>3848337.96</v>
      </c>
      <c r="BR63" s="202">
        <v>283706.64600000001</v>
      </c>
      <c r="BS63" s="202">
        <v>6927153.7260000007</v>
      </c>
      <c r="BT63" s="202">
        <v>4123982.208000001</v>
      </c>
      <c r="BU63" s="327">
        <v>1332396.3119999999</v>
      </c>
      <c r="BV63" s="327">
        <v>246623.76000000004</v>
      </c>
      <c r="BW63" s="327">
        <v>189426.75200000004</v>
      </c>
      <c r="BX63" s="327">
        <v>6978768.8160000006</v>
      </c>
      <c r="BY63" s="202">
        <v>925413.54200000002</v>
      </c>
      <c r="BZ63" s="202">
        <v>13796611.390000001</v>
      </c>
      <c r="CA63" s="202">
        <v>2814777.7600000002</v>
      </c>
      <c r="CB63" s="327">
        <v>843723.38400000019</v>
      </c>
      <c r="CC63" s="327">
        <v>359475.28</v>
      </c>
      <c r="CD63" s="327">
        <v>115959.576</v>
      </c>
      <c r="CE63" s="327">
        <v>4988475.9600000009</v>
      </c>
      <c r="CF63" s="327">
        <v>360419.47</v>
      </c>
      <c r="CG63" s="327">
        <v>9482831.4300000016</v>
      </c>
      <c r="CH63" s="202">
        <v>2908071.8</v>
      </c>
      <c r="CI63" s="327"/>
      <c r="CJ63" s="202">
        <v>283763.97600000002</v>
      </c>
      <c r="CK63" s="327"/>
      <c r="CL63" s="202">
        <v>7361986.4800000014</v>
      </c>
      <c r="CM63" s="202">
        <v>888853.01600000006</v>
      </c>
      <c r="CN63" s="202">
        <v>12854444.68</v>
      </c>
      <c r="CO63" s="202">
        <v>4311908.7439999999</v>
      </c>
      <c r="CP63" s="327">
        <v>983062.47199999983</v>
      </c>
      <c r="CQ63" s="327">
        <v>432210.12800000003</v>
      </c>
      <c r="CR63" s="327">
        <v>132766</v>
      </c>
      <c r="CS63" s="327">
        <v>6054958.8400000008</v>
      </c>
      <c r="CT63" s="327">
        <v>419473.88400000002</v>
      </c>
      <c r="CU63" s="202">
        <v>12334380.067999998</v>
      </c>
      <c r="CV63" s="202">
        <v>1992672.9839999999</v>
      </c>
      <c r="CW63" s="327">
        <v>1187329</v>
      </c>
      <c r="CX63" s="327">
        <v>1221563.6880000001</v>
      </c>
      <c r="CY63" s="327">
        <v>233030.35199999998</v>
      </c>
      <c r="CZ63" s="327">
        <v>7601859.7600000026</v>
      </c>
      <c r="DA63" s="327">
        <v>964674.23800000013</v>
      </c>
      <c r="DB63" s="327">
        <v>13201130.022</v>
      </c>
      <c r="DC63" s="327">
        <v>4594825.5360000003</v>
      </c>
      <c r="DD63" s="327">
        <v>997399.57600000023</v>
      </c>
      <c r="DE63" s="327">
        <v>591266.92800000007</v>
      </c>
      <c r="DF63" s="327">
        <v>125649.18400000001</v>
      </c>
      <c r="DG63" s="327">
        <v>6418147.9360000007</v>
      </c>
      <c r="DH63" s="327">
        <v>490333.31200000003</v>
      </c>
      <c r="DI63" s="327">
        <v>13217622.472000003</v>
      </c>
      <c r="DJ63" s="327">
        <v>1486118.1199999999</v>
      </c>
      <c r="DK63" s="327">
        <v>977657.17600000009</v>
      </c>
      <c r="DL63" s="327">
        <v>453241.28000000009</v>
      </c>
      <c r="DM63" s="327">
        <v>167033.32799999998</v>
      </c>
      <c r="DN63" s="327">
        <v>7285034.8080000002</v>
      </c>
      <c r="DO63" s="327">
        <v>767550.75599999994</v>
      </c>
      <c r="DP63" s="327">
        <v>11136635.468000002</v>
      </c>
      <c r="DQ63" s="327">
        <v>1827116.6720000003</v>
      </c>
      <c r="DR63" s="327">
        <v>995147.74399999972</v>
      </c>
      <c r="DS63" s="327">
        <v>199239.49599999998</v>
      </c>
      <c r="DT63" s="327">
        <v>111048.2</v>
      </c>
      <c r="DU63" s="327">
        <v>6331488.0000000009</v>
      </c>
      <c r="DV63" s="327">
        <v>599699.45000000007</v>
      </c>
      <c r="DW63" s="327">
        <v>10063739.562000001</v>
      </c>
      <c r="DX63" s="327">
        <v>1117685.2320000001</v>
      </c>
      <c r="DY63" s="327">
        <v>855169.52799999982</v>
      </c>
      <c r="DZ63" s="327">
        <v>401089.09599999996</v>
      </c>
      <c r="EA63" s="327">
        <v>145346.04800000001</v>
      </c>
      <c r="EB63" s="327">
        <v>6895977.9360000007</v>
      </c>
      <c r="EC63" s="327">
        <v>670307.27200000011</v>
      </c>
      <c r="ED63" s="327">
        <v>10085575.112</v>
      </c>
      <c r="EE63" s="327">
        <v>768935.85600000015</v>
      </c>
      <c r="EF63" s="327">
        <v>1820000.6879999998</v>
      </c>
      <c r="EG63" s="327">
        <v>88172.143999999986</v>
      </c>
      <c r="EH63" s="327">
        <v>165753.23199999999</v>
      </c>
      <c r="EI63" s="327">
        <v>7014238.6800000006</v>
      </c>
      <c r="EJ63" s="327">
        <v>619285.16400000011</v>
      </c>
      <c r="EK63" s="327">
        <v>10476385.763999999</v>
      </c>
      <c r="EL63" s="327">
        <v>1062879.568</v>
      </c>
      <c r="EM63" s="327">
        <v>842877.43199999991</v>
      </c>
      <c r="EN63" s="327">
        <v>349461.50400000002</v>
      </c>
      <c r="EO63" s="327">
        <v>139777.91200000001</v>
      </c>
      <c r="EP63" s="327">
        <v>6759882.120000001</v>
      </c>
      <c r="EQ63" s="327">
        <v>718943.48200000008</v>
      </c>
      <c r="ER63" s="327">
        <v>9873822.0180000011</v>
      </c>
      <c r="ES63" s="327">
        <v>1319538.4800000002</v>
      </c>
      <c r="ET63" s="327">
        <v>819956.0399999998</v>
      </c>
      <c r="EU63" s="327">
        <v>152277.288</v>
      </c>
      <c r="EV63" s="327">
        <v>102746.296</v>
      </c>
      <c r="EW63" s="327">
        <v>6180656.9360000007</v>
      </c>
      <c r="EX63" s="327">
        <v>619935.0780000001</v>
      </c>
      <c r="EY63" s="327">
        <v>9195110.1180000007</v>
      </c>
      <c r="EZ63" s="327">
        <v>1260489.5760000001</v>
      </c>
      <c r="FA63" s="327">
        <v>1171447.1120000002</v>
      </c>
      <c r="FB63" s="327">
        <v>425893.0720000001</v>
      </c>
      <c r="FC63" s="327">
        <v>213262.61599999998</v>
      </c>
      <c r="FD63" s="327">
        <v>6490090.351999999</v>
      </c>
      <c r="FE63" s="327">
        <v>662595.04600000009</v>
      </c>
      <c r="FF63" s="327">
        <v>10223777.774000002</v>
      </c>
      <c r="FG63" s="327">
        <v>1377468.6400000004</v>
      </c>
      <c r="FH63" s="327">
        <v>953783.96000000008</v>
      </c>
      <c r="FI63" s="327">
        <v>161765.19199999998</v>
      </c>
      <c r="FJ63" s="327">
        <v>129794.20000000001</v>
      </c>
      <c r="FK63" s="327">
        <v>5954341.3199999994</v>
      </c>
      <c r="FL63" s="327">
        <v>627466.42999999993</v>
      </c>
      <c r="FM63" s="327">
        <v>9204619.7420000006</v>
      </c>
      <c r="FN63" s="214">
        <v>48162315.184</v>
      </c>
      <c r="FO63" s="334">
        <v>15182395.615999999</v>
      </c>
      <c r="FP63" s="334">
        <v>4987118.2639999995</v>
      </c>
      <c r="FQ63" s="334">
        <v>2157470.6720000003</v>
      </c>
      <c r="FR63" s="334">
        <v>79329601.079999998</v>
      </c>
      <c r="FS63" s="334">
        <v>8531972.0179999992</v>
      </c>
      <c r="FT63" s="202">
        <v>158350872.83400005</v>
      </c>
      <c r="FU63" s="202">
        <v>43858025.296000004</v>
      </c>
      <c r="FV63" s="327">
        <v>13252086.831999999</v>
      </c>
      <c r="FW63" s="327">
        <v>5575433.8960000006</v>
      </c>
      <c r="FX63" s="327">
        <v>1708854.9360000002</v>
      </c>
      <c r="FY63" s="327">
        <v>65130795.320000008</v>
      </c>
      <c r="FZ63" s="202">
        <v>6036196.4020000007</v>
      </c>
      <c r="GA63" s="213">
        <v>135561392.68200001</v>
      </c>
      <c r="GB63" s="212">
        <v>9.8141442961695873</v>
      </c>
      <c r="GC63" s="332">
        <v>14.566074071736807</v>
      </c>
      <c r="GD63" s="212">
        <v>-10.551925517798324</v>
      </c>
      <c r="GE63" s="332">
        <v>26.252417718387306</v>
      </c>
      <c r="GF63" s="212">
        <v>21.800448912436195</v>
      </c>
      <c r="GG63" s="212">
        <v>41.346825878181534</v>
      </c>
      <c r="GH63" s="335">
        <v>16.811187684873971</v>
      </c>
    </row>
    <row r="64" spans="1:191">
      <c r="A64" s="211" t="s">
        <v>171</v>
      </c>
      <c r="B64" s="208">
        <v>2175833.3500000006</v>
      </c>
      <c r="C64" s="208">
        <v>459382.27799999993</v>
      </c>
      <c r="D64" s="208">
        <v>117862.12800000001</v>
      </c>
      <c r="E64" s="208">
        <v>49632.516000000003</v>
      </c>
      <c r="F64" s="208">
        <v>1187627.0799999996</v>
      </c>
      <c r="G64" s="208">
        <v>174865.99600000048</v>
      </c>
      <c r="H64" s="209">
        <v>4165203.3480000002</v>
      </c>
      <c r="I64" s="208">
        <v>2350578.52</v>
      </c>
      <c r="J64" s="208">
        <v>446570.304</v>
      </c>
      <c r="K64" s="208">
        <v>270686.97200000007</v>
      </c>
      <c r="L64" s="208">
        <v>64058.687999999995</v>
      </c>
      <c r="M64" s="208">
        <v>1219151.0060000001</v>
      </c>
      <c r="N64" s="208">
        <v>163138.07000000004</v>
      </c>
      <c r="O64" s="209">
        <v>4514183.5600000005</v>
      </c>
      <c r="P64" s="208">
        <v>2390332.4320000005</v>
      </c>
      <c r="Q64" s="208">
        <v>416459.66600000008</v>
      </c>
      <c r="R64" s="208">
        <v>114462.076</v>
      </c>
      <c r="S64" s="208">
        <v>44826.817999999999</v>
      </c>
      <c r="T64" s="208">
        <v>1438906.966</v>
      </c>
      <c r="U64" s="208">
        <v>136736.242</v>
      </c>
      <c r="V64" s="209">
        <v>4541724.2</v>
      </c>
      <c r="W64" s="208">
        <v>2197988.8620000002</v>
      </c>
      <c r="X64" s="208">
        <v>345274.97400000005</v>
      </c>
      <c r="Y64" s="208">
        <v>333241.89399999997</v>
      </c>
      <c r="Z64" s="208">
        <v>50257.803999999996</v>
      </c>
      <c r="AA64" s="208">
        <v>1297343.9219999998</v>
      </c>
      <c r="AB64" s="208">
        <v>133738.47799999997</v>
      </c>
      <c r="AC64" s="209">
        <v>4357845.9340000004</v>
      </c>
      <c r="AD64" s="208">
        <v>1711272.8219999997</v>
      </c>
      <c r="AE64" s="208">
        <v>401324.18200000003</v>
      </c>
      <c r="AF64" s="208">
        <v>69908.484000000026</v>
      </c>
      <c r="AG64" s="208">
        <v>46675.939999999995</v>
      </c>
      <c r="AH64" s="208">
        <v>1674055.7040000001</v>
      </c>
      <c r="AI64" s="208">
        <v>129026.58000000002</v>
      </c>
      <c r="AJ64" s="209">
        <v>4032263.7120000003</v>
      </c>
      <c r="AK64" s="208">
        <v>1187502.4280000001</v>
      </c>
      <c r="AL64" s="208">
        <v>318149.99800000008</v>
      </c>
      <c r="AM64" s="208">
        <v>167386.66600000003</v>
      </c>
      <c r="AN64" s="208">
        <v>47153.393999999993</v>
      </c>
      <c r="AO64" s="208">
        <v>1314914.9140000003</v>
      </c>
      <c r="AP64" s="208">
        <v>125955.788</v>
      </c>
      <c r="AQ64" s="209">
        <v>3161063.1880000005</v>
      </c>
      <c r="AR64" s="208">
        <v>1260359.1599999999</v>
      </c>
      <c r="AS64" s="208">
        <v>307394.05599999998</v>
      </c>
      <c r="AT64" s="208">
        <v>53171.426000000007</v>
      </c>
      <c r="AU64" s="208">
        <v>41535.232000000004</v>
      </c>
      <c r="AV64" s="208">
        <v>1525081.452</v>
      </c>
      <c r="AW64" s="208">
        <v>135564.87</v>
      </c>
      <c r="AX64" s="209">
        <v>3323106.1960000005</v>
      </c>
      <c r="AY64" s="208">
        <v>519483.7</v>
      </c>
      <c r="AZ64" s="208">
        <v>185475.19999999998</v>
      </c>
      <c r="BA64" s="208">
        <v>68668.12999999999</v>
      </c>
      <c r="BB64" s="208">
        <v>23403.252000000004</v>
      </c>
      <c r="BC64" s="208">
        <v>753627.58000000007</v>
      </c>
      <c r="BD64" s="208">
        <v>77524.896000000008</v>
      </c>
      <c r="BE64" s="209">
        <v>1628182.7580000001</v>
      </c>
      <c r="BF64" s="208">
        <v>1014806.1600000001</v>
      </c>
      <c r="BG64" s="208">
        <v>310995.636</v>
      </c>
      <c r="BH64" s="208">
        <v>45966.358</v>
      </c>
      <c r="BI64" s="208">
        <v>40109.504000000001</v>
      </c>
      <c r="BJ64" s="208">
        <v>1663328.9999999998</v>
      </c>
      <c r="BK64" s="208">
        <v>151067.58600000001</v>
      </c>
      <c r="BL64" s="209">
        <v>3226274.2439999999</v>
      </c>
      <c r="BM64" s="208">
        <v>455309.89200000005</v>
      </c>
      <c r="BN64" s="208">
        <v>164282.76599999997</v>
      </c>
      <c r="BO64" s="208">
        <v>57773.197999999997</v>
      </c>
      <c r="BP64" s="208">
        <v>21411.424000000003</v>
      </c>
      <c r="BQ64" s="208">
        <v>962084.49000000011</v>
      </c>
      <c r="BR64" s="208">
        <v>70690.393999999986</v>
      </c>
      <c r="BS64" s="209">
        <v>1731552.1640000001</v>
      </c>
      <c r="BT64" s="208">
        <v>1030995.552</v>
      </c>
      <c r="BU64" s="208">
        <v>333099.07799999998</v>
      </c>
      <c r="BV64" s="208">
        <v>61655.94</v>
      </c>
      <c r="BW64" s="208">
        <v>47356.688000000002</v>
      </c>
      <c r="BX64" s="208">
        <v>1744692.2039999999</v>
      </c>
      <c r="BY64" s="208">
        <v>220040.39800000002</v>
      </c>
      <c r="BZ64" s="209">
        <v>3437839.86</v>
      </c>
      <c r="CA64" s="208">
        <v>703694.44000000006</v>
      </c>
      <c r="CB64" s="208">
        <v>210930.84600000005</v>
      </c>
      <c r="CC64" s="208">
        <v>89868.82</v>
      </c>
      <c r="CD64" s="208">
        <v>28989.894</v>
      </c>
      <c r="CE64" s="208">
        <v>1247118.99</v>
      </c>
      <c r="CF64" s="208">
        <v>88802.46</v>
      </c>
      <c r="CG64" s="209">
        <v>2369405.4500000002</v>
      </c>
      <c r="CH64" s="208">
        <v>727017.95000000007</v>
      </c>
      <c r="CI64" s="208">
        <v>308323.946</v>
      </c>
      <c r="CJ64" s="208">
        <v>70940.994000000021</v>
      </c>
      <c r="CK64" s="208">
        <v>44618.406000000003</v>
      </c>
      <c r="CL64" s="208">
        <v>1840496.62</v>
      </c>
      <c r="CM64" s="208">
        <v>222213.25400000002</v>
      </c>
      <c r="CN64" s="209">
        <v>3213611.1700000004</v>
      </c>
      <c r="CO64" s="208">
        <v>1077977.186</v>
      </c>
      <c r="CP64" s="208">
        <v>245765.61799999996</v>
      </c>
      <c r="CQ64" s="208">
        <v>108052.53199999999</v>
      </c>
      <c r="CR64" s="208">
        <v>33191.5</v>
      </c>
      <c r="CS64" s="208">
        <v>1513739.71</v>
      </c>
      <c r="CT64" s="208">
        <v>101532.75599999999</v>
      </c>
      <c r="CU64" s="209">
        <v>3080259.3020000001</v>
      </c>
      <c r="CV64" s="208">
        <v>498168.24599999998</v>
      </c>
      <c r="CW64" s="208">
        <v>296832.25</v>
      </c>
      <c r="CX64" s="208">
        <v>305390.92200000002</v>
      </c>
      <c r="CY64" s="208">
        <v>58257.587999999996</v>
      </c>
      <c r="CZ64" s="208">
        <v>1900464.9400000006</v>
      </c>
      <c r="DA64" s="208">
        <v>229485.772</v>
      </c>
      <c r="DB64" s="209">
        <v>3288599.7180000003</v>
      </c>
      <c r="DC64" s="208">
        <v>1148706.3840000001</v>
      </c>
      <c r="DD64" s="208">
        <v>249349.89400000003</v>
      </c>
      <c r="DE64" s="208">
        <v>147816.73200000002</v>
      </c>
      <c r="DF64" s="208">
        <v>31412.296000000002</v>
      </c>
      <c r="DG64" s="208">
        <v>1604536.9840000002</v>
      </c>
      <c r="DH64" s="208">
        <v>118738.098</v>
      </c>
      <c r="DI64" s="209">
        <v>3300560.3880000003</v>
      </c>
      <c r="DJ64" s="208">
        <v>371529.53</v>
      </c>
      <c r="DK64" s="208">
        <v>244414.29400000002</v>
      </c>
      <c r="DL64" s="208">
        <v>113310.32000000002</v>
      </c>
      <c r="DM64" s="208">
        <v>41758.331999999995</v>
      </c>
      <c r="DN64" s="208">
        <v>1821258.702</v>
      </c>
      <c r="DO64" s="208">
        <v>186562.95399999997</v>
      </c>
      <c r="DP64" s="209">
        <v>2778834.1320000002</v>
      </c>
      <c r="DQ64" s="208">
        <v>456779.16800000006</v>
      </c>
      <c r="DR64" s="208">
        <v>248786.93599999993</v>
      </c>
      <c r="DS64" s="208">
        <v>49809.873999999996</v>
      </c>
      <c r="DT64" s="208">
        <v>27762.050000000003</v>
      </c>
      <c r="DU64" s="208">
        <v>1582872</v>
      </c>
      <c r="DV64" s="208">
        <v>145690.24000000002</v>
      </c>
      <c r="DW64" s="209">
        <v>2511700.2680000002</v>
      </c>
      <c r="DX64" s="208">
        <v>279421.30800000008</v>
      </c>
      <c r="DY64" s="208">
        <v>213792.38199999995</v>
      </c>
      <c r="DZ64" s="208">
        <v>100272.27399999999</v>
      </c>
      <c r="EA64" s="208">
        <v>36336.512000000002</v>
      </c>
      <c r="EB64" s="208">
        <v>1723994.4839999999</v>
      </c>
      <c r="EC64" s="208">
        <v>163004.16800000001</v>
      </c>
      <c r="ED64" s="209">
        <v>2516821.128</v>
      </c>
      <c r="EE64" s="208">
        <v>192233.96400000004</v>
      </c>
      <c r="EF64" s="208">
        <v>455000.17200000002</v>
      </c>
      <c r="EG64" s="208">
        <v>22043.035999999996</v>
      </c>
      <c r="EH64" s="208">
        <v>41438.307999999997</v>
      </c>
      <c r="EI64" s="208">
        <v>1753559.6700000002</v>
      </c>
      <c r="EJ64" s="208">
        <v>151103.64600000001</v>
      </c>
      <c r="EK64" s="209">
        <v>2615378.7960000006</v>
      </c>
      <c r="EL64" s="208">
        <v>265719.89199999999</v>
      </c>
      <c r="EM64" s="208">
        <v>210719.35800000001</v>
      </c>
      <c r="EN64" s="208">
        <v>87365.376000000004</v>
      </c>
      <c r="EO64" s="208">
        <v>34944.478000000003</v>
      </c>
      <c r="EP64" s="208">
        <v>1689970.53</v>
      </c>
      <c r="EQ64" s="208">
        <v>172806.58800000002</v>
      </c>
      <c r="ER64" s="209">
        <v>2461526.2220000001</v>
      </c>
      <c r="ES64" s="208">
        <v>329884.62</v>
      </c>
      <c r="ET64" s="208">
        <v>204989.00999999995</v>
      </c>
      <c r="EU64" s="208">
        <v>38069.322</v>
      </c>
      <c r="EV64" s="208">
        <v>25686.574000000004</v>
      </c>
      <c r="EW64" s="208">
        <v>1545164.2340000002</v>
      </c>
      <c r="EX64" s="208">
        <v>151649.60200000004</v>
      </c>
      <c r="EY64" s="209">
        <v>2295443.3620000002</v>
      </c>
      <c r="EZ64" s="208">
        <v>315122.39400000009</v>
      </c>
      <c r="FA64" s="208">
        <v>292861.77800000005</v>
      </c>
      <c r="FB64" s="208">
        <v>106473.26800000001</v>
      </c>
      <c r="FC64" s="208">
        <v>53315.653999999995</v>
      </c>
      <c r="FD64" s="208">
        <v>1622522.5879999998</v>
      </c>
      <c r="FE64" s="208">
        <v>164942.49400000004</v>
      </c>
      <c r="FF64" s="209">
        <v>2555238.176</v>
      </c>
      <c r="FG64" s="208">
        <v>344367.16000000009</v>
      </c>
      <c r="FH64" s="208">
        <v>238445.99</v>
      </c>
      <c r="FI64" s="208">
        <v>40441.298000000003</v>
      </c>
      <c r="FJ64" s="208">
        <v>32448.55</v>
      </c>
      <c r="FK64" s="208">
        <v>1488585.33</v>
      </c>
      <c r="FL64" s="208">
        <v>154557.87999999998</v>
      </c>
      <c r="FM64" s="207">
        <v>2298846.2080000001</v>
      </c>
      <c r="FN64" s="210">
        <v>12040578.795999998</v>
      </c>
      <c r="FO64" s="518">
        <v>3795598.9039999996</v>
      </c>
      <c r="FP64" s="208">
        <v>1246779.5660000001</v>
      </c>
      <c r="FQ64" s="208">
        <v>539367.66800000006</v>
      </c>
      <c r="FR64" s="208">
        <v>19832400.27</v>
      </c>
      <c r="FS64" s="208">
        <v>2086316.9020000007</v>
      </c>
      <c r="FT64" s="209">
        <v>39541042.105999999</v>
      </c>
      <c r="FU64" s="208">
        <v>10964506.323999999</v>
      </c>
      <c r="FV64" s="208">
        <v>3313021.7079999996</v>
      </c>
      <c r="FW64" s="208">
        <v>1393858.4740000002</v>
      </c>
      <c r="FX64" s="208">
        <v>427213.734</v>
      </c>
      <c r="FY64" s="208">
        <v>16282698.83</v>
      </c>
      <c r="FZ64" s="208">
        <v>1483122.3079999997</v>
      </c>
      <c r="GA64" s="207">
        <v>33864421.377999999</v>
      </c>
      <c r="GB64" s="206">
        <v>9.8141442961695873</v>
      </c>
      <c r="GC64" s="206">
        <v>14.566074071736807</v>
      </c>
      <c r="GD64" s="206">
        <v>-10.551925517798296</v>
      </c>
      <c r="GE64" s="206">
        <v>26.252417718387306</v>
      </c>
      <c r="GF64" s="206">
        <v>21.800448912436224</v>
      </c>
      <c r="GG64" s="206">
        <v>40.670590061679604</v>
      </c>
      <c r="GH64" s="205">
        <v>16.762786715404545</v>
      </c>
    </row>
    <row r="65" spans="1:190" ht="15.75" thickBot="1">
      <c r="A65" s="204" t="s">
        <v>346</v>
      </c>
      <c r="B65" s="201">
        <v>10879166.75</v>
      </c>
      <c r="C65" s="328">
        <v>2296911.3899999997</v>
      </c>
      <c r="D65" s="201">
        <v>589310.64</v>
      </c>
      <c r="E65" s="328">
        <v>248162.58</v>
      </c>
      <c r="F65" s="201">
        <v>5938135.3999999985</v>
      </c>
      <c r="G65" s="203">
        <v>874329.98000000243</v>
      </c>
      <c r="H65" s="203">
        <v>20826016.740000002</v>
      </c>
      <c r="I65" s="201">
        <v>11752892.600000001</v>
      </c>
      <c r="J65" s="328">
        <v>2232851.5200000005</v>
      </c>
      <c r="K65" s="328">
        <v>1353434.8600000003</v>
      </c>
      <c r="L65" s="328">
        <v>320293.44000000006</v>
      </c>
      <c r="M65" s="328">
        <v>6095755.0299999993</v>
      </c>
      <c r="N65" s="328">
        <v>821160.5700000003</v>
      </c>
      <c r="O65" s="328">
        <v>22576388.020000003</v>
      </c>
      <c r="P65" s="201">
        <v>11951662.160000002</v>
      </c>
      <c r="Q65" s="328">
        <v>416459.66600000008</v>
      </c>
      <c r="R65" s="328">
        <v>572310.38</v>
      </c>
      <c r="S65" s="328">
        <v>44826.817999999999</v>
      </c>
      <c r="T65" s="328">
        <v>7194534.8300000001</v>
      </c>
      <c r="U65" s="201">
        <v>683681.21</v>
      </c>
      <c r="V65" s="201">
        <v>22708620.999999996</v>
      </c>
      <c r="W65" s="201">
        <v>10989944.310000002</v>
      </c>
      <c r="X65" s="328">
        <v>1726374.87</v>
      </c>
      <c r="Y65" s="328">
        <v>1666209.4700000002</v>
      </c>
      <c r="Z65" s="328">
        <v>251289.02</v>
      </c>
      <c r="AA65" s="328">
        <v>6486719.6099999994</v>
      </c>
      <c r="AB65" s="328">
        <v>670526.56000000006</v>
      </c>
      <c r="AC65" s="202">
        <v>21791063.84</v>
      </c>
      <c r="AD65" s="201">
        <v>8556364.1099999994</v>
      </c>
      <c r="AE65" s="328">
        <v>401324.18200000003</v>
      </c>
      <c r="AF65" s="328">
        <v>349542.42000000004</v>
      </c>
      <c r="AG65" s="328">
        <v>46675.939999999995</v>
      </c>
      <c r="AH65" s="328">
        <v>8370278.5200000005</v>
      </c>
      <c r="AI65" s="328">
        <v>645132.90000000014</v>
      </c>
      <c r="AJ65" s="201">
        <v>20161318.560000002</v>
      </c>
      <c r="AK65" s="201">
        <v>5937512.1400000006</v>
      </c>
      <c r="AL65" s="328">
        <v>1590749.9900000002</v>
      </c>
      <c r="AM65" s="328">
        <v>836933.33000000007</v>
      </c>
      <c r="AN65" s="328">
        <v>235766.97</v>
      </c>
      <c r="AO65" s="328">
        <v>6574574.5700000003</v>
      </c>
      <c r="AP65" s="328">
        <v>635966.18999999994</v>
      </c>
      <c r="AQ65" s="201">
        <v>15811503.190000001</v>
      </c>
      <c r="AR65" s="201">
        <v>6301795.7999999998</v>
      </c>
      <c r="AS65" s="328">
        <v>307394.05599999998</v>
      </c>
      <c r="AT65" s="328">
        <v>265857.13</v>
      </c>
      <c r="AU65" s="328">
        <v>41535.232000000004</v>
      </c>
      <c r="AV65" s="328">
        <v>7625407.2599999998</v>
      </c>
      <c r="AW65" s="328">
        <v>677824.35</v>
      </c>
      <c r="AX65" s="201">
        <v>16615530.980000002</v>
      </c>
      <c r="AY65" s="201">
        <v>2597418.5</v>
      </c>
      <c r="AZ65" s="328">
        <v>927375.99999999988</v>
      </c>
      <c r="BA65" s="328">
        <v>343340.64999999997</v>
      </c>
      <c r="BB65" s="328">
        <v>117016.26000000002</v>
      </c>
      <c r="BC65" s="328">
        <v>3768137.9000000004</v>
      </c>
      <c r="BD65" s="328">
        <v>388580.88</v>
      </c>
      <c r="BE65" s="201">
        <v>8141870.1900000004</v>
      </c>
      <c r="BF65" s="201">
        <v>5074030.8000000007</v>
      </c>
      <c r="BG65" s="328">
        <v>1554978.18</v>
      </c>
      <c r="BH65" s="328">
        <v>229831.79</v>
      </c>
      <c r="BI65" s="328">
        <v>200547.52000000002</v>
      </c>
      <c r="BJ65" s="201">
        <v>8316645</v>
      </c>
      <c r="BK65" s="201">
        <v>779927.50000000012</v>
      </c>
      <c r="BL65" s="201">
        <v>16155960.790000003</v>
      </c>
      <c r="BM65" s="201">
        <v>2276549.46</v>
      </c>
      <c r="BN65" s="328">
        <v>821413.83</v>
      </c>
      <c r="BO65" s="328">
        <v>288865.99</v>
      </c>
      <c r="BP65" s="328">
        <v>107057.12000000001</v>
      </c>
      <c r="BQ65" s="328">
        <v>4810422.45</v>
      </c>
      <c r="BR65" s="201">
        <v>354397.04</v>
      </c>
      <c r="BS65" s="201">
        <v>8658705.8900000006</v>
      </c>
      <c r="BT65" s="201">
        <v>5154977.7600000007</v>
      </c>
      <c r="BU65" s="328">
        <v>1665495.39</v>
      </c>
      <c r="BV65" s="328">
        <v>308279.70000000007</v>
      </c>
      <c r="BW65" s="328">
        <v>236783.44000000003</v>
      </c>
      <c r="BX65" s="328">
        <v>8723461.0199999996</v>
      </c>
      <c r="BY65" s="201">
        <v>1145453.94</v>
      </c>
      <c r="BZ65" s="201">
        <v>17234451.25</v>
      </c>
      <c r="CA65" s="201">
        <v>3518472.2</v>
      </c>
      <c r="CB65" s="328">
        <v>1054654.2300000002</v>
      </c>
      <c r="CC65" s="328">
        <v>449344.10000000003</v>
      </c>
      <c r="CD65" s="328">
        <v>144949.47</v>
      </c>
      <c r="CE65" s="328">
        <v>6235594.9500000011</v>
      </c>
      <c r="CF65" s="328">
        <v>449221.93</v>
      </c>
      <c r="CG65" s="328">
        <v>11852236.880000003</v>
      </c>
      <c r="CH65" s="201">
        <v>3635089.75</v>
      </c>
      <c r="CI65" s="328">
        <v>308323.946</v>
      </c>
      <c r="CJ65" s="328">
        <v>354704.97000000003</v>
      </c>
      <c r="CK65" s="328">
        <v>44618.406000000003</v>
      </c>
      <c r="CL65" s="328">
        <v>9202483.1000000015</v>
      </c>
      <c r="CM65" s="328">
        <v>1111066.27</v>
      </c>
      <c r="CN65" s="201">
        <v>16068055.85</v>
      </c>
      <c r="CO65" s="201">
        <v>5389885.9299999997</v>
      </c>
      <c r="CP65" s="328">
        <v>1228828.0899999999</v>
      </c>
      <c r="CQ65" s="328">
        <v>540262.66</v>
      </c>
      <c r="CR65" s="328">
        <v>165957.5</v>
      </c>
      <c r="CS65" s="328">
        <v>7568698.5500000007</v>
      </c>
      <c r="CT65" s="328">
        <v>521006.64</v>
      </c>
      <c r="CU65" s="202">
        <v>15414639.370000001</v>
      </c>
      <c r="CV65" s="201">
        <v>2490841.23</v>
      </c>
      <c r="CW65" s="328">
        <v>1484161.25</v>
      </c>
      <c r="CX65" s="328">
        <v>1526954.61</v>
      </c>
      <c r="CY65" s="328">
        <v>291287.94</v>
      </c>
      <c r="CZ65" s="328">
        <v>9502324.700000003</v>
      </c>
      <c r="DA65" s="328">
        <v>1194160.0100000002</v>
      </c>
      <c r="DB65" s="328">
        <v>16489729.74</v>
      </c>
      <c r="DC65" s="328">
        <v>5743531.9199999999</v>
      </c>
      <c r="DD65" s="328">
        <v>1246749.4700000002</v>
      </c>
      <c r="DE65" s="328">
        <v>739083.66000000015</v>
      </c>
      <c r="DF65" s="328">
        <v>157061.48000000001</v>
      </c>
      <c r="DG65" s="328">
        <v>8022684.9200000009</v>
      </c>
      <c r="DH65" s="328">
        <v>609071.41</v>
      </c>
      <c r="DI65" s="328">
        <v>16518182.860000003</v>
      </c>
      <c r="DJ65" s="328">
        <v>1857647.65</v>
      </c>
      <c r="DK65" s="328">
        <v>1222071.4700000002</v>
      </c>
      <c r="DL65" s="328">
        <v>566551.60000000009</v>
      </c>
      <c r="DM65" s="328">
        <v>208791.65999999997</v>
      </c>
      <c r="DN65" s="328">
        <v>9106293.5099999998</v>
      </c>
      <c r="DO65" s="328">
        <v>954113.71</v>
      </c>
      <c r="DP65" s="328">
        <v>13915469.600000001</v>
      </c>
      <c r="DQ65" s="328">
        <v>2283895.8400000003</v>
      </c>
      <c r="DR65" s="328">
        <v>1243934.6799999997</v>
      </c>
      <c r="DS65" s="328">
        <v>249049.37</v>
      </c>
      <c r="DT65" s="328">
        <v>138810.25</v>
      </c>
      <c r="DU65" s="328">
        <v>7914360.0000000009</v>
      </c>
      <c r="DV65" s="328">
        <v>745389.69000000006</v>
      </c>
      <c r="DW65" s="328">
        <v>12575439.830000002</v>
      </c>
      <c r="DX65" s="328">
        <v>1397106.54</v>
      </c>
      <c r="DY65" s="328">
        <v>1068961.9099999997</v>
      </c>
      <c r="DZ65" s="328">
        <v>501361.36999999994</v>
      </c>
      <c r="EA65" s="328">
        <v>181682.56</v>
      </c>
      <c r="EB65" s="328">
        <v>8619972.4199999999</v>
      </c>
      <c r="EC65" s="328">
        <v>833311.44000000018</v>
      </c>
      <c r="ED65" s="328">
        <v>12602396.24</v>
      </c>
      <c r="EE65" s="328">
        <v>961169.82000000018</v>
      </c>
      <c r="EF65" s="328">
        <v>2275000.86</v>
      </c>
      <c r="EG65" s="328">
        <v>110215.17999999998</v>
      </c>
      <c r="EH65" s="328">
        <v>207191.53999999998</v>
      </c>
      <c r="EI65" s="328">
        <v>8767798.3500000015</v>
      </c>
      <c r="EJ65" s="328">
        <v>770388.81</v>
      </c>
      <c r="EK65" s="328">
        <v>13091764.559999999</v>
      </c>
      <c r="EL65" s="328">
        <v>1328599.46</v>
      </c>
      <c r="EM65" s="328">
        <v>1053596.79</v>
      </c>
      <c r="EN65" s="328">
        <v>436826.88</v>
      </c>
      <c r="EO65" s="328">
        <v>174722.39</v>
      </c>
      <c r="EP65" s="328">
        <v>8449852.6500000004</v>
      </c>
      <c r="EQ65" s="328">
        <v>891750.07000000007</v>
      </c>
      <c r="ER65" s="328">
        <v>12335348.240000002</v>
      </c>
      <c r="ES65" s="328">
        <v>1649423.1</v>
      </c>
      <c r="ET65" s="328">
        <v>1024945.0499999998</v>
      </c>
      <c r="EU65" s="328">
        <v>190346.61</v>
      </c>
      <c r="EV65" s="328">
        <v>128432.87000000001</v>
      </c>
      <c r="EW65" s="328">
        <v>7725821.1700000009</v>
      </c>
      <c r="EX65" s="328">
        <v>771584.68000000017</v>
      </c>
      <c r="EY65" s="328">
        <v>11490553.48</v>
      </c>
      <c r="EZ65" s="328">
        <v>1575611.9700000002</v>
      </c>
      <c r="FA65" s="328">
        <v>1464308.8900000001</v>
      </c>
      <c r="FB65" s="328">
        <v>532366.34000000008</v>
      </c>
      <c r="FC65" s="328">
        <v>266578.26999999996</v>
      </c>
      <c r="FD65" s="328">
        <v>8112612.9399999985</v>
      </c>
      <c r="FE65" s="328">
        <v>827537.54000000015</v>
      </c>
      <c r="FF65" s="328">
        <v>12779015.950000003</v>
      </c>
      <c r="FG65" s="328">
        <v>1721835.8000000005</v>
      </c>
      <c r="FH65" s="328">
        <v>1192229.9500000002</v>
      </c>
      <c r="FI65" s="328">
        <v>202206.49</v>
      </c>
      <c r="FJ65" s="328">
        <v>162242.75</v>
      </c>
      <c r="FK65" s="328">
        <v>7442926.6499999994</v>
      </c>
      <c r="FL65" s="328">
        <v>782024.30999999994</v>
      </c>
      <c r="FM65" s="200">
        <v>11503465.950000001</v>
      </c>
      <c r="FN65" s="199">
        <v>60202893.979999997</v>
      </c>
      <c r="FO65" s="336">
        <v>18977994.52</v>
      </c>
      <c r="FP65" s="336">
        <v>6233897.8300000001</v>
      </c>
      <c r="FQ65" s="336">
        <v>2696838.3400000003</v>
      </c>
      <c r="FR65" s="336">
        <v>99162001.349999994</v>
      </c>
      <c r="FS65" s="336">
        <v>10618288.92</v>
      </c>
      <c r="FT65" s="198">
        <v>197891914.93999997</v>
      </c>
      <c r="FU65" s="198">
        <v>54822531.620000005</v>
      </c>
      <c r="FV65" s="337">
        <v>16565108.539999999</v>
      </c>
      <c r="FW65" s="337">
        <v>6969292.370000001</v>
      </c>
      <c r="FX65" s="337">
        <v>2136068.6700000004</v>
      </c>
      <c r="FY65" s="337">
        <v>81413494.150000006</v>
      </c>
      <c r="FZ65" s="198">
        <v>7519318.7100000009</v>
      </c>
      <c r="GA65" s="198">
        <v>169425814.06</v>
      </c>
      <c r="GB65" s="197">
        <v>9.8141442961695873</v>
      </c>
      <c r="GC65" s="338">
        <v>14.566074071736821</v>
      </c>
      <c r="GD65" s="197">
        <v>-10.55192551779831</v>
      </c>
      <c r="GE65" s="338">
        <v>26.252417718387292</v>
      </c>
      <c r="GF65" s="197">
        <v>21.800448912436195</v>
      </c>
      <c r="GG65" s="197">
        <v>41.213444056821999</v>
      </c>
      <c r="GH65" s="339">
        <v>16.801513416319807</v>
      </c>
    </row>
    <row r="66" spans="1:190" ht="15.75" thickBot="1">
      <c r="A66" s="19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BT66" s="169" t="b">
        <f>'Anuid PF'!Y34=BT65</f>
        <v>0</v>
      </c>
      <c r="BU66" s="169" t="b">
        <f>'Anuid PF'!Z34=BU65</f>
        <v>0</v>
      </c>
      <c r="BV66" s="145" t="b">
        <f>BV65='Anuid PJ'!V34</f>
        <v>0</v>
      </c>
      <c r="BW66" s="145" t="b">
        <f>BW65='Anuid PJ'!W34</f>
        <v>0</v>
      </c>
      <c r="BX66" s="145" t="b">
        <f>BX65=RRT!L33</f>
        <v>0</v>
      </c>
      <c r="BY66" s="145" t="b">
        <f>BY65='Taxas e Multas.'!H32</f>
        <v>0</v>
      </c>
      <c r="BZ66" s="145" t="b">
        <f>'Arrecadação Total'!H35=BZ65</f>
        <v>0</v>
      </c>
      <c r="CA66" s="145" t="b">
        <f>CA65=BT98</f>
        <v>1</v>
      </c>
      <c r="CB66" s="564" t="b">
        <f t="shared" ref="CB66:CF66" si="149">CB65=BU98</f>
        <v>1</v>
      </c>
      <c r="CC66" s="564" t="b">
        <f t="shared" si="149"/>
        <v>1</v>
      </c>
      <c r="CD66" s="564" t="b">
        <f t="shared" si="149"/>
        <v>1</v>
      </c>
      <c r="CE66" s="564" t="b">
        <f t="shared" si="149"/>
        <v>1</v>
      </c>
      <c r="CF66" s="564" t="b">
        <f t="shared" si="149"/>
        <v>1</v>
      </c>
      <c r="CG66" s="564" t="b">
        <f>CG65=BZ98</f>
        <v>1</v>
      </c>
    </row>
    <row r="67" spans="1:190">
      <c r="A67" s="939" t="s">
        <v>172</v>
      </c>
      <c r="B67" s="938">
        <v>43831</v>
      </c>
      <c r="C67" s="938"/>
      <c r="D67" s="938"/>
      <c r="E67" s="938"/>
      <c r="F67" s="938"/>
      <c r="G67" s="938"/>
      <c r="H67" s="938"/>
      <c r="I67" s="937">
        <v>43466</v>
      </c>
      <c r="J67" s="937"/>
      <c r="K67" s="937"/>
      <c r="L67" s="937"/>
      <c r="M67" s="937"/>
      <c r="N67" s="937"/>
      <c r="O67" s="937"/>
      <c r="P67" s="938">
        <v>43862</v>
      </c>
      <c r="Q67" s="938"/>
      <c r="R67" s="938"/>
      <c r="S67" s="938"/>
      <c r="T67" s="938"/>
      <c r="U67" s="938"/>
      <c r="V67" s="938"/>
      <c r="W67" s="937">
        <v>43497</v>
      </c>
      <c r="X67" s="937"/>
      <c r="Y67" s="937"/>
      <c r="Z67" s="937"/>
      <c r="AA67" s="937"/>
      <c r="AB67" s="937"/>
      <c r="AC67" s="937"/>
      <c r="AD67" s="938">
        <v>43891</v>
      </c>
      <c r="AE67" s="938"/>
      <c r="AF67" s="938"/>
      <c r="AG67" s="938"/>
      <c r="AH67" s="938"/>
      <c r="AI67" s="938"/>
      <c r="AJ67" s="938"/>
      <c r="AK67" s="937">
        <v>43525</v>
      </c>
      <c r="AL67" s="937"/>
      <c r="AM67" s="937"/>
      <c r="AN67" s="937"/>
      <c r="AO67" s="937"/>
      <c r="AP67" s="937"/>
      <c r="AQ67" s="937"/>
      <c r="AR67" s="938">
        <v>43922</v>
      </c>
      <c r="AS67" s="938"/>
      <c r="AT67" s="938"/>
      <c r="AU67" s="938"/>
      <c r="AV67" s="938"/>
      <c r="AW67" s="938"/>
      <c r="AX67" s="938"/>
      <c r="AY67" s="937">
        <v>43556</v>
      </c>
      <c r="AZ67" s="937"/>
      <c r="BA67" s="937"/>
      <c r="BB67" s="937"/>
      <c r="BC67" s="937"/>
      <c r="BD67" s="937"/>
      <c r="BE67" s="937"/>
      <c r="BF67" s="938">
        <v>43952</v>
      </c>
      <c r="BG67" s="938"/>
      <c r="BH67" s="938"/>
      <c r="BI67" s="938"/>
      <c r="BJ67" s="938"/>
      <c r="BK67" s="938"/>
      <c r="BL67" s="938"/>
      <c r="BM67" s="937">
        <v>43586</v>
      </c>
      <c r="BN67" s="937"/>
      <c r="BO67" s="937"/>
      <c r="BP67" s="937"/>
      <c r="BQ67" s="937"/>
      <c r="BR67" s="937"/>
      <c r="BS67" s="937"/>
      <c r="BT67" s="938">
        <v>43983</v>
      </c>
      <c r="BU67" s="938"/>
      <c r="BV67" s="938"/>
      <c r="BW67" s="938"/>
      <c r="BX67" s="938"/>
      <c r="BY67" s="938"/>
      <c r="BZ67" s="938"/>
      <c r="CA67" s="937">
        <v>43617</v>
      </c>
      <c r="CB67" s="937"/>
      <c r="CC67" s="937"/>
      <c r="CD67" s="937"/>
      <c r="CE67" s="937"/>
      <c r="CF67" s="937"/>
      <c r="CG67" s="937"/>
      <c r="CH67" s="938">
        <v>44013</v>
      </c>
      <c r="CI67" s="938"/>
      <c r="CJ67" s="938"/>
      <c r="CK67" s="938"/>
      <c r="CL67" s="938"/>
      <c r="CM67" s="938"/>
      <c r="CN67" s="938"/>
      <c r="CO67" s="937">
        <v>43647</v>
      </c>
      <c r="CP67" s="937"/>
      <c r="CQ67" s="937"/>
      <c r="CR67" s="937"/>
      <c r="CS67" s="937"/>
      <c r="CT67" s="937"/>
      <c r="CU67" s="937"/>
      <c r="CV67" s="938">
        <v>44044</v>
      </c>
      <c r="CW67" s="938"/>
      <c r="CX67" s="938"/>
      <c r="CY67" s="938"/>
      <c r="CZ67" s="938"/>
      <c r="DA67" s="938"/>
      <c r="DB67" s="938"/>
      <c r="DC67" s="937">
        <v>43678</v>
      </c>
      <c r="DD67" s="937"/>
      <c r="DE67" s="937"/>
      <c r="DF67" s="937"/>
      <c r="DG67" s="937"/>
      <c r="DH67" s="937"/>
      <c r="DI67" s="937"/>
      <c r="DJ67" s="938">
        <v>44075</v>
      </c>
      <c r="DK67" s="938"/>
      <c r="DL67" s="938"/>
      <c r="DM67" s="938"/>
      <c r="DN67" s="938"/>
      <c r="DO67" s="938"/>
      <c r="DP67" s="938"/>
      <c r="DQ67" s="937">
        <v>43709</v>
      </c>
      <c r="DR67" s="937"/>
      <c r="DS67" s="937"/>
      <c r="DT67" s="937"/>
      <c r="DU67" s="937"/>
      <c r="DV67" s="937"/>
      <c r="DW67" s="937"/>
      <c r="DX67" s="938">
        <v>44105</v>
      </c>
      <c r="DY67" s="938"/>
      <c r="DZ67" s="938"/>
      <c r="EA67" s="938"/>
      <c r="EB67" s="938"/>
      <c r="EC67" s="938"/>
      <c r="ED67" s="938"/>
      <c r="EE67" s="937">
        <v>43739</v>
      </c>
      <c r="EF67" s="937"/>
      <c r="EG67" s="937"/>
      <c r="EH67" s="937"/>
      <c r="EI67" s="937"/>
      <c r="EJ67" s="937"/>
      <c r="EK67" s="937"/>
      <c r="EL67" s="938">
        <v>44136</v>
      </c>
      <c r="EM67" s="938"/>
      <c r="EN67" s="938"/>
      <c r="EO67" s="938"/>
      <c r="EP67" s="938"/>
      <c r="EQ67" s="938"/>
      <c r="ER67" s="938"/>
      <c r="ES67" s="937">
        <v>43770</v>
      </c>
      <c r="ET67" s="937"/>
      <c r="EU67" s="937"/>
      <c r="EV67" s="937"/>
      <c r="EW67" s="937"/>
      <c r="EX67" s="937"/>
      <c r="EY67" s="937"/>
      <c r="EZ67" s="938">
        <v>44166</v>
      </c>
      <c r="FA67" s="938"/>
      <c r="FB67" s="938"/>
      <c r="FC67" s="938"/>
      <c r="FD67" s="938"/>
      <c r="FE67" s="938"/>
      <c r="FF67" s="938"/>
      <c r="FG67" s="937">
        <v>43800</v>
      </c>
      <c r="FH67" s="937"/>
      <c r="FI67" s="937"/>
      <c r="FJ67" s="937"/>
      <c r="FK67" s="937"/>
      <c r="FL67" s="937"/>
      <c r="FM67" s="948"/>
      <c r="FN67" s="941" t="s">
        <v>414</v>
      </c>
      <c r="FO67" s="942"/>
      <c r="FP67" s="942"/>
      <c r="FQ67" s="942"/>
      <c r="FR67" s="942"/>
      <c r="FS67" s="942"/>
      <c r="FT67" s="943"/>
      <c r="FU67" s="944" t="s">
        <v>392</v>
      </c>
      <c r="FV67" s="945"/>
      <c r="FW67" s="946"/>
      <c r="FX67" s="946"/>
      <c r="FY67" s="946"/>
      <c r="FZ67" s="946"/>
      <c r="GA67" s="947"/>
      <c r="GB67" s="944" t="s">
        <v>415</v>
      </c>
      <c r="GC67" s="945"/>
      <c r="GD67" s="946"/>
      <c r="GE67" s="946"/>
      <c r="GF67" s="946"/>
      <c r="GG67" s="946"/>
      <c r="GH67" s="947"/>
    </row>
    <row r="68" spans="1:190" ht="30">
      <c r="A68" s="940"/>
      <c r="B68" s="489" t="s">
        <v>534</v>
      </c>
      <c r="C68" s="489" t="s">
        <v>535</v>
      </c>
      <c r="D68" s="489" t="s">
        <v>533</v>
      </c>
      <c r="E68" s="489" t="s">
        <v>536</v>
      </c>
      <c r="F68" s="318" t="s">
        <v>28</v>
      </c>
      <c r="G68" s="318" t="s">
        <v>132</v>
      </c>
      <c r="H68" s="318" t="s">
        <v>118</v>
      </c>
      <c r="I68" s="489" t="s">
        <v>534</v>
      </c>
      <c r="J68" s="489" t="s">
        <v>535</v>
      </c>
      <c r="K68" s="489" t="s">
        <v>533</v>
      </c>
      <c r="L68" s="489" t="s">
        <v>536</v>
      </c>
      <c r="M68" s="318" t="s">
        <v>28</v>
      </c>
      <c r="N68" s="318" t="s">
        <v>132</v>
      </c>
      <c r="O68" s="318" t="s">
        <v>118</v>
      </c>
      <c r="P68" s="489" t="s">
        <v>534</v>
      </c>
      <c r="Q68" s="489" t="s">
        <v>535</v>
      </c>
      <c r="R68" s="489" t="s">
        <v>533</v>
      </c>
      <c r="S68" s="489" t="s">
        <v>536</v>
      </c>
      <c r="T68" s="318" t="s">
        <v>28</v>
      </c>
      <c r="U68" s="318" t="s">
        <v>132</v>
      </c>
      <c r="V68" s="318" t="s">
        <v>118</v>
      </c>
      <c r="W68" s="489" t="s">
        <v>534</v>
      </c>
      <c r="X68" s="489" t="s">
        <v>535</v>
      </c>
      <c r="Y68" s="489" t="s">
        <v>533</v>
      </c>
      <c r="Z68" s="489" t="s">
        <v>536</v>
      </c>
      <c r="AA68" s="318" t="s">
        <v>28</v>
      </c>
      <c r="AB68" s="318" t="s">
        <v>132</v>
      </c>
      <c r="AC68" s="318" t="s">
        <v>118</v>
      </c>
      <c r="AD68" s="489" t="s">
        <v>534</v>
      </c>
      <c r="AE68" s="489" t="s">
        <v>535</v>
      </c>
      <c r="AF68" s="489" t="s">
        <v>533</v>
      </c>
      <c r="AG68" s="489" t="s">
        <v>536</v>
      </c>
      <c r="AH68" s="318" t="s">
        <v>28</v>
      </c>
      <c r="AI68" s="318" t="s">
        <v>132</v>
      </c>
      <c r="AJ68" s="318" t="s">
        <v>118</v>
      </c>
      <c r="AK68" s="489" t="s">
        <v>534</v>
      </c>
      <c r="AL68" s="489" t="s">
        <v>535</v>
      </c>
      <c r="AM68" s="489" t="s">
        <v>533</v>
      </c>
      <c r="AN68" s="489" t="s">
        <v>536</v>
      </c>
      <c r="AO68" s="318" t="s">
        <v>28</v>
      </c>
      <c r="AP68" s="318" t="s">
        <v>132</v>
      </c>
      <c r="AQ68" s="318" t="s">
        <v>118</v>
      </c>
      <c r="AR68" s="489" t="s">
        <v>534</v>
      </c>
      <c r="AS68" s="489" t="s">
        <v>535</v>
      </c>
      <c r="AT68" s="489" t="s">
        <v>533</v>
      </c>
      <c r="AU68" s="489" t="s">
        <v>536</v>
      </c>
      <c r="AV68" s="318" t="s">
        <v>28</v>
      </c>
      <c r="AW68" s="318" t="s">
        <v>132</v>
      </c>
      <c r="AX68" s="318" t="s">
        <v>118</v>
      </c>
      <c r="AY68" s="489" t="s">
        <v>534</v>
      </c>
      <c r="AZ68" s="489" t="s">
        <v>535</v>
      </c>
      <c r="BA68" s="489" t="s">
        <v>533</v>
      </c>
      <c r="BB68" s="489" t="s">
        <v>536</v>
      </c>
      <c r="BC68" s="318" t="s">
        <v>28</v>
      </c>
      <c r="BD68" s="318" t="s">
        <v>132</v>
      </c>
      <c r="BE68" s="318" t="s">
        <v>118</v>
      </c>
      <c r="BF68" s="489" t="s">
        <v>534</v>
      </c>
      <c r="BG68" s="489" t="s">
        <v>535</v>
      </c>
      <c r="BH68" s="489" t="s">
        <v>533</v>
      </c>
      <c r="BI68" s="489" t="s">
        <v>536</v>
      </c>
      <c r="BJ68" s="318" t="s">
        <v>28</v>
      </c>
      <c r="BK68" s="318" t="s">
        <v>132</v>
      </c>
      <c r="BL68" s="318" t="s">
        <v>118</v>
      </c>
      <c r="BM68" s="489" t="s">
        <v>534</v>
      </c>
      <c r="BN68" s="489" t="s">
        <v>535</v>
      </c>
      <c r="BO68" s="489" t="s">
        <v>533</v>
      </c>
      <c r="BP68" s="489" t="s">
        <v>536</v>
      </c>
      <c r="BQ68" s="318" t="s">
        <v>28</v>
      </c>
      <c r="BR68" s="318" t="s">
        <v>132</v>
      </c>
      <c r="BS68" s="318" t="s">
        <v>118</v>
      </c>
      <c r="BT68" s="489" t="s">
        <v>534</v>
      </c>
      <c r="BU68" s="489" t="s">
        <v>535</v>
      </c>
      <c r="BV68" s="489" t="s">
        <v>533</v>
      </c>
      <c r="BW68" s="489" t="s">
        <v>536</v>
      </c>
      <c r="BX68" s="318" t="s">
        <v>28</v>
      </c>
      <c r="BY68" s="318" t="s">
        <v>132</v>
      </c>
      <c r="BZ68" s="318" t="s">
        <v>118</v>
      </c>
      <c r="CA68" s="489" t="s">
        <v>534</v>
      </c>
      <c r="CB68" s="489" t="s">
        <v>535</v>
      </c>
      <c r="CC68" s="489" t="s">
        <v>533</v>
      </c>
      <c r="CD68" s="489" t="s">
        <v>536</v>
      </c>
      <c r="CE68" s="318" t="s">
        <v>28</v>
      </c>
      <c r="CF68" s="318" t="s">
        <v>132</v>
      </c>
      <c r="CG68" s="318" t="s">
        <v>118</v>
      </c>
      <c r="CH68" s="489" t="s">
        <v>534</v>
      </c>
      <c r="CI68" s="489" t="s">
        <v>535</v>
      </c>
      <c r="CJ68" s="489" t="s">
        <v>533</v>
      </c>
      <c r="CK68" s="489" t="s">
        <v>536</v>
      </c>
      <c r="CL68" s="318" t="s">
        <v>28</v>
      </c>
      <c r="CM68" s="318" t="s">
        <v>132</v>
      </c>
      <c r="CN68" s="318" t="s">
        <v>118</v>
      </c>
      <c r="CO68" s="489" t="s">
        <v>534</v>
      </c>
      <c r="CP68" s="489" t="s">
        <v>535</v>
      </c>
      <c r="CQ68" s="489" t="s">
        <v>533</v>
      </c>
      <c r="CR68" s="489" t="s">
        <v>536</v>
      </c>
      <c r="CS68" s="318" t="s">
        <v>28</v>
      </c>
      <c r="CT68" s="318" t="s">
        <v>132</v>
      </c>
      <c r="CU68" s="318" t="s">
        <v>118</v>
      </c>
      <c r="CV68" s="489" t="s">
        <v>534</v>
      </c>
      <c r="CW68" s="489" t="s">
        <v>535</v>
      </c>
      <c r="CX68" s="489" t="s">
        <v>533</v>
      </c>
      <c r="CY68" s="489" t="s">
        <v>536</v>
      </c>
      <c r="CZ68" s="318" t="s">
        <v>28</v>
      </c>
      <c r="DA68" s="318" t="s">
        <v>132</v>
      </c>
      <c r="DB68" s="318" t="s">
        <v>118</v>
      </c>
      <c r="DC68" s="489" t="s">
        <v>534</v>
      </c>
      <c r="DD68" s="489" t="s">
        <v>535</v>
      </c>
      <c r="DE68" s="489" t="s">
        <v>533</v>
      </c>
      <c r="DF68" s="489" t="s">
        <v>536</v>
      </c>
      <c r="DG68" s="318" t="s">
        <v>28</v>
      </c>
      <c r="DH68" s="318" t="s">
        <v>132</v>
      </c>
      <c r="DI68" s="318" t="s">
        <v>118</v>
      </c>
      <c r="DJ68" s="489" t="s">
        <v>534</v>
      </c>
      <c r="DK68" s="489" t="s">
        <v>535</v>
      </c>
      <c r="DL68" s="489" t="s">
        <v>533</v>
      </c>
      <c r="DM68" s="489" t="s">
        <v>536</v>
      </c>
      <c r="DN68" s="318" t="s">
        <v>28</v>
      </c>
      <c r="DO68" s="318" t="s">
        <v>132</v>
      </c>
      <c r="DP68" s="318" t="s">
        <v>118</v>
      </c>
      <c r="DQ68" s="489" t="s">
        <v>534</v>
      </c>
      <c r="DR68" s="489" t="s">
        <v>535</v>
      </c>
      <c r="DS68" s="489" t="s">
        <v>533</v>
      </c>
      <c r="DT68" s="489" t="s">
        <v>536</v>
      </c>
      <c r="DU68" s="318" t="s">
        <v>28</v>
      </c>
      <c r="DV68" s="318" t="s">
        <v>132</v>
      </c>
      <c r="DW68" s="318" t="s">
        <v>118</v>
      </c>
      <c r="DX68" s="489" t="s">
        <v>534</v>
      </c>
      <c r="DY68" s="489" t="s">
        <v>535</v>
      </c>
      <c r="DZ68" s="489" t="s">
        <v>533</v>
      </c>
      <c r="EA68" s="489" t="s">
        <v>536</v>
      </c>
      <c r="EB68" s="318" t="s">
        <v>28</v>
      </c>
      <c r="EC68" s="318" t="s">
        <v>132</v>
      </c>
      <c r="ED68" s="318" t="s">
        <v>118</v>
      </c>
      <c r="EE68" s="489" t="s">
        <v>534</v>
      </c>
      <c r="EF68" s="489" t="s">
        <v>535</v>
      </c>
      <c r="EG68" s="489" t="s">
        <v>533</v>
      </c>
      <c r="EH68" s="489" t="s">
        <v>536</v>
      </c>
      <c r="EI68" s="318" t="s">
        <v>28</v>
      </c>
      <c r="EJ68" s="318" t="s">
        <v>132</v>
      </c>
      <c r="EK68" s="318" t="s">
        <v>118</v>
      </c>
      <c r="EL68" s="489" t="s">
        <v>534</v>
      </c>
      <c r="EM68" s="489" t="s">
        <v>535</v>
      </c>
      <c r="EN68" s="489" t="s">
        <v>533</v>
      </c>
      <c r="EO68" s="489" t="s">
        <v>536</v>
      </c>
      <c r="EP68" s="318" t="s">
        <v>28</v>
      </c>
      <c r="EQ68" s="318" t="s">
        <v>132</v>
      </c>
      <c r="ER68" s="318" t="s">
        <v>118</v>
      </c>
      <c r="ES68" s="489" t="s">
        <v>534</v>
      </c>
      <c r="ET68" s="489" t="s">
        <v>535</v>
      </c>
      <c r="EU68" s="489" t="s">
        <v>533</v>
      </c>
      <c r="EV68" s="489" t="s">
        <v>536</v>
      </c>
      <c r="EW68" s="318" t="s">
        <v>28</v>
      </c>
      <c r="EX68" s="318" t="s">
        <v>132</v>
      </c>
      <c r="EY68" s="318" t="s">
        <v>118</v>
      </c>
      <c r="EZ68" s="489" t="s">
        <v>534</v>
      </c>
      <c r="FA68" s="489" t="s">
        <v>535</v>
      </c>
      <c r="FB68" s="489" t="s">
        <v>533</v>
      </c>
      <c r="FC68" s="489" t="s">
        <v>536</v>
      </c>
      <c r="FD68" s="318" t="s">
        <v>28</v>
      </c>
      <c r="FE68" s="318" t="s">
        <v>132</v>
      </c>
      <c r="FF68" s="318" t="s">
        <v>118</v>
      </c>
      <c r="FG68" s="489" t="s">
        <v>534</v>
      </c>
      <c r="FH68" s="489" t="s">
        <v>535</v>
      </c>
      <c r="FI68" s="489" t="s">
        <v>533</v>
      </c>
      <c r="FJ68" s="489" t="s">
        <v>536</v>
      </c>
      <c r="FK68" s="318" t="s">
        <v>28</v>
      </c>
      <c r="FL68" s="318" t="s">
        <v>132</v>
      </c>
      <c r="FM68" s="330" t="s">
        <v>118</v>
      </c>
      <c r="FN68" s="489" t="s">
        <v>534</v>
      </c>
      <c r="FO68" s="489" t="s">
        <v>535</v>
      </c>
      <c r="FP68" s="489" t="s">
        <v>533</v>
      </c>
      <c r="FQ68" s="489" t="s">
        <v>536</v>
      </c>
      <c r="FR68" s="318" t="s">
        <v>28</v>
      </c>
      <c r="FS68" s="318" t="s">
        <v>132</v>
      </c>
      <c r="FT68" s="318" t="s">
        <v>118</v>
      </c>
      <c r="FU68" s="489" t="s">
        <v>534</v>
      </c>
      <c r="FV68" s="489" t="s">
        <v>535</v>
      </c>
      <c r="FW68" s="489" t="s">
        <v>533</v>
      </c>
      <c r="FX68" s="489" t="s">
        <v>536</v>
      </c>
      <c r="FY68" s="318" t="s">
        <v>28</v>
      </c>
      <c r="FZ68" s="318" t="s">
        <v>132</v>
      </c>
      <c r="GA68" s="330" t="s">
        <v>118</v>
      </c>
      <c r="GB68" s="489" t="s">
        <v>534</v>
      </c>
      <c r="GC68" s="489" t="s">
        <v>535</v>
      </c>
      <c r="GD68" s="489" t="s">
        <v>533</v>
      </c>
      <c r="GE68" s="489" t="s">
        <v>536</v>
      </c>
      <c r="GF68" s="323" t="s">
        <v>28</v>
      </c>
      <c r="GG68" s="323" t="s">
        <v>132</v>
      </c>
      <c r="GH68" s="329" t="s">
        <v>118</v>
      </c>
    </row>
    <row r="69" spans="1:190">
      <c r="A69" s="319" t="s">
        <v>77</v>
      </c>
      <c r="B69" s="325">
        <v>14560.495999999999</v>
      </c>
      <c r="C69" s="325">
        <v>3850.3919999999998</v>
      </c>
      <c r="D69" s="325">
        <v>2697.0560000000005</v>
      </c>
      <c r="E69" s="325">
        <v>420.52800000000002</v>
      </c>
      <c r="F69" s="325">
        <v>14855.224</v>
      </c>
      <c r="G69" s="325">
        <v>1657.2000000000003</v>
      </c>
      <c r="H69" s="326">
        <f>SUM(B69:G69)</f>
        <v>38040.895999999993</v>
      </c>
      <c r="I69" s="325">
        <v>21927.704000000002</v>
      </c>
      <c r="J69" s="325"/>
      <c r="K69" s="325">
        <v>2836.0000000000005</v>
      </c>
      <c r="L69" s="325"/>
      <c r="M69" s="325">
        <v>7413.5360000000001</v>
      </c>
      <c r="N69" s="325">
        <v>1675.2640000000004</v>
      </c>
      <c r="O69" s="326">
        <f>SUM(I69:N69)</f>
        <v>33852.504000000001</v>
      </c>
      <c r="P69" s="325">
        <v>19304.727999999999</v>
      </c>
      <c r="Q69" s="325">
        <v>3351.2480000000005</v>
      </c>
      <c r="R69" s="325">
        <v>3304.6559999999999</v>
      </c>
      <c r="S69" s="325">
        <v>693.88800000000003</v>
      </c>
      <c r="T69" s="325">
        <v>14104.800000000001</v>
      </c>
      <c r="U69" s="325">
        <v>1784.0319999999999</v>
      </c>
      <c r="V69" s="326">
        <f>SUM(P69:U69)</f>
        <v>42543.351999999999</v>
      </c>
      <c r="W69" s="325">
        <v>19023.496000000003</v>
      </c>
      <c r="X69" s="325"/>
      <c r="Y69" s="331">
        <v>2623.6400000000003</v>
      </c>
      <c r="Z69" s="331"/>
      <c r="AA69" s="325">
        <v>11143.776</v>
      </c>
      <c r="AB69" s="325">
        <v>857.92000000000007</v>
      </c>
      <c r="AC69" s="326">
        <f>SUM(W69:AB69)</f>
        <v>33648.832000000002</v>
      </c>
      <c r="AD69" s="325">
        <v>14407.112000000001</v>
      </c>
      <c r="AE69" s="325">
        <v>3421.1040000000003</v>
      </c>
      <c r="AF69" s="325">
        <v>2255.16</v>
      </c>
      <c r="AG69" s="325">
        <v>295.952</v>
      </c>
      <c r="AH69" s="325">
        <v>14165.448000000002</v>
      </c>
      <c r="AI69" s="325">
        <v>1948.992</v>
      </c>
      <c r="AJ69" s="326">
        <f>SUM(AD69:AI69)</f>
        <v>36493.768000000004</v>
      </c>
      <c r="AK69" s="325">
        <v>11885.008</v>
      </c>
      <c r="AL69" s="325"/>
      <c r="AM69" s="331">
        <v>2038.8400000000001</v>
      </c>
      <c r="AN69" s="331"/>
      <c r="AO69" s="325">
        <v>10840.544000000002</v>
      </c>
      <c r="AP69" s="325">
        <v>1662.992</v>
      </c>
      <c r="AQ69" s="326">
        <f>SUM(AK69:AP69)</f>
        <v>26427.383999999998</v>
      </c>
      <c r="AR69" s="325">
        <v>6038.5120000000006</v>
      </c>
      <c r="AS69" s="325">
        <v>1214.288</v>
      </c>
      <c r="AT69" s="325">
        <v>510.45600000000007</v>
      </c>
      <c r="AU69" s="325">
        <v>184.584</v>
      </c>
      <c r="AV69" s="325">
        <v>7836</v>
      </c>
      <c r="AW69" s="325">
        <v>693.32800000000009</v>
      </c>
      <c r="AX69" s="326">
        <f>SUM(AR69:AW69)</f>
        <v>16477.168000000001</v>
      </c>
      <c r="AY69" s="325">
        <v>15899.120000000003</v>
      </c>
      <c r="AZ69" s="325"/>
      <c r="BA69" s="325">
        <v>2130.8719999999998</v>
      </c>
      <c r="BB69" s="325"/>
      <c r="BC69" s="325">
        <v>15009.984</v>
      </c>
      <c r="BD69" s="325">
        <v>1283.3040000000001</v>
      </c>
      <c r="BE69" s="326">
        <f>SUM(AY69:BD69)</f>
        <v>34323.279999999999</v>
      </c>
      <c r="BF69" s="325">
        <v>5366.7760000000007</v>
      </c>
      <c r="BG69" s="325">
        <v>1032.5040000000001</v>
      </c>
      <c r="BH69" s="325">
        <v>1119.96</v>
      </c>
      <c r="BI69" s="325">
        <v>439.20000000000005</v>
      </c>
      <c r="BJ69" s="325">
        <v>11048.760000000002</v>
      </c>
      <c r="BK69" s="325">
        <v>2495.7440000000001</v>
      </c>
      <c r="BL69" s="326">
        <f>SUM(BF69:BK69)</f>
        <v>21502.944000000003</v>
      </c>
      <c r="BM69" s="325">
        <v>19563.495999999999</v>
      </c>
      <c r="BN69" s="325"/>
      <c r="BO69" s="325">
        <v>3285.8720000000003</v>
      </c>
      <c r="BP69" s="325"/>
      <c r="BQ69" s="325">
        <v>17435.84</v>
      </c>
      <c r="BR69" s="325">
        <v>1981.92</v>
      </c>
      <c r="BS69" s="326">
        <f>SUM(BM69:BR69)</f>
        <v>42267.127999999997</v>
      </c>
      <c r="BT69" s="325">
        <v>9320.3120000000017</v>
      </c>
      <c r="BU69" s="325">
        <v>1915.1120000000001</v>
      </c>
      <c r="BV69" s="325">
        <v>1538.9920000000002</v>
      </c>
      <c r="BW69" s="325">
        <v>295.49600000000004</v>
      </c>
      <c r="BX69" s="325">
        <v>13164.48</v>
      </c>
      <c r="BY69" s="325">
        <v>2931.6960000000004</v>
      </c>
      <c r="BZ69" s="326">
        <f>SUM(BT69:BY69)</f>
        <v>29166.088</v>
      </c>
      <c r="CA69" s="325">
        <v>16698.912</v>
      </c>
      <c r="CB69" s="325"/>
      <c r="CC69" s="331">
        <v>3409.6559999999999</v>
      </c>
      <c r="CD69" s="331"/>
      <c r="CE69" s="325">
        <v>12811.552000000001</v>
      </c>
      <c r="CF69" s="325">
        <v>1539.9680000000001</v>
      </c>
      <c r="CG69" s="326">
        <f>SUM(CA69:CF69)</f>
        <v>34460.088000000003</v>
      </c>
      <c r="CH69" s="325">
        <v>14005.264000000003</v>
      </c>
      <c r="CI69" s="325">
        <v>1261.7439999999974</v>
      </c>
      <c r="CJ69" s="325">
        <v>1752.328</v>
      </c>
      <c r="CK69" s="325">
        <v>0</v>
      </c>
      <c r="CL69" s="325">
        <v>17631</v>
      </c>
      <c r="CM69" s="325">
        <v>1272.9040000000002</v>
      </c>
      <c r="CN69" s="326">
        <f>SUM(CH69:CM69)</f>
        <v>35923.24</v>
      </c>
      <c r="CO69" s="325">
        <v>7390.4719999999998</v>
      </c>
      <c r="CP69" s="325"/>
      <c r="CQ69" s="331">
        <v>1316.5520000000001</v>
      </c>
      <c r="CR69" s="331"/>
      <c r="CS69" s="325">
        <v>16677.760000000002</v>
      </c>
      <c r="CT69" s="325">
        <v>1601.0080000000003</v>
      </c>
      <c r="CU69" s="326">
        <f>SUM(CO69:CT69)</f>
        <v>26985.792000000001</v>
      </c>
      <c r="CV69" s="325">
        <v>19565.816000000003</v>
      </c>
      <c r="CW69" s="325">
        <v>4474.0639999999985</v>
      </c>
      <c r="CX69" s="325">
        <v>3047.5439999999999</v>
      </c>
      <c r="CY69" s="325">
        <v>0</v>
      </c>
      <c r="CZ69" s="325">
        <v>23508</v>
      </c>
      <c r="DA69" s="325">
        <v>2230.2800000000002</v>
      </c>
      <c r="DB69" s="326">
        <f>SUM(CV69:DA69)</f>
        <v>52825.703999999998</v>
      </c>
      <c r="DC69" s="325">
        <v>4787.0880000000006</v>
      </c>
      <c r="DD69" s="325"/>
      <c r="DE69" s="331">
        <v>1432.5920000000001</v>
      </c>
      <c r="DF69" s="331"/>
      <c r="DG69" s="325">
        <v>16147.104000000001</v>
      </c>
      <c r="DH69" s="325">
        <v>1148.68</v>
      </c>
      <c r="DI69" s="326">
        <f>SUM(DC69:DH69)</f>
        <v>23515.464</v>
      </c>
      <c r="DJ69" s="325">
        <v>7479.9120000000003</v>
      </c>
      <c r="DK69" s="325">
        <v>3106.2000000000016</v>
      </c>
      <c r="DL69" s="325">
        <v>1310.4480000000001</v>
      </c>
      <c r="DM69" s="325">
        <v>527.64800000000002</v>
      </c>
      <c r="DN69" s="325">
        <v>28209.600000000002</v>
      </c>
      <c r="DO69" s="325">
        <v>2638.5440000000008</v>
      </c>
      <c r="DP69" s="326">
        <f>SUM(DJ69:DO69)</f>
        <v>43272.352000000006</v>
      </c>
      <c r="DQ69" s="325">
        <v>3558.5040000000004</v>
      </c>
      <c r="DR69" s="325"/>
      <c r="DS69" s="331">
        <v>621.98400000000004</v>
      </c>
      <c r="DT69" s="331"/>
      <c r="DU69" s="325">
        <v>16905.184000000001</v>
      </c>
      <c r="DV69" s="325">
        <v>1516.52</v>
      </c>
      <c r="DW69" s="326">
        <f>SUM(DQ69:DV69)</f>
        <v>22602.192000000003</v>
      </c>
      <c r="DX69" s="325">
        <v>2464.5439999999999</v>
      </c>
      <c r="DY69" s="325">
        <v>8339.1119999999992</v>
      </c>
      <c r="DZ69" s="325">
        <v>393.13600000000002</v>
      </c>
      <c r="EA69" s="325">
        <v>1757.1840000000002</v>
      </c>
      <c r="EB69" s="325">
        <v>24056.520000000004</v>
      </c>
      <c r="EC69" s="325">
        <v>2950.1840000000002</v>
      </c>
      <c r="ED69" s="326">
        <f>SUM(DX69:EC69)</f>
        <v>39960.68</v>
      </c>
      <c r="EE69" s="325">
        <v>3618.92</v>
      </c>
      <c r="EF69" s="325"/>
      <c r="EG69" s="331">
        <v>807.53600000000006</v>
      </c>
      <c r="EH69" s="331"/>
      <c r="EI69" s="325">
        <v>21605.279999999999</v>
      </c>
      <c r="EJ69" s="325">
        <v>2651.4880000000003</v>
      </c>
      <c r="EK69" s="326">
        <f>SUM(EE69:EJ69)</f>
        <v>28683.223999999998</v>
      </c>
      <c r="EL69" s="325">
        <v>3617.5360000000001</v>
      </c>
      <c r="EM69" s="325">
        <v>1325.3760000000002</v>
      </c>
      <c r="EN69" s="325">
        <v>758.80799999999999</v>
      </c>
      <c r="EO69" s="325">
        <v>568.6</v>
      </c>
      <c r="EP69" s="325">
        <v>20765.400000000001</v>
      </c>
      <c r="EQ69" s="325">
        <v>1446.4240000000004</v>
      </c>
      <c r="ER69" s="326">
        <f>SUM(EL69:EQ69)</f>
        <v>28482.144</v>
      </c>
      <c r="ES69" s="325">
        <v>4652.5200000000004</v>
      </c>
      <c r="ET69" s="325"/>
      <c r="EU69" s="331">
        <v>1339.64</v>
      </c>
      <c r="EV69" s="331"/>
      <c r="EW69" s="325">
        <v>15919.68</v>
      </c>
      <c r="EX69" s="325">
        <v>4552.9920000000002</v>
      </c>
      <c r="EY69" s="326">
        <f>SUM(ES69:EX69)</f>
        <v>26464.832000000002</v>
      </c>
      <c r="EZ69" s="325">
        <v>6135.9440000000004</v>
      </c>
      <c r="FA69" s="325">
        <v>2157.559999999999</v>
      </c>
      <c r="FB69" s="325">
        <v>167.61600000000001</v>
      </c>
      <c r="FC69" s="325">
        <v>0</v>
      </c>
      <c r="FD69" s="325">
        <v>19981.800000000003</v>
      </c>
      <c r="FE69" s="325">
        <v>2589.6640000000007</v>
      </c>
      <c r="FF69" s="326">
        <f>SUM(EZ69:FE69)</f>
        <v>31032.584000000003</v>
      </c>
      <c r="FG69" s="325">
        <v>3439.752</v>
      </c>
      <c r="FH69" s="325"/>
      <c r="FI69" s="331">
        <v>1017.1120000000001</v>
      </c>
      <c r="FJ69" s="331"/>
      <c r="FK69" s="325">
        <v>16374.528</v>
      </c>
      <c r="FL69" s="325">
        <v>2101.8399999999997</v>
      </c>
      <c r="FM69" s="326">
        <f>SUM(FG69:FL69)</f>
        <v>22933.232</v>
      </c>
      <c r="FN69" s="333">
        <f>B69+P69+AD69+AR69+BF69+BT69+CH69+CV69+DJ69+DX69+EL69+EZ69</f>
        <v>122266.952</v>
      </c>
      <c r="FO69" s="519">
        <f t="shared" ref="FO69:FO95" si="150">C69+Q69+AE69+AS69+BG69+BU69+CI69+CW69+DK69+DY69+EM69+FA69</f>
        <v>35448.703999999998</v>
      </c>
      <c r="FP69" s="325">
        <f t="shared" ref="FP69:FP95" si="151">D69+R69+AF69+AT69+BH69+BV69+CJ69+CX69+DL69+DZ69+EN69+FB69</f>
        <v>18856.16</v>
      </c>
      <c r="FQ69" s="325">
        <f t="shared" ref="FQ69:FQ95" si="152">E69+S69+AG69+AU69+BI69+BW69+CK69+CY69+DM69+EA69+EO69+FC69</f>
        <v>5183.0800000000008</v>
      </c>
      <c r="FR69" s="325">
        <f t="shared" ref="FR69:FR95" si="153">F69+T69+AH69+AV69+BJ69+BX69+CL69+CZ69+DN69+EB69+EP69+FD69</f>
        <v>209327.03200000001</v>
      </c>
      <c r="FS69" s="325">
        <f t="shared" ref="FS69:FS95" si="154">G69+U69+AI69+AW69+BK69+BY69+CM69+DA69+DO69+EC69+EQ69+FE69</f>
        <v>24638.992000000002</v>
      </c>
      <c r="FT69" s="326">
        <f t="shared" ref="FT69:FT98" si="155">SUM(FN69:FS69)</f>
        <v>415720.92000000004</v>
      </c>
      <c r="FU69" s="325">
        <f>I69+W69+AK69+AY69+BM69+CA69+CO69+DC69+DQ69+EE69+ES69+FG69</f>
        <v>132444.992</v>
      </c>
      <c r="FV69" s="325">
        <f t="shared" ref="FV69:FV95" si="156">J69+X69+AL69+AZ69+BN69+CB69+CP69+DD69+DR69+EF69+ET69+FH69</f>
        <v>0</v>
      </c>
      <c r="FW69" s="325">
        <f t="shared" ref="FW69:FW95" si="157">K69+Y69+AM69+BA69+BO69+CC69+CQ69+DE69+DS69+EG69+EU69+FI69</f>
        <v>22860.296000000002</v>
      </c>
      <c r="FX69" s="325">
        <f t="shared" ref="FX69:FX95" si="158">L69+Z69+AN69+BB69+BP69+CD69+CR69+DF69+DT69+EH69+EV69+FJ69</f>
        <v>0</v>
      </c>
      <c r="FY69" s="325">
        <f t="shared" ref="FY69:FY95" si="159">M69+AA69+AO69+BC69+BQ69+CE69+CS69+DG69+DU909+DU69+EI69+EW69+FK69</f>
        <v>178284.76799999998</v>
      </c>
      <c r="FZ69" s="325">
        <f t="shared" ref="FZ69:FZ95" si="160">N69+AB69+AP69+BD69+BR69+CF69+CT69+DH69+DV909+DV69+EJ69+EX69+FL69</f>
        <v>22573.896000000004</v>
      </c>
      <c r="GA69" s="326">
        <f>SUM(FU69:FZ69)</f>
        <v>356163.95199999999</v>
      </c>
      <c r="GB69" s="206">
        <f>FN69/FU69*100-100</f>
        <v>-7.6847299745391666</v>
      </c>
      <c r="GC69" s="206" t="e">
        <f>FO69/FV69*100-100</f>
        <v>#DIV/0!</v>
      </c>
      <c r="GD69" s="206">
        <f t="shared" ref="GD69:GD98" si="161">FP69/FW69*100-100</f>
        <v>-17.515678712121669</v>
      </c>
      <c r="GE69" s="206" t="e">
        <f t="shared" ref="GE69:GE98" si="162">FQ69/FX69*100-100</f>
        <v>#DIV/0!</v>
      </c>
      <c r="GF69" s="206">
        <f t="shared" ref="GF69:GF98" si="163">FR69/FY69*100-100</f>
        <v>17.411618697565928</v>
      </c>
      <c r="GG69" s="206">
        <f t="shared" ref="GG69:GG95" si="164">FS69/FZ69*100-100</f>
        <v>9.1481594493037335</v>
      </c>
      <c r="GH69" s="205">
        <f>FT69/GA69*100-100</f>
        <v>16.721784353965191</v>
      </c>
    </row>
    <row r="70" spans="1:190">
      <c r="A70" s="319" t="s">
        <v>78</v>
      </c>
      <c r="B70" s="325">
        <v>82619.016000000003</v>
      </c>
      <c r="C70" s="325">
        <v>25126.440000000002</v>
      </c>
      <c r="D70" s="325">
        <v>3794.1680000000001</v>
      </c>
      <c r="E70" s="325">
        <v>1131.8399999999999</v>
      </c>
      <c r="F70" s="325">
        <v>37533.688000000002</v>
      </c>
      <c r="G70" s="325">
        <v>8492.5360000000001</v>
      </c>
      <c r="H70" s="326">
        <f t="shared" ref="H70:H98" si="165">SUM(B70:G70)</f>
        <v>158697.68799999999</v>
      </c>
      <c r="I70" s="325">
        <v>87066.751999999993</v>
      </c>
      <c r="J70" s="325"/>
      <c r="K70" s="325">
        <v>4239.2640000000001</v>
      </c>
      <c r="L70" s="325"/>
      <c r="M70" s="325">
        <v>30571.664000000004</v>
      </c>
      <c r="N70" s="325">
        <v>3987.1280000000002</v>
      </c>
      <c r="O70" s="326">
        <f t="shared" ref="O70:O98" si="166">SUM(I70:N70)</f>
        <v>125864.80799999999</v>
      </c>
      <c r="P70" s="325">
        <v>76937.648000000001</v>
      </c>
      <c r="Q70" s="325">
        <v>16464.688000000002</v>
      </c>
      <c r="R70" s="325">
        <v>8479.728000000001</v>
      </c>
      <c r="S70" s="325">
        <v>568</v>
      </c>
      <c r="T70" s="325">
        <v>39963.600000000006</v>
      </c>
      <c r="U70" s="325">
        <v>5033.6800000000012</v>
      </c>
      <c r="V70" s="326">
        <f t="shared" ref="V70:V98" si="167">SUM(P70:U70)</f>
        <v>147447.34400000001</v>
      </c>
      <c r="W70" s="325">
        <v>107810.152</v>
      </c>
      <c r="X70" s="325"/>
      <c r="Y70" s="331">
        <v>6932.6639999999998</v>
      </c>
      <c r="Z70" s="331"/>
      <c r="AA70" s="325">
        <v>40178.240000000005</v>
      </c>
      <c r="AB70" s="325">
        <v>5340.9120000000003</v>
      </c>
      <c r="AC70" s="326">
        <f t="shared" ref="AC70:AC98" si="168">SUM(W70:AB70)</f>
        <v>160261.96800000002</v>
      </c>
      <c r="AD70" s="325">
        <v>41772.520000000004</v>
      </c>
      <c r="AE70" s="325">
        <v>13770.735999999999</v>
      </c>
      <c r="AF70" s="325">
        <v>1409.472</v>
      </c>
      <c r="AG70" s="325">
        <v>325.03200000000004</v>
      </c>
      <c r="AH70" s="325">
        <v>40903.920000000006</v>
      </c>
      <c r="AI70" s="325">
        <v>4618.384</v>
      </c>
      <c r="AJ70" s="326">
        <f t="shared" ref="AJ70:AJ98" si="169">SUM(AD70:AI70)</f>
        <v>102800.06400000001</v>
      </c>
      <c r="AK70" s="325">
        <v>41235.416000000005</v>
      </c>
      <c r="AL70" s="325"/>
      <c r="AM70" s="331">
        <v>1111.104</v>
      </c>
      <c r="AN70" s="331"/>
      <c r="AO70" s="325">
        <v>34871.68</v>
      </c>
      <c r="AP70" s="325">
        <v>3228.6640000000002</v>
      </c>
      <c r="AQ70" s="326">
        <f t="shared" ref="AQ70:AQ98" si="170">SUM(AK70:AP70)</f>
        <v>80446.864000000016</v>
      </c>
      <c r="AR70" s="325">
        <v>17309.544000000002</v>
      </c>
      <c r="AS70" s="325">
        <v>10478.880000000001</v>
      </c>
      <c r="AT70" s="325">
        <v>746.64</v>
      </c>
      <c r="AU70" s="325">
        <v>506.52800000000002</v>
      </c>
      <c r="AV70" s="325">
        <v>30482.040000000005</v>
      </c>
      <c r="AW70" s="325">
        <v>3787.4720000000002</v>
      </c>
      <c r="AX70" s="326">
        <f t="shared" ref="AX70:AX98" si="171">SUM(AR70:AW70)</f>
        <v>63311.104000000007</v>
      </c>
      <c r="AY70" s="325">
        <v>45975.272000000012</v>
      </c>
      <c r="AZ70" s="325"/>
      <c r="BA70" s="325">
        <v>1014.5839999999999</v>
      </c>
      <c r="BB70" s="325"/>
      <c r="BC70" s="325">
        <v>51473.632000000005</v>
      </c>
      <c r="BD70" s="325">
        <v>4215.68</v>
      </c>
      <c r="BE70" s="326">
        <f t="shared" ref="BE70:BE98" si="172">SUM(AY70:BD70)</f>
        <v>102679.16800000001</v>
      </c>
      <c r="BF70" s="325">
        <v>17241.904000000002</v>
      </c>
      <c r="BG70" s="325">
        <v>8710.2320000000018</v>
      </c>
      <c r="BH70" s="325">
        <v>959.96800000000007</v>
      </c>
      <c r="BI70" s="325">
        <v>233.80799999999999</v>
      </c>
      <c r="BJ70" s="325">
        <v>30403.68</v>
      </c>
      <c r="BK70" s="325">
        <v>2855.6959999999999</v>
      </c>
      <c r="BL70" s="326">
        <f t="shared" ref="BL70:BL98" si="173">SUM(BF70:BK70)</f>
        <v>60405.288</v>
      </c>
      <c r="BM70" s="325">
        <v>50548.743999999999</v>
      </c>
      <c r="BN70" s="325"/>
      <c r="BO70" s="325">
        <v>2307.904</v>
      </c>
      <c r="BP70" s="325"/>
      <c r="BQ70" s="325">
        <v>51625.248</v>
      </c>
      <c r="BR70" s="325">
        <v>5075.3680000000004</v>
      </c>
      <c r="BS70" s="326">
        <f t="shared" ref="BS70:BS98" si="174">SUM(BM70:BR70)</f>
        <v>109557.26400000001</v>
      </c>
      <c r="BT70" s="325">
        <v>22298.959999999999</v>
      </c>
      <c r="BU70" s="325">
        <v>10994.336000000001</v>
      </c>
      <c r="BV70" s="325">
        <v>182.84800000000001</v>
      </c>
      <c r="BW70" s="325">
        <v>297.44</v>
      </c>
      <c r="BX70" s="325">
        <v>34400.04</v>
      </c>
      <c r="BY70" s="325">
        <v>3645.5840000000003</v>
      </c>
      <c r="BZ70" s="326">
        <f t="shared" ref="BZ70:BZ98" si="175">SUM(BT70:BY70)</f>
        <v>71819.208000000013</v>
      </c>
      <c r="CA70" s="325">
        <v>47030.848000000005</v>
      </c>
      <c r="CB70" s="325"/>
      <c r="CC70" s="331">
        <v>2491.384</v>
      </c>
      <c r="CD70" s="331"/>
      <c r="CE70" s="325">
        <v>40254.048000000003</v>
      </c>
      <c r="CF70" s="325">
        <v>4528.5120000000006</v>
      </c>
      <c r="CG70" s="326">
        <f t="shared" ref="CG70:CG98" si="176">SUM(CA70:CF70)</f>
        <v>94304.792000000001</v>
      </c>
      <c r="CH70" s="325">
        <v>46785.784000000007</v>
      </c>
      <c r="CI70" s="325">
        <v>14140.256000000001</v>
      </c>
      <c r="CJ70" s="325">
        <v>2392.3040000000001</v>
      </c>
      <c r="CK70" s="325">
        <v>254.14399999999989</v>
      </c>
      <c r="CL70" s="325">
        <v>43489.8</v>
      </c>
      <c r="CM70" s="325">
        <v>4303.6480000000001</v>
      </c>
      <c r="CN70" s="326">
        <f t="shared" ref="CN70:CN98" si="177">SUM(CH70:CM70)</f>
        <v>111365.93600000002</v>
      </c>
      <c r="CO70" s="325">
        <v>23675.08</v>
      </c>
      <c r="CP70" s="325"/>
      <c r="CQ70" s="331">
        <v>3212.7200000000003</v>
      </c>
      <c r="CR70" s="331"/>
      <c r="CS70" s="325">
        <v>50336.512000000002</v>
      </c>
      <c r="CT70" s="325">
        <v>8022.4479999999994</v>
      </c>
      <c r="CU70" s="326">
        <f t="shared" ref="CU70:CU98" si="178">SUM(CO70:CT70)</f>
        <v>85246.760000000009</v>
      </c>
      <c r="CV70" s="325">
        <v>51631.240000000005</v>
      </c>
      <c r="CW70" s="325">
        <v>14468.976000000002</v>
      </c>
      <c r="CX70" s="325">
        <v>2173.92</v>
      </c>
      <c r="CY70" s="325">
        <v>64.247999999999962</v>
      </c>
      <c r="CZ70" s="325">
        <v>50463.840000000011</v>
      </c>
      <c r="DA70" s="325">
        <v>5400.9439999999995</v>
      </c>
      <c r="DB70" s="326">
        <f t="shared" ref="DB70:DB98" si="179">SUM(CV70:DA70)</f>
        <v>124203.16800000003</v>
      </c>
      <c r="DC70" s="325">
        <v>19563.408000000003</v>
      </c>
      <c r="DD70" s="325"/>
      <c r="DE70" s="331">
        <v>1951.2880000000002</v>
      </c>
      <c r="DF70" s="331"/>
      <c r="DG70" s="325">
        <v>46621.920000000006</v>
      </c>
      <c r="DH70" s="325">
        <v>6177.6720000000005</v>
      </c>
      <c r="DI70" s="326">
        <f t="shared" ref="DI70:DI98" si="180">SUM(DC70:DH70)</f>
        <v>74314.288000000015</v>
      </c>
      <c r="DJ70" s="325">
        <v>18370.256000000001</v>
      </c>
      <c r="DK70" s="325">
        <v>13769.927999999998</v>
      </c>
      <c r="DL70" s="325">
        <v>2377.1040000000003</v>
      </c>
      <c r="DM70" s="325">
        <v>335.32799999999992</v>
      </c>
      <c r="DN70" s="325">
        <v>45448.800000000003</v>
      </c>
      <c r="DO70" s="325">
        <v>7119.5039999999999</v>
      </c>
      <c r="DP70" s="326">
        <f t="shared" ref="DP70:DP98" si="181">SUM(DJ70:DO70)</f>
        <v>87420.92</v>
      </c>
      <c r="DQ70" s="325">
        <v>18698.632000000001</v>
      </c>
      <c r="DR70" s="325"/>
      <c r="DS70" s="331">
        <v>1999.3520000000003</v>
      </c>
      <c r="DT70" s="331"/>
      <c r="DU70" s="325">
        <v>41163.744000000006</v>
      </c>
      <c r="DV70" s="325">
        <v>5646.1040000000003</v>
      </c>
      <c r="DW70" s="326">
        <f t="shared" ref="DW70:DW98" si="182">SUM(DQ70:DV70)</f>
        <v>67507.832000000009</v>
      </c>
      <c r="DX70" s="325">
        <v>7539.1840000000002</v>
      </c>
      <c r="DY70" s="325">
        <v>26093.544000000005</v>
      </c>
      <c r="DZ70" s="325">
        <v>253.96</v>
      </c>
      <c r="EA70" s="325">
        <v>335.31200000000007</v>
      </c>
      <c r="EB70" s="325">
        <v>62139.48000000001</v>
      </c>
      <c r="EC70" s="325">
        <v>6219.424</v>
      </c>
      <c r="ED70" s="326">
        <f t="shared" ref="ED70:ED98" si="183">SUM(DX70:EC70)</f>
        <v>102580.90400000001</v>
      </c>
      <c r="EE70" s="325">
        <v>21399.167999999998</v>
      </c>
      <c r="EF70" s="325"/>
      <c r="EG70" s="331">
        <v>2140.232</v>
      </c>
      <c r="EH70" s="331"/>
      <c r="EI70" s="325">
        <v>47607.423999999999</v>
      </c>
      <c r="EJ70" s="325">
        <v>8404.232</v>
      </c>
      <c r="EK70" s="326">
        <f t="shared" ref="EK70:EK98" si="184">SUM(EE70:EJ70)</f>
        <v>79551.055999999997</v>
      </c>
      <c r="EL70" s="325">
        <v>13876.696000000004</v>
      </c>
      <c r="EM70" s="325">
        <v>11461.576000000001</v>
      </c>
      <c r="EN70" s="325">
        <v>1427.248</v>
      </c>
      <c r="EO70" s="325">
        <v>589.48</v>
      </c>
      <c r="EP70" s="325">
        <v>55635.600000000006</v>
      </c>
      <c r="EQ70" s="325">
        <v>6028.7920000000004</v>
      </c>
      <c r="ER70" s="326">
        <f t="shared" ref="ER70:ER98" si="185">SUM(EL70:EQ70)</f>
        <v>89019.392000000007</v>
      </c>
      <c r="ES70" s="325">
        <v>18264.496000000003</v>
      </c>
      <c r="ET70" s="325"/>
      <c r="EU70" s="331">
        <v>2037.3440000000003</v>
      </c>
      <c r="EV70" s="331"/>
      <c r="EW70" s="325">
        <v>45105.760000000002</v>
      </c>
      <c r="EX70" s="325">
        <v>10924.272000000001</v>
      </c>
      <c r="EY70" s="326">
        <f t="shared" ref="EY70:EY98" si="186">SUM(ES70:EX70)</f>
        <v>76331.872000000003</v>
      </c>
      <c r="EZ70" s="325">
        <v>21301.232000000004</v>
      </c>
      <c r="FA70" s="325">
        <v>17132.072000000004</v>
      </c>
      <c r="FB70" s="325">
        <v>1447.5680000000002</v>
      </c>
      <c r="FC70" s="325">
        <v>760.60799999999983</v>
      </c>
      <c r="FD70" s="325">
        <v>50542.200000000004</v>
      </c>
      <c r="FE70" s="325">
        <v>7661.6080000000002</v>
      </c>
      <c r="FF70" s="326">
        <f t="shared" ref="FF70:FF98" si="187">SUM(EZ70:FE70)</f>
        <v>98845.288</v>
      </c>
      <c r="FG70" s="325">
        <v>27007.383999999998</v>
      </c>
      <c r="FH70" s="325"/>
      <c r="FI70" s="331">
        <v>1343.44</v>
      </c>
      <c r="FJ70" s="331"/>
      <c r="FK70" s="325">
        <v>41239.552000000003</v>
      </c>
      <c r="FL70" s="325">
        <v>10827.576000000003</v>
      </c>
      <c r="FM70" s="326">
        <f t="shared" ref="FM70:FM98" si="188">SUM(FG70:FL70)</f>
        <v>80417.952000000005</v>
      </c>
      <c r="FN70" s="333">
        <f t="shared" ref="FN70:FN95" si="189">B70+P70+AD70+AR70+BF70+BT70+CH70+CV70+DJ70+DX70+EL70+EZ70</f>
        <v>417683.984</v>
      </c>
      <c r="FO70" s="519">
        <f t="shared" si="150"/>
        <v>182611.66400000002</v>
      </c>
      <c r="FP70" s="325">
        <f t="shared" si="151"/>
        <v>25644.928</v>
      </c>
      <c r="FQ70" s="325">
        <f t="shared" si="152"/>
        <v>5401.768</v>
      </c>
      <c r="FR70" s="325">
        <f t="shared" si="153"/>
        <v>521406.68800000002</v>
      </c>
      <c r="FS70" s="325">
        <f t="shared" si="154"/>
        <v>65167.272000000004</v>
      </c>
      <c r="FT70" s="326">
        <f t="shared" si="155"/>
        <v>1217916.3040000002</v>
      </c>
      <c r="FU70" s="325">
        <f t="shared" ref="FU70:FU95" si="190">I70+W70+AK70+AY70+BM70+CA70+CO70+DC70+DQ70+EE70+ES70+FG70</f>
        <v>508275.35200000001</v>
      </c>
      <c r="FV70" s="325">
        <f t="shared" si="156"/>
        <v>0</v>
      </c>
      <c r="FW70" s="325">
        <f t="shared" si="157"/>
        <v>30781.280000000002</v>
      </c>
      <c r="FX70" s="325">
        <f t="shared" si="158"/>
        <v>0</v>
      </c>
      <c r="FY70" s="325">
        <f t="shared" si="159"/>
        <v>521049.42400000006</v>
      </c>
      <c r="FZ70" s="325">
        <f t="shared" si="160"/>
        <v>76378.567999999999</v>
      </c>
      <c r="GA70" s="326">
        <f t="shared" ref="GA70:GA98" si="191">SUM(FU70:FZ70)</f>
        <v>1136484.6240000001</v>
      </c>
      <c r="GB70" s="206">
        <f t="shared" ref="GB70:GB96" si="192">FN70/FU70*100-100</f>
        <v>-17.823285674494016</v>
      </c>
      <c r="GC70" s="206" t="e">
        <f t="shared" ref="GC70:GC96" si="193">FO70/FV70*100-100</f>
        <v>#DIV/0!</v>
      </c>
      <c r="GD70" s="206">
        <f t="shared" si="161"/>
        <v>-16.68660952371053</v>
      </c>
      <c r="GE70" s="206" t="e">
        <f t="shared" si="162"/>
        <v>#DIV/0!</v>
      </c>
      <c r="GF70" s="206">
        <f t="shared" si="163"/>
        <v>6.8566240272829759E-2</v>
      </c>
      <c r="GG70" s="206">
        <f t="shared" si="164"/>
        <v>-14.678588894203926</v>
      </c>
      <c r="GH70" s="205">
        <f t="shared" ref="GH70:GH98" si="194">FT70/GA70*100-100</f>
        <v>7.1652249648034001</v>
      </c>
    </row>
    <row r="71" spans="1:190">
      <c r="A71" s="319" t="s">
        <v>80</v>
      </c>
      <c r="B71" s="325">
        <v>56159.095999999998</v>
      </c>
      <c r="C71" s="325">
        <v>20675.456000000002</v>
      </c>
      <c r="D71" s="325">
        <v>7055.0240000000013</v>
      </c>
      <c r="E71" s="325">
        <v>1523.9760000000001</v>
      </c>
      <c r="F71" s="325">
        <v>33880.640000000007</v>
      </c>
      <c r="G71" s="325">
        <v>5780.9679999999998</v>
      </c>
      <c r="H71" s="326">
        <f t="shared" si="165"/>
        <v>125075.16</v>
      </c>
      <c r="I71" s="325">
        <v>65460.752000000008</v>
      </c>
      <c r="J71" s="325"/>
      <c r="K71" s="325">
        <v>6892.5439999999999</v>
      </c>
      <c r="L71" s="325"/>
      <c r="M71" s="325">
        <v>27050.592000000001</v>
      </c>
      <c r="N71" s="325">
        <v>5460.3520000000008</v>
      </c>
      <c r="O71" s="326">
        <f t="shared" si="166"/>
        <v>104864.24</v>
      </c>
      <c r="P71" s="325">
        <v>65980.911999999997</v>
      </c>
      <c r="Q71" s="325">
        <v>13188.688000000002</v>
      </c>
      <c r="R71" s="325">
        <v>7854.9759999999997</v>
      </c>
      <c r="S71" s="325">
        <v>2352.4320000000002</v>
      </c>
      <c r="T71" s="325">
        <v>37299.360000000001</v>
      </c>
      <c r="U71" s="325">
        <v>4908.24</v>
      </c>
      <c r="V71" s="326">
        <f t="shared" si="167"/>
        <v>131584.60800000001</v>
      </c>
      <c r="W71" s="325">
        <v>82232.152000000016</v>
      </c>
      <c r="X71" s="325"/>
      <c r="Y71" s="331">
        <v>8750.16</v>
      </c>
      <c r="Z71" s="331"/>
      <c r="AA71" s="325">
        <v>34113.599999999999</v>
      </c>
      <c r="AB71" s="325">
        <v>7028.8320000000003</v>
      </c>
      <c r="AC71" s="326">
        <f t="shared" si="168"/>
        <v>132124.74400000001</v>
      </c>
      <c r="AD71" s="325">
        <v>47458.544000000002</v>
      </c>
      <c r="AE71" s="325">
        <v>14358.808000000003</v>
      </c>
      <c r="AF71" s="325">
        <v>5015.0640000000003</v>
      </c>
      <c r="AG71" s="325">
        <v>4690.424</v>
      </c>
      <c r="AH71" s="325">
        <v>43959.96</v>
      </c>
      <c r="AI71" s="325">
        <v>5436.768</v>
      </c>
      <c r="AJ71" s="326">
        <f t="shared" si="169"/>
        <v>120919.56800000001</v>
      </c>
      <c r="AK71" s="325">
        <v>61594.912000000011</v>
      </c>
      <c r="AL71" s="325"/>
      <c r="AM71" s="331">
        <v>6288.9760000000006</v>
      </c>
      <c r="AN71" s="331"/>
      <c r="AO71" s="325">
        <v>34795.871999999996</v>
      </c>
      <c r="AP71" s="325">
        <v>5498.1080000000002</v>
      </c>
      <c r="AQ71" s="326">
        <f t="shared" si="170"/>
        <v>108177.86800000002</v>
      </c>
      <c r="AR71" s="325">
        <v>17888.84</v>
      </c>
      <c r="AS71" s="325">
        <v>7205.8640000000005</v>
      </c>
      <c r="AT71" s="325">
        <v>1211.3920000000001</v>
      </c>
      <c r="AU71" s="325">
        <v>824.24</v>
      </c>
      <c r="AV71" s="325">
        <v>16612.320000000003</v>
      </c>
      <c r="AW71" s="325">
        <v>2440.4080000000008</v>
      </c>
      <c r="AX71" s="326">
        <f t="shared" si="171"/>
        <v>46183.064000000006</v>
      </c>
      <c r="AY71" s="325">
        <v>65962.624000000011</v>
      </c>
      <c r="AZ71" s="325"/>
      <c r="BA71" s="325">
        <v>6765.7039999999997</v>
      </c>
      <c r="BB71" s="325"/>
      <c r="BC71" s="325">
        <v>37524.959999999999</v>
      </c>
      <c r="BD71" s="325">
        <v>5975.46</v>
      </c>
      <c r="BE71" s="326">
        <f t="shared" si="172"/>
        <v>116228.74800000001</v>
      </c>
      <c r="BF71" s="325">
        <v>19643.088</v>
      </c>
      <c r="BG71" s="325">
        <v>10934.152000000002</v>
      </c>
      <c r="BH71" s="325">
        <v>182.84800000000001</v>
      </c>
      <c r="BI71" s="325">
        <v>801.37600000000009</v>
      </c>
      <c r="BJ71" s="325">
        <v>21000.48</v>
      </c>
      <c r="BK71" s="325">
        <v>3558.9120000000007</v>
      </c>
      <c r="BL71" s="326">
        <f t="shared" si="173"/>
        <v>56120.856000000007</v>
      </c>
      <c r="BM71" s="325">
        <v>85492.407999999996</v>
      </c>
      <c r="BN71" s="325"/>
      <c r="BO71" s="325">
        <v>7705.8</v>
      </c>
      <c r="BP71" s="325"/>
      <c r="BQ71" s="325">
        <v>42907.328000000009</v>
      </c>
      <c r="BR71" s="325">
        <v>6246.4720000000007</v>
      </c>
      <c r="BS71" s="326">
        <f t="shared" si="174"/>
        <v>142352.00800000003</v>
      </c>
      <c r="BT71" s="325">
        <v>35431.775999999991</v>
      </c>
      <c r="BU71" s="325">
        <v>18924.511999999999</v>
      </c>
      <c r="BV71" s="325">
        <v>2697.0480000000002</v>
      </c>
      <c r="BW71" s="325">
        <v>0</v>
      </c>
      <c r="BX71" s="325">
        <v>37142.640000000007</v>
      </c>
      <c r="BY71" s="325">
        <v>7074.5399999999991</v>
      </c>
      <c r="BZ71" s="326">
        <f t="shared" si="175"/>
        <v>101270.51599999999</v>
      </c>
      <c r="CA71" s="325">
        <v>70834.216000000015</v>
      </c>
      <c r="CB71" s="325"/>
      <c r="CC71" s="331">
        <v>5884.2400000000007</v>
      </c>
      <c r="CD71" s="331"/>
      <c r="CE71" s="325">
        <v>35781.376000000004</v>
      </c>
      <c r="CF71" s="325">
        <v>4048.2160000000003</v>
      </c>
      <c r="CG71" s="326">
        <f t="shared" si="176"/>
        <v>116548.04800000002</v>
      </c>
      <c r="CH71" s="325">
        <v>40861.856</v>
      </c>
      <c r="CI71" s="325">
        <v>16617.168000000001</v>
      </c>
      <c r="CJ71" s="325">
        <v>3146.56</v>
      </c>
      <c r="CK71" s="325">
        <v>1741.2720000000002</v>
      </c>
      <c r="CL71" s="325">
        <v>50150.400000000001</v>
      </c>
      <c r="CM71" s="325">
        <v>4988.6559999999999</v>
      </c>
      <c r="CN71" s="326">
        <f t="shared" si="177"/>
        <v>117505.912</v>
      </c>
      <c r="CO71" s="325">
        <v>35000.800000000003</v>
      </c>
      <c r="CP71" s="325"/>
      <c r="CQ71" s="331">
        <v>3857.6880000000001</v>
      </c>
      <c r="CR71" s="331"/>
      <c r="CS71" s="325">
        <v>41694.400000000001</v>
      </c>
      <c r="CT71" s="325">
        <v>6422.304000000001</v>
      </c>
      <c r="CU71" s="326">
        <f t="shared" si="178"/>
        <v>86975.19200000001</v>
      </c>
      <c r="CV71" s="325">
        <v>53688.128000000004</v>
      </c>
      <c r="CW71" s="325">
        <v>15477.903999999993</v>
      </c>
      <c r="CX71" s="325">
        <v>5288.9760000000006</v>
      </c>
      <c r="CY71" s="325">
        <v>412.20799999999946</v>
      </c>
      <c r="CZ71" s="325">
        <v>55557.240000000005</v>
      </c>
      <c r="DA71" s="325">
        <v>7398.1819999999998</v>
      </c>
      <c r="DB71" s="326">
        <f t="shared" si="179"/>
        <v>137822.63799999998</v>
      </c>
      <c r="DC71" s="325">
        <v>30510.048000000003</v>
      </c>
      <c r="DD71" s="325"/>
      <c r="DE71" s="331">
        <v>3238.6800000000003</v>
      </c>
      <c r="DF71" s="331"/>
      <c r="DG71" s="325">
        <v>45333.184000000008</v>
      </c>
      <c r="DH71" s="325">
        <v>7187.232</v>
      </c>
      <c r="DI71" s="326">
        <f t="shared" si="180"/>
        <v>86269.144000000015</v>
      </c>
      <c r="DJ71" s="325">
        <v>20534.320000000003</v>
      </c>
      <c r="DK71" s="325">
        <v>13935.639999999998</v>
      </c>
      <c r="DL71" s="325">
        <v>1660.9360000000001</v>
      </c>
      <c r="DM71" s="325">
        <v>762.95999999999992</v>
      </c>
      <c r="DN71" s="325">
        <v>46859.28</v>
      </c>
      <c r="DO71" s="325">
        <v>7821.0080000000007</v>
      </c>
      <c r="DP71" s="326">
        <f t="shared" si="181"/>
        <v>91574.144</v>
      </c>
      <c r="DQ71" s="325">
        <v>23696.704000000002</v>
      </c>
      <c r="DR71" s="325"/>
      <c r="DS71" s="331">
        <v>2019.92</v>
      </c>
      <c r="DT71" s="331"/>
      <c r="DU71" s="325">
        <v>41997.632000000005</v>
      </c>
      <c r="DV71" s="325">
        <v>5542.4639999999999</v>
      </c>
      <c r="DW71" s="326">
        <f t="shared" si="182"/>
        <v>73256.72</v>
      </c>
      <c r="DX71" s="325">
        <v>7970.0479999999998</v>
      </c>
      <c r="DY71" s="325">
        <v>20796.992000000006</v>
      </c>
      <c r="DZ71" s="325">
        <v>777.15200000000004</v>
      </c>
      <c r="EA71" s="325">
        <v>1483.1279999999999</v>
      </c>
      <c r="EB71" s="325">
        <v>53990.040000000008</v>
      </c>
      <c r="EC71" s="325">
        <v>8012.9119999999994</v>
      </c>
      <c r="ED71" s="326">
        <f t="shared" si="183"/>
        <v>93030.272000000012</v>
      </c>
      <c r="EE71" s="325">
        <v>28796.344000000005</v>
      </c>
      <c r="EF71" s="325"/>
      <c r="EG71" s="331">
        <v>2317.9119999999998</v>
      </c>
      <c r="EH71" s="331"/>
      <c r="EI71" s="325">
        <v>41163.744000000006</v>
      </c>
      <c r="EJ71" s="325">
        <v>7617.7520000000004</v>
      </c>
      <c r="EK71" s="326">
        <f t="shared" si="184"/>
        <v>79895.752000000008</v>
      </c>
      <c r="EL71" s="325">
        <v>15815.928000000004</v>
      </c>
      <c r="EM71" s="325">
        <v>8722.3360000000011</v>
      </c>
      <c r="EN71" s="325">
        <v>1478.0879999999997</v>
      </c>
      <c r="EO71" s="325">
        <v>1795.0560000000003</v>
      </c>
      <c r="EP71" s="325">
        <v>50934</v>
      </c>
      <c r="EQ71" s="325">
        <v>7795.6</v>
      </c>
      <c r="ER71" s="326">
        <f t="shared" si="185"/>
        <v>86541.008000000002</v>
      </c>
      <c r="ES71" s="325">
        <v>20378.792000000001</v>
      </c>
      <c r="ET71" s="325"/>
      <c r="EU71" s="331">
        <v>1145.0880000000002</v>
      </c>
      <c r="EV71" s="331"/>
      <c r="EW71" s="325">
        <v>40784.703999999998</v>
      </c>
      <c r="EX71" s="325">
        <v>6391.2560000000012</v>
      </c>
      <c r="EY71" s="326">
        <f t="shared" si="186"/>
        <v>68699.839999999997</v>
      </c>
      <c r="EZ71" s="325">
        <v>15140.256000000001</v>
      </c>
      <c r="FA71" s="325">
        <v>17263.135999999999</v>
      </c>
      <c r="FB71" s="325">
        <v>1577.088</v>
      </c>
      <c r="FC71" s="325">
        <v>1848.4160000000004</v>
      </c>
      <c r="FD71" s="325">
        <v>41217.360000000001</v>
      </c>
      <c r="FE71" s="325">
        <v>10237.296000000002</v>
      </c>
      <c r="FF71" s="326">
        <f t="shared" si="187"/>
        <v>87283.551999999996</v>
      </c>
      <c r="FG71" s="325">
        <v>24414.512000000002</v>
      </c>
      <c r="FH71" s="325"/>
      <c r="FI71" s="331">
        <v>1943.752</v>
      </c>
      <c r="FJ71" s="331"/>
      <c r="FK71" s="325">
        <v>33431.328000000001</v>
      </c>
      <c r="FL71" s="325">
        <v>7528.24</v>
      </c>
      <c r="FM71" s="326">
        <f t="shared" si="188"/>
        <v>67317.832000000009</v>
      </c>
      <c r="FN71" s="333">
        <f t="shared" si="189"/>
        <v>396572.79200000002</v>
      </c>
      <c r="FO71" s="519">
        <f t="shared" si="150"/>
        <v>178100.65600000002</v>
      </c>
      <c r="FP71" s="325">
        <f t="shared" si="151"/>
        <v>37945.152000000002</v>
      </c>
      <c r="FQ71" s="325">
        <f t="shared" si="152"/>
        <v>18235.488000000001</v>
      </c>
      <c r="FR71" s="325">
        <f t="shared" si="153"/>
        <v>488603.72000000009</v>
      </c>
      <c r="FS71" s="325">
        <f t="shared" si="154"/>
        <v>75453.489999999991</v>
      </c>
      <c r="FT71" s="326">
        <f t="shared" si="155"/>
        <v>1194911.2980000002</v>
      </c>
      <c r="FU71" s="325">
        <f t="shared" si="190"/>
        <v>594374.26400000008</v>
      </c>
      <c r="FV71" s="325">
        <f t="shared" si="156"/>
        <v>0</v>
      </c>
      <c r="FW71" s="325">
        <f t="shared" si="157"/>
        <v>56810.464</v>
      </c>
      <c r="FX71" s="325">
        <f t="shared" si="158"/>
        <v>0</v>
      </c>
      <c r="FY71" s="325">
        <f t="shared" si="159"/>
        <v>456578.72</v>
      </c>
      <c r="FZ71" s="325">
        <f t="shared" si="160"/>
        <v>74946.688000000009</v>
      </c>
      <c r="GA71" s="326">
        <f t="shared" si="191"/>
        <v>1182710.1360000002</v>
      </c>
      <c r="GB71" s="206">
        <f t="shared" si="192"/>
        <v>-33.278942911969693</v>
      </c>
      <c r="GC71" s="206" t="e">
        <f t="shared" si="193"/>
        <v>#DIV/0!</v>
      </c>
      <c r="GD71" s="206">
        <f t="shared" si="161"/>
        <v>-33.207459808812672</v>
      </c>
      <c r="GE71" s="206" t="e">
        <f t="shared" si="162"/>
        <v>#DIV/0!</v>
      </c>
      <c r="GF71" s="206">
        <f t="shared" si="163"/>
        <v>7.0141245303767334</v>
      </c>
      <c r="GG71" s="206">
        <f t="shared" si="164"/>
        <v>0.67621667284348064</v>
      </c>
      <c r="GH71" s="205">
        <f t="shared" si="194"/>
        <v>1.0316274147497353</v>
      </c>
    </row>
    <row r="72" spans="1:190">
      <c r="A72" s="319" t="s">
        <v>79</v>
      </c>
      <c r="B72" s="325">
        <v>16939.752</v>
      </c>
      <c r="C72" s="325">
        <v>6473.5680000000002</v>
      </c>
      <c r="D72" s="325">
        <v>2392.3040000000001</v>
      </c>
      <c r="E72" s="325">
        <v>3040.6640000000002</v>
      </c>
      <c r="F72" s="325">
        <v>22650.392000000003</v>
      </c>
      <c r="G72" s="325">
        <v>3571.6000000000004</v>
      </c>
      <c r="H72" s="326">
        <f t="shared" si="165"/>
        <v>55068.280000000006</v>
      </c>
      <c r="I72" s="325">
        <v>23885.120000000003</v>
      </c>
      <c r="J72" s="325"/>
      <c r="K72" s="325">
        <v>3474.3679999999999</v>
      </c>
      <c r="L72" s="325"/>
      <c r="M72" s="325">
        <v>15049.279999999999</v>
      </c>
      <c r="N72" s="325">
        <v>3712.2640000000001</v>
      </c>
      <c r="O72" s="326">
        <f t="shared" si="166"/>
        <v>46121.031999999999</v>
      </c>
      <c r="P72" s="325">
        <v>22377.328000000001</v>
      </c>
      <c r="Q72" s="325">
        <v>5700.0400000000009</v>
      </c>
      <c r="R72" s="325">
        <v>3702.7440000000006</v>
      </c>
      <c r="S72" s="325">
        <v>793.95200000000011</v>
      </c>
      <c r="T72" s="325">
        <v>23508</v>
      </c>
      <c r="U72" s="325">
        <v>2668.4560000000001</v>
      </c>
      <c r="V72" s="326">
        <f t="shared" si="167"/>
        <v>58750.52</v>
      </c>
      <c r="W72" s="325">
        <v>24287.040000000001</v>
      </c>
      <c r="X72" s="325"/>
      <c r="Y72" s="331">
        <v>1431.4479999999999</v>
      </c>
      <c r="Z72" s="331"/>
      <c r="AA72" s="325">
        <v>17739.072</v>
      </c>
      <c r="AB72" s="325">
        <v>4610.1280000000006</v>
      </c>
      <c r="AC72" s="326">
        <f t="shared" si="168"/>
        <v>48067.687999999995</v>
      </c>
      <c r="AD72" s="325">
        <v>14640.120000000003</v>
      </c>
      <c r="AE72" s="325">
        <v>3919.8559999999998</v>
      </c>
      <c r="AF72" s="325">
        <v>2636.096</v>
      </c>
      <c r="AG72" s="325">
        <v>1394.96</v>
      </c>
      <c r="AH72" s="325">
        <v>22019.160000000003</v>
      </c>
      <c r="AI72" s="325">
        <v>2375.1439999999998</v>
      </c>
      <c r="AJ72" s="326">
        <f t="shared" si="169"/>
        <v>46985.33600000001</v>
      </c>
      <c r="AK72" s="325">
        <v>16811.815999999999</v>
      </c>
      <c r="AL72" s="325"/>
      <c r="AM72" s="331">
        <v>2558.1600000000003</v>
      </c>
      <c r="AN72" s="331"/>
      <c r="AO72" s="325">
        <v>17587.456000000002</v>
      </c>
      <c r="AP72" s="325">
        <v>2925.056</v>
      </c>
      <c r="AQ72" s="326">
        <f t="shared" si="170"/>
        <v>39882.487999999998</v>
      </c>
      <c r="AR72" s="325">
        <v>8337.8240000000005</v>
      </c>
      <c r="AS72" s="325">
        <v>3079.4400000000005</v>
      </c>
      <c r="AT72" s="325">
        <v>1828.5119999999999</v>
      </c>
      <c r="AU72" s="325">
        <v>871.51200000000017</v>
      </c>
      <c r="AV72" s="325">
        <v>13481.592000000002</v>
      </c>
      <c r="AW72" s="325">
        <v>2837.9839999999999</v>
      </c>
      <c r="AX72" s="326">
        <f t="shared" si="171"/>
        <v>30436.864000000005</v>
      </c>
      <c r="AY72" s="325">
        <v>17502.184000000001</v>
      </c>
      <c r="AZ72" s="325"/>
      <c r="BA72" s="325">
        <v>2594.08</v>
      </c>
      <c r="BB72" s="325"/>
      <c r="BC72" s="325">
        <v>17135.48</v>
      </c>
      <c r="BD72" s="325">
        <v>2189.1040000000003</v>
      </c>
      <c r="BE72" s="326">
        <f t="shared" si="172"/>
        <v>39420.848000000005</v>
      </c>
      <c r="BF72" s="325">
        <v>4209.384</v>
      </c>
      <c r="BG72" s="325">
        <v>3016.1759999999999</v>
      </c>
      <c r="BH72" s="325">
        <v>548.55200000000002</v>
      </c>
      <c r="BI72" s="325">
        <v>311.56799999999998</v>
      </c>
      <c r="BJ72" s="325">
        <v>13477.920000000002</v>
      </c>
      <c r="BK72" s="325">
        <v>1129.0880000000002</v>
      </c>
      <c r="BL72" s="326">
        <f t="shared" si="173"/>
        <v>22692.688000000002</v>
      </c>
      <c r="BM72" s="325">
        <v>22594.080000000002</v>
      </c>
      <c r="BN72" s="325"/>
      <c r="BO72" s="325">
        <v>5411.7440000000006</v>
      </c>
      <c r="BP72" s="325"/>
      <c r="BQ72" s="325">
        <v>18042.304</v>
      </c>
      <c r="BR72" s="325">
        <v>3769.7280000000001</v>
      </c>
      <c r="BS72" s="326">
        <f t="shared" si="174"/>
        <v>49817.856</v>
      </c>
      <c r="BT72" s="325">
        <v>11290.143999999998</v>
      </c>
      <c r="BU72" s="325">
        <v>3764.2160000000003</v>
      </c>
      <c r="BV72" s="325">
        <v>2836.8240000000001</v>
      </c>
      <c r="BW72" s="325">
        <v>435.63200000000001</v>
      </c>
      <c r="BX72" s="325">
        <v>14888.400000000001</v>
      </c>
      <c r="BY72" s="325">
        <v>1714.6480000000001</v>
      </c>
      <c r="BZ72" s="326">
        <f t="shared" si="175"/>
        <v>34929.864000000001</v>
      </c>
      <c r="CA72" s="325">
        <v>19234.216</v>
      </c>
      <c r="CB72" s="325"/>
      <c r="CC72" s="331">
        <v>3788.1360000000004</v>
      </c>
      <c r="CD72" s="331"/>
      <c r="CE72" s="325">
        <v>19179.423999999999</v>
      </c>
      <c r="CF72" s="325">
        <v>2708.2400000000002</v>
      </c>
      <c r="CG72" s="326">
        <f t="shared" si="176"/>
        <v>44910.015999999996</v>
      </c>
      <c r="CH72" s="325">
        <v>23954.448000000004</v>
      </c>
      <c r="CI72" s="325">
        <v>6781.24</v>
      </c>
      <c r="CJ72" s="325">
        <v>4015.1120000000005</v>
      </c>
      <c r="CK72" s="325">
        <v>1225.992</v>
      </c>
      <c r="CL72" s="325">
        <v>26877.48</v>
      </c>
      <c r="CM72" s="325">
        <v>2666.7040000000006</v>
      </c>
      <c r="CN72" s="326">
        <f t="shared" si="177"/>
        <v>65520.975999999995</v>
      </c>
      <c r="CO72" s="325">
        <v>10245.896000000001</v>
      </c>
      <c r="CP72" s="325"/>
      <c r="CQ72" s="331">
        <v>5251.4080000000004</v>
      </c>
      <c r="CR72" s="331"/>
      <c r="CS72" s="325">
        <v>27745.728000000003</v>
      </c>
      <c r="CT72" s="325">
        <v>3565.9360000000001</v>
      </c>
      <c r="CU72" s="326">
        <f t="shared" si="178"/>
        <v>46808.968000000008</v>
      </c>
      <c r="CV72" s="325">
        <v>24375.440000000002</v>
      </c>
      <c r="CW72" s="325">
        <v>7456.7600000000011</v>
      </c>
      <c r="CX72" s="325">
        <v>5607.5040000000008</v>
      </c>
      <c r="CY72" s="325">
        <v>659.17599999999948</v>
      </c>
      <c r="CZ72" s="325">
        <v>32597.759999999998</v>
      </c>
      <c r="DA72" s="325">
        <v>2978.6320000000001</v>
      </c>
      <c r="DB72" s="326">
        <f t="shared" si="179"/>
        <v>73675.271999999997</v>
      </c>
      <c r="DC72" s="325">
        <v>10761.016</v>
      </c>
      <c r="DD72" s="325"/>
      <c r="DE72" s="331">
        <v>1563.28</v>
      </c>
      <c r="DF72" s="331"/>
      <c r="DG72" s="325">
        <v>25016.639999999999</v>
      </c>
      <c r="DH72" s="325">
        <v>3392.9520000000002</v>
      </c>
      <c r="DI72" s="326">
        <f t="shared" si="180"/>
        <v>40733.887999999999</v>
      </c>
      <c r="DJ72" s="325">
        <v>7634.4480000000003</v>
      </c>
      <c r="DK72" s="325">
        <v>4516.3840000000009</v>
      </c>
      <c r="DL72" s="325">
        <v>1447.6000000000001</v>
      </c>
      <c r="DM72" s="325">
        <v>511.61599999999999</v>
      </c>
      <c r="DN72" s="325">
        <v>28052.880000000001</v>
      </c>
      <c r="DO72" s="325">
        <v>3262.84</v>
      </c>
      <c r="DP72" s="326">
        <f t="shared" si="181"/>
        <v>45425.767999999996</v>
      </c>
      <c r="DQ72" s="325">
        <v>7756.76</v>
      </c>
      <c r="DR72" s="325"/>
      <c r="DS72" s="331">
        <v>2406.6880000000006</v>
      </c>
      <c r="DT72" s="331"/>
      <c r="DU72" s="325">
        <v>24713.407999999999</v>
      </c>
      <c r="DV72" s="325">
        <v>3314.6639999999998</v>
      </c>
      <c r="DW72" s="326">
        <f t="shared" si="182"/>
        <v>38191.519999999997</v>
      </c>
      <c r="DX72" s="325">
        <v>2324.5520000000001</v>
      </c>
      <c r="DY72" s="325">
        <v>10084.023999999999</v>
      </c>
      <c r="DZ72" s="325">
        <v>266.64800000000002</v>
      </c>
      <c r="EA72" s="325">
        <v>1221.912</v>
      </c>
      <c r="EB72" s="325">
        <v>26093.88</v>
      </c>
      <c r="EC72" s="325">
        <v>3230.12</v>
      </c>
      <c r="ED72" s="326">
        <f t="shared" si="183"/>
        <v>43221.136000000006</v>
      </c>
      <c r="EE72" s="325">
        <v>5349.5680000000002</v>
      </c>
      <c r="EF72" s="325"/>
      <c r="EG72" s="331">
        <v>1708.4079999999999</v>
      </c>
      <c r="EH72" s="331"/>
      <c r="EI72" s="325">
        <v>27442.496000000003</v>
      </c>
      <c r="EJ72" s="325">
        <v>3035.6240000000003</v>
      </c>
      <c r="EK72" s="326">
        <f t="shared" si="184"/>
        <v>37536.096000000005</v>
      </c>
      <c r="EL72" s="325">
        <v>4392.5760000000009</v>
      </c>
      <c r="EM72" s="325">
        <v>4774.5280000000002</v>
      </c>
      <c r="EN72" s="325">
        <v>2079.904</v>
      </c>
      <c r="EO72" s="325">
        <v>242.01599999999999</v>
      </c>
      <c r="EP72" s="325">
        <v>14888.400000000001</v>
      </c>
      <c r="EQ72" s="325">
        <v>3264.0560000000005</v>
      </c>
      <c r="ER72" s="326">
        <f t="shared" si="185"/>
        <v>29641.480000000003</v>
      </c>
      <c r="ES72" s="325">
        <v>4713.9359999999997</v>
      </c>
      <c r="ET72" s="325"/>
      <c r="EU72" s="331">
        <v>1706.6320000000003</v>
      </c>
      <c r="EV72" s="331"/>
      <c r="EW72" s="325">
        <v>26541.728000000003</v>
      </c>
      <c r="EX72" s="325">
        <v>3435.904</v>
      </c>
      <c r="EY72" s="326">
        <f t="shared" si="186"/>
        <v>36398.200000000004</v>
      </c>
      <c r="EZ72" s="325">
        <v>6185.6080000000002</v>
      </c>
      <c r="FA72" s="325">
        <v>2685.7280000000001</v>
      </c>
      <c r="FB72" s="325">
        <v>2064.7040000000002</v>
      </c>
      <c r="FC72" s="325">
        <v>330.03199999999998</v>
      </c>
      <c r="FD72" s="325">
        <v>21470.639999999999</v>
      </c>
      <c r="FE72" s="325">
        <v>2923.9840000000004</v>
      </c>
      <c r="FF72" s="326">
        <f t="shared" si="187"/>
        <v>35660.695999999996</v>
      </c>
      <c r="FG72" s="325">
        <v>6868.2960000000003</v>
      </c>
      <c r="FH72" s="325"/>
      <c r="FI72" s="331">
        <v>2297.3200000000002</v>
      </c>
      <c r="FJ72" s="331"/>
      <c r="FK72" s="325">
        <v>22514.976000000002</v>
      </c>
      <c r="FL72" s="325">
        <v>3355</v>
      </c>
      <c r="FM72" s="326">
        <f t="shared" si="188"/>
        <v>35035.592000000004</v>
      </c>
      <c r="FN72" s="333">
        <f t="shared" si="189"/>
        <v>146661.62400000001</v>
      </c>
      <c r="FO72" s="519">
        <f t="shared" si="150"/>
        <v>62251.96</v>
      </c>
      <c r="FP72" s="325">
        <f t="shared" si="151"/>
        <v>29426.504000000001</v>
      </c>
      <c r="FQ72" s="325">
        <f t="shared" si="152"/>
        <v>11039.032000000001</v>
      </c>
      <c r="FR72" s="325">
        <f t="shared" si="153"/>
        <v>260006.50400000002</v>
      </c>
      <c r="FS72" s="325">
        <f t="shared" si="154"/>
        <v>32623.256000000005</v>
      </c>
      <c r="FT72" s="326">
        <f t="shared" si="155"/>
        <v>542008.88</v>
      </c>
      <c r="FU72" s="325">
        <f t="shared" si="190"/>
        <v>170009.92800000001</v>
      </c>
      <c r="FV72" s="325">
        <f t="shared" si="156"/>
        <v>0</v>
      </c>
      <c r="FW72" s="325">
        <f t="shared" si="157"/>
        <v>34191.672000000006</v>
      </c>
      <c r="FX72" s="325">
        <f t="shared" si="158"/>
        <v>0</v>
      </c>
      <c r="FY72" s="325">
        <f t="shared" si="159"/>
        <v>258707.99200000003</v>
      </c>
      <c r="FZ72" s="325">
        <f t="shared" si="160"/>
        <v>40014.600000000006</v>
      </c>
      <c r="GA72" s="326">
        <f t="shared" si="191"/>
        <v>502924.19200000004</v>
      </c>
      <c r="GB72" s="206">
        <f t="shared" si="192"/>
        <v>-13.733494434513261</v>
      </c>
      <c r="GC72" s="206" t="e">
        <f t="shared" si="193"/>
        <v>#DIV/0!</v>
      </c>
      <c r="GD72" s="206">
        <f t="shared" si="161"/>
        <v>-13.936633458580218</v>
      </c>
      <c r="GE72" s="206" t="e">
        <f t="shared" si="162"/>
        <v>#DIV/0!</v>
      </c>
      <c r="GF72" s="206">
        <f t="shared" si="163"/>
        <v>0.50192187336833172</v>
      </c>
      <c r="GG72" s="206">
        <f t="shared" si="164"/>
        <v>-18.471617859481299</v>
      </c>
      <c r="GH72" s="205">
        <f t="shared" si="194"/>
        <v>7.7714869600068965</v>
      </c>
    </row>
    <row r="73" spans="1:190">
      <c r="A73" s="319" t="s">
        <v>81</v>
      </c>
      <c r="B73" s="325">
        <v>240394.49600000001</v>
      </c>
      <c r="C73" s="325">
        <v>56708.472000000002</v>
      </c>
      <c r="D73" s="325">
        <v>30840.920000000002</v>
      </c>
      <c r="E73" s="325">
        <v>3606.4400000000005</v>
      </c>
      <c r="F73" s="325">
        <v>103651.664</v>
      </c>
      <c r="G73" s="325">
        <v>17829.168000000001</v>
      </c>
      <c r="H73" s="326">
        <f t="shared" si="165"/>
        <v>453031.16</v>
      </c>
      <c r="I73" s="325">
        <v>226443.64</v>
      </c>
      <c r="J73" s="325"/>
      <c r="K73" s="325">
        <v>23807.103999999999</v>
      </c>
      <c r="L73" s="325"/>
      <c r="M73" s="325">
        <v>97196.816000000006</v>
      </c>
      <c r="N73" s="325">
        <v>14116.712000000001</v>
      </c>
      <c r="O73" s="326">
        <f t="shared" si="166"/>
        <v>361564.272</v>
      </c>
      <c r="P73" s="325">
        <v>232154.37599999999</v>
      </c>
      <c r="Q73" s="325">
        <v>53191.592000000004</v>
      </c>
      <c r="R73" s="325">
        <v>36066.455999999998</v>
      </c>
      <c r="S73" s="325">
        <v>2710.0320000000002</v>
      </c>
      <c r="T73" s="325">
        <v>120282.6</v>
      </c>
      <c r="U73" s="325">
        <v>18188.568000000007</v>
      </c>
      <c r="V73" s="326">
        <f t="shared" si="167"/>
        <v>462593.62400000001</v>
      </c>
      <c r="W73" s="325">
        <v>327462.36800000002</v>
      </c>
      <c r="X73" s="325"/>
      <c r="Y73" s="331">
        <v>55909.032000000007</v>
      </c>
      <c r="Z73" s="331"/>
      <c r="AA73" s="325">
        <v>127888.09600000001</v>
      </c>
      <c r="AB73" s="325">
        <v>15229.104000000001</v>
      </c>
      <c r="AC73" s="326">
        <f t="shared" si="168"/>
        <v>526488.60000000009</v>
      </c>
      <c r="AD73" s="325">
        <v>150004.91200000001</v>
      </c>
      <c r="AE73" s="325">
        <v>34697.200000000004</v>
      </c>
      <c r="AF73" s="325">
        <v>16043.2</v>
      </c>
      <c r="AG73" s="325">
        <v>3676.6080000000002</v>
      </c>
      <c r="AH73" s="325">
        <v>110017.44</v>
      </c>
      <c r="AI73" s="325">
        <v>11901.512000000002</v>
      </c>
      <c r="AJ73" s="326">
        <f t="shared" si="169"/>
        <v>326340.87200000003</v>
      </c>
      <c r="AK73" s="325">
        <v>119211.76800000001</v>
      </c>
      <c r="AL73" s="325"/>
      <c r="AM73" s="331">
        <v>20997.088000000003</v>
      </c>
      <c r="AN73" s="331"/>
      <c r="AO73" s="325">
        <v>102871.45600000001</v>
      </c>
      <c r="AP73" s="325">
        <v>11786.376000000002</v>
      </c>
      <c r="AQ73" s="326">
        <f t="shared" si="170"/>
        <v>254866.68800000002</v>
      </c>
      <c r="AR73" s="325">
        <v>53443.19200000001</v>
      </c>
      <c r="AS73" s="325">
        <v>19805.048000000003</v>
      </c>
      <c r="AT73" s="325">
        <v>8719.68</v>
      </c>
      <c r="AU73" s="325">
        <v>1494.7920000000001</v>
      </c>
      <c r="AV73" s="325">
        <v>59396.880000000005</v>
      </c>
      <c r="AW73" s="325">
        <v>7733.0240000000003</v>
      </c>
      <c r="AX73" s="326">
        <f t="shared" si="171"/>
        <v>150592.61600000001</v>
      </c>
      <c r="AY73" s="325">
        <v>133915.25599999999</v>
      </c>
      <c r="AZ73" s="325"/>
      <c r="BA73" s="325">
        <v>20282.344000000005</v>
      </c>
      <c r="BB73" s="325"/>
      <c r="BC73" s="325">
        <v>122960.576</v>
      </c>
      <c r="BD73" s="325">
        <v>9564.224000000002</v>
      </c>
      <c r="BE73" s="326">
        <f t="shared" si="172"/>
        <v>286722.39999999997</v>
      </c>
      <c r="BF73" s="325">
        <v>49621.16</v>
      </c>
      <c r="BG73" s="325">
        <v>14971.176000000001</v>
      </c>
      <c r="BH73" s="325">
        <v>4533.152</v>
      </c>
      <c r="BI73" s="325">
        <v>1919.3440000000001</v>
      </c>
      <c r="BJ73" s="325">
        <v>62844.72</v>
      </c>
      <c r="BK73" s="325">
        <v>6517.1679999999997</v>
      </c>
      <c r="BL73" s="326">
        <f t="shared" si="173"/>
        <v>140406.72</v>
      </c>
      <c r="BM73" s="325">
        <v>159255.432</v>
      </c>
      <c r="BN73" s="325"/>
      <c r="BO73" s="325">
        <v>21330.368000000002</v>
      </c>
      <c r="BP73" s="325"/>
      <c r="BQ73" s="325">
        <v>140775.45600000001</v>
      </c>
      <c r="BR73" s="325">
        <v>10519.720000000001</v>
      </c>
      <c r="BS73" s="326">
        <f t="shared" si="174"/>
        <v>331880.97600000002</v>
      </c>
      <c r="BT73" s="325">
        <v>78866.736000000004</v>
      </c>
      <c r="BU73" s="325">
        <v>18748.416000000001</v>
      </c>
      <c r="BV73" s="325">
        <v>11102.448</v>
      </c>
      <c r="BW73" s="325">
        <v>1449.5440000000001</v>
      </c>
      <c r="BX73" s="325">
        <v>90819.24</v>
      </c>
      <c r="BY73" s="325">
        <v>6651.72</v>
      </c>
      <c r="BZ73" s="326">
        <f t="shared" si="175"/>
        <v>207638.10400000002</v>
      </c>
      <c r="CA73" s="325">
        <v>161749.27200000003</v>
      </c>
      <c r="CB73" s="325"/>
      <c r="CC73" s="331">
        <v>21440.631999999998</v>
      </c>
      <c r="CD73" s="331"/>
      <c r="CE73" s="325">
        <v>107192.51200000002</v>
      </c>
      <c r="CF73" s="325">
        <v>11018.456</v>
      </c>
      <c r="CG73" s="326">
        <f t="shared" si="176"/>
        <v>301400.87200000009</v>
      </c>
      <c r="CH73" s="325">
        <v>144233.67199999999</v>
      </c>
      <c r="CI73" s="325">
        <v>26473.567999999996</v>
      </c>
      <c r="CJ73" s="325">
        <v>17660.376</v>
      </c>
      <c r="CK73" s="325">
        <v>1998.8319999999978</v>
      </c>
      <c r="CL73" s="325">
        <v>119342.28000000001</v>
      </c>
      <c r="CM73" s="325">
        <v>9969.4959999999992</v>
      </c>
      <c r="CN73" s="326">
        <f t="shared" si="177"/>
        <v>319678.22399999999</v>
      </c>
      <c r="CO73" s="325">
        <v>66928.216</v>
      </c>
      <c r="CP73" s="325"/>
      <c r="CQ73" s="331">
        <v>15534.824000000001</v>
      </c>
      <c r="CR73" s="331"/>
      <c r="CS73" s="325">
        <v>135620.51200000002</v>
      </c>
      <c r="CT73" s="325">
        <v>14245.096</v>
      </c>
      <c r="CU73" s="326">
        <f t="shared" si="178"/>
        <v>232328.64800000002</v>
      </c>
      <c r="CV73" s="325">
        <v>164233.23200000002</v>
      </c>
      <c r="CW73" s="325">
        <v>20238.911999999989</v>
      </c>
      <c r="CX73" s="325">
        <v>18569.007999999998</v>
      </c>
      <c r="CY73" s="325">
        <v>4831.0880000000006</v>
      </c>
      <c r="CZ73" s="325">
        <v>128275.32000000002</v>
      </c>
      <c r="DA73" s="325">
        <v>10353.472</v>
      </c>
      <c r="DB73" s="326">
        <f t="shared" si="179"/>
        <v>346501.03200000001</v>
      </c>
      <c r="DC73" s="325">
        <v>56446.360000000008</v>
      </c>
      <c r="DD73" s="325"/>
      <c r="DE73" s="331">
        <v>8502.3920000000016</v>
      </c>
      <c r="DF73" s="331"/>
      <c r="DG73" s="325">
        <v>139335.10400000002</v>
      </c>
      <c r="DH73" s="325">
        <v>12906.400000000001</v>
      </c>
      <c r="DI73" s="326">
        <f t="shared" si="180"/>
        <v>217190.25600000002</v>
      </c>
      <c r="DJ73" s="325">
        <v>70406.216</v>
      </c>
      <c r="DK73" s="325">
        <v>25005.064000000002</v>
      </c>
      <c r="DL73" s="325">
        <v>6823.5119999999997</v>
      </c>
      <c r="DM73" s="325">
        <v>1290.3919999999998</v>
      </c>
      <c r="DN73" s="325">
        <v>135797.88</v>
      </c>
      <c r="DO73" s="325">
        <v>15934.376000000004</v>
      </c>
      <c r="DP73" s="326">
        <f t="shared" si="181"/>
        <v>255257.44</v>
      </c>
      <c r="DQ73" s="325">
        <v>49483.608000000007</v>
      </c>
      <c r="DR73" s="325"/>
      <c r="DS73" s="331">
        <v>8787.5120000000006</v>
      </c>
      <c r="DT73" s="331"/>
      <c r="DU73" s="325">
        <v>138652.83200000002</v>
      </c>
      <c r="DV73" s="325">
        <v>12097.712000000003</v>
      </c>
      <c r="DW73" s="326">
        <f t="shared" si="182"/>
        <v>209021.66400000005</v>
      </c>
      <c r="DX73" s="325">
        <v>24346.512000000002</v>
      </c>
      <c r="DY73" s="325">
        <v>52198.776000000005</v>
      </c>
      <c r="DZ73" s="325">
        <v>1820.9360000000001</v>
      </c>
      <c r="EA73" s="325">
        <v>4229.9040000000005</v>
      </c>
      <c r="EB73" s="325">
        <v>151783.32</v>
      </c>
      <c r="EC73" s="325">
        <v>15001.344000000003</v>
      </c>
      <c r="ED73" s="326">
        <f t="shared" si="183"/>
        <v>249380.79200000002</v>
      </c>
      <c r="EE73" s="325">
        <v>51081.8</v>
      </c>
      <c r="EF73" s="325"/>
      <c r="EG73" s="331">
        <v>6182.5920000000006</v>
      </c>
      <c r="EH73" s="331"/>
      <c r="EI73" s="325">
        <v>144035.20000000001</v>
      </c>
      <c r="EJ73" s="325">
        <v>14944.968000000004</v>
      </c>
      <c r="EK73" s="326">
        <f t="shared" si="184"/>
        <v>216244.56</v>
      </c>
      <c r="EL73" s="325">
        <v>42854.840000000004</v>
      </c>
      <c r="EM73" s="325">
        <v>18467.472000000002</v>
      </c>
      <c r="EN73" s="325">
        <v>6159</v>
      </c>
      <c r="EO73" s="325">
        <v>3076.0880000000002</v>
      </c>
      <c r="EP73" s="325">
        <v>146689.92000000001</v>
      </c>
      <c r="EQ73" s="325">
        <v>18513.511999999999</v>
      </c>
      <c r="ER73" s="326">
        <f t="shared" si="185"/>
        <v>235760.83199999999</v>
      </c>
      <c r="ES73" s="325">
        <v>68689.360000000015</v>
      </c>
      <c r="ET73" s="325"/>
      <c r="EU73" s="331">
        <v>8575.8240000000005</v>
      </c>
      <c r="EV73" s="331"/>
      <c r="EW73" s="325">
        <v>131981.728</v>
      </c>
      <c r="EX73" s="325">
        <v>21397.52</v>
      </c>
      <c r="EY73" s="326">
        <f t="shared" si="186"/>
        <v>230644.432</v>
      </c>
      <c r="EZ73" s="325">
        <v>43961.96</v>
      </c>
      <c r="FA73" s="325">
        <v>20282.943999999996</v>
      </c>
      <c r="FB73" s="325">
        <v>4921.32</v>
      </c>
      <c r="FC73" s="325">
        <v>3087.3120000000013</v>
      </c>
      <c r="FD73" s="325">
        <v>153742.32</v>
      </c>
      <c r="FE73" s="325">
        <v>16964.896000000001</v>
      </c>
      <c r="FF73" s="326">
        <f t="shared" si="187"/>
        <v>242960.75200000001</v>
      </c>
      <c r="FG73" s="325">
        <v>63357.912000000004</v>
      </c>
      <c r="FH73" s="325"/>
      <c r="FI73" s="331">
        <v>5707.9760000000006</v>
      </c>
      <c r="FJ73" s="331"/>
      <c r="FK73" s="325">
        <v>127054.20800000001</v>
      </c>
      <c r="FL73" s="325">
        <v>21089.776000000002</v>
      </c>
      <c r="FM73" s="326">
        <f t="shared" si="188"/>
        <v>217209.87200000003</v>
      </c>
      <c r="FN73" s="333">
        <f t="shared" si="189"/>
        <v>1294521.3040000002</v>
      </c>
      <c r="FO73" s="519">
        <f t="shared" si="150"/>
        <v>360788.64000000007</v>
      </c>
      <c r="FP73" s="325">
        <f t="shared" si="151"/>
        <v>163260.00799999997</v>
      </c>
      <c r="FQ73" s="325">
        <f t="shared" si="152"/>
        <v>33370.375999999997</v>
      </c>
      <c r="FR73" s="325">
        <f t="shared" si="153"/>
        <v>1382643.584</v>
      </c>
      <c r="FS73" s="325">
        <f t="shared" si="154"/>
        <v>155558.25599999999</v>
      </c>
      <c r="FT73" s="326">
        <f t="shared" si="155"/>
        <v>3390142.1680000005</v>
      </c>
      <c r="FU73" s="325">
        <f t="shared" si="190"/>
        <v>1484024.9920000006</v>
      </c>
      <c r="FV73" s="325">
        <f t="shared" si="156"/>
        <v>0</v>
      </c>
      <c r="FW73" s="325">
        <f t="shared" si="157"/>
        <v>217057.68799999994</v>
      </c>
      <c r="FX73" s="325">
        <f t="shared" si="158"/>
        <v>0</v>
      </c>
      <c r="FY73" s="325">
        <f t="shared" si="159"/>
        <v>1515564.4960000003</v>
      </c>
      <c r="FZ73" s="325">
        <f t="shared" si="160"/>
        <v>168916.06400000004</v>
      </c>
      <c r="GA73" s="326">
        <f t="shared" si="191"/>
        <v>3385563.2400000012</v>
      </c>
      <c r="GB73" s="206">
        <f t="shared" si="192"/>
        <v>-12.769575244457897</v>
      </c>
      <c r="GC73" s="206" t="e">
        <f t="shared" si="193"/>
        <v>#DIV/0!</v>
      </c>
      <c r="GD73" s="206">
        <f t="shared" si="161"/>
        <v>-24.78496868537546</v>
      </c>
      <c r="GE73" s="206" t="e">
        <f t="shared" si="162"/>
        <v>#DIV/0!</v>
      </c>
      <c r="GF73" s="206">
        <f t="shared" si="163"/>
        <v>-8.7703896700414816</v>
      </c>
      <c r="GG73" s="206">
        <f t="shared" si="164"/>
        <v>-7.9079559893131517</v>
      </c>
      <c r="GH73" s="205">
        <f t="shared" si="194"/>
        <v>0.13524863295712919</v>
      </c>
    </row>
    <row r="74" spans="1:190">
      <c r="A74" s="319" t="s">
        <v>82</v>
      </c>
      <c r="B74" s="325">
        <v>187853.024</v>
      </c>
      <c r="C74" s="325">
        <v>23023.120000000003</v>
      </c>
      <c r="D74" s="325">
        <v>19353.648000000001</v>
      </c>
      <c r="E74" s="325">
        <v>1410.6080000000002</v>
      </c>
      <c r="F74" s="325">
        <v>75146.487999999998</v>
      </c>
      <c r="G74" s="325">
        <v>8037.68</v>
      </c>
      <c r="H74" s="326">
        <f t="shared" si="165"/>
        <v>314824.56800000003</v>
      </c>
      <c r="I74" s="325">
        <v>147321.50400000002</v>
      </c>
      <c r="J74" s="325"/>
      <c r="K74" s="325">
        <v>12505.944000000001</v>
      </c>
      <c r="L74" s="325"/>
      <c r="M74" s="325">
        <v>55199.008000000002</v>
      </c>
      <c r="N74" s="325">
        <v>7626.3600000000006</v>
      </c>
      <c r="O74" s="326">
        <f t="shared" si="166"/>
        <v>222652.81599999999</v>
      </c>
      <c r="P74" s="325">
        <v>123844.62400000001</v>
      </c>
      <c r="Q74" s="325">
        <v>13182.407999999999</v>
      </c>
      <c r="R74" s="325">
        <v>14031.920000000002</v>
      </c>
      <c r="S74" s="325">
        <v>800.73599999999999</v>
      </c>
      <c r="T74" s="325">
        <v>69113.52</v>
      </c>
      <c r="U74" s="325">
        <v>10542.575999999999</v>
      </c>
      <c r="V74" s="326">
        <f t="shared" si="167"/>
        <v>231515.78400000004</v>
      </c>
      <c r="W74" s="325">
        <v>157618.68799999999</v>
      </c>
      <c r="X74" s="325"/>
      <c r="Y74" s="331">
        <v>19178.928</v>
      </c>
      <c r="Z74" s="331"/>
      <c r="AA74" s="325">
        <v>58827.008000000002</v>
      </c>
      <c r="AB74" s="325">
        <v>9555.1999999999989</v>
      </c>
      <c r="AC74" s="326">
        <f t="shared" si="168"/>
        <v>245179.82399999999</v>
      </c>
      <c r="AD74" s="325">
        <v>80019.960000000006</v>
      </c>
      <c r="AE74" s="325">
        <v>10926.344000000001</v>
      </c>
      <c r="AF74" s="325">
        <v>7915.2320000000009</v>
      </c>
      <c r="AG74" s="325">
        <v>655.98400000000004</v>
      </c>
      <c r="AH74" s="325">
        <v>57359.519999999997</v>
      </c>
      <c r="AI74" s="325">
        <v>4848.1360000000004</v>
      </c>
      <c r="AJ74" s="326">
        <f t="shared" si="169"/>
        <v>161725.17600000001</v>
      </c>
      <c r="AK74" s="325">
        <v>74482.456000000006</v>
      </c>
      <c r="AL74" s="325"/>
      <c r="AM74" s="331">
        <v>6565.16</v>
      </c>
      <c r="AN74" s="331"/>
      <c r="AO74" s="325">
        <v>50412.320000000007</v>
      </c>
      <c r="AP74" s="325">
        <v>4253.7920000000004</v>
      </c>
      <c r="AQ74" s="326">
        <f t="shared" si="170"/>
        <v>135713.728</v>
      </c>
      <c r="AR74" s="325">
        <v>24080.440000000002</v>
      </c>
      <c r="AS74" s="325">
        <v>8071.8880000000008</v>
      </c>
      <c r="AT74" s="325">
        <v>1452.6320000000001</v>
      </c>
      <c r="AU74" s="325">
        <v>88.448000000000008</v>
      </c>
      <c r="AV74" s="325">
        <v>26642.400000000001</v>
      </c>
      <c r="AW74" s="325">
        <v>3931.44</v>
      </c>
      <c r="AX74" s="326">
        <f t="shared" si="171"/>
        <v>64267.248</v>
      </c>
      <c r="AY74" s="325">
        <v>75863.12</v>
      </c>
      <c r="AZ74" s="325"/>
      <c r="BA74" s="325">
        <v>7977.4160000000002</v>
      </c>
      <c r="BB74" s="325"/>
      <c r="BC74" s="325">
        <v>74519.26400000001</v>
      </c>
      <c r="BD74" s="325">
        <v>4800.2000000000007</v>
      </c>
      <c r="BE74" s="326">
        <f t="shared" si="172"/>
        <v>163160</v>
      </c>
      <c r="BF74" s="325">
        <v>23167.584000000003</v>
      </c>
      <c r="BG74" s="325">
        <v>6142.2640000000001</v>
      </c>
      <c r="BH74" s="325">
        <v>3304.0080000000003</v>
      </c>
      <c r="BI74" s="325">
        <v>1261.384</v>
      </c>
      <c r="BJ74" s="325">
        <v>27582.720000000001</v>
      </c>
      <c r="BK74" s="325">
        <v>4578.5120000000006</v>
      </c>
      <c r="BL74" s="326">
        <f t="shared" si="173"/>
        <v>66036.472000000009</v>
      </c>
      <c r="BM74" s="325">
        <v>90148.984000000011</v>
      </c>
      <c r="BN74" s="325"/>
      <c r="BO74" s="325">
        <v>8431.4640000000018</v>
      </c>
      <c r="BP74" s="325"/>
      <c r="BQ74" s="325">
        <v>76490.271999999997</v>
      </c>
      <c r="BR74" s="325">
        <v>7282.9280000000008</v>
      </c>
      <c r="BS74" s="326">
        <f t="shared" si="174"/>
        <v>182353.64800000004</v>
      </c>
      <c r="BT74" s="325">
        <v>51427.80000000001</v>
      </c>
      <c r="BU74" s="325">
        <v>8411.3680000000004</v>
      </c>
      <c r="BV74" s="325">
        <v>3276.0480000000002</v>
      </c>
      <c r="BW74" s="325">
        <v>678.08</v>
      </c>
      <c r="BX74" s="325">
        <v>68016.48000000001</v>
      </c>
      <c r="BY74" s="325">
        <v>9590.1839999999993</v>
      </c>
      <c r="BZ74" s="326">
        <f t="shared" si="175"/>
        <v>141399.96000000002</v>
      </c>
      <c r="CA74" s="325">
        <v>87201.008000000002</v>
      </c>
      <c r="CB74" s="325"/>
      <c r="CC74" s="331">
        <v>10995.400000000001</v>
      </c>
      <c r="CD74" s="331"/>
      <c r="CE74" s="325">
        <v>73230.528000000006</v>
      </c>
      <c r="CF74" s="325">
        <v>5141.5839999999998</v>
      </c>
      <c r="CG74" s="326">
        <f t="shared" si="176"/>
        <v>176568.52</v>
      </c>
      <c r="CH74" s="325">
        <v>100681.424</v>
      </c>
      <c r="CI74" s="325">
        <v>13491.567999999994</v>
      </c>
      <c r="CJ74" s="325">
        <v>7805.4240000000009</v>
      </c>
      <c r="CK74" s="325">
        <v>0</v>
      </c>
      <c r="CL74" s="325">
        <v>85020.6</v>
      </c>
      <c r="CM74" s="325">
        <v>5997.9920000000011</v>
      </c>
      <c r="CN74" s="326">
        <f t="shared" si="177"/>
        <v>212997.008</v>
      </c>
      <c r="CO74" s="325">
        <v>42316.160000000003</v>
      </c>
      <c r="CP74" s="325"/>
      <c r="CQ74" s="331">
        <v>2932.9760000000001</v>
      </c>
      <c r="CR74" s="331"/>
      <c r="CS74" s="325">
        <v>82858.144</v>
      </c>
      <c r="CT74" s="325">
        <v>6069.0960000000005</v>
      </c>
      <c r="CU74" s="326">
        <f t="shared" si="178"/>
        <v>134176.37599999999</v>
      </c>
      <c r="CV74" s="325">
        <v>91472.576000000001</v>
      </c>
      <c r="CW74" s="325">
        <v>14412.303999999982</v>
      </c>
      <c r="CX74" s="325">
        <v>9679.7119999999995</v>
      </c>
      <c r="CY74" s="325">
        <v>36.688000000000464</v>
      </c>
      <c r="CZ74" s="325">
        <v>90740.88</v>
      </c>
      <c r="DA74" s="325">
        <v>8096.8880000000017</v>
      </c>
      <c r="DB74" s="326">
        <f t="shared" si="179"/>
        <v>214439.04799999998</v>
      </c>
      <c r="DC74" s="325">
        <v>32872.199999999997</v>
      </c>
      <c r="DD74" s="325"/>
      <c r="DE74" s="331">
        <v>4314.1760000000004</v>
      </c>
      <c r="DF74" s="331"/>
      <c r="DG74" s="325">
        <v>84525.92</v>
      </c>
      <c r="DH74" s="325">
        <v>7040.7439999999997</v>
      </c>
      <c r="DI74" s="326">
        <f t="shared" si="180"/>
        <v>128753.04000000001</v>
      </c>
      <c r="DJ74" s="325">
        <v>44046.592000000004</v>
      </c>
      <c r="DK74" s="325">
        <v>17535.616000000009</v>
      </c>
      <c r="DL74" s="325">
        <v>4681.808</v>
      </c>
      <c r="DM74" s="325">
        <v>788.47200000000021</v>
      </c>
      <c r="DN74" s="325">
        <v>88860.24</v>
      </c>
      <c r="DO74" s="325">
        <v>13045.264000000003</v>
      </c>
      <c r="DP74" s="326">
        <f t="shared" si="181"/>
        <v>168957.992</v>
      </c>
      <c r="DQ74" s="325">
        <v>27704.36</v>
      </c>
      <c r="DR74" s="325"/>
      <c r="DS74" s="331">
        <v>4603.88</v>
      </c>
      <c r="DT74" s="331"/>
      <c r="DU74" s="325">
        <v>85056.576000000001</v>
      </c>
      <c r="DV74" s="325">
        <v>7683.1200000000008</v>
      </c>
      <c r="DW74" s="326">
        <f t="shared" si="182"/>
        <v>125047.936</v>
      </c>
      <c r="DX74" s="325">
        <v>15217.560000000001</v>
      </c>
      <c r="DY74" s="325">
        <v>36124.248</v>
      </c>
      <c r="DZ74" s="325">
        <v>819</v>
      </c>
      <c r="EA74" s="325">
        <v>959.5200000000001</v>
      </c>
      <c r="EB74" s="325">
        <v>106334.52</v>
      </c>
      <c r="EC74" s="325">
        <v>9985.2560000000012</v>
      </c>
      <c r="ED74" s="326">
        <f t="shared" si="183"/>
        <v>169440.10399999999</v>
      </c>
      <c r="EE74" s="325">
        <v>39724.384000000005</v>
      </c>
      <c r="EF74" s="325"/>
      <c r="EG74" s="331">
        <v>5060.0720000000001</v>
      </c>
      <c r="EH74" s="331"/>
      <c r="EI74" s="325">
        <v>101506.91200000001</v>
      </c>
      <c r="EJ74" s="325">
        <v>12744.400000000001</v>
      </c>
      <c r="EK74" s="326">
        <f t="shared" si="184"/>
        <v>159035.76800000001</v>
      </c>
      <c r="EL74" s="325">
        <v>24076.272000000004</v>
      </c>
      <c r="EM74" s="325">
        <v>8695.6320000000014</v>
      </c>
      <c r="EN74" s="325">
        <v>1558.0160000000003</v>
      </c>
      <c r="EO74" s="325">
        <v>267.24</v>
      </c>
      <c r="EP74" s="325">
        <v>94267.080000000016</v>
      </c>
      <c r="EQ74" s="325">
        <v>9812.7599999999984</v>
      </c>
      <c r="ER74" s="326">
        <f t="shared" si="185"/>
        <v>138677.00000000003</v>
      </c>
      <c r="ES74" s="325">
        <v>23759.624000000003</v>
      </c>
      <c r="ET74" s="325"/>
      <c r="EU74" s="331">
        <v>3957.6320000000001</v>
      </c>
      <c r="EV74" s="331"/>
      <c r="EW74" s="325">
        <v>79067.744000000006</v>
      </c>
      <c r="EX74" s="325">
        <v>8131.2800000000007</v>
      </c>
      <c r="EY74" s="326">
        <f t="shared" si="186"/>
        <v>114916.28000000001</v>
      </c>
      <c r="EZ74" s="325">
        <v>20529.264000000003</v>
      </c>
      <c r="FA74" s="325">
        <v>11474.439999999997</v>
      </c>
      <c r="FB74" s="325">
        <v>2057.056</v>
      </c>
      <c r="FC74" s="325">
        <v>694.87199999999984</v>
      </c>
      <c r="FD74" s="325">
        <v>90035.640000000014</v>
      </c>
      <c r="FE74" s="325">
        <v>11043.496000000001</v>
      </c>
      <c r="FF74" s="326">
        <f t="shared" si="187"/>
        <v>135834.76800000001</v>
      </c>
      <c r="FG74" s="325">
        <v>23230.336000000003</v>
      </c>
      <c r="FH74" s="325"/>
      <c r="FI74" s="331">
        <v>3756.1680000000006</v>
      </c>
      <c r="FJ74" s="331"/>
      <c r="FK74" s="325">
        <v>69440.128000000012</v>
      </c>
      <c r="FL74" s="325">
        <v>6747.152000000001</v>
      </c>
      <c r="FM74" s="326">
        <f t="shared" si="188"/>
        <v>103173.78400000001</v>
      </c>
      <c r="FN74" s="333">
        <f t="shared" si="189"/>
        <v>786417.12000000023</v>
      </c>
      <c r="FO74" s="519">
        <f t="shared" si="150"/>
        <v>171491.20000000001</v>
      </c>
      <c r="FP74" s="325">
        <f t="shared" si="151"/>
        <v>75934.504000000015</v>
      </c>
      <c r="FQ74" s="325">
        <f t="shared" si="152"/>
        <v>7642.0319999999992</v>
      </c>
      <c r="FR74" s="325">
        <f t="shared" si="153"/>
        <v>879120.08800000011</v>
      </c>
      <c r="FS74" s="325">
        <f t="shared" si="154"/>
        <v>99510.183999999979</v>
      </c>
      <c r="FT74" s="326">
        <f t="shared" si="155"/>
        <v>2020115.1280000003</v>
      </c>
      <c r="FU74" s="325">
        <f t="shared" si="190"/>
        <v>822242.82400000002</v>
      </c>
      <c r="FV74" s="325">
        <f t="shared" si="156"/>
        <v>0</v>
      </c>
      <c r="FW74" s="325">
        <f t="shared" si="157"/>
        <v>90279.216000000015</v>
      </c>
      <c r="FX74" s="325">
        <f t="shared" si="158"/>
        <v>0</v>
      </c>
      <c r="FY74" s="325">
        <f t="shared" si="159"/>
        <v>891133.82400000002</v>
      </c>
      <c r="FZ74" s="325">
        <f t="shared" si="160"/>
        <v>87075.856</v>
      </c>
      <c r="GA74" s="326">
        <f t="shared" si="191"/>
        <v>1890731.72</v>
      </c>
      <c r="GB74" s="206">
        <f t="shared" si="192"/>
        <v>-4.3570710445020211</v>
      </c>
      <c r="GC74" s="206" t="e">
        <f t="shared" si="193"/>
        <v>#DIV/0!</v>
      </c>
      <c r="GD74" s="206">
        <f t="shared" si="161"/>
        <v>-15.8892740052151</v>
      </c>
      <c r="GE74" s="206" t="e">
        <f t="shared" si="162"/>
        <v>#DIV/0!</v>
      </c>
      <c r="GF74" s="206">
        <f t="shared" si="163"/>
        <v>-1.3481405010612519</v>
      </c>
      <c r="GG74" s="206">
        <f t="shared" si="164"/>
        <v>14.279880291960595</v>
      </c>
      <c r="GH74" s="205">
        <f t="shared" si="194"/>
        <v>6.8430336589476752</v>
      </c>
    </row>
    <row r="75" spans="1:190">
      <c r="A75" s="319" t="s">
        <v>83</v>
      </c>
      <c r="B75" s="325">
        <v>256441</v>
      </c>
      <c r="C75" s="325">
        <v>59251.224000000002</v>
      </c>
      <c r="D75" s="325">
        <v>17348.032000000003</v>
      </c>
      <c r="E75" s="325">
        <v>7419.1759999999995</v>
      </c>
      <c r="F75" s="325">
        <v>96113.040000000008</v>
      </c>
      <c r="G75" s="325">
        <v>22522.968000000004</v>
      </c>
      <c r="H75" s="326">
        <f t="shared" si="165"/>
        <v>459095.43999999994</v>
      </c>
      <c r="I75" s="325">
        <v>265421.20800000004</v>
      </c>
      <c r="J75" s="325"/>
      <c r="K75" s="325">
        <v>17881.448</v>
      </c>
      <c r="L75" s="325"/>
      <c r="M75" s="325">
        <v>76592.688000000009</v>
      </c>
      <c r="N75" s="325">
        <v>15095.766</v>
      </c>
      <c r="O75" s="326">
        <f t="shared" si="166"/>
        <v>374991.11000000004</v>
      </c>
      <c r="P75" s="325">
        <v>393662.38400000002</v>
      </c>
      <c r="Q75" s="325">
        <v>44075.12</v>
      </c>
      <c r="R75" s="325">
        <v>34402.688000000002</v>
      </c>
      <c r="S75" s="325">
        <v>3635.1120000000005</v>
      </c>
      <c r="T75" s="325">
        <v>94658.880000000005</v>
      </c>
      <c r="U75" s="325">
        <v>16258.056000000002</v>
      </c>
      <c r="V75" s="326">
        <f t="shared" si="167"/>
        <v>586692.24000000011</v>
      </c>
      <c r="W75" s="325">
        <v>356014.72000000003</v>
      </c>
      <c r="X75" s="325"/>
      <c r="Y75" s="331">
        <v>37851.567999999999</v>
      </c>
      <c r="Z75" s="331"/>
      <c r="AA75" s="325">
        <v>80659.712</v>
      </c>
      <c r="AB75" s="325">
        <v>16223.255999999999</v>
      </c>
      <c r="AC75" s="326">
        <f t="shared" si="168"/>
        <v>490749.25600000005</v>
      </c>
      <c r="AD75" s="325">
        <v>152089.4</v>
      </c>
      <c r="AE75" s="325">
        <v>46693.456000000006</v>
      </c>
      <c r="AF75" s="325">
        <v>10359.616000000002</v>
      </c>
      <c r="AG75" s="325">
        <v>1122</v>
      </c>
      <c r="AH75" s="325">
        <v>93013.32</v>
      </c>
      <c r="AI75" s="325">
        <v>16483.400000000001</v>
      </c>
      <c r="AJ75" s="326">
        <f t="shared" si="169"/>
        <v>319761.19200000004</v>
      </c>
      <c r="AK75" s="325">
        <v>149392.16600000003</v>
      </c>
      <c r="AL75" s="325"/>
      <c r="AM75" s="331">
        <v>18774.024000000001</v>
      </c>
      <c r="AN75" s="331"/>
      <c r="AO75" s="325">
        <v>85587.232000000004</v>
      </c>
      <c r="AP75" s="325">
        <v>11402.296</v>
      </c>
      <c r="AQ75" s="326">
        <f t="shared" si="170"/>
        <v>265155.71799999999</v>
      </c>
      <c r="AR75" s="325">
        <v>72820.504000000001</v>
      </c>
      <c r="AS75" s="325">
        <v>33072.103999999999</v>
      </c>
      <c r="AT75" s="325">
        <v>7362.2640000000001</v>
      </c>
      <c r="AU75" s="325">
        <v>1098.0160000000001</v>
      </c>
      <c r="AV75" s="325">
        <v>51952.68</v>
      </c>
      <c r="AW75" s="325">
        <v>10684.04</v>
      </c>
      <c r="AX75" s="326">
        <f t="shared" si="171"/>
        <v>176989.60800000001</v>
      </c>
      <c r="AY75" s="325">
        <v>149879.68200000003</v>
      </c>
      <c r="AZ75" s="325"/>
      <c r="BA75" s="325">
        <v>20631.864000000001</v>
      </c>
      <c r="BB75" s="325"/>
      <c r="BC75" s="325">
        <v>108557.05600000001</v>
      </c>
      <c r="BD75" s="325">
        <v>12336.094000000001</v>
      </c>
      <c r="BE75" s="326">
        <f t="shared" si="172"/>
        <v>291404.69600000005</v>
      </c>
      <c r="BF75" s="325">
        <v>59736.216000000008</v>
      </c>
      <c r="BG75" s="325">
        <v>30243.520000000004</v>
      </c>
      <c r="BH75" s="325">
        <v>4771.88</v>
      </c>
      <c r="BI75" s="325">
        <v>619.13599999999997</v>
      </c>
      <c r="BJ75" s="325">
        <v>73815.12</v>
      </c>
      <c r="BK75" s="325">
        <v>14942.055999999999</v>
      </c>
      <c r="BL75" s="326">
        <f t="shared" si="173"/>
        <v>184127.92800000001</v>
      </c>
      <c r="BM75" s="325">
        <v>172483.56800000003</v>
      </c>
      <c r="BN75" s="325"/>
      <c r="BO75" s="325">
        <v>19539.248000000003</v>
      </c>
      <c r="BP75" s="325"/>
      <c r="BQ75" s="325">
        <v>121444.416</v>
      </c>
      <c r="BR75" s="325">
        <v>13655.744000000002</v>
      </c>
      <c r="BS75" s="326">
        <f t="shared" si="174"/>
        <v>327122.97600000002</v>
      </c>
      <c r="BT75" s="325">
        <v>85062.576000000001</v>
      </c>
      <c r="BU75" s="325">
        <v>26023.592000000004</v>
      </c>
      <c r="BV75" s="325">
        <v>9762.2000000000007</v>
      </c>
      <c r="BW75" s="325">
        <v>2493.3040000000001</v>
      </c>
      <c r="BX75" s="325">
        <v>99047.040000000008</v>
      </c>
      <c r="BY75" s="325">
        <v>10220.784000000001</v>
      </c>
      <c r="BZ75" s="326">
        <f t="shared" si="175"/>
        <v>232609.49600000001</v>
      </c>
      <c r="CA75" s="325">
        <v>181574.872</v>
      </c>
      <c r="CB75" s="325"/>
      <c r="CC75" s="331">
        <v>26182.36</v>
      </c>
      <c r="CD75" s="331"/>
      <c r="CE75" s="325">
        <v>99005.248000000007</v>
      </c>
      <c r="CF75" s="325">
        <v>16153.032000000001</v>
      </c>
      <c r="CG75" s="326">
        <f t="shared" si="176"/>
        <v>322915.51200000005</v>
      </c>
      <c r="CH75" s="325">
        <v>109989.77600000001</v>
      </c>
      <c r="CI75" s="325">
        <v>27928.295999999998</v>
      </c>
      <c r="CJ75" s="325">
        <v>8830.1759999999995</v>
      </c>
      <c r="CK75" s="325">
        <v>353.79199999999986</v>
      </c>
      <c r="CL75" s="325">
        <v>116364.6</v>
      </c>
      <c r="CM75" s="325">
        <v>9663.52</v>
      </c>
      <c r="CN75" s="326">
        <f t="shared" si="177"/>
        <v>273130.16000000003</v>
      </c>
      <c r="CO75" s="325">
        <v>76029.272000000012</v>
      </c>
      <c r="CP75" s="325"/>
      <c r="CQ75" s="331">
        <v>14565.272000000001</v>
      </c>
      <c r="CR75" s="331"/>
      <c r="CS75" s="325">
        <v>116062.04800000001</v>
      </c>
      <c r="CT75" s="325">
        <v>22560.887999999999</v>
      </c>
      <c r="CU75" s="326">
        <f t="shared" si="178"/>
        <v>229217.48</v>
      </c>
      <c r="CV75" s="325">
        <v>144259.75200000001</v>
      </c>
      <c r="CW75" s="325">
        <v>39178.92</v>
      </c>
      <c r="CX75" s="325">
        <v>17371.68</v>
      </c>
      <c r="CY75" s="325">
        <v>4806.0960000000023</v>
      </c>
      <c r="CZ75" s="325">
        <v>134152.32000000001</v>
      </c>
      <c r="DA75" s="325">
        <v>17413.232</v>
      </c>
      <c r="DB75" s="326">
        <f t="shared" si="179"/>
        <v>357182.00000000006</v>
      </c>
      <c r="DC75" s="325">
        <v>75932.495999999999</v>
      </c>
      <c r="DD75" s="325"/>
      <c r="DE75" s="331">
        <v>6929.2800000000007</v>
      </c>
      <c r="DF75" s="331"/>
      <c r="DG75" s="325">
        <v>108632.864</v>
      </c>
      <c r="DH75" s="325">
        <v>19361.696</v>
      </c>
      <c r="DI75" s="326">
        <f t="shared" si="180"/>
        <v>210856.33600000001</v>
      </c>
      <c r="DJ75" s="325">
        <v>48831.288</v>
      </c>
      <c r="DK75" s="325">
        <v>26288.543999999994</v>
      </c>
      <c r="DL75" s="325">
        <v>3055.16</v>
      </c>
      <c r="DM75" s="325">
        <v>1762.768</v>
      </c>
      <c r="DN75" s="325">
        <v>114719.03999999999</v>
      </c>
      <c r="DO75" s="325">
        <v>16664.072</v>
      </c>
      <c r="DP75" s="326">
        <f t="shared" si="181"/>
        <v>211320.87199999997</v>
      </c>
      <c r="DQ75" s="325">
        <v>65102.696000000011</v>
      </c>
      <c r="DR75" s="325"/>
      <c r="DS75" s="331">
        <v>7523.4639999999999</v>
      </c>
      <c r="DT75" s="331"/>
      <c r="DU75" s="325">
        <v>102492.41600000001</v>
      </c>
      <c r="DV75" s="325">
        <v>19168.440000000002</v>
      </c>
      <c r="DW75" s="326">
        <f t="shared" si="182"/>
        <v>194287.016</v>
      </c>
      <c r="DX75" s="325">
        <v>21576.407999999999</v>
      </c>
      <c r="DY75" s="325">
        <v>70347.160000000018</v>
      </c>
      <c r="DZ75" s="325">
        <v>4108.4480000000003</v>
      </c>
      <c r="EA75" s="325">
        <v>962.1519999999997</v>
      </c>
      <c r="EB75" s="325">
        <v>131174.63999999998</v>
      </c>
      <c r="EC75" s="325">
        <v>20630.543999999998</v>
      </c>
      <c r="ED75" s="326">
        <f t="shared" si="183"/>
        <v>248799.35200000001</v>
      </c>
      <c r="EE75" s="325">
        <v>71558.008000000002</v>
      </c>
      <c r="EF75" s="325"/>
      <c r="EG75" s="331">
        <v>6143.0560000000005</v>
      </c>
      <c r="EH75" s="331"/>
      <c r="EI75" s="325">
        <v>118033.05600000001</v>
      </c>
      <c r="EJ75" s="325">
        <v>20638.696</v>
      </c>
      <c r="EK75" s="326">
        <f t="shared" si="184"/>
        <v>216372.81599999999</v>
      </c>
      <c r="EL75" s="325">
        <v>36527.928000000007</v>
      </c>
      <c r="EM75" s="325">
        <v>27436.368000000002</v>
      </c>
      <c r="EN75" s="325">
        <v>4664.6320000000005</v>
      </c>
      <c r="EO75" s="325">
        <v>850.36800000000005</v>
      </c>
      <c r="EP75" s="325">
        <v>126237.96000000002</v>
      </c>
      <c r="EQ75" s="325">
        <v>22226.432000000004</v>
      </c>
      <c r="ER75" s="326">
        <f t="shared" si="185"/>
        <v>217943.68800000005</v>
      </c>
      <c r="ES75" s="325">
        <v>62569.216000000008</v>
      </c>
      <c r="ET75" s="325"/>
      <c r="EU75" s="331">
        <v>7454.3360000000002</v>
      </c>
      <c r="EV75" s="331"/>
      <c r="EW75" s="325">
        <v>99232.672000000006</v>
      </c>
      <c r="EX75" s="325">
        <v>18729.064000000002</v>
      </c>
      <c r="EY75" s="326">
        <f t="shared" si="186"/>
        <v>187985.28800000003</v>
      </c>
      <c r="EZ75" s="325">
        <v>33431.760000000002</v>
      </c>
      <c r="FA75" s="325">
        <v>23338.648000000012</v>
      </c>
      <c r="FB75" s="325">
        <v>4893.1440000000002</v>
      </c>
      <c r="FC75" s="325">
        <v>2356.2720000000004</v>
      </c>
      <c r="FD75" s="325">
        <v>106334.52</v>
      </c>
      <c r="FE75" s="325">
        <v>15818.215999999999</v>
      </c>
      <c r="FF75" s="326">
        <f t="shared" si="187"/>
        <v>186172.56</v>
      </c>
      <c r="FG75" s="325">
        <v>61385.640000000007</v>
      </c>
      <c r="FH75" s="325"/>
      <c r="FI75" s="331">
        <v>8822.8559999999998</v>
      </c>
      <c r="FJ75" s="331"/>
      <c r="FK75" s="325">
        <v>91197.024000000005</v>
      </c>
      <c r="FL75" s="325">
        <v>21732.407999999999</v>
      </c>
      <c r="FM75" s="326">
        <f t="shared" si="188"/>
        <v>183137.92800000001</v>
      </c>
      <c r="FN75" s="333">
        <f t="shared" si="189"/>
        <v>1414428.9920000003</v>
      </c>
      <c r="FO75" s="519">
        <f t="shared" si="150"/>
        <v>453876.95199999999</v>
      </c>
      <c r="FP75" s="325">
        <f t="shared" si="151"/>
        <v>126929.92</v>
      </c>
      <c r="FQ75" s="325">
        <f t="shared" si="152"/>
        <v>27478.191999999999</v>
      </c>
      <c r="FR75" s="325">
        <f t="shared" si="153"/>
        <v>1237583.1600000001</v>
      </c>
      <c r="FS75" s="325">
        <f t="shared" si="154"/>
        <v>193527.32</v>
      </c>
      <c r="FT75" s="326">
        <f t="shared" si="155"/>
        <v>3453824.5360000003</v>
      </c>
      <c r="FU75" s="325">
        <f t="shared" si="190"/>
        <v>1687343.544</v>
      </c>
      <c r="FV75" s="325">
        <f t="shared" si="156"/>
        <v>0</v>
      </c>
      <c r="FW75" s="325">
        <f t="shared" si="157"/>
        <v>192298.77600000004</v>
      </c>
      <c r="FX75" s="325">
        <f t="shared" si="158"/>
        <v>0</v>
      </c>
      <c r="FY75" s="325">
        <f t="shared" si="159"/>
        <v>1207496.432</v>
      </c>
      <c r="FZ75" s="325">
        <f t="shared" si="160"/>
        <v>207057.38</v>
      </c>
      <c r="GA75" s="326">
        <f t="shared" si="191"/>
        <v>3294196.1320000002</v>
      </c>
      <c r="GB75" s="206">
        <f t="shared" si="192"/>
        <v>-16.174213779431739</v>
      </c>
      <c r="GC75" s="206" t="e">
        <f t="shared" si="193"/>
        <v>#DIV/0!</v>
      </c>
      <c r="GD75" s="206">
        <f t="shared" si="161"/>
        <v>-33.993381216321438</v>
      </c>
      <c r="GE75" s="206" t="e">
        <f t="shared" si="162"/>
        <v>#DIV/0!</v>
      </c>
      <c r="GF75" s="206">
        <f t="shared" si="163"/>
        <v>2.4916618552790908</v>
      </c>
      <c r="GG75" s="206">
        <f t="shared" si="164"/>
        <v>-6.5344495327816787</v>
      </c>
      <c r="GH75" s="205">
        <f t="shared" si="194"/>
        <v>4.8457468105605841</v>
      </c>
    </row>
    <row r="76" spans="1:190">
      <c r="A76" s="319" t="s">
        <v>84</v>
      </c>
      <c r="B76" s="325">
        <v>196303.32800000001</v>
      </c>
      <c r="C76" s="325">
        <v>26082.856</v>
      </c>
      <c r="D76" s="325">
        <v>16850.904000000002</v>
      </c>
      <c r="E76" s="325">
        <v>3367.92</v>
      </c>
      <c r="F76" s="325">
        <v>79599.495999999999</v>
      </c>
      <c r="G76" s="325">
        <v>12693.168</v>
      </c>
      <c r="H76" s="326">
        <f t="shared" si="165"/>
        <v>334897.67200000002</v>
      </c>
      <c r="I76" s="325">
        <v>178211.64800000002</v>
      </c>
      <c r="J76" s="325"/>
      <c r="K76" s="325">
        <v>17561.64</v>
      </c>
      <c r="L76" s="325"/>
      <c r="M76" s="325">
        <v>71301.775999999998</v>
      </c>
      <c r="N76" s="325">
        <v>11762.76</v>
      </c>
      <c r="O76" s="326">
        <f t="shared" si="166"/>
        <v>278837.82400000002</v>
      </c>
      <c r="P76" s="325">
        <v>274147.38400000002</v>
      </c>
      <c r="Q76" s="325">
        <v>25864.600000000002</v>
      </c>
      <c r="R76" s="325">
        <v>45672.832000000002</v>
      </c>
      <c r="S76" s="325">
        <v>2910.3919999999998</v>
      </c>
      <c r="T76" s="325">
        <v>78908.52</v>
      </c>
      <c r="U76" s="325">
        <v>11108.432000000001</v>
      </c>
      <c r="V76" s="326">
        <f t="shared" si="167"/>
        <v>438612.16000000003</v>
      </c>
      <c r="W76" s="325">
        <v>284648.16000000003</v>
      </c>
      <c r="X76" s="325"/>
      <c r="Y76" s="331">
        <v>35028.04</v>
      </c>
      <c r="Z76" s="331"/>
      <c r="AA76" s="325">
        <v>92558.96</v>
      </c>
      <c r="AB76" s="325">
        <v>10784.656000000001</v>
      </c>
      <c r="AC76" s="326">
        <f t="shared" si="168"/>
        <v>423019.81600000005</v>
      </c>
      <c r="AD76" s="325">
        <v>101387.68800000001</v>
      </c>
      <c r="AE76" s="325">
        <v>18605.400000000001</v>
      </c>
      <c r="AF76" s="325">
        <v>12975.400000000001</v>
      </c>
      <c r="AG76" s="325">
        <v>3004.4639999999999</v>
      </c>
      <c r="AH76" s="325">
        <v>81102.600000000006</v>
      </c>
      <c r="AI76" s="325">
        <v>9799.7920000000013</v>
      </c>
      <c r="AJ76" s="326">
        <f t="shared" si="169"/>
        <v>226875.34400000004</v>
      </c>
      <c r="AK76" s="325">
        <v>108404.136</v>
      </c>
      <c r="AL76" s="325"/>
      <c r="AM76" s="331">
        <v>13065.791999999999</v>
      </c>
      <c r="AN76" s="331"/>
      <c r="AO76" s="325">
        <v>70956.288</v>
      </c>
      <c r="AP76" s="325">
        <v>9751.56</v>
      </c>
      <c r="AQ76" s="326">
        <f t="shared" si="170"/>
        <v>202177.77600000001</v>
      </c>
      <c r="AR76" s="325">
        <v>42986.024000000005</v>
      </c>
      <c r="AS76" s="325">
        <v>9887.4480000000003</v>
      </c>
      <c r="AT76" s="325">
        <v>3329.384</v>
      </c>
      <c r="AU76" s="325">
        <v>1503.4</v>
      </c>
      <c r="AV76" s="325">
        <v>44351.76</v>
      </c>
      <c r="AW76" s="325">
        <v>6983.8159999999998</v>
      </c>
      <c r="AX76" s="326">
        <f t="shared" si="171"/>
        <v>109041.83200000001</v>
      </c>
      <c r="AY76" s="325">
        <v>98665.640000000014</v>
      </c>
      <c r="AZ76" s="325"/>
      <c r="BA76" s="325">
        <v>11587.088000000002</v>
      </c>
      <c r="BB76" s="325"/>
      <c r="BC76" s="325">
        <v>93243.840000000011</v>
      </c>
      <c r="BD76" s="325">
        <v>9873.2159999999985</v>
      </c>
      <c r="BE76" s="326">
        <f t="shared" si="172"/>
        <v>213369.78400000001</v>
      </c>
      <c r="BF76" s="325">
        <v>38097.896000000001</v>
      </c>
      <c r="BG76" s="325">
        <v>9854.9600000000009</v>
      </c>
      <c r="BH76" s="325">
        <v>4197.9279999999999</v>
      </c>
      <c r="BI76" s="325">
        <v>1018.3920000000001</v>
      </c>
      <c r="BJ76" s="325">
        <v>65822.400000000009</v>
      </c>
      <c r="BK76" s="325">
        <v>4861.9359999999997</v>
      </c>
      <c r="BL76" s="326">
        <f t="shared" si="173"/>
        <v>123853.512</v>
      </c>
      <c r="BM76" s="325">
        <v>122557.81600000001</v>
      </c>
      <c r="BN76" s="325"/>
      <c r="BO76" s="325">
        <v>15977.44</v>
      </c>
      <c r="BP76" s="325"/>
      <c r="BQ76" s="325">
        <v>92940.608000000007</v>
      </c>
      <c r="BR76" s="325">
        <v>7561.688000000001</v>
      </c>
      <c r="BS76" s="326">
        <f t="shared" si="174"/>
        <v>239037.552</v>
      </c>
      <c r="BT76" s="325">
        <v>50946.192000000003</v>
      </c>
      <c r="BU76" s="325">
        <v>8620.2960000000003</v>
      </c>
      <c r="BV76" s="325">
        <v>4214.4160000000002</v>
      </c>
      <c r="BW76" s="325">
        <v>519.52</v>
      </c>
      <c r="BX76" s="325">
        <v>75460.680000000008</v>
      </c>
      <c r="BY76" s="325">
        <v>4955.6320000000005</v>
      </c>
      <c r="BZ76" s="326">
        <f t="shared" si="175"/>
        <v>144716.736</v>
      </c>
      <c r="CA76" s="325">
        <v>117376.89600000001</v>
      </c>
      <c r="CB76" s="325"/>
      <c r="CC76" s="331">
        <v>13562.936000000002</v>
      </c>
      <c r="CD76" s="331"/>
      <c r="CE76" s="325">
        <v>85966.271999999997</v>
      </c>
      <c r="CF76" s="325">
        <v>8649.224000000002</v>
      </c>
      <c r="CG76" s="326">
        <f t="shared" si="176"/>
        <v>225555.32799999998</v>
      </c>
      <c r="CH76" s="325">
        <v>97065.48000000001</v>
      </c>
      <c r="CI76" s="325">
        <v>7222.9359999999988</v>
      </c>
      <c r="CJ76" s="325">
        <v>6823.92</v>
      </c>
      <c r="CK76" s="325">
        <v>2920.7759999999998</v>
      </c>
      <c r="CL76" s="325">
        <v>97009.680000000008</v>
      </c>
      <c r="CM76" s="325">
        <v>4963.3040000000001</v>
      </c>
      <c r="CN76" s="326">
        <f t="shared" si="177"/>
        <v>216006.09600000002</v>
      </c>
      <c r="CO76" s="325">
        <v>55918.544000000002</v>
      </c>
      <c r="CP76" s="325"/>
      <c r="CQ76" s="331">
        <v>11516.064</v>
      </c>
      <c r="CR76" s="331"/>
      <c r="CS76" s="325">
        <v>109087.71200000001</v>
      </c>
      <c r="CT76" s="325">
        <v>12463.784000000001</v>
      </c>
      <c r="CU76" s="326">
        <f t="shared" si="178"/>
        <v>188986.10400000002</v>
      </c>
      <c r="CV76" s="325">
        <v>128604.024</v>
      </c>
      <c r="CW76" s="325">
        <v>8568.4320000000062</v>
      </c>
      <c r="CX76" s="325">
        <v>12088.744000000001</v>
      </c>
      <c r="CY76" s="325">
        <v>2770.2320000000009</v>
      </c>
      <c r="CZ76" s="325">
        <v>110957.76000000004</v>
      </c>
      <c r="DA76" s="325">
        <v>6655.6</v>
      </c>
      <c r="DB76" s="326">
        <f t="shared" si="179"/>
        <v>269644.79200000002</v>
      </c>
      <c r="DC76" s="325">
        <v>50544.527999999998</v>
      </c>
      <c r="DD76" s="325"/>
      <c r="DE76" s="331">
        <v>10658.984</v>
      </c>
      <c r="DF76" s="331"/>
      <c r="DG76" s="325">
        <v>114318.46399999999</v>
      </c>
      <c r="DH76" s="325">
        <v>13513.76</v>
      </c>
      <c r="DI76" s="326">
        <f t="shared" si="180"/>
        <v>189035.736</v>
      </c>
      <c r="DJ76" s="325">
        <v>29862.335999999999</v>
      </c>
      <c r="DK76" s="325">
        <v>7131.3600000000042</v>
      </c>
      <c r="DL76" s="325">
        <v>4302.3680000000004</v>
      </c>
      <c r="DM76" s="325">
        <v>1745.6240000000007</v>
      </c>
      <c r="DN76" s="325">
        <v>97323.12</v>
      </c>
      <c r="DO76" s="325">
        <v>7214.0720000000001</v>
      </c>
      <c r="DP76" s="326">
        <f t="shared" si="181"/>
        <v>147578.88</v>
      </c>
      <c r="DQ76" s="325">
        <v>48429.456000000006</v>
      </c>
      <c r="DR76" s="325"/>
      <c r="DS76" s="331">
        <v>7861.3680000000004</v>
      </c>
      <c r="DT76" s="331"/>
      <c r="DU76" s="325">
        <v>99990.752000000008</v>
      </c>
      <c r="DV76" s="325">
        <v>12759.784000000001</v>
      </c>
      <c r="DW76" s="326">
        <f t="shared" si="182"/>
        <v>169041.36000000002</v>
      </c>
      <c r="DX76" s="325">
        <v>13485.400000000001</v>
      </c>
      <c r="DY76" s="325">
        <v>21131.112000000001</v>
      </c>
      <c r="DZ76" s="325">
        <v>2081.4639999999999</v>
      </c>
      <c r="EA76" s="325">
        <v>3201.9840000000004</v>
      </c>
      <c r="EB76" s="325">
        <v>122711.76000000001</v>
      </c>
      <c r="EC76" s="325">
        <v>8883.7200000000012</v>
      </c>
      <c r="ED76" s="326">
        <f t="shared" si="183"/>
        <v>171495.44000000003</v>
      </c>
      <c r="EE76" s="325">
        <v>50429.4</v>
      </c>
      <c r="EF76" s="325"/>
      <c r="EG76" s="331">
        <v>10504.744000000001</v>
      </c>
      <c r="EH76" s="331"/>
      <c r="EI76" s="325">
        <v>120004.064</v>
      </c>
      <c r="EJ76" s="325">
        <v>19185.920000000002</v>
      </c>
      <c r="EK76" s="326">
        <f t="shared" si="184"/>
        <v>200124.128</v>
      </c>
      <c r="EL76" s="325">
        <v>20271.847999999998</v>
      </c>
      <c r="EM76" s="325">
        <v>4899.3919999999998</v>
      </c>
      <c r="EN76" s="325">
        <v>3269.9920000000002</v>
      </c>
      <c r="EO76" s="325">
        <v>1792.384</v>
      </c>
      <c r="EP76" s="325">
        <v>102573.24</v>
      </c>
      <c r="EQ76" s="325">
        <v>9636.3040000000001</v>
      </c>
      <c r="ER76" s="326">
        <f t="shared" si="185"/>
        <v>142443.16</v>
      </c>
      <c r="ES76" s="325">
        <v>36865.848000000005</v>
      </c>
      <c r="ET76" s="325"/>
      <c r="EU76" s="331">
        <v>5425.4319999999998</v>
      </c>
      <c r="EV76" s="331"/>
      <c r="EW76" s="325">
        <v>95745.504000000015</v>
      </c>
      <c r="EX76" s="325">
        <v>19400.431999999997</v>
      </c>
      <c r="EY76" s="326">
        <f t="shared" si="186"/>
        <v>157437.21600000001</v>
      </c>
      <c r="EZ76" s="325">
        <v>31194.768</v>
      </c>
      <c r="FA76" s="325">
        <v>8858.6159999999982</v>
      </c>
      <c r="FB76" s="325">
        <v>4201.9679999999998</v>
      </c>
      <c r="FC76" s="325">
        <v>1743.3119999999997</v>
      </c>
      <c r="FD76" s="325">
        <v>98185.080000000016</v>
      </c>
      <c r="FE76" s="325">
        <v>15517.103999999999</v>
      </c>
      <c r="FF76" s="326">
        <f t="shared" si="187"/>
        <v>159700.848</v>
      </c>
      <c r="FG76" s="325">
        <v>42138.008000000002</v>
      </c>
      <c r="FH76" s="325"/>
      <c r="FI76" s="331">
        <v>5518.9520000000011</v>
      </c>
      <c r="FJ76" s="331"/>
      <c r="FK76" s="325">
        <v>89984.096000000005</v>
      </c>
      <c r="FL76" s="325">
        <v>18776.952000000005</v>
      </c>
      <c r="FM76" s="326">
        <f t="shared" si="188"/>
        <v>156418.00800000003</v>
      </c>
      <c r="FN76" s="333">
        <f t="shared" si="189"/>
        <v>1024352.368</v>
      </c>
      <c r="FO76" s="519">
        <f t="shared" si="150"/>
        <v>156727.40800000002</v>
      </c>
      <c r="FP76" s="325">
        <f t="shared" si="151"/>
        <v>120009.32</v>
      </c>
      <c r="FQ76" s="325">
        <f t="shared" si="152"/>
        <v>26498.400000000001</v>
      </c>
      <c r="FR76" s="325">
        <f t="shared" si="153"/>
        <v>1054006.0960000001</v>
      </c>
      <c r="FS76" s="325">
        <f t="shared" si="154"/>
        <v>103272.88</v>
      </c>
      <c r="FT76" s="326">
        <f t="shared" si="155"/>
        <v>2484866.4720000001</v>
      </c>
      <c r="FU76" s="325">
        <f t="shared" si="190"/>
        <v>1194190.0799999998</v>
      </c>
      <c r="FV76" s="325">
        <f t="shared" si="156"/>
        <v>0</v>
      </c>
      <c r="FW76" s="325">
        <f t="shared" si="157"/>
        <v>158268.47999999998</v>
      </c>
      <c r="FX76" s="325">
        <f t="shared" si="158"/>
        <v>0</v>
      </c>
      <c r="FY76" s="325">
        <f t="shared" si="159"/>
        <v>1136098.3359999999</v>
      </c>
      <c r="FZ76" s="325">
        <f t="shared" si="160"/>
        <v>154483.73599999998</v>
      </c>
      <c r="GA76" s="326">
        <f t="shared" si="191"/>
        <v>2643040.6319999998</v>
      </c>
      <c r="GB76" s="206">
        <f t="shared" si="192"/>
        <v>-14.221999901389211</v>
      </c>
      <c r="GC76" s="206" t="e">
        <f t="shared" si="193"/>
        <v>#DIV/0!</v>
      </c>
      <c r="GD76" s="206">
        <f t="shared" si="161"/>
        <v>-24.17358149898196</v>
      </c>
      <c r="GE76" s="206" t="e">
        <f t="shared" si="162"/>
        <v>#DIV/0!</v>
      </c>
      <c r="GF76" s="206">
        <f t="shared" si="163"/>
        <v>-7.2258040874377087</v>
      </c>
      <c r="GG76" s="206">
        <f t="shared" si="164"/>
        <v>-33.149674733397163</v>
      </c>
      <c r="GH76" s="205">
        <f t="shared" si="194"/>
        <v>-5.9845527187491143</v>
      </c>
    </row>
    <row r="77" spans="1:190">
      <c r="A77" s="319" t="s">
        <v>85</v>
      </c>
      <c r="B77" s="325">
        <v>163799.96799999999</v>
      </c>
      <c r="C77" s="325">
        <v>32932.112000000001</v>
      </c>
      <c r="D77" s="325">
        <v>13953.848000000002</v>
      </c>
      <c r="E77" s="325">
        <v>4949.9440000000004</v>
      </c>
      <c r="F77" s="325">
        <v>156191.44</v>
      </c>
      <c r="G77" s="325">
        <v>13902</v>
      </c>
      <c r="H77" s="326">
        <f t="shared" si="165"/>
        <v>385729.31199999998</v>
      </c>
      <c r="I77" s="325">
        <v>171363.09600000002</v>
      </c>
      <c r="J77" s="325"/>
      <c r="K77" s="325">
        <v>16211.032000000001</v>
      </c>
      <c r="L77" s="325"/>
      <c r="M77" s="325">
        <v>120937.93600000002</v>
      </c>
      <c r="N77" s="325">
        <v>12952.28</v>
      </c>
      <c r="O77" s="326">
        <f t="shared" si="166"/>
        <v>321464.34400000004</v>
      </c>
      <c r="P77" s="325">
        <v>210842.74400000001</v>
      </c>
      <c r="Q77" s="325">
        <v>34125</v>
      </c>
      <c r="R77" s="325">
        <v>30779.976000000002</v>
      </c>
      <c r="S77" s="325">
        <v>6452.7520000000004</v>
      </c>
      <c r="T77" s="325">
        <v>162048.48000000001</v>
      </c>
      <c r="U77" s="325">
        <v>13566.871999999999</v>
      </c>
      <c r="V77" s="326">
        <f t="shared" si="167"/>
        <v>457815.82400000002</v>
      </c>
      <c r="W77" s="325">
        <v>228617.11200000002</v>
      </c>
      <c r="X77" s="325"/>
      <c r="Y77" s="331">
        <v>35977.599999999999</v>
      </c>
      <c r="Z77" s="331"/>
      <c r="AA77" s="325">
        <v>150782.11200000002</v>
      </c>
      <c r="AB77" s="325">
        <v>17616.072000000004</v>
      </c>
      <c r="AC77" s="326">
        <f t="shared" si="168"/>
        <v>432992.89600000001</v>
      </c>
      <c r="AD77" s="325">
        <v>113464.82400000001</v>
      </c>
      <c r="AE77" s="325">
        <v>29089.800000000003</v>
      </c>
      <c r="AF77" s="325">
        <v>13795.688000000002</v>
      </c>
      <c r="AG77" s="325">
        <v>3303.0320000000002</v>
      </c>
      <c r="AH77" s="325">
        <v>160638</v>
      </c>
      <c r="AI77" s="325">
        <v>12007.431999999999</v>
      </c>
      <c r="AJ77" s="326">
        <f t="shared" si="169"/>
        <v>332298.77600000001</v>
      </c>
      <c r="AK77" s="325">
        <v>111429.32800000001</v>
      </c>
      <c r="AL77" s="325"/>
      <c r="AM77" s="331">
        <v>11519.376</v>
      </c>
      <c r="AN77" s="331"/>
      <c r="AO77" s="325">
        <v>165034.016</v>
      </c>
      <c r="AP77" s="325">
        <v>23278.063999999998</v>
      </c>
      <c r="AQ77" s="326">
        <f t="shared" si="170"/>
        <v>311260.78400000004</v>
      </c>
      <c r="AR77" s="325">
        <v>52267.320000000007</v>
      </c>
      <c r="AS77" s="325">
        <v>15206.256000000001</v>
      </c>
      <c r="AT77" s="325">
        <v>6578.8160000000007</v>
      </c>
      <c r="AU77" s="325">
        <v>3891.4320000000002</v>
      </c>
      <c r="AV77" s="325">
        <v>110409.23999999999</v>
      </c>
      <c r="AW77" s="325">
        <v>10820.216000000002</v>
      </c>
      <c r="AX77" s="326">
        <f t="shared" si="171"/>
        <v>199173.28000000003</v>
      </c>
      <c r="AY77" s="325">
        <v>121485.31200000001</v>
      </c>
      <c r="AZ77" s="325"/>
      <c r="BA77" s="325">
        <v>13707.184000000003</v>
      </c>
      <c r="BB77" s="325"/>
      <c r="BC77" s="325">
        <v>220677.08799999999</v>
      </c>
      <c r="BD77" s="325">
        <v>18938.328000000005</v>
      </c>
      <c r="BE77" s="326">
        <f t="shared" si="172"/>
        <v>374807.91200000001</v>
      </c>
      <c r="BF77" s="325">
        <v>45166.648000000001</v>
      </c>
      <c r="BG77" s="325">
        <v>19263.848000000002</v>
      </c>
      <c r="BH77" s="325">
        <v>8007.344000000001</v>
      </c>
      <c r="BI77" s="325">
        <v>2114</v>
      </c>
      <c r="BJ77" s="325">
        <v>149197.44</v>
      </c>
      <c r="BK77" s="325">
        <v>6865.0559999999996</v>
      </c>
      <c r="BL77" s="326">
        <f t="shared" si="173"/>
        <v>230614.33600000001</v>
      </c>
      <c r="BM77" s="325">
        <v>153636.17600000001</v>
      </c>
      <c r="BN77" s="325"/>
      <c r="BO77" s="325">
        <v>19612.984</v>
      </c>
      <c r="BP77" s="325"/>
      <c r="BQ77" s="325">
        <v>212400.51200000002</v>
      </c>
      <c r="BR77" s="325">
        <v>13440.656000000001</v>
      </c>
      <c r="BS77" s="326">
        <f t="shared" si="174"/>
        <v>399090.32800000004</v>
      </c>
      <c r="BT77" s="325">
        <v>70346.64</v>
      </c>
      <c r="BU77" s="325">
        <v>24349</v>
      </c>
      <c r="BV77" s="325">
        <v>8813.6720000000005</v>
      </c>
      <c r="BW77" s="325">
        <v>1812.7919999999999</v>
      </c>
      <c r="BX77" s="325">
        <v>187828.92</v>
      </c>
      <c r="BY77" s="325">
        <v>11446.232</v>
      </c>
      <c r="BZ77" s="326">
        <f t="shared" si="175"/>
        <v>304597.25600000005</v>
      </c>
      <c r="CA77" s="325">
        <v>134771.38399999999</v>
      </c>
      <c r="CB77" s="325"/>
      <c r="CC77" s="331">
        <v>25468.175999999999</v>
      </c>
      <c r="CD77" s="331"/>
      <c r="CE77" s="325">
        <v>159651.64800000002</v>
      </c>
      <c r="CF77" s="325">
        <v>11441.560000000003</v>
      </c>
      <c r="CG77" s="326">
        <f t="shared" si="176"/>
        <v>331332.76799999998</v>
      </c>
      <c r="CH77" s="325">
        <v>104491.17600000001</v>
      </c>
      <c r="CI77" s="325">
        <v>25897.552000000003</v>
      </c>
      <c r="CJ77" s="325">
        <v>11978.008000000002</v>
      </c>
      <c r="CK77" s="325">
        <v>4266.9680000000008</v>
      </c>
      <c r="CL77" s="325">
        <v>251457.24</v>
      </c>
      <c r="CM77" s="325">
        <v>11317.624</v>
      </c>
      <c r="CN77" s="326">
        <f t="shared" si="177"/>
        <v>409408.56800000003</v>
      </c>
      <c r="CO77" s="325">
        <v>54348.712</v>
      </c>
      <c r="CP77" s="325"/>
      <c r="CQ77" s="331">
        <v>8939.8960000000006</v>
      </c>
      <c r="CR77" s="331"/>
      <c r="CS77" s="325">
        <v>191111.96799999999</v>
      </c>
      <c r="CT77" s="325">
        <v>18822.584000000003</v>
      </c>
      <c r="CU77" s="326">
        <f t="shared" si="178"/>
        <v>273223.16000000003</v>
      </c>
      <c r="CV77" s="325">
        <v>125827.288</v>
      </c>
      <c r="CW77" s="325">
        <v>27109.232000000007</v>
      </c>
      <c r="CX77" s="325">
        <v>18768.952000000001</v>
      </c>
      <c r="CY77" s="325">
        <v>1777.1200000000013</v>
      </c>
      <c r="CZ77" s="325">
        <v>207262.20000000004</v>
      </c>
      <c r="DA77" s="325">
        <v>13906.760000000002</v>
      </c>
      <c r="DB77" s="326">
        <f t="shared" si="179"/>
        <v>394651.55200000003</v>
      </c>
      <c r="DC77" s="325">
        <v>47445.191999999995</v>
      </c>
      <c r="DD77" s="325"/>
      <c r="DE77" s="331">
        <v>5025.5760000000009</v>
      </c>
      <c r="DF77" s="331"/>
      <c r="DG77" s="325">
        <v>204757.40800000002</v>
      </c>
      <c r="DH77" s="325">
        <v>19347.632000000005</v>
      </c>
      <c r="DI77" s="326">
        <f t="shared" si="180"/>
        <v>276575.80800000002</v>
      </c>
      <c r="DJ77" s="325">
        <v>52867.983999999997</v>
      </c>
      <c r="DK77" s="325">
        <v>28553.768000000007</v>
      </c>
      <c r="DL77" s="325">
        <v>7455.0640000000003</v>
      </c>
      <c r="DM77" s="325">
        <v>943.23999999999944</v>
      </c>
      <c r="DN77" s="325">
        <v>198642.6</v>
      </c>
      <c r="DO77" s="325">
        <v>18807.912</v>
      </c>
      <c r="DP77" s="326">
        <f t="shared" si="181"/>
        <v>307270.56800000003</v>
      </c>
      <c r="DQ77" s="325">
        <v>47929.975999999995</v>
      </c>
      <c r="DR77" s="325"/>
      <c r="DS77" s="331">
        <v>6838.7759999999998</v>
      </c>
      <c r="DT77" s="331"/>
      <c r="DU77" s="325">
        <v>186108.64</v>
      </c>
      <c r="DV77" s="325">
        <v>18088.727999999999</v>
      </c>
      <c r="DW77" s="326">
        <f t="shared" si="182"/>
        <v>258966.12</v>
      </c>
      <c r="DX77" s="325">
        <v>19614.752</v>
      </c>
      <c r="DY77" s="325">
        <v>53344.655999999995</v>
      </c>
      <c r="DZ77" s="325">
        <v>3356.056</v>
      </c>
      <c r="EA77" s="325">
        <v>1828.2560000000005</v>
      </c>
      <c r="EB77" s="325">
        <v>238527.84</v>
      </c>
      <c r="EC77" s="325">
        <v>19051.335999999999</v>
      </c>
      <c r="ED77" s="326">
        <f t="shared" si="183"/>
        <v>335722.89600000001</v>
      </c>
      <c r="EE77" s="325">
        <v>53999.264000000003</v>
      </c>
      <c r="EF77" s="325"/>
      <c r="EG77" s="331">
        <v>6545.3119999999999</v>
      </c>
      <c r="EH77" s="331"/>
      <c r="EI77" s="325">
        <v>198465.34400000001</v>
      </c>
      <c r="EJ77" s="325">
        <v>19894.608000000004</v>
      </c>
      <c r="EK77" s="326">
        <f t="shared" si="184"/>
        <v>278904.52799999999</v>
      </c>
      <c r="EL77" s="325">
        <v>33858.735999999997</v>
      </c>
      <c r="EM77" s="325">
        <v>24889.543999999998</v>
      </c>
      <c r="EN77" s="325">
        <v>5504.5040000000008</v>
      </c>
      <c r="EO77" s="325">
        <v>2146.6480000000001</v>
      </c>
      <c r="EP77" s="325">
        <v>185556.48000000001</v>
      </c>
      <c r="EQ77" s="325">
        <v>17154.072</v>
      </c>
      <c r="ER77" s="326">
        <f t="shared" si="185"/>
        <v>269109.984</v>
      </c>
      <c r="ES77" s="325">
        <v>32029.920000000006</v>
      </c>
      <c r="ET77" s="325"/>
      <c r="EU77" s="331">
        <v>5248.9440000000004</v>
      </c>
      <c r="EV77" s="331"/>
      <c r="EW77" s="325">
        <v>166322.75200000001</v>
      </c>
      <c r="EX77" s="325">
        <v>13727.048000000001</v>
      </c>
      <c r="EY77" s="326">
        <f t="shared" si="186"/>
        <v>217328.66400000002</v>
      </c>
      <c r="EZ77" s="325">
        <v>34910.064000000006</v>
      </c>
      <c r="FA77" s="325">
        <v>32841.159999999989</v>
      </c>
      <c r="FB77" s="325">
        <v>3931.2960000000003</v>
      </c>
      <c r="FC77" s="325">
        <v>826.95999999999992</v>
      </c>
      <c r="FD77" s="325">
        <v>207340.56000000003</v>
      </c>
      <c r="FE77" s="325">
        <v>17181.68</v>
      </c>
      <c r="FF77" s="326">
        <f t="shared" si="187"/>
        <v>297031.72000000003</v>
      </c>
      <c r="FG77" s="325">
        <v>43553.728000000003</v>
      </c>
      <c r="FH77" s="325"/>
      <c r="FI77" s="331">
        <v>3853.616</v>
      </c>
      <c r="FJ77" s="331"/>
      <c r="FK77" s="325">
        <v>171477.696</v>
      </c>
      <c r="FL77" s="325">
        <v>17744.224000000002</v>
      </c>
      <c r="FM77" s="326">
        <f t="shared" si="188"/>
        <v>236629.26400000002</v>
      </c>
      <c r="FN77" s="333">
        <f t="shared" si="189"/>
        <v>1027458.144</v>
      </c>
      <c r="FO77" s="519">
        <f t="shared" si="150"/>
        <v>347601.92800000001</v>
      </c>
      <c r="FP77" s="325">
        <f t="shared" si="151"/>
        <v>132923.22400000002</v>
      </c>
      <c r="FQ77" s="325">
        <f t="shared" si="152"/>
        <v>34313.144</v>
      </c>
      <c r="FR77" s="325">
        <f t="shared" si="153"/>
        <v>2215100.4400000004</v>
      </c>
      <c r="FS77" s="325">
        <f t="shared" si="154"/>
        <v>166027.19199999998</v>
      </c>
      <c r="FT77" s="326">
        <f t="shared" si="155"/>
        <v>3923424.0720000002</v>
      </c>
      <c r="FU77" s="325">
        <f t="shared" si="190"/>
        <v>1200609.2000000002</v>
      </c>
      <c r="FV77" s="325">
        <f t="shared" si="156"/>
        <v>0</v>
      </c>
      <c r="FW77" s="325">
        <f t="shared" si="157"/>
        <v>158948.47200000004</v>
      </c>
      <c r="FX77" s="325">
        <f t="shared" si="158"/>
        <v>0</v>
      </c>
      <c r="FY77" s="325">
        <f t="shared" si="159"/>
        <v>2147727.12</v>
      </c>
      <c r="FZ77" s="325">
        <f t="shared" si="160"/>
        <v>205291.78400000004</v>
      </c>
      <c r="GA77" s="326">
        <f t="shared" si="191"/>
        <v>3712576.5760000004</v>
      </c>
      <c r="GB77" s="206">
        <f t="shared" si="192"/>
        <v>-14.421933131946702</v>
      </c>
      <c r="GC77" s="206" t="e">
        <f t="shared" si="193"/>
        <v>#DIV/0!</v>
      </c>
      <c r="GD77" s="206">
        <f t="shared" si="161"/>
        <v>-16.373386716168</v>
      </c>
      <c r="GE77" s="206" t="e">
        <f t="shared" si="162"/>
        <v>#DIV/0!</v>
      </c>
      <c r="GF77" s="206">
        <f t="shared" si="163"/>
        <v>3.1369590378874648</v>
      </c>
      <c r="GG77" s="206">
        <f t="shared" si="164"/>
        <v>-19.126236440129546</v>
      </c>
      <c r="GH77" s="205">
        <f t="shared" si="194"/>
        <v>5.6792766878675565</v>
      </c>
    </row>
    <row r="78" spans="1:190">
      <c r="A78" s="319" t="s">
        <v>86</v>
      </c>
      <c r="B78" s="325">
        <v>66259.423999999999</v>
      </c>
      <c r="C78" s="325">
        <v>17902.864000000001</v>
      </c>
      <c r="D78" s="325">
        <v>6171.2400000000007</v>
      </c>
      <c r="E78" s="325">
        <v>496.18400000000003</v>
      </c>
      <c r="F78" s="325">
        <v>28570.776000000002</v>
      </c>
      <c r="G78" s="325">
        <v>5276.0319999999992</v>
      </c>
      <c r="H78" s="326">
        <f t="shared" si="165"/>
        <v>124676.51999999999</v>
      </c>
      <c r="I78" s="325">
        <v>59284.560000000005</v>
      </c>
      <c r="J78" s="325"/>
      <c r="K78" s="325">
        <v>5774.7520000000004</v>
      </c>
      <c r="L78" s="325"/>
      <c r="M78" s="325">
        <v>23900.560000000001</v>
      </c>
      <c r="N78" s="325">
        <v>5616.768</v>
      </c>
      <c r="O78" s="326">
        <f t="shared" si="166"/>
        <v>94576.639999999999</v>
      </c>
      <c r="P78" s="325">
        <v>57314.552000000003</v>
      </c>
      <c r="Q78" s="325">
        <v>21475.376000000004</v>
      </c>
      <c r="R78" s="325">
        <v>6721.688000000001</v>
      </c>
      <c r="S78" s="325">
        <v>732.75200000000007</v>
      </c>
      <c r="T78" s="325">
        <v>29933.520000000004</v>
      </c>
      <c r="U78" s="325">
        <v>6220.6720000000005</v>
      </c>
      <c r="V78" s="326">
        <f t="shared" si="167"/>
        <v>122398.56000000001</v>
      </c>
      <c r="W78" s="325">
        <v>71096.448000000004</v>
      </c>
      <c r="X78" s="325"/>
      <c r="Y78" s="331">
        <v>9809.9759999999987</v>
      </c>
      <c r="Z78" s="331"/>
      <c r="AA78" s="325">
        <v>28655.423999999999</v>
      </c>
      <c r="AB78" s="325">
        <v>4034.3119999999994</v>
      </c>
      <c r="AC78" s="326">
        <f t="shared" si="168"/>
        <v>113596.16</v>
      </c>
      <c r="AD78" s="325">
        <v>36106</v>
      </c>
      <c r="AE78" s="325">
        <v>34177.512000000002</v>
      </c>
      <c r="AF78" s="325">
        <v>1851.36</v>
      </c>
      <c r="AG78" s="325">
        <v>1214.28</v>
      </c>
      <c r="AH78" s="325">
        <v>27269.279999999999</v>
      </c>
      <c r="AI78" s="325">
        <v>9229.4959999999992</v>
      </c>
      <c r="AJ78" s="326">
        <f t="shared" si="169"/>
        <v>109847.928</v>
      </c>
      <c r="AK78" s="325">
        <v>39794.896000000008</v>
      </c>
      <c r="AL78" s="325"/>
      <c r="AM78" s="331">
        <v>5360.0320000000002</v>
      </c>
      <c r="AN78" s="331"/>
      <c r="AO78" s="325">
        <v>24258.560000000001</v>
      </c>
      <c r="AP78" s="325">
        <v>7233.4480000000003</v>
      </c>
      <c r="AQ78" s="326">
        <f t="shared" si="170"/>
        <v>76646.936000000016</v>
      </c>
      <c r="AR78" s="325">
        <v>16393.696</v>
      </c>
      <c r="AS78" s="325">
        <v>11482.784</v>
      </c>
      <c r="AT78" s="325">
        <v>319.98400000000004</v>
      </c>
      <c r="AU78" s="325">
        <v>189.024</v>
      </c>
      <c r="AV78" s="325">
        <v>14653.320000000002</v>
      </c>
      <c r="AW78" s="325">
        <v>4121.576</v>
      </c>
      <c r="AX78" s="326">
        <f t="shared" si="171"/>
        <v>47160.384000000005</v>
      </c>
      <c r="AY78" s="325">
        <v>42035.32</v>
      </c>
      <c r="AZ78" s="325"/>
      <c r="BA78" s="325">
        <v>4780.5600000000004</v>
      </c>
      <c r="BB78" s="325"/>
      <c r="BC78" s="325">
        <v>30853.856</v>
      </c>
      <c r="BD78" s="325">
        <v>3727.3200000000006</v>
      </c>
      <c r="BE78" s="326">
        <f t="shared" si="172"/>
        <v>81397.056000000011</v>
      </c>
      <c r="BF78" s="325">
        <v>11440.864000000001</v>
      </c>
      <c r="BG78" s="325">
        <v>7851.44</v>
      </c>
      <c r="BH78" s="325">
        <v>685.6880000000001</v>
      </c>
      <c r="BI78" s="325">
        <v>644.32000000000005</v>
      </c>
      <c r="BJ78" s="325">
        <v>12537.6</v>
      </c>
      <c r="BK78" s="325">
        <v>2310.3680000000004</v>
      </c>
      <c r="BL78" s="326">
        <f t="shared" si="173"/>
        <v>35470.28</v>
      </c>
      <c r="BM78" s="325">
        <v>47106.095999999998</v>
      </c>
      <c r="BN78" s="325"/>
      <c r="BO78" s="325">
        <v>4486.28</v>
      </c>
      <c r="BP78" s="325"/>
      <c r="BQ78" s="325">
        <v>33431.328000000001</v>
      </c>
      <c r="BR78" s="325">
        <v>4660.0800000000008</v>
      </c>
      <c r="BS78" s="326">
        <f t="shared" si="174"/>
        <v>89683.784</v>
      </c>
      <c r="BT78" s="325">
        <v>23737.912000000004</v>
      </c>
      <c r="BU78" s="325">
        <v>12072.192000000003</v>
      </c>
      <c r="BV78" s="325">
        <v>2110.4</v>
      </c>
      <c r="BW78" s="325">
        <v>163.56</v>
      </c>
      <c r="BX78" s="325">
        <v>27112.559999999998</v>
      </c>
      <c r="BY78" s="325">
        <v>3687.5280000000007</v>
      </c>
      <c r="BZ78" s="326">
        <f t="shared" si="175"/>
        <v>68884.152000000002</v>
      </c>
      <c r="CA78" s="325">
        <v>45429.551999999996</v>
      </c>
      <c r="CB78" s="325"/>
      <c r="CC78" s="331">
        <v>4986.8240000000005</v>
      </c>
      <c r="CD78" s="331"/>
      <c r="CE78" s="325">
        <v>30323.200000000001</v>
      </c>
      <c r="CF78" s="325">
        <v>6151.0960000000005</v>
      </c>
      <c r="CG78" s="326">
        <f t="shared" si="176"/>
        <v>86890.672000000006</v>
      </c>
      <c r="CH78" s="325">
        <v>45941.408000000003</v>
      </c>
      <c r="CI78" s="325">
        <v>12548.400000000007</v>
      </c>
      <c r="CJ78" s="325">
        <v>3039.8960000000002</v>
      </c>
      <c r="CK78" s="325">
        <v>1868.3120000000004</v>
      </c>
      <c r="CL78" s="325">
        <v>40120.320000000007</v>
      </c>
      <c r="CM78" s="325">
        <v>3787.5279999999998</v>
      </c>
      <c r="CN78" s="326">
        <f t="shared" si="177"/>
        <v>107305.86400000002</v>
      </c>
      <c r="CO78" s="325">
        <v>32042.824000000001</v>
      </c>
      <c r="CP78" s="325"/>
      <c r="CQ78" s="331">
        <v>2130.6240000000003</v>
      </c>
      <c r="CR78" s="331"/>
      <c r="CS78" s="325">
        <v>34568.447999999997</v>
      </c>
      <c r="CT78" s="325">
        <v>6925.616</v>
      </c>
      <c r="CU78" s="326">
        <f t="shared" si="178"/>
        <v>75667.512000000002</v>
      </c>
      <c r="CV78" s="325">
        <v>39359.312000000005</v>
      </c>
      <c r="CW78" s="325">
        <v>11230.735999999999</v>
      </c>
      <c r="CX78" s="325">
        <v>4578.9360000000006</v>
      </c>
      <c r="CY78" s="325">
        <v>420.9839999999997</v>
      </c>
      <c r="CZ78" s="325">
        <v>39180</v>
      </c>
      <c r="DA78" s="325">
        <v>4394.3920000000007</v>
      </c>
      <c r="DB78" s="326">
        <f t="shared" si="179"/>
        <v>99164.36</v>
      </c>
      <c r="DC78" s="325">
        <v>23495.688000000002</v>
      </c>
      <c r="DD78" s="325"/>
      <c r="DE78" s="331">
        <v>3092.6880000000001</v>
      </c>
      <c r="DF78" s="331"/>
      <c r="DG78" s="325">
        <v>38434.656000000003</v>
      </c>
      <c r="DH78" s="325">
        <v>5477.0960000000005</v>
      </c>
      <c r="DI78" s="326">
        <f t="shared" si="180"/>
        <v>70500.128000000012</v>
      </c>
      <c r="DJ78" s="325">
        <v>20340.976000000002</v>
      </c>
      <c r="DK78" s="325">
        <v>11860.592000000004</v>
      </c>
      <c r="DL78" s="325">
        <v>2144.7040000000002</v>
      </c>
      <c r="DM78" s="325">
        <v>579.27199999999982</v>
      </c>
      <c r="DN78" s="325">
        <v>42784.56</v>
      </c>
      <c r="DO78" s="325">
        <v>7201.6239999999998</v>
      </c>
      <c r="DP78" s="326">
        <f t="shared" si="181"/>
        <v>84911.727999999988</v>
      </c>
      <c r="DQ78" s="325">
        <v>24076.224000000002</v>
      </c>
      <c r="DR78" s="325"/>
      <c r="DS78" s="331">
        <v>2108.8879999999999</v>
      </c>
      <c r="DT78" s="331"/>
      <c r="DU78" s="325">
        <v>36312.031999999999</v>
      </c>
      <c r="DV78" s="325">
        <v>7440.6959999999999</v>
      </c>
      <c r="DW78" s="326">
        <f t="shared" si="182"/>
        <v>69937.84</v>
      </c>
      <c r="DX78" s="325">
        <v>5853.2720000000008</v>
      </c>
      <c r="DY78" s="325">
        <v>21160.487999999998</v>
      </c>
      <c r="DZ78" s="325">
        <v>982.84799999999996</v>
      </c>
      <c r="EA78" s="325">
        <v>665.52799999999991</v>
      </c>
      <c r="EB78" s="325">
        <v>46624.200000000004</v>
      </c>
      <c r="EC78" s="325">
        <v>6232.1200000000008</v>
      </c>
      <c r="ED78" s="326">
        <f t="shared" si="183"/>
        <v>81518.456000000006</v>
      </c>
      <c r="EE78" s="325">
        <v>24007.392</v>
      </c>
      <c r="EF78" s="325"/>
      <c r="EG78" s="331">
        <v>2131.232</v>
      </c>
      <c r="EH78" s="331"/>
      <c r="EI78" s="325">
        <v>38510.464</v>
      </c>
      <c r="EJ78" s="325">
        <v>8375.32</v>
      </c>
      <c r="EK78" s="326">
        <f t="shared" si="184"/>
        <v>73024.407999999996</v>
      </c>
      <c r="EL78" s="325">
        <v>12190.168</v>
      </c>
      <c r="EM78" s="325">
        <v>7590.8959999999997</v>
      </c>
      <c r="EN78" s="325">
        <v>1226.6479999999999</v>
      </c>
      <c r="EO78" s="325">
        <v>1185.568</v>
      </c>
      <c r="EP78" s="325">
        <v>40825.56</v>
      </c>
      <c r="EQ78" s="325">
        <v>6177.0640000000003</v>
      </c>
      <c r="ER78" s="326">
        <f t="shared" si="185"/>
        <v>69195.903999999995</v>
      </c>
      <c r="ES78" s="325">
        <v>15800.536</v>
      </c>
      <c r="ET78" s="325"/>
      <c r="EU78" s="331">
        <v>1515.9839999999999</v>
      </c>
      <c r="EV78" s="331"/>
      <c r="EW78" s="325">
        <v>32370.016</v>
      </c>
      <c r="EX78" s="325">
        <v>6624.1440000000002</v>
      </c>
      <c r="EY78" s="326">
        <f t="shared" si="186"/>
        <v>56310.68</v>
      </c>
      <c r="EZ78" s="325">
        <v>9415.7440000000006</v>
      </c>
      <c r="FA78" s="325">
        <v>8651.8160000000007</v>
      </c>
      <c r="FB78" s="325">
        <v>1679.9360000000001</v>
      </c>
      <c r="FC78" s="325">
        <v>820.4079999999999</v>
      </c>
      <c r="FD78" s="325">
        <v>35340.36</v>
      </c>
      <c r="FE78" s="325">
        <v>8216.2160000000003</v>
      </c>
      <c r="FF78" s="326">
        <f t="shared" si="187"/>
        <v>64124.480000000003</v>
      </c>
      <c r="FG78" s="325">
        <v>20834.184000000001</v>
      </c>
      <c r="FH78" s="325"/>
      <c r="FI78" s="331">
        <v>2176.424</v>
      </c>
      <c r="FJ78" s="331"/>
      <c r="FK78" s="325">
        <v>26381.184000000005</v>
      </c>
      <c r="FL78" s="325">
        <v>7089.6720000000014</v>
      </c>
      <c r="FM78" s="326">
        <f t="shared" si="188"/>
        <v>56481.464</v>
      </c>
      <c r="FN78" s="333">
        <f t="shared" si="189"/>
        <v>344353.32800000004</v>
      </c>
      <c r="FO78" s="519">
        <f t="shared" si="150"/>
        <v>178005.09600000002</v>
      </c>
      <c r="FP78" s="325">
        <f t="shared" si="151"/>
        <v>31513.328000000009</v>
      </c>
      <c r="FQ78" s="325">
        <f t="shared" si="152"/>
        <v>8980.1920000000009</v>
      </c>
      <c r="FR78" s="325">
        <f t="shared" si="153"/>
        <v>384952.05599999998</v>
      </c>
      <c r="FS78" s="325">
        <f t="shared" si="154"/>
        <v>66854.616000000009</v>
      </c>
      <c r="FT78" s="326">
        <f t="shared" si="155"/>
        <v>1014658.6160000002</v>
      </c>
      <c r="FU78" s="325">
        <f t="shared" si="190"/>
        <v>445003.72000000003</v>
      </c>
      <c r="FV78" s="325">
        <f t="shared" si="156"/>
        <v>0</v>
      </c>
      <c r="FW78" s="325">
        <f t="shared" si="157"/>
        <v>48354.263999999996</v>
      </c>
      <c r="FX78" s="325">
        <f t="shared" si="158"/>
        <v>0</v>
      </c>
      <c r="FY78" s="325">
        <f t="shared" si="159"/>
        <v>377999.728</v>
      </c>
      <c r="FZ78" s="325">
        <f t="shared" si="160"/>
        <v>73355.568000000014</v>
      </c>
      <c r="GA78" s="326">
        <f t="shared" si="191"/>
        <v>944713.28</v>
      </c>
      <c r="GB78" s="206">
        <f t="shared" si="192"/>
        <v>-22.617876542694972</v>
      </c>
      <c r="GC78" s="206" t="e">
        <f t="shared" si="193"/>
        <v>#DIV/0!</v>
      </c>
      <c r="GD78" s="206">
        <f t="shared" si="161"/>
        <v>-34.828233555576389</v>
      </c>
      <c r="GE78" s="206" t="e">
        <f t="shared" si="162"/>
        <v>#DIV/0!</v>
      </c>
      <c r="GF78" s="206">
        <f t="shared" si="163"/>
        <v>1.8392415351155904</v>
      </c>
      <c r="GG78" s="206">
        <f t="shared" si="164"/>
        <v>-8.8622475120089206</v>
      </c>
      <c r="GH78" s="205">
        <f t="shared" si="194"/>
        <v>7.4038692459155584</v>
      </c>
    </row>
    <row r="79" spans="1:190">
      <c r="A79" s="319" t="s">
        <v>89</v>
      </c>
      <c r="B79" s="325">
        <v>829661.576</v>
      </c>
      <c r="C79" s="325">
        <v>185115.45600000001</v>
      </c>
      <c r="D79" s="325">
        <v>84454.495999999999</v>
      </c>
      <c r="E79" s="325">
        <v>27282.232000000004</v>
      </c>
      <c r="F79" s="325">
        <v>325183.33600000001</v>
      </c>
      <c r="G79" s="325">
        <v>60622.336000000003</v>
      </c>
      <c r="H79" s="326">
        <f t="shared" si="165"/>
        <v>1512319.4319999998</v>
      </c>
      <c r="I79" s="325">
        <v>885448.62199999997</v>
      </c>
      <c r="J79" s="325"/>
      <c r="K79" s="325">
        <v>86630.272000000012</v>
      </c>
      <c r="L79" s="325"/>
      <c r="M79" s="325">
        <v>269370.17599999998</v>
      </c>
      <c r="N79" s="325">
        <v>55195.556000000004</v>
      </c>
      <c r="O79" s="326">
        <f t="shared" si="166"/>
        <v>1296644.6259999999</v>
      </c>
      <c r="P79" s="325">
        <v>654690.59200000006</v>
      </c>
      <c r="Q79" s="325">
        <v>143770.992</v>
      </c>
      <c r="R79" s="325">
        <v>94701.664000000004</v>
      </c>
      <c r="S79" s="325">
        <v>19393.48</v>
      </c>
      <c r="T79" s="325">
        <v>283506.48</v>
      </c>
      <c r="U79" s="325">
        <v>47805.136000000006</v>
      </c>
      <c r="V79" s="326">
        <f t="shared" si="167"/>
        <v>1243868.344</v>
      </c>
      <c r="W79" s="325">
        <v>773683.94800000009</v>
      </c>
      <c r="X79" s="325"/>
      <c r="Y79" s="331">
        <v>114673.432</v>
      </c>
      <c r="Z79" s="331"/>
      <c r="AA79" s="325">
        <v>309827.29600000003</v>
      </c>
      <c r="AB79" s="325">
        <v>45851.232000000004</v>
      </c>
      <c r="AC79" s="326">
        <f t="shared" si="168"/>
        <v>1244035.9080000003</v>
      </c>
      <c r="AD79" s="325">
        <v>362506.23200000002</v>
      </c>
      <c r="AE79" s="325">
        <v>138896.89600000001</v>
      </c>
      <c r="AF79" s="325">
        <v>46743.056000000004</v>
      </c>
      <c r="AG79" s="325">
        <v>16598.423999999999</v>
      </c>
      <c r="AH79" s="325">
        <v>292204.44</v>
      </c>
      <c r="AI79" s="325">
        <v>45276.992000000006</v>
      </c>
      <c r="AJ79" s="326">
        <f t="shared" si="169"/>
        <v>902226.03999999992</v>
      </c>
      <c r="AK79" s="325">
        <v>331692.48800000001</v>
      </c>
      <c r="AL79" s="325"/>
      <c r="AM79" s="331">
        <v>51991.504000000008</v>
      </c>
      <c r="AN79" s="331"/>
      <c r="AO79" s="325">
        <v>298759.32799999998</v>
      </c>
      <c r="AP79" s="325">
        <v>32885.495999999999</v>
      </c>
      <c r="AQ79" s="326">
        <f t="shared" si="170"/>
        <v>715328.81600000011</v>
      </c>
      <c r="AR79" s="325">
        <v>160160.76800000001</v>
      </c>
      <c r="AS79" s="325">
        <v>84243.983999999997</v>
      </c>
      <c r="AT79" s="325">
        <v>14156.248000000001</v>
      </c>
      <c r="AU79" s="325">
        <v>9891.9760000000006</v>
      </c>
      <c r="AV79" s="325">
        <v>193784.28000000003</v>
      </c>
      <c r="AW79" s="325">
        <v>30131.295999999998</v>
      </c>
      <c r="AX79" s="326">
        <f t="shared" si="171"/>
        <v>492368.55200000003</v>
      </c>
      <c r="AY79" s="325">
        <v>385746.38200000004</v>
      </c>
      <c r="AZ79" s="325"/>
      <c r="BA79" s="325">
        <v>48501.175999999999</v>
      </c>
      <c r="BB79" s="325"/>
      <c r="BC79" s="325">
        <v>357813.76000000001</v>
      </c>
      <c r="BD79" s="325">
        <v>39120.473999999995</v>
      </c>
      <c r="BE79" s="326">
        <f t="shared" si="172"/>
        <v>831181.79200000002</v>
      </c>
      <c r="BF79" s="325">
        <v>150660.78400000001</v>
      </c>
      <c r="BG79" s="325">
        <v>67184.504000000001</v>
      </c>
      <c r="BH79" s="325">
        <v>16198.752</v>
      </c>
      <c r="BI79" s="325">
        <v>11258.352000000001</v>
      </c>
      <c r="BJ79" s="325">
        <v>251457.24</v>
      </c>
      <c r="BK79" s="325">
        <v>33399.288</v>
      </c>
      <c r="BL79" s="326">
        <f t="shared" si="173"/>
        <v>530158.91999999993</v>
      </c>
      <c r="BM79" s="325">
        <v>499387.31200000003</v>
      </c>
      <c r="BN79" s="325"/>
      <c r="BO79" s="325">
        <v>73410.592000000004</v>
      </c>
      <c r="BP79" s="325"/>
      <c r="BQ79" s="325">
        <v>386999.84</v>
      </c>
      <c r="BR79" s="325">
        <v>37939.800000000003</v>
      </c>
      <c r="BS79" s="326">
        <f t="shared" si="174"/>
        <v>997737.54400000023</v>
      </c>
      <c r="BT79" s="325">
        <v>234616.93599999999</v>
      </c>
      <c r="BU79" s="325">
        <v>87725.216000000015</v>
      </c>
      <c r="BV79" s="325">
        <v>25764.096000000005</v>
      </c>
      <c r="BW79" s="325">
        <v>11858.968000000001</v>
      </c>
      <c r="BX79" s="325">
        <v>317514.72000000003</v>
      </c>
      <c r="BY79" s="325">
        <v>35544.544000000002</v>
      </c>
      <c r="BZ79" s="326">
        <f t="shared" si="175"/>
        <v>713024.48</v>
      </c>
      <c r="CA79" s="325">
        <v>390448.32800000004</v>
      </c>
      <c r="CB79" s="325"/>
      <c r="CC79" s="331">
        <v>56095.16</v>
      </c>
      <c r="CD79" s="331"/>
      <c r="CE79" s="325">
        <v>320137.18400000001</v>
      </c>
      <c r="CF79" s="325">
        <v>32938.128000000004</v>
      </c>
      <c r="CG79" s="326">
        <f t="shared" si="176"/>
        <v>799618.8</v>
      </c>
      <c r="CH79" s="325">
        <v>399205.88800000004</v>
      </c>
      <c r="CI79" s="325">
        <v>97839.735999999946</v>
      </c>
      <c r="CJ79" s="325">
        <v>40958.632000000005</v>
      </c>
      <c r="CK79" s="325">
        <v>10326.151999999996</v>
      </c>
      <c r="CL79" s="325">
        <v>374795.88</v>
      </c>
      <c r="CM79" s="325">
        <v>34341.623999999996</v>
      </c>
      <c r="CN79" s="326">
        <f t="shared" si="177"/>
        <v>957467.91199999989</v>
      </c>
      <c r="CO79" s="325">
        <v>209907.304</v>
      </c>
      <c r="CP79" s="325"/>
      <c r="CQ79" s="331">
        <v>27956.936000000002</v>
      </c>
      <c r="CR79" s="331"/>
      <c r="CS79" s="325">
        <v>393216.09600000002</v>
      </c>
      <c r="CT79" s="325">
        <v>43273.184000000008</v>
      </c>
      <c r="CU79" s="326">
        <f t="shared" si="178"/>
        <v>674353.52</v>
      </c>
      <c r="CV79" s="325">
        <v>403442.89600000001</v>
      </c>
      <c r="CW79" s="325">
        <v>87586.343999999954</v>
      </c>
      <c r="CX79" s="325">
        <v>42586.976000000002</v>
      </c>
      <c r="CY79" s="325">
        <v>11881.240000000003</v>
      </c>
      <c r="CZ79" s="325">
        <v>390075.52</v>
      </c>
      <c r="DA79" s="325">
        <v>37508.744000000006</v>
      </c>
      <c r="DB79" s="326">
        <f t="shared" si="179"/>
        <v>973081.72</v>
      </c>
      <c r="DC79" s="325">
        <v>152206.51199999999</v>
      </c>
      <c r="DD79" s="325"/>
      <c r="DE79" s="331">
        <v>20066.936000000002</v>
      </c>
      <c r="DF79" s="331"/>
      <c r="DG79" s="325">
        <v>392230.592</v>
      </c>
      <c r="DH79" s="325">
        <v>32455.184000000005</v>
      </c>
      <c r="DI79" s="326">
        <f t="shared" si="180"/>
        <v>596959.22400000005</v>
      </c>
      <c r="DJ79" s="325">
        <v>163912.32000000001</v>
      </c>
      <c r="DK79" s="325">
        <v>91409.895999999979</v>
      </c>
      <c r="DL79" s="325">
        <v>12176.816000000001</v>
      </c>
      <c r="DM79" s="325">
        <v>9360.2320000000018</v>
      </c>
      <c r="DN79" s="325">
        <v>370407.72000000003</v>
      </c>
      <c r="DO79" s="325">
        <v>45116.671999999999</v>
      </c>
      <c r="DP79" s="326">
        <f t="shared" si="181"/>
        <v>692383.65600000008</v>
      </c>
      <c r="DQ79" s="325">
        <v>183821.90400000004</v>
      </c>
      <c r="DR79" s="325"/>
      <c r="DS79" s="331">
        <v>24386.320000000003</v>
      </c>
      <c r="DT79" s="331"/>
      <c r="DU79" s="325">
        <v>355539.52</v>
      </c>
      <c r="DV79" s="325">
        <v>46069.760000000002</v>
      </c>
      <c r="DW79" s="326">
        <f t="shared" si="182"/>
        <v>609817.50400000007</v>
      </c>
      <c r="DX79" s="325">
        <v>72964.688000000009</v>
      </c>
      <c r="DY79" s="325">
        <v>166212.41600000003</v>
      </c>
      <c r="DZ79" s="325">
        <v>5351.4480000000003</v>
      </c>
      <c r="EA79" s="325">
        <v>14109.143999999998</v>
      </c>
      <c r="EB79" s="325">
        <v>386784.96</v>
      </c>
      <c r="EC79" s="325">
        <v>48610.376000000004</v>
      </c>
      <c r="ED79" s="326">
        <f t="shared" si="183"/>
        <v>694033.03200000012</v>
      </c>
      <c r="EE79" s="325">
        <v>209715.21600000001</v>
      </c>
      <c r="EF79" s="325"/>
      <c r="EG79" s="331">
        <v>38320.472000000002</v>
      </c>
      <c r="EH79" s="331"/>
      <c r="EI79" s="325">
        <v>405421.18400000001</v>
      </c>
      <c r="EJ79" s="325">
        <v>64607.256000000008</v>
      </c>
      <c r="EK79" s="326">
        <f t="shared" si="184"/>
        <v>718064.12800000003</v>
      </c>
      <c r="EL79" s="325">
        <v>119049.76000000001</v>
      </c>
      <c r="EM79" s="325">
        <v>99450.384000000005</v>
      </c>
      <c r="EN79" s="325">
        <v>9232.4399999999987</v>
      </c>
      <c r="EO79" s="325">
        <v>9004.0960000000014</v>
      </c>
      <c r="EP79" s="325">
        <v>368495.04000000004</v>
      </c>
      <c r="EQ79" s="325">
        <v>54979.184000000001</v>
      </c>
      <c r="ER79" s="326">
        <f t="shared" si="185"/>
        <v>660210.9040000001</v>
      </c>
      <c r="ES79" s="325">
        <v>181955.36800000002</v>
      </c>
      <c r="ET79" s="325"/>
      <c r="EU79" s="331">
        <v>38917.544000000002</v>
      </c>
      <c r="EV79" s="331"/>
      <c r="EW79" s="325">
        <v>352431.39199999999</v>
      </c>
      <c r="EX79" s="325">
        <v>63495.344000000005</v>
      </c>
      <c r="EY79" s="326">
        <f t="shared" si="186"/>
        <v>636799.64800000004</v>
      </c>
      <c r="EZ79" s="325">
        <v>113260.73600000002</v>
      </c>
      <c r="FA79" s="325">
        <v>97816.09600000002</v>
      </c>
      <c r="FB79" s="325">
        <v>14337.936</v>
      </c>
      <c r="FC79" s="325">
        <v>12662.056</v>
      </c>
      <c r="FD79" s="325">
        <v>355676.04000000004</v>
      </c>
      <c r="FE79" s="325">
        <v>55572.216000000008</v>
      </c>
      <c r="FF79" s="326">
        <f t="shared" si="187"/>
        <v>649325.08000000007</v>
      </c>
      <c r="FG79" s="325">
        <v>231248.25599999999</v>
      </c>
      <c r="FH79" s="325"/>
      <c r="FI79" s="331">
        <v>41587.656000000003</v>
      </c>
      <c r="FJ79" s="331"/>
      <c r="FK79" s="325">
        <v>335905.24800000002</v>
      </c>
      <c r="FL79" s="325">
        <v>75188.416000000012</v>
      </c>
      <c r="FM79" s="326">
        <f t="shared" si="188"/>
        <v>683929.576</v>
      </c>
      <c r="FN79" s="333">
        <f t="shared" si="189"/>
        <v>3664133.1760000004</v>
      </c>
      <c r="FO79" s="519">
        <f t="shared" si="150"/>
        <v>1347251.92</v>
      </c>
      <c r="FP79" s="325">
        <f t="shared" si="151"/>
        <v>406662.56</v>
      </c>
      <c r="FQ79" s="325">
        <f t="shared" si="152"/>
        <v>163626.35200000001</v>
      </c>
      <c r="FR79" s="325">
        <f t="shared" si="153"/>
        <v>3909885.6560000004</v>
      </c>
      <c r="FS79" s="325">
        <f t="shared" si="154"/>
        <v>528908.40800000005</v>
      </c>
      <c r="FT79" s="326">
        <f t="shared" si="155"/>
        <v>10020468.072000001</v>
      </c>
      <c r="FU79" s="325">
        <f t="shared" si="190"/>
        <v>4435261.6400000006</v>
      </c>
      <c r="FV79" s="325">
        <f t="shared" si="156"/>
        <v>0</v>
      </c>
      <c r="FW79" s="325">
        <f t="shared" si="157"/>
        <v>622538</v>
      </c>
      <c r="FX79" s="325">
        <f t="shared" si="158"/>
        <v>0</v>
      </c>
      <c r="FY79" s="325">
        <f t="shared" si="159"/>
        <v>4177651.6160000004</v>
      </c>
      <c r="FZ79" s="325">
        <f t="shared" si="160"/>
        <v>569019.82999999996</v>
      </c>
      <c r="GA79" s="326">
        <f t="shared" si="191"/>
        <v>9804471.0860000011</v>
      </c>
      <c r="GB79" s="206">
        <f t="shared" si="192"/>
        <v>-17.386312839934291</v>
      </c>
      <c r="GC79" s="206" t="e">
        <f t="shared" si="193"/>
        <v>#DIV/0!</v>
      </c>
      <c r="GD79" s="206">
        <f t="shared" si="161"/>
        <v>-34.676668733474898</v>
      </c>
      <c r="GE79" s="206" t="e">
        <f t="shared" si="162"/>
        <v>#DIV/0!</v>
      </c>
      <c r="GF79" s="206">
        <f t="shared" si="163"/>
        <v>-6.4094851512864892</v>
      </c>
      <c r="GG79" s="206">
        <f t="shared" si="164"/>
        <v>-7.0492133815441775</v>
      </c>
      <c r="GH79" s="205">
        <f t="shared" si="194"/>
        <v>2.2030457747835612</v>
      </c>
    </row>
    <row r="80" spans="1:190">
      <c r="A80" s="319" t="s">
        <v>88</v>
      </c>
      <c r="B80" s="325">
        <v>141702.24</v>
      </c>
      <c r="C80" s="325">
        <v>24890.128000000001</v>
      </c>
      <c r="D80" s="325">
        <v>21671.696</v>
      </c>
      <c r="E80" s="325">
        <v>4095.2080000000005</v>
      </c>
      <c r="F80" s="325">
        <v>96885.384000000005</v>
      </c>
      <c r="G80" s="325">
        <v>10979.584000000004</v>
      </c>
      <c r="H80" s="326">
        <f t="shared" si="165"/>
        <v>300224.24000000005</v>
      </c>
      <c r="I80" s="325">
        <v>155819.03200000001</v>
      </c>
      <c r="J80" s="325"/>
      <c r="K80" s="325">
        <v>22279.488000000001</v>
      </c>
      <c r="L80" s="325"/>
      <c r="M80" s="325">
        <v>99039.504000000015</v>
      </c>
      <c r="N80" s="325">
        <v>6872.7919999999995</v>
      </c>
      <c r="O80" s="326">
        <f t="shared" si="166"/>
        <v>284010.81600000005</v>
      </c>
      <c r="P80" s="325">
        <v>112600.264</v>
      </c>
      <c r="Q80" s="325">
        <v>19847.592000000004</v>
      </c>
      <c r="R80" s="325">
        <v>17017.544000000002</v>
      </c>
      <c r="S80" s="325">
        <v>2218.9680000000003</v>
      </c>
      <c r="T80" s="325">
        <v>118480.32000000001</v>
      </c>
      <c r="U80" s="325">
        <v>8976.1439999999984</v>
      </c>
      <c r="V80" s="326">
        <f t="shared" si="167"/>
        <v>279140.83199999994</v>
      </c>
      <c r="W80" s="325">
        <v>144005.848</v>
      </c>
      <c r="X80" s="325"/>
      <c r="Y80" s="331">
        <v>23482.832000000002</v>
      </c>
      <c r="Z80" s="331"/>
      <c r="AA80" s="325">
        <v>136378.592</v>
      </c>
      <c r="AB80" s="325">
        <v>9599.7840000000033</v>
      </c>
      <c r="AC80" s="326">
        <f t="shared" si="168"/>
        <v>313467.05599999998</v>
      </c>
      <c r="AD80" s="325">
        <v>71643.19200000001</v>
      </c>
      <c r="AE80" s="325">
        <v>20246.744000000002</v>
      </c>
      <c r="AF80" s="325">
        <v>11386.567999999999</v>
      </c>
      <c r="AG80" s="325">
        <v>3617.1760000000004</v>
      </c>
      <c r="AH80" s="325">
        <v>123181.92</v>
      </c>
      <c r="AI80" s="325">
        <v>9400.9600000000009</v>
      </c>
      <c r="AJ80" s="326">
        <f t="shared" si="169"/>
        <v>239476.56000000003</v>
      </c>
      <c r="AK80" s="325">
        <v>59304.608000000007</v>
      </c>
      <c r="AL80" s="325"/>
      <c r="AM80" s="331">
        <v>8297.7040000000015</v>
      </c>
      <c r="AN80" s="331"/>
      <c r="AO80" s="325">
        <v>137060.864</v>
      </c>
      <c r="AP80" s="325">
        <v>8237.2800000000007</v>
      </c>
      <c r="AQ80" s="326">
        <f t="shared" si="170"/>
        <v>212900.45600000001</v>
      </c>
      <c r="AR80" s="325">
        <v>35176.056000000004</v>
      </c>
      <c r="AS80" s="325">
        <v>12041.232000000002</v>
      </c>
      <c r="AT80" s="325">
        <v>5594.3919999999998</v>
      </c>
      <c r="AU80" s="325">
        <v>1956.5840000000001</v>
      </c>
      <c r="AV80" s="325">
        <v>93091.680000000008</v>
      </c>
      <c r="AW80" s="325">
        <v>8330.2720000000008</v>
      </c>
      <c r="AX80" s="326">
        <f t="shared" si="171"/>
        <v>156190.21600000001</v>
      </c>
      <c r="AY80" s="325">
        <v>74929.399999999994</v>
      </c>
      <c r="AZ80" s="325"/>
      <c r="BA80" s="325">
        <v>14596.136</v>
      </c>
      <c r="BB80" s="325"/>
      <c r="BC80" s="325">
        <v>173524.51200000002</v>
      </c>
      <c r="BD80" s="325">
        <v>9163.5040000000008</v>
      </c>
      <c r="BE80" s="326">
        <f t="shared" si="172"/>
        <v>272213.55200000003</v>
      </c>
      <c r="BF80" s="325">
        <v>30022.096000000005</v>
      </c>
      <c r="BG80" s="325">
        <v>12309.456</v>
      </c>
      <c r="BH80" s="325">
        <v>7232.4480000000003</v>
      </c>
      <c r="BI80" s="325">
        <v>1447.7440000000001</v>
      </c>
      <c r="BJ80" s="325">
        <v>104297.16</v>
      </c>
      <c r="BK80" s="325">
        <v>5320.5519999999997</v>
      </c>
      <c r="BL80" s="326">
        <f t="shared" si="173"/>
        <v>160629.45600000001</v>
      </c>
      <c r="BM80" s="325">
        <v>98870.992000000013</v>
      </c>
      <c r="BN80" s="325"/>
      <c r="BO80" s="325">
        <v>22296.608000000004</v>
      </c>
      <c r="BP80" s="325"/>
      <c r="BQ80" s="325">
        <v>193765.24800000002</v>
      </c>
      <c r="BR80" s="325">
        <v>10941.439999999999</v>
      </c>
      <c r="BS80" s="326">
        <f t="shared" si="174"/>
        <v>325874.28800000006</v>
      </c>
      <c r="BT80" s="325">
        <v>42391.167999999998</v>
      </c>
      <c r="BU80" s="325">
        <v>15826.816000000001</v>
      </c>
      <c r="BV80" s="325">
        <v>5240.4480000000012</v>
      </c>
      <c r="BW80" s="325">
        <v>1705.88</v>
      </c>
      <c r="BX80" s="325">
        <v>133995.6</v>
      </c>
      <c r="BY80" s="325">
        <v>6491.9439999999995</v>
      </c>
      <c r="BZ80" s="326">
        <f t="shared" si="175"/>
        <v>205651.856</v>
      </c>
      <c r="CA80" s="325">
        <v>65108.991999999998</v>
      </c>
      <c r="CB80" s="325"/>
      <c r="CC80" s="331">
        <v>13735.344000000001</v>
      </c>
      <c r="CD80" s="331"/>
      <c r="CE80" s="325">
        <v>123794.46399999999</v>
      </c>
      <c r="CF80" s="325">
        <v>7015.7440000000006</v>
      </c>
      <c r="CG80" s="326">
        <f t="shared" si="176"/>
        <v>209654.54399999999</v>
      </c>
      <c r="CH80" s="325">
        <v>70911.368000000002</v>
      </c>
      <c r="CI80" s="325">
        <v>15290.399999999989</v>
      </c>
      <c r="CJ80" s="325">
        <v>12108.832000000002</v>
      </c>
      <c r="CK80" s="325">
        <v>3067.3919999999985</v>
      </c>
      <c r="CL80" s="325">
        <v>155543.88</v>
      </c>
      <c r="CM80" s="325">
        <v>6688.52</v>
      </c>
      <c r="CN80" s="326">
        <f t="shared" si="177"/>
        <v>263610.39199999999</v>
      </c>
      <c r="CO80" s="325">
        <v>36588.631999999998</v>
      </c>
      <c r="CP80" s="325"/>
      <c r="CQ80" s="331">
        <v>9176.0960000000014</v>
      </c>
      <c r="CR80" s="331"/>
      <c r="CS80" s="325">
        <v>153738.62400000001</v>
      </c>
      <c r="CT80" s="325">
        <v>9312.2799999999988</v>
      </c>
      <c r="CU80" s="326">
        <f t="shared" si="178"/>
        <v>208815.63200000001</v>
      </c>
      <c r="CV80" s="325">
        <v>62978.559999999998</v>
      </c>
      <c r="CW80" s="325">
        <v>18751.935999999998</v>
      </c>
      <c r="CX80" s="325">
        <v>10908.256000000001</v>
      </c>
      <c r="CY80" s="325">
        <v>1312.440000000001</v>
      </c>
      <c r="CZ80" s="325">
        <v>152723.63999999998</v>
      </c>
      <c r="DA80" s="325">
        <v>8384.9840000000004</v>
      </c>
      <c r="DB80" s="326">
        <f t="shared" si="179"/>
        <v>255059.81599999999</v>
      </c>
      <c r="DC80" s="325">
        <v>29263.296000000002</v>
      </c>
      <c r="DD80" s="325"/>
      <c r="DE80" s="331">
        <v>5635.5440000000008</v>
      </c>
      <c r="DF80" s="331"/>
      <c r="DG80" s="325">
        <v>146764.288</v>
      </c>
      <c r="DH80" s="325">
        <v>8428.5839999999989</v>
      </c>
      <c r="DI80" s="326">
        <f t="shared" si="180"/>
        <v>190091.712</v>
      </c>
      <c r="DJ80" s="325">
        <v>36028.488000000005</v>
      </c>
      <c r="DK80" s="325">
        <v>23869.248000000011</v>
      </c>
      <c r="DL80" s="325">
        <v>6697</v>
      </c>
      <c r="DM80" s="325">
        <v>5847.9600000000009</v>
      </c>
      <c r="DN80" s="325">
        <v>137600.16</v>
      </c>
      <c r="DO80" s="325">
        <v>14644.839999999998</v>
      </c>
      <c r="DP80" s="326">
        <f t="shared" si="181"/>
        <v>224687.69600000003</v>
      </c>
      <c r="DQ80" s="325">
        <v>21516.864000000001</v>
      </c>
      <c r="DR80" s="325"/>
      <c r="DS80" s="331">
        <v>5255.4639999999999</v>
      </c>
      <c r="DT80" s="331"/>
      <c r="DU80" s="325">
        <v>131072.03200000001</v>
      </c>
      <c r="DV80" s="325">
        <v>17948.576000000005</v>
      </c>
      <c r="DW80" s="326">
        <f t="shared" si="182"/>
        <v>175792.93600000002</v>
      </c>
      <c r="DX80" s="325">
        <v>12267.744000000001</v>
      </c>
      <c r="DY80" s="325">
        <v>30709.320000000003</v>
      </c>
      <c r="DZ80" s="325">
        <v>3100.8720000000003</v>
      </c>
      <c r="EA80" s="325">
        <v>3216.5520000000006</v>
      </c>
      <c r="EB80" s="325">
        <v>152802</v>
      </c>
      <c r="EC80" s="325">
        <v>13006.72</v>
      </c>
      <c r="ED80" s="326">
        <f t="shared" si="183"/>
        <v>215103.20800000001</v>
      </c>
      <c r="EE80" s="325">
        <v>29508.072000000004</v>
      </c>
      <c r="EF80" s="325"/>
      <c r="EG80" s="331">
        <v>7641.3279999999995</v>
      </c>
      <c r="EH80" s="331"/>
      <c r="EI80" s="325">
        <v>140623.84</v>
      </c>
      <c r="EJ80" s="325">
        <v>10621.368</v>
      </c>
      <c r="EK80" s="326">
        <f t="shared" si="184"/>
        <v>188394.60799999998</v>
      </c>
      <c r="EL80" s="325">
        <v>21576.736000000001</v>
      </c>
      <c r="EM80" s="325">
        <v>18556.456000000002</v>
      </c>
      <c r="EN80" s="325">
        <v>3771.3199999999997</v>
      </c>
      <c r="EO80" s="325">
        <v>1536.5040000000001</v>
      </c>
      <c r="EP80" s="325">
        <v>145906.32</v>
      </c>
      <c r="EQ80" s="325">
        <v>11097.816000000001</v>
      </c>
      <c r="ER80" s="326">
        <f t="shared" si="185"/>
        <v>202445.152</v>
      </c>
      <c r="ES80" s="325">
        <v>19764.832000000002</v>
      </c>
      <c r="ET80" s="325"/>
      <c r="EU80" s="331">
        <v>5841.384</v>
      </c>
      <c r="EV80" s="331"/>
      <c r="EW80" s="325">
        <v>134180.16</v>
      </c>
      <c r="EX80" s="325">
        <v>10413.32</v>
      </c>
      <c r="EY80" s="326">
        <f t="shared" si="186"/>
        <v>170199.696</v>
      </c>
      <c r="EZ80" s="325">
        <v>20971.504000000001</v>
      </c>
      <c r="FA80" s="325">
        <v>15961.464</v>
      </c>
      <c r="FB80" s="325">
        <v>2948.4639999999999</v>
      </c>
      <c r="FC80" s="325">
        <v>2421.288</v>
      </c>
      <c r="FD80" s="325">
        <v>115972.8</v>
      </c>
      <c r="FE80" s="325">
        <v>9135.0879999999997</v>
      </c>
      <c r="FF80" s="326">
        <f t="shared" si="187"/>
        <v>167410.60800000001</v>
      </c>
      <c r="FG80" s="325">
        <v>26157.904000000002</v>
      </c>
      <c r="FH80" s="325"/>
      <c r="FI80" s="331">
        <v>5545.3360000000002</v>
      </c>
      <c r="FJ80" s="331"/>
      <c r="FK80" s="325">
        <v>107571.55200000001</v>
      </c>
      <c r="FL80" s="325">
        <v>20669.680000000004</v>
      </c>
      <c r="FM80" s="326">
        <f t="shared" si="188"/>
        <v>159944.47200000001</v>
      </c>
      <c r="FN80" s="333">
        <f t="shared" si="189"/>
        <v>658269.41599999997</v>
      </c>
      <c r="FO80" s="519">
        <f t="shared" si="150"/>
        <v>228300.79200000004</v>
      </c>
      <c r="FP80" s="325">
        <f t="shared" si="151"/>
        <v>107677.84000000003</v>
      </c>
      <c r="FQ80" s="325">
        <f t="shared" si="152"/>
        <v>32443.696000000007</v>
      </c>
      <c r="FR80" s="325">
        <f t="shared" si="153"/>
        <v>1530480.8640000001</v>
      </c>
      <c r="FS80" s="325">
        <f t="shared" si="154"/>
        <v>112457.42400000001</v>
      </c>
      <c r="FT80" s="326">
        <f t="shared" si="155"/>
        <v>2669630.0320000001</v>
      </c>
      <c r="FU80" s="325">
        <f t="shared" si="190"/>
        <v>760838.47199999995</v>
      </c>
      <c r="FV80" s="325">
        <f t="shared" si="156"/>
        <v>0</v>
      </c>
      <c r="FW80" s="325">
        <f t="shared" si="157"/>
        <v>143783.26400000002</v>
      </c>
      <c r="FX80" s="325">
        <f t="shared" si="158"/>
        <v>0</v>
      </c>
      <c r="FY80" s="325">
        <f t="shared" si="159"/>
        <v>1677513.68</v>
      </c>
      <c r="FZ80" s="325">
        <f t="shared" si="160"/>
        <v>129224.352</v>
      </c>
      <c r="GA80" s="326">
        <f t="shared" si="191"/>
        <v>2711359.7680000002</v>
      </c>
      <c r="GB80" s="206">
        <f t="shared" si="192"/>
        <v>-13.481055411193765</v>
      </c>
      <c r="GC80" s="206" t="e">
        <f t="shared" si="193"/>
        <v>#DIV/0!</v>
      </c>
      <c r="GD80" s="206">
        <f t="shared" si="161"/>
        <v>-25.111005965200505</v>
      </c>
      <c r="GE80" s="206" t="e">
        <f t="shared" si="162"/>
        <v>#DIV/0!</v>
      </c>
      <c r="GF80" s="206">
        <f t="shared" si="163"/>
        <v>-8.7649250049632883</v>
      </c>
      <c r="GG80" s="206">
        <f t="shared" si="164"/>
        <v>-12.975052875482774</v>
      </c>
      <c r="GH80" s="205">
        <f t="shared" si="194"/>
        <v>-1.5390704137644349</v>
      </c>
    </row>
    <row r="81" spans="1:190">
      <c r="A81" s="319" t="s">
        <v>87</v>
      </c>
      <c r="B81" s="325">
        <v>112503.58400000002</v>
      </c>
      <c r="C81" s="325">
        <v>14915.576000000001</v>
      </c>
      <c r="D81" s="325">
        <v>13970.344000000001</v>
      </c>
      <c r="E81" s="325">
        <v>5375.1760000000004</v>
      </c>
      <c r="F81" s="325">
        <v>136832.16800000001</v>
      </c>
      <c r="G81" s="325">
        <v>5504.3360000000002</v>
      </c>
      <c r="H81" s="326">
        <f t="shared" si="165"/>
        <v>289101.18400000001</v>
      </c>
      <c r="I81" s="325">
        <v>109884.912</v>
      </c>
      <c r="J81" s="325"/>
      <c r="K81" s="325">
        <v>11729.984</v>
      </c>
      <c r="L81" s="325"/>
      <c r="M81" s="325">
        <v>120801.792</v>
      </c>
      <c r="N81" s="325">
        <v>5264.3600000000006</v>
      </c>
      <c r="O81" s="326">
        <f t="shared" si="166"/>
        <v>247681.04800000001</v>
      </c>
      <c r="P81" s="325">
        <v>159482.152</v>
      </c>
      <c r="Q81" s="325">
        <v>16993.920000000002</v>
      </c>
      <c r="R81" s="325">
        <v>26962.615999999998</v>
      </c>
      <c r="S81" s="325">
        <v>2830.32</v>
      </c>
      <c r="T81" s="325">
        <v>171135.68799999999</v>
      </c>
      <c r="U81" s="325">
        <v>6385.3919999999998</v>
      </c>
      <c r="V81" s="326">
        <f t="shared" si="167"/>
        <v>383790.08799999999</v>
      </c>
      <c r="W81" s="325">
        <v>147639.08800000002</v>
      </c>
      <c r="X81" s="325"/>
      <c r="Y81" s="331">
        <v>17812.495999999999</v>
      </c>
      <c r="Z81" s="331"/>
      <c r="AA81" s="325">
        <v>164654.97600000002</v>
      </c>
      <c r="AB81" s="325">
        <v>10593.856000000002</v>
      </c>
      <c r="AC81" s="326">
        <f t="shared" si="168"/>
        <v>340700.41600000008</v>
      </c>
      <c r="AD81" s="325">
        <v>96224.847999999998</v>
      </c>
      <c r="AE81" s="325">
        <v>17366.744000000002</v>
      </c>
      <c r="AF81" s="325">
        <v>8617.728000000001</v>
      </c>
      <c r="AG81" s="325">
        <v>1620.5039999999999</v>
      </c>
      <c r="AH81" s="325">
        <v>191982</v>
      </c>
      <c r="AI81" s="325">
        <v>7158.5920000000006</v>
      </c>
      <c r="AJ81" s="326">
        <f t="shared" si="169"/>
        <v>322970.41600000003</v>
      </c>
      <c r="AK81" s="325">
        <v>84733.762000000002</v>
      </c>
      <c r="AL81" s="325"/>
      <c r="AM81" s="331">
        <v>7646.88</v>
      </c>
      <c r="AN81" s="331"/>
      <c r="AO81" s="325">
        <v>167535.68000000002</v>
      </c>
      <c r="AP81" s="325">
        <v>6709.652000000001</v>
      </c>
      <c r="AQ81" s="326">
        <f t="shared" si="170"/>
        <v>266625.97400000005</v>
      </c>
      <c r="AR81" s="325">
        <v>48535.088000000003</v>
      </c>
      <c r="AS81" s="325">
        <v>8215.344000000001</v>
      </c>
      <c r="AT81" s="325">
        <v>6268.32</v>
      </c>
      <c r="AU81" s="325">
        <v>1093.08</v>
      </c>
      <c r="AV81" s="325">
        <v>147316.80000000002</v>
      </c>
      <c r="AW81" s="325">
        <v>3672.288</v>
      </c>
      <c r="AX81" s="326">
        <f t="shared" si="171"/>
        <v>215100.92</v>
      </c>
      <c r="AY81" s="325">
        <v>85918.992000000013</v>
      </c>
      <c r="AZ81" s="325"/>
      <c r="BA81" s="325">
        <v>9743.2400000000016</v>
      </c>
      <c r="BB81" s="325"/>
      <c r="BC81" s="325">
        <v>196266.91200000001</v>
      </c>
      <c r="BD81" s="325">
        <v>5051.6880000000001</v>
      </c>
      <c r="BE81" s="326">
        <f t="shared" si="172"/>
        <v>296980.83200000005</v>
      </c>
      <c r="BF81" s="325">
        <v>35019.336000000003</v>
      </c>
      <c r="BG81" s="325">
        <v>16833.312000000002</v>
      </c>
      <c r="BH81" s="325">
        <v>4585.2240000000002</v>
      </c>
      <c r="BI81" s="325">
        <v>1615.864</v>
      </c>
      <c r="BJ81" s="325">
        <v>197075.40000000002</v>
      </c>
      <c r="BK81" s="325">
        <v>8091.4160000000011</v>
      </c>
      <c r="BL81" s="326">
        <f t="shared" si="173"/>
        <v>263220.55200000003</v>
      </c>
      <c r="BM81" s="325">
        <v>107652.52</v>
      </c>
      <c r="BN81" s="325"/>
      <c r="BO81" s="325">
        <v>8898.6080000000002</v>
      </c>
      <c r="BP81" s="325"/>
      <c r="BQ81" s="325">
        <v>199450.848</v>
      </c>
      <c r="BR81" s="325">
        <v>5049.5600000000004</v>
      </c>
      <c r="BS81" s="326">
        <f t="shared" si="174"/>
        <v>321051.53600000002</v>
      </c>
      <c r="BT81" s="325">
        <v>59305.888000000006</v>
      </c>
      <c r="BU81" s="325">
        <v>33394.536</v>
      </c>
      <c r="BV81" s="325">
        <v>5546.4480000000003</v>
      </c>
      <c r="BW81" s="325">
        <v>3602.7120000000004</v>
      </c>
      <c r="BX81" s="325">
        <v>221288.64</v>
      </c>
      <c r="BY81" s="325">
        <v>13183.984</v>
      </c>
      <c r="BZ81" s="326">
        <f t="shared" si="175"/>
        <v>336322.20800000004</v>
      </c>
      <c r="CA81" s="325">
        <v>89713.384000000005</v>
      </c>
      <c r="CB81" s="325"/>
      <c r="CC81" s="331">
        <v>9179.3280000000013</v>
      </c>
      <c r="CD81" s="331"/>
      <c r="CE81" s="325">
        <v>177163.296</v>
      </c>
      <c r="CF81" s="325">
        <v>5009.1760000000004</v>
      </c>
      <c r="CG81" s="326">
        <f t="shared" si="176"/>
        <v>281065.18400000001</v>
      </c>
      <c r="CH81" s="325">
        <v>75994.296000000002</v>
      </c>
      <c r="CI81" s="325">
        <v>32080.760000000009</v>
      </c>
      <c r="CJ81" s="325">
        <v>5109.4160000000011</v>
      </c>
      <c r="CK81" s="325">
        <v>1996.6240000000007</v>
      </c>
      <c r="CL81" s="325">
        <v>222777.47999999998</v>
      </c>
      <c r="CM81" s="325">
        <v>9734.0879999999997</v>
      </c>
      <c r="CN81" s="326">
        <f t="shared" si="177"/>
        <v>347692.66399999999</v>
      </c>
      <c r="CO81" s="325">
        <v>35191.016000000003</v>
      </c>
      <c r="CP81" s="325"/>
      <c r="CQ81" s="331">
        <v>4934.5599999999995</v>
      </c>
      <c r="CR81" s="331"/>
      <c r="CS81" s="325">
        <v>216356.03200000001</v>
      </c>
      <c r="CT81" s="325">
        <v>5677.7280000000001</v>
      </c>
      <c r="CU81" s="326">
        <f t="shared" si="178"/>
        <v>262159.33600000001</v>
      </c>
      <c r="CV81" s="325">
        <v>122473.848</v>
      </c>
      <c r="CW81" s="325">
        <v>39660.576000000001</v>
      </c>
      <c r="CX81" s="325">
        <v>17846.264000000003</v>
      </c>
      <c r="CY81" s="325">
        <v>4789.2719999999999</v>
      </c>
      <c r="CZ81" s="325">
        <v>236020.32000000004</v>
      </c>
      <c r="DA81" s="325">
        <v>14512.743999999999</v>
      </c>
      <c r="DB81" s="326">
        <f t="shared" si="179"/>
        <v>435303.02400000003</v>
      </c>
      <c r="DC81" s="325">
        <v>28675.568000000003</v>
      </c>
      <c r="DD81" s="325"/>
      <c r="DE81" s="331">
        <v>4654.7520000000004</v>
      </c>
      <c r="DF81" s="331"/>
      <c r="DG81" s="325">
        <v>195660.448</v>
      </c>
      <c r="DH81" s="325">
        <v>5344.5119999999997</v>
      </c>
      <c r="DI81" s="326">
        <f t="shared" si="180"/>
        <v>234335.28</v>
      </c>
      <c r="DJ81" s="325">
        <v>32784.384000000005</v>
      </c>
      <c r="DK81" s="325">
        <v>24372.200000000008</v>
      </c>
      <c r="DL81" s="325">
        <v>3512.3360000000002</v>
      </c>
      <c r="DM81" s="325">
        <v>3597.6880000000006</v>
      </c>
      <c r="DN81" s="325">
        <v>210945.12000000002</v>
      </c>
      <c r="DO81" s="325">
        <v>11351.584000000001</v>
      </c>
      <c r="DP81" s="326">
        <f t="shared" si="181"/>
        <v>286563.31200000003</v>
      </c>
      <c r="DQ81" s="325">
        <v>26217.168000000005</v>
      </c>
      <c r="DR81" s="325"/>
      <c r="DS81" s="331">
        <v>3830.8560000000007</v>
      </c>
      <c r="DT81" s="331"/>
      <c r="DU81" s="325">
        <v>178452.03200000001</v>
      </c>
      <c r="DV81" s="325">
        <v>6178.0000000000009</v>
      </c>
      <c r="DW81" s="326">
        <f t="shared" si="182"/>
        <v>214678.05600000001</v>
      </c>
      <c r="DX81" s="325">
        <v>13640.351999999999</v>
      </c>
      <c r="DY81" s="325">
        <v>26457.016000000003</v>
      </c>
      <c r="DZ81" s="325">
        <v>1691.3680000000002</v>
      </c>
      <c r="EA81" s="325">
        <v>3649.1600000000008</v>
      </c>
      <c r="EB81" s="325">
        <v>223404.36000000002</v>
      </c>
      <c r="EC81" s="325">
        <v>9614.0560000000005</v>
      </c>
      <c r="ED81" s="326">
        <f t="shared" si="183"/>
        <v>278456.31200000003</v>
      </c>
      <c r="EE81" s="325">
        <v>29416.376</v>
      </c>
      <c r="EF81" s="325"/>
      <c r="EG81" s="331">
        <v>6929.6639999999998</v>
      </c>
      <c r="EH81" s="331"/>
      <c r="EI81" s="325">
        <v>199683.024</v>
      </c>
      <c r="EJ81" s="325">
        <v>8975.7520000000004</v>
      </c>
      <c r="EK81" s="326">
        <f t="shared" si="184"/>
        <v>245004.81600000002</v>
      </c>
      <c r="EL81" s="325">
        <v>24398.687999999998</v>
      </c>
      <c r="EM81" s="325">
        <v>14600.480000000003</v>
      </c>
      <c r="EN81" s="325">
        <v>2201.8320000000003</v>
      </c>
      <c r="EO81" s="325">
        <v>1614.5840000000001</v>
      </c>
      <c r="EP81" s="325">
        <v>197623.92</v>
      </c>
      <c r="EQ81" s="325">
        <v>11433.784000000001</v>
      </c>
      <c r="ER81" s="326">
        <f t="shared" si="185"/>
        <v>251873.28800000003</v>
      </c>
      <c r="ES81" s="325">
        <v>24850.752</v>
      </c>
      <c r="ET81" s="325"/>
      <c r="EU81" s="331">
        <v>3625.8719999999998</v>
      </c>
      <c r="EV81" s="331"/>
      <c r="EW81" s="325">
        <v>166474.36800000002</v>
      </c>
      <c r="EX81" s="325">
        <v>7122.5119999999997</v>
      </c>
      <c r="EY81" s="326">
        <f t="shared" si="186"/>
        <v>202073.50400000002</v>
      </c>
      <c r="EZ81" s="325">
        <v>22283.448000000004</v>
      </c>
      <c r="FA81" s="325">
        <v>22111.112000000005</v>
      </c>
      <c r="FB81" s="325">
        <v>2565.5840000000003</v>
      </c>
      <c r="FC81" s="325">
        <v>4103.9920000000011</v>
      </c>
      <c r="FD81" s="325">
        <v>181011.6</v>
      </c>
      <c r="FE81" s="325">
        <v>12366.672000000002</v>
      </c>
      <c r="FF81" s="326">
        <f t="shared" si="187"/>
        <v>244442.40800000002</v>
      </c>
      <c r="FG81" s="325">
        <v>26920.680000000004</v>
      </c>
      <c r="FH81" s="325"/>
      <c r="FI81" s="331">
        <v>4066.2080000000005</v>
      </c>
      <c r="FJ81" s="331"/>
      <c r="FK81" s="325">
        <v>155861.24799999999</v>
      </c>
      <c r="FL81" s="325">
        <v>8765.9920000000002</v>
      </c>
      <c r="FM81" s="326">
        <f t="shared" si="188"/>
        <v>195614.128</v>
      </c>
      <c r="FN81" s="333">
        <f t="shared" si="189"/>
        <v>802645.91199999989</v>
      </c>
      <c r="FO81" s="519">
        <f t="shared" si="150"/>
        <v>267001.57600000006</v>
      </c>
      <c r="FP81" s="325">
        <f t="shared" si="151"/>
        <v>98877.48000000001</v>
      </c>
      <c r="FQ81" s="325">
        <f t="shared" si="152"/>
        <v>35888.976000000002</v>
      </c>
      <c r="FR81" s="325">
        <f t="shared" si="153"/>
        <v>2337413.4960000003</v>
      </c>
      <c r="FS81" s="325">
        <f t="shared" si="154"/>
        <v>113008.936</v>
      </c>
      <c r="FT81" s="326">
        <f t="shared" si="155"/>
        <v>3654836.3760000006</v>
      </c>
      <c r="FU81" s="325">
        <f t="shared" si="190"/>
        <v>796814.21799999999</v>
      </c>
      <c r="FV81" s="325">
        <f t="shared" si="156"/>
        <v>0</v>
      </c>
      <c r="FW81" s="325">
        <f t="shared" si="157"/>
        <v>93052.448000000004</v>
      </c>
      <c r="FX81" s="325">
        <f t="shared" si="158"/>
        <v>0</v>
      </c>
      <c r="FY81" s="325">
        <f t="shared" si="159"/>
        <v>2138360.6560000004</v>
      </c>
      <c r="FZ81" s="325">
        <f t="shared" si="160"/>
        <v>79742.788000000015</v>
      </c>
      <c r="GA81" s="326">
        <f t="shared" si="191"/>
        <v>3107970.1100000008</v>
      </c>
      <c r="GB81" s="206">
        <f t="shared" si="192"/>
        <v>0.73187624772026538</v>
      </c>
      <c r="GC81" s="206" t="e">
        <f t="shared" si="193"/>
        <v>#DIV/0!</v>
      </c>
      <c r="GD81" s="206">
        <f t="shared" si="161"/>
        <v>6.2599449291221134</v>
      </c>
      <c r="GE81" s="206" t="e">
        <f t="shared" si="162"/>
        <v>#DIV/0!</v>
      </c>
      <c r="GF81" s="206">
        <f t="shared" si="163"/>
        <v>9.3086654695726736</v>
      </c>
      <c r="GG81" s="206">
        <f t="shared" si="164"/>
        <v>41.716810804257278</v>
      </c>
      <c r="GH81" s="205">
        <f t="shared" si="194"/>
        <v>17.595608923021459</v>
      </c>
    </row>
    <row r="82" spans="1:190">
      <c r="A82" s="319" t="s">
        <v>90</v>
      </c>
      <c r="B82" s="325">
        <v>84695.631999999998</v>
      </c>
      <c r="C82" s="325">
        <v>33064.248</v>
      </c>
      <c r="D82" s="325">
        <v>7336.9039999999995</v>
      </c>
      <c r="E82" s="325">
        <v>931.16000000000008</v>
      </c>
      <c r="F82" s="325">
        <v>42419.328000000009</v>
      </c>
      <c r="G82" s="325">
        <v>13758.328000000001</v>
      </c>
      <c r="H82" s="326">
        <f t="shared" si="165"/>
        <v>182205.6</v>
      </c>
      <c r="I82" s="325">
        <v>100298.40800000001</v>
      </c>
      <c r="J82" s="325"/>
      <c r="K82" s="325">
        <v>9537.6640000000007</v>
      </c>
      <c r="L82" s="325"/>
      <c r="M82" s="325">
        <v>34166.112000000001</v>
      </c>
      <c r="N82" s="325">
        <v>7292.88</v>
      </c>
      <c r="O82" s="326">
        <f t="shared" si="166"/>
        <v>151295.06400000001</v>
      </c>
      <c r="P82" s="325">
        <v>90843.080000000016</v>
      </c>
      <c r="Q82" s="325">
        <v>29025.512000000002</v>
      </c>
      <c r="R82" s="325">
        <v>9211.1200000000008</v>
      </c>
      <c r="S82" s="325">
        <v>2140.384</v>
      </c>
      <c r="T82" s="325">
        <v>43176.36</v>
      </c>
      <c r="U82" s="325">
        <v>8869.112000000001</v>
      </c>
      <c r="V82" s="326">
        <f t="shared" si="167"/>
        <v>183265.568</v>
      </c>
      <c r="W82" s="325">
        <v>120544.63200000001</v>
      </c>
      <c r="X82" s="325"/>
      <c r="Y82" s="331">
        <v>10105.456</v>
      </c>
      <c r="Z82" s="331"/>
      <c r="AA82" s="325">
        <v>47000.959999999999</v>
      </c>
      <c r="AB82" s="325">
        <v>9363.0879999999997</v>
      </c>
      <c r="AC82" s="326">
        <f t="shared" si="168"/>
        <v>187014.136</v>
      </c>
      <c r="AD82" s="325">
        <v>61631.352000000006</v>
      </c>
      <c r="AE82" s="325">
        <v>30848.928000000004</v>
      </c>
      <c r="AF82" s="325">
        <v>7409.2479999999996</v>
      </c>
      <c r="AG82" s="325">
        <v>3005.5040000000004</v>
      </c>
      <c r="AH82" s="325">
        <v>43724.880000000005</v>
      </c>
      <c r="AI82" s="325">
        <v>12402.455999999998</v>
      </c>
      <c r="AJ82" s="326">
        <f t="shared" si="169"/>
        <v>159022.36800000002</v>
      </c>
      <c r="AK82" s="325">
        <v>63083.944000000003</v>
      </c>
      <c r="AL82" s="325"/>
      <c r="AM82" s="331">
        <v>7204.64</v>
      </c>
      <c r="AN82" s="331"/>
      <c r="AO82" s="325">
        <v>45939.648000000001</v>
      </c>
      <c r="AP82" s="325">
        <v>6786.6640000000007</v>
      </c>
      <c r="AQ82" s="326">
        <f t="shared" si="170"/>
        <v>123014.89600000001</v>
      </c>
      <c r="AR82" s="325">
        <v>25953.616000000002</v>
      </c>
      <c r="AS82" s="325">
        <v>18431.128000000001</v>
      </c>
      <c r="AT82" s="325">
        <v>1417.096</v>
      </c>
      <c r="AU82" s="325">
        <v>259.22399999999999</v>
      </c>
      <c r="AV82" s="325">
        <v>29071.559999999998</v>
      </c>
      <c r="AW82" s="325">
        <v>5258.56</v>
      </c>
      <c r="AX82" s="326">
        <f t="shared" si="171"/>
        <v>80391.184000000008</v>
      </c>
      <c r="AY82" s="325">
        <v>66990.687999999995</v>
      </c>
      <c r="AZ82" s="325"/>
      <c r="BA82" s="325">
        <v>8513.9120000000003</v>
      </c>
      <c r="BB82" s="325"/>
      <c r="BC82" s="325">
        <v>46925.152000000002</v>
      </c>
      <c r="BD82" s="325">
        <v>8022.2960000000003</v>
      </c>
      <c r="BE82" s="326">
        <f t="shared" si="172"/>
        <v>130452.048</v>
      </c>
      <c r="BF82" s="325">
        <v>21439.800000000003</v>
      </c>
      <c r="BG82" s="325">
        <v>11827.856</v>
      </c>
      <c r="BH82" s="325">
        <v>1531.3760000000002</v>
      </c>
      <c r="BI82" s="325">
        <v>497.19200000000001</v>
      </c>
      <c r="BJ82" s="325">
        <v>20687.04</v>
      </c>
      <c r="BK82" s="325">
        <v>4842.3840000000009</v>
      </c>
      <c r="BL82" s="326">
        <f t="shared" si="173"/>
        <v>60825.648000000008</v>
      </c>
      <c r="BM82" s="325">
        <v>81450.952000000005</v>
      </c>
      <c r="BN82" s="325"/>
      <c r="BO82" s="325">
        <v>6420.4160000000002</v>
      </c>
      <c r="BP82" s="325"/>
      <c r="BQ82" s="325">
        <v>55567.264000000003</v>
      </c>
      <c r="BR82" s="325">
        <v>5960.4960000000001</v>
      </c>
      <c r="BS82" s="326">
        <f t="shared" si="174"/>
        <v>149399.12800000003</v>
      </c>
      <c r="BT82" s="325">
        <v>41889.936000000002</v>
      </c>
      <c r="BU82" s="325">
        <v>16226.992000000002</v>
      </c>
      <c r="BV82" s="325">
        <v>4418.88</v>
      </c>
      <c r="BW82" s="325">
        <v>1148.7920000000001</v>
      </c>
      <c r="BX82" s="325">
        <v>44821.920000000006</v>
      </c>
      <c r="BY82" s="325">
        <v>5226.0880000000006</v>
      </c>
      <c r="BZ82" s="326">
        <f t="shared" si="175"/>
        <v>113732.60800000001</v>
      </c>
      <c r="CA82" s="325">
        <v>64812.135999999999</v>
      </c>
      <c r="CB82" s="325"/>
      <c r="CC82" s="331">
        <v>6350.456000000001</v>
      </c>
      <c r="CD82" s="331"/>
      <c r="CE82" s="325">
        <v>49957.472000000002</v>
      </c>
      <c r="CF82" s="325">
        <v>6863.8480000000009</v>
      </c>
      <c r="CG82" s="326">
        <f t="shared" si="176"/>
        <v>127983.91200000001</v>
      </c>
      <c r="CH82" s="325">
        <v>63045.144</v>
      </c>
      <c r="CI82" s="325">
        <v>18482.392000000003</v>
      </c>
      <c r="CJ82" s="325">
        <v>6186.4560000000001</v>
      </c>
      <c r="CK82" s="325">
        <v>1601.4639999999999</v>
      </c>
      <c r="CL82" s="325">
        <v>58064.76</v>
      </c>
      <c r="CM82" s="325">
        <v>7211.3680000000013</v>
      </c>
      <c r="CN82" s="326">
        <f t="shared" si="177"/>
        <v>154591.584</v>
      </c>
      <c r="CO82" s="325">
        <v>30481.976000000002</v>
      </c>
      <c r="CP82" s="325"/>
      <c r="CQ82" s="331">
        <v>3623.9760000000001</v>
      </c>
      <c r="CR82" s="331"/>
      <c r="CS82" s="325">
        <v>54657.568000000007</v>
      </c>
      <c r="CT82" s="325">
        <v>7718.4639999999999</v>
      </c>
      <c r="CU82" s="326">
        <f t="shared" si="178"/>
        <v>96481.984000000026</v>
      </c>
      <c r="CV82" s="325">
        <v>62900.824000000001</v>
      </c>
      <c r="CW82" s="325">
        <v>27617.576000000001</v>
      </c>
      <c r="CX82" s="325">
        <v>9034.8080000000009</v>
      </c>
      <c r="CY82" s="325">
        <v>2402.7039999999993</v>
      </c>
      <c r="CZ82" s="325">
        <v>71229.24000000002</v>
      </c>
      <c r="DA82" s="325">
        <v>10368.808000000001</v>
      </c>
      <c r="DB82" s="326">
        <f t="shared" si="179"/>
        <v>183553.96</v>
      </c>
      <c r="DC82" s="325">
        <v>23867.616000000002</v>
      </c>
      <c r="DD82" s="325"/>
      <c r="DE82" s="331">
        <v>1123.848</v>
      </c>
      <c r="DF82" s="331"/>
      <c r="DG82" s="325">
        <v>53823.680000000008</v>
      </c>
      <c r="DH82" s="325">
        <v>6793.8960000000006</v>
      </c>
      <c r="DI82" s="326">
        <f t="shared" si="180"/>
        <v>85609.040000000008</v>
      </c>
      <c r="DJ82" s="325">
        <v>27420.064000000002</v>
      </c>
      <c r="DK82" s="325">
        <v>20854.151999999998</v>
      </c>
      <c r="DL82" s="325">
        <v>2363.7759999999998</v>
      </c>
      <c r="DM82" s="325">
        <v>538.1600000000002</v>
      </c>
      <c r="DN82" s="325">
        <v>59475.240000000005</v>
      </c>
      <c r="DO82" s="325">
        <v>9060.2480000000014</v>
      </c>
      <c r="DP82" s="326">
        <f t="shared" si="181"/>
        <v>119711.64000000001</v>
      </c>
      <c r="DQ82" s="325">
        <v>23887.912</v>
      </c>
      <c r="DR82" s="325"/>
      <c r="DS82" s="331">
        <v>1392.88</v>
      </c>
      <c r="DT82" s="331"/>
      <c r="DU82" s="325">
        <v>57386.65600000001</v>
      </c>
      <c r="DV82" s="325">
        <v>6619.8640000000005</v>
      </c>
      <c r="DW82" s="326">
        <f t="shared" si="182"/>
        <v>89287.312000000005</v>
      </c>
      <c r="DX82" s="325">
        <v>13065.072</v>
      </c>
      <c r="DY82" s="325">
        <v>44025.704000000005</v>
      </c>
      <c r="DZ82" s="325">
        <v>1086.4480000000001</v>
      </c>
      <c r="EA82" s="325">
        <v>502.69600000000014</v>
      </c>
      <c r="EB82" s="325">
        <v>74755.44</v>
      </c>
      <c r="EC82" s="325">
        <v>11953.336000000001</v>
      </c>
      <c r="ED82" s="326">
        <f t="shared" si="183"/>
        <v>145388.69600000003</v>
      </c>
      <c r="EE82" s="325">
        <v>27667.440000000002</v>
      </c>
      <c r="EF82" s="325"/>
      <c r="EG82" s="331">
        <v>3958.4400000000005</v>
      </c>
      <c r="EH82" s="331"/>
      <c r="EI82" s="325">
        <v>56780.19200000001</v>
      </c>
      <c r="EJ82" s="325">
        <v>10377.000000000002</v>
      </c>
      <c r="EK82" s="326">
        <f t="shared" si="184"/>
        <v>98783.072000000015</v>
      </c>
      <c r="EL82" s="325">
        <v>22207.592000000004</v>
      </c>
      <c r="EM82" s="325">
        <v>18437.416000000001</v>
      </c>
      <c r="EN82" s="325">
        <v>1657.8480000000004</v>
      </c>
      <c r="EO82" s="325">
        <v>1491.056</v>
      </c>
      <c r="EP82" s="325">
        <v>63941.760000000002</v>
      </c>
      <c r="EQ82" s="325">
        <v>11905.6</v>
      </c>
      <c r="ER82" s="326">
        <f t="shared" si="185"/>
        <v>119641.272</v>
      </c>
      <c r="ES82" s="325">
        <v>27140.168000000001</v>
      </c>
      <c r="ET82" s="325"/>
      <c r="EU82" s="331">
        <v>1187.384</v>
      </c>
      <c r="EV82" s="331"/>
      <c r="EW82" s="325">
        <v>52989.792000000009</v>
      </c>
      <c r="EX82" s="325">
        <v>9976.32</v>
      </c>
      <c r="EY82" s="326">
        <f t="shared" si="186"/>
        <v>91293.664000000019</v>
      </c>
      <c r="EZ82" s="325">
        <v>17888.232</v>
      </c>
      <c r="FA82" s="325">
        <v>16974.952000000001</v>
      </c>
      <c r="FB82" s="325">
        <v>463.608</v>
      </c>
      <c r="FC82" s="325">
        <v>417.36800000000005</v>
      </c>
      <c r="FD82" s="325">
        <v>63393.240000000005</v>
      </c>
      <c r="FE82" s="325">
        <v>9030.9840000000004</v>
      </c>
      <c r="FF82" s="326">
        <f t="shared" si="187"/>
        <v>108168.38400000001</v>
      </c>
      <c r="FG82" s="325">
        <v>34153.952000000005</v>
      </c>
      <c r="FH82" s="325"/>
      <c r="FI82" s="331">
        <v>3159.4080000000004</v>
      </c>
      <c r="FJ82" s="331"/>
      <c r="FK82" s="325">
        <v>45029.952000000005</v>
      </c>
      <c r="FL82" s="325">
        <v>13486.136000000002</v>
      </c>
      <c r="FM82" s="326">
        <f t="shared" si="188"/>
        <v>95829.448000000004</v>
      </c>
      <c r="FN82" s="333">
        <f t="shared" si="189"/>
        <v>532980.34399999992</v>
      </c>
      <c r="FO82" s="519">
        <f t="shared" si="150"/>
        <v>285816.85600000003</v>
      </c>
      <c r="FP82" s="325">
        <f t="shared" si="151"/>
        <v>52117.567999999999</v>
      </c>
      <c r="FQ82" s="325">
        <f t="shared" si="152"/>
        <v>14935.704000000002</v>
      </c>
      <c r="FR82" s="325">
        <f t="shared" si="153"/>
        <v>614760.76800000004</v>
      </c>
      <c r="FS82" s="325">
        <f t="shared" si="154"/>
        <v>109887.27200000001</v>
      </c>
      <c r="FT82" s="326">
        <f t="shared" si="155"/>
        <v>1610498.5120000001</v>
      </c>
      <c r="FU82" s="325">
        <f t="shared" si="190"/>
        <v>664379.82400000014</v>
      </c>
      <c r="FV82" s="325">
        <f t="shared" si="156"/>
        <v>0</v>
      </c>
      <c r="FW82" s="325">
        <f t="shared" si="157"/>
        <v>62578.48</v>
      </c>
      <c r="FX82" s="325">
        <f t="shared" si="158"/>
        <v>0</v>
      </c>
      <c r="FY82" s="325">
        <f t="shared" si="159"/>
        <v>600224.44800000009</v>
      </c>
      <c r="FZ82" s="325">
        <f t="shared" si="160"/>
        <v>99260.95199999999</v>
      </c>
      <c r="GA82" s="326">
        <f t="shared" si="191"/>
        <v>1426443.7040000004</v>
      </c>
      <c r="GB82" s="206">
        <f t="shared" si="192"/>
        <v>-19.777764955126059</v>
      </c>
      <c r="GC82" s="206" t="e">
        <f t="shared" si="193"/>
        <v>#DIV/0!</v>
      </c>
      <c r="GD82" s="206">
        <f t="shared" si="161"/>
        <v>-16.7164686646272</v>
      </c>
      <c r="GE82" s="206" t="e">
        <f t="shared" si="162"/>
        <v>#DIV/0!</v>
      </c>
      <c r="GF82" s="206">
        <f t="shared" si="163"/>
        <v>2.4218140478009929</v>
      </c>
      <c r="GG82" s="206">
        <f t="shared" si="164"/>
        <v>10.705438327853244</v>
      </c>
      <c r="GH82" s="205">
        <f t="shared" si="194"/>
        <v>12.903054462217995</v>
      </c>
    </row>
    <row r="83" spans="1:190">
      <c r="A83" s="319" t="s">
        <v>91</v>
      </c>
      <c r="B83" s="325">
        <v>93676.256000000008</v>
      </c>
      <c r="C83" s="325">
        <v>34927.256000000001</v>
      </c>
      <c r="D83" s="325">
        <v>6376.9440000000004</v>
      </c>
      <c r="E83" s="325">
        <v>3045.768</v>
      </c>
      <c r="F83" s="325">
        <v>58018.072</v>
      </c>
      <c r="G83" s="325">
        <v>9565.0160000000014</v>
      </c>
      <c r="H83" s="326">
        <f t="shared" si="165"/>
        <v>205609.31200000003</v>
      </c>
      <c r="I83" s="325">
        <v>108039.09600000001</v>
      </c>
      <c r="J83" s="325"/>
      <c r="K83" s="325">
        <v>7887.7440000000006</v>
      </c>
      <c r="L83" s="325"/>
      <c r="M83" s="325">
        <v>45495.584000000003</v>
      </c>
      <c r="N83" s="325">
        <v>7921.0959999999995</v>
      </c>
      <c r="O83" s="326">
        <f t="shared" si="166"/>
        <v>169343.52</v>
      </c>
      <c r="P83" s="325">
        <v>100608.296</v>
      </c>
      <c r="Q83" s="325">
        <v>25313.816000000003</v>
      </c>
      <c r="R83" s="325">
        <v>10910.136</v>
      </c>
      <c r="S83" s="325">
        <v>4342.4480000000003</v>
      </c>
      <c r="T83" s="325">
        <v>58299.840000000004</v>
      </c>
      <c r="U83" s="325">
        <v>9103.5119999999988</v>
      </c>
      <c r="V83" s="326">
        <f t="shared" si="167"/>
        <v>208578.04800000001</v>
      </c>
      <c r="W83" s="325">
        <v>121601.72800000002</v>
      </c>
      <c r="X83" s="325"/>
      <c r="Y83" s="331">
        <v>14937.592000000001</v>
      </c>
      <c r="Z83" s="331"/>
      <c r="AA83" s="325">
        <v>62235.76</v>
      </c>
      <c r="AB83" s="325">
        <v>6206.6480000000001</v>
      </c>
      <c r="AC83" s="326">
        <f t="shared" si="168"/>
        <v>204981.728</v>
      </c>
      <c r="AD83" s="325">
        <v>57602.336000000003</v>
      </c>
      <c r="AE83" s="325">
        <v>21610.808000000001</v>
      </c>
      <c r="AF83" s="325">
        <v>6592.1440000000002</v>
      </c>
      <c r="AG83" s="325">
        <v>2208.7440000000001</v>
      </c>
      <c r="AH83" s="325">
        <v>59631.96</v>
      </c>
      <c r="AI83" s="325">
        <v>7063.2400000000007</v>
      </c>
      <c r="AJ83" s="326">
        <f t="shared" si="169"/>
        <v>154709.23199999999</v>
      </c>
      <c r="AK83" s="325">
        <v>55828.296000000009</v>
      </c>
      <c r="AL83" s="325"/>
      <c r="AM83" s="331">
        <v>8004.0400000000009</v>
      </c>
      <c r="AN83" s="331"/>
      <c r="AO83" s="325">
        <v>51397.824000000001</v>
      </c>
      <c r="AP83" s="325">
        <v>6825.76</v>
      </c>
      <c r="AQ83" s="326">
        <f t="shared" si="170"/>
        <v>122055.92</v>
      </c>
      <c r="AR83" s="325">
        <v>26024.184000000001</v>
      </c>
      <c r="AS83" s="325">
        <v>16525.216</v>
      </c>
      <c r="AT83" s="325">
        <v>2062.1439999999998</v>
      </c>
      <c r="AU83" s="325">
        <v>618.30400000000009</v>
      </c>
      <c r="AV83" s="325">
        <v>28209.600000000002</v>
      </c>
      <c r="AW83" s="325">
        <v>5017.9760000000006</v>
      </c>
      <c r="AX83" s="326">
        <f t="shared" si="171"/>
        <v>78457.423999999999</v>
      </c>
      <c r="AY83" s="325">
        <v>60172.768000000011</v>
      </c>
      <c r="AZ83" s="325"/>
      <c r="BA83" s="325">
        <v>7089.4160000000002</v>
      </c>
      <c r="BB83" s="325"/>
      <c r="BC83" s="325">
        <v>65422.304000000004</v>
      </c>
      <c r="BD83" s="325">
        <v>3802.5680000000002</v>
      </c>
      <c r="BE83" s="326">
        <f t="shared" si="172"/>
        <v>136487.05600000001</v>
      </c>
      <c r="BF83" s="325">
        <v>18356.448</v>
      </c>
      <c r="BG83" s="325">
        <v>9397.9840000000004</v>
      </c>
      <c r="BH83" s="325">
        <v>2270.4</v>
      </c>
      <c r="BI83" s="325">
        <v>546.72799999999995</v>
      </c>
      <c r="BJ83" s="325">
        <v>36123.96</v>
      </c>
      <c r="BK83" s="325">
        <v>2705.8160000000003</v>
      </c>
      <c r="BL83" s="326">
        <f t="shared" si="173"/>
        <v>69401.33600000001</v>
      </c>
      <c r="BM83" s="325">
        <v>70316.856</v>
      </c>
      <c r="BN83" s="325"/>
      <c r="BO83" s="325">
        <v>15278.488000000001</v>
      </c>
      <c r="BP83" s="325"/>
      <c r="BQ83" s="325">
        <v>69591.743999999992</v>
      </c>
      <c r="BR83" s="325">
        <v>6936.0400000000009</v>
      </c>
      <c r="BS83" s="326">
        <f t="shared" si="174"/>
        <v>162123.128</v>
      </c>
      <c r="BT83" s="325">
        <v>34712.400000000001</v>
      </c>
      <c r="BU83" s="325">
        <v>11919.736000000001</v>
      </c>
      <c r="BV83" s="325">
        <v>3535.12</v>
      </c>
      <c r="BW83" s="325">
        <v>82.00800000000001</v>
      </c>
      <c r="BX83" s="325">
        <v>39963.600000000006</v>
      </c>
      <c r="BY83" s="325">
        <v>3374.2639999999997</v>
      </c>
      <c r="BZ83" s="326">
        <f t="shared" si="175"/>
        <v>93587.127999999997</v>
      </c>
      <c r="CA83" s="325">
        <v>66358.768000000011</v>
      </c>
      <c r="CB83" s="325"/>
      <c r="CC83" s="331">
        <v>11126.936000000002</v>
      </c>
      <c r="CD83" s="331"/>
      <c r="CE83" s="325">
        <v>57159.231999999996</v>
      </c>
      <c r="CF83" s="325">
        <v>4358.9040000000005</v>
      </c>
      <c r="CG83" s="326">
        <f t="shared" si="176"/>
        <v>139003.84000000003</v>
      </c>
      <c r="CH83" s="325">
        <v>64099.216000000008</v>
      </c>
      <c r="CI83" s="325">
        <v>18175.511999999988</v>
      </c>
      <c r="CJ83" s="325">
        <v>4223.3919999999998</v>
      </c>
      <c r="CK83" s="325">
        <v>836.2080000000002</v>
      </c>
      <c r="CL83" s="325">
        <v>64960.44</v>
      </c>
      <c r="CM83" s="325">
        <v>4833.1680000000006</v>
      </c>
      <c r="CN83" s="326">
        <f t="shared" si="177"/>
        <v>157127.93599999999</v>
      </c>
      <c r="CO83" s="325">
        <v>26877.832000000002</v>
      </c>
      <c r="CP83" s="325"/>
      <c r="CQ83" s="331">
        <v>5463.2160000000003</v>
      </c>
      <c r="CR83" s="331"/>
      <c r="CS83" s="325">
        <v>63148.064000000006</v>
      </c>
      <c r="CT83" s="325">
        <v>5956.6319999999996</v>
      </c>
      <c r="CU83" s="326">
        <f t="shared" si="178"/>
        <v>101445.74400000001</v>
      </c>
      <c r="CV83" s="325">
        <v>82877.056000000011</v>
      </c>
      <c r="CW83" s="325">
        <v>21334.480000000007</v>
      </c>
      <c r="CX83" s="325">
        <v>6205.5440000000008</v>
      </c>
      <c r="CY83" s="325">
        <v>1061.8319999999992</v>
      </c>
      <c r="CZ83" s="325">
        <v>76244.280000000013</v>
      </c>
      <c r="DA83" s="325">
        <v>6454.7920000000004</v>
      </c>
      <c r="DB83" s="326">
        <f t="shared" si="179"/>
        <v>194177.98400000003</v>
      </c>
      <c r="DC83" s="325">
        <v>25264.264000000003</v>
      </c>
      <c r="DD83" s="325"/>
      <c r="DE83" s="331">
        <v>5037.3519999999999</v>
      </c>
      <c r="DF83" s="331"/>
      <c r="DG83" s="325">
        <v>65498.112000000001</v>
      </c>
      <c r="DH83" s="325">
        <v>6118.5439999999999</v>
      </c>
      <c r="DI83" s="326">
        <f t="shared" si="180"/>
        <v>101918.272</v>
      </c>
      <c r="DJ83" s="325">
        <v>31390.384000000005</v>
      </c>
      <c r="DK83" s="325">
        <v>20925.072</v>
      </c>
      <c r="DL83" s="325">
        <v>1295.2080000000001</v>
      </c>
      <c r="DM83" s="325">
        <v>1191.0719999999999</v>
      </c>
      <c r="DN83" s="325">
        <v>76322.64</v>
      </c>
      <c r="DO83" s="325">
        <v>9255.76</v>
      </c>
      <c r="DP83" s="326">
        <f t="shared" si="181"/>
        <v>140380.136</v>
      </c>
      <c r="DQ83" s="325">
        <v>27490.959999999999</v>
      </c>
      <c r="DR83" s="325"/>
      <c r="DS83" s="331">
        <v>5591.616</v>
      </c>
      <c r="DT83" s="331"/>
      <c r="DU83" s="325">
        <v>74291.840000000011</v>
      </c>
      <c r="DV83" s="325">
        <v>6048.9600000000009</v>
      </c>
      <c r="DW83" s="326">
        <f t="shared" si="182"/>
        <v>113423.37600000002</v>
      </c>
      <c r="DX83" s="325">
        <v>9966.264000000001</v>
      </c>
      <c r="DY83" s="325">
        <v>39640.207999999999</v>
      </c>
      <c r="DZ83" s="325">
        <v>914.24800000000005</v>
      </c>
      <c r="EA83" s="325">
        <v>3298.7360000000003</v>
      </c>
      <c r="EB83" s="325">
        <v>84785.52</v>
      </c>
      <c r="EC83" s="325">
        <v>11961.128000000002</v>
      </c>
      <c r="ED83" s="326">
        <f t="shared" si="183"/>
        <v>150566.10399999999</v>
      </c>
      <c r="EE83" s="325">
        <v>25192.784</v>
      </c>
      <c r="EF83" s="325"/>
      <c r="EG83" s="331">
        <v>5726.5040000000008</v>
      </c>
      <c r="EH83" s="331"/>
      <c r="EI83" s="325">
        <v>76490.271999999997</v>
      </c>
      <c r="EJ83" s="325">
        <v>8153.8080000000009</v>
      </c>
      <c r="EK83" s="326">
        <f t="shared" si="184"/>
        <v>115563.368</v>
      </c>
      <c r="EL83" s="325">
        <v>17378.136000000002</v>
      </c>
      <c r="EM83" s="325">
        <v>15281.512000000002</v>
      </c>
      <c r="EN83" s="325">
        <v>1447.5599999999995</v>
      </c>
      <c r="EO83" s="325">
        <v>2816.152</v>
      </c>
      <c r="EP83" s="325">
        <v>73971.840000000011</v>
      </c>
      <c r="EQ83" s="325">
        <v>8985.5519999999997</v>
      </c>
      <c r="ER83" s="326">
        <f t="shared" si="185"/>
        <v>119880.75200000001</v>
      </c>
      <c r="ES83" s="325">
        <v>32807.296000000002</v>
      </c>
      <c r="ET83" s="325"/>
      <c r="EU83" s="331">
        <v>3743.8320000000003</v>
      </c>
      <c r="EV83" s="331"/>
      <c r="EW83" s="325">
        <v>62238.368000000009</v>
      </c>
      <c r="EX83" s="325">
        <v>10207.776</v>
      </c>
      <c r="EY83" s="326">
        <f t="shared" si="186"/>
        <v>108997.27200000001</v>
      </c>
      <c r="EZ83" s="325">
        <v>21644.792000000001</v>
      </c>
      <c r="FA83" s="325">
        <v>22429.376</v>
      </c>
      <c r="FB83" s="325">
        <v>3847.4560000000001</v>
      </c>
      <c r="FC83" s="325">
        <v>1333.6480000000004</v>
      </c>
      <c r="FD83" s="325">
        <v>76165.919999999998</v>
      </c>
      <c r="FE83" s="325">
        <v>12253.576000000001</v>
      </c>
      <c r="FF83" s="326">
        <f t="shared" si="187"/>
        <v>137674.76800000001</v>
      </c>
      <c r="FG83" s="325">
        <v>27708.488000000005</v>
      </c>
      <c r="FH83" s="325"/>
      <c r="FI83" s="331">
        <v>3010.0240000000003</v>
      </c>
      <c r="FJ83" s="331"/>
      <c r="FK83" s="325">
        <v>62086.752000000008</v>
      </c>
      <c r="FL83" s="325">
        <v>8558.4159999999993</v>
      </c>
      <c r="FM83" s="326">
        <f t="shared" si="188"/>
        <v>101363.68000000001</v>
      </c>
      <c r="FN83" s="333">
        <f t="shared" si="189"/>
        <v>558335.76800000016</v>
      </c>
      <c r="FO83" s="519">
        <f t="shared" si="150"/>
        <v>257480.97599999997</v>
      </c>
      <c r="FP83" s="325">
        <f t="shared" si="151"/>
        <v>49680.295999999995</v>
      </c>
      <c r="FQ83" s="325">
        <f t="shared" si="152"/>
        <v>21381.648000000001</v>
      </c>
      <c r="FR83" s="325">
        <f t="shared" si="153"/>
        <v>732697.67200000002</v>
      </c>
      <c r="FS83" s="325">
        <f t="shared" si="154"/>
        <v>90573.8</v>
      </c>
      <c r="FT83" s="326">
        <f t="shared" si="155"/>
        <v>1710150.1600000004</v>
      </c>
      <c r="FU83" s="325">
        <f t="shared" si="190"/>
        <v>647659.13600000006</v>
      </c>
      <c r="FV83" s="325">
        <f t="shared" si="156"/>
        <v>0</v>
      </c>
      <c r="FW83" s="325">
        <f t="shared" si="157"/>
        <v>92896.76</v>
      </c>
      <c r="FX83" s="325">
        <f t="shared" si="158"/>
        <v>0</v>
      </c>
      <c r="FY83" s="325">
        <f t="shared" si="159"/>
        <v>755055.85600000003</v>
      </c>
      <c r="FZ83" s="325">
        <f t="shared" si="160"/>
        <v>81095.152000000002</v>
      </c>
      <c r="GA83" s="326">
        <f t="shared" si="191"/>
        <v>1576706.9040000001</v>
      </c>
      <c r="GB83" s="206">
        <f t="shared" si="192"/>
        <v>-13.791725158340057</v>
      </c>
      <c r="GC83" s="206" t="e">
        <f t="shared" si="193"/>
        <v>#DIV/0!</v>
      </c>
      <c r="GD83" s="206">
        <f t="shared" si="161"/>
        <v>-46.520959396215758</v>
      </c>
      <c r="GE83" s="206" t="e">
        <f t="shared" si="162"/>
        <v>#DIV/0!</v>
      </c>
      <c r="GF83" s="206">
        <f t="shared" si="163"/>
        <v>-2.961129805474954</v>
      </c>
      <c r="GG83" s="206">
        <f t="shared" si="164"/>
        <v>11.688304129450302</v>
      </c>
      <c r="GH83" s="205">
        <f t="shared" si="194"/>
        <v>8.463415468116736</v>
      </c>
    </row>
    <row r="84" spans="1:190">
      <c r="A84" s="319" t="s">
        <v>93</v>
      </c>
      <c r="B84" s="325">
        <v>203282.79200000002</v>
      </c>
      <c r="C84" s="325">
        <v>66953.768000000011</v>
      </c>
      <c r="D84" s="325">
        <v>22182.168000000001</v>
      </c>
      <c r="E84" s="325">
        <v>5265.0960000000005</v>
      </c>
      <c r="F84" s="325">
        <v>104110.864</v>
      </c>
      <c r="G84" s="325">
        <v>22886.712000000003</v>
      </c>
      <c r="H84" s="326">
        <f t="shared" si="165"/>
        <v>424681.40000000008</v>
      </c>
      <c r="I84" s="325">
        <v>213294.92800000001</v>
      </c>
      <c r="J84" s="325"/>
      <c r="K84" s="325">
        <v>28042.880000000005</v>
      </c>
      <c r="L84" s="325"/>
      <c r="M84" s="325">
        <v>87982.32</v>
      </c>
      <c r="N84" s="325">
        <v>14924.672</v>
      </c>
      <c r="O84" s="326">
        <f t="shared" si="166"/>
        <v>344244.80000000005</v>
      </c>
      <c r="P84" s="325">
        <v>221314.696</v>
      </c>
      <c r="Q84" s="325">
        <v>42619.872000000003</v>
      </c>
      <c r="R84" s="325">
        <v>28568.576000000001</v>
      </c>
      <c r="S84" s="325">
        <v>5529.16</v>
      </c>
      <c r="T84" s="325">
        <v>103278.48000000001</v>
      </c>
      <c r="U84" s="325">
        <v>16196.048000000001</v>
      </c>
      <c r="V84" s="326">
        <f t="shared" si="167"/>
        <v>417506.83199999999</v>
      </c>
      <c r="W84" s="325">
        <v>279076.91200000001</v>
      </c>
      <c r="X84" s="325"/>
      <c r="Y84" s="331">
        <v>35049.536</v>
      </c>
      <c r="Z84" s="331"/>
      <c r="AA84" s="325">
        <v>116365.28000000001</v>
      </c>
      <c r="AB84" s="325">
        <v>19052.232</v>
      </c>
      <c r="AC84" s="326">
        <f t="shared" si="168"/>
        <v>449543.96000000008</v>
      </c>
      <c r="AD84" s="325">
        <v>114693.97600000001</v>
      </c>
      <c r="AE84" s="325">
        <v>32370.056</v>
      </c>
      <c r="AF84" s="325">
        <v>10928.152000000002</v>
      </c>
      <c r="AG84" s="325">
        <v>2478.6240000000003</v>
      </c>
      <c r="AH84" s="325">
        <v>94110.36</v>
      </c>
      <c r="AI84" s="325">
        <v>13074.576000000001</v>
      </c>
      <c r="AJ84" s="326">
        <f t="shared" si="169"/>
        <v>267655.74400000001</v>
      </c>
      <c r="AK84" s="325">
        <v>143440.52800000002</v>
      </c>
      <c r="AL84" s="325"/>
      <c r="AM84" s="331">
        <v>14606.04</v>
      </c>
      <c r="AN84" s="331"/>
      <c r="AO84" s="325">
        <v>100521.408</v>
      </c>
      <c r="AP84" s="325">
        <v>13019.848</v>
      </c>
      <c r="AQ84" s="326">
        <f t="shared" si="170"/>
        <v>271587.82400000002</v>
      </c>
      <c r="AR84" s="325">
        <v>46351.528000000006</v>
      </c>
      <c r="AS84" s="325">
        <v>17392.135999999999</v>
      </c>
      <c r="AT84" s="325">
        <v>5470.2560000000003</v>
      </c>
      <c r="AU84" s="325">
        <v>746.50400000000002</v>
      </c>
      <c r="AV84" s="325">
        <v>42471.12</v>
      </c>
      <c r="AW84" s="325">
        <v>6821.4960000000001</v>
      </c>
      <c r="AX84" s="326">
        <f t="shared" si="171"/>
        <v>119253.04</v>
      </c>
      <c r="AY84" s="325">
        <v>145595.20800000001</v>
      </c>
      <c r="AZ84" s="325"/>
      <c r="BA84" s="325">
        <v>18342.992000000002</v>
      </c>
      <c r="BB84" s="325"/>
      <c r="BC84" s="325">
        <v>115986.23999999999</v>
      </c>
      <c r="BD84" s="325">
        <v>14884.776000000002</v>
      </c>
      <c r="BE84" s="326">
        <f t="shared" si="172"/>
        <v>294809.21600000001</v>
      </c>
      <c r="BF84" s="325">
        <v>39281.784000000007</v>
      </c>
      <c r="BG84" s="325">
        <v>14371.872000000001</v>
      </c>
      <c r="BH84" s="325">
        <v>4723.6160000000009</v>
      </c>
      <c r="BI84" s="325">
        <v>512.25600000000009</v>
      </c>
      <c r="BJ84" s="325">
        <v>55713.96</v>
      </c>
      <c r="BK84" s="325">
        <v>6117.3360000000002</v>
      </c>
      <c r="BL84" s="326">
        <f t="shared" si="173"/>
        <v>120720.82400000001</v>
      </c>
      <c r="BM84" s="325">
        <v>172200.848</v>
      </c>
      <c r="BN84" s="325"/>
      <c r="BO84" s="325">
        <v>23869.887999999999</v>
      </c>
      <c r="BP84" s="325"/>
      <c r="BQ84" s="325">
        <v>142291.61600000001</v>
      </c>
      <c r="BR84" s="325">
        <v>19044.376</v>
      </c>
      <c r="BS84" s="326">
        <f t="shared" si="174"/>
        <v>357406.728</v>
      </c>
      <c r="BT84" s="325">
        <v>52520.056000000011</v>
      </c>
      <c r="BU84" s="325">
        <v>16920</v>
      </c>
      <c r="BV84" s="325">
        <v>5683.5840000000007</v>
      </c>
      <c r="BW84" s="325">
        <v>993.84</v>
      </c>
      <c r="BX84" s="325">
        <v>68721.72</v>
      </c>
      <c r="BY84" s="325">
        <v>6669.2720000000008</v>
      </c>
      <c r="BZ84" s="326">
        <f t="shared" si="175"/>
        <v>151508.47200000001</v>
      </c>
      <c r="CA84" s="325">
        <v>143818.08000000002</v>
      </c>
      <c r="CB84" s="325"/>
      <c r="CC84" s="331">
        <v>20975.592000000001</v>
      </c>
      <c r="CD84" s="331"/>
      <c r="CE84" s="325">
        <v>108178.016</v>
      </c>
      <c r="CF84" s="325">
        <v>12251.335999999998</v>
      </c>
      <c r="CG84" s="326">
        <f t="shared" si="176"/>
        <v>285223.02400000003</v>
      </c>
      <c r="CH84" s="325">
        <v>107163.20800000001</v>
      </c>
      <c r="CI84" s="325">
        <v>26410.552000000003</v>
      </c>
      <c r="CJ84" s="325">
        <v>7561.6320000000014</v>
      </c>
      <c r="CK84" s="325">
        <v>1809.12</v>
      </c>
      <c r="CL84" s="325">
        <v>107588.28000000001</v>
      </c>
      <c r="CM84" s="325">
        <v>10192.831999999999</v>
      </c>
      <c r="CN84" s="326">
        <f t="shared" si="177"/>
        <v>260725.62400000001</v>
      </c>
      <c r="CO84" s="325">
        <v>73682.751999999993</v>
      </c>
      <c r="CP84" s="325"/>
      <c r="CQ84" s="331">
        <v>10008.744000000002</v>
      </c>
      <c r="CR84" s="331"/>
      <c r="CS84" s="325">
        <v>123415.424</v>
      </c>
      <c r="CT84" s="325">
        <v>30752.223999999998</v>
      </c>
      <c r="CU84" s="326">
        <f t="shared" si="178"/>
        <v>237859.14399999997</v>
      </c>
      <c r="CV84" s="325">
        <v>119480.992</v>
      </c>
      <c r="CW84" s="325">
        <v>24570.704000000005</v>
      </c>
      <c r="CX84" s="325">
        <v>14390.648000000001</v>
      </c>
      <c r="CY84" s="325">
        <v>1597.0639999999985</v>
      </c>
      <c r="CZ84" s="325">
        <v>112368.23999999999</v>
      </c>
      <c r="DA84" s="325">
        <v>10544.544000000004</v>
      </c>
      <c r="DB84" s="326">
        <f t="shared" si="179"/>
        <v>282952.19199999998</v>
      </c>
      <c r="DC84" s="325">
        <v>62992.832000000002</v>
      </c>
      <c r="DD84" s="325"/>
      <c r="DE84" s="331">
        <v>11789.696</v>
      </c>
      <c r="DF84" s="331"/>
      <c r="DG84" s="325">
        <v>128342.944</v>
      </c>
      <c r="DH84" s="325">
        <v>16912.248</v>
      </c>
      <c r="DI84" s="326">
        <f t="shared" si="180"/>
        <v>220037.72</v>
      </c>
      <c r="DJ84" s="325">
        <v>58027.936000000002</v>
      </c>
      <c r="DK84" s="325">
        <v>25122.648000000001</v>
      </c>
      <c r="DL84" s="325">
        <v>5766.2640000000001</v>
      </c>
      <c r="DM84" s="325">
        <v>2842.52</v>
      </c>
      <c r="DN84" s="325">
        <v>107274.84</v>
      </c>
      <c r="DO84" s="325">
        <v>16730.688000000002</v>
      </c>
      <c r="DP84" s="326">
        <f t="shared" si="181"/>
        <v>215764.89599999998</v>
      </c>
      <c r="DQ84" s="325">
        <v>55763.960000000006</v>
      </c>
      <c r="DR84" s="325"/>
      <c r="DS84" s="331">
        <v>6242.92</v>
      </c>
      <c r="DT84" s="331"/>
      <c r="DU84" s="325">
        <v>128949.40800000001</v>
      </c>
      <c r="DV84" s="325">
        <v>13949.528</v>
      </c>
      <c r="DW84" s="326">
        <f t="shared" si="182"/>
        <v>204905.81599999999</v>
      </c>
      <c r="DX84" s="325">
        <v>25052.712</v>
      </c>
      <c r="DY84" s="325">
        <v>59329.031999999999</v>
      </c>
      <c r="DZ84" s="325">
        <v>1234.232</v>
      </c>
      <c r="EA84" s="325">
        <v>5136.344000000001</v>
      </c>
      <c r="EB84" s="325">
        <v>136346.4</v>
      </c>
      <c r="EC84" s="325">
        <v>18254.448000000004</v>
      </c>
      <c r="ED84" s="326">
        <f t="shared" si="183"/>
        <v>245353.16800000001</v>
      </c>
      <c r="EE84" s="325">
        <v>45831.407999999996</v>
      </c>
      <c r="EF84" s="325"/>
      <c r="EG84" s="331">
        <v>7798.7920000000004</v>
      </c>
      <c r="EH84" s="331"/>
      <c r="EI84" s="325">
        <v>137818.94399999999</v>
      </c>
      <c r="EJ84" s="325">
        <v>15485.975999999999</v>
      </c>
      <c r="EK84" s="326">
        <f t="shared" si="184"/>
        <v>206935.11999999997</v>
      </c>
      <c r="EL84" s="325">
        <v>37330.328000000001</v>
      </c>
      <c r="EM84" s="325">
        <v>21197.632000000001</v>
      </c>
      <c r="EN84" s="325">
        <v>2971.3039999999996</v>
      </c>
      <c r="EO84" s="325">
        <v>1931.6000000000001</v>
      </c>
      <c r="EP84" s="325">
        <v>127021.56000000001</v>
      </c>
      <c r="EQ84" s="325">
        <v>16075.903999999999</v>
      </c>
      <c r="ER84" s="326">
        <f t="shared" si="185"/>
        <v>206528.32800000001</v>
      </c>
      <c r="ES84" s="325">
        <v>40292.631999999998</v>
      </c>
      <c r="ET84" s="325"/>
      <c r="EU84" s="331">
        <v>6086.4960000000001</v>
      </c>
      <c r="EV84" s="331"/>
      <c r="EW84" s="325">
        <v>122960.576</v>
      </c>
      <c r="EX84" s="325">
        <v>14356.592000000002</v>
      </c>
      <c r="EY84" s="326">
        <f t="shared" si="186"/>
        <v>183696.296</v>
      </c>
      <c r="EZ84" s="325">
        <v>41523.808000000005</v>
      </c>
      <c r="FA84" s="325">
        <v>15237.856</v>
      </c>
      <c r="FB84" s="325">
        <v>3954.1360000000004</v>
      </c>
      <c r="FC84" s="325">
        <v>2184.3840000000005</v>
      </c>
      <c r="FD84" s="325">
        <v>125532.72</v>
      </c>
      <c r="FE84" s="325">
        <v>15879.288</v>
      </c>
      <c r="FF84" s="326">
        <f t="shared" si="187"/>
        <v>204312.19200000001</v>
      </c>
      <c r="FG84" s="325">
        <v>41975.56</v>
      </c>
      <c r="FH84" s="325"/>
      <c r="FI84" s="331">
        <v>5696.2800000000007</v>
      </c>
      <c r="FJ84" s="331"/>
      <c r="FK84" s="325">
        <v>106965.08799999999</v>
      </c>
      <c r="FL84" s="325">
        <v>14507.592000000002</v>
      </c>
      <c r="FM84" s="326">
        <f t="shared" si="188"/>
        <v>169144.52</v>
      </c>
      <c r="FN84" s="333">
        <f t="shared" si="189"/>
        <v>1066023.8159999999</v>
      </c>
      <c r="FO84" s="519">
        <f t="shared" si="150"/>
        <v>362496.12800000003</v>
      </c>
      <c r="FP84" s="325">
        <f t="shared" si="151"/>
        <v>113434.568</v>
      </c>
      <c r="FQ84" s="325">
        <f t="shared" si="152"/>
        <v>31026.512000000002</v>
      </c>
      <c r="FR84" s="325">
        <f t="shared" si="153"/>
        <v>1184538.544</v>
      </c>
      <c r="FS84" s="325">
        <f t="shared" si="154"/>
        <v>159443.14400000003</v>
      </c>
      <c r="FT84" s="326">
        <f t="shared" si="155"/>
        <v>2916962.7119999998</v>
      </c>
      <c r="FU84" s="325">
        <f t="shared" si="190"/>
        <v>1417965.648</v>
      </c>
      <c r="FV84" s="325">
        <f t="shared" si="156"/>
        <v>0</v>
      </c>
      <c r="FW84" s="325">
        <f t="shared" si="157"/>
        <v>188509.85600000003</v>
      </c>
      <c r="FX84" s="325">
        <f t="shared" si="158"/>
        <v>0</v>
      </c>
      <c r="FY84" s="325">
        <f t="shared" si="159"/>
        <v>1419777.264</v>
      </c>
      <c r="FZ84" s="325">
        <f t="shared" si="160"/>
        <v>199141.4</v>
      </c>
      <c r="GA84" s="326">
        <f t="shared" si="191"/>
        <v>3225394.1680000001</v>
      </c>
      <c r="GB84" s="206">
        <f t="shared" si="192"/>
        <v>-24.820194515741903</v>
      </c>
      <c r="GC84" s="206" t="e">
        <f t="shared" si="193"/>
        <v>#DIV/0!</v>
      </c>
      <c r="GD84" s="206">
        <f t="shared" si="161"/>
        <v>-39.825656648955274</v>
      </c>
      <c r="GE84" s="206" t="e">
        <f t="shared" si="162"/>
        <v>#DIV/0!</v>
      </c>
      <c r="GF84" s="206">
        <f t="shared" si="163"/>
        <v>-16.568705948794516</v>
      </c>
      <c r="GG84" s="206">
        <f t="shared" si="164"/>
        <v>-19.93470770015675</v>
      </c>
      <c r="GH84" s="205">
        <f t="shared" si="194"/>
        <v>-9.5625973116722065</v>
      </c>
    </row>
    <row r="85" spans="1:190">
      <c r="A85" s="319" t="s">
        <v>94</v>
      </c>
      <c r="B85" s="325">
        <v>64615.952000000005</v>
      </c>
      <c r="C85" s="325">
        <v>11724.016000000001</v>
      </c>
      <c r="D85" s="325">
        <v>8445.4480000000003</v>
      </c>
      <c r="E85" s="325">
        <v>3252.7520000000004</v>
      </c>
      <c r="F85" s="325">
        <v>30533.047999999999</v>
      </c>
      <c r="G85" s="325">
        <v>4178.4480000000003</v>
      </c>
      <c r="H85" s="326">
        <f t="shared" si="165"/>
        <v>122749.664</v>
      </c>
      <c r="I85" s="325">
        <v>53067.088000000003</v>
      </c>
      <c r="J85" s="325"/>
      <c r="K85" s="325">
        <v>5727.0160000000005</v>
      </c>
      <c r="L85" s="325"/>
      <c r="M85" s="325">
        <v>24356.168000000001</v>
      </c>
      <c r="N85" s="325">
        <v>3190.6000000000004</v>
      </c>
      <c r="O85" s="326">
        <f t="shared" si="166"/>
        <v>86340.872000000018</v>
      </c>
      <c r="P85" s="325">
        <v>41620.016000000003</v>
      </c>
      <c r="Q85" s="325">
        <v>8931.0079999999998</v>
      </c>
      <c r="R85" s="325">
        <v>8008.92</v>
      </c>
      <c r="S85" s="325">
        <v>1141.4559999999999</v>
      </c>
      <c r="T85" s="325">
        <v>24840.120000000003</v>
      </c>
      <c r="U85" s="325">
        <v>3586.0960000000005</v>
      </c>
      <c r="V85" s="326">
        <f t="shared" si="167"/>
        <v>88127.616000000009</v>
      </c>
      <c r="W85" s="325">
        <v>61457.103999999999</v>
      </c>
      <c r="X85" s="325"/>
      <c r="Y85" s="331">
        <v>7949.7920000000004</v>
      </c>
      <c r="Z85" s="331"/>
      <c r="AA85" s="325">
        <v>23734.864000000001</v>
      </c>
      <c r="AB85" s="325">
        <v>3914.8960000000006</v>
      </c>
      <c r="AC85" s="326">
        <f t="shared" si="168"/>
        <v>97056.655999999988</v>
      </c>
      <c r="AD85" s="325">
        <v>28510.400000000001</v>
      </c>
      <c r="AE85" s="325">
        <v>5319.9520000000002</v>
      </c>
      <c r="AF85" s="325">
        <v>3603.056</v>
      </c>
      <c r="AG85" s="325">
        <v>536.85600000000011</v>
      </c>
      <c r="AH85" s="325">
        <v>23508</v>
      </c>
      <c r="AI85" s="325">
        <v>2315.424</v>
      </c>
      <c r="AJ85" s="326">
        <f t="shared" si="169"/>
        <v>63793.687999999995</v>
      </c>
      <c r="AK85" s="325">
        <v>23290.440000000002</v>
      </c>
      <c r="AL85" s="325"/>
      <c r="AM85" s="331">
        <v>2750.424</v>
      </c>
      <c r="AN85" s="331"/>
      <c r="AO85" s="325">
        <v>27828.632000000001</v>
      </c>
      <c r="AP85" s="325">
        <v>3052.1060000000002</v>
      </c>
      <c r="AQ85" s="326">
        <f t="shared" si="170"/>
        <v>56921.601999999999</v>
      </c>
      <c r="AR85" s="325">
        <v>12301.304</v>
      </c>
      <c r="AS85" s="325">
        <v>3246.9040000000005</v>
      </c>
      <c r="AT85" s="325">
        <v>914.24800000000005</v>
      </c>
      <c r="AU85" s="325">
        <v>216.76</v>
      </c>
      <c r="AV85" s="325">
        <v>12772.68</v>
      </c>
      <c r="AW85" s="325">
        <v>2167.52</v>
      </c>
      <c r="AX85" s="326">
        <f t="shared" si="171"/>
        <v>31619.416000000001</v>
      </c>
      <c r="AY85" s="325">
        <v>27436.272000000001</v>
      </c>
      <c r="AZ85" s="325"/>
      <c r="BA85" s="325">
        <v>6223.8879999999999</v>
      </c>
      <c r="BB85" s="325"/>
      <c r="BC85" s="325">
        <v>24729.407999999999</v>
      </c>
      <c r="BD85" s="325">
        <v>8402.9440000000013</v>
      </c>
      <c r="BE85" s="326">
        <f t="shared" si="172"/>
        <v>66792.512000000002</v>
      </c>
      <c r="BF85" s="325">
        <v>13853.008</v>
      </c>
      <c r="BG85" s="325">
        <v>3917.9440000000004</v>
      </c>
      <c r="BH85" s="325">
        <v>1024.72</v>
      </c>
      <c r="BI85" s="325">
        <v>278.84000000000003</v>
      </c>
      <c r="BJ85" s="325">
        <v>13477.920000000002</v>
      </c>
      <c r="BK85" s="325">
        <v>1431.3200000000002</v>
      </c>
      <c r="BL85" s="326">
        <f t="shared" si="173"/>
        <v>33983.752000000008</v>
      </c>
      <c r="BM85" s="325">
        <v>33305.207999999999</v>
      </c>
      <c r="BN85" s="325"/>
      <c r="BO85" s="325">
        <v>5250.3040000000001</v>
      </c>
      <c r="BP85" s="325"/>
      <c r="BQ85" s="325">
        <v>30791.176000000003</v>
      </c>
      <c r="BR85" s="325">
        <v>4474.3180000000002</v>
      </c>
      <c r="BS85" s="326">
        <f t="shared" si="174"/>
        <v>73821.006000000008</v>
      </c>
      <c r="BT85" s="325">
        <v>14661.528000000004</v>
      </c>
      <c r="BU85" s="325">
        <v>2119.9919999999997</v>
      </c>
      <c r="BV85" s="325">
        <v>1978.7439999999999</v>
      </c>
      <c r="BW85" s="325">
        <v>867.35200000000009</v>
      </c>
      <c r="BX85" s="325">
        <v>22881.120000000003</v>
      </c>
      <c r="BY85" s="325">
        <v>1027.9440000000002</v>
      </c>
      <c r="BZ85" s="326">
        <f t="shared" si="175"/>
        <v>43536.680000000008</v>
      </c>
      <c r="CA85" s="325">
        <v>32050.519999999997</v>
      </c>
      <c r="CB85" s="325"/>
      <c r="CC85" s="331">
        <v>7880.8959999999997</v>
      </c>
      <c r="CD85" s="331"/>
      <c r="CE85" s="325">
        <v>27841.304</v>
      </c>
      <c r="CF85" s="325">
        <v>2509.0000000000005</v>
      </c>
      <c r="CG85" s="326">
        <f t="shared" si="176"/>
        <v>70281.72</v>
      </c>
      <c r="CH85" s="325">
        <v>30025.335999999999</v>
      </c>
      <c r="CI85" s="325">
        <v>2514.9840000000027</v>
      </c>
      <c r="CJ85" s="325">
        <v>5601.0879999999997</v>
      </c>
      <c r="CK85" s="325">
        <v>1663.8879999999999</v>
      </c>
      <c r="CL85" s="325">
        <v>33929.879999999997</v>
      </c>
      <c r="CM85" s="325">
        <v>1362.44</v>
      </c>
      <c r="CN85" s="326">
        <f t="shared" si="177"/>
        <v>75097.616000000009</v>
      </c>
      <c r="CO85" s="325">
        <v>13628.024000000001</v>
      </c>
      <c r="CP85" s="325"/>
      <c r="CQ85" s="331">
        <v>2926.2400000000002</v>
      </c>
      <c r="CR85" s="331"/>
      <c r="CS85" s="325">
        <v>33978.76</v>
      </c>
      <c r="CT85" s="325">
        <v>4177.5840000000007</v>
      </c>
      <c r="CU85" s="326">
        <f t="shared" si="178"/>
        <v>54710.608000000007</v>
      </c>
      <c r="CV85" s="325">
        <v>39957.271999999997</v>
      </c>
      <c r="CW85" s="325">
        <v>8196.6640000000025</v>
      </c>
      <c r="CX85" s="325">
        <v>5675.3680000000004</v>
      </c>
      <c r="CY85" s="325">
        <v>241.51999999999973</v>
      </c>
      <c r="CZ85" s="325">
        <v>37691.160000000003</v>
      </c>
      <c r="DA85" s="325">
        <v>5693.4080000000004</v>
      </c>
      <c r="DB85" s="326">
        <f t="shared" si="179"/>
        <v>97455.391999999993</v>
      </c>
      <c r="DC85" s="325">
        <v>11209.088</v>
      </c>
      <c r="DD85" s="325"/>
      <c r="DE85" s="331">
        <v>3740.8320000000003</v>
      </c>
      <c r="DF85" s="331"/>
      <c r="DG85" s="325">
        <v>33512.864000000001</v>
      </c>
      <c r="DH85" s="325">
        <v>3814.62</v>
      </c>
      <c r="DI85" s="326">
        <f t="shared" si="180"/>
        <v>52277.404000000002</v>
      </c>
      <c r="DJ85" s="325">
        <v>18491.184000000001</v>
      </c>
      <c r="DK85" s="325">
        <v>7317.4720000000007</v>
      </c>
      <c r="DL85" s="325">
        <v>1573.672</v>
      </c>
      <c r="DM85" s="325">
        <v>683.74400000000014</v>
      </c>
      <c r="DN85" s="325">
        <v>33067.920000000006</v>
      </c>
      <c r="DO85" s="325">
        <v>3805.5280000000002</v>
      </c>
      <c r="DP85" s="326">
        <f t="shared" si="181"/>
        <v>64939.520000000004</v>
      </c>
      <c r="DQ85" s="325">
        <v>11558.992000000002</v>
      </c>
      <c r="DR85" s="325"/>
      <c r="DS85" s="331">
        <v>1784.64</v>
      </c>
      <c r="DT85" s="331"/>
      <c r="DU85" s="325">
        <v>31015.271999999997</v>
      </c>
      <c r="DV85" s="325">
        <v>2730.32</v>
      </c>
      <c r="DW85" s="326">
        <f t="shared" si="182"/>
        <v>47089.223999999995</v>
      </c>
      <c r="DX85" s="325">
        <v>6063.2640000000001</v>
      </c>
      <c r="DY85" s="325">
        <v>11390.368000000002</v>
      </c>
      <c r="DZ85" s="325">
        <v>1425.48</v>
      </c>
      <c r="EA85" s="325">
        <v>685.88800000000015</v>
      </c>
      <c r="EB85" s="325">
        <v>44508.480000000003</v>
      </c>
      <c r="EC85" s="325">
        <v>4369.6399999999994</v>
      </c>
      <c r="ED85" s="326">
        <f t="shared" si="183"/>
        <v>68443.12</v>
      </c>
      <c r="EE85" s="325">
        <v>10256.416000000001</v>
      </c>
      <c r="EF85" s="325"/>
      <c r="EG85" s="331">
        <v>2684.5839999999998</v>
      </c>
      <c r="EH85" s="331"/>
      <c r="EI85" s="325">
        <v>40800.536</v>
      </c>
      <c r="EJ85" s="325">
        <v>3533.6320000000001</v>
      </c>
      <c r="EK85" s="326">
        <f t="shared" si="184"/>
        <v>57275.167999999998</v>
      </c>
      <c r="EL85" s="325">
        <v>10168.584000000001</v>
      </c>
      <c r="EM85" s="325">
        <v>3505.6400000000003</v>
      </c>
      <c r="EN85" s="325">
        <v>1760.7040000000002</v>
      </c>
      <c r="EO85" s="325">
        <v>419.19200000000001</v>
      </c>
      <c r="EP85" s="325">
        <v>37221</v>
      </c>
      <c r="EQ85" s="325">
        <v>4494.5120000000006</v>
      </c>
      <c r="ER85" s="326">
        <f t="shared" si="185"/>
        <v>57569.632000000005</v>
      </c>
      <c r="ES85" s="325">
        <v>9065.8719999999994</v>
      </c>
      <c r="ET85" s="325"/>
      <c r="EU85" s="331">
        <v>2301.3760000000002</v>
      </c>
      <c r="EV85" s="331"/>
      <c r="EW85" s="325">
        <v>31636.847999999998</v>
      </c>
      <c r="EX85" s="325">
        <v>5756.7039999999997</v>
      </c>
      <c r="EY85" s="326">
        <f t="shared" si="186"/>
        <v>48760.799999999996</v>
      </c>
      <c r="EZ85" s="325">
        <v>14427.848000000002</v>
      </c>
      <c r="FA85" s="325">
        <v>13957.855999999998</v>
      </c>
      <c r="FB85" s="325">
        <v>2059.712</v>
      </c>
      <c r="FC85" s="325">
        <v>2099.7920000000004</v>
      </c>
      <c r="FD85" s="325">
        <v>34556.76</v>
      </c>
      <c r="FE85" s="325">
        <v>8478.6080000000002</v>
      </c>
      <c r="FF85" s="326">
        <f t="shared" si="187"/>
        <v>75580.576000000001</v>
      </c>
      <c r="FG85" s="325">
        <v>8354.4560000000019</v>
      </c>
      <c r="FH85" s="325"/>
      <c r="FI85" s="331">
        <v>1075.9680000000001</v>
      </c>
      <c r="FJ85" s="331"/>
      <c r="FK85" s="325">
        <v>23973.928</v>
      </c>
      <c r="FL85" s="325">
        <v>3277.4880000000003</v>
      </c>
      <c r="FM85" s="326">
        <f t="shared" si="188"/>
        <v>36681.839999999997</v>
      </c>
      <c r="FN85" s="333">
        <f t="shared" si="189"/>
        <v>294695.696</v>
      </c>
      <c r="FO85" s="519">
        <f t="shared" si="150"/>
        <v>82142.800000000017</v>
      </c>
      <c r="FP85" s="325">
        <f t="shared" si="151"/>
        <v>42071.16</v>
      </c>
      <c r="FQ85" s="325">
        <f t="shared" si="152"/>
        <v>12088.040000000005</v>
      </c>
      <c r="FR85" s="325">
        <f t="shared" si="153"/>
        <v>348988.08800000005</v>
      </c>
      <c r="FS85" s="325">
        <f t="shared" si="154"/>
        <v>42910.888000000006</v>
      </c>
      <c r="FT85" s="326">
        <f t="shared" si="155"/>
        <v>822896.67200000014</v>
      </c>
      <c r="FU85" s="325">
        <f t="shared" si="190"/>
        <v>294679.48000000004</v>
      </c>
      <c r="FV85" s="325">
        <f t="shared" si="156"/>
        <v>0</v>
      </c>
      <c r="FW85" s="325">
        <f t="shared" si="157"/>
        <v>50295.96</v>
      </c>
      <c r="FX85" s="325">
        <f t="shared" si="158"/>
        <v>0</v>
      </c>
      <c r="FY85" s="325">
        <f t="shared" si="159"/>
        <v>354199.76</v>
      </c>
      <c r="FZ85" s="325">
        <f t="shared" si="160"/>
        <v>48834.212</v>
      </c>
      <c r="GA85" s="326">
        <f t="shared" si="191"/>
        <v>748009.41200000001</v>
      </c>
      <c r="GB85" s="206">
        <f t="shared" si="192"/>
        <v>5.5029281305678523E-3</v>
      </c>
      <c r="GC85" s="206" t="e">
        <f t="shared" si="193"/>
        <v>#DIV/0!</v>
      </c>
      <c r="GD85" s="206">
        <f t="shared" si="161"/>
        <v>-16.352804479723616</v>
      </c>
      <c r="GE85" s="206" t="e">
        <f t="shared" si="162"/>
        <v>#DIV/0!</v>
      </c>
      <c r="GF85" s="206">
        <f t="shared" si="163"/>
        <v>-1.4713934306448806</v>
      </c>
      <c r="GG85" s="206">
        <f t="shared" si="164"/>
        <v>-12.129455472732914</v>
      </c>
      <c r="GH85" s="205">
        <f t="shared" si="194"/>
        <v>10.011539801320055</v>
      </c>
    </row>
    <row r="86" spans="1:190">
      <c r="A86" s="319" t="s">
        <v>92</v>
      </c>
      <c r="B86" s="325">
        <v>662450.64000000013</v>
      </c>
      <c r="C86" s="325">
        <v>163800.576</v>
      </c>
      <c r="D86" s="325">
        <v>106628.96000000002</v>
      </c>
      <c r="E86" s="325">
        <v>44301.504000000001</v>
      </c>
      <c r="F86" s="325">
        <v>371881.54399999999</v>
      </c>
      <c r="G86" s="325">
        <v>61992.088000000003</v>
      </c>
      <c r="H86" s="326">
        <f t="shared" si="165"/>
        <v>1411055.3120000002</v>
      </c>
      <c r="I86" s="325">
        <v>707556.82400000002</v>
      </c>
      <c r="J86" s="325"/>
      <c r="K86" s="325">
        <v>107899.16800000002</v>
      </c>
      <c r="L86" s="325"/>
      <c r="M86" s="325">
        <v>370893.08799999999</v>
      </c>
      <c r="N86" s="325">
        <v>30751.839999999997</v>
      </c>
      <c r="O86" s="326">
        <f t="shared" si="166"/>
        <v>1217100.9200000002</v>
      </c>
      <c r="P86" s="325">
        <v>563936.01600000006</v>
      </c>
      <c r="Q86" s="325">
        <v>115342.728</v>
      </c>
      <c r="R86" s="325">
        <v>106411.66399999999</v>
      </c>
      <c r="S86" s="325">
        <v>30599.135999999999</v>
      </c>
      <c r="T86" s="325">
        <v>424946.28</v>
      </c>
      <c r="U86" s="325">
        <v>46965.248</v>
      </c>
      <c r="V86" s="326">
        <f t="shared" si="167"/>
        <v>1288201.0719999999</v>
      </c>
      <c r="W86" s="325">
        <v>658893.52</v>
      </c>
      <c r="X86" s="325"/>
      <c r="Y86" s="331">
        <v>126652.24800000001</v>
      </c>
      <c r="Z86" s="331"/>
      <c r="AA86" s="325">
        <v>469933.79200000002</v>
      </c>
      <c r="AB86" s="325">
        <v>27493.536</v>
      </c>
      <c r="AC86" s="326">
        <f t="shared" si="168"/>
        <v>1282973.0960000001</v>
      </c>
      <c r="AD86" s="325">
        <v>344323.32000000007</v>
      </c>
      <c r="AE86" s="325">
        <v>108481.66399999999</v>
      </c>
      <c r="AF86" s="325">
        <v>78715.504000000015</v>
      </c>
      <c r="AG86" s="325">
        <v>32049.304</v>
      </c>
      <c r="AH86" s="325">
        <v>453234.24000000005</v>
      </c>
      <c r="AI86" s="325">
        <v>46103.76</v>
      </c>
      <c r="AJ86" s="326">
        <f t="shared" si="169"/>
        <v>1062907.7920000001</v>
      </c>
      <c r="AK86" s="325">
        <v>294907.40000000002</v>
      </c>
      <c r="AL86" s="325"/>
      <c r="AM86" s="331">
        <v>56314.640000000007</v>
      </c>
      <c r="AN86" s="331"/>
      <c r="AO86" s="325">
        <v>454848</v>
      </c>
      <c r="AP86" s="325">
        <v>20474.168000000001</v>
      </c>
      <c r="AQ86" s="326">
        <f t="shared" si="170"/>
        <v>826544.20799999998</v>
      </c>
      <c r="AR86" s="325">
        <v>149972.90400000001</v>
      </c>
      <c r="AS86" s="325">
        <v>61886.456000000006</v>
      </c>
      <c r="AT86" s="325">
        <v>32472.976000000002</v>
      </c>
      <c r="AU86" s="325">
        <v>17739.04</v>
      </c>
      <c r="AV86" s="325">
        <v>291264.12000000005</v>
      </c>
      <c r="AW86" s="325">
        <v>25708.336000000003</v>
      </c>
      <c r="AX86" s="326">
        <f t="shared" si="171"/>
        <v>579043.83200000005</v>
      </c>
      <c r="AY86" s="325">
        <v>341106.90399999998</v>
      </c>
      <c r="AZ86" s="325"/>
      <c r="BA86" s="325">
        <v>73679.208000000013</v>
      </c>
      <c r="BB86" s="325"/>
      <c r="BC86" s="325">
        <v>532096.35199999996</v>
      </c>
      <c r="BD86" s="325">
        <v>25562.016000000003</v>
      </c>
      <c r="BE86" s="326">
        <f t="shared" si="172"/>
        <v>972444.48</v>
      </c>
      <c r="BF86" s="325">
        <v>155391.22400000002</v>
      </c>
      <c r="BG86" s="325">
        <v>58469.368000000009</v>
      </c>
      <c r="BH86" s="325">
        <v>30086.440000000002</v>
      </c>
      <c r="BI86" s="325">
        <v>12153.68</v>
      </c>
      <c r="BJ86" s="325">
        <v>427218.72000000003</v>
      </c>
      <c r="BK86" s="325">
        <v>26532.560000000001</v>
      </c>
      <c r="BL86" s="326">
        <f t="shared" si="173"/>
        <v>709851.99200000009</v>
      </c>
      <c r="BM86" s="325">
        <v>414692.98400000005</v>
      </c>
      <c r="BN86" s="325"/>
      <c r="BO86" s="325">
        <v>90451.888000000006</v>
      </c>
      <c r="BP86" s="325"/>
      <c r="BQ86" s="325">
        <v>552261.28</v>
      </c>
      <c r="BR86" s="325">
        <v>25451.991999999998</v>
      </c>
      <c r="BS86" s="326">
        <f t="shared" si="174"/>
        <v>1082858.1440000003</v>
      </c>
      <c r="BT86" s="325">
        <v>214869.16000000003</v>
      </c>
      <c r="BU86" s="325">
        <v>66993.304000000004</v>
      </c>
      <c r="BV86" s="325">
        <v>48530.880000000005</v>
      </c>
      <c r="BW86" s="325">
        <v>16490.952000000001</v>
      </c>
      <c r="BX86" s="325">
        <v>492335.88</v>
      </c>
      <c r="BY86" s="325">
        <v>27349.384000000002</v>
      </c>
      <c r="BZ86" s="326">
        <f t="shared" si="175"/>
        <v>866569.55999999994</v>
      </c>
      <c r="CA86" s="325">
        <v>315618.58400000003</v>
      </c>
      <c r="CB86" s="325"/>
      <c r="CC86" s="331">
        <v>75136.800000000003</v>
      </c>
      <c r="CD86" s="331"/>
      <c r="CE86" s="325">
        <v>367766.44</v>
      </c>
      <c r="CF86" s="325">
        <v>21240.128000000001</v>
      </c>
      <c r="CG86" s="326">
        <f t="shared" si="176"/>
        <v>779761.95200000005</v>
      </c>
      <c r="CH86" s="325">
        <v>333465.31200000003</v>
      </c>
      <c r="CI86" s="325">
        <v>58988.439999999995</v>
      </c>
      <c r="CJ86" s="325">
        <v>56680.959999999999</v>
      </c>
      <c r="CK86" s="325">
        <v>15796.040000000003</v>
      </c>
      <c r="CL86" s="325">
        <v>559255.32000000007</v>
      </c>
      <c r="CM86" s="325">
        <v>27767.824000000001</v>
      </c>
      <c r="CN86" s="326">
        <f t="shared" si="177"/>
        <v>1051953.8960000002</v>
      </c>
      <c r="CO86" s="325">
        <v>130715.31200000001</v>
      </c>
      <c r="CP86" s="325"/>
      <c r="CQ86" s="331">
        <v>36180.800000000003</v>
      </c>
      <c r="CR86" s="331"/>
      <c r="CS86" s="325">
        <v>555900.06400000001</v>
      </c>
      <c r="CT86" s="325">
        <v>29769.352000000006</v>
      </c>
      <c r="CU86" s="326">
        <f t="shared" si="178"/>
        <v>752565.52799999993</v>
      </c>
      <c r="CV86" s="325">
        <v>320284.08</v>
      </c>
      <c r="CW86" s="325">
        <v>64240.86400000006</v>
      </c>
      <c r="CX86" s="325">
        <v>60975.088000000003</v>
      </c>
      <c r="CY86" s="325">
        <v>10409.471999999998</v>
      </c>
      <c r="CZ86" s="325">
        <v>558785.16</v>
      </c>
      <c r="DA86" s="325">
        <v>34528.207999999999</v>
      </c>
      <c r="DB86" s="326">
        <f t="shared" si="179"/>
        <v>1049222.8720000002</v>
      </c>
      <c r="DC86" s="325">
        <v>105459.05600000001</v>
      </c>
      <c r="DD86" s="325"/>
      <c r="DE86" s="331">
        <v>27615.08</v>
      </c>
      <c r="DF86" s="331"/>
      <c r="DG86" s="325">
        <v>516100.864</v>
      </c>
      <c r="DH86" s="325">
        <v>27653.920000000002</v>
      </c>
      <c r="DI86" s="326">
        <f t="shared" si="180"/>
        <v>676828.92</v>
      </c>
      <c r="DJ86" s="325">
        <v>116131.152</v>
      </c>
      <c r="DK86" s="325">
        <v>63436</v>
      </c>
      <c r="DL86" s="325">
        <v>22474.135999999999</v>
      </c>
      <c r="DM86" s="325">
        <v>16162.368000000006</v>
      </c>
      <c r="DN86" s="325">
        <v>548911.80000000005</v>
      </c>
      <c r="DO86" s="325">
        <v>44242.504000000001</v>
      </c>
      <c r="DP86" s="326">
        <f t="shared" si="181"/>
        <v>811357.96</v>
      </c>
      <c r="DQ86" s="325">
        <v>96213.376000000004</v>
      </c>
      <c r="DR86" s="325"/>
      <c r="DS86" s="331">
        <v>29469.992000000002</v>
      </c>
      <c r="DT86" s="331"/>
      <c r="DU86" s="325">
        <v>501394.11200000002</v>
      </c>
      <c r="DV86" s="325">
        <v>26762.448000000004</v>
      </c>
      <c r="DW86" s="326">
        <f t="shared" si="182"/>
        <v>653839.92799999996</v>
      </c>
      <c r="DX86" s="325">
        <v>52082.144</v>
      </c>
      <c r="DY86" s="325">
        <v>107887.91200000001</v>
      </c>
      <c r="DZ86" s="325">
        <v>9027.848</v>
      </c>
      <c r="EA86" s="325">
        <v>17819.439999999999</v>
      </c>
      <c r="EB86" s="325">
        <v>583703.64</v>
      </c>
      <c r="EC86" s="325">
        <v>37896.19200000001</v>
      </c>
      <c r="ED86" s="326">
        <f t="shared" si="183"/>
        <v>808417.17600000009</v>
      </c>
      <c r="EE86" s="325">
        <v>132703.21600000001</v>
      </c>
      <c r="EF86" s="325"/>
      <c r="EG86" s="331">
        <v>37295.936000000002</v>
      </c>
      <c r="EH86" s="331"/>
      <c r="EI86" s="325">
        <v>555445.21600000001</v>
      </c>
      <c r="EJ86" s="325">
        <v>48861.416000000005</v>
      </c>
      <c r="EK86" s="326">
        <f t="shared" si="184"/>
        <v>774305.78399999999</v>
      </c>
      <c r="EL86" s="325">
        <v>87188.944000000018</v>
      </c>
      <c r="EM86" s="325">
        <v>55170.335999999988</v>
      </c>
      <c r="EN86" s="325">
        <v>15988.839999999997</v>
      </c>
      <c r="EO86" s="325">
        <v>10213.632000000001</v>
      </c>
      <c r="EP86" s="325">
        <v>505186.92000000004</v>
      </c>
      <c r="EQ86" s="325">
        <v>44387.752000000008</v>
      </c>
      <c r="ER86" s="326">
        <f t="shared" si="185"/>
        <v>718136.424</v>
      </c>
      <c r="ES86" s="325">
        <v>122871.61600000001</v>
      </c>
      <c r="ET86" s="325"/>
      <c r="EU86" s="331">
        <v>23967.296000000002</v>
      </c>
      <c r="EV86" s="331"/>
      <c r="EW86" s="325">
        <v>484488.92800000007</v>
      </c>
      <c r="EX86" s="325">
        <v>55186.736000000004</v>
      </c>
      <c r="EY86" s="326">
        <f t="shared" si="186"/>
        <v>686514.57600000012</v>
      </c>
      <c r="EZ86" s="325">
        <v>94481.104000000007</v>
      </c>
      <c r="FA86" s="325">
        <v>52872.58400000001</v>
      </c>
      <c r="FB86" s="325">
        <v>13659.264000000003</v>
      </c>
      <c r="FC86" s="325">
        <v>9324.5919999999987</v>
      </c>
      <c r="FD86" s="325">
        <v>482854.32000000007</v>
      </c>
      <c r="FE86" s="325">
        <v>38493.807999999997</v>
      </c>
      <c r="FF86" s="326">
        <f t="shared" si="187"/>
        <v>691685.67200000002</v>
      </c>
      <c r="FG86" s="325">
        <v>233574.712</v>
      </c>
      <c r="FH86" s="325"/>
      <c r="FI86" s="331">
        <v>54082.872000000003</v>
      </c>
      <c r="FJ86" s="331"/>
      <c r="FK86" s="325">
        <v>430589.44000000006</v>
      </c>
      <c r="FL86" s="325">
        <v>88755.24</v>
      </c>
      <c r="FM86" s="326">
        <f t="shared" si="188"/>
        <v>807002.26400000008</v>
      </c>
      <c r="FN86" s="333">
        <f t="shared" si="189"/>
        <v>3094576</v>
      </c>
      <c r="FO86" s="519">
        <f t="shared" si="150"/>
        <v>977570.23200000008</v>
      </c>
      <c r="FP86" s="325">
        <f t="shared" si="151"/>
        <v>581652.55999999994</v>
      </c>
      <c r="FQ86" s="325">
        <f t="shared" si="152"/>
        <v>233059.16000000003</v>
      </c>
      <c r="FR86" s="325">
        <f t="shared" si="153"/>
        <v>5699577.9440000001</v>
      </c>
      <c r="FS86" s="325">
        <f t="shared" si="154"/>
        <v>461967.66400000005</v>
      </c>
      <c r="FT86" s="326">
        <f t="shared" si="155"/>
        <v>11048403.560000001</v>
      </c>
      <c r="FU86" s="325">
        <f t="shared" si="190"/>
        <v>3554313.5039999997</v>
      </c>
      <c r="FV86" s="325">
        <f t="shared" si="156"/>
        <v>0</v>
      </c>
      <c r="FW86" s="325">
        <f t="shared" si="157"/>
        <v>738745.92800000007</v>
      </c>
      <c r="FX86" s="325">
        <f t="shared" si="158"/>
        <v>0</v>
      </c>
      <c r="FY86" s="325">
        <f t="shared" si="159"/>
        <v>5791717.5760000004</v>
      </c>
      <c r="FZ86" s="325">
        <f t="shared" si="160"/>
        <v>427962.79200000002</v>
      </c>
      <c r="GA86" s="326">
        <f t="shared" si="191"/>
        <v>10512739.800000001</v>
      </c>
      <c r="GB86" s="206">
        <f t="shared" si="192"/>
        <v>-12.934635717491275</v>
      </c>
      <c r="GC86" s="206" t="e">
        <f t="shared" si="193"/>
        <v>#DIV/0!</v>
      </c>
      <c r="GD86" s="206">
        <f t="shared" si="161"/>
        <v>-21.264870917840113</v>
      </c>
      <c r="GE86" s="206" t="e">
        <f t="shared" si="162"/>
        <v>#DIV/0!</v>
      </c>
      <c r="GF86" s="206">
        <f t="shared" si="163"/>
        <v>-1.5908861368139355</v>
      </c>
      <c r="GG86" s="206">
        <f t="shared" si="164"/>
        <v>7.945754312211335</v>
      </c>
      <c r="GH86" s="205">
        <f t="shared" si="194"/>
        <v>5.09537732494816</v>
      </c>
    </row>
    <row r="87" spans="1:190">
      <c r="A87" s="319" t="s">
        <v>95</v>
      </c>
      <c r="B87" s="325">
        <v>926093.58400000003</v>
      </c>
      <c r="C87" s="325">
        <v>146034.54399999999</v>
      </c>
      <c r="D87" s="325">
        <v>125810.91200000001</v>
      </c>
      <c r="E87" s="325">
        <v>18606</v>
      </c>
      <c r="F87" s="325">
        <v>344969.68</v>
      </c>
      <c r="G87" s="325">
        <v>61254.712000000014</v>
      </c>
      <c r="H87" s="326">
        <f t="shared" si="165"/>
        <v>1622769.432</v>
      </c>
      <c r="I87" s="325">
        <v>1073167.6259999999</v>
      </c>
      <c r="J87" s="325"/>
      <c r="K87" s="325">
        <v>134278.89800000002</v>
      </c>
      <c r="L87" s="325"/>
      <c r="M87" s="325">
        <v>340951.53600000002</v>
      </c>
      <c r="N87" s="325">
        <v>55558.090000000004</v>
      </c>
      <c r="O87" s="326">
        <f t="shared" si="166"/>
        <v>1603956.1500000001</v>
      </c>
      <c r="P87" s="325">
        <v>789365.62400000007</v>
      </c>
      <c r="Q87" s="325">
        <v>99699.280000000013</v>
      </c>
      <c r="R87" s="325">
        <v>143578.17600000001</v>
      </c>
      <c r="S87" s="325">
        <v>16482.960000000003</v>
      </c>
      <c r="T87" s="325">
        <v>335759.84</v>
      </c>
      <c r="U87" s="325">
        <v>51662.624000000003</v>
      </c>
      <c r="V87" s="326">
        <f t="shared" si="167"/>
        <v>1436548.5040000002</v>
      </c>
      <c r="W87" s="325">
        <v>988777.14200000011</v>
      </c>
      <c r="X87" s="325"/>
      <c r="Y87" s="331">
        <v>164209.36000000004</v>
      </c>
      <c r="Z87" s="331"/>
      <c r="AA87" s="325">
        <v>370837.08799999999</v>
      </c>
      <c r="AB87" s="325">
        <v>53682.76400000001</v>
      </c>
      <c r="AC87" s="326">
        <f t="shared" si="168"/>
        <v>1577506.3540000001</v>
      </c>
      <c r="AD87" s="325">
        <v>445397.48</v>
      </c>
      <c r="AE87" s="325">
        <v>93884.104000000007</v>
      </c>
      <c r="AF87" s="325">
        <v>75875.376000000004</v>
      </c>
      <c r="AG87" s="325">
        <v>15240.936000000002</v>
      </c>
      <c r="AH87" s="325">
        <v>299724.44800000003</v>
      </c>
      <c r="AI87" s="325">
        <v>51521.655999999995</v>
      </c>
      <c r="AJ87" s="326">
        <f t="shared" si="169"/>
        <v>981644</v>
      </c>
      <c r="AK87" s="325">
        <v>372572.73</v>
      </c>
      <c r="AL87" s="325"/>
      <c r="AM87" s="331">
        <v>53766.648000000001</v>
      </c>
      <c r="AN87" s="331"/>
      <c r="AO87" s="325">
        <v>340756.96</v>
      </c>
      <c r="AP87" s="325">
        <v>41941.353999999999</v>
      </c>
      <c r="AQ87" s="326">
        <f t="shared" si="170"/>
        <v>809037.69200000004</v>
      </c>
      <c r="AR87" s="325">
        <v>166387.23200000002</v>
      </c>
      <c r="AS87" s="325">
        <v>55580.104000000007</v>
      </c>
      <c r="AT87" s="325">
        <v>23336.848000000002</v>
      </c>
      <c r="AU87" s="325">
        <v>8184.8</v>
      </c>
      <c r="AV87" s="325">
        <v>123649.52800000001</v>
      </c>
      <c r="AW87" s="325">
        <v>31526.144000000004</v>
      </c>
      <c r="AX87" s="326">
        <f t="shared" si="171"/>
        <v>408664.65600000002</v>
      </c>
      <c r="AY87" s="325">
        <v>418887.4</v>
      </c>
      <c r="AZ87" s="325"/>
      <c r="BA87" s="325">
        <v>67375</v>
      </c>
      <c r="BB87" s="325"/>
      <c r="BC87" s="325">
        <v>365849.40800000005</v>
      </c>
      <c r="BD87" s="325">
        <v>40191.423999999999</v>
      </c>
      <c r="BE87" s="326">
        <f t="shared" si="172"/>
        <v>892303.23200000008</v>
      </c>
      <c r="BF87" s="325">
        <v>140905.04</v>
      </c>
      <c r="BG87" s="325">
        <v>44998.815999999999</v>
      </c>
      <c r="BH87" s="325">
        <v>15936.495999999999</v>
      </c>
      <c r="BI87" s="325">
        <v>7156.4240000000009</v>
      </c>
      <c r="BJ87" s="325">
        <v>149824.32000000001</v>
      </c>
      <c r="BK87" s="325">
        <v>22940.631999999994</v>
      </c>
      <c r="BL87" s="326">
        <f t="shared" si="173"/>
        <v>381761.728</v>
      </c>
      <c r="BM87" s="325">
        <v>523988.64</v>
      </c>
      <c r="BN87" s="325"/>
      <c r="BO87" s="325">
        <v>72035.888000000006</v>
      </c>
      <c r="BP87" s="325"/>
      <c r="BQ87" s="325">
        <v>443848.01600000006</v>
      </c>
      <c r="BR87" s="325">
        <v>36765.592000000004</v>
      </c>
      <c r="BS87" s="326">
        <f t="shared" si="174"/>
        <v>1076638.1360000002</v>
      </c>
      <c r="BT87" s="325">
        <v>233695.52800000005</v>
      </c>
      <c r="BU87" s="325">
        <v>63753.872000000003</v>
      </c>
      <c r="BV87" s="325">
        <v>34346.624000000003</v>
      </c>
      <c r="BW87" s="325">
        <v>6892.7520000000004</v>
      </c>
      <c r="BX87" s="325">
        <v>233277.72000000003</v>
      </c>
      <c r="BY87" s="325">
        <v>31326.879999999997</v>
      </c>
      <c r="BZ87" s="326">
        <f t="shared" si="175"/>
        <v>603293.37600000005</v>
      </c>
      <c r="CA87" s="325">
        <v>428903.81600000005</v>
      </c>
      <c r="CB87" s="325"/>
      <c r="CC87" s="331">
        <v>85065.407999999996</v>
      </c>
      <c r="CD87" s="331"/>
      <c r="CE87" s="325">
        <v>439668.80000000005</v>
      </c>
      <c r="CF87" s="325">
        <v>36787.304000000011</v>
      </c>
      <c r="CG87" s="326">
        <f t="shared" si="176"/>
        <v>990425.3280000001</v>
      </c>
      <c r="CH87" s="325">
        <v>370268.76</v>
      </c>
      <c r="CI87" s="325">
        <v>72585.807999999961</v>
      </c>
      <c r="CJ87" s="325">
        <v>41122.344000000005</v>
      </c>
      <c r="CK87" s="325">
        <v>7149.4080000000022</v>
      </c>
      <c r="CL87" s="325">
        <v>324410.40000000002</v>
      </c>
      <c r="CM87" s="325">
        <v>32968.655999999995</v>
      </c>
      <c r="CN87" s="326">
        <f t="shared" si="177"/>
        <v>848505.37599999993</v>
      </c>
      <c r="CO87" s="325">
        <v>430808.08</v>
      </c>
      <c r="CP87" s="325"/>
      <c r="CQ87" s="331">
        <v>129168.48800000001</v>
      </c>
      <c r="CR87" s="331"/>
      <c r="CS87" s="325">
        <v>466820.44800000009</v>
      </c>
      <c r="CT87" s="325">
        <v>98086.944000000018</v>
      </c>
      <c r="CU87" s="326">
        <f t="shared" si="178"/>
        <v>1124883.96</v>
      </c>
      <c r="CV87" s="325">
        <v>389682.48800000001</v>
      </c>
      <c r="CW87" s="325">
        <v>69544.880000000077</v>
      </c>
      <c r="CX87" s="325">
        <v>57174.728000000003</v>
      </c>
      <c r="CY87" s="325">
        <v>5840.7599999999984</v>
      </c>
      <c r="CZ87" s="325">
        <v>371578.01600000006</v>
      </c>
      <c r="DA87" s="325">
        <v>36844.568000000007</v>
      </c>
      <c r="DB87" s="326">
        <f t="shared" si="179"/>
        <v>930665.44000000018</v>
      </c>
      <c r="DC87" s="325">
        <v>340435.99200000003</v>
      </c>
      <c r="DD87" s="325"/>
      <c r="DE87" s="331">
        <v>89414.52</v>
      </c>
      <c r="DF87" s="331"/>
      <c r="DG87" s="325">
        <v>457880.32000000007</v>
      </c>
      <c r="DH87" s="325">
        <v>96360.256000000008</v>
      </c>
      <c r="DI87" s="326">
        <f t="shared" si="180"/>
        <v>984091.08800000022</v>
      </c>
      <c r="DJ87" s="325">
        <v>179660.33600000001</v>
      </c>
      <c r="DK87" s="325">
        <v>76282.559999999983</v>
      </c>
      <c r="DL87" s="325">
        <v>14805.048000000003</v>
      </c>
      <c r="DM87" s="325">
        <v>7063.5519999999997</v>
      </c>
      <c r="DN87" s="325">
        <v>405748.08</v>
      </c>
      <c r="DO87" s="325">
        <v>49235.631999999998</v>
      </c>
      <c r="DP87" s="326">
        <f t="shared" si="181"/>
        <v>732795.2080000001</v>
      </c>
      <c r="DQ87" s="325">
        <v>261262.73600000003</v>
      </c>
      <c r="DR87" s="325"/>
      <c r="DS87" s="331">
        <v>53901.032000000007</v>
      </c>
      <c r="DT87" s="331"/>
      <c r="DU87" s="325">
        <v>433545.95199999999</v>
      </c>
      <c r="DV87" s="325">
        <v>73948.063999999998</v>
      </c>
      <c r="DW87" s="326">
        <f t="shared" si="182"/>
        <v>822657.78399999999</v>
      </c>
      <c r="DX87" s="325">
        <v>67916.248000000007</v>
      </c>
      <c r="DY87" s="325">
        <v>146238.66400000002</v>
      </c>
      <c r="DZ87" s="325">
        <v>8140.3919999999998</v>
      </c>
      <c r="EA87" s="325">
        <v>14351.272000000004</v>
      </c>
      <c r="EB87" s="325">
        <v>447513.95999999996</v>
      </c>
      <c r="EC87" s="325">
        <v>49797.240000000005</v>
      </c>
      <c r="ED87" s="326">
        <f t="shared" si="183"/>
        <v>733957.77599999995</v>
      </c>
      <c r="EE87" s="325">
        <v>247256.872</v>
      </c>
      <c r="EF87" s="325"/>
      <c r="EG87" s="331">
        <v>57112.776000000005</v>
      </c>
      <c r="EH87" s="331"/>
      <c r="EI87" s="325">
        <v>458790.01600000006</v>
      </c>
      <c r="EJ87" s="325">
        <v>90935.640000000029</v>
      </c>
      <c r="EK87" s="326">
        <f t="shared" si="184"/>
        <v>854095.30400000012</v>
      </c>
      <c r="EL87" s="325">
        <v>121086.984</v>
      </c>
      <c r="EM87" s="325">
        <v>62151.256000000008</v>
      </c>
      <c r="EN87" s="325">
        <v>13376.352000000003</v>
      </c>
      <c r="EO87" s="325">
        <v>6954.9520000000011</v>
      </c>
      <c r="EP87" s="325">
        <v>407942.16000000003</v>
      </c>
      <c r="EQ87" s="325">
        <v>52169.176000000007</v>
      </c>
      <c r="ER87" s="326">
        <f t="shared" si="185"/>
        <v>663680.88</v>
      </c>
      <c r="ES87" s="325">
        <v>170170.872</v>
      </c>
      <c r="ET87" s="325"/>
      <c r="EU87" s="331">
        <v>36526.688000000002</v>
      </c>
      <c r="EV87" s="331"/>
      <c r="EW87" s="325">
        <v>391093.47200000007</v>
      </c>
      <c r="EX87" s="325">
        <v>70946.52</v>
      </c>
      <c r="EY87" s="326">
        <f t="shared" si="186"/>
        <v>668737.55200000014</v>
      </c>
      <c r="EZ87" s="325">
        <v>122128.76000000001</v>
      </c>
      <c r="FA87" s="325">
        <v>60651.4</v>
      </c>
      <c r="FB87" s="325">
        <v>15631</v>
      </c>
      <c r="FC87" s="325">
        <v>9964.4239999999991</v>
      </c>
      <c r="FD87" s="325">
        <v>368056.92000000004</v>
      </c>
      <c r="FE87" s="325">
        <v>47482.96</v>
      </c>
      <c r="FF87" s="326">
        <f t="shared" si="187"/>
        <v>623915.46400000004</v>
      </c>
      <c r="FG87" s="325">
        <v>230636.49600000001</v>
      </c>
      <c r="FH87" s="325"/>
      <c r="FI87" s="331">
        <v>35072.936000000002</v>
      </c>
      <c r="FJ87" s="331"/>
      <c r="FK87" s="325">
        <v>358344.41600000003</v>
      </c>
      <c r="FL87" s="325">
        <v>83539.728000000003</v>
      </c>
      <c r="FM87" s="326">
        <f t="shared" si="188"/>
        <v>707593.576</v>
      </c>
      <c r="FN87" s="333">
        <f t="shared" si="189"/>
        <v>3952588.0640000002</v>
      </c>
      <c r="FO87" s="519">
        <f t="shared" si="150"/>
        <v>991405.28800000006</v>
      </c>
      <c r="FP87" s="325">
        <f t="shared" si="151"/>
        <v>569134.29599999986</v>
      </c>
      <c r="FQ87" s="325">
        <f t="shared" si="152"/>
        <v>123888.24</v>
      </c>
      <c r="FR87" s="325">
        <f t="shared" si="153"/>
        <v>3812455.0720000006</v>
      </c>
      <c r="FS87" s="325">
        <f t="shared" si="154"/>
        <v>518730.88000000006</v>
      </c>
      <c r="FT87" s="326">
        <f t="shared" si="155"/>
        <v>9968201.8400000017</v>
      </c>
      <c r="FU87" s="325">
        <f t="shared" si="190"/>
        <v>5486868.4020000016</v>
      </c>
      <c r="FV87" s="325">
        <f t="shared" si="156"/>
        <v>0</v>
      </c>
      <c r="FW87" s="325">
        <f t="shared" si="157"/>
        <v>977927.64199999999</v>
      </c>
      <c r="FX87" s="325">
        <f t="shared" si="158"/>
        <v>0</v>
      </c>
      <c r="FY87" s="325">
        <f t="shared" si="159"/>
        <v>4868386.432000001</v>
      </c>
      <c r="FZ87" s="325">
        <f t="shared" si="160"/>
        <v>778743.68</v>
      </c>
      <c r="GA87" s="326">
        <f t="shared" si="191"/>
        <v>12111926.156000003</v>
      </c>
      <c r="GB87" s="206">
        <f t="shared" si="192"/>
        <v>-27.962769025784283</v>
      </c>
      <c r="GC87" s="206" t="e">
        <f t="shared" si="193"/>
        <v>#DIV/0!</v>
      </c>
      <c r="GD87" s="206">
        <f t="shared" si="161"/>
        <v>-41.802003383804568</v>
      </c>
      <c r="GE87" s="206" t="e">
        <f t="shared" si="162"/>
        <v>#DIV/0!</v>
      </c>
      <c r="GF87" s="206">
        <f t="shared" si="163"/>
        <v>-21.689555148279567</v>
      </c>
      <c r="GG87" s="206">
        <f t="shared" si="164"/>
        <v>-33.388752509683286</v>
      </c>
      <c r="GH87" s="205">
        <f t="shared" si="194"/>
        <v>-17.699284889860749</v>
      </c>
    </row>
    <row r="88" spans="1:190">
      <c r="A88" s="319" t="s">
        <v>96</v>
      </c>
      <c r="B88" s="325">
        <v>93402.648000000001</v>
      </c>
      <c r="C88" s="325">
        <v>33630.336000000003</v>
      </c>
      <c r="D88" s="325">
        <v>5005.5519999999997</v>
      </c>
      <c r="E88" s="325">
        <v>1252.672</v>
      </c>
      <c r="F88" s="325">
        <v>41903.984000000004</v>
      </c>
      <c r="G88" s="325">
        <v>11183.976000000001</v>
      </c>
      <c r="H88" s="326">
        <f t="shared" si="165"/>
        <v>186379.16799999998</v>
      </c>
      <c r="I88" s="325">
        <v>92245.313999999998</v>
      </c>
      <c r="J88" s="325"/>
      <c r="K88" s="325">
        <v>4489.2560000000003</v>
      </c>
      <c r="L88" s="325"/>
      <c r="M88" s="325">
        <v>44264.4</v>
      </c>
      <c r="N88" s="325">
        <v>5887.6179999999995</v>
      </c>
      <c r="O88" s="326">
        <f t="shared" si="166"/>
        <v>146886.58799999999</v>
      </c>
      <c r="P88" s="325">
        <v>103318.424</v>
      </c>
      <c r="Q88" s="325">
        <v>26112.800000000003</v>
      </c>
      <c r="R88" s="325">
        <v>9249.2160000000003</v>
      </c>
      <c r="S88" s="325">
        <v>2064.616</v>
      </c>
      <c r="T88" s="325">
        <v>44586.840000000004</v>
      </c>
      <c r="U88" s="325">
        <v>8972.84</v>
      </c>
      <c r="V88" s="326">
        <f t="shared" si="167"/>
        <v>194304.736</v>
      </c>
      <c r="W88" s="325">
        <v>137362.41399999999</v>
      </c>
      <c r="X88" s="325"/>
      <c r="Y88" s="331">
        <v>12879.128000000001</v>
      </c>
      <c r="Z88" s="331"/>
      <c r="AA88" s="325">
        <v>43968.640000000007</v>
      </c>
      <c r="AB88" s="325">
        <v>9725.5480000000007</v>
      </c>
      <c r="AC88" s="326">
        <f t="shared" si="168"/>
        <v>203935.73</v>
      </c>
      <c r="AD88" s="325">
        <v>73981.464000000007</v>
      </c>
      <c r="AE88" s="325">
        <v>31526.624000000007</v>
      </c>
      <c r="AF88" s="325">
        <v>5501.384</v>
      </c>
      <c r="AG88" s="325">
        <v>2341.9919999999997</v>
      </c>
      <c r="AH88" s="325">
        <v>49680.240000000005</v>
      </c>
      <c r="AI88" s="325">
        <v>10645.76</v>
      </c>
      <c r="AJ88" s="326">
        <f t="shared" si="169"/>
        <v>173677.46400000004</v>
      </c>
      <c r="AK88" s="325">
        <v>58380.67</v>
      </c>
      <c r="AL88" s="325"/>
      <c r="AM88" s="331">
        <v>5634.0960000000014</v>
      </c>
      <c r="AN88" s="331"/>
      <c r="AO88" s="325">
        <v>41770.208000000006</v>
      </c>
      <c r="AP88" s="325">
        <v>5524.4279999999999</v>
      </c>
      <c r="AQ88" s="326">
        <f t="shared" si="170"/>
        <v>111309.40200000002</v>
      </c>
      <c r="AR88" s="325">
        <v>26968.224000000002</v>
      </c>
      <c r="AS88" s="325">
        <v>17326.952000000001</v>
      </c>
      <c r="AT88" s="325">
        <v>1932.6320000000001</v>
      </c>
      <c r="AU88" s="325">
        <v>340.48800000000006</v>
      </c>
      <c r="AV88" s="325">
        <v>28758.120000000003</v>
      </c>
      <c r="AW88" s="325">
        <v>5703.8720000000012</v>
      </c>
      <c r="AX88" s="326">
        <f t="shared" si="171"/>
        <v>81030.288</v>
      </c>
      <c r="AY88" s="325">
        <v>67039.64</v>
      </c>
      <c r="AZ88" s="325"/>
      <c r="BA88" s="325">
        <v>5685.0640000000003</v>
      </c>
      <c r="BB88" s="325"/>
      <c r="BC88" s="325">
        <v>55870.495999999999</v>
      </c>
      <c r="BD88" s="325">
        <v>6997.1679999999997</v>
      </c>
      <c r="BE88" s="326">
        <f t="shared" si="172"/>
        <v>135592.36799999999</v>
      </c>
      <c r="BF88" s="325">
        <v>20763.696</v>
      </c>
      <c r="BG88" s="325">
        <v>15047.36</v>
      </c>
      <c r="BH88" s="325">
        <v>2811.328</v>
      </c>
      <c r="BI88" s="325">
        <v>845.12000000000012</v>
      </c>
      <c r="BJ88" s="325">
        <v>38082.959999999999</v>
      </c>
      <c r="BK88" s="325">
        <v>3906.3119999999999</v>
      </c>
      <c r="BL88" s="326">
        <f t="shared" si="173"/>
        <v>81456.776000000013</v>
      </c>
      <c r="BM88" s="325">
        <v>78046.97600000001</v>
      </c>
      <c r="BN88" s="325"/>
      <c r="BO88" s="325">
        <v>8062.5920000000006</v>
      </c>
      <c r="BP88" s="325"/>
      <c r="BQ88" s="325">
        <v>56173.728000000003</v>
      </c>
      <c r="BR88" s="325">
        <v>7080.3680000000013</v>
      </c>
      <c r="BS88" s="326">
        <f t="shared" si="174"/>
        <v>149363.66400000002</v>
      </c>
      <c r="BT88" s="325">
        <v>30129.712</v>
      </c>
      <c r="BU88" s="325">
        <v>16622.416000000001</v>
      </c>
      <c r="BV88" s="325">
        <v>2247.5360000000001</v>
      </c>
      <c r="BW88" s="325">
        <v>817.56000000000006</v>
      </c>
      <c r="BX88" s="325">
        <v>37299.360000000001</v>
      </c>
      <c r="BY88" s="325">
        <v>5248.7120000000004</v>
      </c>
      <c r="BZ88" s="326">
        <f t="shared" si="175"/>
        <v>92365.296000000002</v>
      </c>
      <c r="CA88" s="325">
        <v>73130.312000000005</v>
      </c>
      <c r="CB88" s="325"/>
      <c r="CC88" s="331">
        <v>9241.4000000000015</v>
      </c>
      <c r="CD88" s="331"/>
      <c r="CE88" s="325">
        <v>47380</v>
      </c>
      <c r="CF88" s="325">
        <v>5707.1680000000006</v>
      </c>
      <c r="CG88" s="326">
        <f t="shared" si="176"/>
        <v>135458.88</v>
      </c>
      <c r="CH88" s="325">
        <v>54233.8</v>
      </c>
      <c r="CI88" s="325">
        <v>20801.49600000001</v>
      </c>
      <c r="CJ88" s="325">
        <v>2294.5360000000001</v>
      </c>
      <c r="CK88" s="325">
        <v>644.06399999999996</v>
      </c>
      <c r="CL88" s="325">
        <v>59318.52</v>
      </c>
      <c r="CM88" s="325">
        <v>4668.8959999999997</v>
      </c>
      <c r="CN88" s="326">
        <f t="shared" si="177"/>
        <v>141961.31200000003</v>
      </c>
      <c r="CO88" s="325">
        <v>27394.408000000003</v>
      </c>
      <c r="CP88" s="325"/>
      <c r="CQ88" s="331">
        <v>2039.7520000000002</v>
      </c>
      <c r="CR88" s="331"/>
      <c r="CS88" s="325">
        <v>62314.176000000007</v>
      </c>
      <c r="CT88" s="325">
        <v>6458.7280000000001</v>
      </c>
      <c r="CU88" s="326">
        <f t="shared" si="178"/>
        <v>98207.064000000013</v>
      </c>
      <c r="CV88" s="325">
        <v>62992.256000000008</v>
      </c>
      <c r="CW88" s="325">
        <v>16950.119999999984</v>
      </c>
      <c r="CX88" s="325">
        <v>7312.7839999999997</v>
      </c>
      <c r="CY88" s="325">
        <v>1156.8400000000008</v>
      </c>
      <c r="CZ88" s="325">
        <v>65665.680000000008</v>
      </c>
      <c r="DA88" s="325">
        <v>5809.6319999999996</v>
      </c>
      <c r="DB88" s="326">
        <f t="shared" si="179"/>
        <v>159887.31200000001</v>
      </c>
      <c r="DC88" s="325">
        <v>22882.896000000001</v>
      </c>
      <c r="DD88" s="325"/>
      <c r="DE88" s="331">
        <v>1872.9520000000002</v>
      </c>
      <c r="DF88" s="331"/>
      <c r="DG88" s="325">
        <v>56173.728000000003</v>
      </c>
      <c r="DH88" s="325">
        <v>5740.1120000000001</v>
      </c>
      <c r="DI88" s="326">
        <f t="shared" si="180"/>
        <v>86669.687999999995</v>
      </c>
      <c r="DJ88" s="325">
        <v>28472.544000000002</v>
      </c>
      <c r="DK88" s="325">
        <v>13425.896000000002</v>
      </c>
      <c r="DL88" s="325">
        <v>1536.4880000000001</v>
      </c>
      <c r="DM88" s="325">
        <v>366.52800000000008</v>
      </c>
      <c r="DN88" s="325">
        <v>68486.64</v>
      </c>
      <c r="DO88" s="325">
        <v>6459.9999999999991</v>
      </c>
      <c r="DP88" s="326">
        <f t="shared" si="181"/>
        <v>118748.09599999999</v>
      </c>
      <c r="DQ88" s="325">
        <v>22656.560000000001</v>
      </c>
      <c r="DR88" s="325"/>
      <c r="DS88" s="331">
        <v>3623.616</v>
      </c>
      <c r="DT88" s="331"/>
      <c r="DU88" s="325">
        <v>59509.280000000006</v>
      </c>
      <c r="DV88" s="325">
        <v>5618.52</v>
      </c>
      <c r="DW88" s="326">
        <f t="shared" si="182"/>
        <v>91407.97600000001</v>
      </c>
      <c r="DX88" s="325">
        <v>8783.503999999999</v>
      </c>
      <c r="DY88" s="325">
        <v>28207.648000000005</v>
      </c>
      <c r="DZ88" s="325">
        <v>599.35200000000009</v>
      </c>
      <c r="EA88" s="325">
        <v>850.73599999999988</v>
      </c>
      <c r="EB88" s="325">
        <v>67389.600000000006</v>
      </c>
      <c r="EC88" s="325">
        <v>7041.9199999999992</v>
      </c>
      <c r="ED88" s="326">
        <f t="shared" si="183"/>
        <v>112872.76</v>
      </c>
      <c r="EE88" s="325">
        <v>31670.720000000001</v>
      </c>
      <c r="EF88" s="325"/>
      <c r="EG88" s="331">
        <v>2842.6560000000004</v>
      </c>
      <c r="EH88" s="331"/>
      <c r="EI88" s="325">
        <v>57235.040000000008</v>
      </c>
      <c r="EJ88" s="325">
        <v>10522.856000000002</v>
      </c>
      <c r="EK88" s="326">
        <f t="shared" si="184"/>
        <v>102271.27200000001</v>
      </c>
      <c r="EL88" s="325">
        <v>15955.847999999998</v>
      </c>
      <c r="EM88" s="325">
        <v>12317.112000000001</v>
      </c>
      <c r="EN88" s="325">
        <v>599.35200000000009</v>
      </c>
      <c r="EO88" s="325">
        <v>134.56</v>
      </c>
      <c r="EP88" s="325">
        <v>64176.840000000004</v>
      </c>
      <c r="EQ88" s="325">
        <v>8210.0320000000011</v>
      </c>
      <c r="ER88" s="326">
        <f t="shared" si="185"/>
        <v>101393.74400000001</v>
      </c>
      <c r="ES88" s="325">
        <v>26659.64</v>
      </c>
      <c r="ET88" s="325"/>
      <c r="EU88" s="331">
        <v>1602.76</v>
      </c>
      <c r="EV88" s="331"/>
      <c r="EW88" s="325">
        <v>52004.288</v>
      </c>
      <c r="EX88" s="325">
        <v>12277.576000000001</v>
      </c>
      <c r="EY88" s="326">
        <f t="shared" si="186"/>
        <v>92544.263999999996</v>
      </c>
      <c r="EZ88" s="325">
        <v>19058.832000000002</v>
      </c>
      <c r="FA88" s="325">
        <v>17731.344000000001</v>
      </c>
      <c r="FB88" s="325">
        <v>1249.4560000000001</v>
      </c>
      <c r="FC88" s="325">
        <v>126.25600000000014</v>
      </c>
      <c r="FD88" s="325">
        <v>63706.680000000008</v>
      </c>
      <c r="FE88" s="325">
        <v>12275.888000000001</v>
      </c>
      <c r="FF88" s="326">
        <f t="shared" si="187"/>
        <v>114148.45600000002</v>
      </c>
      <c r="FG88" s="325">
        <v>32338.392</v>
      </c>
      <c r="FH88" s="325"/>
      <c r="FI88" s="331">
        <v>3210.4320000000002</v>
      </c>
      <c r="FJ88" s="331"/>
      <c r="FK88" s="325">
        <v>47152.576000000001</v>
      </c>
      <c r="FL88" s="325">
        <v>10921.824000000001</v>
      </c>
      <c r="FM88" s="326">
        <f t="shared" si="188"/>
        <v>93623.223999999987</v>
      </c>
      <c r="FN88" s="333">
        <f t="shared" si="189"/>
        <v>538060.95199999993</v>
      </c>
      <c r="FO88" s="519">
        <f t="shared" si="150"/>
        <v>249700.10400000005</v>
      </c>
      <c r="FP88" s="325">
        <f t="shared" si="151"/>
        <v>40339.616000000002</v>
      </c>
      <c r="FQ88" s="325">
        <f t="shared" si="152"/>
        <v>10941.432000000001</v>
      </c>
      <c r="FR88" s="325">
        <f t="shared" si="153"/>
        <v>629055.46400000004</v>
      </c>
      <c r="FS88" s="325">
        <f t="shared" si="154"/>
        <v>90127.840000000011</v>
      </c>
      <c r="FT88" s="326">
        <f t="shared" si="155"/>
        <v>1558225.4080000001</v>
      </c>
      <c r="FU88" s="325">
        <f t="shared" si="190"/>
        <v>669807.94200000004</v>
      </c>
      <c r="FV88" s="325">
        <f t="shared" si="156"/>
        <v>0</v>
      </c>
      <c r="FW88" s="325">
        <f t="shared" si="157"/>
        <v>61183.704000000005</v>
      </c>
      <c r="FX88" s="325">
        <f t="shared" si="158"/>
        <v>0</v>
      </c>
      <c r="FY88" s="325">
        <f t="shared" si="159"/>
        <v>623816.56000000017</v>
      </c>
      <c r="FZ88" s="325">
        <f t="shared" si="160"/>
        <v>92461.914000000019</v>
      </c>
      <c r="GA88" s="326">
        <f t="shared" si="191"/>
        <v>1447270.1200000003</v>
      </c>
      <c r="GB88" s="206">
        <f t="shared" si="192"/>
        <v>-19.669368148519212</v>
      </c>
      <c r="GC88" s="206" t="e">
        <f t="shared" si="193"/>
        <v>#DIV/0!</v>
      </c>
      <c r="GD88" s="206">
        <f t="shared" si="161"/>
        <v>-34.068038770585062</v>
      </c>
      <c r="GE88" s="206" t="e">
        <f t="shared" si="162"/>
        <v>#DIV/0!</v>
      </c>
      <c r="GF88" s="206">
        <f t="shared" si="163"/>
        <v>0.83981483274504853</v>
      </c>
      <c r="GG88" s="206">
        <f t="shared" si="164"/>
        <v>-2.5243626256752663</v>
      </c>
      <c r="GH88" s="205">
        <f t="shared" si="194"/>
        <v>7.6665224042627074</v>
      </c>
    </row>
    <row r="89" spans="1:190">
      <c r="A89" s="319" t="s">
        <v>98</v>
      </c>
      <c r="B89" s="325">
        <v>47562.847999999998</v>
      </c>
      <c r="C89" s="325">
        <v>10134.36</v>
      </c>
      <c r="D89" s="325">
        <v>5562.9920000000002</v>
      </c>
      <c r="E89" s="325">
        <v>2103.1840000000002</v>
      </c>
      <c r="F89" s="325">
        <v>52359.040000000008</v>
      </c>
      <c r="G89" s="325">
        <v>3342.6960000000004</v>
      </c>
      <c r="H89" s="326">
        <f t="shared" si="165"/>
        <v>121065.12</v>
      </c>
      <c r="I89" s="325">
        <v>36563.703999999998</v>
      </c>
      <c r="J89" s="325"/>
      <c r="K89" s="325">
        <v>4896.9920000000002</v>
      </c>
      <c r="L89" s="325"/>
      <c r="M89" s="325">
        <v>34448.480000000003</v>
      </c>
      <c r="N89" s="325">
        <v>1973.4880000000001</v>
      </c>
      <c r="O89" s="326">
        <f t="shared" si="166"/>
        <v>77882.664000000004</v>
      </c>
      <c r="P89" s="325">
        <v>32643.615999999998</v>
      </c>
      <c r="Q89" s="325">
        <v>9188.3680000000004</v>
      </c>
      <c r="R89" s="325">
        <v>2956.0880000000002</v>
      </c>
      <c r="S89" s="325">
        <v>1861.864</v>
      </c>
      <c r="T89" s="325">
        <v>56105.760000000002</v>
      </c>
      <c r="U89" s="325">
        <v>3575.0400000000004</v>
      </c>
      <c r="V89" s="326">
        <f t="shared" si="167"/>
        <v>106330.73599999999</v>
      </c>
      <c r="W89" s="325">
        <v>43082.175999999999</v>
      </c>
      <c r="X89" s="325"/>
      <c r="Y89" s="331">
        <v>6705.9360000000006</v>
      </c>
      <c r="Z89" s="331"/>
      <c r="AA89" s="325">
        <v>43892.832000000002</v>
      </c>
      <c r="AB89" s="325">
        <v>2066.9360000000001</v>
      </c>
      <c r="AC89" s="326">
        <f t="shared" si="168"/>
        <v>95747.88</v>
      </c>
      <c r="AD89" s="325">
        <v>26662.688000000002</v>
      </c>
      <c r="AE89" s="325">
        <v>5198.8960000000006</v>
      </c>
      <c r="AF89" s="325">
        <v>4883.6320000000005</v>
      </c>
      <c r="AG89" s="325">
        <v>1007.792</v>
      </c>
      <c r="AH89" s="325">
        <v>47486.16</v>
      </c>
      <c r="AI89" s="325">
        <v>2399.5680000000007</v>
      </c>
      <c r="AJ89" s="326">
        <f t="shared" si="169"/>
        <v>87638.736000000004</v>
      </c>
      <c r="AK89" s="325">
        <v>24205.912</v>
      </c>
      <c r="AL89" s="325"/>
      <c r="AM89" s="331">
        <v>3175.384</v>
      </c>
      <c r="AN89" s="331"/>
      <c r="AO89" s="325">
        <v>47076.768000000004</v>
      </c>
      <c r="AP89" s="325">
        <v>1832.2640000000001</v>
      </c>
      <c r="AQ89" s="326">
        <f t="shared" si="170"/>
        <v>76290.328000000009</v>
      </c>
      <c r="AR89" s="325">
        <v>12444.976000000001</v>
      </c>
      <c r="AS89" s="325">
        <v>5218.4480000000003</v>
      </c>
      <c r="AT89" s="325">
        <v>2232.2959999999998</v>
      </c>
      <c r="AU89" s="325">
        <v>652.77600000000007</v>
      </c>
      <c r="AV89" s="325">
        <v>40355.4</v>
      </c>
      <c r="AW89" s="325">
        <v>2987.5360000000001</v>
      </c>
      <c r="AX89" s="326">
        <f t="shared" si="171"/>
        <v>63891.432000000001</v>
      </c>
      <c r="AY89" s="325">
        <v>26425.439999999999</v>
      </c>
      <c r="AZ89" s="325"/>
      <c r="BA89" s="325">
        <v>5018.5680000000002</v>
      </c>
      <c r="BB89" s="325"/>
      <c r="BC89" s="325">
        <v>56856</v>
      </c>
      <c r="BD89" s="325">
        <v>1530.2960000000003</v>
      </c>
      <c r="BE89" s="326">
        <f t="shared" si="172"/>
        <v>89830.304000000004</v>
      </c>
      <c r="BF89" s="325">
        <v>12404.936000000002</v>
      </c>
      <c r="BG89" s="325">
        <v>5513.0160000000005</v>
      </c>
      <c r="BH89" s="325">
        <v>2095.1680000000001</v>
      </c>
      <c r="BI89" s="325">
        <v>311.16000000000003</v>
      </c>
      <c r="BJ89" s="325">
        <v>53519.880000000005</v>
      </c>
      <c r="BK89" s="325">
        <v>1842.8880000000001</v>
      </c>
      <c r="BL89" s="326">
        <f t="shared" si="173"/>
        <v>75687.04800000001</v>
      </c>
      <c r="BM89" s="325">
        <v>33552.464000000007</v>
      </c>
      <c r="BN89" s="325"/>
      <c r="BO89" s="325">
        <v>1898.5280000000002</v>
      </c>
      <c r="BP89" s="325"/>
      <c r="BQ89" s="325">
        <v>59964.128000000004</v>
      </c>
      <c r="BR89" s="325">
        <v>1783.088</v>
      </c>
      <c r="BS89" s="326">
        <f t="shared" si="174"/>
        <v>97198.208000000013</v>
      </c>
      <c r="BT89" s="325">
        <v>20772.952000000005</v>
      </c>
      <c r="BU89" s="325">
        <v>5617.7759999999998</v>
      </c>
      <c r="BV89" s="325">
        <v>2765.6160000000004</v>
      </c>
      <c r="BW89" s="325">
        <v>952.39200000000005</v>
      </c>
      <c r="BX89" s="325">
        <v>66762.720000000001</v>
      </c>
      <c r="BY89" s="325">
        <v>3936.4320000000007</v>
      </c>
      <c r="BZ89" s="326">
        <f t="shared" si="175"/>
        <v>100807.88800000001</v>
      </c>
      <c r="CA89" s="325">
        <v>43106.016000000003</v>
      </c>
      <c r="CB89" s="325"/>
      <c r="CC89" s="331">
        <v>5446.728000000001</v>
      </c>
      <c r="CD89" s="331"/>
      <c r="CE89" s="325">
        <v>53065.600000000006</v>
      </c>
      <c r="CF89" s="325">
        <v>2795.7840000000001</v>
      </c>
      <c r="CG89" s="326">
        <f t="shared" si="176"/>
        <v>104414.12800000001</v>
      </c>
      <c r="CH89" s="325">
        <v>39303.864000000001</v>
      </c>
      <c r="CI89" s="325">
        <v>4543.4799999999987</v>
      </c>
      <c r="CJ89" s="325">
        <v>2133.2720000000004</v>
      </c>
      <c r="CK89" s="325">
        <v>716.53600000000006</v>
      </c>
      <c r="CL89" s="325">
        <v>87214.680000000008</v>
      </c>
      <c r="CM89" s="325">
        <v>3056.84</v>
      </c>
      <c r="CN89" s="326">
        <f t="shared" si="177"/>
        <v>136968.67199999999</v>
      </c>
      <c r="CO89" s="325">
        <v>10911.248</v>
      </c>
      <c r="CP89" s="325"/>
      <c r="CQ89" s="331">
        <v>2844.808</v>
      </c>
      <c r="CR89" s="331"/>
      <c r="CS89" s="325">
        <v>66332</v>
      </c>
      <c r="CT89" s="325">
        <v>2502.3200000000002</v>
      </c>
      <c r="CU89" s="326">
        <f t="shared" si="178"/>
        <v>82590.376000000004</v>
      </c>
      <c r="CV89" s="325">
        <v>25069.656000000003</v>
      </c>
      <c r="CW89" s="325">
        <v>4806.7280000000028</v>
      </c>
      <c r="CX89" s="325">
        <v>3429.76</v>
      </c>
      <c r="CY89" s="325">
        <v>671.76000000000067</v>
      </c>
      <c r="CZ89" s="325">
        <v>76087.56</v>
      </c>
      <c r="DA89" s="325">
        <v>2463.44</v>
      </c>
      <c r="DB89" s="326">
        <f t="shared" si="179"/>
        <v>112528.90400000001</v>
      </c>
      <c r="DC89" s="325">
        <v>8861.3760000000002</v>
      </c>
      <c r="DD89" s="325"/>
      <c r="DE89" s="331">
        <v>1520.096</v>
      </c>
      <c r="DF89" s="331"/>
      <c r="DG89" s="325">
        <v>66559.423999999999</v>
      </c>
      <c r="DH89" s="325">
        <v>1659.096</v>
      </c>
      <c r="DI89" s="326">
        <f t="shared" si="180"/>
        <v>78599.991999999998</v>
      </c>
      <c r="DJ89" s="325">
        <v>12119.784</v>
      </c>
      <c r="DK89" s="325">
        <v>4775.4720000000007</v>
      </c>
      <c r="DL89" s="325">
        <v>1517.432</v>
      </c>
      <c r="DM89" s="325">
        <v>742.2</v>
      </c>
      <c r="DN89" s="325">
        <v>71777.759999999995</v>
      </c>
      <c r="DO89" s="325">
        <v>3250.3520000000003</v>
      </c>
      <c r="DP89" s="326">
        <f t="shared" si="181"/>
        <v>94183</v>
      </c>
      <c r="DQ89" s="325">
        <v>8745.1040000000012</v>
      </c>
      <c r="DR89" s="325"/>
      <c r="DS89" s="331">
        <v>2700.5119999999997</v>
      </c>
      <c r="DT89" s="331"/>
      <c r="DU89" s="325">
        <v>60039.936000000002</v>
      </c>
      <c r="DV89" s="325">
        <v>2512.6480000000001</v>
      </c>
      <c r="DW89" s="326">
        <f t="shared" si="182"/>
        <v>73998.2</v>
      </c>
      <c r="DX89" s="325">
        <v>5265.0400000000009</v>
      </c>
      <c r="DY89" s="325">
        <v>8793.6880000000001</v>
      </c>
      <c r="DZ89" s="325">
        <v>322.54400000000004</v>
      </c>
      <c r="EA89" s="325">
        <v>2180.4720000000002</v>
      </c>
      <c r="EB89" s="325">
        <v>66370.92</v>
      </c>
      <c r="EC89" s="325">
        <v>4280.72</v>
      </c>
      <c r="ED89" s="326">
        <f t="shared" si="183"/>
        <v>87213.384000000005</v>
      </c>
      <c r="EE89" s="325">
        <v>16729.560000000001</v>
      </c>
      <c r="EF89" s="325"/>
      <c r="EG89" s="331">
        <v>1514.1120000000001</v>
      </c>
      <c r="EH89" s="331"/>
      <c r="EI89" s="325">
        <v>60418.976000000002</v>
      </c>
      <c r="EJ89" s="325">
        <v>7151.04</v>
      </c>
      <c r="EK89" s="326">
        <f t="shared" si="184"/>
        <v>85813.687999999995</v>
      </c>
      <c r="EL89" s="325">
        <v>7833.1920000000018</v>
      </c>
      <c r="EM89" s="325">
        <v>3785.4320000000002</v>
      </c>
      <c r="EN89" s="325">
        <v>932.04000000000019</v>
      </c>
      <c r="EO89" s="325">
        <v>217.26400000000001</v>
      </c>
      <c r="EP89" s="325">
        <v>65665.680000000008</v>
      </c>
      <c r="EQ89" s="325">
        <v>3615.4480000000003</v>
      </c>
      <c r="ER89" s="326">
        <f t="shared" si="185"/>
        <v>82049.056000000011</v>
      </c>
      <c r="ES89" s="325">
        <v>7959.0560000000005</v>
      </c>
      <c r="ET89" s="325"/>
      <c r="EU89" s="331">
        <v>1315.7040000000002</v>
      </c>
      <c r="EV89" s="331"/>
      <c r="EW89" s="325">
        <v>55794.688000000002</v>
      </c>
      <c r="EX89" s="325">
        <v>2825.5200000000004</v>
      </c>
      <c r="EY89" s="326">
        <f t="shared" si="186"/>
        <v>67894.968000000008</v>
      </c>
      <c r="EZ89" s="325">
        <v>9373.4639999999999</v>
      </c>
      <c r="FA89" s="325">
        <v>4790.5440000000017</v>
      </c>
      <c r="FB89" s="325">
        <v>868.5440000000001</v>
      </c>
      <c r="FC89" s="325">
        <v>758.48799999999994</v>
      </c>
      <c r="FD89" s="325">
        <v>58064.76</v>
      </c>
      <c r="FE89" s="325">
        <v>4403.1359999999995</v>
      </c>
      <c r="FF89" s="326">
        <f t="shared" si="187"/>
        <v>78258.936000000002</v>
      </c>
      <c r="FG89" s="325">
        <v>12724.096000000001</v>
      </c>
      <c r="FH89" s="325"/>
      <c r="FI89" s="331">
        <v>690.91200000000003</v>
      </c>
      <c r="FJ89" s="331"/>
      <c r="FK89" s="325">
        <v>50942.976000000002</v>
      </c>
      <c r="FL89" s="325">
        <v>3894.5440000000008</v>
      </c>
      <c r="FM89" s="326">
        <f t="shared" si="188"/>
        <v>68252.528000000006</v>
      </c>
      <c r="FN89" s="333">
        <f t="shared" si="189"/>
        <v>251457.01600000003</v>
      </c>
      <c r="FO89" s="519">
        <f t="shared" si="150"/>
        <v>72366.208000000013</v>
      </c>
      <c r="FP89" s="325">
        <f t="shared" si="151"/>
        <v>29699.384000000005</v>
      </c>
      <c r="FQ89" s="325">
        <f t="shared" si="152"/>
        <v>12175.887999999999</v>
      </c>
      <c r="FR89" s="325">
        <f t="shared" si="153"/>
        <v>741770.32000000007</v>
      </c>
      <c r="FS89" s="325">
        <f t="shared" si="154"/>
        <v>39154.096000000005</v>
      </c>
      <c r="FT89" s="326">
        <f t="shared" si="155"/>
        <v>1146622.912</v>
      </c>
      <c r="FU89" s="325">
        <f t="shared" si="190"/>
        <v>272866.152</v>
      </c>
      <c r="FV89" s="325">
        <f t="shared" si="156"/>
        <v>0</v>
      </c>
      <c r="FW89" s="325">
        <f t="shared" si="157"/>
        <v>37728.280000000006</v>
      </c>
      <c r="FX89" s="325">
        <f t="shared" si="158"/>
        <v>0</v>
      </c>
      <c r="FY89" s="325">
        <f t="shared" si="159"/>
        <v>655391.80799999996</v>
      </c>
      <c r="FZ89" s="325">
        <f t="shared" si="160"/>
        <v>32527.024000000001</v>
      </c>
      <c r="GA89" s="326">
        <f t="shared" si="191"/>
        <v>998513.26399999997</v>
      </c>
      <c r="GB89" s="206">
        <f t="shared" si="192"/>
        <v>-7.846021151058693</v>
      </c>
      <c r="GC89" s="206" t="e">
        <f t="shared" si="193"/>
        <v>#DIV/0!</v>
      </c>
      <c r="GD89" s="206">
        <f t="shared" si="161"/>
        <v>-21.280842911471183</v>
      </c>
      <c r="GE89" s="206" t="e">
        <f t="shared" si="162"/>
        <v>#DIV/0!</v>
      </c>
      <c r="GF89" s="206">
        <f t="shared" si="163"/>
        <v>13.179675263808008</v>
      </c>
      <c r="GG89" s="206">
        <f t="shared" si="164"/>
        <v>20.374049590273003</v>
      </c>
      <c r="GH89" s="205">
        <f t="shared" si="194"/>
        <v>14.833017581226642</v>
      </c>
    </row>
    <row r="90" spans="1:190">
      <c r="A90" s="319" t="s">
        <v>99</v>
      </c>
      <c r="B90" s="325">
        <v>9237.7839999999997</v>
      </c>
      <c r="C90" s="325">
        <v>706.03200000000004</v>
      </c>
      <c r="D90" s="325">
        <v>2559.92</v>
      </c>
      <c r="E90" s="325">
        <v>0</v>
      </c>
      <c r="F90" s="325">
        <v>8680.0960000000014</v>
      </c>
      <c r="G90" s="325">
        <v>240.66400000000002</v>
      </c>
      <c r="H90" s="326">
        <f t="shared" si="165"/>
        <v>21424.496000000003</v>
      </c>
      <c r="I90" s="325">
        <v>12775.456000000002</v>
      </c>
      <c r="J90" s="325"/>
      <c r="K90" s="325">
        <v>884.44799999999998</v>
      </c>
      <c r="L90" s="325"/>
      <c r="M90" s="325">
        <v>6728.6559999999999</v>
      </c>
      <c r="N90" s="325">
        <v>513.22400000000005</v>
      </c>
      <c r="O90" s="326">
        <f t="shared" si="166"/>
        <v>20901.784</v>
      </c>
      <c r="P90" s="325">
        <v>9443.4800000000014</v>
      </c>
      <c r="Q90" s="325">
        <v>1243.6480000000001</v>
      </c>
      <c r="R90" s="325">
        <v>1005.68</v>
      </c>
      <c r="S90" s="325">
        <v>368.52800000000002</v>
      </c>
      <c r="T90" s="325">
        <v>7522.5600000000013</v>
      </c>
      <c r="U90" s="325">
        <v>320.06400000000002</v>
      </c>
      <c r="V90" s="326">
        <f t="shared" si="167"/>
        <v>19903.96</v>
      </c>
      <c r="W90" s="325">
        <v>9101.2800000000007</v>
      </c>
      <c r="X90" s="325"/>
      <c r="Y90" s="331">
        <v>838.976</v>
      </c>
      <c r="Z90" s="331"/>
      <c r="AA90" s="325">
        <v>8642.1119999999992</v>
      </c>
      <c r="AB90" s="325">
        <v>312.85599999999999</v>
      </c>
      <c r="AC90" s="326">
        <f t="shared" si="168"/>
        <v>18895.224000000002</v>
      </c>
      <c r="AD90" s="325">
        <v>4625.5600000000004</v>
      </c>
      <c r="AE90" s="325">
        <v>221.11199999999999</v>
      </c>
      <c r="AF90" s="325">
        <v>1500.9120000000003</v>
      </c>
      <c r="AG90" s="325">
        <v>176.904</v>
      </c>
      <c r="AH90" s="325">
        <v>7992.72</v>
      </c>
      <c r="AI90" s="325">
        <v>103.864</v>
      </c>
      <c r="AJ90" s="326">
        <f t="shared" si="169"/>
        <v>14621.072000000002</v>
      </c>
      <c r="AK90" s="325">
        <v>2759.4960000000001</v>
      </c>
      <c r="AL90" s="325"/>
      <c r="AM90" s="331">
        <v>434.86400000000003</v>
      </c>
      <c r="AN90" s="331"/>
      <c r="AO90" s="325">
        <v>7808.2240000000011</v>
      </c>
      <c r="AP90" s="325">
        <v>83.088000000000008</v>
      </c>
      <c r="AQ90" s="326">
        <f t="shared" si="170"/>
        <v>11085.672</v>
      </c>
      <c r="AR90" s="325">
        <v>1356.152</v>
      </c>
      <c r="AS90" s="325">
        <v>0</v>
      </c>
      <c r="AT90" s="325">
        <v>0</v>
      </c>
      <c r="AU90" s="325">
        <v>0</v>
      </c>
      <c r="AV90" s="325">
        <v>4153.0800000000008</v>
      </c>
      <c r="AW90" s="325">
        <v>0</v>
      </c>
      <c r="AX90" s="326">
        <f t="shared" si="171"/>
        <v>5509.2320000000009</v>
      </c>
      <c r="AY90" s="325">
        <v>4374.5200000000004</v>
      </c>
      <c r="AZ90" s="325"/>
      <c r="BA90" s="325">
        <v>494.88800000000003</v>
      </c>
      <c r="BB90" s="325"/>
      <c r="BC90" s="325">
        <v>14479.328000000001</v>
      </c>
      <c r="BD90" s="325">
        <v>305.49600000000004</v>
      </c>
      <c r="BE90" s="326">
        <f t="shared" si="172"/>
        <v>19654.232</v>
      </c>
      <c r="BF90" s="325">
        <v>2464.6720000000005</v>
      </c>
      <c r="BG90" s="325">
        <v>461.82400000000001</v>
      </c>
      <c r="BH90" s="325">
        <v>0</v>
      </c>
      <c r="BI90" s="325">
        <v>0</v>
      </c>
      <c r="BJ90" s="325">
        <v>5877</v>
      </c>
      <c r="BK90" s="325">
        <v>369.17600000000004</v>
      </c>
      <c r="BL90" s="326">
        <f t="shared" si="173"/>
        <v>9172.6720000000005</v>
      </c>
      <c r="BM90" s="325">
        <v>5117.9120000000003</v>
      </c>
      <c r="BN90" s="325"/>
      <c r="BO90" s="325">
        <v>299.73600000000005</v>
      </c>
      <c r="BP90" s="325"/>
      <c r="BQ90" s="325">
        <v>9930.848</v>
      </c>
      <c r="BR90" s="325">
        <v>0</v>
      </c>
      <c r="BS90" s="326">
        <f t="shared" si="174"/>
        <v>15348.495999999999</v>
      </c>
      <c r="BT90" s="325">
        <v>1123.7759999999998</v>
      </c>
      <c r="BU90" s="325">
        <v>400.88000000000005</v>
      </c>
      <c r="BV90" s="325">
        <v>91.424000000000035</v>
      </c>
      <c r="BW90" s="325">
        <v>265.35200000000003</v>
      </c>
      <c r="BX90" s="325">
        <v>5641.92</v>
      </c>
      <c r="BY90" s="325">
        <v>207.18400000000003</v>
      </c>
      <c r="BZ90" s="326">
        <f t="shared" si="175"/>
        <v>7730.5360000000001</v>
      </c>
      <c r="CA90" s="325">
        <v>4172.04</v>
      </c>
      <c r="CB90" s="325"/>
      <c r="CC90" s="331">
        <v>176.89600000000002</v>
      </c>
      <c r="CD90" s="331"/>
      <c r="CE90" s="325">
        <v>7959.84</v>
      </c>
      <c r="CF90" s="325">
        <v>1492.0240000000001</v>
      </c>
      <c r="CG90" s="326">
        <f t="shared" si="176"/>
        <v>13800.8</v>
      </c>
      <c r="CH90" s="325">
        <v>4822.6959999999999</v>
      </c>
      <c r="CI90" s="325">
        <v>144.87200000000013</v>
      </c>
      <c r="CJ90" s="325">
        <v>548.55200000000002</v>
      </c>
      <c r="CK90" s="325">
        <v>0</v>
      </c>
      <c r="CL90" s="325">
        <v>6503.880000000001</v>
      </c>
      <c r="CM90" s="325">
        <v>248.46400000000006</v>
      </c>
      <c r="CN90" s="326">
        <f t="shared" si="177"/>
        <v>12268.464</v>
      </c>
      <c r="CO90" s="325">
        <v>3926.9520000000002</v>
      </c>
      <c r="CP90" s="325"/>
      <c r="CQ90" s="331">
        <v>737.048</v>
      </c>
      <c r="CR90" s="331"/>
      <c r="CS90" s="325">
        <v>22742.400000000001</v>
      </c>
      <c r="CT90" s="325">
        <v>1149.1599999999999</v>
      </c>
      <c r="CU90" s="326">
        <f t="shared" si="178"/>
        <v>28555.56</v>
      </c>
      <c r="CV90" s="325">
        <v>2845.6320000000001</v>
      </c>
      <c r="CW90" s="325">
        <v>568.4</v>
      </c>
      <c r="CX90" s="325">
        <v>182.85599999999999</v>
      </c>
      <c r="CY90" s="325">
        <v>73.703999999999994</v>
      </c>
      <c r="CZ90" s="325">
        <v>9403.2000000000007</v>
      </c>
      <c r="DA90" s="325">
        <v>669.00800000000004</v>
      </c>
      <c r="DB90" s="326">
        <f t="shared" si="179"/>
        <v>13742.800000000001</v>
      </c>
      <c r="DC90" s="325">
        <v>2507.6800000000003</v>
      </c>
      <c r="DD90" s="325"/>
      <c r="DE90" s="331">
        <v>184.26400000000001</v>
      </c>
      <c r="DF90" s="331"/>
      <c r="DG90" s="325">
        <v>8945.344000000001</v>
      </c>
      <c r="DH90" s="325">
        <v>265.52800000000002</v>
      </c>
      <c r="DI90" s="326">
        <f t="shared" si="180"/>
        <v>11902.816000000001</v>
      </c>
      <c r="DJ90" s="325">
        <v>3180.8880000000004</v>
      </c>
      <c r="DK90" s="325">
        <v>609.39200000000017</v>
      </c>
      <c r="DL90" s="325">
        <v>451.03999999999996</v>
      </c>
      <c r="DM90" s="325">
        <v>884.44799999999998</v>
      </c>
      <c r="DN90" s="325">
        <v>8619.6</v>
      </c>
      <c r="DO90" s="325">
        <v>700.024</v>
      </c>
      <c r="DP90" s="326">
        <f t="shared" si="181"/>
        <v>14445.392000000002</v>
      </c>
      <c r="DQ90" s="325">
        <v>1303.0640000000001</v>
      </c>
      <c r="DR90" s="325"/>
      <c r="DS90" s="331">
        <v>832.85599999999999</v>
      </c>
      <c r="DT90" s="331"/>
      <c r="DU90" s="325">
        <v>9930.848</v>
      </c>
      <c r="DV90" s="325">
        <v>171.696</v>
      </c>
      <c r="DW90" s="326">
        <f t="shared" si="182"/>
        <v>12238.464</v>
      </c>
      <c r="DX90" s="325">
        <v>1813.28</v>
      </c>
      <c r="DY90" s="325">
        <v>192.39200000000019</v>
      </c>
      <c r="DZ90" s="325">
        <v>152.376</v>
      </c>
      <c r="EA90" s="325">
        <v>53.904000000000025</v>
      </c>
      <c r="EB90" s="325">
        <v>7836</v>
      </c>
      <c r="EC90" s="325">
        <v>538.62400000000002</v>
      </c>
      <c r="ED90" s="326">
        <f t="shared" si="183"/>
        <v>10586.576000000001</v>
      </c>
      <c r="EE90" s="325">
        <v>1516.2080000000001</v>
      </c>
      <c r="EF90" s="325"/>
      <c r="EG90" s="331">
        <v>0</v>
      </c>
      <c r="EH90" s="331"/>
      <c r="EI90" s="325">
        <v>9324.384</v>
      </c>
      <c r="EJ90" s="325">
        <v>309.78399999999999</v>
      </c>
      <c r="EK90" s="326">
        <f t="shared" si="184"/>
        <v>11150.376</v>
      </c>
      <c r="EL90" s="325">
        <v>2908.4799999999996</v>
      </c>
      <c r="EM90" s="325">
        <v>928.51200000000017</v>
      </c>
      <c r="EN90" s="325">
        <v>228.56799999999998</v>
      </c>
      <c r="EO90" s="325">
        <v>0</v>
      </c>
      <c r="EP90" s="325">
        <v>11283.84</v>
      </c>
      <c r="EQ90" s="325">
        <v>762.23200000000008</v>
      </c>
      <c r="ER90" s="326">
        <f t="shared" si="185"/>
        <v>16111.632</v>
      </c>
      <c r="ES90" s="325">
        <v>1620.848</v>
      </c>
      <c r="ET90" s="325"/>
      <c r="EU90" s="331">
        <v>221.11199999999999</v>
      </c>
      <c r="EV90" s="331"/>
      <c r="EW90" s="325">
        <v>10234.080000000002</v>
      </c>
      <c r="EX90" s="325">
        <v>302.03200000000004</v>
      </c>
      <c r="EY90" s="326">
        <f t="shared" si="186"/>
        <v>12378.072</v>
      </c>
      <c r="EZ90" s="325">
        <v>1173.3040000000001</v>
      </c>
      <c r="FA90" s="325">
        <v>489.95999999999987</v>
      </c>
      <c r="FB90" s="325">
        <v>219.42399999999998</v>
      </c>
      <c r="FC90" s="325">
        <v>0</v>
      </c>
      <c r="FD90" s="325">
        <v>11283.84</v>
      </c>
      <c r="FE90" s="325">
        <v>1045.04</v>
      </c>
      <c r="FF90" s="326">
        <f t="shared" si="187"/>
        <v>14211.567999999999</v>
      </c>
      <c r="FG90" s="325">
        <v>1972.896</v>
      </c>
      <c r="FH90" s="325"/>
      <c r="FI90" s="331">
        <v>331.67200000000003</v>
      </c>
      <c r="FJ90" s="331"/>
      <c r="FK90" s="325">
        <v>8187.2640000000001</v>
      </c>
      <c r="FL90" s="325">
        <v>596.72</v>
      </c>
      <c r="FM90" s="326">
        <f t="shared" si="188"/>
        <v>11088.552</v>
      </c>
      <c r="FN90" s="333">
        <f t="shared" si="189"/>
        <v>44995.703999999998</v>
      </c>
      <c r="FO90" s="519">
        <f t="shared" si="150"/>
        <v>5967.0240000000003</v>
      </c>
      <c r="FP90" s="325">
        <f t="shared" si="151"/>
        <v>6940.7520000000004</v>
      </c>
      <c r="FQ90" s="325">
        <f t="shared" si="152"/>
        <v>1822.8400000000001</v>
      </c>
      <c r="FR90" s="325">
        <f t="shared" si="153"/>
        <v>94797.736000000004</v>
      </c>
      <c r="FS90" s="325">
        <f t="shared" si="154"/>
        <v>5204.3440000000001</v>
      </c>
      <c r="FT90" s="326">
        <f t="shared" si="155"/>
        <v>159728.4</v>
      </c>
      <c r="FU90" s="325">
        <f t="shared" si="190"/>
        <v>51148.351999999999</v>
      </c>
      <c r="FV90" s="325">
        <f t="shared" si="156"/>
        <v>0</v>
      </c>
      <c r="FW90" s="325">
        <f t="shared" si="157"/>
        <v>5436.76</v>
      </c>
      <c r="FX90" s="325">
        <f t="shared" si="158"/>
        <v>0</v>
      </c>
      <c r="FY90" s="325">
        <f t="shared" si="159"/>
        <v>124913.32799999999</v>
      </c>
      <c r="FZ90" s="325">
        <f t="shared" si="160"/>
        <v>5501.6080000000002</v>
      </c>
      <c r="GA90" s="326">
        <f t="shared" si="191"/>
        <v>187000.04800000001</v>
      </c>
      <c r="GB90" s="206">
        <f t="shared" si="192"/>
        <v>-12.029024903871786</v>
      </c>
      <c r="GC90" s="206" t="e">
        <f t="shared" si="193"/>
        <v>#DIV/0!</v>
      </c>
      <c r="GD90" s="206">
        <f t="shared" si="161"/>
        <v>27.663387752999952</v>
      </c>
      <c r="GE90" s="206" t="e">
        <f t="shared" si="162"/>
        <v>#DIV/0!</v>
      </c>
      <c r="GF90" s="206">
        <f t="shared" si="163"/>
        <v>-24.109190333956988</v>
      </c>
      <c r="GG90" s="206">
        <f t="shared" si="164"/>
        <v>-5.4032202948665145</v>
      </c>
      <c r="GH90" s="205">
        <f t="shared" si="194"/>
        <v>-14.583765240530852</v>
      </c>
    </row>
    <row r="91" spans="1:190">
      <c r="A91" s="319" t="s">
        <v>97</v>
      </c>
      <c r="B91" s="325">
        <v>861931.18400000001</v>
      </c>
      <c r="C91" s="325">
        <v>131183.56000000003</v>
      </c>
      <c r="D91" s="325">
        <v>98484.488000000012</v>
      </c>
      <c r="E91" s="325">
        <v>31813.528000000006</v>
      </c>
      <c r="F91" s="325">
        <v>544917.83200000005</v>
      </c>
      <c r="G91" s="325">
        <v>47822.792000000001</v>
      </c>
      <c r="H91" s="326">
        <f t="shared" si="165"/>
        <v>1716153.3840000001</v>
      </c>
      <c r="I91" s="325">
        <v>943700.46799999999</v>
      </c>
      <c r="J91" s="325"/>
      <c r="K91" s="325">
        <v>109201.9</v>
      </c>
      <c r="L91" s="325"/>
      <c r="M91" s="325">
        <v>494659.03200000006</v>
      </c>
      <c r="N91" s="325">
        <v>50768.705999999998</v>
      </c>
      <c r="O91" s="326">
        <f t="shared" si="166"/>
        <v>1598330.1060000001</v>
      </c>
      <c r="P91" s="325">
        <v>797194.24800000014</v>
      </c>
      <c r="Q91" s="325">
        <v>89675.648000000001</v>
      </c>
      <c r="R91" s="325">
        <v>116429.144</v>
      </c>
      <c r="S91" s="325">
        <v>23029.248000000003</v>
      </c>
      <c r="T91" s="325">
        <v>556669.44000000006</v>
      </c>
      <c r="U91" s="325">
        <v>33525.144</v>
      </c>
      <c r="V91" s="326">
        <f t="shared" si="167"/>
        <v>1616522.8720000002</v>
      </c>
      <c r="W91" s="325">
        <v>992178.1120000002</v>
      </c>
      <c r="X91" s="325"/>
      <c r="Y91" s="331">
        <v>146972.53600000002</v>
      </c>
      <c r="Z91" s="331"/>
      <c r="AA91" s="325">
        <v>592060.48</v>
      </c>
      <c r="AB91" s="325">
        <v>45717.659999999996</v>
      </c>
      <c r="AC91" s="326">
        <f t="shared" si="168"/>
        <v>1776928.7880000002</v>
      </c>
      <c r="AD91" s="325">
        <v>402252.84</v>
      </c>
      <c r="AE91" s="325">
        <v>98485.952000000005</v>
      </c>
      <c r="AF91" s="325">
        <v>62860.743999999999</v>
      </c>
      <c r="AG91" s="325">
        <v>27382.712</v>
      </c>
      <c r="AH91" s="325">
        <v>538725</v>
      </c>
      <c r="AI91" s="325">
        <v>38866.096000000005</v>
      </c>
      <c r="AJ91" s="326">
        <f t="shared" si="169"/>
        <v>1168573.3439999998</v>
      </c>
      <c r="AK91" s="325">
        <v>393052.98000000004</v>
      </c>
      <c r="AL91" s="325"/>
      <c r="AM91" s="331">
        <v>59018.842000000011</v>
      </c>
      <c r="AN91" s="331"/>
      <c r="AO91" s="325">
        <v>593500.83200000005</v>
      </c>
      <c r="AP91" s="325">
        <v>31397.219999999998</v>
      </c>
      <c r="AQ91" s="326">
        <f t="shared" si="170"/>
        <v>1076969.8740000001</v>
      </c>
      <c r="AR91" s="325">
        <v>173775.40000000002</v>
      </c>
      <c r="AS91" s="325">
        <v>55000.512000000002</v>
      </c>
      <c r="AT91" s="325">
        <v>28207.768</v>
      </c>
      <c r="AU91" s="325">
        <v>11017.24</v>
      </c>
      <c r="AV91" s="325">
        <v>314145.24</v>
      </c>
      <c r="AW91" s="325">
        <v>24445.903999999999</v>
      </c>
      <c r="AX91" s="326">
        <f t="shared" si="171"/>
        <v>606592.06400000001</v>
      </c>
      <c r="AY91" s="325">
        <v>476371.92600000004</v>
      </c>
      <c r="AZ91" s="325"/>
      <c r="BA91" s="325">
        <v>87413</v>
      </c>
      <c r="BB91" s="325"/>
      <c r="BC91" s="325">
        <v>669005.60000000009</v>
      </c>
      <c r="BD91" s="325">
        <v>43909.323999999993</v>
      </c>
      <c r="BE91" s="326">
        <f t="shared" si="172"/>
        <v>1276699.8500000001</v>
      </c>
      <c r="BF91" s="325">
        <v>163836.448</v>
      </c>
      <c r="BG91" s="325">
        <v>44244.456000000006</v>
      </c>
      <c r="BH91" s="325">
        <v>25030.760000000002</v>
      </c>
      <c r="BI91" s="325">
        <v>8636.344000000001</v>
      </c>
      <c r="BJ91" s="325">
        <v>446652</v>
      </c>
      <c r="BK91" s="325">
        <v>17703.04</v>
      </c>
      <c r="BL91" s="326">
        <f t="shared" si="173"/>
        <v>706103.04800000007</v>
      </c>
      <c r="BM91" s="325">
        <v>556637.71200000006</v>
      </c>
      <c r="BN91" s="325"/>
      <c r="BO91" s="325">
        <v>76737.343999999997</v>
      </c>
      <c r="BP91" s="325"/>
      <c r="BQ91" s="325">
        <v>720934.08000000007</v>
      </c>
      <c r="BR91" s="325">
        <v>38819.968000000008</v>
      </c>
      <c r="BS91" s="326">
        <f t="shared" si="174"/>
        <v>1393129.1040000003</v>
      </c>
      <c r="BT91" s="325">
        <v>256787.51200000002</v>
      </c>
      <c r="BU91" s="325">
        <v>58944.072</v>
      </c>
      <c r="BV91" s="325">
        <v>37227.167999999998</v>
      </c>
      <c r="BW91" s="325">
        <v>12704.704</v>
      </c>
      <c r="BX91" s="325">
        <v>527206.07999999996</v>
      </c>
      <c r="BY91" s="325">
        <v>22149.696000000004</v>
      </c>
      <c r="BZ91" s="326">
        <f t="shared" si="175"/>
        <v>915019.23200000008</v>
      </c>
      <c r="CA91" s="325">
        <v>489172.56000000006</v>
      </c>
      <c r="CB91" s="325"/>
      <c r="CC91" s="331">
        <v>80891.104000000007</v>
      </c>
      <c r="CD91" s="331"/>
      <c r="CE91" s="325">
        <v>591454.01600000006</v>
      </c>
      <c r="CF91" s="325">
        <v>33245.088000000003</v>
      </c>
      <c r="CG91" s="326">
        <f t="shared" si="176"/>
        <v>1194762.7680000002</v>
      </c>
      <c r="CH91" s="325">
        <v>353290.50400000002</v>
      </c>
      <c r="CI91" s="325">
        <v>62622.031999999985</v>
      </c>
      <c r="CJ91" s="325">
        <v>43995.936000000002</v>
      </c>
      <c r="CK91" s="325">
        <v>13106.088000000002</v>
      </c>
      <c r="CL91" s="325">
        <v>549068.52</v>
      </c>
      <c r="CM91" s="325">
        <v>29538.544000000002</v>
      </c>
      <c r="CN91" s="326">
        <f t="shared" si="177"/>
        <v>1051621.6240000001</v>
      </c>
      <c r="CO91" s="325">
        <v>199661.19199999998</v>
      </c>
      <c r="CP91" s="325"/>
      <c r="CQ91" s="331">
        <v>35893.032000000007</v>
      </c>
      <c r="CR91" s="331"/>
      <c r="CS91" s="325">
        <v>735868.25600000005</v>
      </c>
      <c r="CT91" s="325">
        <v>49792.032000000007</v>
      </c>
      <c r="CU91" s="326">
        <f t="shared" si="178"/>
        <v>1021214.512</v>
      </c>
      <c r="CV91" s="325">
        <v>412251.95200000005</v>
      </c>
      <c r="CW91" s="325">
        <v>70627.512000000061</v>
      </c>
      <c r="CX91" s="325">
        <v>66542.248000000007</v>
      </c>
      <c r="CY91" s="325">
        <v>12905.704000000005</v>
      </c>
      <c r="CZ91" s="325">
        <v>633854.04000000015</v>
      </c>
      <c r="DA91" s="325">
        <v>36322.584000000003</v>
      </c>
      <c r="DB91" s="326">
        <f t="shared" si="179"/>
        <v>1232504.0400000003</v>
      </c>
      <c r="DC91" s="325">
        <v>154037.61599999998</v>
      </c>
      <c r="DD91" s="325"/>
      <c r="DE91" s="331">
        <v>33934.448000000004</v>
      </c>
      <c r="DF91" s="331"/>
      <c r="DG91" s="325">
        <v>716916.25600000005</v>
      </c>
      <c r="DH91" s="325">
        <v>40041.807999999997</v>
      </c>
      <c r="DI91" s="326">
        <f t="shared" si="180"/>
        <v>944930.12800000003</v>
      </c>
      <c r="DJ91" s="325">
        <v>158552.85600000003</v>
      </c>
      <c r="DK91" s="325">
        <v>77108.551999999952</v>
      </c>
      <c r="DL91" s="325">
        <v>23378.2</v>
      </c>
      <c r="DM91" s="325">
        <v>8145.7280000000028</v>
      </c>
      <c r="DN91" s="325">
        <v>633227.16</v>
      </c>
      <c r="DO91" s="325">
        <v>41373.880000000005</v>
      </c>
      <c r="DP91" s="326">
        <f t="shared" si="181"/>
        <v>941786.37600000005</v>
      </c>
      <c r="DQ91" s="325">
        <v>141081.40000000002</v>
      </c>
      <c r="DR91" s="325"/>
      <c r="DS91" s="331">
        <v>32085.048000000003</v>
      </c>
      <c r="DT91" s="331"/>
      <c r="DU91" s="325">
        <v>703195.00800000003</v>
      </c>
      <c r="DV91" s="325">
        <v>34539.552000000003</v>
      </c>
      <c r="DW91" s="326">
        <f t="shared" si="182"/>
        <v>910901.00800000003</v>
      </c>
      <c r="DX91" s="325">
        <v>75680.639999999999</v>
      </c>
      <c r="DY91" s="325">
        <v>127105.67199999998</v>
      </c>
      <c r="DZ91" s="325">
        <v>12853.656000000001</v>
      </c>
      <c r="EA91" s="325">
        <v>8678.5360000000019</v>
      </c>
      <c r="EB91" s="325">
        <v>712135.68000000005</v>
      </c>
      <c r="EC91" s="325">
        <v>40667.632000000005</v>
      </c>
      <c r="ED91" s="326">
        <f t="shared" si="183"/>
        <v>977121.81599999999</v>
      </c>
      <c r="EE91" s="325">
        <v>155975.09600000002</v>
      </c>
      <c r="EF91" s="325"/>
      <c r="EG91" s="331">
        <v>44132.456000000006</v>
      </c>
      <c r="EH91" s="331"/>
      <c r="EI91" s="325">
        <v>784688.60800000001</v>
      </c>
      <c r="EJ91" s="325">
        <v>55299.271999999997</v>
      </c>
      <c r="EK91" s="326">
        <f t="shared" si="184"/>
        <v>1040095.432</v>
      </c>
      <c r="EL91" s="325">
        <v>129152.29600000003</v>
      </c>
      <c r="EM91" s="325">
        <v>61135.463999999993</v>
      </c>
      <c r="EN91" s="325">
        <v>22386.495999999999</v>
      </c>
      <c r="EO91" s="325">
        <v>8250.4639999999999</v>
      </c>
      <c r="EP91" s="325">
        <v>628603.92000000004</v>
      </c>
      <c r="EQ91" s="325">
        <v>45341.112000000001</v>
      </c>
      <c r="ER91" s="326">
        <f t="shared" si="185"/>
        <v>894869.75199999998</v>
      </c>
      <c r="ES91" s="325">
        <v>124359.33600000001</v>
      </c>
      <c r="ET91" s="325"/>
      <c r="EU91" s="331">
        <v>34328.560000000005</v>
      </c>
      <c r="EV91" s="331"/>
      <c r="EW91" s="325">
        <v>683030.08000000007</v>
      </c>
      <c r="EX91" s="325">
        <v>49290.6</v>
      </c>
      <c r="EY91" s="326">
        <f t="shared" si="186"/>
        <v>891008.576</v>
      </c>
      <c r="EZ91" s="325">
        <v>178814.13600000003</v>
      </c>
      <c r="FA91" s="325">
        <v>97773.655999999988</v>
      </c>
      <c r="FB91" s="325">
        <v>18873.144</v>
      </c>
      <c r="FC91" s="325">
        <v>10486.552000000003</v>
      </c>
      <c r="FD91" s="325">
        <v>630562.92000000004</v>
      </c>
      <c r="FE91" s="325">
        <v>52777.376000000004</v>
      </c>
      <c r="FF91" s="326">
        <f t="shared" si="187"/>
        <v>989287.7840000001</v>
      </c>
      <c r="FG91" s="325">
        <v>168548.00800000003</v>
      </c>
      <c r="FH91" s="325"/>
      <c r="FI91" s="331">
        <v>44841.976000000002</v>
      </c>
      <c r="FJ91" s="331"/>
      <c r="FK91" s="325">
        <v>663774.84800000011</v>
      </c>
      <c r="FL91" s="325">
        <v>64479.216000000008</v>
      </c>
      <c r="FM91" s="326">
        <f t="shared" si="188"/>
        <v>941644.04800000018</v>
      </c>
      <c r="FN91" s="333">
        <f t="shared" si="189"/>
        <v>3963520.0160000008</v>
      </c>
      <c r="FO91" s="519">
        <f t="shared" si="150"/>
        <v>973907.08799999999</v>
      </c>
      <c r="FP91" s="325">
        <f t="shared" si="151"/>
        <v>556269.75199999998</v>
      </c>
      <c r="FQ91" s="325">
        <f t="shared" si="152"/>
        <v>176156.84800000003</v>
      </c>
      <c r="FR91" s="325">
        <f t="shared" si="153"/>
        <v>6715767.8319999995</v>
      </c>
      <c r="FS91" s="325">
        <f t="shared" si="154"/>
        <v>430533.80000000005</v>
      </c>
      <c r="FT91" s="326">
        <f t="shared" si="155"/>
        <v>12816155.336000001</v>
      </c>
      <c r="FU91" s="325">
        <f t="shared" si="190"/>
        <v>4794776.4060000004</v>
      </c>
      <c r="FV91" s="325">
        <f t="shared" si="156"/>
        <v>0</v>
      </c>
      <c r="FW91" s="325">
        <f t="shared" si="157"/>
        <v>785450.24600000004</v>
      </c>
      <c r="FX91" s="325">
        <f t="shared" si="158"/>
        <v>0</v>
      </c>
      <c r="FY91" s="325">
        <f t="shared" si="159"/>
        <v>7949087.0960000008</v>
      </c>
      <c r="FZ91" s="325">
        <f t="shared" si="160"/>
        <v>537300.446</v>
      </c>
      <c r="GA91" s="326">
        <f t="shared" si="191"/>
        <v>14066614.194000002</v>
      </c>
      <c r="GB91" s="206">
        <f t="shared" si="192"/>
        <v>-17.336708109262347</v>
      </c>
      <c r="GC91" s="206" t="e">
        <f t="shared" si="193"/>
        <v>#DIV/0!</v>
      </c>
      <c r="GD91" s="206">
        <f t="shared" si="161"/>
        <v>-29.178231869826163</v>
      </c>
      <c r="GE91" s="206" t="e">
        <f t="shared" si="162"/>
        <v>#DIV/0!</v>
      </c>
      <c r="GF91" s="206">
        <f t="shared" si="163"/>
        <v>-15.515231486400623</v>
      </c>
      <c r="GG91" s="206">
        <f t="shared" si="164"/>
        <v>-19.870939396167913</v>
      </c>
      <c r="GH91" s="205">
        <f t="shared" si="194"/>
        <v>-8.8895511084207612</v>
      </c>
    </row>
    <row r="92" spans="1:190">
      <c r="A92" s="319" t="s">
        <v>100</v>
      </c>
      <c r="B92" s="325">
        <v>499567.94400000008</v>
      </c>
      <c r="C92" s="325">
        <v>56408.32</v>
      </c>
      <c r="D92" s="325">
        <v>57631.528000000006</v>
      </c>
      <c r="E92" s="325">
        <v>9873.8240000000005</v>
      </c>
      <c r="F92" s="325">
        <v>244161.64800000002</v>
      </c>
      <c r="G92" s="325">
        <v>22701.640000000003</v>
      </c>
      <c r="H92" s="326">
        <f t="shared" si="165"/>
        <v>890344.90400000021</v>
      </c>
      <c r="I92" s="325">
        <v>510582.57600000006</v>
      </c>
      <c r="J92" s="325"/>
      <c r="K92" s="325">
        <v>53775.328000000009</v>
      </c>
      <c r="L92" s="325"/>
      <c r="M92" s="325">
        <v>226567.52000000002</v>
      </c>
      <c r="N92" s="325">
        <v>21853.216</v>
      </c>
      <c r="O92" s="326">
        <f t="shared" si="166"/>
        <v>812778.64000000013</v>
      </c>
      <c r="P92" s="325">
        <v>592718.48</v>
      </c>
      <c r="Q92" s="325">
        <v>50157.872000000003</v>
      </c>
      <c r="R92" s="325">
        <v>89545.631999999998</v>
      </c>
      <c r="S92" s="325">
        <v>10202.944000000001</v>
      </c>
      <c r="T92" s="325">
        <v>328328.40000000002</v>
      </c>
      <c r="U92" s="325">
        <v>17646.007999999998</v>
      </c>
      <c r="V92" s="326">
        <f t="shared" si="167"/>
        <v>1088599.3359999999</v>
      </c>
      <c r="W92" s="325">
        <v>653163.95200000005</v>
      </c>
      <c r="X92" s="325"/>
      <c r="Y92" s="331">
        <v>94472.088000000003</v>
      </c>
      <c r="Z92" s="331"/>
      <c r="AA92" s="325">
        <v>336284.288</v>
      </c>
      <c r="AB92" s="325">
        <v>17930.16</v>
      </c>
      <c r="AC92" s="326">
        <f t="shared" si="168"/>
        <v>1101850.4879999999</v>
      </c>
      <c r="AD92" s="325">
        <v>282166.728</v>
      </c>
      <c r="AE92" s="325">
        <v>36179.112000000001</v>
      </c>
      <c r="AF92" s="325">
        <v>40676.592000000004</v>
      </c>
      <c r="AG92" s="325">
        <v>6572.04</v>
      </c>
      <c r="AH92" s="325">
        <v>322294.68</v>
      </c>
      <c r="AI92" s="325">
        <v>15142.216</v>
      </c>
      <c r="AJ92" s="326">
        <f t="shared" si="169"/>
        <v>703031.36800000002</v>
      </c>
      <c r="AK92" s="325">
        <v>272297.43200000003</v>
      </c>
      <c r="AL92" s="325"/>
      <c r="AM92" s="331">
        <v>39750.456000000006</v>
      </c>
      <c r="AN92" s="331"/>
      <c r="AO92" s="325">
        <v>369488.19200000004</v>
      </c>
      <c r="AP92" s="325">
        <v>15609.272000000001</v>
      </c>
      <c r="AQ92" s="326">
        <f t="shared" si="170"/>
        <v>697145.35200000007</v>
      </c>
      <c r="AR92" s="325">
        <v>138726.52800000002</v>
      </c>
      <c r="AS92" s="325">
        <v>19525.808000000001</v>
      </c>
      <c r="AT92" s="325">
        <v>20754.440000000002</v>
      </c>
      <c r="AU92" s="325">
        <v>4669.7120000000004</v>
      </c>
      <c r="AV92" s="325">
        <v>238998</v>
      </c>
      <c r="AW92" s="325">
        <v>9664.5759999999991</v>
      </c>
      <c r="AX92" s="326">
        <f t="shared" si="171"/>
        <v>432339.06400000001</v>
      </c>
      <c r="AY92" s="325">
        <v>277453.52</v>
      </c>
      <c r="AZ92" s="325"/>
      <c r="BA92" s="325">
        <v>39824.616000000009</v>
      </c>
      <c r="BB92" s="325"/>
      <c r="BC92" s="325">
        <v>393822.56000000006</v>
      </c>
      <c r="BD92" s="325">
        <v>12963.072</v>
      </c>
      <c r="BE92" s="326">
        <f t="shared" si="172"/>
        <v>724063.76800000016</v>
      </c>
      <c r="BF92" s="325">
        <v>118827.63200000001</v>
      </c>
      <c r="BG92" s="325">
        <v>20184.176000000003</v>
      </c>
      <c r="BH92" s="325">
        <v>14580.064000000002</v>
      </c>
      <c r="BI92" s="325">
        <v>3281.1040000000003</v>
      </c>
      <c r="BJ92" s="325">
        <v>322529.76</v>
      </c>
      <c r="BK92" s="325">
        <v>9642.4159999999993</v>
      </c>
      <c r="BL92" s="326">
        <f t="shared" si="173"/>
        <v>489045.15200000006</v>
      </c>
      <c r="BM92" s="325">
        <v>342645.20799999998</v>
      </c>
      <c r="BN92" s="325"/>
      <c r="BO92" s="325">
        <v>47436.351999999999</v>
      </c>
      <c r="BP92" s="325"/>
      <c r="BQ92" s="325">
        <v>413608.44800000003</v>
      </c>
      <c r="BR92" s="325">
        <v>15234.776</v>
      </c>
      <c r="BS92" s="326">
        <f t="shared" si="174"/>
        <v>818924.78399999999</v>
      </c>
      <c r="BT92" s="325">
        <v>183298.66400000002</v>
      </c>
      <c r="BU92" s="325">
        <v>26316.216</v>
      </c>
      <c r="BV92" s="325">
        <v>28890.368000000002</v>
      </c>
      <c r="BW92" s="325">
        <v>4661.6400000000003</v>
      </c>
      <c r="BX92" s="325">
        <v>352933.44</v>
      </c>
      <c r="BY92" s="325">
        <v>14790.656000000003</v>
      </c>
      <c r="BZ92" s="326">
        <f t="shared" si="175"/>
        <v>610890.98399999994</v>
      </c>
      <c r="CA92" s="325">
        <v>311830.96000000002</v>
      </c>
      <c r="CB92" s="325"/>
      <c r="CC92" s="331">
        <v>44569.64</v>
      </c>
      <c r="CD92" s="331"/>
      <c r="CE92" s="325">
        <v>346821.60000000003</v>
      </c>
      <c r="CF92" s="325">
        <v>15471.264000000003</v>
      </c>
      <c r="CG92" s="326">
        <f t="shared" si="176"/>
        <v>718693.46400000004</v>
      </c>
      <c r="CH92" s="325">
        <v>241949.53599999999</v>
      </c>
      <c r="CI92" s="325">
        <v>36762.688000000038</v>
      </c>
      <c r="CJ92" s="325">
        <v>27032.152000000002</v>
      </c>
      <c r="CK92" s="325">
        <v>3170.8079999999959</v>
      </c>
      <c r="CL92" s="325">
        <v>385221.76</v>
      </c>
      <c r="CM92" s="325">
        <v>14193.432000000001</v>
      </c>
      <c r="CN92" s="326">
        <f t="shared" si="177"/>
        <v>708330.37600000016</v>
      </c>
      <c r="CO92" s="325">
        <v>94839.256000000008</v>
      </c>
      <c r="CP92" s="325"/>
      <c r="CQ92" s="331">
        <v>14894.16</v>
      </c>
      <c r="CR92" s="331"/>
      <c r="CS92" s="325">
        <v>409363.20000000001</v>
      </c>
      <c r="CT92" s="325">
        <v>15805.152000000002</v>
      </c>
      <c r="CU92" s="326">
        <f t="shared" si="178"/>
        <v>534901.76800000004</v>
      </c>
      <c r="CV92" s="325">
        <v>297526.68</v>
      </c>
      <c r="CW92" s="325">
        <v>36805.032000000028</v>
      </c>
      <c r="CX92" s="325">
        <v>43838.928000000007</v>
      </c>
      <c r="CY92" s="325">
        <v>3901.3119999999999</v>
      </c>
      <c r="CZ92" s="325">
        <v>424162.68</v>
      </c>
      <c r="DA92" s="325">
        <v>17491.504000000001</v>
      </c>
      <c r="DB92" s="326">
        <f t="shared" si="179"/>
        <v>823726.13599999994</v>
      </c>
      <c r="DC92" s="325">
        <v>80948.84</v>
      </c>
      <c r="DD92" s="325"/>
      <c r="DE92" s="331">
        <v>16702.240000000002</v>
      </c>
      <c r="DF92" s="331"/>
      <c r="DG92" s="325">
        <v>404663.10400000005</v>
      </c>
      <c r="DH92" s="325">
        <v>19369.936000000002</v>
      </c>
      <c r="DI92" s="326">
        <f t="shared" si="180"/>
        <v>521684.12000000005</v>
      </c>
      <c r="DJ92" s="325">
        <v>93282.816000000006</v>
      </c>
      <c r="DK92" s="325">
        <v>40565.167999999983</v>
      </c>
      <c r="DL92" s="325">
        <v>10427.992</v>
      </c>
      <c r="DM92" s="325">
        <v>2873.3439999999991</v>
      </c>
      <c r="DN92" s="325">
        <v>420714.84000000008</v>
      </c>
      <c r="DO92" s="325">
        <v>26991.728000000003</v>
      </c>
      <c r="DP92" s="326">
        <f t="shared" si="181"/>
        <v>594855.88800000015</v>
      </c>
      <c r="DQ92" s="325">
        <v>67726.384000000005</v>
      </c>
      <c r="DR92" s="325"/>
      <c r="DS92" s="331">
        <v>15571.495999999999</v>
      </c>
      <c r="DT92" s="331"/>
      <c r="DU92" s="325">
        <v>408605.12000000005</v>
      </c>
      <c r="DV92" s="325">
        <v>14885.28</v>
      </c>
      <c r="DW92" s="326">
        <f t="shared" si="182"/>
        <v>506788.28000000009</v>
      </c>
      <c r="DX92" s="325">
        <v>35460.752</v>
      </c>
      <c r="DY92" s="325">
        <v>84830.52</v>
      </c>
      <c r="DZ92" s="325">
        <v>5050.232</v>
      </c>
      <c r="EA92" s="325">
        <v>5789.3840000000009</v>
      </c>
      <c r="EB92" s="325">
        <v>459424.68</v>
      </c>
      <c r="EC92" s="325">
        <v>28090.088000000011</v>
      </c>
      <c r="ED92" s="326">
        <f t="shared" si="183"/>
        <v>618645.65599999996</v>
      </c>
      <c r="EE92" s="325">
        <v>81013.032000000007</v>
      </c>
      <c r="EF92" s="325"/>
      <c r="EG92" s="331">
        <v>14771.736000000001</v>
      </c>
      <c r="EH92" s="331"/>
      <c r="EI92" s="325">
        <v>428694.24000000005</v>
      </c>
      <c r="EJ92" s="325">
        <v>22070.896000000001</v>
      </c>
      <c r="EK92" s="326">
        <f t="shared" si="184"/>
        <v>546549.90399999998</v>
      </c>
      <c r="EL92" s="325">
        <v>65740.432000000015</v>
      </c>
      <c r="EM92" s="325">
        <v>34924.752</v>
      </c>
      <c r="EN92" s="325">
        <v>5332.1360000000004</v>
      </c>
      <c r="EO92" s="325">
        <v>4310.9360000000006</v>
      </c>
      <c r="EP92" s="325">
        <v>398538.96</v>
      </c>
      <c r="EQ92" s="325">
        <v>26978.432000000001</v>
      </c>
      <c r="ER92" s="326">
        <f t="shared" si="185"/>
        <v>535825.64800000004</v>
      </c>
      <c r="ES92" s="325">
        <v>47662.544000000002</v>
      </c>
      <c r="ET92" s="325"/>
      <c r="EU92" s="331">
        <v>9878.44</v>
      </c>
      <c r="EV92" s="331"/>
      <c r="EW92" s="325">
        <v>385786.91200000001</v>
      </c>
      <c r="EX92" s="325">
        <v>15659.528</v>
      </c>
      <c r="EY92" s="326">
        <f t="shared" si="186"/>
        <v>458987.424</v>
      </c>
      <c r="EZ92" s="325">
        <v>65009.616000000009</v>
      </c>
      <c r="FA92" s="325">
        <v>41731.792000000009</v>
      </c>
      <c r="FB92" s="325">
        <v>8882.6880000000001</v>
      </c>
      <c r="FC92" s="325">
        <v>6651.8480000000018</v>
      </c>
      <c r="FD92" s="325">
        <v>396423.24</v>
      </c>
      <c r="FE92" s="325">
        <v>27771.512000000002</v>
      </c>
      <c r="FF92" s="326">
        <f t="shared" si="187"/>
        <v>546470.696</v>
      </c>
      <c r="FG92" s="325">
        <v>64456.736000000004</v>
      </c>
      <c r="FH92" s="325"/>
      <c r="FI92" s="331">
        <v>12913.184000000001</v>
      </c>
      <c r="FJ92" s="331"/>
      <c r="FK92" s="325">
        <v>364712.288</v>
      </c>
      <c r="FL92" s="325">
        <v>22824.864000000005</v>
      </c>
      <c r="FM92" s="326">
        <f t="shared" si="188"/>
        <v>464907.07199999999</v>
      </c>
      <c r="FN92" s="333">
        <f t="shared" si="189"/>
        <v>2614275.8080000002</v>
      </c>
      <c r="FO92" s="519">
        <f t="shared" si="150"/>
        <v>484391.45600000006</v>
      </c>
      <c r="FP92" s="325">
        <f t="shared" si="151"/>
        <v>352642.75200000009</v>
      </c>
      <c r="FQ92" s="325">
        <f t="shared" si="152"/>
        <v>65958.895999999993</v>
      </c>
      <c r="FR92" s="325">
        <f t="shared" si="153"/>
        <v>4293732.0880000005</v>
      </c>
      <c r="FS92" s="325">
        <f t="shared" si="154"/>
        <v>231104.20800000004</v>
      </c>
      <c r="FT92" s="326">
        <f t="shared" si="155"/>
        <v>8042105.2080000015</v>
      </c>
      <c r="FU92" s="325">
        <f t="shared" si="190"/>
        <v>2804620.4400000004</v>
      </c>
      <c r="FV92" s="325">
        <f t="shared" si="156"/>
        <v>0</v>
      </c>
      <c r="FW92" s="325">
        <f t="shared" si="157"/>
        <v>404559.73599999998</v>
      </c>
      <c r="FX92" s="325">
        <f t="shared" si="158"/>
        <v>0</v>
      </c>
      <c r="FY92" s="325">
        <f t="shared" si="159"/>
        <v>4488417.472000001</v>
      </c>
      <c r="FZ92" s="325">
        <f t="shared" si="160"/>
        <v>209677.416</v>
      </c>
      <c r="GA92" s="326">
        <f t="shared" si="191"/>
        <v>7907275.0640000021</v>
      </c>
      <c r="GB92" s="206">
        <f t="shared" si="192"/>
        <v>-6.7868232465709326</v>
      </c>
      <c r="GC92" s="206" t="e">
        <f t="shared" si="193"/>
        <v>#DIV/0!</v>
      </c>
      <c r="GD92" s="206">
        <f t="shared" si="161"/>
        <v>-12.832958740115416</v>
      </c>
      <c r="GE92" s="206" t="e">
        <f t="shared" si="162"/>
        <v>#DIV/0!</v>
      </c>
      <c r="GF92" s="206">
        <f t="shared" si="163"/>
        <v>-4.3375061525471352</v>
      </c>
      <c r="GG92" s="206">
        <f t="shared" si="164"/>
        <v>10.218931732733694</v>
      </c>
      <c r="GH92" s="205">
        <f t="shared" si="194"/>
        <v>1.70514042965128</v>
      </c>
    </row>
    <row r="93" spans="1:190">
      <c r="A93" s="319" t="s">
        <v>102</v>
      </c>
      <c r="B93" s="325">
        <v>53316.256000000008</v>
      </c>
      <c r="C93" s="325">
        <v>10739.464</v>
      </c>
      <c r="D93" s="325">
        <v>7274.0560000000005</v>
      </c>
      <c r="E93" s="325">
        <v>347</v>
      </c>
      <c r="F93" s="325">
        <v>47771.528000000006</v>
      </c>
      <c r="G93" s="325">
        <v>4694.9279999999999</v>
      </c>
      <c r="H93" s="326">
        <f t="shared" si="165"/>
        <v>124143.23200000002</v>
      </c>
      <c r="I93" s="325">
        <v>51984.864000000001</v>
      </c>
      <c r="J93" s="325"/>
      <c r="K93" s="325">
        <v>8344.0480000000007</v>
      </c>
      <c r="L93" s="325"/>
      <c r="M93" s="325">
        <v>35138.576000000001</v>
      </c>
      <c r="N93" s="325">
        <v>3455.4320000000007</v>
      </c>
      <c r="O93" s="326">
        <f t="shared" si="166"/>
        <v>98922.920000000013</v>
      </c>
      <c r="P93" s="325">
        <v>51482.008000000002</v>
      </c>
      <c r="Q93" s="325">
        <v>10287.496000000001</v>
      </c>
      <c r="R93" s="325">
        <v>5950.2800000000007</v>
      </c>
      <c r="S93" s="325">
        <v>517.10400000000004</v>
      </c>
      <c r="T93" s="325">
        <v>40825.56</v>
      </c>
      <c r="U93" s="325">
        <v>4659.9920000000002</v>
      </c>
      <c r="V93" s="326">
        <f t="shared" si="167"/>
        <v>113722.44</v>
      </c>
      <c r="W93" s="325">
        <v>82033.416000000012</v>
      </c>
      <c r="X93" s="325"/>
      <c r="Y93" s="331">
        <v>8289.7520000000004</v>
      </c>
      <c r="Z93" s="331"/>
      <c r="AA93" s="325">
        <v>44120.256000000001</v>
      </c>
      <c r="AB93" s="325">
        <v>4697.2960000000003</v>
      </c>
      <c r="AC93" s="326">
        <f t="shared" si="168"/>
        <v>139140.72</v>
      </c>
      <c r="AD93" s="325">
        <v>33554.768000000004</v>
      </c>
      <c r="AE93" s="325">
        <v>7317.3600000000006</v>
      </c>
      <c r="AF93" s="325">
        <v>4997.9120000000003</v>
      </c>
      <c r="AG93" s="325">
        <v>684.29599999999994</v>
      </c>
      <c r="AH93" s="325">
        <v>41452.44</v>
      </c>
      <c r="AI93" s="325">
        <v>3558.9360000000001</v>
      </c>
      <c r="AJ93" s="326">
        <f t="shared" si="169"/>
        <v>91565.712000000014</v>
      </c>
      <c r="AK93" s="325">
        <v>38759.648000000001</v>
      </c>
      <c r="AL93" s="325"/>
      <c r="AM93" s="331">
        <v>2219.4639999999999</v>
      </c>
      <c r="AN93" s="331"/>
      <c r="AO93" s="325">
        <v>35553.952000000005</v>
      </c>
      <c r="AP93" s="325">
        <v>4276.0560000000005</v>
      </c>
      <c r="AQ93" s="326">
        <f t="shared" si="170"/>
        <v>80809.12000000001</v>
      </c>
      <c r="AR93" s="325">
        <v>17529.223999999998</v>
      </c>
      <c r="AS93" s="325">
        <v>4609.6160000000009</v>
      </c>
      <c r="AT93" s="325">
        <v>967.58400000000006</v>
      </c>
      <c r="AU93" s="325">
        <v>110.56</v>
      </c>
      <c r="AV93" s="325">
        <v>28601.4</v>
      </c>
      <c r="AW93" s="325">
        <v>2073.8240000000001</v>
      </c>
      <c r="AX93" s="326">
        <f t="shared" si="171"/>
        <v>53892.208000000006</v>
      </c>
      <c r="AY93" s="325">
        <v>39160.896000000001</v>
      </c>
      <c r="AZ93" s="325"/>
      <c r="BA93" s="325">
        <v>3703.1440000000002</v>
      </c>
      <c r="BB93" s="325"/>
      <c r="BC93" s="325">
        <v>42376.671999999999</v>
      </c>
      <c r="BD93" s="325">
        <v>4167.6480000000001</v>
      </c>
      <c r="BE93" s="326">
        <f t="shared" si="172"/>
        <v>89408.36</v>
      </c>
      <c r="BF93" s="325">
        <v>13182.032000000001</v>
      </c>
      <c r="BG93" s="325">
        <v>4824.8480000000009</v>
      </c>
      <c r="BH93" s="325">
        <v>1005.672</v>
      </c>
      <c r="BI93" s="325">
        <v>639.18400000000008</v>
      </c>
      <c r="BJ93" s="325">
        <v>27739.440000000002</v>
      </c>
      <c r="BK93" s="325">
        <v>1719.0239999999999</v>
      </c>
      <c r="BL93" s="326">
        <f t="shared" si="173"/>
        <v>49110.200000000004</v>
      </c>
      <c r="BM93" s="325">
        <v>44922.296000000002</v>
      </c>
      <c r="BN93" s="325"/>
      <c r="BO93" s="325">
        <v>2305.576</v>
      </c>
      <c r="BP93" s="325"/>
      <c r="BQ93" s="325">
        <v>52534.943999999996</v>
      </c>
      <c r="BR93" s="325">
        <v>3257.6080000000006</v>
      </c>
      <c r="BS93" s="326">
        <f t="shared" si="174"/>
        <v>103020.424</v>
      </c>
      <c r="BT93" s="325">
        <v>24239.119999999999</v>
      </c>
      <c r="BU93" s="325">
        <v>10043.416000000001</v>
      </c>
      <c r="BV93" s="325">
        <v>1158.056</v>
      </c>
      <c r="BW93" s="325">
        <v>1288.1280000000002</v>
      </c>
      <c r="BX93" s="325">
        <v>36515.760000000002</v>
      </c>
      <c r="BY93" s="325">
        <v>3492.4560000000001</v>
      </c>
      <c r="BZ93" s="326">
        <f t="shared" si="175"/>
        <v>76736.936000000002</v>
      </c>
      <c r="CA93" s="325">
        <v>44955.928</v>
      </c>
      <c r="CB93" s="325"/>
      <c r="CC93" s="331">
        <v>5422.3200000000006</v>
      </c>
      <c r="CD93" s="331"/>
      <c r="CE93" s="325">
        <v>40254.048000000003</v>
      </c>
      <c r="CF93" s="325">
        <v>3608.2080000000001</v>
      </c>
      <c r="CG93" s="326">
        <f t="shared" si="176"/>
        <v>94240.504000000001</v>
      </c>
      <c r="CH93" s="325">
        <v>47235</v>
      </c>
      <c r="CI93" s="325">
        <v>13197.463999999991</v>
      </c>
      <c r="CJ93" s="325">
        <v>2377.08</v>
      </c>
      <c r="CK93" s="325">
        <v>343.48799999999977</v>
      </c>
      <c r="CL93" s="325">
        <v>44978.640000000007</v>
      </c>
      <c r="CM93" s="325">
        <v>4263.6719999999996</v>
      </c>
      <c r="CN93" s="326">
        <f t="shared" si="177"/>
        <v>112395.344</v>
      </c>
      <c r="CO93" s="325">
        <v>18295.32</v>
      </c>
      <c r="CP93" s="325"/>
      <c r="CQ93" s="331">
        <v>2314.7919999999999</v>
      </c>
      <c r="CR93" s="331"/>
      <c r="CS93" s="325">
        <v>44120.256000000001</v>
      </c>
      <c r="CT93" s="325">
        <v>3954.3120000000008</v>
      </c>
      <c r="CU93" s="326">
        <f t="shared" si="178"/>
        <v>68684.680000000008</v>
      </c>
      <c r="CV93" s="325">
        <v>41985.216</v>
      </c>
      <c r="CW93" s="325">
        <v>14934.256000000001</v>
      </c>
      <c r="CX93" s="325">
        <v>2927.1680000000001</v>
      </c>
      <c r="CY93" s="325">
        <v>158.07199999999978</v>
      </c>
      <c r="CZ93" s="325">
        <v>45292.08</v>
      </c>
      <c r="DA93" s="325">
        <v>6630.8480000000009</v>
      </c>
      <c r="DB93" s="326">
        <f t="shared" si="179"/>
        <v>111927.64</v>
      </c>
      <c r="DC93" s="325">
        <v>12089.328000000001</v>
      </c>
      <c r="DD93" s="325"/>
      <c r="DE93" s="331">
        <v>1679.28</v>
      </c>
      <c r="DF93" s="331"/>
      <c r="DG93" s="325">
        <v>48289.696000000004</v>
      </c>
      <c r="DH93" s="325">
        <v>2840.6480000000001</v>
      </c>
      <c r="DI93" s="326">
        <f t="shared" si="180"/>
        <v>64898.952000000005</v>
      </c>
      <c r="DJ93" s="325">
        <v>17703.135999999999</v>
      </c>
      <c r="DK93" s="325">
        <v>11504.744000000001</v>
      </c>
      <c r="DL93" s="325">
        <v>1037.7040000000002</v>
      </c>
      <c r="DM93" s="325">
        <v>772.33599999999979</v>
      </c>
      <c r="DN93" s="325">
        <v>51560.880000000005</v>
      </c>
      <c r="DO93" s="325">
        <v>5975.648000000001</v>
      </c>
      <c r="DP93" s="326">
        <f t="shared" si="181"/>
        <v>88554.448000000004</v>
      </c>
      <c r="DQ93" s="325">
        <v>13100.560000000001</v>
      </c>
      <c r="DR93" s="325"/>
      <c r="DS93" s="331">
        <v>1149.5280000000002</v>
      </c>
      <c r="DT93" s="331"/>
      <c r="DU93" s="325">
        <v>46470.304000000004</v>
      </c>
      <c r="DV93" s="325">
        <v>2385.808</v>
      </c>
      <c r="DW93" s="326">
        <f t="shared" si="182"/>
        <v>63106.200000000004</v>
      </c>
      <c r="DX93" s="325">
        <v>7342.4000000000005</v>
      </c>
      <c r="DY93" s="325">
        <v>18527.680000000004</v>
      </c>
      <c r="DZ93" s="325">
        <v>365.69600000000003</v>
      </c>
      <c r="EA93" s="325">
        <v>1251.6080000000002</v>
      </c>
      <c r="EB93" s="325">
        <v>59945.4</v>
      </c>
      <c r="EC93" s="325">
        <v>7528.4720000000016</v>
      </c>
      <c r="ED93" s="326">
        <f t="shared" si="183"/>
        <v>94961.256000000023</v>
      </c>
      <c r="EE93" s="325">
        <v>12590.400000000001</v>
      </c>
      <c r="EF93" s="325"/>
      <c r="EG93" s="331">
        <v>1401.9839999999999</v>
      </c>
      <c r="EH93" s="331"/>
      <c r="EI93" s="325">
        <v>44726.720000000001</v>
      </c>
      <c r="EJ93" s="325">
        <v>4246.2480000000005</v>
      </c>
      <c r="EK93" s="326">
        <f t="shared" si="184"/>
        <v>62965.352000000006</v>
      </c>
      <c r="EL93" s="325">
        <v>11989.376000000004</v>
      </c>
      <c r="EM93" s="325">
        <v>11807.264000000001</v>
      </c>
      <c r="EN93" s="325">
        <v>717.68000000000006</v>
      </c>
      <c r="EO93" s="325">
        <v>380.32799999999997</v>
      </c>
      <c r="EP93" s="325">
        <v>51169.08</v>
      </c>
      <c r="EQ93" s="325">
        <v>7383.1200000000008</v>
      </c>
      <c r="ER93" s="326">
        <f t="shared" si="185"/>
        <v>83446.847999999998</v>
      </c>
      <c r="ES93" s="325">
        <v>9776.0879999999997</v>
      </c>
      <c r="ET93" s="325"/>
      <c r="EU93" s="331">
        <v>1690.3280000000002</v>
      </c>
      <c r="EV93" s="331"/>
      <c r="EW93" s="325">
        <v>39420.160000000003</v>
      </c>
      <c r="EX93" s="325">
        <v>3459.5600000000004</v>
      </c>
      <c r="EY93" s="326">
        <f t="shared" si="186"/>
        <v>54346.135999999999</v>
      </c>
      <c r="EZ93" s="325">
        <v>9627.0240000000013</v>
      </c>
      <c r="FA93" s="325">
        <v>11711.776</v>
      </c>
      <c r="FB93" s="325">
        <v>1112.3520000000001</v>
      </c>
      <c r="FC93" s="325">
        <v>487.37599999999986</v>
      </c>
      <c r="FD93" s="325">
        <v>47407.8</v>
      </c>
      <c r="FE93" s="325">
        <v>5616.2080000000005</v>
      </c>
      <c r="FF93" s="326">
        <f t="shared" si="187"/>
        <v>75962.536000000007</v>
      </c>
      <c r="FG93" s="325">
        <v>12702.112000000001</v>
      </c>
      <c r="FH93" s="325"/>
      <c r="FI93" s="331">
        <v>681.50400000000002</v>
      </c>
      <c r="FJ93" s="331"/>
      <c r="FK93" s="325">
        <v>40329.856</v>
      </c>
      <c r="FL93" s="325">
        <v>3617.7840000000001</v>
      </c>
      <c r="FM93" s="326">
        <f t="shared" si="188"/>
        <v>57331.256000000001</v>
      </c>
      <c r="FN93" s="333">
        <f t="shared" si="189"/>
        <v>329185.56</v>
      </c>
      <c r="FO93" s="519">
        <f t="shared" si="150"/>
        <v>129505.38399999999</v>
      </c>
      <c r="FP93" s="325">
        <f t="shared" si="151"/>
        <v>29891.24</v>
      </c>
      <c r="FQ93" s="325">
        <f t="shared" si="152"/>
        <v>6979.48</v>
      </c>
      <c r="FR93" s="325">
        <f t="shared" si="153"/>
        <v>523260.00800000009</v>
      </c>
      <c r="FS93" s="325">
        <f t="shared" si="154"/>
        <v>57597.128000000012</v>
      </c>
      <c r="FT93" s="326">
        <f t="shared" si="155"/>
        <v>1076418.8</v>
      </c>
      <c r="FU93" s="325">
        <f t="shared" si="190"/>
        <v>380370.85600000003</v>
      </c>
      <c r="FV93" s="325">
        <f t="shared" si="156"/>
        <v>0</v>
      </c>
      <c r="FW93" s="325">
        <f t="shared" si="157"/>
        <v>39201.72</v>
      </c>
      <c r="FX93" s="325">
        <f t="shared" si="158"/>
        <v>0</v>
      </c>
      <c r="FY93" s="325">
        <f t="shared" si="159"/>
        <v>513335.44000000006</v>
      </c>
      <c r="FZ93" s="325">
        <f t="shared" si="160"/>
        <v>43966.608</v>
      </c>
      <c r="GA93" s="326">
        <f t="shared" si="191"/>
        <v>976874.62400000007</v>
      </c>
      <c r="GB93" s="206">
        <f t="shared" si="192"/>
        <v>-13.456681865237343</v>
      </c>
      <c r="GC93" s="206" t="e">
        <f t="shared" si="193"/>
        <v>#DIV/0!</v>
      </c>
      <c r="GD93" s="206">
        <f t="shared" si="161"/>
        <v>-23.75018238995635</v>
      </c>
      <c r="GE93" s="206" t="e">
        <f t="shared" si="162"/>
        <v>#DIV/0!</v>
      </c>
      <c r="GF93" s="206">
        <f t="shared" si="163"/>
        <v>1.9333494683320538</v>
      </c>
      <c r="GG93" s="206">
        <f t="shared" si="164"/>
        <v>31.00198223160632</v>
      </c>
      <c r="GH93" s="205">
        <f t="shared" si="194"/>
        <v>10.190066724468423</v>
      </c>
    </row>
    <row r="94" spans="1:190">
      <c r="A94" s="319" t="s">
        <v>101</v>
      </c>
      <c r="B94" s="325">
        <v>3419659.3920000005</v>
      </c>
      <c r="C94" s="325">
        <v>584707.04800000007</v>
      </c>
      <c r="D94" s="325">
        <v>385907.76800000004</v>
      </c>
      <c r="E94" s="325">
        <v>70190.623999999996</v>
      </c>
      <c r="F94" s="325">
        <v>1756131.4960000003</v>
      </c>
      <c r="G94" s="325">
        <v>215271.36400000006</v>
      </c>
      <c r="H94" s="326">
        <f t="shared" si="165"/>
        <v>6431867.6920000007</v>
      </c>
      <c r="I94" s="325">
        <v>3435041.852</v>
      </c>
      <c r="J94" s="325"/>
      <c r="K94" s="325">
        <v>345179.19800000003</v>
      </c>
      <c r="L94" s="325"/>
      <c r="M94" s="325">
        <v>1587301.6320000002</v>
      </c>
      <c r="N94" s="325">
        <v>162710.04800000001</v>
      </c>
      <c r="O94" s="326">
        <f t="shared" si="166"/>
        <v>5530232.7300000004</v>
      </c>
      <c r="P94" s="325">
        <v>2968615.3440000005</v>
      </c>
      <c r="Q94" s="325">
        <v>454471.14400000009</v>
      </c>
      <c r="R94" s="325">
        <v>467816.91200000001</v>
      </c>
      <c r="S94" s="325">
        <v>55168.52</v>
      </c>
      <c r="T94" s="325">
        <v>1895763.4800000002</v>
      </c>
      <c r="U94" s="325">
        <v>175661.73</v>
      </c>
      <c r="V94" s="326">
        <f t="shared" si="167"/>
        <v>6017497.1300000018</v>
      </c>
      <c r="W94" s="325">
        <v>3268748.0960000004</v>
      </c>
      <c r="X94" s="325"/>
      <c r="Y94" s="331">
        <v>489062.82400000002</v>
      </c>
      <c r="Z94" s="331"/>
      <c r="AA94" s="325">
        <v>1947431.7120000003</v>
      </c>
      <c r="AB94" s="325">
        <v>143333.80199999997</v>
      </c>
      <c r="AC94" s="326">
        <f t="shared" si="168"/>
        <v>5848576.4340000013</v>
      </c>
      <c r="AD94" s="325">
        <v>1570889.5520000001</v>
      </c>
      <c r="AE94" s="325">
        <v>406613.31200000003</v>
      </c>
      <c r="AF94" s="325">
        <v>221627.05600000001</v>
      </c>
      <c r="AG94" s="325">
        <v>51641.656000000003</v>
      </c>
      <c r="AH94" s="325">
        <v>1992773.1600000001</v>
      </c>
      <c r="AI94" s="325">
        <v>163064.07399999999</v>
      </c>
      <c r="AJ94" s="326">
        <f t="shared" si="169"/>
        <v>4406608.8099999996</v>
      </c>
      <c r="AK94" s="325">
        <v>1393845.216</v>
      </c>
      <c r="AL94" s="325"/>
      <c r="AM94" s="331">
        <v>175153.96800000002</v>
      </c>
      <c r="AN94" s="331"/>
      <c r="AO94" s="325">
        <v>1963954.64</v>
      </c>
      <c r="AP94" s="325">
        <v>107251.92800000001</v>
      </c>
      <c r="AQ94" s="326">
        <f t="shared" si="170"/>
        <v>3640205.7519999999</v>
      </c>
      <c r="AR94" s="325">
        <v>719121.79200000002</v>
      </c>
      <c r="AS94" s="325">
        <v>237978.12000000002</v>
      </c>
      <c r="AT94" s="325">
        <v>95789.352000000014</v>
      </c>
      <c r="AU94" s="325">
        <v>24785.312000000002</v>
      </c>
      <c r="AV94" s="325">
        <v>1007239.4400000001</v>
      </c>
      <c r="AW94" s="325">
        <v>91893.760000000009</v>
      </c>
      <c r="AX94" s="326">
        <f t="shared" si="171"/>
        <v>2176807.7759999996</v>
      </c>
      <c r="AY94" s="325">
        <v>1563323.672</v>
      </c>
      <c r="AZ94" s="325"/>
      <c r="BA94" s="325">
        <v>181619.74400000001</v>
      </c>
      <c r="BB94" s="325"/>
      <c r="BC94" s="325">
        <v>2277499.7440000004</v>
      </c>
      <c r="BD94" s="325">
        <v>124562.41240000002</v>
      </c>
      <c r="BE94" s="326">
        <f t="shared" si="172"/>
        <v>4147005.5723999999</v>
      </c>
      <c r="BF94" s="325">
        <v>603814.90399999998</v>
      </c>
      <c r="BG94" s="325">
        <v>205530.61600000001</v>
      </c>
      <c r="BH94" s="325">
        <v>72968.072</v>
      </c>
      <c r="BI94" s="325">
        <v>25577.872000000003</v>
      </c>
      <c r="BJ94" s="325">
        <v>1204236.4800000002</v>
      </c>
      <c r="BK94" s="325">
        <v>83124.637999999992</v>
      </c>
      <c r="BL94" s="326">
        <f t="shared" si="173"/>
        <v>2195252.5819999999</v>
      </c>
      <c r="BM94" s="325">
        <v>1908792.6320000002</v>
      </c>
      <c r="BN94" s="325"/>
      <c r="BO94" s="325">
        <v>207353.592</v>
      </c>
      <c r="BP94" s="325"/>
      <c r="BQ94" s="325">
        <v>2480130.4960000003</v>
      </c>
      <c r="BR94" s="325">
        <v>131946.22000000003</v>
      </c>
      <c r="BS94" s="326">
        <f t="shared" si="174"/>
        <v>4728222.9400000004</v>
      </c>
      <c r="BT94" s="325">
        <v>917268.54399999999</v>
      </c>
      <c r="BU94" s="325">
        <v>270693.24800000008</v>
      </c>
      <c r="BV94" s="325">
        <v>103465.944</v>
      </c>
      <c r="BW94" s="325">
        <v>41828.04800000001</v>
      </c>
      <c r="BX94" s="325">
        <v>1710833.8800000001</v>
      </c>
      <c r="BY94" s="325">
        <v>115013.57800000001</v>
      </c>
      <c r="BZ94" s="326">
        <f t="shared" si="175"/>
        <v>3159103.2420000001</v>
      </c>
      <c r="CA94" s="325">
        <v>1482304.1520000002</v>
      </c>
      <c r="CB94" s="325"/>
      <c r="CC94" s="331">
        <v>180189.52000000002</v>
      </c>
      <c r="CD94" s="331"/>
      <c r="CE94" s="325">
        <v>2000042.4640000002</v>
      </c>
      <c r="CF94" s="325">
        <v>117204.36599999998</v>
      </c>
      <c r="CG94" s="326">
        <f t="shared" si="176"/>
        <v>3779740.5020000003</v>
      </c>
      <c r="CH94" s="325">
        <v>1305496.1359999999</v>
      </c>
      <c r="CI94" s="325">
        <v>345558.27199999988</v>
      </c>
      <c r="CJ94" s="325">
        <v>104462.296</v>
      </c>
      <c r="CK94" s="325">
        <v>55157.648000000001</v>
      </c>
      <c r="CL94" s="325">
        <v>2136798.84</v>
      </c>
      <c r="CM94" s="325">
        <v>167383.5</v>
      </c>
      <c r="CN94" s="326">
        <f t="shared" si="177"/>
        <v>4114856.6919999998</v>
      </c>
      <c r="CO94" s="325">
        <v>1148824.672</v>
      </c>
      <c r="CP94" s="325"/>
      <c r="CQ94" s="331">
        <v>163279.592</v>
      </c>
      <c r="CR94" s="331"/>
      <c r="CS94" s="325">
        <v>2327836.2560000001</v>
      </c>
      <c r="CT94" s="325">
        <v>292292.90000000002</v>
      </c>
      <c r="CU94" s="326">
        <f t="shared" si="178"/>
        <v>3932233.42</v>
      </c>
      <c r="CV94" s="325">
        <v>1273103.0160000001</v>
      </c>
      <c r="CW94" s="325">
        <v>322951.96799999999</v>
      </c>
      <c r="CX94" s="325">
        <v>141136.82399999999</v>
      </c>
      <c r="CY94" s="325">
        <v>50839.495999999999</v>
      </c>
      <c r="CZ94" s="325">
        <v>2246267.2000000002</v>
      </c>
      <c r="DA94" s="325">
        <v>173812.962</v>
      </c>
      <c r="DB94" s="326">
        <f t="shared" si="179"/>
        <v>4208111.4660000009</v>
      </c>
      <c r="DC94" s="325">
        <v>1032362.704</v>
      </c>
      <c r="DD94" s="325"/>
      <c r="DE94" s="331">
        <v>176234.85599999997</v>
      </c>
      <c r="DF94" s="331"/>
      <c r="DG94" s="325">
        <v>2392197.2480000001</v>
      </c>
      <c r="DH94" s="325">
        <v>287944.652</v>
      </c>
      <c r="DI94" s="326">
        <f t="shared" si="180"/>
        <v>3888739.46</v>
      </c>
      <c r="DJ94" s="325">
        <v>522277.60000000003</v>
      </c>
      <c r="DK94" s="325">
        <v>338472.88799999992</v>
      </c>
      <c r="DL94" s="325">
        <v>54066.128000000004</v>
      </c>
      <c r="DM94" s="325">
        <v>40324.519999999997</v>
      </c>
      <c r="DN94" s="325">
        <v>2268992.16</v>
      </c>
      <c r="DO94" s="325">
        <v>210014.35400000005</v>
      </c>
      <c r="DP94" s="326">
        <f t="shared" si="181"/>
        <v>3434147.6500000004</v>
      </c>
      <c r="DQ94" s="325">
        <v>837569.80799999996</v>
      </c>
      <c r="DR94" s="325"/>
      <c r="DS94" s="331">
        <v>137997.272</v>
      </c>
      <c r="DT94" s="331"/>
      <c r="DU94" s="325">
        <v>2278409.44</v>
      </c>
      <c r="DV94" s="325">
        <v>243094.64800000004</v>
      </c>
      <c r="DW94" s="326">
        <f t="shared" si="182"/>
        <v>3497071.1680000001</v>
      </c>
      <c r="DX94" s="325">
        <v>238277.96000000002</v>
      </c>
      <c r="DY94" s="325">
        <v>590811.31999999995</v>
      </c>
      <c r="DZ94" s="325">
        <v>21150.624</v>
      </c>
      <c r="EA94" s="325">
        <v>66340.639999999999</v>
      </c>
      <c r="EB94" s="325">
        <v>2507441.64</v>
      </c>
      <c r="EC94" s="325">
        <v>221841.60400000005</v>
      </c>
      <c r="ED94" s="326">
        <f t="shared" si="183"/>
        <v>3645863.7880000006</v>
      </c>
      <c r="EE94" s="325">
        <v>812434.18400000012</v>
      </c>
      <c r="EF94" s="325"/>
      <c r="EG94" s="331">
        <v>126494.77600000001</v>
      </c>
      <c r="EH94" s="331"/>
      <c r="EI94" s="325">
        <v>2411300.8640000001</v>
      </c>
      <c r="EJ94" s="325">
        <v>271763.88199999998</v>
      </c>
      <c r="EK94" s="326">
        <f t="shared" si="184"/>
        <v>3621993.7060000002</v>
      </c>
      <c r="EL94" s="325">
        <v>413061.50400000002</v>
      </c>
      <c r="EM94" s="325">
        <v>266009.68</v>
      </c>
      <c r="EN94" s="325">
        <v>39511.784000000014</v>
      </c>
      <c r="EO94" s="325">
        <v>39898.527999999998</v>
      </c>
      <c r="EP94" s="325">
        <v>2160820.9760000003</v>
      </c>
      <c r="EQ94" s="325">
        <v>207006.27</v>
      </c>
      <c r="ER94" s="326">
        <f t="shared" si="185"/>
        <v>3126308.7420000001</v>
      </c>
      <c r="ES94" s="325">
        <v>722146.76800000004</v>
      </c>
      <c r="ET94" s="325"/>
      <c r="EU94" s="331">
        <v>120155.152</v>
      </c>
      <c r="EV94" s="331"/>
      <c r="EW94" s="325">
        <v>1986851.872</v>
      </c>
      <c r="EX94" s="325">
        <v>239727.50400000002</v>
      </c>
      <c r="EY94" s="326">
        <f t="shared" si="186"/>
        <v>3068881.2960000001</v>
      </c>
      <c r="EZ94" s="325">
        <v>395220.50400000002</v>
      </c>
      <c r="FA94" s="325">
        <v>314550.08799999993</v>
      </c>
      <c r="FB94" s="325">
        <v>43030.776000000005</v>
      </c>
      <c r="FC94" s="325">
        <v>52976.695999999996</v>
      </c>
      <c r="FD94" s="325">
        <v>2086570.08</v>
      </c>
      <c r="FE94" s="325">
        <v>203150.78199999998</v>
      </c>
      <c r="FF94" s="326">
        <f t="shared" si="187"/>
        <v>3095498.926</v>
      </c>
      <c r="FG94" s="325">
        <v>902822.10400000005</v>
      </c>
      <c r="FH94" s="325"/>
      <c r="FI94" s="331">
        <v>133409.704</v>
      </c>
      <c r="FJ94" s="331"/>
      <c r="FK94" s="325">
        <v>1860025.088</v>
      </c>
      <c r="FL94" s="325">
        <v>306225.80600000004</v>
      </c>
      <c r="FM94" s="326">
        <f t="shared" si="188"/>
        <v>3202482.702</v>
      </c>
      <c r="FN94" s="333">
        <f t="shared" si="189"/>
        <v>14346806.248000003</v>
      </c>
      <c r="FO94" s="519">
        <f t="shared" si="150"/>
        <v>4338347.7039999999</v>
      </c>
      <c r="FP94" s="325">
        <f t="shared" si="151"/>
        <v>1750933.5360000001</v>
      </c>
      <c r="FQ94" s="325">
        <f t="shared" si="152"/>
        <v>574729.56000000006</v>
      </c>
      <c r="FR94" s="325">
        <f t="shared" si="153"/>
        <v>22973868.832000002</v>
      </c>
      <c r="FS94" s="325">
        <f t="shared" si="154"/>
        <v>2027238.6160000002</v>
      </c>
      <c r="FT94" s="326">
        <f t="shared" si="155"/>
        <v>46011924.495999999</v>
      </c>
      <c r="FU94" s="325">
        <f t="shared" si="190"/>
        <v>18508215.859999999</v>
      </c>
      <c r="FV94" s="325">
        <f t="shared" si="156"/>
        <v>0</v>
      </c>
      <c r="FW94" s="325">
        <f t="shared" si="157"/>
        <v>2436130.1979999999</v>
      </c>
      <c r="FX94" s="325">
        <f t="shared" si="158"/>
        <v>0</v>
      </c>
      <c r="FY94" s="325">
        <f t="shared" si="159"/>
        <v>25512981.456</v>
      </c>
      <c r="FZ94" s="325">
        <f t="shared" si="160"/>
        <v>2428058.1683999998</v>
      </c>
      <c r="GA94" s="326">
        <f t="shared" si="191"/>
        <v>48885385.682399996</v>
      </c>
      <c r="GB94" s="206">
        <f t="shared" si="192"/>
        <v>-22.484120800609659</v>
      </c>
      <c r="GC94" s="206" t="e">
        <f t="shared" si="193"/>
        <v>#DIV/0!</v>
      </c>
      <c r="GD94" s="206">
        <f t="shared" si="161"/>
        <v>-28.126438503267551</v>
      </c>
      <c r="GE94" s="206" t="e">
        <f t="shared" si="162"/>
        <v>#DIV/0!</v>
      </c>
      <c r="GF94" s="206">
        <f t="shared" si="163"/>
        <v>-9.9522379553286697</v>
      </c>
      <c r="GG94" s="206">
        <f t="shared" si="164"/>
        <v>-16.507823313974583</v>
      </c>
      <c r="GH94" s="205">
        <f t="shared" si="194"/>
        <v>-5.8779554386016031</v>
      </c>
    </row>
    <row r="95" spans="1:190">
      <c r="A95" s="319" t="s">
        <v>103</v>
      </c>
      <c r="B95" s="325">
        <v>17624.168000000001</v>
      </c>
      <c r="C95" s="325">
        <v>5320.0240000000003</v>
      </c>
      <c r="D95" s="325">
        <v>2986.5680000000002</v>
      </c>
      <c r="E95" s="325">
        <v>1131.7440000000001</v>
      </c>
      <c r="F95" s="325">
        <v>21652.128000000001</v>
      </c>
      <c r="G95" s="325">
        <v>2259.5600000000004</v>
      </c>
      <c r="H95" s="326">
        <f t="shared" si="165"/>
        <v>50974.191999999995</v>
      </c>
      <c r="I95" s="325">
        <v>25121.664000000001</v>
      </c>
      <c r="J95" s="325"/>
      <c r="K95" s="325">
        <v>5634.6640000000007</v>
      </c>
      <c r="L95" s="325"/>
      <c r="M95" s="325">
        <v>16575.871999999999</v>
      </c>
      <c r="N95" s="325">
        <v>3795.2560000000003</v>
      </c>
      <c r="O95" s="326">
        <f t="shared" si="166"/>
        <v>51127.455999999998</v>
      </c>
      <c r="P95" s="325">
        <v>25512.432000000001</v>
      </c>
      <c r="Q95" s="325">
        <v>7799.44</v>
      </c>
      <c r="R95" s="325">
        <v>3626.5440000000003</v>
      </c>
      <c r="S95" s="325">
        <v>1490.0320000000002</v>
      </c>
      <c r="T95" s="325">
        <v>26328.959999999999</v>
      </c>
      <c r="U95" s="325">
        <v>2598.3679999999999</v>
      </c>
      <c r="V95" s="326">
        <f t="shared" si="167"/>
        <v>67355.775999999998</v>
      </c>
      <c r="W95" s="325">
        <v>34164.063999999998</v>
      </c>
      <c r="X95" s="325"/>
      <c r="Y95" s="331">
        <v>4026.192</v>
      </c>
      <c r="Z95" s="331"/>
      <c r="AA95" s="325">
        <v>27669.920000000002</v>
      </c>
      <c r="AB95" s="325">
        <v>3528.3280000000004</v>
      </c>
      <c r="AC95" s="326">
        <f t="shared" si="168"/>
        <v>69388.504000000001</v>
      </c>
      <c r="AD95" s="325">
        <v>21991.896000000001</v>
      </c>
      <c r="AE95" s="325">
        <v>8371.5120000000006</v>
      </c>
      <c r="AF95" s="325">
        <v>3371.3120000000004</v>
      </c>
      <c r="AG95" s="325">
        <v>1767.376</v>
      </c>
      <c r="AH95" s="325">
        <v>27504.36</v>
      </c>
      <c r="AI95" s="325">
        <v>3263.1760000000004</v>
      </c>
      <c r="AJ95" s="326">
        <f t="shared" si="169"/>
        <v>66269.631999999998</v>
      </c>
      <c r="AK95" s="325">
        <v>18755.240000000002</v>
      </c>
      <c r="AL95" s="325"/>
      <c r="AM95" s="331">
        <v>4734.2160000000003</v>
      </c>
      <c r="AN95" s="331"/>
      <c r="AO95" s="325">
        <v>28048.959999999999</v>
      </c>
      <c r="AP95" s="325">
        <v>2755.5600000000004</v>
      </c>
      <c r="AQ95" s="326">
        <f t="shared" si="170"/>
        <v>54293.975999999995</v>
      </c>
      <c r="AR95" s="325">
        <v>5583.9279999999999</v>
      </c>
      <c r="AS95" s="325">
        <v>5174.84</v>
      </c>
      <c r="AT95" s="325">
        <v>1036.1600000000001</v>
      </c>
      <c r="AU95" s="325">
        <v>678.67200000000003</v>
      </c>
      <c r="AV95" s="325">
        <v>14810.04</v>
      </c>
      <c r="AW95" s="325">
        <v>1619.3200000000002</v>
      </c>
      <c r="AX95" s="326">
        <f t="shared" si="171"/>
        <v>28902.959999999999</v>
      </c>
      <c r="AY95" s="325">
        <v>23770.608</v>
      </c>
      <c r="AZ95" s="325"/>
      <c r="BA95" s="325">
        <v>3811.0240000000003</v>
      </c>
      <c r="BB95" s="325"/>
      <c r="BC95" s="325">
        <v>26229.567999999999</v>
      </c>
      <c r="BD95" s="325">
        <v>2593.2080000000001</v>
      </c>
      <c r="BE95" s="326">
        <f t="shared" si="172"/>
        <v>56404.407999999996</v>
      </c>
      <c r="BF95" s="325">
        <v>7324.2080000000005</v>
      </c>
      <c r="BG95" s="325">
        <v>9993.384</v>
      </c>
      <c r="BH95" s="325">
        <v>700.928</v>
      </c>
      <c r="BI95" s="325">
        <v>1525.3040000000001</v>
      </c>
      <c r="BJ95" s="325">
        <v>26093.88</v>
      </c>
      <c r="BK95" s="325">
        <v>3903.3120000000004</v>
      </c>
      <c r="BL95" s="326">
        <f t="shared" si="173"/>
        <v>49541.015999999996</v>
      </c>
      <c r="BM95" s="325">
        <v>31542.216</v>
      </c>
      <c r="BN95" s="325"/>
      <c r="BO95" s="325">
        <v>3240.2080000000001</v>
      </c>
      <c r="BP95" s="325"/>
      <c r="BQ95" s="325">
        <v>36387.840000000004</v>
      </c>
      <c r="BR95" s="325">
        <v>3385.2160000000003</v>
      </c>
      <c r="BS95" s="326">
        <f t="shared" si="174"/>
        <v>74555.48</v>
      </c>
      <c r="BT95" s="325">
        <v>13765.832000000002</v>
      </c>
      <c r="BU95" s="325">
        <v>6381.8559999999998</v>
      </c>
      <c r="BV95" s="325">
        <v>2049.4480000000003</v>
      </c>
      <c r="BW95" s="325">
        <v>1653.1279999999999</v>
      </c>
      <c r="BX95" s="325">
        <v>28601.4</v>
      </c>
      <c r="BY95" s="325">
        <v>3467.904</v>
      </c>
      <c r="BZ95" s="326">
        <f t="shared" si="175"/>
        <v>55919.568000000007</v>
      </c>
      <c r="CA95" s="325">
        <v>29682.528000000006</v>
      </c>
      <c r="CB95" s="325"/>
      <c r="CC95" s="331">
        <v>9757.1039999999994</v>
      </c>
      <c r="CD95" s="331"/>
      <c r="CE95" s="325">
        <v>30019.968000000001</v>
      </c>
      <c r="CF95" s="325">
        <v>4318.2880000000005</v>
      </c>
      <c r="CG95" s="326">
        <f t="shared" si="176"/>
        <v>73777.888000000006</v>
      </c>
      <c r="CH95" s="325">
        <v>23388.392000000003</v>
      </c>
      <c r="CI95" s="325">
        <v>4700.855999999997</v>
      </c>
      <c r="CJ95" s="325">
        <v>2369.4479999999999</v>
      </c>
      <c r="CK95" s="325">
        <v>750.98400000000004</v>
      </c>
      <c r="CL95" s="325">
        <v>37064.28</v>
      </c>
      <c r="CM95" s="325">
        <v>2088.6400000000003</v>
      </c>
      <c r="CN95" s="326">
        <f t="shared" si="177"/>
        <v>70362.599999999991</v>
      </c>
      <c r="CO95" s="325">
        <v>16197.952000000001</v>
      </c>
      <c r="CP95" s="325"/>
      <c r="CQ95" s="331">
        <v>5412.2560000000003</v>
      </c>
      <c r="CR95" s="331"/>
      <c r="CS95" s="325">
        <v>32976.480000000003</v>
      </c>
      <c r="CT95" s="325">
        <v>6270.688000000001</v>
      </c>
      <c r="CU95" s="326">
        <f t="shared" si="178"/>
        <v>60857.376000000011</v>
      </c>
      <c r="CV95" s="325">
        <v>31956.304</v>
      </c>
      <c r="CW95" s="325">
        <v>5635.2960000000021</v>
      </c>
      <c r="CX95" s="325">
        <v>3923.7040000000002</v>
      </c>
      <c r="CY95" s="325">
        <v>628.1520000000005</v>
      </c>
      <c r="CZ95" s="325">
        <v>38004.6</v>
      </c>
      <c r="DA95" s="325">
        <v>3464.1519999999996</v>
      </c>
      <c r="DB95" s="326">
        <f t="shared" si="179"/>
        <v>83612.208000000013</v>
      </c>
      <c r="DC95" s="325">
        <v>32548.384000000002</v>
      </c>
      <c r="DD95" s="325"/>
      <c r="DE95" s="331">
        <v>5538.5439999999999</v>
      </c>
      <c r="DF95" s="331"/>
      <c r="DG95" s="325">
        <v>33582.944000000003</v>
      </c>
      <c r="DH95" s="325">
        <v>13513.263999999999</v>
      </c>
      <c r="DI95" s="326">
        <f t="shared" si="180"/>
        <v>85183.135999999999</v>
      </c>
      <c r="DJ95" s="325">
        <v>7306.4720000000007</v>
      </c>
      <c r="DK95" s="325">
        <v>3393.2880000000005</v>
      </c>
      <c r="DL95" s="325">
        <v>901.55200000000013</v>
      </c>
      <c r="DM95" s="325">
        <v>404.47999999999996</v>
      </c>
      <c r="DN95" s="325">
        <v>31657.440000000002</v>
      </c>
      <c r="DO95" s="325">
        <v>1780.7920000000004</v>
      </c>
      <c r="DP95" s="326">
        <f t="shared" si="181"/>
        <v>45444.024000000005</v>
      </c>
      <c r="DQ95" s="325">
        <v>10922.008000000002</v>
      </c>
      <c r="DR95" s="325"/>
      <c r="DS95" s="331">
        <v>3399.4080000000004</v>
      </c>
      <c r="DT95" s="331"/>
      <c r="DU95" s="325">
        <v>31384.512000000002</v>
      </c>
      <c r="DV95" s="325">
        <v>3592.4160000000002</v>
      </c>
      <c r="DW95" s="326">
        <f t="shared" si="182"/>
        <v>49298.343999999997</v>
      </c>
      <c r="DX95" s="325">
        <v>2901.56</v>
      </c>
      <c r="DY95" s="325">
        <v>10021.016000000001</v>
      </c>
      <c r="DZ95" s="325">
        <v>845.68</v>
      </c>
      <c r="EA95" s="325">
        <v>1193.8399999999999</v>
      </c>
      <c r="EB95" s="325">
        <v>35653.800000000003</v>
      </c>
      <c r="EC95" s="325">
        <v>3636.0080000000003</v>
      </c>
      <c r="ED95" s="326">
        <f t="shared" si="183"/>
        <v>54251.90400000001</v>
      </c>
      <c r="EE95" s="325">
        <v>13533.088000000002</v>
      </c>
      <c r="EF95" s="325"/>
      <c r="EG95" s="331">
        <v>3700.3919999999998</v>
      </c>
      <c r="EH95" s="331"/>
      <c r="EI95" s="325">
        <v>34113.599999999999</v>
      </c>
      <c r="EJ95" s="325">
        <v>6383.3440000000001</v>
      </c>
      <c r="EK95" s="326">
        <f t="shared" si="184"/>
        <v>57730.423999999999</v>
      </c>
      <c r="EL95" s="325">
        <v>5029.0720000000001</v>
      </c>
      <c r="EM95" s="325">
        <v>2433.5920000000001</v>
      </c>
      <c r="EN95" s="325">
        <v>2034.1920000000002</v>
      </c>
      <c r="EO95" s="325">
        <v>1059</v>
      </c>
      <c r="EP95" s="325">
        <v>34713.480000000003</v>
      </c>
      <c r="EQ95" s="325">
        <v>3054.136</v>
      </c>
      <c r="ER95" s="326">
        <f t="shared" si="185"/>
        <v>48323.472000000002</v>
      </c>
      <c r="ES95" s="325">
        <v>8372.9279999999999</v>
      </c>
      <c r="ET95" s="325"/>
      <c r="EU95" s="331">
        <v>1772.6080000000002</v>
      </c>
      <c r="EV95" s="331"/>
      <c r="EW95" s="325">
        <v>29944.16</v>
      </c>
      <c r="EX95" s="325">
        <v>3480.5120000000002</v>
      </c>
      <c r="EY95" s="326">
        <f t="shared" si="186"/>
        <v>43570.207999999999</v>
      </c>
      <c r="EZ95" s="325">
        <v>8374.9279999999999</v>
      </c>
      <c r="FA95" s="325">
        <v>2305.9839999999999</v>
      </c>
      <c r="FB95" s="325">
        <v>1119.952</v>
      </c>
      <c r="FC95" s="325">
        <v>1327.248</v>
      </c>
      <c r="FD95" s="325">
        <v>32911.200000000004</v>
      </c>
      <c r="FE95" s="325">
        <v>3579.1280000000002</v>
      </c>
      <c r="FF95" s="326">
        <f t="shared" si="187"/>
        <v>49618.44</v>
      </c>
      <c r="FG95" s="325">
        <v>7150.9680000000008</v>
      </c>
      <c r="FH95" s="325"/>
      <c r="FI95" s="331">
        <v>2411.7359999999999</v>
      </c>
      <c r="FJ95" s="331"/>
      <c r="FK95" s="325">
        <v>22135.936000000002</v>
      </c>
      <c r="FL95" s="325">
        <v>4927.3200000000006</v>
      </c>
      <c r="FM95" s="326">
        <f t="shared" si="188"/>
        <v>36625.960000000006</v>
      </c>
      <c r="FN95" s="333">
        <f t="shared" si="189"/>
        <v>170759.19200000004</v>
      </c>
      <c r="FO95" s="519">
        <f t="shared" si="150"/>
        <v>71531.088000000003</v>
      </c>
      <c r="FP95" s="325">
        <f t="shared" si="151"/>
        <v>24965.488000000001</v>
      </c>
      <c r="FQ95" s="325">
        <f t="shared" si="152"/>
        <v>13609.960000000001</v>
      </c>
      <c r="FR95" s="325">
        <f t="shared" si="153"/>
        <v>354995.56800000003</v>
      </c>
      <c r="FS95" s="325">
        <f t="shared" si="154"/>
        <v>34714.495999999999</v>
      </c>
      <c r="FT95" s="326">
        <f t="shared" si="155"/>
        <v>670575.79200000013</v>
      </c>
      <c r="FU95" s="325">
        <f t="shared" si="190"/>
        <v>251761.64799999999</v>
      </c>
      <c r="FV95" s="325">
        <f t="shared" si="156"/>
        <v>0</v>
      </c>
      <c r="FW95" s="325">
        <f t="shared" si="157"/>
        <v>53438.351999999999</v>
      </c>
      <c r="FX95" s="325">
        <f t="shared" si="158"/>
        <v>0</v>
      </c>
      <c r="FY95" s="325">
        <f t="shared" si="159"/>
        <v>349069.75999999995</v>
      </c>
      <c r="FZ95" s="325">
        <f t="shared" si="160"/>
        <v>58543.4</v>
      </c>
      <c r="GA95" s="326">
        <f t="shared" si="191"/>
        <v>712813.16</v>
      </c>
      <c r="GB95" s="206">
        <f t="shared" si="192"/>
        <v>-32.174263492269461</v>
      </c>
      <c r="GC95" s="206" t="e">
        <f t="shared" si="193"/>
        <v>#DIV/0!</v>
      </c>
      <c r="GD95" s="206">
        <f t="shared" si="161"/>
        <v>-53.281702998625406</v>
      </c>
      <c r="GE95" s="206" t="e">
        <f t="shared" si="162"/>
        <v>#DIV/0!</v>
      </c>
      <c r="GF95" s="206">
        <f t="shared" si="163"/>
        <v>1.6975999295957536</v>
      </c>
      <c r="GG95" s="206">
        <f t="shared" si="164"/>
        <v>-40.702972495618639</v>
      </c>
      <c r="GH95" s="205">
        <f t="shared" si="194"/>
        <v>-5.9254472799014906</v>
      </c>
    </row>
    <row r="96" spans="1:190">
      <c r="A96" s="320" t="s">
        <v>349</v>
      </c>
      <c r="B96" s="327">
        <f>SUM(B69:B95)</f>
        <v>9402314.0800000019</v>
      </c>
      <c r="C96" s="327">
        <f t="shared" ref="C96:G96" si="195">SUM(C69:C95)</f>
        <v>1786281.2160000002</v>
      </c>
      <c r="D96" s="327">
        <f t="shared" si="195"/>
        <v>1082747.8880000003</v>
      </c>
      <c r="E96" s="327">
        <f t="shared" si="195"/>
        <v>256234.75200000004</v>
      </c>
      <c r="F96" s="327">
        <f t="shared" si="195"/>
        <v>4876604.0239999993</v>
      </c>
      <c r="G96" s="327">
        <f t="shared" si="195"/>
        <v>658022.50000000023</v>
      </c>
      <c r="H96" s="327">
        <f t="shared" si="165"/>
        <v>18062204.460000001</v>
      </c>
      <c r="I96" s="327">
        <v>9760978.4180000015</v>
      </c>
      <c r="J96" s="327"/>
      <c r="K96" s="327">
        <v>1057603.0440000002</v>
      </c>
      <c r="L96" s="327"/>
      <c r="M96" s="327">
        <v>4363954.3040000005</v>
      </c>
      <c r="N96" s="327">
        <v>519934.52800000005</v>
      </c>
      <c r="O96" s="327">
        <f t="shared" si="166"/>
        <v>15702470.294000003</v>
      </c>
      <c r="P96" s="327">
        <f>SUM(P69:P95)</f>
        <v>8791955.4480000027</v>
      </c>
      <c r="Q96" s="327">
        <f t="shared" ref="Q96" si="196">SUM(Q69:Q95)</f>
        <v>1381099.8960000002</v>
      </c>
      <c r="R96" s="327">
        <f t="shared" ref="R96" si="197">SUM(R69:R95)</f>
        <v>1332967.5760000001</v>
      </c>
      <c r="S96" s="327">
        <f t="shared" ref="S96" si="198">SUM(S69:S95)</f>
        <v>201031.21599999999</v>
      </c>
      <c r="T96" s="327">
        <f t="shared" ref="T96" si="199">SUM(T69:T95)</f>
        <v>5189375.6880000001</v>
      </c>
      <c r="U96" s="327">
        <f t="shared" ref="U96" si="200">SUM(U69:U95)</f>
        <v>536788.08200000005</v>
      </c>
      <c r="V96" s="327">
        <f t="shared" si="167"/>
        <v>17433217.905999999</v>
      </c>
      <c r="W96" s="327">
        <v>10174323.767999999</v>
      </c>
      <c r="X96" s="327"/>
      <c r="Y96" s="327">
        <v>1491613.2320000001</v>
      </c>
      <c r="Z96" s="327"/>
      <c r="AA96" s="327">
        <v>5387584.8480000012</v>
      </c>
      <c r="AB96" s="327">
        <v>504351.01399999991</v>
      </c>
      <c r="AC96" s="327">
        <f t="shared" si="168"/>
        <v>17557872.862</v>
      </c>
      <c r="AD96" s="327">
        <f>SUM(AD69:AD95)</f>
        <v>4750009.7120000003</v>
      </c>
      <c r="AE96" s="327">
        <f t="shared" ref="AE96" si="201">SUM(AE69:AE95)</f>
        <v>1272599.9920000001</v>
      </c>
      <c r="AF96" s="327">
        <f t="shared" ref="AF96" si="202">SUM(AF69:AF95)</f>
        <v>669546.66400000011</v>
      </c>
      <c r="AG96" s="327">
        <f t="shared" ref="AG96" si="203">SUM(AG69:AG95)</f>
        <v>188613.576</v>
      </c>
      <c r="AH96" s="327">
        <f t="shared" ref="AH96" si="204">SUM(AH69:AH95)</f>
        <v>5259659.6560000004</v>
      </c>
      <c r="AI96" s="327">
        <f t="shared" ref="AI96" si="205">SUM(AI69:AI95)</f>
        <v>510010.402</v>
      </c>
      <c r="AJ96" s="327">
        <f t="shared" si="169"/>
        <v>12650440.002000002</v>
      </c>
      <c r="AK96" s="327">
        <v>4365152.6919999998</v>
      </c>
      <c r="AL96" s="327"/>
      <c r="AM96" s="327">
        <v>588982.3620000002</v>
      </c>
      <c r="AN96" s="327"/>
      <c r="AO96" s="327">
        <v>5309065.5440000007</v>
      </c>
      <c r="AP96" s="327">
        <v>389682.5</v>
      </c>
      <c r="AQ96" s="327">
        <f t="shared" si="170"/>
        <v>10652883.098000001</v>
      </c>
      <c r="AR96" s="327">
        <f>SUM(AR69:AR95)</f>
        <v>2077934.8</v>
      </c>
      <c r="AS96" s="327">
        <f t="shared" ref="AS96" si="206">SUM(AS69:AS95)</f>
        <v>741900.79999999993</v>
      </c>
      <c r="AT96" s="327">
        <f t="shared" ref="AT96" si="207">SUM(AT69:AT95)</f>
        <v>274672.51999999996</v>
      </c>
      <c r="AU96" s="327">
        <f t="shared" ref="AU96" si="208">SUM(AU69:AU95)</f>
        <v>93613.008000000016</v>
      </c>
      <c r="AV96" s="327">
        <f t="shared" ref="AV96" si="209">SUM(AV69:AV95)</f>
        <v>3014510.3200000003</v>
      </c>
      <c r="AW96" s="327">
        <f t="shared" ref="AW96" si="210">SUM(AW69:AW95)</f>
        <v>311055.984</v>
      </c>
      <c r="AX96" s="327">
        <f t="shared" si="171"/>
        <v>6513687.432000001</v>
      </c>
      <c r="AY96" s="327">
        <v>4851887.7660000008</v>
      </c>
      <c r="AZ96" s="327"/>
      <c r="BA96" s="327">
        <v>673106.71200000006</v>
      </c>
      <c r="BB96" s="327"/>
      <c r="BC96" s="327">
        <v>6186709.7520000003</v>
      </c>
      <c r="BD96" s="327">
        <v>424133.24439999997</v>
      </c>
      <c r="BE96" s="327">
        <f t="shared" si="172"/>
        <v>12135837.474400001</v>
      </c>
      <c r="BF96" s="327">
        <f>SUM(BF69:BF95)</f>
        <v>1821239.568</v>
      </c>
      <c r="BG96" s="327">
        <f t="shared" ref="BG96" si="211">SUM(BG69:BG95)</f>
        <v>657131.06400000001</v>
      </c>
      <c r="BH96" s="327">
        <f t="shared" ref="BH96" si="212">SUM(BH69:BH95)</f>
        <v>231092.79200000002</v>
      </c>
      <c r="BI96" s="327">
        <f t="shared" ref="BI96" si="213">SUM(BI69:BI95)</f>
        <v>85645.696000000011</v>
      </c>
      <c r="BJ96" s="327">
        <f t="shared" ref="BJ96" si="214">SUM(BJ69:BJ95)</f>
        <v>3848337.96</v>
      </c>
      <c r="BK96" s="327">
        <f t="shared" ref="BK96" si="215">SUM(BK69:BK95)</f>
        <v>283706.64600000001</v>
      </c>
      <c r="BL96" s="327">
        <f t="shared" si="173"/>
        <v>6927153.7259999998</v>
      </c>
      <c r="BM96" s="327">
        <v>5926510.5280000009</v>
      </c>
      <c r="BN96" s="327"/>
      <c r="BO96" s="327">
        <v>773335.71199999994</v>
      </c>
      <c r="BP96" s="327"/>
      <c r="BQ96" s="327">
        <v>6711724.8559999997</v>
      </c>
      <c r="BR96" s="327">
        <v>428265.16200000007</v>
      </c>
      <c r="BS96" s="327">
        <f t="shared" si="174"/>
        <v>13839836.258000001</v>
      </c>
      <c r="BT96" s="327">
        <f>SUM(BT69:BT95)</f>
        <v>2814777.7600000002</v>
      </c>
      <c r="BU96" s="327">
        <f t="shared" ref="BU96" si="216">SUM(BU69:BU95)</f>
        <v>843723.38400000019</v>
      </c>
      <c r="BV96" s="327">
        <f t="shared" ref="BV96" si="217">SUM(BV69:BV95)</f>
        <v>359475.28</v>
      </c>
      <c r="BW96" s="327">
        <f t="shared" ref="BW96" si="218">SUM(BW69:BW95)</f>
        <v>115959.576</v>
      </c>
      <c r="BX96" s="327">
        <f t="shared" ref="BX96" si="219">SUM(BX69:BX95)</f>
        <v>4988475.9600000009</v>
      </c>
      <c r="BY96" s="327">
        <f t="shared" ref="BY96" si="220">SUM(BY69:BY95)</f>
        <v>360419.47</v>
      </c>
      <c r="BZ96" s="327">
        <f t="shared" si="175"/>
        <v>9482831.4300000016</v>
      </c>
      <c r="CA96" s="327">
        <v>4957088.28</v>
      </c>
      <c r="CB96" s="327"/>
      <c r="CC96" s="327">
        <v>739450.37600000005</v>
      </c>
      <c r="CD96" s="327"/>
      <c r="CE96" s="327">
        <v>5452059.5520000011</v>
      </c>
      <c r="CF96" s="327">
        <v>384195.64600000001</v>
      </c>
      <c r="CG96" s="327">
        <f t="shared" si="176"/>
        <v>11532793.854</v>
      </c>
      <c r="CH96" s="327">
        <f>SUM(CH69:CH95)</f>
        <v>4311908.7439999999</v>
      </c>
      <c r="CI96" s="327">
        <f t="shared" ref="CI96" si="221">SUM(CI69:CI95)</f>
        <v>983062.47199999983</v>
      </c>
      <c r="CJ96" s="327">
        <f t="shared" ref="CJ96" si="222">SUM(CJ69:CJ95)</f>
        <v>432210.12800000003</v>
      </c>
      <c r="CK96" s="327">
        <f t="shared" ref="CK96" si="223">SUM(CK69:CK95)</f>
        <v>132766</v>
      </c>
      <c r="CL96" s="327">
        <f t="shared" ref="CL96" si="224">SUM(CL69:CL95)</f>
        <v>6054958.8400000008</v>
      </c>
      <c r="CM96" s="327">
        <f t="shared" ref="CM96" si="225">SUM(CM69:CM95)</f>
        <v>419473.88400000002</v>
      </c>
      <c r="CN96" s="327">
        <f t="shared" si="177"/>
        <v>12334380.068</v>
      </c>
      <c r="CO96" s="327">
        <v>2911827.9040000006</v>
      </c>
      <c r="CP96" s="327"/>
      <c r="CQ96" s="327">
        <v>526112.52</v>
      </c>
      <c r="CR96" s="327"/>
      <c r="CS96" s="327">
        <v>6568547.3360000001</v>
      </c>
      <c r="CT96" s="327">
        <v>713648.44400000002</v>
      </c>
      <c r="CU96" s="327">
        <f t="shared" si="178"/>
        <v>10720136.204000002</v>
      </c>
      <c r="CV96" s="327">
        <f>SUM(CV69:CV95)</f>
        <v>4594825.5360000003</v>
      </c>
      <c r="CW96" s="327">
        <f t="shared" ref="CW96" si="226">SUM(CW69:CW95)</f>
        <v>997399.57600000023</v>
      </c>
      <c r="CX96" s="327">
        <f t="shared" ref="CX96" si="227">SUM(CX69:CX95)</f>
        <v>591266.92800000007</v>
      </c>
      <c r="CY96" s="327">
        <f t="shared" ref="CY96" si="228">SUM(CY69:CY95)</f>
        <v>125649.18400000001</v>
      </c>
      <c r="CZ96" s="327">
        <f t="shared" ref="CZ96" si="229">SUM(CZ69:CZ95)</f>
        <v>6418147.9360000007</v>
      </c>
      <c r="DA96" s="327">
        <f t="shared" ref="DA96" si="230">SUM(DA69:DA95)</f>
        <v>490333.31200000003</v>
      </c>
      <c r="DB96" s="327">
        <f t="shared" si="179"/>
        <v>13217622.472000003</v>
      </c>
      <c r="DC96" s="327">
        <v>2477971.0719999997</v>
      </c>
      <c r="DD96" s="327"/>
      <c r="DE96" s="327">
        <v>453454.17599999998</v>
      </c>
      <c r="DF96" s="327"/>
      <c r="DG96" s="327">
        <v>6540265.120000001</v>
      </c>
      <c r="DH96" s="327">
        <v>670810.67200000002</v>
      </c>
      <c r="DI96" s="327">
        <f t="shared" si="180"/>
        <v>10142501.040000001</v>
      </c>
      <c r="DJ96" s="327">
        <f>SUM(DJ69:DJ95)</f>
        <v>1827116.6720000003</v>
      </c>
      <c r="DK96" s="327">
        <f t="shared" ref="DK96" si="231">SUM(DK69:DK95)</f>
        <v>995147.74399999972</v>
      </c>
      <c r="DL96" s="327">
        <f t="shared" ref="DL96" si="232">SUM(DL69:DL95)</f>
        <v>199239.49599999998</v>
      </c>
      <c r="DM96" s="327">
        <f t="shared" ref="DM96" si="233">SUM(DM69:DM95)</f>
        <v>111048.2</v>
      </c>
      <c r="DN96" s="327">
        <f t="shared" ref="DN96" si="234">SUM(DN69:DN95)</f>
        <v>6331488.0000000009</v>
      </c>
      <c r="DO96" s="327">
        <f t="shared" ref="DO96" si="235">SUM(DO69:DO95)</f>
        <v>599699.45000000007</v>
      </c>
      <c r="DP96" s="327">
        <f t="shared" si="181"/>
        <v>10063739.562000001</v>
      </c>
      <c r="DQ96" s="327">
        <v>2127275.6800000002</v>
      </c>
      <c r="DR96" s="327"/>
      <c r="DS96" s="327">
        <v>373987.288</v>
      </c>
      <c r="DT96" s="327"/>
      <c r="DU96" s="327">
        <v>6262584.4880000008</v>
      </c>
      <c r="DV96" s="327">
        <v>600314.32000000007</v>
      </c>
      <c r="DW96" s="327">
        <f t="shared" si="182"/>
        <v>9364161.7760000005</v>
      </c>
      <c r="DX96" s="327">
        <f>SUM(DX69:DX95)</f>
        <v>768935.85600000015</v>
      </c>
      <c r="DY96" s="327">
        <f t="shared" ref="DY96" si="236">SUM(DY69:DY95)</f>
        <v>1820000.6879999998</v>
      </c>
      <c r="DZ96" s="327">
        <f t="shared" ref="DZ96" si="237">SUM(DZ69:DZ95)</f>
        <v>88172.143999999986</v>
      </c>
      <c r="EA96" s="327">
        <f t="shared" ref="EA96" si="238">SUM(EA69:EA95)</f>
        <v>165753.23199999999</v>
      </c>
      <c r="EB96" s="327">
        <f t="shared" ref="EB96" si="239">SUM(EB69:EB95)</f>
        <v>7014238.6800000006</v>
      </c>
      <c r="EC96" s="327">
        <f t="shared" ref="EC96" si="240">SUM(EC69:EC95)</f>
        <v>619285.16400000011</v>
      </c>
      <c r="ED96" s="327">
        <f t="shared" si="183"/>
        <v>10476385.764</v>
      </c>
      <c r="EE96" s="327">
        <v>2232974.3360000006</v>
      </c>
      <c r="EF96" s="327"/>
      <c r="EG96" s="327">
        <v>405867.70399999997</v>
      </c>
      <c r="EH96" s="327"/>
      <c r="EI96" s="327">
        <v>6760729.6399999997</v>
      </c>
      <c r="EJ96" s="327">
        <v>756792.17800000007</v>
      </c>
      <c r="EK96" s="327">
        <f t="shared" si="184"/>
        <v>10156363.857999999</v>
      </c>
      <c r="EL96" s="327">
        <f>SUM(EL69:EL95)</f>
        <v>1319538.4800000002</v>
      </c>
      <c r="EM96" s="327">
        <f t="shared" ref="EM96" si="241">SUM(EM69:EM95)</f>
        <v>819956.0399999998</v>
      </c>
      <c r="EN96" s="327">
        <f t="shared" ref="EN96" si="242">SUM(EN69:EN95)</f>
        <v>152277.288</v>
      </c>
      <c r="EO96" s="327">
        <f t="shared" ref="EO96" si="243">SUM(EO69:EO95)</f>
        <v>102746.296</v>
      </c>
      <c r="EP96" s="327">
        <f t="shared" ref="EP96" si="244">SUM(EP69:EP95)</f>
        <v>6180656.9360000007</v>
      </c>
      <c r="EQ96" s="327">
        <f t="shared" ref="EQ96" si="245">SUM(EQ69:EQ95)</f>
        <v>619935.0780000001</v>
      </c>
      <c r="ER96" s="327">
        <f t="shared" si="185"/>
        <v>9195110.1180000007</v>
      </c>
      <c r="ES96" s="327">
        <v>1865200.8639999998</v>
      </c>
      <c r="ET96" s="327"/>
      <c r="EU96" s="327">
        <v>331569.39199999999</v>
      </c>
      <c r="EV96" s="327"/>
      <c r="EW96" s="327">
        <v>5774632.432</v>
      </c>
      <c r="EX96" s="327">
        <v>687798.56800000009</v>
      </c>
      <c r="EY96" s="327">
        <f t="shared" si="186"/>
        <v>8659201.256000001</v>
      </c>
      <c r="EZ96" s="327">
        <f>SUM(EZ69:EZ95)</f>
        <v>1377468.6400000004</v>
      </c>
      <c r="FA96" s="327">
        <f t="shared" ref="FA96" si="246">SUM(FA69:FA95)</f>
        <v>953783.96000000008</v>
      </c>
      <c r="FB96" s="327">
        <f t="shared" ref="FB96" si="247">SUM(FB69:FB95)</f>
        <v>161765.19199999998</v>
      </c>
      <c r="FC96" s="327">
        <f t="shared" ref="FC96" si="248">SUM(FC69:FC95)</f>
        <v>129794.20000000001</v>
      </c>
      <c r="FD96" s="327">
        <f t="shared" ref="FD96" si="249">SUM(FD69:FD95)</f>
        <v>5954341.3199999994</v>
      </c>
      <c r="FE96" s="327">
        <f t="shared" ref="FE96" si="250">SUM(FE69:FE95)</f>
        <v>627466.42999999993</v>
      </c>
      <c r="FF96" s="327">
        <f t="shared" si="187"/>
        <v>9204619.7419999987</v>
      </c>
      <c r="FG96" s="327">
        <v>2379675.568</v>
      </c>
      <c r="FH96" s="327"/>
      <c r="FI96" s="327">
        <v>388225.42399999994</v>
      </c>
      <c r="FJ96" s="327"/>
      <c r="FK96" s="327">
        <v>5372683.176</v>
      </c>
      <c r="FL96" s="327">
        <v>851229.60600000003</v>
      </c>
      <c r="FM96" s="327">
        <f t="shared" si="188"/>
        <v>8991813.7740000002</v>
      </c>
      <c r="FN96" s="327">
        <f t="shared" ref="FN96:FS96" si="251">SUM(FN69:FN95)</f>
        <v>43858025.296000004</v>
      </c>
      <c r="FO96" s="327">
        <f t="shared" si="251"/>
        <v>13252086.831999999</v>
      </c>
      <c r="FP96" s="327">
        <f t="shared" si="251"/>
        <v>5575433.8960000006</v>
      </c>
      <c r="FQ96" s="327">
        <f t="shared" si="251"/>
        <v>1708854.9360000002</v>
      </c>
      <c r="FR96" s="327">
        <f t="shared" si="251"/>
        <v>65130795.320000008</v>
      </c>
      <c r="FS96" s="327">
        <f t="shared" si="251"/>
        <v>6036196.4020000007</v>
      </c>
      <c r="FT96" s="327">
        <f t="shared" si="155"/>
        <v>135561392.68200001</v>
      </c>
      <c r="FU96" s="327">
        <f t="shared" ref="FU96:FZ96" si="252">SUM(FU69:FU95)</f>
        <v>54030866.876000009</v>
      </c>
      <c r="FV96" s="327">
        <f t="shared" si="252"/>
        <v>0</v>
      </c>
      <c r="FW96" s="327">
        <f t="shared" si="252"/>
        <v>7803307.9419999989</v>
      </c>
      <c r="FX96" s="327">
        <f t="shared" si="252"/>
        <v>0</v>
      </c>
      <c r="FY96" s="327">
        <f t="shared" si="252"/>
        <v>70690541.048000008</v>
      </c>
      <c r="FZ96" s="327">
        <f t="shared" si="252"/>
        <v>6931155.8823999995</v>
      </c>
      <c r="GA96" s="327">
        <f t="shared" si="191"/>
        <v>139455871.74840003</v>
      </c>
      <c r="GB96" s="332">
        <f t="shared" si="192"/>
        <v>-18.827833363004359</v>
      </c>
      <c r="GC96" s="332" t="e">
        <f t="shared" si="193"/>
        <v>#DIV/0!</v>
      </c>
      <c r="GD96" s="332">
        <f t="shared" si="161"/>
        <v>-28.550379692294854</v>
      </c>
      <c r="GE96" s="332" t="e">
        <f t="shared" si="162"/>
        <v>#DIV/0!</v>
      </c>
      <c r="GF96" s="332">
        <f t="shared" si="163"/>
        <v>-7.8649075895809659</v>
      </c>
      <c r="GG96" s="332">
        <f>FS96/FZ96*100-100</f>
        <v>-12.912124551585009</v>
      </c>
      <c r="GH96" s="335">
        <f t="shared" si="194"/>
        <v>-2.792624661531832</v>
      </c>
    </row>
    <row r="97" spans="1:190">
      <c r="A97" s="319" t="s">
        <v>171</v>
      </c>
      <c r="B97" s="325">
        <v>2350578.52</v>
      </c>
      <c r="C97" s="325">
        <v>446570.304</v>
      </c>
      <c r="D97" s="325">
        <v>270686.97200000007</v>
      </c>
      <c r="E97" s="325">
        <v>64058.687999999995</v>
      </c>
      <c r="F97" s="325">
        <v>1219151.0060000001</v>
      </c>
      <c r="G97" s="325">
        <v>163138.07000000004</v>
      </c>
      <c r="H97" s="326">
        <f t="shared" si="165"/>
        <v>4514183.5600000005</v>
      </c>
      <c r="I97" s="325">
        <v>2439922.1420000005</v>
      </c>
      <c r="J97" s="325"/>
      <c r="K97" s="325">
        <v>264274.05599999998</v>
      </c>
      <c r="L97" s="325"/>
      <c r="M97" s="325">
        <v>1091967.1960000005</v>
      </c>
      <c r="N97" s="325">
        <v>128757.78200000002</v>
      </c>
      <c r="O97" s="326">
        <f t="shared" si="166"/>
        <v>3924921.1760000009</v>
      </c>
      <c r="P97" s="325">
        <v>2197988.8620000002</v>
      </c>
      <c r="Q97" s="325">
        <v>345274.97400000005</v>
      </c>
      <c r="R97" s="325">
        <v>333241.89399999997</v>
      </c>
      <c r="S97" s="325">
        <v>50257.803999999996</v>
      </c>
      <c r="T97" s="325">
        <v>1297343.9219999998</v>
      </c>
      <c r="U97" s="325">
        <v>133738.47799999997</v>
      </c>
      <c r="V97" s="326">
        <f t="shared" si="167"/>
        <v>4357845.9340000004</v>
      </c>
      <c r="W97" s="325">
        <v>2542820.5019999994</v>
      </c>
      <c r="X97" s="325"/>
      <c r="Y97" s="325">
        <v>372797.61800000013</v>
      </c>
      <c r="Z97" s="325"/>
      <c r="AA97" s="325">
        <v>1346896.2120000001</v>
      </c>
      <c r="AB97" s="325">
        <v>124589.53599999999</v>
      </c>
      <c r="AC97" s="326">
        <f t="shared" si="168"/>
        <v>4387103.8679999998</v>
      </c>
      <c r="AD97" s="325">
        <v>1187502.4280000001</v>
      </c>
      <c r="AE97" s="325">
        <v>318149.99800000008</v>
      </c>
      <c r="AF97" s="325">
        <v>167386.66600000003</v>
      </c>
      <c r="AG97" s="325">
        <v>47153.393999999993</v>
      </c>
      <c r="AH97" s="325">
        <v>1314914.9140000003</v>
      </c>
      <c r="AI97" s="325">
        <v>125955.788</v>
      </c>
      <c r="AJ97" s="326">
        <f t="shared" si="169"/>
        <v>3161063.1880000005</v>
      </c>
      <c r="AK97" s="325">
        <v>1090870.088</v>
      </c>
      <c r="AL97" s="325"/>
      <c r="AM97" s="325">
        <v>147203.56800000006</v>
      </c>
      <c r="AN97" s="325"/>
      <c r="AO97" s="325">
        <v>1327266.3859999999</v>
      </c>
      <c r="AP97" s="325">
        <v>96150.58</v>
      </c>
      <c r="AQ97" s="326">
        <f t="shared" si="170"/>
        <v>2661490.622</v>
      </c>
      <c r="AR97" s="325">
        <v>519483.7</v>
      </c>
      <c r="AS97" s="325">
        <v>185475.19999999998</v>
      </c>
      <c r="AT97" s="325">
        <v>68668.12999999999</v>
      </c>
      <c r="AU97" s="325">
        <v>23403.252000000004</v>
      </c>
      <c r="AV97" s="325">
        <v>753627.58000000007</v>
      </c>
      <c r="AW97" s="325">
        <v>77524.896000000008</v>
      </c>
      <c r="AX97" s="326">
        <f t="shared" si="171"/>
        <v>1628182.7580000001</v>
      </c>
      <c r="AY97" s="325">
        <v>1212898.4040000001</v>
      </c>
      <c r="AZ97" s="325"/>
      <c r="BA97" s="325">
        <v>168276.67800000001</v>
      </c>
      <c r="BB97" s="325"/>
      <c r="BC97" s="325">
        <v>1546677.4380000001</v>
      </c>
      <c r="BD97" s="325">
        <v>104649.0186</v>
      </c>
      <c r="BE97" s="326">
        <f t="shared" si="172"/>
        <v>3032501.5386000006</v>
      </c>
      <c r="BF97" s="325">
        <v>455309.89200000005</v>
      </c>
      <c r="BG97" s="325">
        <v>164282.76599999997</v>
      </c>
      <c r="BH97" s="325">
        <v>57773.197999999997</v>
      </c>
      <c r="BI97" s="325">
        <v>21411.424000000003</v>
      </c>
      <c r="BJ97" s="325">
        <v>962084.49000000011</v>
      </c>
      <c r="BK97" s="325">
        <v>70690.393999999986</v>
      </c>
      <c r="BL97" s="326">
        <f t="shared" si="173"/>
        <v>1731552.1640000001</v>
      </c>
      <c r="BM97" s="325">
        <v>1481627.632</v>
      </c>
      <c r="BN97" s="325"/>
      <c r="BO97" s="325">
        <v>193333.92800000001</v>
      </c>
      <c r="BP97" s="325"/>
      <c r="BQ97" s="325">
        <v>1677931.2140000002</v>
      </c>
      <c r="BR97" s="325">
        <v>105560.91800000001</v>
      </c>
      <c r="BS97" s="326">
        <f t="shared" si="174"/>
        <v>3458453.6920000003</v>
      </c>
      <c r="BT97" s="325">
        <v>703694.44000000006</v>
      </c>
      <c r="BU97" s="325">
        <v>210930.84600000005</v>
      </c>
      <c r="BV97" s="325">
        <v>89868.82</v>
      </c>
      <c r="BW97" s="325">
        <v>28989.894</v>
      </c>
      <c r="BX97" s="325">
        <v>1247118.99</v>
      </c>
      <c r="BY97" s="325">
        <v>88802.46</v>
      </c>
      <c r="BZ97" s="326">
        <f t="shared" si="175"/>
        <v>2369405.4500000002</v>
      </c>
      <c r="CA97" s="325">
        <v>1239272.07</v>
      </c>
      <c r="CB97" s="325"/>
      <c r="CC97" s="325">
        <v>184862.59400000001</v>
      </c>
      <c r="CD97" s="325"/>
      <c r="CE97" s="325">
        <v>1363014.8880000003</v>
      </c>
      <c r="CF97" s="325">
        <v>94979.003999999986</v>
      </c>
      <c r="CG97" s="326">
        <f t="shared" si="176"/>
        <v>2882128.5560000003</v>
      </c>
      <c r="CH97" s="325">
        <v>1077977.186</v>
      </c>
      <c r="CI97" s="325">
        <v>245765.61799999996</v>
      </c>
      <c r="CJ97" s="325">
        <v>108052.53199999999</v>
      </c>
      <c r="CK97" s="325">
        <v>33191.5</v>
      </c>
      <c r="CL97" s="325">
        <v>1513739.71</v>
      </c>
      <c r="CM97" s="325">
        <v>101532.75599999999</v>
      </c>
      <c r="CN97" s="326">
        <f t="shared" si="177"/>
        <v>3080259.3020000001</v>
      </c>
      <c r="CO97" s="325">
        <v>727956.97600000002</v>
      </c>
      <c r="CP97" s="325"/>
      <c r="CQ97" s="325">
        <v>131528.13</v>
      </c>
      <c r="CR97" s="325"/>
      <c r="CS97" s="325">
        <v>1642136.834</v>
      </c>
      <c r="CT97" s="325">
        <v>177262.69600000003</v>
      </c>
      <c r="CU97" s="326">
        <f t="shared" si="178"/>
        <v>2678884.6359999999</v>
      </c>
      <c r="CV97" s="325">
        <v>1148706.3840000001</v>
      </c>
      <c r="CW97" s="325">
        <v>249349.89400000003</v>
      </c>
      <c r="CX97" s="325">
        <v>147816.73200000002</v>
      </c>
      <c r="CY97" s="325">
        <v>31412.296000000002</v>
      </c>
      <c r="CZ97" s="325">
        <v>1604536.9840000002</v>
      </c>
      <c r="DA97" s="325">
        <v>118738.098</v>
      </c>
      <c r="DB97" s="326">
        <f t="shared" si="179"/>
        <v>3300560.3880000003</v>
      </c>
      <c r="DC97" s="325">
        <v>619492.76799999992</v>
      </c>
      <c r="DD97" s="325"/>
      <c r="DE97" s="325">
        <v>113363.54399999999</v>
      </c>
      <c r="DF97" s="325"/>
      <c r="DG97" s="325">
        <v>1635066.2800000003</v>
      </c>
      <c r="DH97" s="325">
        <v>166760.098</v>
      </c>
      <c r="DI97" s="326">
        <f t="shared" si="180"/>
        <v>2534682.6900000004</v>
      </c>
      <c r="DJ97" s="325">
        <v>456779.16800000006</v>
      </c>
      <c r="DK97" s="325">
        <v>248786.93599999993</v>
      </c>
      <c r="DL97" s="325">
        <v>49809.873999999996</v>
      </c>
      <c r="DM97" s="325">
        <v>27762.050000000003</v>
      </c>
      <c r="DN97" s="325">
        <v>1582872</v>
      </c>
      <c r="DO97" s="325">
        <v>145690.24000000002</v>
      </c>
      <c r="DP97" s="326">
        <f t="shared" si="181"/>
        <v>2511700.2680000002</v>
      </c>
      <c r="DQ97" s="325">
        <v>531818.92000000004</v>
      </c>
      <c r="DR97" s="325"/>
      <c r="DS97" s="325">
        <v>93496.822000000015</v>
      </c>
      <c r="DT97" s="325"/>
      <c r="DU97" s="325">
        <v>1565646.122</v>
      </c>
      <c r="DV97" s="325">
        <v>148748.85000000003</v>
      </c>
      <c r="DW97" s="326">
        <f t="shared" si="182"/>
        <v>2339710.7140000002</v>
      </c>
      <c r="DX97" s="325">
        <v>192233.96400000004</v>
      </c>
      <c r="DY97" s="325">
        <v>455000.17200000002</v>
      </c>
      <c r="DZ97" s="325">
        <v>22043.035999999996</v>
      </c>
      <c r="EA97" s="325">
        <v>41438.307999999997</v>
      </c>
      <c r="EB97" s="325">
        <v>1753559.6700000002</v>
      </c>
      <c r="EC97" s="325">
        <v>151103.64600000001</v>
      </c>
      <c r="ED97" s="326">
        <f t="shared" si="183"/>
        <v>2615378.7960000006</v>
      </c>
      <c r="EE97" s="325">
        <v>558243.58400000003</v>
      </c>
      <c r="EF97" s="325"/>
      <c r="EG97" s="325">
        <v>101466.92600000001</v>
      </c>
      <c r="EH97" s="325"/>
      <c r="EI97" s="325">
        <v>1690182.41</v>
      </c>
      <c r="EJ97" s="325">
        <v>187696.22199999998</v>
      </c>
      <c r="EK97" s="326">
        <f t="shared" si="184"/>
        <v>2537589.142</v>
      </c>
      <c r="EL97" s="325">
        <v>329884.62</v>
      </c>
      <c r="EM97" s="325">
        <v>204989.00999999995</v>
      </c>
      <c r="EN97" s="325">
        <v>38069.322</v>
      </c>
      <c r="EO97" s="325">
        <v>25686.574000000004</v>
      </c>
      <c r="EP97" s="325">
        <v>1545164.2340000002</v>
      </c>
      <c r="EQ97" s="325">
        <v>151649.60200000004</v>
      </c>
      <c r="ER97" s="326">
        <f t="shared" si="185"/>
        <v>2295443.3620000002</v>
      </c>
      <c r="ES97" s="325">
        <v>466300.21600000001</v>
      </c>
      <c r="ET97" s="325"/>
      <c r="EU97" s="325">
        <v>82892.347999999998</v>
      </c>
      <c r="EV97" s="325"/>
      <c r="EW97" s="325">
        <v>1443658.108</v>
      </c>
      <c r="EX97" s="325">
        <v>170415.28200000001</v>
      </c>
      <c r="EY97" s="326">
        <f t="shared" si="186"/>
        <v>2163265.9539999999</v>
      </c>
      <c r="EZ97" s="325">
        <v>344367.16000000009</v>
      </c>
      <c r="FA97" s="325">
        <v>238445.99</v>
      </c>
      <c r="FB97" s="325">
        <v>40441.298000000003</v>
      </c>
      <c r="FC97" s="325">
        <v>32448.55</v>
      </c>
      <c r="FD97" s="325">
        <v>1488585.33</v>
      </c>
      <c r="FE97" s="325">
        <v>154557.87999999998</v>
      </c>
      <c r="FF97" s="326">
        <f t="shared" si="187"/>
        <v>2298846.2080000001</v>
      </c>
      <c r="FG97" s="325">
        <v>594918.89199999999</v>
      </c>
      <c r="FH97" s="325"/>
      <c r="FI97" s="325">
        <v>97056.356</v>
      </c>
      <c r="FJ97" s="325"/>
      <c r="FK97" s="325">
        <v>1343170.794</v>
      </c>
      <c r="FL97" s="325">
        <v>211269.18400000001</v>
      </c>
      <c r="FM97" s="326">
        <f t="shared" si="188"/>
        <v>2246415.2259999998</v>
      </c>
      <c r="FN97" s="325">
        <f t="shared" ref="FN97" si="253">B97+P97+AD97+AR97+BF97+BT97+CH97+CV97+DJ97+DX97+EL97+EZ97</f>
        <v>10964506.323999999</v>
      </c>
      <c r="FO97" s="325">
        <f t="shared" ref="FO97" si="254">C97+Q97+AE97+AS97+BG97+BU97+CI97+CW97+DK97+DY97+EM97+FA97</f>
        <v>3313021.7079999996</v>
      </c>
      <c r="FP97" s="325">
        <f t="shared" ref="FP97" si="255">D97+R97+AF97+AT97+BH97+BV97+CJ97+CX97+DL97+DZ97+EN97+FB97</f>
        <v>1393858.4740000002</v>
      </c>
      <c r="FQ97" s="325">
        <f t="shared" ref="FQ97" si="256">E97+S97+AG97+AU97+BI97+BW97+CK97+CY97+DM97+EA97+EO97+FC97</f>
        <v>427213.734</v>
      </c>
      <c r="FR97" s="325">
        <f>F97+T97+AH97+AV97+BJ97+BX97+CL97+CZ97+DN97+EB97+EP97+FD97</f>
        <v>16282698.83</v>
      </c>
      <c r="FS97" s="325">
        <f>G97+U97+AI97+AW97+BK97+BY97+CM97+DA97+DO97+EC97+EQ97+FE97</f>
        <v>1483122.3079999997</v>
      </c>
      <c r="FT97" s="326">
        <f t="shared" si="155"/>
        <v>33864421.377999999</v>
      </c>
      <c r="FU97" s="325">
        <f t="shared" ref="FU97" si="257">I97+W97+AK97+AY97+BM97+CA97+CO97+DC97+DQ97+EE97+ES97+FG97</f>
        <v>13506142.193999998</v>
      </c>
      <c r="FV97" s="325">
        <f t="shared" ref="FV97" si="258">J97+X97+AL97+AZ97+BN97+CB97+CP97+DD97+DR97+EF97+ET97+FH97</f>
        <v>0</v>
      </c>
      <c r="FW97" s="325">
        <f t="shared" ref="FW97" si="259">K97+Y97+AM97+BA97+BO97+CC97+CQ97+DE97+DS97+EG97+EU97+FI97</f>
        <v>1950552.568</v>
      </c>
      <c r="FX97" s="325">
        <f t="shared" ref="FX97" si="260">L97+Z97+AN97+BB97+BP97+CD97+CR97+DF97+DT97+EH97+EV97+FJ97</f>
        <v>0</v>
      </c>
      <c r="FY97" s="325">
        <f>M97+AA97+AO97+BC97+BQ97+CE97+CS97+DG97+DU937+DU97+EI97+EW97+FK97</f>
        <v>17673613.882000003</v>
      </c>
      <c r="FZ97" s="325">
        <f>N97+AB97+AP97+BD97+BR97+CF97+CT97+DH97+DV937+DV97+EJ97+EX97+FL97</f>
        <v>1716839.1705999998</v>
      </c>
      <c r="GA97" s="326">
        <f t="shared" si="191"/>
        <v>34847147.814599998</v>
      </c>
      <c r="GB97" s="206">
        <f>FN97/FU97*100-100</f>
        <v>-18.818370438370636</v>
      </c>
      <c r="GC97" s="206" t="e">
        <f>FO97/FV97*100-100</f>
        <v>#DIV/0!</v>
      </c>
      <c r="GD97" s="206">
        <f t="shared" si="161"/>
        <v>-28.540327655501557</v>
      </c>
      <c r="GE97" s="206" t="e">
        <f t="shared" si="162"/>
        <v>#DIV/0!</v>
      </c>
      <c r="GF97" s="206">
        <f t="shared" si="163"/>
        <v>-7.8700092764649838</v>
      </c>
      <c r="GG97" s="206">
        <f t="shared" ref="GG97" si="261">FS97/FZ97*100-100</f>
        <v>-13.613206560188218</v>
      </c>
      <c r="GH97" s="205">
        <f t="shared" si="194"/>
        <v>-2.8201057998447254</v>
      </c>
    </row>
    <row r="98" spans="1:190" ht="15.75" thickBot="1">
      <c r="A98" s="320" t="s">
        <v>346</v>
      </c>
      <c r="B98" s="328">
        <f>B96+B97</f>
        <v>11752892.600000001</v>
      </c>
      <c r="C98" s="328">
        <f t="shared" ref="C98:G98" si="262">C96+C97</f>
        <v>2232851.5200000005</v>
      </c>
      <c r="D98" s="328">
        <f t="shared" si="262"/>
        <v>1353434.8600000003</v>
      </c>
      <c r="E98" s="328">
        <f t="shared" si="262"/>
        <v>320293.44000000006</v>
      </c>
      <c r="F98" s="328">
        <f t="shared" si="262"/>
        <v>6095755.0299999993</v>
      </c>
      <c r="G98" s="328">
        <f t="shared" si="262"/>
        <v>821160.5700000003</v>
      </c>
      <c r="H98" s="328">
        <f t="shared" si="165"/>
        <v>22576388.02</v>
      </c>
      <c r="I98" s="328">
        <v>12200900.560000002</v>
      </c>
      <c r="J98" s="328"/>
      <c r="K98" s="328">
        <v>1321877.1000000001</v>
      </c>
      <c r="L98" s="328"/>
      <c r="M98" s="328">
        <v>5455921.5000000009</v>
      </c>
      <c r="N98" s="328">
        <v>648692.31000000006</v>
      </c>
      <c r="O98" s="328">
        <f t="shared" si="166"/>
        <v>19627391.470000003</v>
      </c>
      <c r="P98" s="328">
        <f>P96+P97</f>
        <v>10989944.310000002</v>
      </c>
      <c r="Q98" s="328">
        <f t="shared" ref="Q98" si="263">Q96+Q97</f>
        <v>1726374.87</v>
      </c>
      <c r="R98" s="328">
        <f t="shared" ref="R98" si="264">R96+R97</f>
        <v>1666209.4700000002</v>
      </c>
      <c r="S98" s="328">
        <f t="shared" ref="S98" si="265">S96+S97</f>
        <v>251289.02</v>
      </c>
      <c r="T98" s="328">
        <f t="shared" ref="T98" si="266">T96+T97</f>
        <v>6486719.6099999994</v>
      </c>
      <c r="U98" s="328">
        <f t="shared" ref="U98" si="267">U96+U97</f>
        <v>670526.56000000006</v>
      </c>
      <c r="V98" s="328">
        <f t="shared" si="167"/>
        <v>21791063.84</v>
      </c>
      <c r="W98" s="328">
        <v>12717144.27</v>
      </c>
      <c r="X98" s="328"/>
      <c r="Y98" s="328">
        <v>1864410.85</v>
      </c>
      <c r="Z98" s="328"/>
      <c r="AA98" s="328">
        <v>6734481.0600000015</v>
      </c>
      <c r="AB98" s="328">
        <v>628940.54999999993</v>
      </c>
      <c r="AC98" s="328">
        <f t="shared" si="168"/>
        <v>21944976.73</v>
      </c>
      <c r="AD98" s="328">
        <f>AD96+AD97</f>
        <v>5937512.1400000006</v>
      </c>
      <c r="AE98" s="328">
        <f t="shared" ref="AE98" si="268">AE96+AE97</f>
        <v>1590749.9900000002</v>
      </c>
      <c r="AF98" s="328">
        <f t="shared" ref="AF98" si="269">AF96+AF97</f>
        <v>836933.33000000007</v>
      </c>
      <c r="AG98" s="328">
        <f t="shared" ref="AG98" si="270">AG96+AG97</f>
        <v>235766.97</v>
      </c>
      <c r="AH98" s="328">
        <f t="shared" ref="AH98" si="271">AH96+AH97</f>
        <v>6574574.5700000003</v>
      </c>
      <c r="AI98" s="328">
        <f t="shared" ref="AI98" si="272">AI96+AI97</f>
        <v>635966.18999999994</v>
      </c>
      <c r="AJ98" s="328">
        <f t="shared" si="169"/>
        <v>15811503.190000001</v>
      </c>
      <c r="AK98" s="328">
        <v>5456022.7799999993</v>
      </c>
      <c r="AL98" s="328"/>
      <c r="AM98" s="328">
        <v>736185.93000000028</v>
      </c>
      <c r="AN98" s="328"/>
      <c r="AO98" s="328">
        <v>6636331.9300000006</v>
      </c>
      <c r="AP98" s="328">
        <v>485833.08</v>
      </c>
      <c r="AQ98" s="328">
        <f t="shared" si="170"/>
        <v>13314373.720000001</v>
      </c>
      <c r="AR98" s="328">
        <f>AR96+AR97</f>
        <v>2597418.5</v>
      </c>
      <c r="AS98" s="328">
        <f t="shared" ref="AS98" si="273">AS96+AS97</f>
        <v>927375.99999999988</v>
      </c>
      <c r="AT98" s="328">
        <f t="shared" ref="AT98" si="274">AT96+AT97</f>
        <v>343340.64999999997</v>
      </c>
      <c r="AU98" s="328">
        <f t="shared" ref="AU98" si="275">AU96+AU97</f>
        <v>117016.26000000002</v>
      </c>
      <c r="AV98" s="328">
        <f t="shared" ref="AV98" si="276">AV96+AV97</f>
        <v>3768137.9000000004</v>
      </c>
      <c r="AW98" s="328">
        <f t="shared" ref="AW98" si="277">AW96+AW97</f>
        <v>388580.88</v>
      </c>
      <c r="AX98" s="328">
        <f t="shared" si="171"/>
        <v>8141870.1900000004</v>
      </c>
      <c r="AY98" s="328">
        <v>6064786.1700000009</v>
      </c>
      <c r="AZ98" s="328"/>
      <c r="BA98" s="328">
        <v>841383.39000000013</v>
      </c>
      <c r="BB98" s="328"/>
      <c r="BC98" s="328">
        <v>7733387.1900000004</v>
      </c>
      <c r="BD98" s="328">
        <v>528782.26299999992</v>
      </c>
      <c r="BE98" s="328">
        <f t="shared" si="172"/>
        <v>15168339.013</v>
      </c>
      <c r="BF98" s="328">
        <f>BF96+BF97</f>
        <v>2276549.46</v>
      </c>
      <c r="BG98" s="328">
        <f t="shared" ref="BG98" si="278">BG96+BG97</f>
        <v>821413.83</v>
      </c>
      <c r="BH98" s="328">
        <f t="shared" ref="BH98" si="279">BH96+BH97</f>
        <v>288865.99</v>
      </c>
      <c r="BI98" s="328">
        <f t="shared" ref="BI98" si="280">BI96+BI97</f>
        <v>107057.12000000001</v>
      </c>
      <c r="BJ98" s="328">
        <f t="shared" ref="BJ98" si="281">BJ96+BJ97</f>
        <v>4810422.45</v>
      </c>
      <c r="BK98" s="328">
        <f t="shared" ref="BK98" si="282">BK96+BK97</f>
        <v>354397.04</v>
      </c>
      <c r="BL98" s="328">
        <f t="shared" si="173"/>
        <v>8658705.8900000006</v>
      </c>
      <c r="BM98" s="328">
        <v>7408138.1600000011</v>
      </c>
      <c r="BN98" s="328"/>
      <c r="BO98" s="328">
        <v>966669.6399999999</v>
      </c>
      <c r="BP98" s="328"/>
      <c r="BQ98" s="328">
        <v>8389656.0700000003</v>
      </c>
      <c r="BR98" s="328">
        <v>533826.08000000007</v>
      </c>
      <c r="BS98" s="328">
        <f t="shared" si="174"/>
        <v>17298289.950000003</v>
      </c>
      <c r="BT98" s="328">
        <f>BT96+BT97</f>
        <v>3518472.2</v>
      </c>
      <c r="BU98" s="328">
        <f t="shared" ref="BU98" si="283">BU96+BU97</f>
        <v>1054654.2300000002</v>
      </c>
      <c r="BV98" s="328">
        <f t="shared" ref="BV98" si="284">BV96+BV97</f>
        <v>449344.10000000003</v>
      </c>
      <c r="BW98" s="328">
        <f t="shared" ref="BW98" si="285">BW96+BW97</f>
        <v>144949.47</v>
      </c>
      <c r="BX98" s="328">
        <f t="shared" ref="BX98" si="286">BX96+BX97</f>
        <v>6235594.9500000011</v>
      </c>
      <c r="BY98" s="328">
        <f t="shared" ref="BY98" si="287">BY96+BY97</f>
        <v>449221.93</v>
      </c>
      <c r="BZ98" s="328">
        <f t="shared" si="175"/>
        <v>11852236.880000001</v>
      </c>
      <c r="CA98" s="328">
        <v>6196360.3500000006</v>
      </c>
      <c r="CB98" s="328"/>
      <c r="CC98" s="328">
        <v>924312.97000000009</v>
      </c>
      <c r="CD98" s="328"/>
      <c r="CE98" s="328">
        <v>6815074.4400000013</v>
      </c>
      <c r="CF98" s="328">
        <v>479174.65</v>
      </c>
      <c r="CG98" s="328">
        <f t="shared" si="176"/>
        <v>14414922.410000002</v>
      </c>
      <c r="CH98" s="328">
        <f>CH96+CH97</f>
        <v>5389885.9299999997</v>
      </c>
      <c r="CI98" s="328">
        <f t="shared" ref="CI98" si="288">CI96+CI97</f>
        <v>1228828.0899999999</v>
      </c>
      <c r="CJ98" s="328">
        <f t="shared" ref="CJ98" si="289">CJ96+CJ97</f>
        <v>540262.66</v>
      </c>
      <c r="CK98" s="328">
        <f t="shared" ref="CK98" si="290">CK96+CK97</f>
        <v>165957.5</v>
      </c>
      <c r="CL98" s="328">
        <f t="shared" ref="CL98" si="291">CL96+CL97</f>
        <v>7568698.5500000007</v>
      </c>
      <c r="CM98" s="328">
        <f t="shared" ref="CM98" si="292">CM96+CM97</f>
        <v>521006.64</v>
      </c>
      <c r="CN98" s="328">
        <f t="shared" si="177"/>
        <v>15414639.370000001</v>
      </c>
      <c r="CO98" s="328">
        <v>3639784.8800000008</v>
      </c>
      <c r="CP98" s="328"/>
      <c r="CQ98" s="328">
        <v>657640.65</v>
      </c>
      <c r="CR98" s="328"/>
      <c r="CS98" s="328">
        <v>8210684.1699999999</v>
      </c>
      <c r="CT98" s="328">
        <v>890911.14</v>
      </c>
      <c r="CU98" s="328">
        <f t="shared" si="178"/>
        <v>13399020.840000002</v>
      </c>
      <c r="CV98" s="328">
        <f>CV96+CV97</f>
        <v>5743531.9199999999</v>
      </c>
      <c r="CW98" s="328">
        <f t="shared" ref="CW98" si="293">CW96+CW97</f>
        <v>1246749.4700000002</v>
      </c>
      <c r="CX98" s="328">
        <f t="shared" ref="CX98" si="294">CX96+CX97</f>
        <v>739083.66000000015</v>
      </c>
      <c r="CY98" s="328">
        <f t="shared" ref="CY98" si="295">CY96+CY97</f>
        <v>157061.48000000001</v>
      </c>
      <c r="CZ98" s="328">
        <f t="shared" ref="CZ98" si="296">CZ96+CZ97</f>
        <v>8022684.9200000009</v>
      </c>
      <c r="DA98" s="328">
        <f t="shared" ref="DA98" si="297">DA96+DA97</f>
        <v>609071.41</v>
      </c>
      <c r="DB98" s="328">
        <f t="shared" si="179"/>
        <v>16518182.860000003</v>
      </c>
      <c r="DC98" s="328">
        <v>3097463.84</v>
      </c>
      <c r="DD98" s="328"/>
      <c r="DE98" s="328">
        <v>566817.72</v>
      </c>
      <c r="DF98" s="328"/>
      <c r="DG98" s="328">
        <v>8175331.4000000013</v>
      </c>
      <c r="DH98" s="328">
        <v>837570.77</v>
      </c>
      <c r="DI98" s="328">
        <f t="shared" si="180"/>
        <v>12677183.73</v>
      </c>
      <c r="DJ98" s="328">
        <f>DJ96+DJ97</f>
        <v>2283895.8400000003</v>
      </c>
      <c r="DK98" s="328">
        <f t="shared" ref="DK98" si="298">DK96+DK97</f>
        <v>1243934.6799999997</v>
      </c>
      <c r="DL98" s="328">
        <f t="shared" ref="DL98" si="299">DL96+DL97</f>
        <v>249049.37</v>
      </c>
      <c r="DM98" s="328">
        <f t="shared" ref="DM98" si="300">DM96+DM97</f>
        <v>138810.25</v>
      </c>
      <c r="DN98" s="328">
        <f t="shared" ref="DN98" si="301">DN96+DN97</f>
        <v>7914360.0000000009</v>
      </c>
      <c r="DO98" s="328">
        <f t="shared" ref="DO98" si="302">DO96+DO97</f>
        <v>745389.69000000006</v>
      </c>
      <c r="DP98" s="328">
        <f t="shared" si="181"/>
        <v>12575439.83</v>
      </c>
      <c r="DQ98" s="328">
        <v>2659094.6</v>
      </c>
      <c r="DR98" s="328"/>
      <c r="DS98" s="328">
        <v>467484.11</v>
      </c>
      <c r="DT98" s="328"/>
      <c r="DU98" s="328">
        <v>7828230.6100000013</v>
      </c>
      <c r="DV98" s="328">
        <v>749063.17000000016</v>
      </c>
      <c r="DW98" s="328">
        <f t="shared" si="182"/>
        <v>11703872.49</v>
      </c>
      <c r="DX98" s="328">
        <f>DX96+DX97</f>
        <v>961169.82000000018</v>
      </c>
      <c r="DY98" s="328">
        <f t="shared" ref="DY98" si="303">DY96+DY97</f>
        <v>2275000.86</v>
      </c>
      <c r="DZ98" s="328">
        <f t="shared" ref="DZ98" si="304">DZ96+DZ97</f>
        <v>110215.17999999998</v>
      </c>
      <c r="EA98" s="328">
        <f t="shared" ref="EA98" si="305">EA96+EA97</f>
        <v>207191.53999999998</v>
      </c>
      <c r="EB98" s="328">
        <f t="shared" ref="EB98" si="306">EB96+EB97</f>
        <v>8767798.3500000015</v>
      </c>
      <c r="EC98" s="328">
        <f t="shared" ref="EC98" si="307">EC96+EC97</f>
        <v>770388.81</v>
      </c>
      <c r="ED98" s="328">
        <f t="shared" si="183"/>
        <v>13091764.560000002</v>
      </c>
      <c r="EE98" s="328">
        <v>2791217.9200000009</v>
      </c>
      <c r="EF98" s="328"/>
      <c r="EG98" s="328">
        <v>507334.63</v>
      </c>
      <c r="EH98" s="328"/>
      <c r="EI98" s="328">
        <v>8450912.0499999989</v>
      </c>
      <c r="EJ98" s="328">
        <v>944488.4</v>
      </c>
      <c r="EK98" s="328">
        <f t="shared" si="184"/>
        <v>12693953</v>
      </c>
      <c r="EL98" s="328">
        <f>EL96+EL97</f>
        <v>1649423.1</v>
      </c>
      <c r="EM98" s="328">
        <f t="shared" ref="EM98" si="308">EM96+EM97</f>
        <v>1024945.0499999998</v>
      </c>
      <c r="EN98" s="328">
        <f t="shared" ref="EN98" si="309">EN96+EN97</f>
        <v>190346.61</v>
      </c>
      <c r="EO98" s="328">
        <f t="shared" ref="EO98" si="310">EO96+EO97</f>
        <v>128432.87000000001</v>
      </c>
      <c r="EP98" s="328">
        <f t="shared" ref="EP98" si="311">EP96+EP97</f>
        <v>7725821.1700000009</v>
      </c>
      <c r="EQ98" s="328">
        <f t="shared" ref="EQ98" si="312">EQ96+EQ97</f>
        <v>771584.68000000017</v>
      </c>
      <c r="ER98" s="328">
        <f t="shared" si="185"/>
        <v>11490553.48</v>
      </c>
      <c r="ES98" s="328">
        <v>2331501.08</v>
      </c>
      <c r="ET98" s="328"/>
      <c r="EU98" s="328">
        <v>414461.74</v>
      </c>
      <c r="EV98" s="328"/>
      <c r="EW98" s="328">
        <v>7218290.54</v>
      </c>
      <c r="EX98" s="328">
        <v>858213.85000000009</v>
      </c>
      <c r="EY98" s="328">
        <f t="shared" si="186"/>
        <v>10822467.209999999</v>
      </c>
      <c r="EZ98" s="328">
        <f>EZ96+EZ97</f>
        <v>1721835.8000000005</v>
      </c>
      <c r="FA98" s="328">
        <f t="shared" ref="FA98" si="313">FA96+FA97</f>
        <v>1192229.9500000002</v>
      </c>
      <c r="FB98" s="328">
        <f t="shared" ref="FB98" si="314">FB96+FB97</f>
        <v>202206.49</v>
      </c>
      <c r="FC98" s="328">
        <f t="shared" ref="FC98" si="315">FC96+FC97</f>
        <v>162242.75</v>
      </c>
      <c r="FD98" s="328">
        <f t="shared" ref="FD98" si="316">FD96+FD97</f>
        <v>7442926.6499999994</v>
      </c>
      <c r="FE98" s="328">
        <f t="shared" ref="FE98" si="317">FE96+FE97</f>
        <v>782024.30999999994</v>
      </c>
      <c r="FF98" s="328">
        <f t="shared" si="187"/>
        <v>11503465.950000001</v>
      </c>
      <c r="FG98" s="328">
        <v>2974594.46</v>
      </c>
      <c r="FH98" s="328"/>
      <c r="FI98" s="328">
        <v>485281.77999999991</v>
      </c>
      <c r="FJ98" s="328"/>
      <c r="FK98" s="328">
        <v>6715853.9699999997</v>
      </c>
      <c r="FL98" s="328">
        <v>1062498.79</v>
      </c>
      <c r="FM98" s="328">
        <f t="shared" si="188"/>
        <v>11238229</v>
      </c>
      <c r="FN98" s="328">
        <f>FN96+FN97</f>
        <v>54822531.620000005</v>
      </c>
      <c r="FO98" s="328">
        <f t="shared" ref="FO98" si="318">FO96+FO97</f>
        <v>16565108.539999999</v>
      </c>
      <c r="FP98" s="328">
        <f t="shared" ref="FP98" si="319">FP96+FP97</f>
        <v>6969292.370000001</v>
      </c>
      <c r="FQ98" s="328">
        <f t="shared" ref="FQ98" si="320">FQ96+FQ97</f>
        <v>2136068.6700000004</v>
      </c>
      <c r="FR98" s="328">
        <f t="shared" ref="FR98" si="321">FR96+FR97</f>
        <v>81413494.150000006</v>
      </c>
      <c r="FS98" s="328">
        <f t="shared" ref="FS98" si="322">FS96+FS97</f>
        <v>7519318.7100000009</v>
      </c>
      <c r="FT98" s="328">
        <f t="shared" si="155"/>
        <v>169425814.06000003</v>
      </c>
      <c r="FU98" s="337">
        <f>FU96+FU97</f>
        <v>67537009.070000008</v>
      </c>
      <c r="FV98" s="337">
        <f t="shared" ref="FV98" si="323">FV96+FV97</f>
        <v>0</v>
      </c>
      <c r="FW98" s="337">
        <f t="shared" ref="FW98" si="324">FW96+FW97</f>
        <v>9753860.5099999979</v>
      </c>
      <c r="FX98" s="337">
        <f t="shared" ref="FX98" si="325">FX96+FX97</f>
        <v>0</v>
      </c>
      <c r="FY98" s="337">
        <f t="shared" ref="FY98" si="326">FY96+FY97</f>
        <v>88364154.930000007</v>
      </c>
      <c r="FZ98" s="337">
        <f>FZ96+FZ97</f>
        <v>8647995.0529999994</v>
      </c>
      <c r="GA98" s="328">
        <f t="shared" si="191"/>
        <v>174303019.56300002</v>
      </c>
      <c r="GB98" s="338">
        <f>FN98/FU98*100-100</f>
        <v>-18.825940954568836</v>
      </c>
      <c r="GC98" s="338" t="e">
        <f>FO98/FV98*100-100</f>
        <v>#DIV/0!</v>
      </c>
      <c r="GD98" s="338">
        <f t="shared" si="161"/>
        <v>-28.548369511181349</v>
      </c>
      <c r="GE98" s="338" t="e">
        <f t="shared" si="162"/>
        <v>#DIV/0!</v>
      </c>
      <c r="GF98" s="338">
        <f t="shared" si="163"/>
        <v>-7.8659279721581186</v>
      </c>
      <c r="GG98" s="338">
        <f>FS98/FZ98*100-100</f>
        <v>-13.051306529233727</v>
      </c>
      <c r="GH98" s="339">
        <f t="shared" si="194"/>
        <v>-2.7981187676655139</v>
      </c>
    </row>
  </sheetData>
  <mergeCells count="84">
    <mergeCell ref="FN1:FT1"/>
    <mergeCell ref="FU1:GA1"/>
    <mergeCell ref="GB1:GH1"/>
    <mergeCell ref="EE1:EK1"/>
    <mergeCell ref="EL1:ER1"/>
    <mergeCell ref="ES1:EY1"/>
    <mergeCell ref="EZ1:FF1"/>
    <mergeCell ref="FG1:FM1"/>
    <mergeCell ref="CV1:DB1"/>
    <mergeCell ref="DC1:DI1"/>
    <mergeCell ref="DJ1:DP1"/>
    <mergeCell ref="DQ1:DW1"/>
    <mergeCell ref="DX1:ED1"/>
    <mergeCell ref="BM1:BS1"/>
    <mergeCell ref="BT1:BZ1"/>
    <mergeCell ref="CA1:CG1"/>
    <mergeCell ref="CH1:CN1"/>
    <mergeCell ref="CO1:CU1"/>
    <mergeCell ref="AD1:AJ1"/>
    <mergeCell ref="AK1:AQ1"/>
    <mergeCell ref="AR1:AX1"/>
    <mergeCell ref="AY1:BE1"/>
    <mergeCell ref="BF1:BL1"/>
    <mergeCell ref="A1:A2"/>
    <mergeCell ref="B1:H1"/>
    <mergeCell ref="I1:O1"/>
    <mergeCell ref="P1:V1"/>
    <mergeCell ref="W1:AC1"/>
    <mergeCell ref="W34:AC34"/>
    <mergeCell ref="B34:H34"/>
    <mergeCell ref="I34:O34"/>
    <mergeCell ref="CA34:CG34"/>
    <mergeCell ref="CO34:CU34"/>
    <mergeCell ref="BT34:BZ34"/>
    <mergeCell ref="BM34:BS34"/>
    <mergeCell ref="EL34:ER34"/>
    <mergeCell ref="ES34:EY34"/>
    <mergeCell ref="DJ34:DP34"/>
    <mergeCell ref="DQ34:DW34"/>
    <mergeCell ref="DC34:DI34"/>
    <mergeCell ref="GB34:GH34"/>
    <mergeCell ref="P34:V34"/>
    <mergeCell ref="A34:A35"/>
    <mergeCell ref="CH34:CN34"/>
    <mergeCell ref="AD34:AJ34"/>
    <mergeCell ref="AK34:AQ34"/>
    <mergeCell ref="AR34:AX34"/>
    <mergeCell ref="AY34:BE34"/>
    <mergeCell ref="BF34:BL34"/>
    <mergeCell ref="EZ34:FF34"/>
    <mergeCell ref="FN34:FT34"/>
    <mergeCell ref="CV34:DB34"/>
    <mergeCell ref="FU34:GA34"/>
    <mergeCell ref="FG34:FM34"/>
    <mergeCell ref="DX34:ED34"/>
    <mergeCell ref="EE34:EK34"/>
    <mergeCell ref="FN67:FT67"/>
    <mergeCell ref="BF67:BL67"/>
    <mergeCell ref="GB67:GH67"/>
    <mergeCell ref="P67:V67"/>
    <mergeCell ref="W67:AC67"/>
    <mergeCell ref="CO67:CU67"/>
    <mergeCell ref="FU67:GA67"/>
    <mergeCell ref="FG67:FM67"/>
    <mergeCell ref="DX67:ED67"/>
    <mergeCell ref="EE67:EK67"/>
    <mergeCell ref="EL67:ER67"/>
    <mergeCell ref="ES67:EY67"/>
    <mergeCell ref="EZ67:FF67"/>
    <mergeCell ref="DJ67:DP67"/>
    <mergeCell ref="DQ67:DW67"/>
    <mergeCell ref="CV67:DB67"/>
    <mergeCell ref="A67:A68"/>
    <mergeCell ref="CH67:CN67"/>
    <mergeCell ref="AD67:AJ67"/>
    <mergeCell ref="AK67:AQ67"/>
    <mergeCell ref="BT67:BZ67"/>
    <mergeCell ref="BM67:BS67"/>
    <mergeCell ref="DC67:DI67"/>
    <mergeCell ref="CA67:CG67"/>
    <mergeCell ref="AR67:AX67"/>
    <mergeCell ref="AY67:BE67"/>
    <mergeCell ref="B67:H67"/>
    <mergeCell ref="I67:O67"/>
  </mergeCells>
  <conditionalFormatting sqref="GJ36 GI36:GI62 GB36:GH65">
    <cfRule type="cellIs" dxfId="100" priority="3" operator="lessThan">
      <formula>0</formula>
    </cfRule>
  </conditionalFormatting>
  <conditionalFormatting sqref="GB69:GH98">
    <cfRule type="cellIs" dxfId="99" priority="2" operator="lessThan">
      <formula>0</formula>
    </cfRule>
  </conditionalFormatting>
  <conditionalFormatting sqref="GJ3 GI3:GI29 GB3:GH32">
    <cfRule type="cellIs" dxfId="98" priority="1" operator="less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2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5">
    <tabColor theme="3"/>
    <pageSetUpPr fitToPage="1"/>
  </sheetPr>
  <dimension ref="A1:AB37"/>
  <sheetViews>
    <sheetView showGridLines="0" zoomScale="60" zoomScaleNormal="60" workbookViewId="0">
      <pane xSplit="1" topLeftCell="B1" activePane="topRight" state="frozen"/>
      <selection activeCell="W28" sqref="W28"/>
      <selection pane="topRight" activeCell="W28" sqref="W28"/>
    </sheetView>
  </sheetViews>
  <sheetFormatPr defaultColWidth="9.140625" defaultRowHeight="15"/>
  <cols>
    <col min="1" max="1" width="19.28515625" style="68" customWidth="1"/>
    <col min="2" max="2" width="27" style="68" customWidth="1"/>
    <col min="3" max="5" width="18.7109375" style="68" customWidth="1"/>
    <col min="6" max="6" width="19.85546875" style="68" customWidth="1"/>
    <col min="7" max="11" width="18.7109375" style="68" customWidth="1"/>
    <col min="12" max="12" width="19.42578125" style="68" customWidth="1"/>
    <col min="13" max="13" width="13.140625" style="68" bestFit="1" customWidth="1"/>
    <col min="14" max="15" width="18.7109375" style="68" customWidth="1"/>
    <col min="16" max="16" width="12.42578125" style="68" bestFit="1" customWidth="1"/>
    <col min="17" max="17" width="14.5703125" style="68" customWidth="1"/>
    <col min="18" max="18" width="22.140625" style="68" customWidth="1"/>
    <col min="19" max="19" width="14.7109375" style="68" customWidth="1"/>
    <col min="20" max="20" width="12.42578125" style="68" bestFit="1" customWidth="1"/>
    <col min="21" max="39" width="0" style="68" hidden="1" customWidth="1"/>
    <col min="40" max="16384" width="9.140625" style="68"/>
  </cols>
  <sheetData>
    <row r="1" spans="1:28" ht="16.5" thickBot="1">
      <c r="A1" s="252"/>
      <c r="B1" s="950" t="s">
        <v>361</v>
      </c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0"/>
      <c r="N1" s="950"/>
      <c r="O1" s="951"/>
    </row>
    <row r="2" spans="1:28" ht="16.5" thickBot="1">
      <c r="B2" s="950" t="s">
        <v>166</v>
      </c>
      <c r="C2" s="950"/>
      <c r="D2" s="950"/>
      <c r="E2" s="951"/>
      <c r="F2" s="952" t="s">
        <v>167</v>
      </c>
      <c r="G2" s="950"/>
      <c r="H2" s="950"/>
      <c r="I2" s="950"/>
      <c r="J2" s="950"/>
      <c r="K2" s="950"/>
      <c r="L2" s="951" t="s">
        <v>359</v>
      </c>
      <c r="M2" s="952" t="s">
        <v>360</v>
      </c>
      <c r="N2" s="950"/>
      <c r="O2" s="951" t="s">
        <v>359</v>
      </c>
    </row>
    <row r="3" spans="1:28" ht="53.25" customHeight="1" thickBot="1">
      <c r="A3" s="251" t="s">
        <v>358</v>
      </c>
      <c r="B3" s="250" t="s">
        <v>357</v>
      </c>
      <c r="C3" s="247" t="s">
        <v>356</v>
      </c>
      <c r="D3" s="247" t="s">
        <v>339</v>
      </c>
      <c r="E3" s="248" t="s">
        <v>355</v>
      </c>
      <c r="F3" s="248" t="s">
        <v>434</v>
      </c>
      <c r="G3" s="248" t="s">
        <v>435</v>
      </c>
      <c r="H3" s="248" t="s">
        <v>354</v>
      </c>
      <c r="I3" s="248" t="s">
        <v>339</v>
      </c>
      <c r="J3" s="249" t="s">
        <v>353</v>
      </c>
      <c r="K3" s="249" t="s">
        <v>322</v>
      </c>
      <c r="L3" s="248" t="s">
        <v>542</v>
      </c>
      <c r="M3" s="247" t="s">
        <v>352</v>
      </c>
      <c r="N3" s="247" t="s">
        <v>339</v>
      </c>
      <c r="O3" s="246" t="s">
        <v>351</v>
      </c>
      <c r="Q3" s="249" t="str">
        <f t="shared" ref="Q3:Q30" si="0">A3</f>
        <v xml:space="preserve">UF </v>
      </c>
      <c r="R3" s="249" t="str">
        <f t="shared" ref="R3:R31" si="1">I3</f>
        <v>Quantidade Pagantes</v>
      </c>
      <c r="S3" s="249" t="str">
        <f t="shared" ref="S3:S30" si="2">L3</f>
        <v>%  
Adimplência</v>
      </c>
      <c r="U3" s="68" t="str">
        <f>Q3</f>
        <v xml:space="preserve">UF </v>
      </c>
      <c r="V3" s="68" t="str">
        <f>S3</f>
        <v>%  
Adimplência</v>
      </c>
    </row>
    <row r="4" spans="1:28" ht="16.5" thickBot="1">
      <c r="A4" s="244" t="s">
        <v>84</v>
      </c>
      <c r="B4" s="243">
        <f>VLOOKUP($A$4:$A$30,'Anuid PF'!$A$5:$E$31,2,0)</f>
        <v>4185</v>
      </c>
      <c r="C4" s="243">
        <f>VLOOKUP($A$4:$A$30,'Anuid PF'!$A$5:$E$31,3,0)</f>
        <v>4090</v>
      </c>
      <c r="D4" s="243">
        <f>VLOOKUP($A$4:$A$30,'Anuid PF'!$A$5:$E$31,4,0)</f>
        <v>3974</v>
      </c>
      <c r="E4" s="242">
        <f t="shared" ref="E4:E30" si="3">D4/C4</f>
        <v>0.97163814180929098</v>
      </c>
      <c r="F4" s="241">
        <f>VLOOKUP($A$4:$A$30,'Anuid PF'!$A$5:$G$31,7,)</f>
        <v>4136</v>
      </c>
      <c r="G4" s="240">
        <f>VLOOKUP($A$4:$A$30,'Anuid PF'!$A$5:$H$31,8,)</f>
        <v>72</v>
      </c>
      <c r="H4" s="241">
        <f>VLOOKUP($A$4:$A$30,'Anuid PF'!$A$5:$I$31,9,)</f>
        <v>4064</v>
      </c>
      <c r="I4" s="241">
        <f>VLOOKUP($A$4:$A$30,'Anuid PF'!$A$5:$K$31,10,0)</f>
        <v>3428</v>
      </c>
      <c r="J4" s="241">
        <f>VLOOKUP($A$4:$A$30,'Anuid PF'!$A$5:$L$31,11,0)</f>
        <v>2168</v>
      </c>
      <c r="K4" s="240">
        <f t="shared" ref="K4:K30" si="4">I4-J4</f>
        <v>1260</v>
      </c>
      <c r="L4" s="572">
        <f t="shared" ref="L4:L30" si="5">I4/H4</f>
        <v>0.84350393700787396</v>
      </c>
      <c r="M4" s="239">
        <f t="shared" ref="M4:M30" si="6">F4/B4*100-100</f>
        <v>-1.1708482676224605</v>
      </c>
      <c r="N4" s="239">
        <f t="shared" ref="N4:N30" si="7">I4/D4*100-100</f>
        <v>-13.739305485656772</v>
      </c>
      <c r="O4" s="717">
        <f t="shared" ref="O4:O30" si="8">(L4-E4)*100</f>
        <v>-12.813420480141701</v>
      </c>
      <c r="P4" s="232"/>
      <c r="Q4" s="244" t="str">
        <f t="shared" si="0"/>
        <v>ES</v>
      </c>
      <c r="R4" s="551">
        <f t="shared" si="1"/>
        <v>3428</v>
      </c>
      <c r="S4" s="572">
        <f t="shared" si="2"/>
        <v>0.84350393700787396</v>
      </c>
      <c r="U4" s="68" t="str">
        <f>Q4</f>
        <v>ES</v>
      </c>
      <c r="V4" s="778">
        <f>S4</f>
        <v>0.84350393700787396</v>
      </c>
    </row>
    <row r="5" spans="1:28" ht="16.5" thickBot="1">
      <c r="A5" s="244" t="s">
        <v>100</v>
      </c>
      <c r="B5" s="243">
        <f>VLOOKUP($A$4:$A$30,'Anuid PF'!$A$5:$E$31,2,0)</f>
        <v>11865</v>
      </c>
      <c r="C5" s="243">
        <f>VLOOKUP($A$4:$A$30,'Anuid PF'!$A$5:$E$31,3,0)</f>
        <v>11577</v>
      </c>
      <c r="D5" s="243">
        <f>VLOOKUP($A$4:$A$30,'Anuid PF'!$A$5:$E$31,4,0)</f>
        <v>9084</v>
      </c>
      <c r="E5" s="242">
        <f t="shared" si="3"/>
        <v>0.78465923814459704</v>
      </c>
      <c r="F5" s="241">
        <f>VLOOKUP($A$4:$A$30,'Anuid PF'!$A$5:$G$31,7,)</f>
        <v>11846</v>
      </c>
      <c r="G5" s="240">
        <f>VLOOKUP($A$4:$A$30,'Anuid PF'!$A$5:$H$31,8,)</f>
        <v>234</v>
      </c>
      <c r="H5" s="241">
        <f>VLOOKUP($A$4:$A$30,'Anuid PF'!$A$5:$I$31,9,)</f>
        <v>11612</v>
      </c>
      <c r="I5" s="241">
        <f>VLOOKUP($A$4:$A$30,'Anuid PF'!$A$5:$K$31,10,0)</f>
        <v>8301</v>
      </c>
      <c r="J5" s="241">
        <f>VLOOKUP($A$4:$A$30,'Anuid PF'!$A$5:$L$31,11,0)</f>
        <v>5301</v>
      </c>
      <c r="K5" s="240">
        <f t="shared" si="4"/>
        <v>3000</v>
      </c>
      <c r="L5" s="572">
        <f t="shared" si="5"/>
        <v>0.71486393386152258</v>
      </c>
      <c r="M5" s="239">
        <f t="shared" si="6"/>
        <v>-0.1601348504003397</v>
      </c>
      <c r="N5" s="239">
        <f t="shared" si="7"/>
        <v>-8.6195508586525875</v>
      </c>
      <c r="O5" s="717">
        <f t="shared" si="8"/>
        <v>-6.9795304283074451</v>
      </c>
      <c r="P5" s="232"/>
      <c r="Q5" s="244" t="str">
        <f t="shared" si="0"/>
        <v>SC</v>
      </c>
      <c r="R5" s="551">
        <f t="shared" si="1"/>
        <v>8301</v>
      </c>
      <c r="S5" s="572">
        <f t="shared" si="2"/>
        <v>0.71486393386152258</v>
      </c>
      <c r="T5" s="779"/>
      <c r="U5" s="68" t="str">
        <f t="shared" ref="U5:U30" si="9">Q5</f>
        <v>SC</v>
      </c>
      <c r="V5" s="778">
        <f t="shared" ref="V5:V30" si="10">S5</f>
        <v>0.71486393386152258</v>
      </c>
      <c r="W5" s="321"/>
      <c r="X5" s="321"/>
      <c r="Y5" s="321"/>
      <c r="Z5" s="321"/>
    </row>
    <row r="6" spans="1:28" ht="16.5" thickBot="1">
      <c r="A6" s="244" t="s">
        <v>97</v>
      </c>
      <c r="B6" s="243">
        <f>VLOOKUP($A$4:$A$30,'Anuid PF'!$A$5:$E$31,2,0)</f>
        <v>18256</v>
      </c>
      <c r="C6" s="243">
        <f>VLOOKUP($A$4:$A$30,'Anuid PF'!$A$5:$E$31,3,0)</f>
        <v>17104</v>
      </c>
      <c r="D6" s="243">
        <f>VLOOKUP($A$4:$A$30,'Anuid PF'!$A$5:$E$31,4,0)</f>
        <v>13671</v>
      </c>
      <c r="E6" s="242">
        <f t="shared" si="3"/>
        <v>0.79928671655753036</v>
      </c>
      <c r="F6" s="241">
        <f>VLOOKUP($A$4:$A$30,'Anuid PF'!$A$5:$G$31,7,)</f>
        <v>18080</v>
      </c>
      <c r="G6" s="240">
        <f>VLOOKUP($A$4:$A$30,'Anuid PF'!$A$5:$H$31,8,)</f>
        <v>843</v>
      </c>
      <c r="H6" s="241">
        <f>VLOOKUP($A$4:$A$30,'Anuid PF'!$A$5:$I$31,9,)</f>
        <v>17237</v>
      </c>
      <c r="I6" s="241">
        <f>VLOOKUP($A$4:$A$30,'Anuid PF'!$A$5:$K$31,10,0)</f>
        <v>12096</v>
      </c>
      <c r="J6" s="241">
        <f>VLOOKUP($A$4:$A$30,'Anuid PF'!$A$5:$L$31,11,0)</f>
        <v>7098</v>
      </c>
      <c r="K6" s="240">
        <f t="shared" si="4"/>
        <v>4998</v>
      </c>
      <c r="L6" s="572">
        <f t="shared" si="5"/>
        <v>0.70174624354586068</v>
      </c>
      <c r="M6" s="239">
        <f t="shared" si="6"/>
        <v>-0.96406660823838308</v>
      </c>
      <c r="N6" s="239">
        <f t="shared" si="7"/>
        <v>-11.52073732718894</v>
      </c>
      <c r="O6" s="717">
        <f t="shared" si="8"/>
        <v>-9.7540473011669686</v>
      </c>
      <c r="P6" s="232"/>
      <c r="Q6" s="244" t="str">
        <f t="shared" si="0"/>
        <v>RS</v>
      </c>
      <c r="R6" s="551">
        <f t="shared" si="1"/>
        <v>12096</v>
      </c>
      <c r="S6" s="572">
        <f t="shared" si="2"/>
        <v>0.70174624354586068</v>
      </c>
      <c r="T6" s="779"/>
      <c r="U6" s="68" t="str">
        <f t="shared" si="9"/>
        <v>RS</v>
      </c>
      <c r="V6" s="778">
        <f t="shared" si="10"/>
        <v>0.70174624354586068</v>
      </c>
      <c r="W6" s="321"/>
      <c r="X6" s="321"/>
      <c r="Y6" s="321"/>
      <c r="Z6" s="321"/>
    </row>
    <row r="7" spans="1:28" ht="16.5" thickBot="1">
      <c r="A7" s="244" t="s">
        <v>89</v>
      </c>
      <c r="B7" s="243">
        <f>VLOOKUP($A$4:$A$30,'Anuid PF'!$A$5:$E$31,2,0)</f>
        <v>18589</v>
      </c>
      <c r="C7" s="243">
        <f>VLOOKUP($A$4:$A$30,'Anuid PF'!$A$5:$E$31,3,0)</f>
        <v>17880</v>
      </c>
      <c r="D7" s="243">
        <f>VLOOKUP($A$4:$A$30,'Anuid PF'!$A$5:$E$31,4,0)</f>
        <v>13411</v>
      </c>
      <c r="E7" s="242">
        <f t="shared" si="3"/>
        <v>0.75005592841163315</v>
      </c>
      <c r="F7" s="241">
        <f>VLOOKUP($A$4:$A$30,'Anuid PF'!$A$5:$G$31,7,)</f>
        <v>17877</v>
      </c>
      <c r="G7" s="240">
        <f>VLOOKUP($A$4:$A$30,'Anuid PF'!$A$5:$H$31,8,)</f>
        <v>647</v>
      </c>
      <c r="H7" s="241">
        <f>VLOOKUP($A$4:$A$30,'Anuid PF'!$A$5:$I$31,9,)</f>
        <v>17230</v>
      </c>
      <c r="I7" s="241">
        <f>VLOOKUP($A$4:$A$30,'Anuid PF'!$A$5:$K$31,10,0)</f>
        <v>11631</v>
      </c>
      <c r="J7" s="241">
        <f>VLOOKUP($A$4:$A$30,'Anuid PF'!$A$5:$L$31,11,0)</f>
        <v>7525</v>
      </c>
      <c r="K7" s="240">
        <f t="shared" si="4"/>
        <v>4106</v>
      </c>
      <c r="L7" s="572">
        <f t="shared" si="5"/>
        <v>0.67504352872896112</v>
      </c>
      <c r="M7" s="239">
        <f t="shared" si="6"/>
        <v>-3.8302221744042129</v>
      </c>
      <c r="N7" s="239">
        <f t="shared" si="7"/>
        <v>-13.272686600551793</v>
      </c>
      <c r="O7" s="717">
        <f t="shared" si="8"/>
        <v>-7.5012399682672033</v>
      </c>
      <c r="P7" s="232"/>
      <c r="Q7" s="244" t="str">
        <f t="shared" si="0"/>
        <v>MG</v>
      </c>
      <c r="R7" s="551">
        <f t="shared" si="1"/>
        <v>11631</v>
      </c>
      <c r="S7" s="572">
        <f t="shared" si="2"/>
        <v>0.67504352872896112</v>
      </c>
      <c r="T7" s="779"/>
      <c r="U7" s="68" t="str">
        <f t="shared" si="9"/>
        <v>MG</v>
      </c>
      <c r="V7" s="778">
        <f t="shared" si="10"/>
        <v>0.67504352872896112</v>
      </c>
      <c r="W7" s="321"/>
      <c r="X7" s="321"/>
      <c r="Y7" s="321"/>
      <c r="Z7" s="321"/>
    </row>
    <row r="8" spans="1:28" ht="16.5" thickBot="1">
      <c r="A8" s="244" t="s">
        <v>83</v>
      </c>
      <c r="B8" s="243">
        <f>VLOOKUP($A$4:$A$30,'Anuid PF'!$A$5:$E$31,2,0)</f>
        <v>6854</v>
      </c>
      <c r="C8" s="243">
        <f>VLOOKUP($A$4:$A$30,'Anuid PF'!$A$5:$E$31,3,0)</f>
        <v>6327</v>
      </c>
      <c r="D8" s="243">
        <f>VLOOKUP($A$4:$A$30,'Anuid PF'!$A$5:$E$31,4,0)</f>
        <v>4671</v>
      </c>
      <c r="E8" s="242">
        <f t="shared" si="3"/>
        <v>0.73826458036984355</v>
      </c>
      <c r="F8" s="241">
        <f>VLOOKUP($A$4:$A$30,'Anuid PF'!$A$5:$G$31,7,)</f>
        <v>6772</v>
      </c>
      <c r="G8" s="240">
        <f>VLOOKUP($A$4:$A$30,'Anuid PF'!$A$5:$H$31,8,)</f>
        <v>424</v>
      </c>
      <c r="H8" s="241">
        <f>VLOOKUP($A$4:$A$30,'Anuid PF'!$A$5:$I$31,9,)</f>
        <v>6348</v>
      </c>
      <c r="I8" s="241">
        <f>VLOOKUP($A$4:$A$30,'Anuid PF'!$A$5:$K$31,10,0)</f>
        <v>4273</v>
      </c>
      <c r="J8" s="241">
        <f>VLOOKUP($A$4:$A$30,'Anuid PF'!$A$5:$L$31,11,0)</f>
        <v>2995</v>
      </c>
      <c r="K8" s="240">
        <f t="shared" si="4"/>
        <v>1278</v>
      </c>
      <c r="L8" s="572">
        <f t="shared" si="5"/>
        <v>0.67312539382482672</v>
      </c>
      <c r="M8" s="239">
        <f t="shared" si="6"/>
        <v>-1.1963816749343437</v>
      </c>
      <c r="N8" s="239">
        <f t="shared" si="7"/>
        <v>-8.5206593877114187</v>
      </c>
      <c r="O8" s="717">
        <f t="shared" si="8"/>
        <v>-6.5139186545016825</v>
      </c>
      <c r="P8" s="232"/>
      <c r="Q8" s="244" t="str">
        <f t="shared" si="0"/>
        <v>DF</v>
      </c>
      <c r="R8" s="551">
        <f t="shared" si="1"/>
        <v>4273</v>
      </c>
      <c r="S8" s="572">
        <f t="shared" si="2"/>
        <v>0.67312539382482672</v>
      </c>
      <c r="T8" s="779"/>
      <c r="U8" s="68" t="str">
        <f t="shared" si="9"/>
        <v>DF</v>
      </c>
      <c r="V8" s="778">
        <f t="shared" si="10"/>
        <v>0.67312539382482672</v>
      </c>
      <c r="W8" s="321"/>
      <c r="X8" s="321"/>
      <c r="Y8" s="321"/>
      <c r="Z8" s="321"/>
    </row>
    <row r="9" spans="1:28" ht="16.5" thickBot="1">
      <c r="A9" s="244" t="s">
        <v>92</v>
      </c>
      <c r="B9" s="243">
        <f>VLOOKUP($A$4:$A$30,'Anuid PF'!$A$5:$E$31,2,0)</f>
        <v>14181</v>
      </c>
      <c r="C9" s="243">
        <f>VLOOKUP($A$4:$A$30,'Anuid PF'!$A$5:$E$31,3,0)</f>
        <v>13769</v>
      </c>
      <c r="D9" s="243">
        <f>VLOOKUP($A$4:$A$30,'Anuid PF'!$A$5:$E$31,4,0)</f>
        <v>9552</v>
      </c>
      <c r="E9" s="242">
        <f t="shared" si="3"/>
        <v>0.69373229718933838</v>
      </c>
      <c r="F9" s="241">
        <f>VLOOKUP($A$4:$A$30,'Anuid PF'!$A$5:$G$31,7,)</f>
        <v>14583</v>
      </c>
      <c r="G9" s="240">
        <f>VLOOKUP($A$4:$A$30,'Anuid PF'!$A$5:$H$31,8,)</f>
        <v>376</v>
      </c>
      <c r="H9" s="241">
        <f>VLOOKUP($A$4:$A$30,'Anuid PF'!$A$5:$I$31,9,)</f>
        <v>14207</v>
      </c>
      <c r="I9" s="241">
        <f>VLOOKUP($A$4:$A$30,'Anuid PF'!$A$5:$K$31,10,0)</f>
        <v>9557</v>
      </c>
      <c r="J9" s="241">
        <f>VLOOKUP($A$4:$A$30,'Anuid PF'!$A$5:$L$31,11,0)</f>
        <v>5613</v>
      </c>
      <c r="K9" s="240">
        <f t="shared" si="4"/>
        <v>3944</v>
      </c>
      <c r="L9" s="572">
        <f t="shared" si="5"/>
        <v>0.67269655803477157</v>
      </c>
      <c r="M9" s="239">
        <f t="shared" si="6"/>
        <v>2.8347789295536359</v>
      </c>
      <c r="N9" s="239">
        <f t="shared" si="7"/>
        <v>5.234505862645733E-2</v>
      </c>
      <c r="O9" s="717">
        <f t="shared" si="8"/>
        <v>-2.1035739154566802</v>
      </c>
      <c r="P9" s="232"/>
      <c r="Q9" s="244" t="str">
        <f t="shared" si="0"/>
        <v>PR</v>
      </c>
      <c r="R9" s="551">
        <f t="shared" si="1"/>
        <v>9557</v>
      </c>
      <c r="S9" s="572">
        <f t="shared" si="2"/>
        <v>0.67269655803477157</v>
      </c>
      <c r="T9" s="779"/>
      <c r="U9" s="68" t="str">
        <f t="shared" si="9"/>
        <v>PR</v>
      </c>
      <c r="V9" s="778">
        <f t="shared" si="10"/>
        <v>0.67269655803477157</v>
      </c>
      <c r="W9" s="321"/>
      <c r="X9" s="321"/>
      <c r="Y9" s="321"/>
      <c r="Z9" s="321"/>
    </row>
    <row r="10" spans="1:28" ht="16.5" thickBot="1">
      <c r="A10" s="244" t="s">
        <v>82</v>
      </c>
      <c r="B10" s="243">
        <f>VLOOKUP($A$4:$A$30,'Anuid PF'!$A$5:$E$31,2,0)</f>
        <v>4756</v>
      </c>
      <c r="C10" s="243">
        <f>VLOOKUP($A$4:$A$30,'Anuid PF'!$A$5:$E$31,3,0)</f>
        <v>4570</v>
      </c>
      <c r="D10" s="243">
        <f>VLOOKUP($A$4:$A$30,'Anuid PF'!$A$5:$E$31,4,0)</f>
        <v>3326</v>
      </c>
      <c r="E10" s="242">
        <f t="shared" si="3"/>
        <v>0.7277899343544858</v>
      </c>
      <c r="F10" s="241">
        <f>VLOOKUP($A$4:$A$30,'Anuid PF'!$A$5:$G$31,7,)</f>
        <v>4757</v>
      </c>
      <c r="G10" s="240">
        <f>VLOOKUP($A$4:$A$30,'Anuid PF'!$A$5:$H$31,8,)</f>
        <v>173</v>
      </c>
      <c r="H10" s="241">
        <f>VLOOKUP($A$4:$A$30,'Anuid PF'!$A$5:$I$31,9,)</f>
        <v>4584</v>
      </c>
      <c r="I10" s="241">
        <f>VLOOKUP($A$4:$A$30,'Anuid PF'!$A$5:$K$31,10,0)</f>
        <v>3080</v>
      </c>
      <c r="J10" s="241">
        <f>VLOOKUP($A$4:$A$30,'Anuid PF'!$A$5:$L$31,11,0)</f>
        <v>2002</v>
      </c>
      <c r="K10" s="240">
        <f t="shared" si="4"/>
        <v>1078</v>
      </c>
      <c r="L10" s="572">
        <f t="shared" si="5"/>
        <v>0.67190226876090753</v>
      </c>
      <c r="M10" s="239">
        <f t="shared" si="6"/>
        <v>2.1026072329703993E-2</v>
      </c>
      <c r="N10" s="239">
        <f t="shared" si="7"/>
        <v>-7.3962717979555066</v>
      </c>
      <c r="O10" s="717">
        <f t="shared" si="8"/>
        <v>-5.5887665593578273</v>
      </c>
      <c r="P10" s="232"/>
      <c r="Q10" s="244" t="str">
        <f t="shared" si="0"/>
        <v>CE</v>
      </c>
      <c r="R10" s="551">
        <f t="shared" si="1"/>
        <v>3080</v>
      </c>
      <c r="S10" s="572">
        <f t="shared" si="2"/>
        <v>0.67190226876090753</v>
      </c>
      <c r="T10" s="779"/>
      <c r="U10" s="68" t="str">
        <f t="shared" si="9"/>
        <v>CE</v>
      </c>
      <c r="V10" s="778">
        <f t="shared" si="10"/>
        <v>0.67190226876090753</v>
      </c>
      <c r="W10" s="321"/>
      <c r="X10" s="321"/>
      <c r="Y10" s="321"/>
      <c r="Z10" s="321"/>
    </row>
    <row r="11" spans="1:28" ht="16.5" thickBot="1">
      <c r="A11" s="244" t="s">
        <v>87</v>
      </c>
      <c r="B11" s="243">
        <f>VLOOKUP($A$4:$A$30,'Anuid PF'!$A$5:$E$31,2,0)</f>
        <v>3725</v>
      </c>
      <c r="C11" s="243">
        <f>VLOOKUP($A$4:$A$30,'Anuid PF'!$A$5:$E$31,3,0)</f>
        <v>3662</v>
      </c>
      <c r="D11" s="243">
        <f>VLOOKUP($A$4:$A$30,'Anuid PF'!$A$5:$E$31,4,0)</f>
        <v>2872</v>
      </c>
      <c r="E11" s="242">
        <f t="shared" si="3"/>
        <v>0.78427089022392138</v>
      </c>
      <c r="F11" s="241">
        <f>VLOOKUP($A$4:$A$30,'Anuid PF'!$A$5:$G$31,7,)</f>
        <v>3639</v>
      </c>
      <c r="G11" s="240">
        <f>VLOOKUP($A$4:$A$30,'Anuid PF'!$A$5:$H$31,8,)</f>
        <v>52</v>
      </c>
      <c r="H11" s="241">
        <f>VLOOKUP($A$4:$A$30,'Anuid PF'!$A$5:$I$31,9,)</f>
        <v>3587</v>
      </c>
      <c r="I11" s="241">
        <f>VLOOKUP($A$4:$A$30,'Anuid PF'!$A$5:$K$31,10,0)</f>
        <v>2343</v>
      </c>
      <c r="J11" s="241">
        <f>VLOOKUP($A$4:$A$30,'Anuid PF'!$A$5:$L$31,11,0)</f>
        <v>1242</v>
      </c>
      <c r="K11" s="240">
        <f t="shared" si="4"/>
        <v>1101</v>
      </c>
      <c r="L11" s="572">
        <f t="shared" si="5"/>
        <v>0.65319208252021188</v>
      </c>
      <c r="M11" s="239">
        <f t="shared" si="6"/>
        <v>-2.3087248322147644</v>
      </c>
      <c r="N11" s="239">
        <f t="shared" si="7"/>
        <v>-18.419220055710312</v>
      </c>
      <c r="O11" s="717">
        <f t="shared" si="8"/>
        <v>-13.107880770370951</v>
      </c>
      <c r="P11" s="232"/>
      <c r="Q11" s="244" t="str">
        <f t="shared" si="0"/>
        <v>MT</v>
      </c>
      <c r="R11" s="551">
        <f t="shared" si="1"/>
        <v>2343</v>
      </c>
      <c r="S11" s="572">
        <f t="shared" si="2"/>
        <v>0.65319208252021188</v>
      </c>
      <c r="T11" s="779"/>
      <c r="U11" s="68" t="str">
        <f t="shared" si="9"/>
        <v>MT</v>
      </c>
      <c r="V11" s="778">
        <f t="shared" si="10"/>
        <v>0.65319208252021188</v>
      </c>
      <c r="W11" s="321"/>
      <c r="X11" s="321"/>
      <c r="Y11" s="321"/>
      <c r="Z11" s="321"/>
      <c r="AA11" s="170"/>
      <c r="AB11" s="170"/>
    </row>
    <row r="12" spans="1:28" ht="16.5" thickBot="1">
      <c r="A12" s="244" t="s">
        <v>93</v>
      </c>
      <c r="B12" s="243">
        <f>VLOOKUP($A$4:$A$30,'Anuid PF'!$A$5:$E$31,2,0)</f>
        <v>5629</v>
      </c>
      <c r="C12" s="243">
        <f>VLOOKUP($A$4:$A$30,'Anuid PF'!$A$5:$E$31,3,0)</f>
        <v>5181</v>
      </c>
      <c r="D12" s="243">
        <f>VLOOKUP($A$4:$A$30,'Anuid PF'!$A$5:$E$31,4,0)</f>
        <v>4057</v>
      </c>
      <c r="E12" s="242">
        <f t="shared" si="3"/>
        <v>0.78305346458212699</v>
      </c>
      <c r="F12" s="241">
        <f>VLOOKUP($A$4:$A$30,'Anuid PF'!$A$5:$G$31,7,)</f>
        <v>5633</v>
      </c>
      <c r="G12" s="240">
        <f>VLOOKUP($A$4:$A$30,'Anuid PF'!$A$5:$H$31,8,)</f>
        <v>362</v>
      </c>
      <c r="H12" s="241">
        <f>VLOOKUP($A$4:$A$30,'Anuid PF'!$A$5:$I$31,9,)</f>
        <v>5271</v>
      </c>
      <c r="I12" s="241">
        <f>VLOOKUP($A$4:$A$30,'Anuid PF'!$A$5:$K$31,10,0)</f>
        <v>3429</v>
      </c>
      <c r="J12" s="241">
        <f>VLOOKUP($A$4:$A$30,'Anuid PF'!$A$5:$L$31,11,0)</f>
        <v>2180</v>
      </c>
      <c r="K12" s="240">
        <f t="shared" si="4"/>
        <v>1249</v>
      </c>
      <c r="L12" s="572">
        <f t="shared" si="5"/>
        <v>0.65054069436539552</v>
      </c>
      <c r="M12" s="239">
        <f t="shared" si="6"/>
        <v>7.1060579143718883E-2</v>
      </c>
      <c r="N12" s="239">
        <f t="shared" si="7"/>
        <v>-15.479418289376383</v>
      </c>
      <c r="O12" s="717">
        <f t="shared" si="8"/>
        <v>-13.251277021673147</v>
      </c>
      <c r="P12" s="232"/>
      <c r="Q12" s="244" t="str">
        <f t="shared" si="0"/>
        <v>PE</v>
      </c>
      <c r="R12" s="551">
        <f t="shared" si="1"/>
        <v>3429</v>
      </c>
      <c r="S12" s="572">
        <f t="shared" si="2"/>
        <v>0.65054069436539552</v>
      </c>
      <c r="T12" s="779"/>
      <c r="U12" s="68" t="str">
        <f t="shared" si="9"/>
        <v>PE</v>
      </c>
      <c r="V12" s="778">
        <f t="shared" si="10"/>
        <v>0.65054069436539552</v>
      </c>
      <c r="W12" s="321"/>
      <c r="X12" s="321"/>
      <c r="Y12" s="321"/>
      <c r="Z12" s="321"/>
      <c r="AA12" s="170"/>
      <c r="AB12" s="170"/>
    </row>
    <row r="13" spans="1:28" ht="16.5" thickBot="1">
      <c r="A13" s="244" t="s">
        <v>101</v>
      </c>
      <c r="B13" s="243">
        <f>VLOOKUP($A$4:$A$30,'Anuid PF'!$A$5:$E$31,2,0)</f>
        <v>67463</v>
      </c>
      <c r="C13" s="243">
        <f>VLOOKUP($A$4:$A$30,'Anuid PF'!$A$5:$E$31,3,0)</f>
        <v>63084</v>
      </c>
      <c r="D13" s="243">
        <f>VLOOKUP($A$4:$A$30,'Anuid PF'!$A$5:$E$31,4,0)</f>
        <v>46118</v>
      </c>
      <c r="E13" s="242">
        <f t="shared" si="3"/>
        <v>0.73105700336059853</v>
      </c>
      <c r="F13" s="241">
        <f>VLOOKUP($A$4:$A$30,'Anuid PF'!$A$5:$G$31,7,)</f>
        <v>66788</v>
      </c>
      <c r="G13" s="240">
        <f>VLOOKUP($A$4:$A$30,'Anuid PF'!$A$5:$H$31,8,)</f>
        <v>4159</v>
      </c>
      <c r="H13" s="241">
        <f>VLOOKUP($A$4:$A$30,'Anuid PF'!$A$5:$I$31,9,)</f>
        <v>62629</v>
      </c>
      <c r="I13" s="241">
        <f>VLOOKUP($A$4:$A$30,'Anuid PF'!$A$5:$K$31,10,0)</f>
        <v>40448</v>
      </c>
      <c r="J13" s="241">
        <f>VLOOKUP($A$4:$A$30,'Anuid PF'!$A$5:$L$31,11,0)</f>
        <v>25908</v>
      </c>
      <c r="K13" s="240">
        <f t="shared" si="4"/>
        <v>14540</v>
      </c>
      <c r="L13" s="572">
        <f t="shared" si="5"/>
        <v>0.64583499656708554</v>
      </c>
      <c r="M13" s="239">
        <f t="shared" si="6"/>
        <v>-1.0005484487793268</v>
      </c>
      <c r="N13" s="239">
        <f t="shared" si="7"/>
        <v>-12.294548766208422</v>
      </c>
      <c r="O13" s="717">
        <f t="shared" si="8"/>
        <v>-8.5222006793513003</v>
      </c>
      <c r="P13" s="232"/>
      <c r="Q13" s="244" t="str">
        <f t="shared" si="0"/>
        <v>SP</v>
      </c>
      <c r="R13" s="551">
        <f t="shared" si="1"/>
        <v>40448</v>
      </c>
      <c r="S13" s="572">
        <f t="shared" si="2"/>
        <v>0.64583499656708554</v>
      </c>
      <c r="T13" s="779"/>
      <c r="U13" s="68" t="str">
        <f t="shared" si="9"/>
        <v>SP</v>
      </c>
      <c r="V13" s="778">
        <f t="shared" si="10"/>
        <v>0.64583499656708554</v>
      </c>
      <c r="W13" s="321"/>
      <c r="X13" s="321"/>
      <c r="Y13" s="321"/>
      <c r="Z13" s="321"/>
      <c r="AA13" s="170"/>
      <c r="AB13" s="170"/>
    </row>
    <row r="14" spans="1:28" ht="16.5" thickBot="1">
      <c r="A14" s="244" t="s">
        <v>91</v>
      </c>
      <c r="B14" s="243">
        <f>VLOOKUP($A$4:$A$30,'Anuid PF'!$A$5:$E$31,2,0)</f>
        <v>3237</v>
      </c>
      <c r="C14" s="243">
        <f>VLOOKUP($A$4:$A$30,'Anuid PF'!$A$5:$E$31,3,0)</f>
        <v>3171</v>
      </c>
      <c r="D14" s="243">
        <f>VLOOKUP($A$4:$A$30,'Anuid PF'!$A$5:$E$31,4,0)</f>
        <v>2231</v>
      </c>
      <c r="E14" s="242">
        <f t="shared" si="3"/>
        <v>0.7035635446231473</v>
      </c>
      <c r="F14" s="241">
        <f>VLOOKUP($A$4:$A$30,'Anuid PF'!$A$5:$G$31,7,)</f>
        <v>3193</v>
      </c>
      <c r="G14" s="240">
        <f>VLOOKUP($A$4:$A$30,'Anuid PF'!$A$5:$H$31,8,)</f>
        <v>57</v>
      </c>
      <c r="H14" s="241">
        <f>VLOOKUP($A$4:$A$30,'Anuid PF'!$A$5:$I$31,9,)</f>
        <v>3136</v>
      </c>
      <c r="I14" s="241">
        <f>VLOOKUP($A$4:$A$30,'Anuid PF'!$A$5:$K$31,10,0)</f>
        <v>2009</v>
      </c>
      <c r="J14" s="241">
        <f>VLOOKUP($A$4:$A$30,'Anuid PF'!$A$5:$L$31,11,0)</f>
        <v>1231</v>
      </c>
      <c r="K14" s="240">
        <f t="shared" si="4"/>
        <v>778</v>
      </c>
      <c r="L14" s="572">
        <f t="shared" si="5"/>
        <v>0.640625</v>
      </c>
      <c r="M14" s="239">
        <f t="shared" si="6"/>
        <v>-1.3592832869941276</v>
      </c>
      <c r="N14" s="239">
        <f t="shared" si="7"/>
        <v>-9.9506947557149346</v>
      </c>
      <c r="O14" s="717">
        <f t="shared" si="8"/>
        <v>-6.2938544623147301</v>
      </c>
      <c r="P14" s="232"/>
      <c r="Q14" s="244" t="str">
        <f t="shared" si="0"/>
        <v>PB</v>
      </c>
      <c r="R14" s="551">
        <f t="shared" si="1"/>
        <v>2009</v>
      </c>
      <c r="S14" s="572">
        <f t="shared" si="2"/>
        <v>0.640625</v>
      </c>
      <c r="T14" s="779"/>
      <c r="U14" s="68" t="str">
        <f t="shared" si="9"/>
        <v>PB</v>
      </c>
      <c r="V14" s="778">
        <f t="shared" si="10"/>
        <v>0.640625</v>
      </c>
      <c r="W14" s="321"/>
      <c r="X14" s="321"/>
      <c r="Y14" s="321"/>
      <c r="Z14" s="321"/>
    </row>
    <row r="15" spans="1:28" ht="16.5" thickBot="1">
      <c r="A15" s="244" t="s">
        <v>85</v>
      </c>
      <c r="B15" s="243">
        <f>VLOOKUP($A$4:$A$30,'Anuid PF'!$A$5:$E$31,2,0)</f>
        <v>5373</v>
      </c>
      <c r="C15" s="243">
        <f>VLOOKUP($A$4:$A$30,'Anuid PF'!$A$5:$E$31,3,0)</f>
        <v>5137</v>
      </c>
      <c r="D15" s="243">
        <f>VLOOKUP($A$4:$A$30,'Anuid PF'!$A$5:$E$31,4,0)</f>
        <v>3697</v>
      </c>
      <c r="E15" s="242">
        <f t="shared" si="3"/>
        <v>0.71968074751800659</v>
      </c>
      <c r="F15" s="241">
        <f>VLOOKUP($A$4:$A$30,'Anuid PF'!$A$5:$G$31,7,)</f>
        <v>5405</v>
      </c>
      <c r="G15" s="240">
        <f>VLOOKUP($A$4:$A$30,'Anuid PF'!$A$5:$H$31,8,)</f>
        <v>194</v>
      </c>
      <c r="H15" s="241">
        <f>VLOOKUP($A$4:$A$30,'Anuid PF'!$A$5:$I$31,9,)</f>
        <v>5211</v>
      </c>
      <c r="I15" s="241">
        <f>VLOOKUP($A$4:$A$30,'Anuid PF'!$A$5:$K$31,10,0)</f>
        <v>3328</v>
      </c>
      <c r="J15" s="241">
        <f>VLOOKUP($A$4:$A$30,'Anuid PF'!$A$5:$L$31,11,0)</f>
        <v>2158</v>
      </c>
      <c r="K15" s="240">
        <f t="shared" si="4"/>
        <v>1170</v>
      </c>
      <c r="L15" s="572">
        <f t="shared" si="5"/>
        <v>0.63864901170600652</v>
      </c>
      <c r="M15" s="239">
        <f t="shared" si="6"/>
        <v>0.59557044481668697</v>
      </c>
      <c r="N15" s="239">
        <f t="shared" si="7"/>
        <v>-9.9810657289694262</v>
      </c>
      <c r="O15" s="717">
        <f t="shared" si="8"/>
        <v>-8.1031735812000072</v>
      </c>
      <c r="P15" s="232"/>
      <c r="Q15" s="244" t="str">
        <f t="shared" si="0"/>
        <v>GO</v>
      </c>
      <c r="R15" s="551">
        <f t="shared" si="1"/>
        <v>3328</v>
      </c>
      <c r="S15" s="572">
        <f t="shared" si="2"/>
        <v>0.63864901170600652</v>
      </c>
      <c r="T15" s="779"/>
      <c r="U15" s="68" t="str">
        <f t="shared" si="9"/>
        <v>GO</v>
      </c>
      <c r="V15" s="778">
        <f t="shared" si="10"/>
        <v>0.63864901170600652</v>
      </c>
      <c r="W15" s="321"/>
      <c r="X15" s="321"/>
      <c r="Y15" s="321"/>
      <c r="Z15" s="321"/>
    </row>
    <row r="16" spans="1:28" ht="16.5" thickBot="1">
      <c r="A16" s="244" t="s">
        <v>98</v>
      </c>
      <c r="B16" s="243">
        <f>VLOOKUP($A$4:$A$30,'Anuid PF'!$A$5:$E$31,2,0)</f>
        <v>1461.8</v>
      </c>
      <c r="C16" s="243">
        <f>VLOOKUP($A$4:$A$30,'Anuid PF'!$A$5:$E$31,3,0)</f>
        <v>1442.8</v>
      </c>
      <c r="D16" s="243">
        <f>VLOOKUP($A$4:$A$30,'Anuid PF'!$A$5:$E$31,4,0)</f>
        <v>1030</v>
      </c>
      <c r="E16" s="242">
        <f t="shared" si="3"/>
        <v>0.71388965899639589</v>
      </c>
      <c r="F16" s="241">
        <f>VLOOKUP($A$4:$A$30,'Anuid PF'!$A$5:$G$31,7,)</f>
        <v>1471</v>
      </c>
      <c r="G16" s="240">
        <f>VLOOKUP($A$4:$A$30,'Anuid PF'!$A$5:$H$31,8,)</f>
        <v>12</v>
      </c>
      <c r="H16" s="241">
        <f>VLOOKUP($A$4:$A$30,'Anuid PF'!$A$5:$I$31,9,)</f>
        <v>1459</v>
      </c>
      <c r="I16" s="241">
        <f>VLOOKUP($A$4:$A$30,'Anuid PF'!$A$5:$K$31,10,0)</f>
        <v>929</v>
      </c>
      <c r="J16" s="241">
        <f>VLOOKUP($A$4:$A$30,'Anuid PF'!$A$5:$L$31,11,0)</f>
        <v>522</v>
      </c>
      <c r="K16" s="240">
        <f t="shared" si="4"/>
        <v>407</v>
      </c>
      <c r="L16" s="572">
        <f t="shared" si="5"/>
        <v>0.63673749143248803</v>
      </c>
      <c r="M16" s="239">
        <f t="shared" si="6"/>
        <v>0.62936106170474204</v>
      </c>
      <c r="N16" s="239">
        <f t="shared" si="7"/>
        <v>-9.8058252427184414</v>
      </c>
      <c r="O16" s="717">
        <f t="shared" si="8"/>
        <v>-7.7152167563907863</v>
      </c>
      <c r="P16" s="232"/>
      <c r="Q16" s="244" t="str">
        <f t="shared" si="0"/>
        <v>RO</v>
      </c>
      <c r="R16" s="551">
        <f t="shared" si="1"/>
        <v>929</v>
      </c>
      <c r="S16" s="572">
        <f t="shared" si="2"/>
        <v>0.63673749143248803</v>
      </c>
      <c r="T16" s="779"/>
      <c r="U16" s="68" t="str">
        <f t="shared" si="9"/>
        <v>RO</v>
      </c>
      <c r="V16" s="778">
        <f t="shared" si="10"/>
        <v>0.63673749143248803</v>
      </c>
      <c r="W16" s="321"/>
      <c r="X16" s="321"/>
      <c r="Y16" s="321"/>
      <c r="Z16" s="321"/>
    </row>
    <row r="17" spans="1:26" ht="16.5" thickBot="1">
      <c r="A17" s="244" t="s">
        <v>95</v>
      </c>
      <c r="B17" s="243">
        <f>VLOOKUP($A$4:$A$30,'Anuid PF'!$A$5:$E$31,2,0)</f>
        <v>21569</v>
      </c>
      <c r="C17" s="243">
        <f>VLOOKUP($A$4:$A$30,'Anuid PF'!$A$5:$E$31,3,0)</f>
        <v>18065</v>
      </c>
      <c r="D17" s="243">
        <f>VLOOKUP($A$4:$A$30,'Anuid PF'!$A$5:$E$31,4,0)</f>
        <v>12989</v>
      </c>
      <c r="E17" s="242">
        <f t="shared" si="3"/>
        <v>0.71901466924993085</v>
      </c>
      <c r="F17" s="241">
        <f>VLOOKUP($A$4:$A$30,'Anuid PF'!$A$5:$G$31,7,)</f>
        <v>21441</v>
      </c>
      <c r="G17" s="240">
        <f>VLOOKUP($A$4:$A$30,'Anuid PF'!$A$5:$H$31,8,)</f>
        <v>3247</v>
      </c>
      <c r="H17" s="241">
        <f>VLOOKUP($A$4:$A$30,'Anuid PF'!$A$5:$I$31,9,)</f>
        <v>18194</v>
      </c>
      <c r="I17" s="241">
        <f>VLOOKUP($A$4:$A$30,'Anuid PF'!$A$5:$K$31,10,0)</f>
        <v>11518</v>
      </c>
      <c r="J17" s="241">
        <f>VLOOKUP($A$4:$A$30,'Anuid PF'!$A$5:$L$31,11,0)</f>
        <v>7775</v>
      </c>
      <c r="K17" s="240">
        <f t="shared" si="4"/>
        <v>3743</v>
      </c>
      <c r="L17" s="572">
        <f t="shared" si="5"/>
        <v>0.6330658458832582</v>
      </c>
      <c r="M17" s="239">
        <f t="shared" si="6"/>
        <v>-0.59344429505307517</v>
      </c>
      <c r="N17" s="239">
        <f t="shared" si="7"/>
        <v>-11.324967280006163</v>
      </c>
      <c r="O17" s="717">
        <f t="shared" si="8"/>
        <v>-8.5948823366672649</v>
      </c>
      <c r="P17" s="232"/>
      <c r="Q17" s="244" t="str">
        <f t="shared" si="0"/>
        <v>RJ</v>
      </c>
      <c r="R17" s="551">
        <f t="shared" si="1"/>
        <v>11518</v>
      </c>
      <c r="S17" s="572">
        <f t="shared" si="2"/>
        <v>0.6330658458832582</v>
      </c>
      <c r="T17" s="779"/>
      <c r="U17" s="68" t="str">
        <f t="shared" si="9"/>
        <v>RJ</v>
      </c>
      <c r="V17" s="778">
        <f t="shared" si="10"/>
        <v>0.6330658458832582</v>
      </c>
      <c r="W17" s="321"/>
      <c r="X17" s="321"/>
      <c r="Y17" s="321"/>
      <c r="Z17" s="321"/>
    </row>
    <row r="18" spans="1:26" ht="16.5" thickBot="1">
      <c r="A18" s="244" t="s">
        <v>81</v>
      </c>
      <c r="B18" s="243">
        <f>VLOOKUP($A$4:$A$30,'Anuid PF'!$A$5:$E$31,2,0)</f>
        <v>7436</v>
      </c>
      <c r="C18" s="243">
        <f>VLOOKUP($A$4:$A$30,'Anuid PF'!$A$5:$E$31,3,0)</f>
        <v>6633</v>
      </c>
      <c r="D18" s="243">
        <f>VLOOKUP($A$4:$A$30,'Anuid PF'!$A$5:$E$31,4,0)</f>
        <v>4840</v>
      </c>
      <c r="E18" s="242">
        <f t="shared" si="3"/>
        <v>0.72968490878938641</v>
      </c>
      <c r="F18" s="241">
        <f>VLOOKUP($A$4:$A$30,'Anuid PF'!$A$5:$G$31,7,)</f>
        <v>7444</v>
      </c>
      <c r="G18" s="240">
        <f>VLOOKUP($A$4:$A$30,'Anuid PF'!$A$5:$H$31,8,)</f>
        <v>754</v>
      </c>
      <c r="H18" s="241">
        <f>VLOOKUP($A$4:$A$30,'Anuid PF'!$A$5:$I$31,9,)</f>
        <v>6690</v>
      </c>
      <c r="I18" s="241">
        <f>VLOOKUP($A$4:$A$30,'Anuid PF'!$A$5:$K$31,10,0)</f>
        <v>4179</v>
      </c>
      <c r="J18" s="241">
        <f>VLOOKUP($A$4:$A$30,'Anuid PF'!$A$5:$L$31,11,0)</f>
        <v>2566</v>
      </c>
      <c r="K18" s="240">
        <f t="shared" si="4"/>
        <v>1613</v>
      </c>
      <c r="L18" s="572">
        <f t="shared" si="5"/>
        <v>0.62466367713004489</v>
      </c>
      <c r="M18" s="239">
        <f t="shared" si="6"/>
        <v>0.1075847229693494</v>
      </c>
      <c r="N18" s="239">
        <f t="shared" si="7"/>
        <v>-13.65702479338843</v>
      </c>
      <c r="O18" s="717">
        <f t="shared" si="8"/>
        <v>-10.502123165934151</v>
      </c>
      <c r="P18" s="232"/>
      <c r="Q18" s="244" t="str">
        <f t="shared" si="0"/>
        <v>BA</v>
      </c>
      <c r="R18" s="551">
        <f t="shared" si="1"/>
        <v>4179</v>
      </c>
      <c r="S18" s="572">
        <f t="shared" si="2"/>
        <v>0.62466367713004489</v>
      </c>
      <c r="T18" s="779"/>
      <c r="U18" s="68" t="str">
        <f t="shared" si="9"/>
        <v>BA</v>
      </c>
      <c r="V18" s="778">
        <f t="shared" si="10"/>
        <v>0.62466367713004489</v>
      </c>
      <c r="W18" s="321"/>
      <c r="X18" s="321"/>
      <c r="Y18" s="321"/>
      <c r="Z18" s="321"/>
    </row>
    <row r="19" spans="1:26" ht="16.5" thickBot="1">
      <c r="A19" s="244" t="s">
        <v>94</v>
      </c>
      <c r="B19" s="243">
        <f>VLOOKUP($A$4:$A$30,'Anuid PF'!$A$5:$E$31,2,0)</f>
        <v>1641</v>
      </c>
      <c r="C19" s="243">
        <f>VLOOKUP($A$4:$A$30,'Anuid PF'!$A$5:$E$31,3,0)</f>
        <v>1599</v>
      </c>
      <c r="D19" s="243">
        <f>VLOOKUP($A$4:$A$30,'Anuid PF'!$A$5:$E$31,4,0)</f>
        <v>1196</v>
      </c>
      <c r="E19" s="242">
        <f t="shared" si="3"/>
        <v>0.74796747967479671</v>
      </c>
      <c r="F19" s="241">
        <f>VLOOKUP($A$4:$A$30,'Anuid PF'!$A$5:$G$31,7,)</f>
        <v>1613</v>
      </c>
      <c r="G19" s="240">
        <f>VLOOKUP($A$4:$A$30,'Anuid PF'!$A$5:$H$31,8,)</f>
        <v>37</v>
      </c>
      <c r="H19" s="241">
        <f>VLOOKUP($A$4:$A$30,'Anuid PF'!$A$5:$I$31,9,)</f>
        <v>1576</v>
      </c>
      <c r="I19" s="241">
        <f>VLOOKUP($A$4:$A$30,'Anuid PF'!$A$5:$K$31,10,0)</f>
        <v>969</v>
      </c>
      <c r="J19" s="241">
        <f>VLOOKUP($A$4:$A$30,'Anuid PF'!$A$5:$L$31,11,0)</f>
        <v>640</v>
      </c>
      <c r="K19" s="240">
        <f t="shared" si="4"/>
        <v>329</v>
      </c>
      <c r="L19" s="572">
        <f t="shared" si="5"/>
        <v>0.61484771573604058</v>
      </c>
      <c r="M19" s="239">
        <f t="shared" si="6"/>
        <v>-1.7062766605728257</v>
      </c>
      <c r="N19" s="239">
        <f t="shared" si="7"/>
        <v>-18.979933110367895</v>
      </c>
      <c r="O19" s="717">
        <f t="shared" si="8"/>
        <v>-13.311976393875613</v>
      </c>
      <c r="P19" s="232"/>
      <c r="Q19" s="244" t="str">
        <f t="shared" si="0"/>
        <v>PI</v>
      </c>
      <c r="R19" s="551">
        <f t="shared" si="1"/>
        <v>969</v>
      </c>
      <c r="S19" s="572">
        <f t="shared" si="2"/>
        <v>0.61484771573604058</v>
      </c>
      <c r="T19" s="779"/>
      <c r="U19" s="68" t="str">
        <f t="shared" si="9"/>
        <v>PI</v>
      </c>
      <c r="V19" s="778">
        <f t="shared" si="10"/>
        <v>0.61484771573604058</v>
      </c>
      <c r="W19" s="321"/>
      <c r="X19" s="321"/>
      <c r="Y19" s="321"/>
      <c r="Z19" s="321"/>
    </row>
    <row r="20" spans="1:26" ht="16.5" thickBot="1">
      <c r="A20" s="244" t="s">
        <v>102</v>
      </c>
      <c r="B20" s="243">
        <f>VLOOKUP($A$4:$A$30,'Anuid PF'!$A$5:$E$31,2,0)</f>
        <v>1701</v>
      </c>
      <c r="C20" s="243">
        <f>VLOOKUP($A$4:$A$30,'Anuid PF'!$A$5:$E$31,3,0)</f>
        <v>1667</v>
      </c>
      <c r="D20" s="243">
        <f>VLOOKUP($A$4:$A$30,'Anuid PF'!$A$5:$E$31,4,0)</f>
        <v>1194</v>
      </c>
      <c r="E20" s="242">
        <f t="shared" si="3"/>
        <v>0.71625674865026989</v>
      </c>
      <c r="F20" s="241">
        <f>VLOOKUP($A$4:$A$30,'Anuid PF'!$A$5:$G$31,7,)</f>
        <v>1659</v>
      </c>
      <c r="G20" s="240">
        <f>VLOOKUP($A$4:$A$30,'Anuid PF'!$A$5:$H$31,8,)</f>
        <v>28</v>
      </c>
      <c r="H20" s="241">
        <f>VLOOKUP($A$4:$A$30,'Anuid PF'!$A$5:$I$31,9,)</f>
        <v>1631</v>
      </c>
      <c r="I20" s="241">
        <f>VLOOKUP($A$4:$A$30,'Anuid PF'!$A$5:$K$31,10,0)</f>
        <v>985</v>
      </c>
      <c r="J20" s="241">
        <f>VLOOKUP($A$4:$A$30,'Anuid PF'!$A$5:$L$31,11,0)</f>
        <v>641</v>
      </c>
      <c r="K20" s="240">
        <f t="shared" si="4"/>
        <v>344</v>
      </c>
      <c r="L20" s="572">
        <f t="shared" si="5"/>
        <v>0.60392397302268552</v>
      </c>
      <c r="M20" s="239">
        <f t="shared" si="6"/>
        <v>-2.4691358024691397</v>
      </c>
      <c r="N20" s="239">
        <f t="shared" si="7"/>
        <v>-17.504187604690117</v>
      </c>
      <c r="O20" s="717">
        <f t="shared" si="8"/>
        <v>-11.233277562758436</v>
      </c>
      <c r="P20" s="232"/>
      <c r="Q20" s="244" t="str">
        <f t="shared" si="0"/>
        <v>SE</v>
      </c>
      <c r="R20" s="551">
        <f t="shared" si="1"/>
        <v>985</v>
      </c>
      <c r="S20" s="572">
        <f t="shared" si="2"/>
        <v>0.60392397302268552</v>
      </c>
      <c r="T20" s="779"/>
      <c r="U20" s="68" t="str">
        <f t="shared" si="9"/>
        <v>SE</v>
      </c>
      <c r="V20" s="778">
        <f t="shared" si="10"/>
        <v>0.60392397302268552</v>
      </c>
      <c r="W20" s="321"/>
      <c r="X20" s="321"/>
      <c r="Y20" s="321"/>
      <c r="Z20" s="321"/>
    </row>
    <row r="21" spans="1:26" ht="16.5" thickBot="1">
      <c r="A21" s="244" t="s">
        <v>78</v>
      </c>
      <c r="B21" s="243">
        <f>VLOOKUP($A$4:$A$30,'Anuid PF'!$A$5:$E$31,2,0)</f>
        <v>2206</v>
      </c>
      <c r="C21" s="243">
        <f>VLOOKUP($A$4:$A$30,'Anuid PF'!$A$5:$E$31,3,0)</f>
        <v>2118</v>
      </c>
      <c r="D21" s="243">
        <f>VLOOKUP($A$4:$A$30,'Anuid PF'!$A$5:$E$31,4,0)</f>
        <v>1536</v>
      </c>
      <c r="E21" s="242">
        <f t="shared" si="3"/>
        <v>0.72521246458923516</v>
      </c>
      <c r="F21" s="241">
        <f>VLOOKUP($A$4:$A$30,'Anuid PF'!$A$5:$G$31,7,)</f>
        <v>2222</v>
      </c>
      <c r="G21" s="240">
        <f>VLOOKUP($A$4:$A$30,'Anuid PF'!$A$5:$H$31,8,)</f>
        <v>61</v>
      </c>
      <c r="H21" s="241">
        <f>VLOOKUP($A$4:$A$30,'Anuid PF'!$A$5:$I$31,9,)</f>
        <v>2161</v>
      </c>
      <c r="I21" s="241">
        <f>VLOOKUP($A$4:$A$30,'Anuid PF'!$A$5:$K$31,10,0)</f>
        <v>1301</v>
      </c>
      <c r="J21" s="241">
        <f>VLOOKUP($A$4:$A$30,'Anuid PF'!$A$5:$L$31,11,0)</f>
        <v>862</v>
      </c>
      <c r="K21" s="240">
        <f t="shared" si="4"/>
        <v>439</v>
      </c>
      <c r="L21" s="572">
        <f t="shared" si="5"/>
        <v>0.60203609440074035</v>
      </c>
      <c r="M21" s="239">
        <f t="shared" si="6"/>
        <v>0.72529465095195178</v>
      </c>
      <c r="N21" s="239">
        <f t="shared" si="7"/>
        <v>-15.299479166666657</v>
      </c>
      <c r="O21" s="717">
        <f t="shared" si="8"/>
        <v>-12.317637018849481</v>
      </c>
      <c r="P21" s="232"/>
      <c r="Q21" s="244" t="str">
        <f t="shared" si="0"/>
        <v>AL</v>
      </c>
      <c r="R21" s="551">
        <f t="shared" si="1"/>
        <v>1301</v>
      </c>
      <c r="S21" s="572">
        <f t="shared" si="2"/>
        <v>0.60203609440074035</v>
      </c>
      <c r="T21" s="779"/>
      <c r="U21" s="68" t="str">
        <f t="shared" si="9"/>
        <v>AL</v>
      </c>
      <c r="V21" s="778">
        <f t="shared" si="10"/>
        <v>0.60203609440074035</v>
      </c>
      <c r="W21" s="321"/>
      <c r="X21" s="321"/>
      <c r="Y21" s="321"/>
      <c r="Z21" s="321"/>
    </row>
    <row r="22" spans="1:26" ht="16.5" thickBot="1">
      <c r="A22" s="244" t="s">
        <v>103</v>
      </c>
      <c r="B22" s="243">
        <f>VLOOKUP($A$4:$A$30,'Anuid PF'!$A$5:$E$31,2,0)</f>
        <v>923</v>
      </c>
      <c r="C22" s="243">
        <f>VLOOKUP($A$4:$A$30,'Anuid PF'!$A$5:$E$31,3,0)</f>
        <v>904</v>
      </c>
      <c r="D22" s="243">
        <f>VLOOKUP($A$4:$A$30,'Anuid PF'!$A$5:$E$31,4,0)</f>
        <v>639</v>
      </c>
      <c r="E22" s="242">
        <f t="shared" si="3"/>
        <v>0.70685840707964598</v>
      </c>
      <c r="F22" s="241">
        <f>VLOOKUP($A$4:$A$30,'Anuid PF'!$A$5:$G$31,7,)</f>
        <v>933</v>
      </c>
      <c r="G22" s="240">
        <f>VLOOKUP($A$4:$A$30,'Anuid PF'!$A$5:$H$31,8,)</f>
        <v>15</v>
      </c>
      <c r="H22" s="241">
        <f>VLOOKUP($A$4:$A$30,'Anuid PF'!$A$5:$I$31,9,)</f>
        <v>918</v>
      </c>
      <c r="I22" s="241">
        <f>VLOOKUP($A$4:$A$30,'Anuid PF'!$A$5:$K$31,10,0)</f>
        <v>551</v>
      </c>
      <c r="J22" s="241">
        <f>VLOOKUP($A$4:$A$30,'Anuid PF'!$A$5:$L$31,11,0)</f>
        <v>324</v>
      </c>
      <c r="K22" s="240">
        <f t="shared" si="4"/>
        <v>227</v>
      </c>
      <c r="L22" s="572">
        <f t="shared" si="5"/>
        <v>0.60021786492374729</v>
      </c>
      <c r="M22" s="239">
        <f t="shared" si="6"/>
        <v>1.083423618634896</v>
      </c>
      <c r="N22" s="239">
        <f t="shared" si="7"/>
        <v>-13.771517996870102</v>
      </c>
      <c r="O22" s="717">
        <f t="shared" si="8"/>
        <v>-10.664054215589868</v>
      </c>
      <c r="P22" s="232"/>
      <c r="Q22" s="244" t="str">
        <f t="shared" si="0"/>
        <v>TO</v>
      </c>
      <c r="R22" s="551">
        <f t="shared" si="1"/>
        <v>551</v>
      </c>
      <c r="S22" s="572">
        <f t="shared" si="2"/>
        <v>0.60021786492374729</v>
      </c>
      <c r="T22" s="779"/>
      <c r="U22" s="68" t="str">
        <f t="shared" si="9"/>
        <v>TO</v>
      </c>
      <c r="V22" s="778">
        <f t="shared" si="10"/>
        <v>0.60021786492374729</v>
      </c>
      <c r="W22" s="321"/>
      <c r="X22" s="321"/>
      <c r="Y22" s="321"/>
      <c r="Z22" s="321"/>
    </row>
    <row r="23" spans="1:26" ht="16.5" thickBot="1">
      <c r="A23" s="244" t="s">
        <v>96</v>
      </c>
      <c r="B23" s="243">
        <f>VLOOKUP($A$4:$A$30,'Anuid PF'!$A$5:$E$31,2,0)</f>
        <v>2803</v>
      </c>
      <c r="C23" s="243">
        <f>VLOOKUP($A$4:$A$30,'Anuid PF'!$A$5:$E$31,3,0)</f>
        <v>2723</v>
      </c>
      <c r="D23" s="243">
        <f>VLOOKUP($A$4:$A$30,'Anuid PF'!$A$5:$E$31,4,0)</f>
        <v>1878</v>
      </c>
      <c r="E23" s="242">
        <f t="shared" si="3"/>
        <v>0.68968049944913701</v>
      </c>
      <c r="F23" s="241">
        <f>VLOOKUP($A$4:$A$30,'Anuid PF'!$A$5:$G$31,7,)</f>
        <v>2789</v>
      </c>
      <c r="G23" s="240">
        <f>VLOOKUP($A$4:$A$30,'Anuid PF'!$A$5:$H$31,8,)</f>
        <v>61</v>
      </c>
      <c r="H23" s="241">
        <f>VLOOKUP($A$4:$A$30,'Anuid PF'!$A$5:$I$31,9,)</f>
        <v>2728</v>
      </c>
      <c r="I23" s="241">
        <f>VLOOKUP($A$4:$A$30,'Anuid PF'!$A$5:$K$31,10,0)</f>
        <v>1592</v>
      </c>
      <c r="J23" s="241">
        <f>VLOOKUP($A$4:$A$30,'Anuid PF'!$A$5:$L$31,11,0)</f>
        <v>989</v>
      </c>
      <c r="K23" s="240">
        <f t="shared" si="4"/>
        <v>603</v>
      </c>
      <c r="L23" s="572">
        <f t="shared" si="5"/>
        <v>0.58357771260997071</v>
      </c>
      <c r="M23" s="239">
        <f t="shared" si="6"/>
        <v>-0.49946485907955207</v>
      </c>
      <c r="N23" s="239">
        <f t="shared" si="7"/>
        <v>-15.228966986155484</v>
      </c>
      <c r="O23" s="717">
        <f t="shared" si="8"/>
        <v>-10.610278683916629</v>
      </c>
      <c r="P23" s="232"/>
      <c r="Q23" s="244" t="str">
        <f t="shared" si="0"/>
        <v>RN</v>
      </c>
      <c r="R23" s="551">
        <f t="shared" si="1"/>
        <v>1592</v>
      </c>
      <c r="S23" s="572">
        <f t="shared" si="2"/>
        <v>0.58357771260997071</v>
      </c>
      <c r="T23" s="779"/>
      <c r="U23" s="68" t="str">
        <f t="shared" si="9"/>
        <v>RN</v>
      </c>
      <c r="V23" s="778">
        <f t="shared" si="10"/>
        <v>0.58357771260997071</v>
      </c>
      <c r="W23" s="321"/>
      <c r="X23" s="321"/>
      <c r="Y23" s="321"/>
      <c r="Z23" s="321"/>
    </row>
    <row r="24" spans="1:26" ht="16.5" thickBot="1">
      <c r="A24" s="244" t="s">
        <v>99</v>
      </c>
      <c r="B24" s="243">
        <f>VLOOKUP($A$4:$A$30,'Anuid PF'!$A$5:$E$31,2,0)</f>
        <v>255</v>
      </c>
      <c r="C24" s="243">
        <f>VLOOKUP($A$4:$A$30,'Anuid PF'!$A$5:$E$31,3,0)</f>
        <v>246</v>
      </c>
      <c r="D24" s="243">
        <f>VLOOKUP($A$4:$A$30,'Anuid PF'!$A$5:$E$31,4,0)</f>
        <v>166</v>
      </c>
      <c r="E24" s="242">
        <f t="shared" si="3"/>
        <v>0.67479674796747968</v>
      </c>
      <c r="F24" s="241">
        <f>VLOOKUP($A$4:$A$30,'Anuid PF'!$A$5:$G$31,7,)</f>
        <v>253</v>
      </c>
      <c r="G24" s="240">
        <f>VLOOKUP($A$4:$A$30,'Anuid PF'!$A$5:$H$31,8,)</f>
        <v>8</v>
      </c>
      <c r="H24" s="241">
        <f>VLOOKUP($A$4:$A$30,'Anuid PF'!$A$5:$I$31,9,)</f>
        <v>245</v>
      </c>
      <c r="I24" s="241">
        <f>VLOOKUP($A$4:$A$30,'Anuid PF'!$A$5:$K$31,10,0)</f>
        <v>134</v>
      </c>
      <c r="J24" s="241">
        <f>VLOOKUP($A$4:$A$30,'Anuid PF'!$A$5:$L$31,11,0)</f>
        <v>73</v>
      </c>
      <c r="K24" s="240">
        <f t="shared" si="4"/>
        <v>61</v>
      </c>
      <c r="L24" s="572">
        <f t="shared" si="5"/>
        <v>0.54693877551020409</v>
      </c>
      <c r="M24" s="239">
        <f t="shared" si="6"/>
        <v>-0.78431372549019329</v>
      </c>
      <c r="N24" s="239">
        <f t="shared" si="7"/>
        <v>-19.277108433734938</v>
      </c>
      <c r="O24" s="717">
        <f t="shared" si="8"/>
        <v>-12.78579724572756</v>
      </c>
      <c r="P24" s="232"/>
      <c r="Q24" s="244" t="str">
        <f t="shared" si="0"/>
        <v>RR</v>
      </c>
      <c r="R24" s="551">
        <f t="shared" si="1"/>
        <v>134</v>
      </c>
      <c r="S24" s="572">
        <f t="shared" si="2"/>
        <v>0.54693877551020409</v>
      </c>
      <c r="T24" s="779"/>
      <c r="U24" s="68" t="str">
        <f t="shared" si="9"/>
        <v>RR</v>
      </c>
      <c r="V24" s="778">
        <f t="shared" si="10"/>
        <v>0.54693877551020409</v>
      </c>
      <c r="W24" s="321"/>
      <c r="X24" s="321"/>
      <c r="Y24" s="321"/>
      <c r="Z24" s="321"/>
    </row>
    <row r="25" spans="1:26" ht="16.5" thickBot="1">
      <c r="A25" s="244" t="s">
        <v>77</v>
      </c>
      <c r="B25" s="243">
        <f>VLOOKUP($A$4:$A$30,'Anuid PF'!$A$5:$E$31,2,0)</f>
        <v>720</v>
      </c>
      <c r="C25" s="243">
        <f>VLOOKUP($A$4:$A$30,'Anuid PF'!$A$5:$E$31,3,0)</f>
        <v>709</v>
      </c>
      <c r="D25" s="243">
        <f>VLOOKUP($A$4:$A$30,'Anuid PF'!$A$5:$E$31,4,0)</f>
        <v>481</v>
      </c>
      <c r="E25" s="242">
        <f t="shared" si="3"/>
        <v>0.67842031029619176</v>
      </c>
      <c r="F25" s="241">
        <f>VLOOKUP($A$4:$A$30,'Anuid PF'!$A$5:$G$31,7,)</f>
        <v>739</v>
      </c>
      <c r="G25" s="240">
        <f>VLOOKUP($A$4:$A$30,'Anuid PF'!$A$5:$H$31,8,)</f>
        <v>7</v>
      </c>
      <c r="H25" s="241">
        <f>VLOOKUP($A$4:$A$30,'Anuid PF'!$A$5:$I$31,9,)</f>
        <v>732</v>
      </c>
      <c r="I25" s="241">
        <f>VLOOKUP($A$4:$A$30,'Anuid PF'!$A$5:$K$31,10,0)</f>
        <v>398</v>
      </c>
      <c r="J25" s="241">
        <f>VLOOKUP($A$4:$A$30,'Anuid PF'!$A$5:$L$31,11,0)</f>
        <v>214</v>
      </c>
      <c r="K25" s="240">
        <f t="shared" si="4"/>
        <v>184</v>
      </c>
      <c r="L25" s="572">
        <f t="shared" si="5"/>
        <v>0.54371584699453557</v>
      </c>
      <c r="M25" s="239">
        <f t="shared" si="6"/>
        <v>2.6388888888888857</v>
      </c>
      <c r="N25" s="239">
        <f t="shared" si="7"/>
        <v>-17.255717255717258</v>
      </c>
      <c r="O25" s="717">
        <f t="shared" si="8"/>
        <v>-13.47044633016562</v>
      </c>
      <c r="P25" s="232"/>
      <c r="Q25" s="244" t="str">
        <f t="shared" si="0"/>
        <v>AC</v>
      </c>
      <c r="R25" s="551">
        <f t="shared" si="1"/>
        <v>398</v>
      </c>
      <c r="S25" s="572">
        <f t="shared" si="2"/>
        <v>0.54371584699453557</v>
      </c>
      <c r="T25" s="779"/>
      <c r="U25" s="68" t="str">
        <f t="shared" si="9"/>
        <v>AC</v>
      </c>
      <c r="V25" s="778">
        <f t="shared" si="10"/>
        <v>0.54371584699453557</v>
      </c>
      <c r="W25" s="321"/>
      <c r="X25" s="321"/>
      <c r="Y25" s="321"/>
      <c r="Z25" s="321"/>
    </row>
    <row r="26" spans="1:26" ht="16.5" thickBot="1">
      <c r="A26" s="244" t="s">
        <v>88</v>
      </c>
      <c r="B26" s="243">
        <f>VLOOKUP($A$4:$A$30,'Anuid PF'!$A$5:$E$31,2,0)</f>
        <v>3778</v>
      </c>
      <c r="C26" s="243">
        <f>VLOOKUP($A$4:$A$30,'Anuid PF'!$A$5:$E$31,3,0)</f>
        <v>3683</v>
      </c>
      <c r="D26" s="243">
        <f>VLOOKUP($A$4:$A$30,'Anuid PF'!$A$5:$E$31,4,0)</f>
        <v>2351</v>
      </c>
      <c r="E26" s="242">
        <f t="shared" si="3"/>
        <v>0.63833831115938089</v>
      </c>
      <c r="F26" s="241">
        <f>VLOOKUP($A$4:$A$30,'Anuid PF'!$A$5:$G$31,7,)</f>
        <v>3640</v>
      </c>
      <c r="G26" s="240">
        <f>VLOOKUP($A$4:$A$30,'Anuid PF'!$A$5:$H$31,8,)</f>
        <v>69</v>
      </c>
      <c r="H26" s="241">
        <f>VLOOKUP($A$4:$A$30,'Anuid PF'!$A$5:$I$31,9,)</f>
        <v>3571</v>
      </c>
      <c r="I26" s="241">
        <f>VLOOKUP($A$4:$A$30,'Anuid PF'!$A$5:$K$31,10,0)</f>
        <v>1913</v>
      </c>
      <c r="J26" s="241">
        <f>VLOOKUP($A$4:$A$30,'Anuid PF'!$A$5:$L$31,11,0)</f>
        <v>1113</v>
      </c>
      <c r="K26" s="240">
        <f t="shared" si="4"/>
        <v>800</v>
      </c>
      <c r="L26" s="572">
        <f t="shared" si="5"/>
        <v>0.53570428451414165</v>
      </c>
      <c r="M26" s="239">
        <f t="shared" si="6"/>
        <v>-3.652726310217048</v>
      </c>
      <c r="N26" s="239">
        <f t="shared" si="7"/>
        <v>-18.630370055295614</v>
      </c>
      <c r="O26" s="717">
        <f t="shared" si="8"/>
        <v>-10.263402664523923</v>
      </c>
      <c r="P26" s="232"/>
      <c r="Q26" s="244" t="str">
        <f t="shared" si="0"/>
        <v>MS</v>
      </c>
      <c r="R26" s="551">
        <f t="shared" si="1"/>
        <v>1913</v>
      </c>
      <c r="S26" s="572">
        <f t="shared" si="2"/>
        <v>0.53570428451414165</v>
      </c>
      <c r="T26" s="779"/>
      <c r="U26" s="68" t="str">
        <f t="shared" si="9"/>
        <v>MS</v>
      </c>
      <c r="V26" s="778">
        <f t="shared" si="10"/>
        <v>0.53570428451414165</v>
      </c>
      <c r="W26" s="321"/>
      <c r="X26" s="321"/>
      <c r="Y26" s="321"/>
      <c r="Z26" s="321"/>
    </row>
    <row r="27" spans="1:26" ht="16.5" thickBot="1">
      <c r="A27" s="244" t="s">
        <v>86</v>
      </c>
      <c r="B27" s="243">
        <f>VLOOKUP($A$4:$A$30,'Anuid PF'!$A$5:$E$31,2,0)</f>
        <v>2191</v>
      </c>
      <c r="C27" s="243">
        <f>VLOOKUP($A$4:$A$30,'Anuid PF'!$A$5:$E$31,3,0)</f>
        <v>2163</v>
      </c>
      <c r="D27" s="243">
        <f>VLOOKUP($A$4:$A$30,'Anuid PF'!$A$5:$E$31,4,0)</f>
        <v>1388</v>
      </c>
      <c r="E27" s="242">
        <f t="shared" si="3"/>
        <v>0.64170134073046692</v>
      </c>
      <c r="F27" s="241">
        <f>VLOOKUP($A$4:$A$30,'Anuid PF'!$A$5:$G$31,7,)</f>
        <v>2252</v>
      </c>
      <c r="G27" s="240">
        <f>VLOOKUP($A$4:$A$30,'Anuid PF'!$A$5:$H$31,8,)</f>
        <v>25</v>
      </c>
      <c r="H27" s="241">
        <f>VLOOKUP($A$4:$A$30,'Anuid PF'!$A$5:$I$31,9,)</f>
        <v>2227</v>
      </c>
      <c r="I27" s="241">
        <f>VLOOKUP($A$4:$A$30,'Anuid PF'!$A$5:$K$31,10,0)</f>
        <v>1145</v>
      </c>
      <c r="J27" s="241">
        <f>VLOOKUP($A$4:$A$30,'Anuid PF'!$A$5:$L$31,11,0)</f>
        <v>676</v>
      </c>
      <c r="K27" s="240">
        <f t="shared" si="4"/>
        <v>469</v>
      </c>
      <c r="L27" s="572">
        <f t="shared" si="5"/>
        <v>0.51414458913336325</v>
      </c>
      <c r="M27" s="239">
        <f t="shared" si="6"/>
        <v>2.7841168416248223</v>
      </c>
      <c r="N27" s="239">
        <f t="shared" si="7"/>
        <v>-17.507204610951007</v>
      </c>
      <c r="O27" s="717">
        <f t="shared" si="8"/>
        <v>-12.755675159710368</v>
      </c>
      <c r="P27" s="245"/>
      <c r="Q27" s="244" t="str">
        <f t="shared" si="0"/>
        <v>MA</v>
      </c>
      <c r="R27" s="551">
        <f t="shared" si="1"/>
        <v>1145</v>
      </c>
      <c r="S27" s="572">
        <f t="shared" si="2"/>
        <v>0.51414458913336325</v>
      </c>
      <c r="T27" s="779"/>
      <c r="U27" s="68" t="str">
        <f t="shared" si="9"/>
        <v>MA</v>
      </c>
      <c r="V27" s="778">
        <f t="shared" si="10"/>
        <v>0.51414458913336325</v>
      </c>
      <c r="W27" s="321"/>
      <c r="X27" s="321"/>
      <c r="Y27" s="321"/>
      <c r="Z27" s="321"/>
    </row>
    <row r="28" spans="1:26" ht="16.5" thickBot="1">
      <c r="A28" s="244" t="s">
        <v>90</v>
      </c>
      <c r="B28" s="243">
        <f>VLOOKUP($A$4:$A$30,'Anuid PF'!$A$5:$E$31,2,0)</f>
        <v>3253</v>
      </c>
      <c r="C28" s="243">
        <f>VLOOKUP($A$4:$A$30,'Anuid PF'!$A$5:$E$31,3,0)</f>
        <v>3086</v>
      </c>
      <c r="D28" s="243">
        <f>VLOOKUP($A$4:$A$30,'Anuid PF'!$A$5:$E$31,4,0)</f>
        <v>1852</v>
      </c>
      <c r="E28" s="242">
        <f t="shared" si="3"/>
        <v>0.60012961762799744</v>
      </c>
      <c r="F28" s="241">
        <f>VLOOKUP($A$4:$A$30,'Anuid PF'!$A$5:$G$31,7,)</f>
        <v>3301</v>
      </c>
      <c r="G28" s="240">
        <f>VLOOKUP($A$4:$A$30,'Anuid PF'!$A$5:$H$31,8,)</f>
        <v>134</v>
      </c>
      <c r="H28" s="241">
        <f>VLOOKUP($A$4:$A$30,'Anuid PF'!$A$5:$I$31,9,)</f>
        <v>3167</v>
      </c>
      <c r="I28" s="241">
        <f>VLOOKUP($A$4:$A$30,'Anuid PF'!$A$5:$K$31,10,0)</f>
        <v>1577</v>
      </c>
      <c r="J28" s="241">
        <f>VLOOKUP($A$4:$A$30,'Anuid PF'!$A$5:$L$31,11,0)</f>
        <v>884</v>
      </c>
      <c r="K28" s="240">
        <f t="shared" si="4"/>
        <v>693</v>
      </c>
      <c r="L28" s="572">
        <f t="shared" si="5"/>
        <v>0.4979475844647932</v>
      </c>
      <c r="M28" s="239">
        <f t="shared" si="6"/>
        <v>1.4755610205963876</v>
      </c>
      <c r="N28" s="239">
        <f t="shared" si="7"/>
        <v>-14.8488120950324</v>
      </c>
      <c r="O28" s="717">
        <f t="shared" si="8"/>
        <v>-10.218203316320423</v>
      </c>
      <c r="P28" s="232"/>
      <c r="Q28" s="244" t="str">
        <f t="shared" si="0"/>
        <v>PA</v>
      </c>
      <c r="R28" s="551">
        <f t="shared" si="1"/>
        <v>1577</v>
      </c>
      <c r="S28" s="572">
        <f t="shared" si="2"/>
        <v>0.4979475844647932</v>
      </c>
      <c r="T28" s="779"/>
      <c r="U28" s="68" t="str">
        <f t="shared" si="9"/>
        <v>PA</v>
      </c>
      <c r="V28" s="778">
        <f t="shared" si="10"/>
        <v>0.4979475844647932</v>
      </c>
      <c r="W28" s="321"/>
      <c r="X28" s="321"/>
      <c r="Y28" s="321"/>
      <c r="Z28" s="321"/>
    </row>
    <row r="29" spans="1:26" ht="16.5" thickBot="1">
      <c r="A29" s="244" t="s">
        <v>79</v>
      </c>
      <c r="B29" s="243">
        <f>VLOOKUP($A$4:$A$30,'Anuid PF'!$A$5:$E$31,2,0)</f>
        <v>883</v>
      </c>
      <c r="C29" s="243">
        <f>VLOOKUP($A$4:$A$30,'Anuid PF'!$A$5:$E$31,3,0)</f>
        <v>877</v>
      </c>
      <c r="D29" s="243">
        <f>VLOOKUP($A$4:$A$30,'Anuid PF'!$A$5:$E$31,4,0)</f>
        <v>518</v>
      </c>
      <c r="E29" s="242">
        <f t="shared" si="3"/>
        <v>0.59064994298745721</v>
      </c>
      <c r="F29" s="241">
        <f>VLOOKUP($A$4:$A$30,'Anuid PF'!$A$5:$G$31,7,)</f>
        <v>886</v>
      </c>
      <c r="G29" s="240">
        <f>VLOOKUP($A$4:$A$30,'Anuid PF'!$A$5:$H$31,8,)</f>
        <v>5</v>
      </c>
      <c r="H29" s="241">
        <f>VLOOKUP($A$4:$A$30,'Anuid PF'!$A$5:$I$31,9,)</f>
        <v>881</v>
      </c>
      <c r="I29" s="241">
        <f>VLOOKUP($A$4:$A$30,'Anuid PF'!$A$5:$K$31,10,0)</f>
        <v>417</v>
      </c>
      <c r="J29" s="241">
        <f>VLOOKUP($A$4:$A$30,'Anuid PF'!$A$5:$L$31,11,0)</f>
        <v>233</v>
      </c>
      <c r="K29" s="240">
        <f t="shared" si="4"/>
        <v>184</v>
      </c>
      <c r="L29" s="572">
        <f t="shared" si="5"/>
        <v>0.47332576617480138</v>
      </c>
      <c r="M29" s="239">
        <f t="shared" si="6"/>
        <v>0.33975084937711131</v>
      </c>
      <c r="N29" s="239">
        <f t="shared" si="7"/>
        <v>-19.498069498069498</v>
      </c>
      <c r="O29" s="717">
        <f t="shared" si="8"/>
        <v>-11.732417681265584</v>
      </c>
      <c r="P29" s="232"/>
      <c r="Q29" s="244" t="str">
        <f t="shared" si="0"/>
        <v>AP</v>
      </c>
      <c r="R29" s="551">
        <f t="shared" si="1"/>
        <v>417</v>
      </c>
      <c r="S29" s="572">
        <f t="shared" si="2"/>
        <v>0.47332576617480138</v>
      </c>
      <c r="T29" s="779"/>
      <c r="U29" s="68" t="str">
        <f t="shared" si="9"/>
        <v>AP</v>
      </c>
      <c r="V29" s="778">
        <f t="shared" si="10"/>
        <v>0.47332576617480138</v>
      </c>
      <c r="W29" s="321"/>
      <c r="X29" s="321"/>
      <c r="Y29" s="321"/>
      <c r="Z29" s="321"/>
    </row>
    <row r="30" spans="1:26" ht="16.5" thickBot="1">
      <c r="A30" s="244" t="s">
        <v>80</v>
      </c>
      <c r="B30" s="243">
        <f>VLOOKUP($A$4:$A$30,'Anuid PF'!$A$5:$E$31,2,0)</f>
        <v>2347</v>
      </c>
      <c r="C30" s="243">
        <f>VLOOKUP($A$4:$A$30,'Anuid PF'!$A$5:$E$31,3,0)</f>
        <v>2329</v>
      </c>
      <c r="D30" s="243">
        <f>VLOOKUP($A$4:$A$30,'Anuid PF'!$A$5:$E$31,4,0)</f>
        <v>1473</v>
      </c>
      <c r="E30" s="242">
        <f t="shared" si="3"/>
        <v>0.63246028338342641</v>
      </c>
      <c r="F30" s="241">
        <f>VLOOKUP($A$4:$A$30,'Anuid PF'!$A$5:$G$31,7,)</f>
        <v>2353</v>
      </c>
      <c r="G30" s="240">
        <f>VLOOKUP($A$4:$A$30,'Anuid PF'!$A$5:$H$31,8,)</f>
        <v>15</v>
      </c>
      <c r="H30" s="241">
        <f>VLOOKUP($A$4:$A$30,'Anuid PF'!$A$5:$I$31,9,)</f>
        <v>2338</v>
      </c>
      <c r="I30" s="241">
        <f>VLOOKUP($A$4:$A$30,'Anuid PF'!$A$5:$K$31,10,0)</f>
        <v>1099</v>
      </c>
      <c r="J30" s="241">
        <f>VLOOKUP($A$4:$A$30,'Anuid PF'!$A$5:$L$31,11,0)</f>
        <v>605</v>
      </c>
      <c r="K30" s="240">
        <f t="shared" si="4"/>
        <v>494</v>
      </c>
      <c r="L30" s="572">
        <f t="shared" si="5"/>
        <v>0.47005988023952094</v>
      </c>
      <c r="M30" s="239">
        <f t="shared" si="6"/>
        <v>0.25564550489987425</v>
      </c>
      <c r="N30" s="239">
        <f t="shared" si="7"/>
        <v>-25.390359809911743</v>
      </c>
      <c r="O30" s="717">
        <f t="shared" si="8"/>
        <v>-16.240040314390548</v>
      </c>
      <c r="P30" s="232"/>
      <c r="Q30" s="244" t="str">
        <f t="shared" si="0"/>
        <v>AM</v>
      </c>
      <c r="R30" s="551">
        <f t="shared" si="1"/>
        <v>1099</v>
      </c>
      <c r="S30" s="572">
        <f t="shared" si="2"/>
        <v>0.47005988023952094</v>
      </c>
      <c r="T30" s="779"/>
      <c r="U30" s="68" t="str">
        <f t="shared" si="9"/>
        <v>AM</v>
      </c>
      <c r="V30" s="778">
        <f t="shared" si="10"/>
        <v>0.47005988023952094</v>
      </c>
      <c r="W30" s="321"/>
      <c r="X30" s="321"/>
      <c r="Y30" s="321"/>
      <c r="Z30" s="321"/>
    </row>
    <row r="31" spans="1:26" ht="16.5" thickBot="1">
      <c r="A31" s="315" t="s">
        <v>118</v>
      </c>
      <c r="B31" s="314">
        <f>SUM(B4:B30)</f>
        <v>217280.8</v>
      </c>
      <c r="C31" s="314">
        <f>SUM(C4:C30)</f>
        <v>203796.8</v>
      </c>
      <c r="D31" s="314">
        <f>SUM(D4:D30)</f>
        <v>150195</v>
      </c>
      <c r="E31" s="237">
        <f t="shared" ref="E31" si="11">D31/C31</f>
        <v>0.73698409396025855</v>
      </c>
      <c r="F31" s="236">
        <f t="shared" ref="F31:K31" si="12">SUM(F4:F30)</f>
        <v>215705</v>
      </c>
      <c r="G31" s="236">
        <f t="shared" si="12"/>
        <v>12071</v>
      </c>
      <c r="H31" s="236">
        <f t="shared" si="12"/>
        <v>203634</v>
      </c>
      <c r="I31" s="236">
        <f t="shared" si="12"/>
        <v>132630</v>
      </c>
      <c r="J31" s="236">
        <f t="shared" si="12"/>
        <v>83538</v>
      </c>
      <c r="K31" s="236">
        <f t="shared" si="12"/>
        <v>49092</v>
      </c>
      <c r="L31" s="573">
        <f t="shared" ref="L31" si="13">I31/H31</f>
        <v>0.65131559562744923</v>
      </c>
      <c r="M31" s="235">
        <f t="shared" ref="M31" si="14">F31/B31*100-100</f>
        <v>-0.72523665229509504</v>
      </c>
      <c r="N31" s="235">
        <f t="shared" ref="N31" si="15">I31/D31*100-100</f>
        <v>-11.694796764206529</v>
      </c>
      <c r="O31" s="718">
        <f t="shared" ref="O31" si="16">(L31-E31)*100</f>
        <v>-8.5668498332809317</v>
      </c>
      <c r="P31" s="232"/>
      <c r="Q31" s="238" t="s">
        <v>118</v>
      </c>
      <c r="R31" s="236">
        <f t="shared" si="1"/>
        <v>132630</v>
      </c>
      <c r="S31" s="573">
        <f t="shared" ref="S31" si="17">L31</f>
        <v>0.65131559562744923</v>
      </c>
    </row>
    <row r="32" spans="1:26" ht="15.75">
      <c r="A32" s="953" t="s">
        <v>394</v>
      </c>
      <c r="B32" s="954"/>
      <c r="C32" s="955"/>
      <c r="D32" s="463">
        <f>L31</f>
        <v>0.65131559562744923</v>
      </c>
      <c r="E32" s="312"/>
      <c r="F32" s="312"/>
      <c r="G32" s="312"/>
      <c r="H32" s="233"/>
      <c r="I32" s="233"/>
      <c r="J32" s="234"/>
      <c r="K32" s="233"/>
      <c r="L32" s="233"/>
      <c r="M32" s="233"/>
      <c r="N32" s="233"/>
      <c r="O32" s="233"/>
      <c r="R32" s="68" t="b">
        <f>R31='Anuid PF'!J34</f>
        <v>1</v>
      </c>
    </row>
    <row r="33" spans="1:15" ht="16.5" thickBot="1">
      <c r="A33" s="956" t="s">
        <v>393</v>
      </c>
      <c r="B33" s="957"/>
      <c r="C33" s="957"/>
      <c r="D33" s="340">
        <f>L31</f>
        <v>0.65131559562744923</v>
      </c>
      <c r="E33" s="317"/>
      <c r="F33" s="316"/>
      <c r="G33" s="313"/>
      <c r="H33" s="233"/>
      <c r="I33" s="233"/>
      <c r="J33" s="233"/>
      <c r="K33" s="233"/>
      <c r="L33" s="233"/>
      <c r="M33" s="233"/>
      <c r="N33" s="233"/>
      <c r="O33" s="233"/>
    </row>
    <row r="34" spans="1:15">
      <c r="B34" s="232">
        <f>'Anuid PF'!B34</f>
        <v>217280.8</v>
      </c>
      <c r="C34" s="232">
        <f>'Anuid PF'!C34</f>
        <v>203796.8</v>
      </c>
      <c r="D34" s="232">
        <f>'Anuid PF'!D34</f>
        <v>150195</v>
      </c>
      <c r="F34" s="232">
        <f>'Anuid PF'!G34</f>
        <v>215705</v>
      </c>
      <c r="G34" s="68">
        <f>'Anuid PF'!H34</f>
        <v>12071</v>
      </c>
      <c r="H34" s="68">
        <f>'Anuid PF'!I34</f>
        <v>203634</v>
      </c>
      <c r="I34" s="232">
        <f>'Anuid PF'!J34</f>
        <v>132630</v>
      </c>
      <c r="J34" s="232">
        <f>'Anuid PF'!K34</f>
        <v>83538</v>
      </c>
      <c r="K34" s="232">
        <f>'Anuid PF'!L34</f>
        <v>49092</v>
      </c>
      <c r="L34" s="231">
        <f>'Anuid PF'!M34</f>
        <v>65.131559562744926</v>
      </c>
    </row>
    <row r="35" spans="1:15" s="155" customFormat="1" ht="19.5">
      <c r="B35" s="230" t="b">
        <f>B34=B31</f>
        <v>1</v>
      </c>
      <c r="C35" s="230" t="b">
        <f>C34=C31</f>
        <v>1</v>
      </c>
      <c r="D35" s="230" t="b">
        <f>D34=D31</f>
        <v>1</v>
      </c>
      <c r="E35" s="224"/>
      <c r="F35" s="229" t="b">
        <f t="shared" ref="F35:K35" si="18">F31=F34</f>
        <v>1</v>
      </c>
      <c r="G35" s="229" t="b">
        <f t="shared" si="18"/>
        <v>1</v>
      </c>
      <c r="H35" s="229" t="b">
        <f t="shared" si="18"/>
        <v>1</v>
      </c>
      <c r="I35" s="229" t="b">
        <f t="shared" si="18"/>
        <v>1</v>
      </c>
      <c r="J35" s="229" t="b">
        <f t="shared" si="18"/>
        <v>1</v>
      </c>
      <c r="K35" s="229" t="b">
        <f t="shared" si="18"/>
        <v>1</v>
      </c>
      <c r="L35" s="229" t="b">
        <f>L31=L34/100</f>
        <v>1</v>
      </c>
      <c r="M35" s="228"/>
      <c r="N35" s="227"/>
    </row>
    <row r="36" spans="1:15" s="155" customFormat="1" ht="19.5">
      <c r="B36" s="224"/>
      <c r="C36" s="224"/>
      <c r="D36" s="225"/>
      <c r="E36" s="224"/>
      <c r="G36" s="224"/>
      <c r="J36" s="222"/>
      <c r="K36" s="221"/>
      <c r="L36" s="226"/>
      <c r="M36" s="226"/>
      <c r="N36" s="226"/>
    </row>
    <row r="37" spans="1:15" s="155" customFormat="1" ht="19.5">
      <c r="B37" s="224"/>
      <c r="C37" s="224"/>
      <c r="D37" s="225"/>
      <c r="E37" s="224"/>
      <c r="F37" s="223"/>
      <c r="G37" s="223"/>
      <c r="J37" s="222"/>
      <c r="K37" s="221"/>
      <c r="L37" s="949"/>
      <c r="M37" s="949"/>
      <c r="N37" s="949"/>
    </row>
  </sheetData>
  <sortState ref="A4:O30">
    <sortCondition descending="1" ref="L4:L30"/>
  </sortState>
  <mergeCells count="7">
    <mergeCell ref="L37:N37"/>
    <mergeCell ref="B1:O1"/>
    <mergeCell ref="B2:E2"/>
    <mergeCell ref="F2:L2"/>
    <mergeCell ref="M2:O2"/>
    <mergeCell ref="A32:C32"/>
    <mergeCell ref="A33:C33"/>
  </mergeCells>
  <conditionalFormatting sqref="L4:L30">
    <cfRule type="cellIs" dxfId="97" priority="27" operator="lessThan">
      <formula>$L$31</formula>
    </cfRule>
    <cfRule type="cellIs" dxfId="96" priority="28" operator="greaterThan">
      <formula>$L$31</formula>
    </cfRule>
    <cfRule type="cellIs" dxfId="95" priority="29" operator="lessThan">
      <formula>$L$31</formula>
    </cfRule>
    <cfRule type="cellIs" dxfId="94" priority="30" operator="greaterThan">
      <formula>$L$31</formula>
    </cfRule>
  </conditionalFormatting>
  <conditionalFormatting sqref="S4:S30">
    <cfRule type="cellIs" dxfId="93" priority="23" operator="lessThan">
      <formula>$L$31</formula>
    </cfRule>
    <cfRule type="cellIs" dxfId="92" priority="24" operator="greaterThan">
      <formula>$L$31</formula>
    </cfRule>
    <cfRule type="cellIs" dxfId="91" priority="25" operator="lessThan">
      <formula>$L$31</formula>
    </cfRule>
    <cfRule type="cellIs" dxfId="90" priority="26" operator="greaterThan">
      <formula>$L$31</formula>
    </cfRule>
  </conditionalFormatting>
  <pageMargins left="0.511811024" right="0.511811024" top="0.78740157499999996" bottom="0.78740157499999996" header="0.31496062000000002" footer="0.31496062000000002"/>
  <pageSetup scale="67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6">
    <tabColor theme="3"/>
    <pageSetUpPr fitToPage="1"/>
  </sheetPr>
  <dimension ref="A1:P41"/>
  <sheetViews>
    <sheetView showGridLines="0" zoomScale="70" zoomScaleNormal="70" workbookViewId="0">
      <pane xSplit="1" topLeftCell="B1" activePane="topRight" state="frozen"/>
      <selection activeCell="W28" sqref="W28"/>
      <selection pane="topRight" activeCell="W28" sqref="W28"/>
    </sheetView>
  </sheetViews>
  <sheetFormatPr defaultColWidth="9.140625" defaultRowHeight="15"/>
  <cols>
    <col min="1" max="1" width="17.42578125" style="145" customWidth="1"/>
    <col min="2" max="12" width="20.7109375" style="145" customWidth="1"/>
    <col min="13" max="13" width="9.140625" style="145"/>
    <col min="14" max="14" width="14.85546875" style="145" customWidth="1"/>
    <col min="15" max="15" width="19" style="145" bestFit="1" customWidth="1"/>
    <col min="16" max="16" width="20.140625" style="145" bestFit="1" customWidth="1"/>
    <col min="17" max="20" width="12.42578125" style="145" bestFit="1" customWidth="1"/>
    <col min="21" max="16384" width="9.140625" style="145"/>
  </cols>
  <sheetData>
    <row r="1" spans="1:16" ht="19.5" thickBot="1">
      <c r="A1" s="278"/>
      <c r="B1" s="958" t="s">
        <v>364</v>
      </c>
      <c r="C1" s="958"/>
      <c r="D1" s="958"/>
      <c r="E1" s="958"/>
      <c r="F1" s="958"/>
      <c r="G1" s="958"/>
      <c r="H1" s="958"/>
      <c r="I1" s="958"/>
      <c r="J1" s="958"/>
      <c r="K1" s="958"/>
      <c r="L1" s="958"/>
    </row>
    <row r="2" spans="1:16" ht="20.25" customHeight="1" thickBot="1">
      <c r="B2" s="959" t="s">
        <v>166</v>
      </c>
      <c r="C2" s="960"/>
      <c r="D2" s="960"/>
      <c r="E2" s="960" t="s">
        <v>167</v>
      </c>
      <c r="F2" s="960"/>
      <c r="G2" s="960"/>
      <c r="H2" s="960"/>
      <c r="I2" s="960"/>
      <c r="J2" s="961" t="s">
        <v>360</v>
      </c>
      <c r="K2" s="962"/>
      <c r="L2" s="962"/>
    </row>
    <row r="3" spans="1:16" ht="41.25" customHeight="1" thickBot="1">
      <c r="A3" s="277" t="s">
        <v>358</v>
      </c>
      <c r="B3" s="276" t="s">
        <v>326</v>
      </c>
      <c r="C3" s="275" t="s">
        <v>339</v>
      </c>
      <c r="D3" s="275" t="s">
        <v>363</v>
      </c>
      <c r="E3" s="275" t="s">
        <v>434</v>
      </c>
      <c r="F3" s="275" t="s">
        <v>339</v>
      </c>
      <c r="G3" s="275" t="s">
        <v>353</v>
      </c>
      <c r="H3" s="275" t="s">
        <v>322</v>
      </c>
      <c r="I3" s="275" t="s">
        <v>363</v>
      </c>
      <c r="J3" s="460" t="s">
        <v>326</v>
      </c>
      <c r="K3" s="460" t="s">
        <v>339</v>
      </c>
      <c r="L3" s="461" t="s">
        <v>351</v>
      </c>
      <c r="N3" s="552" t="str">
        <f t="shared" ref="N3" si="0">A3</f>
        <v xml:space="preserve">UF </v>
      </c>
      <c r="O3" s="552" t="str">
        <f t="shared" ref="O3" si="1">F3</f>
        <v>Quantidade Pagantes</v>
      </c>
      <c r="P3" s="552" t="str">
        <f t="shared" ref="P3" si="2">I3</f>
        <v>% Adimplência</v>
      </c>
    </row>
    <row r="4" spans="1:16" ht="19.5" thickBot="1">
      <c r="A4" s="274" t="s">
        <v>84</v>
      </c>
      <c r="B4" s="273">
        <f>VLOOKUP($A$4:$A$30,'Anuid PJ'!$A$5:$C$31,2,0)</f>
        <v>484</v>
      </c>
      <c r="C4" s="273">
        <f>VLOOKUP($A$4:$A$30,'Anuid PJ'!$A$5:$C$31,3,0)</f>
        <v>369</v>
      </c>
      <c r="D4" s="271">
        <f t="shared" ref="D4:D30" si="3">C4/B4</f>
        <v>0.76239669421487599</v>
      </c>
      <c r="E4" s="272">
        <f>VLOOKUP('ADIMPLÊNCIA PJ'!$A$4:$A$30,'Anuid PJ'!$A$5:$F$31,6,)</f>
        <v>493</v>
      </c>
      <c r="F4" s="272">
        <f>VLOOKUP($A$4:$A$30,'Anuid PJ'!$A$5:$G$31,7,)</f>
        <v>313</v>
      </c>
      <c r="G4" s="272">
        <f>VLOOKUP($A$4:$A$30,'Anuid PJ'!$A$5:$H$31,8,)</f>
        <v>254</v>
      </c>
      <c r="H4" s="272">
        <f t="shared" ref="H4:H30" si="4">F4-G4</f>
        <v>59</v>
      </c>
      <c r="I4" s="574">
        <f t="shared" ref="I4:I30" si="5">F4/E4</f>
        <v>0.63488843813387419</v>
      </c>
      <c r="J4" s="462">
        <f t="shared" ref="J4:J30" si="6">E4/B4*100-100</f>
        <v>1.8595041322314216</v>
      </c>
      <c r="K4" s="462">
        <f t="shared" ref="K4:K30" si="7">F4/C4*100-100</f>
        <v>-15.176151761517616</v>
      </c>
      <c r="L4" s="462">
        <f t="shared" ref="L4:L30" si="8">(I4-D4)*100</f>
        <v>-12.750825608100181</v>
      </c>
      <c r="N4" s="274" t="str">
        <f t="shared" ref="N4:N30" si="9">A4</f>
        <v>ES</v>
      </c>
      <c r="O4" s="553">
        <f t="shared" ref="O4:O30" si="10">F4</f>
        <v>313</v>
      </c>
      <c r="P4" s="574">
        <f t="shared" ref="P4:P30" si="11">I4</f>
        <v>0.63488843813387419</v>
      </c>
    </row>
    <row r="5" spans="1:16" ht="19.5" thickBot="1">
      <c r="A5" s="274" t="s">
        <v>92</v>
      </c>
      <c r="B5" s="273">
        <f>VLOOKUP($A$4:$A$30,'Anuid PJ'!$A$5:$C$31,2,0)</f>
        <v>2791</v>
      </c>
      <c r="C5" s="273">
        <f>VLOOKUP($A$4:$A$30,'Anuid PJ'!$A$5:$C$31,3,0)</f>
        <v>1303</v>
      </c>
      <c r="D5" s="271">
        <f t="shared" si="3"/>
        <v>0.46685775707631672</v>
      </c>
      <c r="E5" s="272">
        <f>VLOOKUP('ADIMPLÊNCIA PJ'!$A$4:$A$30,'Anuid PJ'!$A$5:$F$31,6,)</f>
        <v>2819</v>
      </c>
      <c r="F5" s="272">
        <f>VLOOKUP($A$4:$A$30,'Anuid PJ'!$A$5:$G$31,7,)</f>
        <v>1556</v>
      </c>
      <c r="G5" s="272">
        <f>VLOOKUP($A$4:$A$30,'Anuid PJ'!$A$5:$H$31,8,)</f>
        <v>1183</v>
      </c>
      <c r="H5" s="272">
        <f t="shared" si="4"/>
        <v>373</v>
      </c>
      <c r="I5" s="574">
        <f t="shared" si="5"/>
        <v>0.55196878325647392</v>
      </c>
      <c r="J5" s="462">
        <f t="shared" si="6"/>
        <v>1.0032246506628439</v>
      </c>
      <c r="K5" s="462">
        <f t="shared" si="7"/>
        <v>19.416730621642358</v>
      </c>
      <c r="L5" s="462">
        <f t="shared" si="8"/>
        <v>8.5111026180157197</v>
      </c>
      <c r="N5" s="274" t="str">
        <f t="shared" si="9"/>
        <v>PR</v>
      </c>
      <c r="O5" s="553">
        <f t="shared" si="10"/>
        <v>1556</v>
      </c>
      <c r="P5" s="574">
        <f t="shared" si="11"/>
        <v>0.55196878325647392</v>
      </c>
    </row>
    <row r="6" spans="1:16" ht="19.5" thickBot="1">
      <c r="A6" s="274" t="s">
        <v>101</v>
      </c>
      <c r="B6" s="273">
        <f>VLOOKUP($A$4:$A$30,'Anuid PJ'!$A$5:$C$31,2,0)</f>
        <v>8228</v>
      </c>
      <c r="C6" s="273">
        <f>VLOOKUP($A$4:$A$30,'Anuid PJ'!$A$5:$C$31,3,0)</f>
        <v>4832</v>
      </c>
      <c r="D6" s="271">
        <f t="shared" si="3"/>
        <v>0.58726300437530388</v>
      </c>
      <c r="E6" s="272">
        <f>VLOOKUP('ADIMPLÊNCIA PJ'!$A$4:$A$30,'Anuid PJ'!$A$5:$F$31,6,)</f>
        <v>8410</v>
      </c>
      <c r="F6" s="272">
        <f>VLOOKUP($A$4:$A$30,'Anuid PJ'!$A$5:$G$31,7,)</f>
        <v>4432</v>
      </c>
      <c r="G6" s="272">
        <f>VLOOKUP($A$4:$A$30,'Anuid PJ'!$A$5:$H$31,8,)</f>
        <v>3425</v>
      </c>
      <c r="H6" s="272">
        <f t="shared" si="4"/>
        <v>1007</v>
      </c>
      <c r="I6" s="574">
        <f t="shared" si="5"/>
        <v>0.52699167657550539</v>
      </c>
      <c r="J6" s="462">
        <f t="shared" si="6"/>
        <v>2.2119591638308123</v>
      </c>
      <c r="K6" s="462">
        <f t="shared" si="7"/>
        <v>-8.2781456953642305</v>
      </c>
      <c r="L6" s="462">
        <f t="shared" si="8"/>
        <v>-6.0271327799798495</v>
      </c>
      <c r="N6" s="274" t="str">
        <f t="shared" si="9"/>
        <v>SP</v>
      </c>
      <c r="O6" s="553">
        <f t="shared" si="10"/>
        <v>4432</v>
      </c>
      <c r="P6" s="574">
        <f t="shared" si="11"/>
        <v>0.52699167657550539</v>
      </c>
    </row>
    <row r="7" spans="1:16" ht="19.5" thickBot="1">
      <c r="A7" s="274" t="s">
        <v>89</v>
      </c>
      <c r="B7" s="273">
        <f>VLOOKUP($A$4:$A$30,'Anuid PJ'!$A$5:$C$31,2,0)</f>
        <v>2127</v>
      </c>
      <c r="C7" s="273">
        <f>VLOOKUP($A$4:$A$30,'Anuid PJ'!$A$5:$C$31,3,0)</f>
        <v>1408</v>
      </c>
      <c r="D7" s="271">
        <f t="shared" si="3"/>
        <v>0.66196520921485658</v>
      </c>
      <c r="E7" s="272">
        <f>VLOOKUP('ADIMPLÊNCIA PJ'!$A$4:$A$30,'Anuid PJ'!$A$5:$F$31,6,)</f>
        <v>2035</v>
      </c>
      <c r="F7" s="272">
        <f>VLOOKUP($A$4:$A$30,'Anuid PJ'!$A$5:$G$31,7,)</f>
        <v>1071</v>
      </c>
      <c r="G7" s="272">
        <f>VLOOKUP($A$4:$A$30,'Anuid PJ'!$A$5:$H$31,8,)</f>
        <v>893</v>
      </c>
      <c r="H7" s="272">
        <f t="shared" si="4"/>
        <v>178</v>
      </c>
      <c r="I7" s="574">
        <f t="shared" si="5"/>
        <v>0.52628992628992632</v>
      </c>
      <c r="J7" s="462">
        <f t="shared" si="6"/>
        <v>-4.3253408556652602</v>
      </c>
      <c r="K7" s="462">
        <f t="shared" si="7"/>
        <v>-23.934659090909093</v>
      </c>
      <c r="L7" s="462">
        <f t="shared" si="8"/>
        <v>-13.567528292493025</v>
      </c>
      <c r="N7" s="274" t="str">
        <f t="shared" si="9"/>
        <v>MG</v>
      </c>
      <c r="O7" s="553">
        <f t="shared" si="10"/>
        <v>1071</v>
      </c>
      <c r="P7" s="574">
        <f t="shared" si="11"/>
        <v>0.52628992628992632</v>
      </c>
    </row>
    <row r="8" spans="1:16" ht="19.5" thickBot="1">
      <c r="A8" s="274" t="s">
        <v>97</v>
      </c>
      <c r="B8" s="273">
        <f>VLOOKUP($A$4:$A$30,'Anuid PJ'!$A$5:$C$31,2,0)</f>
        <v>3413</v>
      </c>
      <c r="C8" s="273">
        <f>VLOOKUP($A$4:$A$30,'Anuid PJ'!$A$5:$C$31,3,0)</f>
        <v>2026</v>
      </c>
      <c r="D8" s="271">
        <f t="shared" si="3"/>
        <v>0.59361265748608261</v>
      </c>
      <c r="E8" s="272">
        <f>VLOOKUP('ADIMPLÊNCIA PJ'!$A$4:$A$30,'Anuid PJ'!$A$5:$F$31,6,)</f>
        <v>3292</v>
      </c>
      <c r="F8" s="272">
        <f>VLOOKUP($A$4:$A$30,'Anuid PJ'!$A$5:$G$31,7,)</f>
        <v>1725</v>
      </c>
      <c r="G8" s="272">
        <f>VLOOKUP($A$4:$A$30,'Anuid PJ'!$A$5:$H$31,8,)</f>
        <v>1356</v>
      </c>
      <c r="H8" s="272">
        <f t="shared" si="4"/>
        <v>369</v>
      </c>
      <c r="I8" s="574">
        <f t="shared" si="5"/>
        <v>0.52399756986634261</v>
      </c>
      <c r="J8" s="462">
        <f t="shared" si="6"/>
        <v>-3.5452680925871647</v>
      </c>
      <c r="K8" s="462">
        <f t="shared" si="7"/>
        <v>-14.8568608094768</v>
      </c>
      <c r="L8" s="462">
        <f t="shared" si="8"/>
        <v>-6.9615087619740006</v>
      </c>
      <c r="N8" s="274" t="str">
        <f t="shared" si="9"/>
        <v>RS</v>
      </c>
      <c r="O8" s="553">
        <f t="shared" si="10"/>
        <v>1725</v>
      </c>
      <c r="P8" s="574">
        <f t="shared" si="11"/>
        <v>0.52399756986634261</v>
      </c>
    </row>
    <row r="9" spans="1:16" ht="19.5" thickBot="1">
      <c r="A9" s="274" t="s">
        <v>100</v>
      </c>
      <c r="B9" s="273">
        <f>VLOOKUP($A$4:$A$30,'Anuid PJ'!$A$5:$C$31,2,0)</f>
        <v>2159</v>
      </c>
      <c r="C9" s="273">
        <f>VLOOKUP($A$4:$A$30,'Anuid PJ'!$A$5:$C$31,3,0)</f>
        <v>1224</v>
      </c>
      <c r="D9" s="271">
        <f t="shared" si="3"/>
        <v>0.56692913385826771</v>
      </c>
      <c r="E9" s="272">
        <f>VLOOKUP('ADIMPLÊNCIA PJ'!$A$4:$A$30,'Anuid PJ'!$A$5:$F$31,6,)</f>
        <v>2101</v>
      </c>
      <c r="F9" s="272">
        <f>VLOOKUP($A$4:$A$30,'Anuid PJ'!$A$5:$G$31,7,)</f>
        <v>1048</v>
      </c>
      <c r="G9" s="272">
        <f>VLOOKUP($A$4:$A$30,'Anuid PJ'!$A$5:$H$31,8,)</f>
        <v>832</v>
      </c>
      <c r="H9" s="272">
        <f t="shared" si="4"/>
        <v>216</v>
      </c>
      <c r="I9" s="574">
        <f t="shared" si="5"/>
        <v>0.49881009043312707</v>
      </c>
      <c r="J9" s="462">
        <f t="shared" si="6"/>
        <v>-2.6864289022695687</v>
      </c>
      <c r="K9" s="462">
        <f t="shared" si="7"/>
        <v>-14.379084967320267</v>
      </c>
      <c r="L9" s="462">
        <f t="shared" si="8"/>
        <v>-6.8119043425140635</v>
      </c>
      <c r="N9" s="274" t="str">
        <f t="shared" si="9"/>
        <v>SC</v>
      </c>
      <c r="O9" s="553">
        <f t="shared" si="10"/>
        <v>1048</v>
      </c>
      <c r="P9" s="574">
        <f t="shared" si="11"/>
        <v>0.49881009043312707</v>
      </c>
    </row>
    <row r="10" spans="1:16" ht="19.5" thickBot="1">
      <c r="A10" s="274" t="s">
        <v>93</v>
      </c>
      <c r="B10" s="273">
        <f>VLOOKUP($A$4:$A$30,'Anuid PJ'!$A$5:$C$31,2,0)</f>
        <v>625</v>
      </c>
      <c r="C10" s="273">
        <f>VLOOKUP($A$4:$A$30,'Anuid PJ'!$A$5:$C$31,3,0)</f>
        <v>404</v>
      </c>
      <c r="D10" s="271">
        <f t="shared" si="3"/>
        <v>0.64639999999999997</v>
      </c>
      <c r="E10" s="272">
        <f>VLOOKUP('ADIMPLÊNCIA PJ'!$A$4:$A$30,'Anuid PJ'!$A$5:$F$31,6,)</f>
        <v>591</v>
      </c>
      <c r="F10" s="272">
        <f>VLOOKUP($A$4:$A$30,'Anuid PJ'!$A$5:$G$31,7,)</f>
        <v>294</v>
      </c>
      <c r="G10" s="272">
        <f>VLOOKUP($A$4:$A$30,'Anuid PJ'!$A$5:$H$31,8,)</f>
        <v>220</v>
      </c>
      <c r="H10" s="272">
        <f t="shared" si="4"/>
        <v>74</v>
      </c>
      <c r="I10" s="574">
        <f t="shared" si="5"/>
        <v>0.49746192893401014</v>
      </c>
      <c r="J10" s="462">
        <f t="shared" si="6"/>
        <v>-5.4399999999999977</v>
      </c>
      <c r="K10" s="462">
        <f t="shared" si="7"/>
        <v>-27.227722772277232</v>
      </c>
      <c r="L10" s="462">
        <f t="shared" si="8"/>
        <v>-14.893807106598983</v>
      </c>
      <c r="N10" s="274" t="str">
        <f t="shared" si="9"/>
        <v>PE</v>
      </c>
      <c r="O10" s="553">
        <f t="shared" si="10"/>
        <v>294</v>
      </c>
      <c r="P10" s="574">
        <f t="shared" si="11"/>
        <v>0.49746192893401014</v>
      </c>
    </row>
    <row r="11" spans="1:16" ht="19.5" thickBot="1">
      <c r="A11" s="274" t="s">
        <v>82</v>
      </c>
      <c r="B11" s="273">
        <f>VLOOKUP($A$4:$A$30,'Anuid PJ'!$A$5:$C$31,2,0)</f>
        <v>499</v>
      </c>
      <c r="C11" s="273">
        <f>VLOOKUP($A$4:$A$30,'Anuid PJ'!$A$5:$C$31,3,0)</f>
        <v>287</v>
      </c>
      <c r="D11" s="271">
        <f t="shared" si="3"/>
        <v>0.57515030060120242</v>
      </c>
      <c r="E11" s="272">
        <f>VLOOKUP('ADIMPLÊNCIA PJ'!$A$4:$A$30,'Anuid PJ'!$A$5:$F$31,6,)</f>
        <v>470</v>
      </c>
      <c r="F11" s="272">
        <f>VLOOKUP($A$4:$A$30,'Anuid PJ'!$A$5:$G$31,7,)</f>
        <v>226</v>
      </c>
      <c r="G11" s="272">
        <f>VLOOKUP($A$4:$A$30,'Anuid PJ'!$A$5:$H$31,8,)</f>
        <v>181</v>
      </c>
      <c r="H11" s="272">
        <f t="shared" si="4"/>
        <v>45</v>
      </c>
      <c r="I11" s="574">
        <f t="shared" si="5"/>
        <v>0.48085106382978721</v>
      </c>
      <c r="J11" s="462">
        <f t="shared" si="6"/>
        <v>-5.8116232464929851</v>
      </c>
      <c r="K11" s="462">
        <f t="shared" si="7"/>
        <v>-21.254355400696866</v>
      </c>
      <c r="L11" s="462">
        <f t="shared" si="8"/>
        <v>-9.429923677141522</v>
      </c>
      <c r="N11" s="274" t="str">
        <f t="shared" si="9"/>
        <v>CE</v>
      </c>
      <c r="O11" s="553">
        <f t="shared" si="10"/>
        <v>226</v>
      </c>
      <c r="P11" s="574">
        <f t="shared" si="11"/>
        <v>0.48085106382978721</v>
      </c>
    </row>
    <row r="12" spans="1:16" ht="19.5" thickBot="1">
      <c r="A12" s="274" t="s">
        <v>102</v>
      </c>
      <c r="B12" s="273">
        <f>VLOOKUP($A$4:$A$30,'Anuid PJ'!$A$5:$C$31,2,0)</f>
        <v>201</v>
      </c>
      <c r="C12" s="273">
        <f>VLOOKUP($A$4:$A$30,'Anuid PJ'!$A$5:$C$31,3,0)</f>
        <v>122</v>
      </c>
      <c r="D12" s="271">
        <f t="shared" si="3"/>
        <v>0.60696517412935325</v>
      </c>
      <c r="E12" s="272">
        <f>VLOOKUP('ADIMPLÊNCIA PJ'!$A$4:$A$30,'Anuid PJ'!$A$5:$F$31,6,)</f>
        <v>195</v>
      </c>
      <c r="F12" s="272">
        <f>VLOOKUP($A$4:$A$30,'Anuid PJ'!$A$5:$G$31,7,)</f>
        <v>93</v>
      </c>
      <c r="G12" s="272">
        <f>VLOOKUP($A$4:$A$30,'Anuid PJ'!$A$5:$H$31,8,)</f>
        <v>74</v>
      </c>
      <c r="H12" s="272">
        <f t="shared" si="4"/>
        <v>19</v>
      </c>
      <c r="I12" s="574">
        <f t="shared" si="5"/>
        <v>0.47692307692307695</v>
      </c>
      <c r="J12" s="462">
        <f t="shared" si="6"/>
        <v>-2.9850746268656678</v>
      </c>
      <c r="K12" s="462">
        <f t="shared" si="7"/>
        <v>-23.770491803278688</v>
      </c>
      <c r="L12" s="462">
        <f t="shared" si="8"/>
        <v>-13.00420972062763</v>
      </c>
      <c r="N12" s="274" t="str">
        <f t="shared" si="9"/>
        <v>SE</v>
      </c>
      <c r="O12" s="553">
        <f t="shared" si="10"/>
        <v>93</v>
      </c>
      <c r="P12" s="574">
        <f t="shared" si="11"/>
        <v>0.47692307692307695</v>
      </c>
    </row>
    <row r="13" spans="1:16" ht="19.5" thickBot="1">
      <c r="A13" s="274" t="s">
        <v>83</v>
      </c>
      <c r="B13" s="273">
        <f>VLOOKUP($A$4:$A$30,'Anuid PJ'!$A$5:$C$31,2,0)</f>
        <v>924</v>
      </c>
      <c r="C13" s="273">
        <f>VLOOKUP($A$4:$A$30,'Anuid PJ'!$A$5:$C$31,3,0)</f>
        <v>459</v>
      </c>
      <c r="D13" s="271">
        <f t="shared" si="3"/>
        <v>0.49675324675324678</v>
      </c>
      <c r="E13" s="272">
        <f>VLOOKUP('ADIMPLÊNCIA PJ'!$A$4:$A$30,'Anuid PJ'!$A$5:$F$31,6,)</f>
        <v>833</v>
      </c>
      <c r="F13" s="272">
        <f>VLOOKUP($A$4:$A$30,'Anuid PJ'!$A$5:$G$31,7,)</f>
        <v>379</v>
      </c>
      <c r="G13" s="272">
        <f>VLOOKUP($A$4:$A$30,'Anuid PJ'!$A$5:$H$31,8,)</f>
        <v>308</v>
      </c>
      <c r="H13" s="272">
        <f t="shared" si="4"/>
        <v>71</v>
      </c>
      <c r="I13" s="574">
        <f t="shared" si="5"/>
        <v>0.45498199279711887</v>
      </c>
      <c r="J13" s="462">
        <f t="shared" si="6"/>
        <v>-9.8484848484848442</v>
      </c>
      <c r="K13" s="462">
        <f t="shared" si="7"/>
        <v>-17.429193899782135</v>
      </c>
      <c r="L13" s="462">
        <f t="shared" si="8"/>
        <v>-4.1771253956127907</v>
      </c>
      <c r="N13" s="274" t="str">
        <f t="shared" si="9"/>
        <v>DF</v>
      </c>
      <c r="O13" s="553">
        <f t="shared" si="10"/>
        <v>379</v>
      </c>
      <c r="P13" s="574">
        <f t="shared" si="11"/>
        <v>0.45498199279711887</v>
      </c>
    </row>
    <row r="14" spans="1:16" ht="19.5" thickBot="1">
      <c r="A14" s="274" t="s">
        <v>95</v>
      </c>
      <c r="B14" s="273">
        <f>VLOOKUP($A$4:$A$30,'Anuid PJ'!$A$5:$C$31,2,0)</f>
        <v>3226</v>
      </c>
      <c r="C14" s="273">
        <f>VLOOKUP($A$4:$A$30,'Anuid PJ'!$A$5:$C$31,3,0)</f>
        <v>1905</v>
      </c>
      <c r="D14" s="271">
        <f t="shared" si="3"/>
        <v>0.59051456912585243</v>
      </c>
      <c r="E14" s="272">
        <f>VLOOKUP('ADIMPLÊNCIA PJ'!$A$4:$A$30,'Anuid PJ'!$A$5:$F$31,6,)</f>
        <v>2983</v>
      </c>
      <c r="F14" s="272">
        <f>VLOOKUP($A$4:$A$30,'Anuid PJ'!$A$5:$G$31,7,)</f>
        <v>1293</v>
      </c>
      <c r="G14" s="272">
        <f>VLOOKUP($A$4:$A$30,'Anuid PJ'!$A$5:$H$31,8,)</f>
        <v>1007</v>
      </c>
      <c r="H14" s="272">
        <f t="shared" si="4"/>
        <v>286</v>
      </c>
      <c r="I14" s="574">
        <f t="shared" si="5"/>
        <v>0.43345625209520616</v>
      </c>
      <c r="J14" s="462">
        <f t="shared" si="6"/>
        <v>-7.5325480471171744</v>
      </c>
      <c r="K14" s="462">
        <f t="shared" si="7"/>
        <v>-32.125984251968504</v>
      </c>
      <c r="L14" s="462">
        <f t="shared" si="8"/>
        <v>-15.705831703064627</v>
      </c>
      <c r="N14" s="274" t="str">
        <f t="shared" si="9"/>
        <v>RJ</v>
      </c>
      <c r="O14" s="553">
        <f t="shared" si="10"/>
        <v>1293</v>
      </c>
      <c r="P14" s="574">
        <f t="shared" si="11"/>
        <v>0.43345625209520616</v>
      </c>
    </row>
    <row r="15" spans="1:16" ht="19.5" thickBot="1">
      <c r="A15" s="274" t="s">
        <v>87</v>
      </c>
      <c r="B15" s="273">
        <f>VLOOKUP($A$4:$A$30,'Anuid PJ'!$A$5:$C$31,2,0)</f>
        <v>756</v>
      </c>
      <c r="C15" s="273">
        <f>VLOOKUP($A$4:$A$30,'Anuid PJ'!$A$5:$C$31,3,0)</f>
        <v>370</v>
      </c>
      <c r="D15" s="271">
        <f t="shared" si="3"/>
        <v>0.48941798941798942</v>
      </c>
      <c r="E15" s="272">
        <f>VLOOKUP('ADIMPLÊNCIA PJ'!$A$4:$A$30,'Anuid PJ'!$A$5:$F$31,6,)</f>
        <v>710</v>
      </c>
      <c r="F15" s="272">
        <f>VLOOKUP($A$4:$A$30,'Anuid PJ'!$A$5:$G$31,7,)</f>
        <v>307</v>
      </c>
      <c r="G15" s="272">
        <f>VLOOKUP($A$4:$A$30,'Anuid PJ'!$A$5:$H$31,8,)</f>
        <v>232</v>
      </c>
      <c r="H15" s="272">
        <f t="shared" si="4"/>
        <v>75</v>
      </c>
      <c r="I15" s="574">
        <f t="shared" si="5"/>
        <v>0.43239436619718308</v>
      </c>
      <c r="J15" s="462">
        <f t="shared" si="6"/>
        <v>-6.0846560846560749</v>
      </c>
      <c r="K15" s="462">
        <f t="shared" si="7"/>
        <v>-17.027027027027032</v>
      </c>
      <c r="L15" s="462">
        <f t="shared" si="8"/>
        <v>-5.7023623220806341</v>
      </c>
      <c r="N15" s="274" t="str">
        <f t="shared" si="9"/>
        <v>MT</v>
      </c>
      <c r="O15" s="553">
        <f t="shared" si="10"/>
        <v>307</v>
      </c>
      <c r="P15" s="574">
        <f t="shared" si="11"/>
        <v>0.43239436619718308</v>
      </c>
    </row>
    <row r="16" spans="1:16" ht="19.5" thickBot="1">
      <c r="A16" s="274" t="s">
        <v>85</v>
      </c>
      <c r="B16" s="273">
        <f>VLOOKUP($A$4:$A$30,'Anuid PJ'!$A$5:$C$31,2,0)</f>
        <v>811</v>
      </c>
      <c r="C16" s="273">
        <f>VLOOKUP($A$4:$A$30,'Anuid PJ'!$A$5:$C$31,3,0)</f>
        <v>329</v>
      </c>
      <c r="D16" s="271">
        <f t="shared" si="3"/>
        <v>0.40567200986436497</v>
      </c>
      <c r="E16" s="272">
        <f>VLOOKUP('ADIMPLÊNCIA PJ'!$A$4:$A$30,'Anuid PJ'!$A$5:$F$31,6,)</f>
        <v>773</v>
      </c>
      <c r="F16" s="272">
        <f>VLOOKUP($A$4:$A$30,'Anuid PJ'!$A$5:$G$31,7,)</f>
        <v>301</v>
      </c>
      <c r="G16" s="272">
        <f>VLOOKUP($A$4:$A$30,'Anuid PJ'!$A$5:$H$31,8,)</f>
        <v>246</v>
      </c>
      <c r="H16" s="272">
        <f t="shared" si="4"/>
        <v>55</v>
      </c>
      <c r="I16" s="574">
        <f t="shared" si="5"/>
        <v>0.38939197930142305</v>
      </c>
      <c r="J16" s="462">
        <f t="shared" si="6"/>
        <v>-4.6855733662145411</v>
      </c>
      <c r="K16" s="462">
        <f t="shared" si="7"/>
        <v>-8.5106382978723474</v>
      </c>
      <c r="L16" s="462">
        <f t="shared" si="8"/>
        <v>-1.6280030562941916</v>
      </c>
      <c r="N16" s="274" t="str">
        <f t="shared" si="9"/>
        <v>GO</v>
      </c>
      <c r="O16" s="553">
        <f t="shared" si="10"/>
        <v>301</v>
      </c>
      <c r="P16" s="574">
        <f t="shared" si="11"/>
        <v>0.38939197930142305</v>
      </c>
    </row>
    <row r="17" spans="1:16" ht="19.5" thickBot="1">
      <c r="A17" s="274" t="s">
        <v>94</v>
      </c>
      <c r="B17" s="273">
        <f>VLOOKUP($A$4:$A$30,'Anuid PJ'!$A$5:$C$31,2,0)</f>
        <v>275</v>
      </c>
      <c r="C17" s="273">
        <f>VLOOKUP($A$4:$A$30,'Anuid PJ'!$A$5:$C$31,3,0)</f>
        <v>155</v>
      </c>
      <c r="D17" s="271">
        <f t="shared" si="3"/>
        <v>0.5636363636363636</v>
      </c>
      <c r="E17" s="272">
        <f>VLOOKUP('ADIMPLÊNCIA PJ'!$A$4:$A$30,'Anuid PJ'!$A$5:$F$31,6,)</f>
        <v>313</v>
      </c>
      <c r="F17" s="272">
        <f>VLOOKUP($A$4:$A$30,'Anuid PJ'!$A$5:$G$31,7,)</f>
        <v>121</v>
      </c>
      <c r="G17" s="272">
        <f>VLOOKUP($A$4:$A$30,'Anuid PJ'!$A$5:$H$31,8,)</f>
        <v>91</v>
      </c>
      <c r="H17" s="272">
        <f t="shared" si="4"/>
        <v>30</v>
      </c>
      <c r="I17" s="574">
        <f t="shared" si="5"/>
        <v>0.38658146964856233</v>
      </c>
      <c r="J17" s="462">
        <f t="shared" si="6"/>
        <v>13.818181818181813</v>
      </c>
      <c r="K17" s="462">
        <f t="shared" si="7"/>
        <v>-21.935483870967744</v>
      </c>
      <c r="L17" s="462">
        <f t="shared" si="8"/>
        <v>-17.705489398780127</v>
      </c>
      <c r="N17" s="274" t="str">
        <f t="shared" si="9"/>
        <v>PI</v>
      </c>
      <c r="O17" s="553">
        <f t="shared" si="10"/>
        <v>121</v>
      </c>
      <c r="P17" s="574">
        <f t="shared" si="11"/>
        <v>0.38658146964856233</v>
      </c>
    </row>
    <row r="18" spans="1:16" ht="19.5" thickBot="1">
      <c r="A18" s="274" t="s">
        <v>78</v>
      </c>
      <c r="B18" s="273">
        <f>VLOOKUP($A$4:$A$30,'Anuid PJ'!$A$5:$C$31,2,0)</f>
        <v>174</v>
      </c>
      <c r="C18" s="273">
        <f>VLOOKUP($A$4:$A$30,'Anuid PJ'!$A$5:$C$31,3,0)</f>
        <v>85</v>
      </c>
      <c r="D18" s="271">
        <f t="shared" si="3"/>
        <v>0.4885057471264368</v>
      </c>
      <c r="E18" s="272">
        <f>VLOOKUP('ADIMPLÊNCIA PJ'!$A$4:$A$30,'Anuid PJ'!$A$5:$F$31,6,)</f>
        <v>181</v>
      </c>
      <c r="F18" s="272">
        <f>VLOOKUP($A$4:$A$30,'Anuid PJ'!$A$5:$G$31,7,)</f>
        <v>64</v>
      </c>
      <c r="G18" s="272">
        <f>VLOOKUP($A$4:$A$30,'Anuid PJ'!$A$5:$H$31,8,)</f>
        <v>56</v>
      </c>
      <c r="H18" s="272">
        <f t="shared" si="4"/>
        <v>8</v>
      </c>
      <c r="I18" s="574">
        <f t="shared" si="5"/>
        <v>0.35359116022099446</v>
      </c>
      <c r="J18" s="462">
        <f t="shared" si="6"/>
        <v>4.0229885057471222</v>
      </c>
      <c r="K18" s="462">
        <f t="shared" si="7"/>
        <v>-24.705882352941174</v>
      </c>
      <c r="L18" s="462">
        <f t="shared" si="8"/>
        <v>-13.491458690544233</v>
      </c>
      <c r="N18" s="274" t="str">
        <f t="shared" si="9"/>
        <v>AL</v>
      </c>
      <c r="O18" s="553">
        <f t="shared" si="10"/>
        <v>64</v>
      </c>
      <c r="P18" s="574">
        <f t="shared" si="11"/>
        <v>0.35359116022099446</v>
      </c>
    </row>
    <row r="19" spans="1:16" ht="19.5" thickBot="1">
      <c r="A19" s="274" t="s">
        <v>81</v>
      </c>
      <c r="B19" s="273">
        <f>VLOOKUP($A$4:$A$30,'Anuid PJ'!$A$5:$C$31,2,0)</f>
        <v>1140</v>
      </c>
      <c r="C19" s="273">
        <f>VLOOKUP($A$4:$A$30,'Anuid PJ'!$A$5:$C$31,3,0)</f>
        <v>568</v>
      </c>
      <c r="D19" s="271">
        <f t="shared" si="3"/>
        <v>0.49824561403508771</v>
      </c>
      <c r="E19" s="272">
        <f>VLOOKUP('ADIMPLÊNCIA PJ'!$A$4:$A$30,'Anuid PJ'!$A$5:$F$31,6,)</f>
        <v>1068</v>
      </c>
      <c r="F19" s="272">
        <f>VLOOKUP($A$4:$A$30,'Anuid PJ'!$A$5:$G$31,7,)</f>
        <v>357</v>
      </c>
      <c r="G19" s="272">
        <f>VLOOKUP($A$4:$A$30,'Anuid PJ'!$A$5:$H$31,8,)</f>
        <v>280</v>
      </c>
      <c r="H19" s="272">
        <f t="shared" si="4"/>
        <v>77</v>
      </c>
      <c r="I19" s="574">
        <f t="shared" si="5"/>
        <v>0.3342696629213483</v>
      </c>
      <c r="J19" s="462">
        <f t="shared" si="6"/>
        <v>-6.3157894736842053</v>
      </c>
      <c r="K19" s="462">
        <f t="shared" si="7"/>
        <v>-37.147887323943664</v>
      </c>
      <c r="L19" s="462">
        <f t="shared" si="8"/>
        <v>-16.397595111373942</v>
      </c>
      <c r="N19" s="274" t="str">
        <f t="shared" si="9"/>
        <v>BA</v>
      </c>
      <c r="O19" s="553">
        <f t="shared" si="10"/>
        <v>357</v>
      </c>
      <c r="P19" s="574">
        <f t="shared" si="11"/>
        <v>0.3342696629213483</v>
      </c>
    </row>
    <row r="20" spans="1:16" ht="19.5" thickBot="1">
      <c r="A20" s="274" t="s">
        <v>88</v>
      </c>
      <c r="B20" s="273">
        <f>VLOOKUP($A$4:$A$30,'Anuid PJ'!$A$5:$C$31,2,0)</f>
        <v>686</v>
      </c>
      <c r="C20" s="273">
        <f>VLOOKUP($A$4:$A$30,'Anuid PJ'!$A$5:$C$31,3,0)</f>
        <v>331</v>
      </c>
      <c r="D20" s="271">
        <f t="shared" si="3"/>
        <v>0.48250728862973763</v>
      </c>
      <c r="E20" s="272">
        <f>VLOOKUP('ADIMPLÊNCIA PJ'!$A$4:$A$30,'Anuid PJ'!$A$5:$F$31,6,)</f>
        <v>698</v>
      </c>
      <c r="F20" s="272">
        <f>VLOOKUP($A$4:$A$30,'Anuid PJ'!$A$5:$G$31,7,)</f>
        <v>232</v>
      </c>
      <c r="G20" s="272">
        <f>VLOOKUP($A$4:$A$30,'Anuid PJ'!$A$5:$H$31,8,)</f>
        <v>183</v>
      </c>
      <c r="H20" s="272">
        <f t="shared" si="4"/>
        <v>49</v>
      </c>
      <c r="I20" s="574">
        <f t="shared" si="5"/>
        <v>0.33237822349570201</v>
      </c>
      <c r="J20" s="462">
        <f t="shared" si="6"/>
        <v>1.7492711370262271</v>
      </c>
      <c r="K20" s="462">
        <f t="shared" si="7"/>
        <v>-29.909365558912384</v>
      </c>
      <c r="L20" s="462">
        <f t="shared" si="8"/>
        <v>-15.012906513403562</v>
      </c>
      <c r="N20" s="274" t="str">
        <f t="shared" si="9"/>
        <v>MS</v>
      </c>
      <c r="O20" s="553">
        <f t="shared" si="10"/>
        <v>232</v>
      </c>
      <c r="P20" s="574">
        <f t="shared" si="11"/>
        <v>0.33237822349570201</v>
      </c>
    </row>
    <row r="21" spans="1:16" ht="19.5" thickBot="1">
      <c r="A21" s="274" t="s">
        <v>77</v>
      </c>
      <c r="B21" s="273">
        <f>VLOOKUP($A$4:$A$30,'Anuid PJ'!$A$5:$C$31,2,0)</f>
        <v>172</v>
      </c>
      <c r="C21" s="273">
        <f>VLOOKUP($A$4:$A$30,'Anuid PJ'!$A$5:$C$31,3,0)</f>
        <v>83</v>
      </c>
      <c r="D21" s="271">
        <f t="shared" si="3"/>
        <v>0.48255813953488375</v>
      </c>
      <c r="E21" s="272">
        <f>VLOOKUP('ADIMPLÊNCIA PJ'!$A$4:$A$30,'Anuid PJ'!$A$5:$F$31,6,)</f>
        <v>165</v>
      </c>
      <c r="F21" s="272">
        <f>VLOOKUP($A$4:$A$30,'Anuid PJ'!$A$5:$G$31,7,)</f>
        <v>53</v>
      </c>
      <c r="G21" s="272">
        <f>VLOOKUP($A$4:$A$30,'Anuid PJ'!$A$5:$H$31,8,)</f>
        <v>36</v>
      </c>
      <c r="H21" s="272">
        <f t="shared" si="4"/>
        <v>17</v>
      </c>
      <c r="I21" s="574">
        <f t="shared" si="5"/>
        <v>0.32121212121212123</v>
      </c>
      <c r="J21" s="462">
        <f t="shared" si="6"/>
        <v>-4.0697674418604635</v>
      </c>
      <c r="K21" s="462">
        <f t="shared" si="7"/>
        <v>-36.144578313253021</v>
      </c>
      <c r="L21" s="462">
        <f t="shared" si="8"/>
        <v>-16.134601832276253</v>
      </c>
      <c r="N21" s="274" t="str">
        <f t="shared" si="9"/>
        <v>AC</v>
      </c>
      <c r="O21" s="553">
        <f t="shared" si="10"/>
        <v>53</v>
      </c>
      <c r="P21" s="574">
        <f t="shared" si="11"/>
        <v>0.32121212121212123</v>
      </c>
    </row>
    <row r="22" spans="1:16" ht="19.5" thickBot="1">
      <c r="A22" s="274" t="s">
        <v>90</v>
      </c>
      <c r="B22" s="273">
        <f>VLOOKUP($A$4:$A$30,'Anuid PJ'!$A$5:$C$31,2,0)</f>
        <v>513</v>
      </c>
      <c r="C22" s="273">
        <f>VLOOKUP($A$4:$A$30,'Anuid PJ'!$A$5:$C$31,3,0)</f>
        <v>186</v>
      </c>
      <c r="D22" s="271">
        <f t="shared" si="3"/>
        <v>0.36257309941520466</v>
      </c>
      <c r="E22" s="272">
        <f>VLOOKUP('ADIMPLÊNCIA PJ'!$A$4:$A$30,'Anuid PJ'!$A$5:$F$31,6,)</f>
        <v>488</v>
      </c>
      <c r="F22" s="272">
        <f>VLOOKUP($A$4:$A$30,'Anuid PJ'!$A$5:$G$31,7,)</f>
        <v>150</v>
      </c>
      <c r="G22" s="272">
        <f>VLOOKUP($A$4:$A$30,'Anuid PJ'!$A$5:$H$31,8,)</f>
        <v>114</v>
      </c>
      <c r="H22" s="272">
        <f t="shared" si="4"/>
        <v>36</v>
      </c>
      <c r="I22" s="574">
        <f t="shared" si="5"/>
        <v>0.30737704918032788</v>
      </c>
      <c r="J22" s="462">
        <f t="shared" si="6"/>
        <v>-4.8732943469785681</v>
      </c>
      <c r="K22" s="462">
        <f t="shared" si="7"/>
        <v>-19.354838709677423</v>
      </c>
      <c r="L22" s="462">
        <f t="shared" si="8"/>
        <v>-5.5196050234876779</v>
      </c>
      <c r="N22" s="274" t="str">
        <f t="shared" si="9"/>
        <v>PA</v>
      </c>
      <c r="O22" s="553">
        <f t="shared" si="10"/>
        <v>150</v>
      </c>
      <c r="P22" s="574">
        <f t="shared" si="11"/>
        <v>0.30737704918032788</v>
      </c>
    </row>
    <row r="23" spans="1:16" ht="19.5" thickBot="1">
      <c r="A23" s="274" t="s">
        <v>98</v>
      </c>
      <c r="B23" s="273">
        <f>VLOOKUP($A$4:$A$30,'Anuid PJ'!$A$5:$C$31,2,0)</f>
        <v>241</v>
      </c>
      <c r="C23" s="273">
        <f>VLOOKUP($A$4:$A$30,'Anuid PJ'!$A$5:$C$31,3,0)</f>
        <v>109</v>
      </c>
      <c r="D23" s="271">
        <f t="shared" si="3"/>
        <v>0.45228215767634855</v>
      </c>
      <c r="E23" s="272">
        <f>VLOOKUP('ADIMPLÊNCIA PJ'!$A$4:$A$30,'Anuid PJ'!$A$5:$F$31,6,)</f>
        <v>246</v>
      </c>
      <c r="F23" s="272">
        <f>VLOOKUP($A$4:$A$30,'Anuid PJ'!$A$5:$G$31,7,)</f>
        <v>74</v>
      </c>
      <c r="G23" s="272">
        <f>VLOOKUP($A$4:$A$30,'Anuid PJ'!$A$5:$H$31,8,)</f>
        <v>53</v>
      </c>
      <c r="H23" s="272">
        <f t="shared" si="4"/>
        <v>21</v>
      </c>
      <c r="I23" s="574">
        <f t="shared" si="5"/>
        <v>0.30081300813008133</v>
      </c>
      <c r="J23" s="462">
        <f t="shared" si="6"/>
        <v>2.0746887966804906</v>
      </c>
      <c r="K23" s="462">
        <f t="shared" si="7"/>
        <v>-32.110091743119256</v>
      </c>
      <c r="L23" s="462">
        <f t="shared" si="8"/>
        <v>-15.146914954626723</v>
      </c>
      <c r="N23" s="274" t="str">
        <f t="shared" si="9"/>
        <v>RO</v>
      </c>
      <c r="O23" s="553">
        <f t="shared" si="10"/>
        <v>74</v>
      </c>
      <c r="P23" s="574">
        <f t="shared" si="11"/>
        <v>0.30081300813008133</v>
      </c>
    </row>
    <row r="24" spans="1:16" ht="19.5" thickBot="1">
      <c r="A24" s="274" t="s">
        <v>86</v>
      </c>
      <c r="B24" s="273">
        <f>VLOOKUP($A$4:$A$30,'Anuid PJ'!$A$5:$C$31,2,0)</f>
        <v>340</v>
      </c>
      <c r="C24" s="273">
        <f>VLOOKUP($A$4:$A$30,'Anuid PJ'!$A$5:$C$31,3,0)</f>
        <v>135</v>
      </c>
      <c r="D24" s="271">
        <f t="shared" si="3"/>
        <v>0.39705882352941174</v>
      </c>
      <c r="E24" s="272">
        <f>VLOOKUP('ADIMPLÊNCIA PJ'!$A$4:$A$30,'Anuid PJ'!$A$5:$F$31,6,)</f>
        <v>329</v>
      </c>
      <c r="F24" s="272">
        <f>VLOOKUP($A$4:$A$30,'Anuid PJ'!$A$5:$G$31,7,)</f>
        <v>96</v>
      </c>
      <c r="G24" s="272">
        <f>VLOOKUP($A$4:$A$30,'Anuid PJ'!$A$5:$H$31,8,)</f>
        <v>76</v>
      </c>
      <c r="H24" s="272">
        <f t="shared" si="4"/>
        <v>20</v>
      </c>
      <c r="I24" s="574">
        <f t="shared" si="5"/>
        <v>0.2917933130699088</v>
      </c>
      <c r="J24" s="462">
        <f t="shared" si="6"/>
        <v>-3.235294117647058</v>
      </c>
      <c r="K24" s="462">
        <f t="shared" si="7"/>
        <v>-28.888888888888886</v>
      </c>
      <c r="L24" s="462">
        <f t="shared" si="8"/>
        <v>-10.526551045950294</v>
      </c>
      <c r="N24" s="274" t="str">
        <f t="shared" si="9"/>
        <v>MA</v>
      </c>
      <c r="O24" s="553">
        <f t="shared" si="10"/>
        <v>96</v>
      </c>
      <c r="P24" s="574">
        <f t="shared" si="11"/>
        <v>0.2917933130699088</v>
      </c>
    </row>
    <row r="25" spans="1:16" ht="19.5" thickBot="1">
      <c r="A25" s="274" t="s">
        <v>96</v>
      </c>
      <c r="B25" s="273">
        <f>VLOOKUP($A$4:$A$30,'Anuid PJ'!$A$5:$C$31,2,0)</f>
        <v>316</v>
      </c>
      <c r="C25" s="273">
        <f>VLOOKUP($A$4:$A$30,'Anuid PJ'!$A$5:$C$31,3,0)</f>
        <v>149</v>
      </c>
      <c r="D25" s="271">
        <f t="shared" si="3"/>
        <v>0.47151898734177217</v>
      </c>
      <c r="E25" s="272">
        <f>VLOOKUP('ADIMPLÊNCIA PJ'!$A$4:$A$30,'Anuid PJ'!$A$5:$F$31,6,)</f>
        <v>328</v>
      </c>
      <c r="F25" s="272">
        <f>VLOOKUP($A$4:$A$30,'Anuid PJ'!$A$5:$G$31,7,)</f>
        <v>94</v>
      </c>
      <c r="G25" s="272">
        <f>VLOOKUP($A$4:$A$30,'Anuid PJ'!$A$5:$H$31,8,)</f>
        <v>74</v>
      </c>
      <c r="H25" s="272">
        <f t="shared" si="4"/>
        <v>20</v>
      </c>
      <c r="I25" s="574">
        <f t="shared" si="5"/>
        <v>0.28658536585365851</v>
      </c>
      <c r="J25" s="462">
        <f t="shared" si="6"/>
        <v>3.7974683544303787</v>
      </c>
      <c r="K25" s="462">
        <f t="shared" si="7"/>
        <v>-36.912751677852349</v>
      </c>
      <c r="L25" s="462">
        <f t="shared" si="8"/>
        <v>-18.493362148811364</v>
      </c>
      <c r="N25" s="274" t="str">
        <f t="shared" si="9"/>
        <v>RN</v>
      </c>
      <c r="O25" s="553">
        <f t="shared" si="10"/>
        <v>94</v>
      </c>
      <c r="P25" s="574">
        <f t="shared" si="11"/>
        <v>0.28658536585365851</v>
      </c>
    </row>
    <row r="26" spans="1:16" ht="19.5" thickBot="1">
      <c r="A26" s="274" t="s">
        <v>103</v>
      </c>
      <c r="B26" s="273">
        <f>VLOOKUP($A$4:$A$30,'Anuid PJ'!$A$5:$C$31,2,0)</f>
        <v>241</v>
      </c>
      <c r="C26" s="273">
        <f>VLOOKUP($A$4:$A$30,'Anuid PJ'!$A$5:$C$31,3,0)</f>
        <v>100</v>
      </c>
      <c r="D26" s="271">
        <f t="shared" si="3"/>
        <v>0.41493775933609961</v>
      </c>
      <c r="E26" s="272">
        <f>VLOOKUP('ADIMPLÊNCIA PJ'!$A$4:$A$30,'Anuid PJ'!$A$5:$F$31,6,)</f>
        <v>234</v>
      </c>
      <c r="F26" s="272">
        <f>VLOOKUP($A$4:$A$30,'Anuid PJ'!$A$5:$G$31,7,)</f>
        <v>65</v>
      </c>
      <c r="G26" s="272">
        <f>VLOOKUP($A$4:$A$30,'Anuid PJ'!$A$5:$H$31,8,)</f>
        <v>54</v>
      </c>
      <c r="H26" s="272">
        <f t="shared" si="4"/>
        <v>11</v>
      </c>
      <c r="I26" s="574">
        <f t="shared" si="5"/>
        <v>0.27777777777777779</v>
      </c>
      <c r="J26" s="462">
        <f t="shared" si="6"/>
        <v>-2.904564315352701</v>
      </c>
      <c r="K26" s="462">
        <f t="shared" si="7"/>
        <v>-35</v>
      </c>
      <c r="L26" s="462">
        <f t="shared" si="8"/>
        <v>-13.715998155832182</v>
      </c>
      <c r="N26" s="274" t="str">
        <f t="shared" si="9"/>
        <v>TO</v>
      </c>
      <c r="O26" s="553">
        <f t="shared" si="10"/>
        <v>65</v>
      </c>
      <c r="P26" s="574">
        <f t="shared" si="11"/>
        <v>0.27777777777777779</v>
      </c>
    </row>
    <row r="27" spans="1:16" ht="19.5" thickBot="1">
      <c r="A27" s="274" t="s">
        <v>80</v>
      </c>
      <c r="B27" s="273">
        <f>VLOOKUP($A$4:$A$30,'Anuid PJ'!$A$5:$C$31,2,0)</f>
        <v>292</v>
      </c>
      <c r="C27" s="273">
        <f>VLOOKUP($A$4:$A$30,'Anuid PJ'!$A$5:$C$31,3,0)</f>
        <v>143</v>
      </c>
      <c r="D27" s="271">
        <f t="shared" si="3"/>
        <v>0.48972602739726029</v>
      </c>
      <c r="E27" s="272">
        <f>VLOOKUP('ADIMPLÊNCIA PJ'!$A$4:$A$30,'Anuid PJ'!$A$5:$F$31,6,)</f>
        <v>308</v>
      </c>
      <c r="F27" s="272">
        <f>VLOOKUP($A$4:$A$30,'Anuid PJ'!$A$5:$G$31,7,)</f>
        <v>83</v>
      </c>
      <c r="G27" s="272">
        <f>VLOOKUP($A$4:$A$30,'Anuid PJ'!$A$5:$H$31,8,)</f>
        <v>60</v>
      </c>
      <c r="H27" s="272">
        <f t="shared" si="4"/>
        <v>23</v>
      </c>
      <c r="I27" s="574">
        <f t="shared" si="5"/>
        <v>0.26948051948051949</v>
      </c>
      <c r="J27" s="462">
        <f t="shared" si="6"/>
        <v>5.4794520547945211</v>
      </c>
      <c r="K27" s="462">
        <f t="shared" si="7"/>
        <v>-41.95804195804196</v>
      </c>
      <c r="L27" s="462">
        <f t="shared" si="8"/>
        <v>-22.024550791674081</v>
      </c>
      <c r="N27" s="274" t="str">
        <f t="shared" si="9"/>
        <v>AM</v>
      </c>
      <c r="O27" s="553">
        <f t="shared" si="10"/>
        <v>83</v>
      </c>
      <c r="P27" s="574">
        <f t="shared" si="11"/>
        <v>0.26948051948051949</v>
      </c>
    </row>
    <row r="28" spans="1:16" ht="19.5" thickBot="1">
      <c r="A28" s="274" t="s">
        <v>79</v>
      </c>
      <c r="B28" s="273">
        <f>VLOOKUP($A$4:$A$30,'Anuid PJ'!$A$5:$C$31,2,0)</f>
        <v>350</v>
      </c>
      <c r="C28" s="273">
        <f>VLOOKUP($A$4:$A$30,'Anuid PJ'!$A$5:$C$31,3,0)</f>
        <v>110</v>
      </c>
      <c r="D28" s="271">
        <f t="shared" si="3"/>
        <v>0.31428571428571428</v>
      </c>
      <c r="E28" s="272">
        <f>VLOOKUP('ADIMPLÊNCIA PJ'!$A$4:$A$30,'Anuid PJ'!$A$5:$F$31,6,)</f>
        <v>336</v>
      </c>
      <c r="F28" s="272">
        <f>VLOOKUP($A$4:$A$30,'Anuid PJ'!$A$5:$G$31,7,)</f>
        <v>82</v>
      </c>
      <c r="G28" s="272">
        <f>VLOOKUP($A$4:$A$30,'Anuid PJ'!$A$5:$H$31,8,)</f>
        <v>59</v>
      </c>
      <c r="H28" s="272">
        <f t="shared" si="4"/>
        <v>23</v>
      </c>
      <c r="I28" s="574">
        <f t="shared" si="5"/>
        <v>0.24404761904761904</v>
      </c>
      <c r="J28" s="462">
        <f t="shared" si="6"/>
        <v>-4</v>
      </c>
      <c r="K28" s="462">
        <f t="shared" si="7"/>
        <v>-25.454545454545453</v>
      </c>
      <c r="L28" s="462">
        <f t="shared" si="8"/>
        <v>-7.0238095238095237</v>
      </c>
      <c r="N28" s="274" t="str">
        <f t="shared" si="9"/>
        <v>AP</v>
      </c>
      <c r="O28" s="553">
        <f t="shared" si="10"/>
        <v>82</v>
      </c>
      <c r="P28" s="574">
        <f t="shared" si="11"/>
        <v>0.24404761904761904</v>
      </c>
    </row>
    <row r="29" spans="1:16" ht="19.5" thickBot="1">
      <c r="A29" s="274" t="s">
        <v>91</v>
      </c>
      <c r="B29" s="273">
        <f>VLOOKUP($A$4:$A$30,'Anuid PJ'!$A$5:$C$31,2,0)</f>
        <v>562</v>
      </c>
      <c r="C29" s="273">
        <f>VLOOKUP($A$4:$A$30,'Anuid PJ'!$A$5:$C$31,3,0)</f>
        <v>210</v>
      </c>
      <c r="D29" s="271">
        <f t="shared" si="3"/>
        <v>0.37366548042704628</v>
      </c>
      <c r="E29" s="272">
        <f>VLOOKUP('ADIMPLÊNCIA PJ'!$A$4:$A$30,'Anuid PJ'!$A$5:$F$31,6,)</f>
        <v>515</v>
      </c>
      <c r="F29" s="272">
        <f>VLOOKUP($A$4:$A$30,'Anuid PJ'!$A$5:$G$31,7,)</f>
        <v>116</v>
      </c>
      <c r="G29" s="272">
        <f>VLOOKUP($A$4:$A$30,'Anuid PJ'!$A$5:$H$31,8,)</f>
        <v>89</v>
      </c>
      <c r="H29" s="272">
        <f t="shared" si="4"/>
        <v>27</v>
      </c>
      <c r="I29" s="574">
        <f t="shared" si="5"/>
        <v>0.22524271844660193</v>
      </c>
      <c r="J29" s="462">
        <f t="shared" si="6"/>
        <v>-8.3629893238434221</v>
      </c>
      <c r="K29" s="462">
        <f t="shared" si="7"/>
        <v>-44.761904761904759</v>
      </c>
      <c r="L29" s="462">
        <f t="shared" si="8"/>
        <v>-14.842276198044434</v>
      </c>
      <c r="N29" s="274" t="str">
        <f t="shared" si="9"/>
        <v>PB</v>
      </c>
      <c r="O29" s="553">
        <f t="shared" si="10"/>
        <v>116</v>
      </c>
      <c r="P29" s="574">
        <f t="shared" si="11"/>
        <v>0.22524271844660193</v>
      </c>
    </row>
    <row r="30" spans="1:16" ht="19.5" thickBot="1">
      <c r="A30" s="274" t="s">
        <v>99</v>
      </c>
      <c r="B30" s="273">
        <f>VLOOKUP($A$4:$A$30,'Anuid PJ'!$A$5:$C$31,2,0)</f>
        <v>64</v>
      </c>
      <c r="C30" s="273">
        <f>VLOOKUP($A$4:$A$30,'Anuid PJ'!$A$5:$C$31,3,0)</f>
        <v>25</v>
      </c>
      <c r="D30" s="271">
        <f t="shared" si="3"/>
        <v>0.390625</v>
      </c>
      <c r="E30" s="272">
        <f>VLOOKUP('ADIMPLÊNCIA PJ'!$A$4:$A$30,'Anuid PJ'!$A$5:$F$31,6,)</f>
        <v>67</v>
      </c>
      <c r="F30" s="272">
        <f>VLOOKUP($A$4:$A$30,'Anuid PJ'!$A$5:$G$31,7,)</f>
        <v>15</v>
      </c>
      <c r="G30" s="272">
        <f>VLOOKUP($A$4:$A$30,'Anuid PJ'!$A$5:$H$31,8,)</f>
        <v>12</v>
      </c>
      <c r="H30" s="272">
        <f t="shared" si="4"/>
        <v>3</v>
      </c>
      <c r="I30" s="574">
        <f t="shared" si="5"/>
        <v>0.22388059701492538</v>
      </c>
      <c r="J30" s="462">
        <f t="shared" si="6"/>
        <v>4.6875</v>
      </c>
      <c r="K30" s="462">
        <f t="shared" si="7"/>
        <v>-40</v>
      </c>
      <c r="L30" s="462">
        <f t="shared" si="8"/>
        <v>-16.674440298507463</v>
      </c>
      <c r="N30" s="274" t="str">
        <f t="shared" si="9"/>
        <v>RR</v>
      </c>
      <c r="O30" s="553">
        <f t="shared" si="10"/>
        <v>15</v>
      </c>
      <c r="P30" s="574">
        <f t="shared" si="11"/>
        <v>0.22388059701492538</v>
      </c>
    </row>
    <row r="31" spans="1:16" ht="24" customHeight="1" thickBot="1">
      <c r="A31" s="270" t="s">
        <v>34</v>
      </c>
      <c r="B31" s="268">
        <f>SUM(B4:B30)</f>
        <v>31610</v>
      </c>
      <c r="C31" s="268">
        <f>SUM(C4:C30)</f>
        <v>17427</v>
      </c>
      <c r="D31" s="269">
        <f t="shared" ref="D31" si="12">C31/B31</f>
        <v>0.55131287567225562</v>
      </c>
      <c r="E31" s="268">
        <f>SUM(E4:E30)</f>
        <v>30981</v>
      </c>
      <c r="F31" s="268">
        <f>SUM(F4:F30)</f>
        <v>14640</v>
      </c>
      <c r="G31" s="268">
        <f>SUM(G4:G30)</f>
        <v>11448</v>
      </c>
      <c r="H31" s="268">
        <f t="shared" ref="H31:H33" si="13">F31-G31</f>
        <v>3192</v>
      </c>
      <c r="I31" s="575">
        <f t="shared" ref="I31" si="14">F31/E31</f>
        <v>0.47254769051999612</v>
      </c>
      <c r="J31" s="267">
        <f t="shared" ref="J31:J33" si="15">E31/B31*100-100</f>
        <v>-1.9898766213223666</v>
      </c>
      <c r="K31" s="267">
        <f t="shared" ref="K31:K33" si="16">F31/C31*100-100</f>
        <v>-15.99242554656567</v>
      </c>
      <c r="L31" s="267">
        <f t="shared" ref="L31" si="17">(I31-D31)*100</f>
        <v>-7.8765185152259498</v>
      </c>
      <c r="N31" s="270" t="str">
        <f t="shared" ref="N31" si="18">A31</f>
        <v xml:space="preserve">TOTAL </v>
      </c>
      <c r="O31" s="268">
        <f t="shared" ref="O31" si="19">F31</f>
        <v>14640</v>
      </c>
      <c r="P31" s="575">
        <f t="shared" ref="P31:P35" si="20">I31</f>
        <v>0.47254769051999612</v>
      </c>
    </row>
    <row r="32" spans="1:16" ht="19.5" hidden="1" thickBot="1">
      <c r="A32" s="173"/>
      <c r="B32" s="173"/>
      <c r="C32" s="173"/>
      <c r="D32" s="265" t="e">
        <f>C32/B32*100</f>
        <v>#DIV/0!</v>
      </c>
      <c r="E32" s="173"/>
      <c r="F32" s="173"/>
      <c r="G32" s="173"/>
      <c r="H32" s="266">
        <f t="shared" si="13"/>
        <v>0</v>
      </c>
      <c r="I32" s="265" t="e">
        <f>F32/E32*100</f>
        <v>#DIV/0!</v>
      </c>
      <c r="J32" s="264" t="e">
        <f t="shared" si="15"/>
        <v>#DIV/0!</v>
      </c>
      <c r="K32" s="264" t="e">
        <f t="shared" si="16"/>
        <v>#DIV/0!</v>
      </c>
      <c r="L32" s="264" t="e">
        <f t="shared" ref="L32:L33" si="21">I32-D32</f>
        <v>#DIV/0!</v>
      </c>
      <c r="N32" s="169"/>
      <c r="O32" s="169"/>
      <c r="P32" s="35" t="e">
        <f t="shared" si="20"/>
        <v>#DIV/0!</v>
      </c>
    </row>
    <row r="33" spans="1:16" ht="19.5" hidden="1" thickBot="1">
      <c r="A33" s="261" t="s">
        <v>362</v>
      </c>
      <c r="B33" s="173"/>
      <c r="C33" s="173"/>
      <c r="D33" s="265" t="e">
        <f>C33/B33*100</f>
        <v>#DIV/0!</v>
      </c>
      <c r="E33" s="173"/>
      <c r="F33" s="173"/>
      <c r="G33" s="173"/>
      <c r="H33" s="266">
        <f t="shared" si="13"/>
        <v>0</v>
      </c>
      <c r="I33" s="265" t="e">
        <f>F33/E33*100</f>
        <v>#DIV/0!</v>
      </c>
      <c r="J33" s="264" t="e">
        <f t="shared" si="15"/>
        <v>#DIV/0!</v>
      </c>
      <c r="K33" s="264" t="e">
        <f t="shared" si="16"/>
        <v>#DIV/0!</v>
      </c>
      <c r="L33" s="264" t="e">
        <f t="shared" si="21"/>
        <v>#DIV/0!</v>
      </c>
      <c r="N33" s="169"/>
      <c r="O33" s="169"/>
      <c r="P33" s="35" t="e">
        <f t="shared" si="20"/>
        <v>#DIV/0!</v>
      </c>
    </row>
    <row r="34" spans="1:16" ht="18.75" hidden="1">
      <c r="A34" s="261"/>
      <c r="B34" s="263"/>
      <c r="C34" s="263"/>
      <c r="D34" s="173"/>
      <c r="E34" s="259">
        <v>20296</v>
      </c>
      <c r="F34" s="259">
        <v>11801</v>
      </c>
      <c r="G34" s="259">
        <v>7956</v>
      </c>
      <c r="H34" s="259">
        <v>3845</v>
      </c>
      <c r="I34" s="262">
        <v>58.14446196294837</v>
      </c>
      <c r="J34" s="173"/>
      <c r="K34" s="173"/>
      <c r="L34" s="173"/>
      <c r="P34" s="35">
        <f t="shared" si="20"/>
        <v>58.14446196294837</v>
      </c>
    </row>
    <row r="35" spans="1:16" ht="18.75" hidden="1">
      <c r="A35" s="261"/>
      <c r="B35" s="260">
        <f>'Anuid PJ'!B34</f>
        <v>31610</v>
      </c>
      <c r="C35" s="260">
        <f>'Anuid PJ'!C34</f>
        <v>17427</v>
      </c>
      <c r="D35" s="173"/>
      <c r="E35" s="259">
        <v>21816</v>
      </c>
      <c r="F35" s="259">
        <f>'Anuid PJ'!G34</f>
        <v>14640</v>
      </c>
      <c r="G35" s="259">
        <v>4988</v>
      </c>
      <c r="H35" s="259">
        <f>'Anuid PJ'!I34</f>
        <v>3192</v>
      </c>
      <c r="I35" s="258"/>
      <c r="J35" s="173"/>
      <c r="K35" s="173"/>
      <c r="L35" s="173"/>
      <c r="P35" s="35">
        <f t="shared" si="20"/>
        <v>0</v>
      </c>
    </row>
    <row r="36" spans="1:16" ht="18.75" customHeight="1">
      <c r="A36" s="953" t="s">
        <v>394</v>
      </c>
      <c r="B36" s="954"/>
      <c r="C36" s="955"/>
      <c r="D36" s="463">
        <f>I31</f>
        <v>0.47254769051999612</v>
      </c>
      <c r="E36" s="341"/>
      <c r="F36" s="173"/>
      <c r="G36" s="173"/>
      <c r="H36" s="173"/>
      <c r="I36" s="257"/>
      <c r="J36" s="173"/>
      <c r="K36" s="173"/>
      <c r="L36" s="173"/>
    </row>
    <row r="37" spans="1:16" ht="21" customHeight="1" thickBot="1">
      <c r="A37" s="956" t="s">
        <v>393</v>
      </c>
      <c r="B37" s="957"/>
      <c r="C37" s="957"/>
      <c r="D37" s="340">
        <f>I31</f>
        <v>0.47254769051999612</v>
      </c>
      <c r="E37" s="342"/>
      <c r="F37" s="256"/>
      <c r="G37" s="256"/>
      <c r="H37" s="173"/>
      <c r="I37" s="173"/>
      <c r="J37" s="173"/>
      <c r="K37" s="173"/>
      <c r="L37" s="173"/>
    </row>
    <row r="38" spans="1:16">
      <c r="B38" s="169">
        <f>'Anuid PJ'!B34</f>
        <v>31610</v>
      </c>
      <c r="C38" s="169">
        <f>'Anuid PJ'!C34</f>
        <v>17427</v>
      </c>
      <c r="E38" s="145">
        <f>'Anuid PJ'!F34</f>
        <v>30981</v>
      </c>
      <c r="F38" s="145">
        <f>'Anuid PJ'!G34</f>
        <v>14640</v>
      </c>
      <c r="G38" s="145">
        <f>'Anuid PJ'!H34</f>
        <v>11448</v>
      </c>
      <c r="H38" s="145">
        <f>'Anuid PJ'!I34</f>
        <v>3192</v>
      </c>
      <c r="I38" s="176">
        <f>'Anuid PJ'!J34</f>
        <v>47.25476905199961</v>
      </c>
    </row>
    <row r="39" spans="1:16" ht="18.75" customHeight="1">
      <c r="A39" s="158"/>
      <c r="B39" s="255" t="b">
        <f>B31=B38</f>
        <v>1</v>
      </c>
      <c r="C39" s="255" t="b">
        <f>C31=C38</f>
        <v>1</v>
      </c>
      <c r="E39" s="254" t="b">
        <f>E31=E38</f>
        <v>1</v>
      </c>
      <c r="F39" s="254" t="b">
        <f>F31=F38</f>
        <v>1</v>
      </c>
      <c r="G39" s="254" t="b">
        <f>G31=G38</f>
        <v>1</v>
      </c>
      <c r="H39" s="254" t="b">
        <f>H31=H38</f>
        <v>1</v>
      </c>
      <c r="I39" s="254" t="b">
        <f>I31=I38/100</f>
        <v>1</v>
      </c>
      <c r="J39" s="253"/>
      <c r="K39" s="164"/>
      <c r="L39" s="163"/>
    </row>
    <row r="40" spans="1:16" ht="26.25">
      <c r="A40" s="158"/>
      <c r="B40" s="161"/>
      <c r="C40" s="161"/>
      <c r="D40" s="162"/>
      <c r="E40" s="161"/>
      <c r="F40" s="158"/>
      <c r="G40" s="161"/>
      <c r="H40" s="158"/>
      <c r="J40" s="172"/>
      <c r="K40" s="160"/>
      <c r="L40" s="159"/>
    </row>
    <row r="41" spans="1:16" ht="26.25">
      <c r="A41" s="158"/>
      <c r="B41" s="161"/>
      <c r="C41" s="161"/>
      <c r="D41" s="162"/>
      <c r="E41" s="161"/>
      <c r="F41" s="158"/>
      <c r="G41" s="161"/>
      <c r="H41" s="158"/>
      <c r="I41" s="155"/>
      <c r="J41" s="172"/>
      <c r="K41" s="160"/>
      <c r="L41" s="159"/>
    </row>
  </sheetData>
  <sortState ref="A4:L30">
    <sortCondition descending="1" ref="I4:I30"/>
  </sortState>
  <mergeCells count="6">
    <mergeCell ref="A37:C37"/>
    <mergeCell ref="B1:L1"/>
    <mergeCell ref="B2:D2"/>
    <mergeCell ref="E2:I2"/>
    <mergeCell ref="J2:L2"/>
    <mergeCell ref="A36:C36"/>
  </mergeCells>
  <conditionalFormatting sqref="I4:I30">
    <cfRule type="cellIs" dxfId="89" priority="23" operator="lessThan">
      <formula>$I$31</formula>
    </cfRule>
    <cfRule type="cellIs" dxfId="88" priority="24" operator="greaterThan">
      <formula>$I$31</formula>
    </cfRule>
    <cfRule type="cellIs" dxfId="87" priority="43" operator="lessThan">
      <formula>$I$31</formula>
    </cfRule>
    <cfRule type="cellIs" dxfId="86" priority="47" operator="greaterThanOrEqual">
      <formula>$I$31</formula>
    </cfRule>
  </conditionalFormatting>
  <conditionalFormatting sqref="I11:I14">
    <cfRule type="cellIs" dxfId="85" priority="41" operator="lessThan">
      <formula>$I$31</formula>
    </cfRule>
    <cfRule type="cellIs" dxfId="84" priority="42" operator="greaterThanOrEqual">
      <formula>$I$31</formula>
    </cfRule>
  </conditionalFormatting>
  <conditionalFormatting sqref="I7:I10">
    <cfRule type="cellIs" dxfId="83" priority="39" operator="lessThan">
      <formula>$I$31</formula>
    </cfRule>
    <cfRule type="cellIs" dxfId="82" priority="40" operator="greaterThanOrEqual">
      <formula>$I$31</formula>
    </cfRule>
  </conditionalFormatting>
  <conditionalFormatting sqref="I4:I30">
    <cfRule type="cellIs" dxfId="81" priority="25" operator="greaterThan">
      <formula>$I$31</formula>
    </cfRule>
    <cfRule type="cellIs" dxfId="80" priority="26" operator="lessThan">
      <formula>$I$31</formula>
    </cfRule>
    <cfRule type="cellIs" dxfId="79" priority="27" operator="lessThan">
      <formula>$I$31</formula>
    </cfRule>
    <cfRule type="cellIs" dxfId="78" priority="28" operator="lessThan">
      <formula>32.3</formula>
    </cfRule>
    <cfRule type="cellIs" dxfId="77" priority="29" operator="greaterThan">
      <formula>30.7</formula>
    </cfRule>
    <cfRule type="cellIs" dxfId="76" priority="30" operator="lessThan">
      <formula>30.7</formula>
    </cfRule>
    <cfRule type="cellIs" dxfId="75" priority="31" operator="greaterThan">
      <formula>31.3</formula>
    </cfRule>
    <cfRule type="cellIs" dxfId="74" priority="32" operator="lessThan">
      <formula>54.3</formula>
    </cfRule>
    <cfRule type="cellIs" dxfId="73" priority="33" operator="greaterThan">
      <formula>21.6</formula>
    </cfRule>
    <cfRule type="cellIs" dxfId="72" priority="34" operator="lessThan">
      <formula>54.3</formula>
    </cfRule>
    <cfRule type="cellIs" dxfId="71" priority="35" operator="lessThan">
      <formula>53.7</formula>
    </cfRule>
    <cfRule type="cellIs" dxfId="70" priority="37" operator="greaterThan">
      <formula>50.2</formula>
    </cfRule>
    <cfRule type="cellIs" dxfId="69" priority="38" operator="lessThan">
      <formula>51.6</formula>
    </cfRule>
  </conditionalFormatting>
  <conditionalFormatting sqref="I10:I30">
    <cfRule type="cellIs" dxfId="68" priority="36" operator="lessThan">
      <formula>51.1</formula>
    </cfRule>
  </conditionalFormatting>
  <conditionalFormatting sqref="P4:P30">
    <cfRule type="cellIs" dxfId="67" priority="1" operator="lessThan">
      <formula>$I$31</formula>
    </cfRule>
    <cfRule type="cellIs" dxfId="66" priority="2" operator="greaterThan">
      <formula>$I$31</formula>
    </cfRule>
    <cfRule type="cellIs" dxfId="65" priority="21" operator="lessThan">
      <formula>$I$31</formula>
    </cfRule>
    <cfRule type="cellIs" dxfId="64" priority="22" operator="greaterThanOrEqual">
      <formula>$I$31</formula>
    </cfRule>
  </conditionalFormatting>
  <conditionalFormatting sqref="P11:P14">
    <cfRule type="cellIs" dxfId="63" priority="19" operator="lessThan">
      <formula>$I$31</formula>
    </cfRule>
    <cfRule type="cellIs" dxfId="62" priority="20" operator="greaterThanOrEqual">
      <formula>$I$31</formula>
    </cfRule>
  </conditionalFormatting>
  <conditionalFormatting sqref="P7:P10">
    <cfRule type="cellIs" dxfId="61" priority="17" operator="lessThan">
      <formula>$I$31</formula>
    </cfRule>
    <cfRule type="cellIs" dxfId="60" priority="18" operator="greaterThanOrEqual">
      <formula>$I$31</formula>
    </cfRule>
  </conditionalFormatting>
  <conditionalFormatting sqref="P4:P30">
    <cfRule type="cellIs" dxfId="59" priority="3" operator="greaterThan">
      <formula>$I$31</formula>
    </cfRule>
    <cfRule type="cellIs" dxfId="58" priority="4" operator="lessThan">
      <formula>$I$31</formula>
    </cfRule>
    <cfRule type="cellIs" dxfId="57" priority="5" operator="lessThan">
      <formula>$I$31</formula>
    </cfRule>
    <cfRule type="cellIs" dxfId="56" priority="6" operator="lessThan">
      <formula>32.3</formula>
    </cfRule>
    <cfRule type="cellIs" dxfId="55" priority="7" operator="greaterThan">
      <formula>30.7</formula>
    </cfRule>
    <cfRule type="cellIs" dxfId="54" priority="8" operator="lessThan">
      <formula>30.7</formula>
    </cfRule>
    <cfRule type="cellIs" dxfId="53" priority="9" operator="greaterThan">
      <formula>31.3</formula>
    </cfRule>
    <cfRule type="cellIs" dxfId="52" priority="10" operator="lessThan">
      <formula>54.3</formula>
    </cfRule>
    <cfRule type="cellIs" dxfId="51" priority="11" operator="greaterThan">
      <formula>21.6</formula>
    </cfRule>
    <cfRule type="cellIs" dxfId="50" priority="12" operator="lessThan">
      <formula>54.3</formula>
    </cfRule>
    <cfRule type="cellIs" dxfId="49" priority="13" operator="lessThan">
      <formula>53.7</formula>
    </cfRule>
    <cfRule type="cellIs" dxfId="48" priority="15" operator="greaterThan">
      <formula>50.2</formula>
    </cfRule>
    <cfRule type="cellIs" dxfId="47" priority="16" operator="lessThan">
      <formula>51.6</formula>
    </cfRule>
  </conditionalFormatting>
  <conditionalFormatting sqref="P10:P30">
    <cfRule type="cellIs" dxfId="46" priority="14" operator="lessThan">
      <formula>51.1</formula>
    </cfRule>
  </conditionalFormatting>
  <pageMargins left="0.511811024" right="0.511811024" top="0.78740157499999996" bottom="0.78740157499999996" header="0.31496062000000002" footer="0.31496062000000002"/>
  <pageSetup paperSize="9" scale="67" fitToWidth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7">
    <tabColor theme="3"/>
  </sheetPr>
  <dimension ref="A1:O45"/>
  <sheetViews>
    <sheetView showGridLines="0" zoomScale="75" zoomScaleNormal="75" workbookViewId="0">
      <selection activeCell="W28" sqref="W28"/>
    </sheetView>
  </sheetViews>
  <sheetFormatPr defaultColWidth="9.140625" defaultRowHeight="15"/>
  <cols>
    <col min="1" max="1" width="16.42578125" style="68" customWidth="1"/>
    <col min="2" max="10" width="16.42578125" style="168" customWidth="1"/>
    <col min="11" max="13" width="13.42578125" style="168" bestFit="1" customWidth="1"/>
    <col min="14" max="14" width="6.5703125" style="168" bestFit="1" customWidth="1"/>
    <col min="15" max="16384" width="9.140625" style="168"/>
  </cols>
  <sheetData>
    <row r="1" spans="1:15" ht="15.75" thickBot="1"/>
    <row r="2" spans="1:15" ht="16.5" customHeight="1" thickBot="1">
      <c r="A2" s="965" t="s">
        <v>358</v>
      </c>
      <c r="B2" s="966" t="s">
        <v>119</v>
      </c>
      <c r="C2" s="967"/>
      <c r="D2" s="968"/>
      <c r="E2" s="969" t="s">
        <v>243</v>
      </c>
      <c r="F2" s="970"/>
      <c r="G2" s="971"/>
      <c r="H2" s="969" t="s">
        <v>365</v>
      </c>
      <c r="I2" s="970" t="s">
        <v>243</v>
      </c>
      <c r="J2" s="971"/>
    </row>
    <row r="3" spans="1:15" ht="46.5" customHeight="1" thickBot="1">
      <c r="A3" s="965"/>
      <c r="B3" s="279" t="s">
        <v>366</v>
      </c>
      <c r="C3" s="279" t="s">
        <v>417</v>
      </c>
      <c r="D3" s="279" t="s">
        <v>367</v>
      </c>
      <c r="E3" s="464" t="s">
        <v>366</v>
      </c>
      <c r="F3" s="464" t="s">
        <v>368</v>
      </c>
      <c r="G3" s="464" t="str">
        <f>D3</f>
        <v>RRT por Profissional</v>
      </c>
      <c r="H3" s="464" t="str">
        <f>E3</f>
        <v xml:space="preserve">Total RRT </v>
      </c>
      <c r="I3" s="464" t="str">
        <f>F3</f>
        <v>Ativos PF</v>
      </c>
      <c r="J3" s="464" t="str">
        <f>G3</f>
        <v>RRT por Profissional</v>
      </c>
      <c r="K3" s="305" t="s">
        <v>28</v>
      </c>
      <c r="L3" s="305" t="s">
        <v>173</v>
      </c>
      <c r="M3" s="305" t="s">
        <v>384</v>
      </c>
      <c r="O3" s="524"/>
    </row>
    <row r="4" spans="1:15" ht="16.5" thickBot="1">
      <c r="A4" s="280" t="s">
        <v>77</v>
      </c>
      <c r="B4" s="281">
        <f>VLOOKUP($A$4:$A$34,RRT!$A$4:$B$30,2,0)</f>
        <v>2852</v>
      </c>
      <c r="C4" s="281">
        <f>VLOOKUP($A$4:$A$34,'Anuid PF'!$A$5:$B$31,2,0)</f>
        <v>720</v>
      </c>
      <c r="D4" s="282">
        <f>B4/C4</f>
        <v>3.9611111111111112</v>
      </c>
      <c r="E4" s="283">
        <f>VLOOKUP($A$4:$A$34,RRT!$A$4:$D$30,4,0)</f>
        <v>2236</v>
      </c>
      <c r="F4" s="283">
        <f>VLOOKUP($A$4:$A$34,'Anuid PF'!$A$5:$G$31,7,)</f>
        <v>739</v>
      </c>
      <c r="G4" s="284">
        <f t="shared" ref="G4:G36" si="0">E4/F4</f>
        <v>3.0257104194857916</v>
      </c>
      <c r="H4" s="285">
        <f>E4/B4*100</f>
        <v>78.401122019635338</v>
      </c>
      <c r="I4" s="285">
        <f>F4/C4*100</f>
        <v>102.63888888888889</v>
      </c>
      <c r="J4" s="285">
        <f>G4/D4*100</f>
        <v>76.385396284353774</v>
      </c>
      <c r="K4" s="168" t="b">
        <f>VLOOKUP($A$4:$A$34,'Relatórios - SICCAU e IGEO'!$A$3:$G$29,7,)=E4</f>
        <v>1</v>
      </c>
      <c r="L4" s="168" t="b">
        <f>VLOOKUP($A$4:$A$34,'Anuid PF'!$A$5:$G$31,7,)=F4</f>
        <v>1</v>
      </c>
      <c r="M4" s="168" t="b">
        <f>VLOOKUP($A$4:$A$34,'Dados - Receita e Qntd'!$A$4:$AF$30,32,)=G4</f>
        <v>1</v>
      </c>
      <c r="O4" s="525"/>
    </row>
    <row r="5" spans="1:15" ht="16.5" thickBot="1">
      <c r="A5" s="286" t="s">
        <v>80</v>
      </c>
      <c r="B5" s="281">
        <f>VLOOKUP($A$4:$A$34,RRT!$A$4:$B$30,2,0)</f>
        <v>7792</v>
      </c>
      <c r="C5" s="281">
        <f>VLOOKUP($A$4:$A$34,'Anuid PF'!$A$5:$B$31,2,0)</f>
        <v>2347</v>
      </c>
      <c r="D5" s="282">
        <f t="shared" ref="D5:D36" si="1">B5/C5</f>
        <v>3.3199829569663399</v>
      </c>
      <c r="E5" s="283">
        <f>VLOOKUP($A$4:$A$34,RRT!$A$4:$D$30,4,0)</f>
        <v>6159</v>
      </c>
      <c r="F5" s="283">
        <f>VLOOKUP($A$4:$A$34,'Anuid PF'!$A$5:$G$31,7,)</f>
        <v>2353</v>
      </c>
      <c r="G5" s="284">
        <f t="shared" si="0"/>
        <v>2.6175095622609437</v>
      </c>
      <c r="H5" s="285">
        <f t="shared" ref="H5:J35" si="2">E5/B5*100</f>
        <v>79.042607802874741</v>
      </c>
      <c r="I5" s="285">
        <f t="shared" si="2"/>
        <v>100.25564550489987</v>
      </c>
      <c r="J5" s="285">
        <f t="shared" si="2"/>
        <v>78.84105419181769</v>
      </c>
      <c r="K5" s="321" t="b">
        <f>VLOOKUP($A$4:$A$34,'Relatórios - SICCAU e IGEO'!$A$3:$G$29,7,)=E5</f>
        <v>1</v>
      </c>
      <c r="L5" s="168" t="b">
        <f>VLOOKUP($A$4:$A$34,'Anuid PF'!$A$5:$G$31,7,)=F5</f>
        <v>1</v>
      </c>
      <c r="M5" s="168" t="b">
        <f>VLOOKUP($A$4:$A$34,'Dados - Receita e Qntd'!$A$4:$AF$30,32,)=G5</f>
        <v>1</v>
      </c>
    </row>
    <row r="6" spans="1:15" ht="16.5" thickBot="1">
      <c r="A6" s="286" t="s">
        <v>79</v>
      </c>
      <c r="B6" s="281">
        <f>VLOOKUP($A$4:$A$34,RRT!$A$4:$B$30,2,0)</f>
        <v>3587</v>
      </c>
      <c r="C6" s="281">
        <f>VLOOKUP($A$4:$A$34,'Anuid PF'!$A$5:$B$31,2,0)</f>
        <v>883</v>
      </c>
      <c r="D6" s="282">
        <f t="shared" si="1"/>
        <v>4.062287655719139</v>
      </c>
      <c r="E6" s="283">
        <f>VLOOKUP($A$4:$A$34,RRT!$A$4:$D$30,4,0)</f>
        <v>3083</v>
      </c>
      <c r="F6" s="283">
        <f>VLOOKUP($A$4:$A$34,'Anuid PF'!$A$5:$G$31,7,)</f>
        <v>886</v>
      </c>
      <c r="G6" s="284">
        <f>E6/F6</f>
        <v>3.479683972911964</v>
      </c>
      <c r="H6" s="285">
        <f t="shared" si="2"/>
        <v>85.949261221076114</v>
      </c>
      <c r="I6" s="285">
        <f t="shared" si="2"/>
        <v>100.33975084937711</v>
      </c>
      <c r="J6" s="285">
        <f t="shared" si="2"/>
        <v>85.658236634548771</v>
      </c>
      <c r="K6" s="321" t="b">
        <f>VLOOKUP($A$4:$A$34,'Relatórios - SICCAU e IGEO'!$A$3:$G$29,7,)=E6</f>
        <v>1</v>
      </c>
      <c r="L6" s="168" t="b">
        <f>VLOOKUP($A$4:$A$34,'Anuid PF'!$A$5:$G$31,7,)=F6</f>
        <v>1</v>
      </c>
      <c r="M6" s="168" t="b">
        <f>VLOOKUP($A$4:$A$34,'Dados - Receita e Qntd'!$A$4:$AF$30,32,)=G6</f>
        <v>1</v>
      </c>
    </row>
    <row r="7" spans="1:15" ht="16.5" thickBot="1">
      <c r="A7" s="286" t="s">
        <v>90</v>
      </c>
      <c r="B7" s="281">
        <f>VLOOKUP($A$4:$A$34,RRT!$A$4:$B$30,2,0)</f>
        <v>10675</v>
      </c>
      <c r="C7" s="281">
        <f>VLOOKUP($A$4:$A$34,'Anuid PF'!$A$5:$B$31,2,0)</f>
        <v>3253</v>
      </c>
      <c r="D7" s="282">
        <f t="shared" si="1"/>
        <v>3.2815862280971411</v>
      </c>
      <c r="E7" s="283">
        <f>VLOOKUP($A$4:$A$34,RRT!$A$4:$D$30,4,0)</f>
        <v>9011</v>
      </c>
      <c r="F7" s="283">
        <f>VLOOKUP($A$4:$A$34,'Anuid PF'!$A$5:$G$31,7,)</f>
        <v>3301</v>
      </c>
      <c r="G7" s="284">
        <f>E7/F7</f>
        <v>2.7297788548924569</v>
      </c>
      <c r="H7" s="285">
        <f t="shared" si="2"/>
        <v>84.412177985948475</v>
      </c>
      <c r="I7" s="285">
        <f t="shared" si="2"/>
        <v>101.47556102059639</v>
      </c>
      <c r="J7" s="285">
        <f t="shared" si="2"/>
        <v>83.184736439954676</v>
      </c>
      <c r="K7" s="321" t="b">
        <f>VLOOKUP($A$4:$A$34,'Relatórios - SICCAU e IGEO'!$A$3:$G$29,7,)=E7</f>
        <v>1</v>
      </c>
      <c r="L7" s="168" t="b">
        <f>VLOOKUP($A$4:$A$34,'Anuid PF'!$A$5:$G$31,7,)=F7</f>
        <v>1</v>
      </c>
      <c r="M7" s="168" t="b">
        <f>VLOOKUP($A$4:$A$34,'Dados - Receita e Qntd'!$A$4:$AF$30,32,)=G7</f>
        <v>1</v>
      </c>
    </row>
    <row r="8" spans="1:15" ht="16.5" thickBot="1">
      <c r="A8" s="286" t="s">
        <v>98</v>
      </c>
      <c r="B8" s="281">
        <f>VLOOKUP($A$4:$A$34,RRT!$A$4:$B$30,2,0)</f>
        <v>11007</v>
      </c>
      <c r="C8" s="281">
        <f>VLOOKUP($A$4:$A$34,'Anuid PF'!$A$5:$B$31,2,0)</f>
        <v>1461.8</v>
      </c>
      <c r="D8" s="282">
        <f t="shared" si="1"/>
        <v>7.5297578328088663</v>
      </c>
      <c r="E8" s="283">
        <f>VLOOKUP($A$4:$A$34,RRT!$A$4:$D$30,4,0)</f>
        <v>7167</v>
      </c>
      <c r="F8" s="283">
        <f>VLOOKUP($A$4:$A$34,'Anuid PF'!$A$5:$G$31,7,)</f>
        <v>1471</v>
      </c>
      <c r="G8" s="284">
        <f>E8/F8</f>
        <v>4.8721957851801498</v>
      </c>
      <c r="H8" s="285">
        <f t="shared" si="2"/>
        <v>65.113109839193243</v>
      </c>
      <c r="I8" s="285">
        <f t="shared" si="2"/>
        <v>100.62936106170474</v>
      </c>
      <c r="J8" s="285">
        <f t="shared" si="2"/>
        <v>64.705876249444373</v>
      </c>
      <c r="K8" s="321" t="b">
        <f>VLOOKUP($A$4:$A$34,'Relatórios - SICCAU e IGEO'!$A$3:$G$29,7,)=E8</f>
        <v>1</v>
      </c>
      <c r="L8" s="168" t="b">
        <f>VLOOKUP($A$4:$A$34,'Anuid PF'!$A$5:$G$31,7,)=F8</f>
        <v>1</v>
      </c>
      <c r="M8" s="168" t="b">
        <f>VLOOKUP($A$4:$A$34,'Dados - Receita e Qntd'!$A$4:$AF$30,32,)=G8</f>
        <v>1</v>
      </c>
    </row>
    <row r="9" spans="1:15" ht="16.5" thickBot="1">
      <c r="A9" s="286" t="s">
        <v>99</v>
      </c>
      <c r="B9" s="281">
        <f>VLOOKUP($A$4:$A$34,RRT!$A$4:$B$30,2,0)</f>
        <v>1377</v>
      </c>
      <c r="C9" s="281">
        <f>VLOOKUP($A$4:$A$34,'Anuid PF'!$A$5:$B$31,2,0)</f>
        <v>255</v>
      </c>
      <c r="D9" s="282">
        <f t="shared" si="1"/>
        <v>5.4</v>
      </c>
      <c r="E9" s="283">
        <f>VLOOKUP($A$4:$A$34,RRT!$A$4:$D$30,4,0)</f>
        <v>1296</v>
      </c>
      <c r="F9" s="283">
        <f>VLOOKUP($A$4:$A$34,'Anuid PF'!$A$5:$G$31,7,)</f>
        <v>253</v>
      </c>
      <c r="G9" s="284">
        <f t="shared" si="0"/>
        <v>5.1225296442687744</v>
      </c>
      <c r="H9" s="285">
        <f t="shared" si="2"/>
        <v>94.117647058823522</v>
      </c>
      <c r="I9" s="285">
        <f t="shared" si="2"/>
        <v>99.215686274509807</v>
      </c>
      <c r="J9" s="285">
        <f t="shared" si="2"/>
        <v>94.861660079051376</v>
      </c>
      <c r="K9" s="321" t="b">
        <f>VLOOKUP($A$4:$A$34,'Relatórios - SICCAU e IGEO'!$A$3:$G$29,7,)=E9</f>
        <v>1</v>
      </c>
      <c r="L9" s="168" t="b">
        <f>VLOOKUP($A$4:$A$34,'Anuid PF'!$A$5:$G$31,7,)=F9</f>
        <v>1</v>
      </c>
      <c r="M9" s="168" t="b">
        <f>VLOOKUP($A$4:$A$34,'Dados - Receita e Qntd'!$A$4:$AF$30,32,)=G9</f>
        <v>1</v>
      </c>
    </row>
    <row r="10" spans="1:15" ht="16.5" thickBot="1">
      <c r="A10" s="286" t="s">
        <v>103</v>
      </c>
      <c r="B10" s="281">
        <f>VLOOKUP($A$4:$A$34,RRT!$A$4:$B$30,2,0)</f>
        <v>5747</v>
      </c>
      <c r="C10" s="281">
        <f>VLOOKUP($A$4:$A$34,'Anuid PF'!$A$5:$B$31,2,0)</f>
        <v>923</v>
      </c>
      <c r="D10" s="282">
        <f t="shared" si="1"/>
        <v>6.2264355362946908</v>
      </c>
      <c r="E10" s="283">
        <f>VLOOKUP($A$4:$A$34,RRT!$A$4:$D$30,4,0)</f>
        <v>3990</v>
      </c>
      <c r="F10" s="283">
        <f>VLOOKUP($A$4:$A$34,'Anuid PF'!$A$5:$G$31,7,)</f>
        <v>933</v>
      </c>
      <c r="G10" s="284">
        <f t="shared" si="0"/>
        <v>4.276527331189711</v>
      </c>
      <c r="H10" s="285">
        <f t="shared" si="2"/>
        <v>69.427527405602916</v>
      </c>
      <c r="I10" s="285">
        <f t="shared" si="2"/>
        <v>101.0834236186349</v>
      </c>
      <c r="J10" s="285">
        <f t="shared" si="2"/>
        <v>68.683395279069131</v>
      </c>
      <c r="K10" s="321" t="b">
        <f>VLOOKUP($A$4:$A$34,'Relatórios - SICCAU e IGEO'!$A$3:$G$29,7,)=E10</f>
        <v>1</v>
      </c>
      <c r="L10" s="168" t="b">
        <f>VLOOKUP($A$4:$A$34,'Anuid PF'!$A$5:$G$31,7,)=F10</f>
        <v>1</v>
      </c>
      <c r="M10" s="168" t="b">
        <f>VLOOKUP($A$4:$A$34,'Dados - Receita e Qntd'!$A$4:$AF$30,32,)=G10</f>
        <v>1</v>
      </c>
    </row>
    <row r="11" spans="1:15" ht="16.5" thickBot="1">
      <c r="A11" s="287" t="s">
        <v>369</v>
      </c>
      <c r="B11" s="288">
        <f>SUM(B4:B10)</f>
        <v>43037</v>
      </c>
      <c r="C11" s="288">
        <f>SUM(C4:C10)</f>
        <v>9842.7999999999993</v>
      </c>
      <c r="D11" s="289">
        <f t="shared" si="1"/>
        <v>4.3724346730605115</v>
      </c>
      <c r="E11" s="288">
        <f>SUM(E4:E10)</f>
        <v>32942</v>
      </c>
      <c r="F11" s="288">
        <f>SUM(F4:F10)</f>
        <v>9936</v>
      </c>
      <c r="G11" s="284">
        <f t="shared" si="0"/>
        <v>3.3154186795491145</v>
      </c>
      <c r="H11" s="290">
        <f t="shared" si="2"/>
        <v>76.543439366126819</v>
      </c>
      <c r="I11" s="290">
        <f t="shared" si="2"/>
        <v>100.94688503271428</v>
      </c>
      <c r="J11" s="290">
        <f t="shared" si="2"/>
        <v>75.825459439705426</v>
      </c>
      <c r="K11" s="321"/>
    </row>
    <row r="12" spans="1:15" ht="16.5" thickBot="1">
      <c r="A12" s="286" t="s">
        <v>78</v>
      </c>
      <c r="B12" s="281">
        <f>VLOOKUP($A$4:$A$34,RRT!$A$4:$B$30,2,0)</f>
        <v>7722</v>
      </c>
      <c r="C12" s="281">
        <f>VLOOKUP($A$4:$A$34,'Anuid PF'!$A$5:$B$31,2,0)</f>
        <v>2206</v>
      </c>
      <c r="D12" s="282">
        <f t="shared" si="1"/>
        <v>3.5004533091568448</v>
      </c>
      <c r="E12" s="283">
        <f>VLOOKUP($A$4:$A$34,RRT!$A$4:$D$30,4,0)</f>
        <v>6861</v>
      </c>
      <c r="F12" s="283">
        <f>VLOOKUP($A$4:$A$34,'Anuid PF'!$A$5:$G$31,7,)</f>
        <v>2222</v>
      </c>
      <c r="G12" s="284">
        <f t="shared" si="0"/>
        <v>3.087758775877588</v>
      </c>
      <c r="H12" s="285">
        <f t="shared" si="2"/>
        <v>88.850038850038842</v>
      </c>
      <c r="I12" s="285">
        <f t="shared" si="2"/>
        <v>100.72529465095195</v>
      </c>
      <c r="J12" s="285">
        <f t="shared" si="2"/>
        <v>88.210254591892763</v>
      </c>
      <c r="K12" s="321" t="b">
        <f>VLOOKUP($A$4:$A$34,'Relatórios - SICCAU e IGEO'!$A$3:$G$29,7,)=E12</f>
        <v>1</v>
      </c>
      <c r="L12" s="168" t="b">
        <f>VLOOKUP($A$4:$A$34,'Anuid PF'!$A$5:$G$31,7,)=F12</f>
        <v>1</v>
      </c>
      <c r="M12" s="168" t="b">
        <f>VLOOKUP($A$4:$A$34,'Dados - Receita e Qntd'!$A$4:$AF$30,32,)=G12</f>
        <v>1</v>
      </c>
    </row>
    <row r="13" spans="1:15" ht="16.5" thickBot="1">
      <c r="A13" s="286" t="s">
        <v>81</v>
      </c>
      <c r="B13" s="281">
        <f>VLOOKUP($A$4:$A$34,RRT!$A$4:$B$30,2,0)</f>
        <v>18732</v>
      </c>
      <c r="C13" s="281">
        <f>VLOOKUP($A$4:$A$34,'Anuid PF'!$A$5:$B$31,2,0)</f>
        <v>7436</v>
      </c>
      <c r="D13" s="282">
        <f t="shared" si="1"/>
        <v>2.5190962883270576</v>
      </c>
      <c r="E13" s="283">
        <f>VLOOKUP($A$4:$A$34,RRT!$A$4:$D$30,4,0)</f>
        <v>20099</v>
      </c>
      <c r="F13" s="283">
        <f>VLOOKUP($A$4:$A$34,'Anuid PF'!$A$5:$G$31,7,)</f>
        <v>7444</v>
      </c>
      <c r="G13" s="284">
        <f t="shared" si="0"/>
        <v>2.7000268672756582</v>
      </c>
      <c r="H13" s="285">
        <f t="shared" si="2"/>
        <v>107.29767243220158</v>
      </c>
      <c r="I13" s="285">
        <f t="shared" si="2"/>
        <v>100.10758472296935</v>
      </c>
      <c r="J13" s="285">
        <f t="shared" si="2"/>
        <v>107.18236058649259</v>
      </c>
      <c r="K13" s="321" t="b">
        <f>VLOOKUP($A$4:$A$34,'Relatórios - SICCAU e IGEO'!$A$3:$G$29,7,)=E13</f>
        <v>1</v>
      </c>
      <c r="L13" s="168" t="b">
        <f>VLOOKUP($A$4:$A$34,'Anuid PF'!$A$5:$G$31,7,)=F13</f>
        <v>1</v>
      </c>
      <c r="M13" s="168" t="b">
        <f>VLOOKUP($A$4:$A$34,'Dados - Receita e Qntd'!$A$4:$AF$30,32,)=G13</f>
        <v>1</v>
      </c>
    </row>
    <row r="14" spans="1:15" ht="16.5" thickBot="1">
      <c r="A14" s="286" t="s">
        <v>82</v>
      </c>
      <c r="B14" s="281">
        <f>VLOOKUP($A$4:$A$34,RRT!$A$4:$B$30,2,0)</f>
        <v>12245</v>
      </c>
      <c r="C14" s="281">
        <f>VLOOKUP($A$4:$A$34,'Anuid PF'!$A$5:$B$31,2,0)</f>
        <v>4756</v>
      </c>
      <c r="D14" s="282">
        <f t="shared" si="1"/>
        <v>2.5746425567703954</v>
      </c>
      <c r="E14" s="283">
        <f>VLOOKUP($A$4:$A$34,RRT!$A$4:$D$30,4,0)</f>
        <v>12660</v>
      </c>
      <c r="F14" s="283">
        <f>VLOOKUP($A$4:$A$34,'Anuid PF'!$A$5:$G$31,7,)</f>
        <v>4757</v>
      </c>
      <c r="G14" s="284">
        <f t="shared" si="0"/>
        <v>2.6613411814168595</v>
      </c>
      <c r="H14" s="285">
        <f t="shared" si="2"/>
        <v>103.38913842384648</v>
      </c>
      <c r="I14" s="285">
        <f t="shared" si="2"/>
        <v>100.0210260723297</v>
      </c>
      <c r="J14" s="285">
        <f t="shared" si="2"/>
        <v>103.36740431864911</v>
      </c>
      <c r="K14" s="321" t="b">
        <f>VLOOKUP($A$4:$A$34,'Relatórios - SICCAU e IGEO'!$A$3:$G$29,7,)=E14</f>
        <v>1</v>
      </c>
      <c r="L14" s="168" t="b">
        <f>VLOOKUP($A$4:$A$34,'Anuid PF'!$A$5:$G$31,7,)=F14</f>
        <v>1</v>
      </c>
      <c r="M14" s="168" t="b">
        <f>VLOOKUP($A$4:$A$34,'Dados - Receita e Qntd'!$A$4:$AF$30,32,)=G14</f>
        <v>1</v>
      </c>
    </row>
    <row r="15" spans="1:15" ht="16.5" thickBot="1">
      <c r="A15" s="286" t="s">
        <v>86</v>
      </c>
      <c r="B15" s="281">
        <f>VLOOKUP($A$4:$A$34,RRT!$A$4:$B$30,2,0)</f>
        <v>5633</v>
      </c>
      <c r="C15" s="281">
        <f>VLOOKUP($A$4:$A$34,'Anuid PF'!$A$5:$B$31,2,0)</f>
        <v>2191</v>
      </c>
      <c r="D15" s="282">
        <f t="shared" si="1"/>
        <v>2.5709721588315837</v>
      </c>
      <c r="E15" s="283">
        <f>VLOOKUP($A$4:$A$34,RRT!$A$4:$D$30,4,0)</f>
        <v>5965</v>
      </c>
      <c r="F15" s="283">
        <f>VLOOKUP($A$4:$A$34,'Anuid PF'!$A$5:$G$31,7,)</f>
        <v>2252</v>
      </c>
      <c r="G15" s="284">
        <f t="shared" si="0"/>
        <v>2.6487566607460034</v>
      </c>
      <c r="H15" s="285">
        <f t="shared" si="2"/>
        <v>105.8938398721818</v>
      </c>
      <c r="I15" s="285">
        <f t="shared" si="2"/>
        <v>102.78411684162482</v>
      </c>
      <c r="J15" s="285">
        <f t="shared" si="2"/>
        <v>103.02548985788201</v>
      </c>
      <c r="K15" s="321" t="b">
        <f>VLOOKUP($A$4:$A$34,'Relatórios - SICCAU e IGEO'!$A$3:$G$29,7,)=E15</f>
        <v>1</v>
      </c>
      <c r="L15" s="168" t="b">
        <f>VLOOKUP($A$4:$A$34,'Anuid PF'!$A$5:$G$31,7,)=F15</f>
        <v>1</v>
      </c>
      <c r="M15" s="168" t="b">
        <f>VLOOKUP($A$4:$A$34,'Dados - Receita e Qntd'!$A$4:$AF$30,32,)=G15</f>
        <v>1</v>
      </c>
    </row>
    <row r="16" spans="1:15" ht="16.5" thickBot="1">
      <c r="A16" s="286" t="s">
        <v>91</v>
      </c>
      <c r="B16" s="281">
        <f>VLOOKUP($A$4:$A$34,RRT!$A$4:$B$30,2,0)</f>
        <v>10098</v>
      </c>
      <c r="C16" s="281">
        <f>VLOOKUP($A$4:$A$34,'Anuid PF'!$A$5:$B$31,2,0)</f>
        <v>3237</v>
      </c>
      <c r="D16" s="282">
        <f t="shared" si="1"/>
        <v>3.119555143651529</v>
      </c>
      <c r="E16" s="283">
        <f>VLOOKUP($A$4:$A$34,RRT!$A$4:$D$30,4,0)</f>
        <v>9065</v>
      </c>
      <c r="F16" s="283">
        <f>VLOOKUP($A$4:$A$34,'Anuid PF'!$A$5:$G$31,7,)</f>
        <v>3193</v>
      </c>
      <c r="G16" s="284">
        <f t="shared" si="0"/>
        <v>2.8390228625117446</v>
      </c>
      <c r="H16" s="285">
        <f t="shared" si="2"/>
        <v>89.77025153495741</v>
      </c>
      <c r="I16" s="285">
        <f t="shared" si="2"/>
        <v>98.640716713005872</v>
      </c>
      <c r="J16" s="285">
        <f t="shared" si="2"/>
        <v>91.007298533873225</v>
      </c>
      <c r="K16" s="321" t="b">
        <f>VLOOKUP($A$4:$A$34,'Relatórios - SICCAU e IGEO'!$A$3:$G$29,7,)=E16</f>
        <v>1</v>
      </c>
      <c r="L16" s="168" t="b">
        <f>VLOOKUP($A$4:$A$34,'Anuid PF'!$A$5:$G$31,7,)=F16</f>
        <v>1</v>
      </c>
      <c r="M16" s="168" t="b">
        <f>VLOOKUP($A$4:$A$34,'Dados - Receita e Qntd'!$A$4:$AF$30,32,)=G16</f>
        <v>1</v>
      </c>
    </row>
    <row r="17" spans="1:13" ht="16.5" thickBot="1">
      <c r="A17" s="286" t="s">
        <v>93</v>
      </c>
      <c r="B17" s="281">
        <f>VLOOKUP($A$4:$A$34,RRT!$A$4:$B$30,2,0)</f>
        <v>21744</v>
      </c>
      <c r="C17" s="281">
        <f>VLOOKUP($A$4:$A$34,'Anuid PF'!$A$5:$B$31,2,0)</f>
        <v>5629</v>
      </c>
      <c r="D17" s="282">
        <f t="shared" si="1"/>
        <v>3.8628530822526201</v>
      </c>
      <c r="E17" s="283">
        <f>VLOOKUP($A$4:$A$34,RRT!$A$4:$D$30,4,0)</f>
        <v>15581</v>
      </c>
      <c r="F17" s="283">
        <f>VLOOKUP($A$4:$A$34,'Anuid PF'!$A$5:$G$31,7,)</f>
        <v>5633</v>
      </c>
      <c r="G17" s="284">
        <f t="shared" si="0"/>
        <v>2.7660216580862773</v>
      </c>
      <c r="H17" s="285">
        <f t="shared" si="2"/>
        <v>71.656548933039005</v>
      </c>
      <c r="I17" s="285">
        <f t="shared" si="2"/>
        <v>100.07106057914372</v>
      </c>
      <c r="J17" s="285">
        <f t="shared" si="2"/>
        <v>71.605665532411962</v>
      </c>
      <c r="K17" s="321" t="b">
        <f>VLOOKUP($A$4:$A$34,'Relatórios - SICCAU e IGEO'!$A$3:$G$29,7,)=E17</f>
        <v>1</v>
      </c>
      <c r="L17" s="168" t="b">
        <f>VLOOKUP($A$4:$A$34,'Anuid PF'!$A$5:$G$31,7,)=F17</f>
        <v>1</v>
      </c>
      <c r="M17" s="168" t="b">
        <f>VLOOKUP($A$4:$A$34,'Dados - Receita e Qntd'!$A$4:$AF$30,32,)=G17</f>
        <v>1</v>
      </c>
    </row>
    <row r="18" spans="1:13" ht="16.5" thickBot="1">
      <c r="A18" s="286" t="s">
        <v>94</v>
      </c>
      <c r="B18" s="281">
        <f>VLOOKUP($A$4:$A$34,RRT!$A$4:$B$30,2,0)</f>
        <v>6019</v>
      </c>
      <c r="C18" s="281">
        <f>VLOOKUP($A$4:$A$34,'Anuid PF'!$A$5:$B$31,2,0)</f>
        <v>1641</v>
      </c>
      <c r="D18" s="282">
        <f t="shared" si="1"/>
        <v>3.6678854357099331</v>
      </c>
      <c r="E18" s="283">
        <f>VLOOKUP($A$4:$A$34,RRT!$A$4:$D$30,4,0)</f>
        <v>4449</v>
      </c>
      <c r="F18" s="283">
        <f>VLOOKUP($A$4:$A$34,'Anuid PF'!$A$5:$G$31,7,)</f>
        <v>1613</v>
      </c>
      <c r="G18" s="284">
        <f t="shared" si="0"/>
        <v>2.7582145071295723</v>
      </c>
      <c r="H18" s="285">
        <f t="shared" si="2"/>
        <v>73.915932879215816</v>
      </c>
      <c r="I18" s="285">
        <f t="shared" si="2"/>
        <v>98.293723339427174</v>
      </c>
      <c r="J18" s="285">
        <f t="shared" si="2"/>
        <v>75.199036487782493</v>
      </c>
      <c r="K18" s="321" t="b">
        <f>VLOOKUP($A$4:$A$34,'Relatórios - SICCAU e IGEO'!$A$3:$G$29,7,)=E18</f>
        <v>1</v>
      </c>
      <c r="L18" s="168" t="b">
        <f>VLOOKUP($A$4:$A$34,'Anuid PF'!$A$5:$G$31,7,)=F18</f>
        <v>1</v>
      </c>
      <c r="M18" s="168" t="b">
        <f>VLOOKUP($A$4:$A$34,'Dados - Receita e Qntd'!$A$4:$AF$30,32,)=G18</f>
        <v>1</v>
      </c>
    </row>
    <row r="19" spans="1:13" ht="16.5" thickBot="1">
      <c r="A19" s="286" t="s">
        <v>96</v>
      </c>
      <c r="B19" s="281">
        <f>VLOOKUP($A$4:$A$34,RRT!$A$4:$B$30,2,0)</f>
        <v>10564</v>
      </c>
      <c r="C19" s="281">
        <f>VLOOKUP($A$4:$A$34,'Anuid PF'!$A$5:$B$31,2,0)</f>
        <v>2803</v>
      </c>
      <c r="D19" s="282">
        <f t="shared" si="1"/>
        <v>3.7688191223688903</v>
      </c>
      <c r="E19" s="283">
        <f>VLOOKUP($A$4:$A$34,RRT!$A$4:$D$30,4,0)</f>
        <v>7489</v>
      </c>
      <c r="F19" s="283">
        <f>VLOOKUP($A$4:$A$34,'Anuid PF'!$A$5:$G$31,7,)</f>
        <v>2789</v>
      </c>
      <c r="G19" s="284">
        <f t="shared" si="0"/>
        <v>2.6851918250268914</v>
      </c>
      <c r="H19" s="285">
        <f t="shared" si="2"/>
        <v>70.891707686482391</v>
      </c>
      <c r="I19" s="285">
        <f t="shared" si="2"/>
        <v>99.500535140920448</v>
      </c>
      <c r="J19" s="285">
        <f t="shared" si="2"/>
        <v>71.247564232775247</v>
      </c>
      <c r="K19" s="321" t="b">
        <f>VLOOKUP($A$4:$A$34,'Relatórios - SICCAU e IGEO'!$A$3:$G$29,7,)=E19</f>
        <v>1</v>
      </c>
      <c r="L19" s="168" t="b">
        <f>VLOOKUP($A$4:$A$34,'Anuid PF'!$A$5:$G$31,7,)=F19</f>
        <v>1</v>
      </c>
      <c r="M19" s="168" t="b">
        <f>VLOOKUP($A$4:$A$34,'Dados - Receita e Qntd'!$A$4:$AF$30,32,)=G19</f>
        <v>1</v>
      </c>
    </row>
    <row r="20" spans="1:13" ht="16.5" thickBot="1">
      <c r="A20" s="286" t="s">
        <v>102</v>
      </c>
      <c r="B20" s="281">
        <f>VLOOKUP($A$4:$A$34,RRT!$A$4:$B$30,2,0)</f>
        <v>7457</v>
      </c>
      <c r="C20" s="281">
        <f>VLOOKUP($A$4:$A$34,'Anuid PF'!$A$5:$B$31,2,0)</f>
        <v>1701</v>
      </c>
      <c r="D20" s="282">
        <f t="shared" si="1"/>
        <v>4.3838918283362727</v>
      </c>
      <c r="E20" s="283">
        <f>VLOOKUP($A$4:$A$34,RRT!$A$4:$D$30,4,0)</f>
        <v>6702</v>
      </c>
      <c r="F20" s="283">
        <f>VLOOKUP($A$4:$A$34,'Anuid PF'!$A$5:$G$31,7,)</f>
        <v>1659</v>
      </c>
      <c r="G20" s="284">
        <f t="shared" si="0"/>
        <v>4.0397830018083178</v>
      </c>
      <c r="H20" s="285">
        <f t="shared" si="2"/>
        <v>89.875284967144964</v>
      </c>
      <c r="I20" s="285">
        <f t="shared" si="2"/>
        <v>97.53086419753086</v>
      </c>
      <c r="J20" s="285">
        <f t="shared" si="2"/>
        <v>92.150608637199255</v>
      </c>
      <c r="K20" s="321" t="b">
        <f>VLOOKUP($A$4:$A$34,'Relatórios - SICCAU e IGEO'!$A$3:$G$29,7,)=E20</f>
        <v>1</v>
      </c>
      <c r="L20" s="168" t="b">
        <f>VLOOKUP($A$4:$A$34,'Anuid PF'!$A$5:$G$31,7,)=F20</f>
        <v>1</v>
      </c>
      <c r="M20" s="168" t="b">
        <f>VLOOKUP($A$4:$A$34,'Dados - Receita e Qntd'!$A$4:$AF$30,32,)=G20</f>
        <v>1</v>
      </c>
    </row>
    <row r="21" spans="1:13" ht="16.5" thickBot="1">
      <c r="A21" s="287" t="s">
        <v>370</v>
      </c>
      <c r="B21" s="288">
        <f>SUM(B12:B20)</f>
        <v>100214</v>
      </c>
      <c r="C21" s="288">
        <f>SUM(C12:C20)</f>
        <v>31600</v>
      </c>
      <c r="D21" s="289">
        <f t="shared" si="1"/>
        <v>3.1713291139240507</v>
      </c>
      <c r="E21" s="288">
        <f>SUM(E12:E20)</f>
        <v>88871</v>
      </c>
      <c r="F21" s="288">
        <f>SUM(F12:F20)</f>
        <v>31562</v>
      </c>
      <c r="G21" s="284">
        <f t="shared" si="0"/>
        <v>2.8157594575755653</v>
      </c>
      <c r="H21" s="290">
        <f t="shared" si="2"/>
        <v>88.681222184525126</v>
      </c>
      <c r="I21" s="290">
        <f t="shared" si="2"/>
        <v>99.879746835443044</v>
      </c>
      <c r="J21" s="290">
        <f t="shared" si="2"/>
        <v>88.787992555319477</v>
      </c>
      <c r="K21" s="321"/>
    </row>
    <row r="22" spans="1:13" ht="16.5" thickBot="1">
      <c r="A22" s="286" t="s">
        <v>83</v>
      </c>
      <c r="B22" s="281">
        <f>VLOOKUP($A$4:$A$34,RRT!$A$4:$B$30,2,0)</f>
        <v>18872</v>
      </c>
      <c r="C22" s="281">
        <f>VLOOKUP($A$4:$A$34,'Anuid PF'!$A$5:$B$31,2,0)</f>
        <v>6854</v>
      </c>
      <c r="D22" s="282">
        <f t="shared" si="1"/>
        <v>2.7534286548001168</v>
      </c>
      <c r="E22" s="283">
        <f>VLOOKUP($A$4:$A$34,RRT!$A$4:$D$30,4,0)</f>
        <v>13599</v>
      </c>
      <c r="F22" s="283">
        <f>VLOOKUP($A$4:$A$34,'Anuid PF'!$A$5:$G$31,7,)</f>
        <v>6772</v>
      </c>
      <c r="G22" s="284">
        <f t="shared" si="0"/>
        <v>2.0081216774955699</v>
      </c>
      <c r="H22" s="285">
        <f t="shared" si="2"/>
        <v>72.059135226791014</v>
      </c>
      <c r="I22" s="285">
        <f t="shared" si="2"/>
        <v>98.803618325065656</v>
      </c>
      <c r="J22" s="285">
        <f t="shared" si="2"/>
        <v>72.931676438928761</v>
      </c>
      <c r="K22" s="321" t="b">
        <f>VLOOKUP($A$4:$A$34,'Relatórios - SICCAU e IGEO'!$A$3:$G$29,7,)=E22</f>
        <v>1</v>
      </c>
      <c r="L22" s="168" t="b">
        <f>VLOOKUP($A$4:$A$34,'Anuid PF'!$A$5:$G$31,7,)=F22</f>
        <v>1</v>
      </c>
      <c r="M22" s="168" t="b">
        <f>VLOOKUP($A$4:$A$34,'Dados - Receita e Qntd'!$A$4:$AF$30,32,)=G22</f>
        <v>1</v>
      </c>
    </row>
    <row r="23" spans="1:13" ht="16.5" thickBot="1">
      <c r="A23" s="286" t="s">
        <v>85</v>
      </c>
      <c r="B23" s="281">
        <f>VLOOKUP($A$4:$A$34,RRT!$A$4:$B$30,2,0)</f>
        <v>33171</v>
      </c>
      <c r="C23" s="281">
        <f>VLOOKUP($A$4:$A$34,'Anuid PF'!$A$5:$B$31,2,0)</f>
        <v>5373</v>
      </c>
      <c r="D23" s="282">
        <f t="shared" si="1"/>
        <v>6.1736460078168625</v>
      </c>
      <c r="E23" s="283">
        <f>VLOOKUP($A$4:$A$34,RRT!$A$4:$D$30,4,0)</f>
        <v>25310</v>
      </c>
      <c r="F23" s="283">
        <f>VLOOKUP($A$4:$A$34,'Anuid PF'!$A$5:$G$31,7,)</f>
        <v>5405</v>
      </c>
      <c r="G23" s="284">
        <f>E23/F23</f>
        <v>4.6827012025901942</v>
      </c>
      <c r="H23" s="285">
        <f t="shared" si="2"/>
        <v>76.301588737149913</v>
      </c>
      <c r="I23" s="285">
        <f t="shared" si="2"/>
        <v>100.59557044481669</v>
      </c>
      <c r="J23" s="285">
        <f t="shared" si="2"/>
        <v>75.849849451379555</v>
      </c>
      <c r="K23" s="321" t="b">
        <f>VLOOKUP($A$4:$A$34,'Relatórios - SICCAU e IGEO'!$A$3:$G$29,7,)=E23</f>
        <v>1</v>
      </c>
      <c r="L23" s="168" t="b">
        <f>VLOOKUP($A$4:$A$34,'Anuid PF'!$A$5:$G$31,7,)=F23</f>
        <v>1</v>
      </c>
      <c r="M23" s="168" t="b">
        <f>VLOOKUP($A$4:$A$34,'Dados - Receita e Qntd'!$A$4:$AF$30,32,)=G23</f>
        <v>1</v>
      </c>
    </row>
    <row r="24" spans="1:13" ht="16.5" thickBot="1">
      <c r="A24" s="286" t="s">
        <v>88</v>
      </c>
      <c r="B24" s="281">
        <f>VLOOKUP($A$4:$A$34,RRT!$A$4:$B$30,2,0)</f>
        <v>23789</v>
      </c>
      <c r="C24" s="281">
        <f>VLOOKUP($A$4:$A$34,'Anuid PF'!$A$5:$B$31,2,0)</f>
        <v>3778</v>
      </c>
      <c r="D24" s="282">
        <f t="shared" si="1"/>
        <v>6.2967178401270516</v>
      </c>
      <c r="E24" s="283">
        <f>VLOOKUP($A$4:$A$34,RRT!$A$4:$D$30,4,0)</f>
        <v>16284</v>
      </c>
      <c r="F24" s="283">
        <f>VLOOKUP($A$4:$A$34,'Anuid PF'!$A$5:$G$31,7,)</f>
        <v>3640</v>
      </c>
      <c r="G24" s="284">
        <f t="shared" si="0"/>
        <v>4.4736263736263737</v>
      </c>
      <c r="H24" s="285">
        <f t="shared" si="2"/>
        <v>68.451805456303333</v>
      </c>
      <c r="I24" s="285">
        <f t="shared" si="2"/>
        <v>96.347273689782952</v>
      </c>
      <c r="J24" s="285">
        <f t="shared" si="2"/>
        <v>71.046956322503846</v>
      </c>
      <c r="K24" s="321" t="b">
        <f>VLOOKUP($A$4:$A$34,'Relatórios - SICCAU e IGEO'!$A$3:$G$29,7,)=E24</f>
        <v>1</v>
      </c>
      <c r="L24" s="168" t="b">
        <f>VLOOKUP($A$4:$A$34,'Anuid PF'!$A$5:$G$31,7,)=F24</f>
        <v>1</v>
      </c>
      <c r="M24" s="168" t="b">
        <f>VLOOKUP($A$4:$A$34,'Dados - Receita e Qntd'!$A$4:$AF$30,32,)=G24</f>
        <v>1</v>
      </c>
    </row>
    <row r="25" spans="1:13" ht="16.5" thickBot="1">
      <c r="A25" s="286" t="s">
        <v>87</v>
      </c>
      <c r="B25" s="281">
        <f>VLOOKUP($A$4:$A$34,RRT!$A$4:$B$30,2,0)</f>
        <v>35676</v>
      </c>
      <c r="C25" s="281">
        <f>VLOOKUP($A$4:$A$34,'Anuid PF'!$A$5:$B$31,2,0)</f>
        <v>3725</v>
      </c>
      <c r="D25" s="282">
        <f t="shared" si="1"/>
        <v>9.5774496644295297</v>
      </c>
      <c r="E25" s="283">
        <f>VLOOKUP($A$4:$A$34,RRT!$A$4:$D$30,4,0)</f>
        <v>25520</v>
      </c>
      <c r="F25" s="283">
        <f>VLOOKUP($A$4:$A$34,'Anuid PF'!$A$5:$G$31,7,)</f>
        <v>3639</v>
      </c>
      <c r="G25" s="284">
        <f t="shared" si="0"/>
        <v>7.0129156361637817</v>
      </c>
      <c r="H25" s="285">
        <f t="shared" si="2"/>
        <v>71.53268303621482</v>
      </c>
      <c r="I25" s="285">
        <f t="shared" si="2"/>
        <v>97.691275167785236</v>
      </c>
      <c r="J25" s="285">
        <f t="shared" si="2"/>
        <v>73.223205361335602</v>
      </c>
      <c r="K25" s="321" t="b">
        <f>VLOOKUP($A$4:$A$34,'Relatórios - SICCAU e IGEO'!$A$3:$G$29,7,)=E25</f>
        <v>1</v>
      </c>
      <c r="L25" s="168" t="b">
        <f>VLOOKUP($A$4:$A$34,'Anuid PF'!$A$5:$G$31,7,)=F25</f>
        <v>1</v>
      </c>
      <c r="M25" s="168" t="b">
        <f>VLOOKUP($A$4:$A$34,'Dados - Receita e Qntd'!$A$4:$AF$30,32,)=G25</f>
        <v>1</v>
      </c>
    </row>
    <row r="26" spans="1:13" ht="16.5" thickBot="1">
      <c r="A26" s="287" t="s">
        <v>371</v>
      </c>
      <c r="B26" s="288">
        <f>SUM(B22:B25)</f>
        <v>111508</v>
      </c>
      <c r="C26" s="288">
        <f>SUM(C22:C25)</f>
        <v>19730</v>
      </c>
      <c r="D26" s="289">
        <f t="shared" si="1"/>
        <v>5.6516979219462744</v>
      </c>
      <c r="E26" s="288">
        <f>SUM(E22:E25)</f>
        <v>80713</v>
      </c>
      <c r="F26" s="288">
        <f>SUM(F22:F25)</f>
        <v>19456</v>
      </c>
      <c r="G26" s="284">
        <f t="shared" si="0"/>
        <v>4.1484888980263159</v>
      </c>
      <c r="H26" s="290">
        <f t="shared" si="2"/>
        <v>72.383147397496145</v>
      </c>
      <c r="I26" s="290">
        <f t="shared" si="2"/>
        <v>98.611251900658885</v>
      </c>
      <c r="J26" s="290">
        <f t="shared" si="2"/>
        <v>73.402523548139342</v>
      </c>
      <c r="K26" s="321"/>
    </row>
    <row r="27" spans="1:13" ht="16.5" thickBot="1">
      <c r="A27" s="286" t="s">
        <v>84</v>
      </c>
      <c r="B27" s="281">
        <f>VLOOKUP($A$4:$A$34,RRT!$A$4:$B$30,2,0)</f>
        <v>17680</v>
      </c>
      <c r="C27" s="281">
        <f>VLOOKUP($A$4:$A$34,'Anuid PF'!$A$5:$B$31,2,0)</f>
        <v>4185</v>
      </c>
      <c r="D27" s="282">
        <f t="shared" si="1"/>
        <v>4.2246117084826764</v>
      </c>
      <c r="E27" s="283">
        <f>VLOOKUP($A$4:$A$34,RRT!$A$4:$D$30,4,0)</f>
        <v>13420</v>
      </c>
      <c r="F27" s="283">
        <f>VLOOKUP($A$4:$A$34,'Anuid PF'!$A$5:$G$31,7,)</f>
        <v>4136</v>
      </c>
      <c r="G27" s="284">
        <f>E27/F27</f>
        <v>3.2446808510638299</v>
      </c>
      <c r="H27" s="285">
        <f t="shared" si="2"/>
        <v>75.904977375565608</v>
      </c>
      <c r="I27" s="285">
        <f t="shared" si="2"/>
        <v>98.829151732377539</v>
      </c>
      <c r="J27" s="285">
        <f t="shared" si="2"/>
        <v>76.804238471165874</v>
      </c>
      <c r="K27" s="321" t="b">
        <f>VLOOKUP($A$4:$A$34,'Relatórios - SICCAU e IGEO'!$A$3:$G$29,7,)=E27</f>
        <v>1</v>
      </c>
      <c r="L27" s="168" t="b">
        <f>VLOOKUP($A$4:$A$34,'Anuid PF'!$A$5:$G$31,7,)=F27</f>
        <v>1</v>
      </c>
      <c r="M27" s="168" t="b">
        <f>VLOOKUP($A$4:$A$34,'Dados - Receita e Qntd'!$A$4:$AF$30,32,)=G27</f>
        <v>1</v>
      </c>
    </row>
    <row r="28" spans="1:13" ht="16.5" thickBot="1">
      <c r="A28" s="286" t="s">
        <v>89</v>
      </c>
      <c r="B28" s="281">
        <f>VLOOKUP($A$4:$A$34,RRT!$A$4:$B$30,2,0)</f>
        <v>61690</v>
      </c>
      <c r="C28" s="281">
        <f>VLOOKUP($A$4:$A$34,'Anuid PF'!$A$5:$B$31,2,0)</f>
        <v>18589</v>
      </c>
      <c r="D28" s="282">
        <f t="shared" si="1"/>
        <v>3.3186292968960136</v>
      </c>
      <c r="E28" s="283">
        <f>VLOOKUP($A$4:$A$34,RRT!$A$4:$D$30,4,0)</f>
        <v>47515</v>
      </c>
      <c r="F28" s="283">
        <f>VLOOKUP($A$4:$A$34,'Anuid PF'!$A$5:$G$31,7,)</f>
        <v>17877</v>
      </c>
      <c r="G28" s="284">
        <f t="shared" si="0"/>
        <v>2.6578844325110476</v>
      </c>
      <c r="H28" s="285">
        <f t="shared" si="2"/>
        <v>77.02220781325984</v>
      </c>
      <c r="I28" s="285">
        <f t="shared" si="2"/>
        <v>96.169777825595787</v>
      </c>
      <c r="J28" s="285">
        <f t="shared" si="2"/>
        <v>80.089826091664563</v>
      </c>
      <c r="K28" s="321" t="b">
        <f>VLOOKUP($A$4:$A$34,'Relatórios - SICCAU e IGEO'!$A$3:$G$29,7,)=E28</f>
        <v>1</v>
      </c>
      <c r="L28" s="168" t="b">
        <f>VLOOKUP($A$4:$A$34,'Anuid PF'!$A$5:$G$31,7,)=F28</f>
        <v>1</v>
      </c>
      <c r="M28" s="168" t="b">
        <f>VLOOKUP($A$4:$A$34,'Dados - Receita e Qntd'!$A$4:$AF$30,32,)=G28</f>
        <v>1</v>
      </c>
    </row>
    <row r="29" spans="1:13" ht="16.5" thickBot="1">
      <c r="A29" s="286" t="s">
        <v>95</v>
      </c>
      <c r="B29" s="281">
        <f>VLOOKUP($A$4:$A$34,RRT!$A$4:$B$30,2,0)</f>
        <v>65385</v>
      </c>
      <c r="C29" s="281">
        <f>VLOOKUP($A$4:$A$34,'Anuid PF'!$A$5:$B$31,2,0)</f>
        <v>21569</v>
      </c>
      <c r="D29" s="282">
        <f t="shared" si="1"/>
        <v>3.0314340025035933</v>
      </c>
      <c r="E29" s="283">
        <f>VLOOKUP($A$4:$A$34,RRT!$A$4:$D$30,4,0)</f>
        <v>51144</v>
      </c>
      <c r="F29" s="283">
        <f>VLOOKUP($A$4:$A$34,'Anuid PF'!$A$5:$G$31,7,)</f>
        <v>21441</v>
      </c>
      <c r="G29" s="284">
        <f t="shared" si="0"/>
        <v>2.3853365048272002</v>
      </c>
      <c r="H29" s="285">
        <f t="shared" si="2"/>
        <v>78.219775177793068</v>
      </c>
      <c r="I29" s="285">
        <f t="shared" si="2"/>
        <v>99.406555704946925</v>
      </c>
      <c r="J29" s="285">
        <f t="shared" si="2"/>
        <v>78.686737130255992</v>
      </c>
      <c r="K29" s="321" t="b">
        <f>VLOOKUP($A$4:$A$34,'Relatórios - SICCAU e IGEO'!$A$3:$G$29,7,)=E29</f>
        <v>1</v>
      </c>
      <c r="L29" s="168" t="b">
        <f>VLOOKUP($A$4:$A$34,'Anuid PF'!$A$5:$G$31,7,)=F29</f>
        <v>1</v>
      </c>
      <c r="M29" s="168" t="b">
        <f>VLOOKUP($A$4:$A$34,'Dados - Receita e Qntd'!$A$4:$AF$30,32,)=G29</f>
        <v>1</v>
      </c>
    </row>
    <row r="30" spans="1:13" ht="16.5" thickBot="1">
      <c r="A30" s="286" t="s">
        <v>101</v>
      </c>
      <c r="B30" s="281">
        <f>VLOOKUP($A$4:$A$34,RRT!$A$4:$B$30,2,0)</f>
        <v>358796</v>
      </c>
      <c r="C30" s="281">
        <f>VLOOKUP($A$4:$A$34,'Anuid PF'!$A$5:$B$31,2,0)</f>
        <v>67463</v>
      </c>
      <c r="D30" s="282">
        <f t="shared" si="1"/>
        <v>5.3184115737515381</v>
      </c>
      <c r="E30" s="283">
        <f>VLOOKUP($A$4:$A$34,RRT!$A$4:$D$30,4,0)</f>
        <v>265567</v>
      </c>
      <c r="F30" s="283">
        <f>VLOOKUP($A$4:$A$34,'Anuid PF'!$A$5:$G$31,7,)</f>
        <v>66788</v>
      </c>
      <c r="G30" s="284">
        <f t="shared" si="0"/>
        <v>3.976268191890759</v>
      </c>
      <c r="H30" s="285">
        <f t="shared" si="2"/>
        <v>74.016154026243328</v>
      </c>
      <c r="I30" s="285">
        <f t="shared" si="2"/>
        <v>98.999451551220673</v>
      </c>
      <c r="J30" s="285">
        <f t="shared" si="2"/>
        <v>74.764206130928514</v>
      </c>
      <c r="K30" s="321" t="b">
        <f>VLOOKUP($A$4:$A$34,'Relatórios - SICCAU e IGEO'!$A$3:$G$29,7,)=E30</f>
        <v>1</v>
      </c>
      <c r="L30" s="168" t="b">
        <f>VLOOKUP($A$4:$A$34,'Anuid PF'!$A$5:$G$31,7,)=F30</f>
        <v>1</v>
      </c>
      <c r="M30" s="168" t="b">
        <f>VLOOKUP($A$4:$A$34,'Dados - Receita e Qntd'!$A$4:$AF$30,32,)=G30</f>
        <v>1</v>
      </c>
    </row>
    <row r="31" spans="1:13" ht="16.5" thickBot="1">
      <c r="A31" s="287" t="s">
        <v>372</v>
      </c>
      <c r="B31" s="288">
        <f>SUM(B27:B30)</f>
        <v>503551</v>
      </c>
      <c r="C31" s="288">
        <f>SUM(C27:C30)</f>
        <v>111806</v>
      </c>
      <c r="D31" s="289">
        <f t="shared" si="1"/>
        <v>4.5037922830617321</v>
      </c>
      <c r="E31" s="288">
        <f>SUM(E27:E30)</f>
        <v>377646</v>
      </c>
      <c r="F31" s="288">
        <f>SUM(F27:F30)</f>
        <v>110242</v>
      </c>
      <c r="G31" s="284">
        <f t="shared" si="0"/>
        <v>3.4256091144935685</v>
      </c>
      <c r="H31" s="290">
        <f t="shared" si="2"/>
        <v>74.996574329114623</v>
      </c>
      <c r="I31" s="290">
        <f t="shared" si="2"/>
        <v>98.601148417795116</v>
      </c>
      <c r="J31" s="290">
        <f t="shared" si="2"/>
        <v>76.060548515456802</v>
      </c>
      <c r="K31" s="321"/>
    </row>
    <row r="32" spans="1:13" ht="16.5" thickBot="1">
      <c r="A32" s="286" t="s">
        <v>92</v>
      </c>
      <c r="B32" s="281">
        <f>VLOOKUP($A$4:$A$34,RRT!$A$4:$B$30,2,0)</f>
        <v>74309</v>
      </c>
      <c r="C32" s="281">
        <f>VLOOKUP($A$4:$A$34,'Anuid PF'!$A$5:$B$31,2,0)</f>
        <v>14181</v>
      </c>
      <c r="D32" s="282">
        <f t="shared" si="1"/>
        <v>5.2400394894577254</v>
      </c>
      <c r="E32" s="283">
        <f>VLOOKUP($A$4:$A$34,RRT!$A$4:$D$30,4,0)</f>
        <v>56658</v>
      </c>
      <c r="F32" s="283">
        <f>VLOOKUP($A$4:$A$34,'Anuid PF'!$A$5:$G$31,7,)</f>
        <v>14583</v>
      </c>
      <c r="G32" s="284">
        <f t="shared" si="0"/>
        <v>3.8852088047726805</v>
      </c>
      <c r="H32" s="285">
        <f t="shared" si="2"/>
        <v>76.246484275121446</v>
      </c>
      <c r="I32" s="285">
        <f t="shared" si="2"/>
        <v>102.83477892955364</v>
      </c>
      <c r="J32" s="285">
        <f t="shared" si="2"/>
        <v>74.144647432318266</v>
      </c>
      <c r="K32" s="321" t="b">
        <f>VLOOKUP($A$4:$A$34,'Relatórios - SICCAU e IGEO'!$A$3:$G$29,7,)=E32</f>
        <v>1</v>
      </c>
      <c r="L32" s="168" t="b">
        <f>VLOOKUP($A$4:$A$34,'Anuid PF'!$A$5:$G$31,7,)=F32</f>
        <v>1</v>
      </c>
      <c r="M32" s="168" t="b">
        <f>VLOOKUP($A$4:$A$34,'Dados - Receita e Qntd'!$A$4:$AF$30,32,)=G32</f>
        <v>1</v>
      </c>
    </row>
    <row r="33" spans="1:13" ht="16.5" thickBot="1">
      <c r="A33" s="286" t="s">
        <v>97</v>
      </c>
      <c r="B33" s="281">
        <f>VLOOKUP($A$4:$A$34,RRT!$A$4:$B$30,2,0)</f>
        <v>101133</v>
      </c>
      <c r="C33" s="281">
        <f>VLOOKUP($A$4:$A$34,'Anuid PF'!$A$5:$B$31,2,0)</f>
        <v>18256</v>
      </c>
      <c r="D33" s="282">
        <f t="shared" si="1"/>
        <v>5.5397129710780018</v>
      </c>
      <c r="E33" s="283">
        <f>VLOOKUP($A$4:$A$34,RRT!$A$4:$D$30,4,0)</f>
        <v>73503</v>
      </c>
      <c r="F33" s="283">
        <f>VLOOKUP($A$4:$A$34,'Anuid PF'!$A$5:$G$31,7,)</f>
        <v>18080</v>
      </c>
      <c r="G33" s="284">
        <f t="shared" si="0"/>
        <v>4.0654314159292033</v>
      </c>
      <c r="H33" s="285">
        <f t="shared" si="2"/>
        <v>72.679540802705347</v>
      </c>
      <c r="I33" s="285">
        <f t="shared" si="2"/>
        <v>99.035933391761617</v>
      </c>
      <c r="J33" s="285">
        <f t="shared" si="2"/>
        <v>73.387040757421943</v>
      </c>
      <c r="K33" s="321" t="b">
        <f>VLOOKUP($A$4:$A$34,'Relatórios - SICCAU e IGEO'!$A$3:$G$29,7,)=E33</f>
        <v>1</v>
      </c>
      <c r="L33" s="168" t="b">
        <f>VLOOKUP($A$4:$A$34,'Anuid PF'!$A$5:$G$31,7,)=F33</f>
        <v>1</v>
      </c>
      <c r="M33" s="168" t="b">
        <f>VLOOKUP($A$4:$A$34,'Dados - Receita e Qntd'!$A$4:$AF$30,32,)=G33</f>
        <v>1</v>
      </c>
    </row>
    <row r="34" spans="1:13" ht="16.5" thickBot="1">
      <c r="A34" s="286" t="s">
        <v>100</v>
      </c>
      <c r="B34" s="281">
        <f>VLOOKUP($A$4:$A$34,RRT!$A$4:$B$30,2,0)</f>
        <v>62006</v>
      </c>
      <c r="C34" s="281">
        <f>VLOOKUP($A$4:$A$34,'Anuid PF'!$A$5:$B$31,2,0)</f>
        <v>11865</v>
      </c>
      <c r="D34" s="282">
        <f t="shared" si="1"/>
        <v>5.2259587020648963</v>
      </c>
      <c r="E34" s="283">
        <f>VLOOKUP($A$4:$A$34,RRT!$A$4:$D$30,4,0)</f>
        <v>47797</v>
      </c>
      <c r="F34" s="283">
        <f>VLOOKUP($A$4:$A$34,'Anuid PF'!$A$5:$G$31,7,)</f>
        <v>11846</v>
      </c>
      <c r="G34" s="284">
        <f t="shared" si="0"/>
        <v>4.0348640891440146</v>
      </c>
      <c r="H34" s="285">
        <f t="shared" si="2"/>
        <v>77.084475695900394</v>
      </c>
      <c r="I34" s="285">
        <f t="shared" si="2"/>
        <v>99.83986514959966</v>
      </c>
      <c r="J34" s="285">
        <f t="shared" si="2"/>
        <v>77.20811279181649</v>
      </c>
      <c r="K34" s="321" t="b">
        <f>VLOOKUP($A$4:$A$34,'Relatórios - SICCAU e IGEO'!$A$3:$G$29,7,)=E34</f>
        <v>1</v>
      </c>
      <c r="L34" s="168" t="b">
        <f>VLOOKUP($A$4:$A$34,'Anuid PF'!$A$5:$G$31,7,)=F34</f>
        <v>1</v>
      </c>
      <c r="M34" s="168" t="b">
        <f>VLOOKUP($A$4:$A$34,'Dados - Receita e Qntd'!$A$4:$AF$30,32,)=G34</f>
        <v>1</v>
      </c>
    </row>
    <row r="35" spans="1:13" ht="16.5" thickBot="1">
      <c r="A35" s="291" t="s">
        <v>373</v>
      </c>
      <c r="B35" s="292">
        <f>SUM(B32:B34)</f>
        <v>237448</v>
      </c>
      <c r="C35" s="292">
        <f>SUM(C32:C34)</f>
        <v>44302</v>
      </c>
      <c r="D35" s="289">
        <f t="shared" si="1"/>
        <v>5.3597580244684213</v>
      </c>
      <c r="E35" s="292">
        <f>SUM(E32:E34)</f>
        <v>177958</v>
      </c>
      <c r="F35" s="292">
        <f>SUM(F32:F34)</f>
        <v>44509</v>
      </c>
      <c r="G35" s="284">
        <f t="shared" si="0"/>
        <v>3.9982475454402482</v>
      </c>
      <c r="H35" s="290">
        <f t="shared" si="2"/>
        <v>74.946093460462919</v>
      </c>
      <c r="I35" s="290">
        <f t="shared" si="2"/>
        <v>100.4672475283283</v>
      </c>
      <c r="J35" s="290">
        <f t="shared" si="2"/>
        <v>74.597538306531902</v>
      </c>
    </row>
    <row r="36" spans="1:13" ht="16.5" thickBot="1">
      <c r="A36" s="465" t="s">
        <v>34</v>
      </c>
      <c r="B36" s="466">
        <f>B11+B21+B26+B31+B35</f>
        <v>995758</v>
      </c>
      <c r="C36" s="466">
        <f>C11+C21+C26+C31+C35</f>
        <v>217280.8</v>
      </c>
      <c r="D36" s="467">
        <f t="shared" si="1"/>
        <v>4.5828163372005264</v>
      </c>
      <c r="E36" s="466">
        <f>E11+E21+E26+E31+E35</f>
        <v>758130</v>
      </c>
      <c r="F36" s="466">
        <f>F11+F21+F26+F31+F35</f>
        <v>215705</v>
      </c>
      <c r="G36" s="467">
        <f t="shared" si="0"/>
        <v>3.5146612271389164</v>
      </c>
      <c r="H36" s="468">
        <f t="shared" ref="H36:J36" si="3">E36/B36*100</f>
        <v>76.135968779562901</v>
      </c>
      <c r="I36" s="468">
        <f t="shared" si="3"/>
        <v>99.274763347704905</v>
      </c>
      <c r="J36" s="468">
        <f t="shared" si="3"/>
        <v>76.692168494928026</v>
      </c>
    </row>
    <row r="37" spans="1:13" ht="15.75">
      <c r="A37" s="972" t="s">
        <v>576</v>
      </c>
      <c r="B37" s="972"/>
      <c r="C37" s="972"/>
      <c r="D37" s="972"/>
      <c r="E37" s="972"/>
      <c r="F37" s="293"/>
      <c r="G37" s="294"/>
      <c r="H37" s="294"/>
      <c r="I37" s="294"/>
      <c r="J37" s="294"/>
    </row>
    <row r="38" spans="1:13" ht="16.5" thickBot="1">
      <c r="A38" s="963" t="s">
        <v>577</v>
      </c>
      <c r="B38" s="963"/>
      <c r="C38" s="963"/>
      <c r="D38" s="963"/>
      <c r="E38" s="964"/>
      <c r="F38" s="293"/>
      <c r="G38" s="294"/>
      <c r="H38" s="294"/>
      <c r="I38" s="294"/>
      <c r="J38" s="294"/>
    </row>
    <row r="39" spans="1:13">
      <c r="B39" s="295"/>
      <c r="C39" s="295"/>
      <c r="E39" s="295"/>
      <c r="F39" s="295"/>
      <c r="H39" s="296"/>
    </row>
    <row r="40" spans="1:13" s="186" customFormat="1">
      <c r="A40" s="297"/>
    </row>
    <row r="41" spans="1:13">
      <c r="A41" s="298"/>
      <c r="E41" s="299"/>
      <c r="F41" s="299"/>
      <c r="G41" s="299"/>
    </row>
    <row r="42" spans="1:13">
      <c r="A42" s="168"/>
    </row>
    <row r="43" spans="1:13" s="145" customFormat="1" ht="26.25">
      <c r="A43" s="158"/>
      <c r="B43" s="161"/>
      <c r="C43" s="158"/>
      <c r="D43" s="161"/>
      <c r="E43" s="158"/>
      <c r="F43" s="158"/>
      <c r="G43" s="158"/>
      <c r="I43" s="163"/>
      <c r="J43" s="164"/>
    </row>
    <row r="44" spans="1:13" s="145" customFormat="1" ht="26.25">
      <c r="A44" s="158"/>
      <c r="B44" s="161"/>
      <c r="C44" s="162"/>
      <c r="D44" s="161"/>
      <c r="E44" s="158"/>
      <c r="F44" s="158"/>
      <c r="G44" s="158"/>
      <c r="I44" s="172"/>
      <c r="J44" s="160"/>
    </row>
    <row r="45" spans="1:13" s="145" customFormat="1" ht="26.25">
      <c r="A45" s="158"/>
      <c r="B45" s="161"/>
      <c r="C45" s="162"/>
      <c r="D45" s="161"/>
      <c r="E45" s="158"/>
      <c r="F45" s="158"/>
      <c r="G45" s="158"/>
      <c r="H45" s="155"/>
      <c r="I45" s="172"/>
      <c r="J45" s="160"/>
    </row>
  </sheetData>
  <dataConsolidate/>
  <mergeCells count="6">
    <mergeCell ref="A38:E38"/>
    <mergeCell ref="A2:A3"/>
    <mergeCell ref="B2:D2"/>
    <mergeCell ref="E2:G2"/>
    <mergeCell ref="H2:J2"/>
    <mergeCell ref="A37:E37"/>
  </mergeCells>
  <conditionalFormatting sqref="A38">
    <cfRule type="cellIs" dxfId="45" priority="7" operator="lessThan">
      <formula>$I$31</formula>
    </cfRule>
    <cfRule type="cellIs" dxfId="44" priority="8" operator="greaterThan">
      <formula>$I$31</formula>
    </cfRule>
  </conditionalFormatting>
  <conditionalFormatting sqref="G4:G35">
    <cfRule type="cellIs" dxfId="43" priority="5" operator="lessThan">
      <formula>$G$36</formula>
    </cfRule>
    <cfRule type="cellIs" dxfId="42" priority="6" operator="greaterThan">
      <formula>$G$36</formula>
    </cfRule>
  </conditionalFormatting>
  <conditionalFormatting sqref="A37">
    <cfRule type="cellIs" dxfId="41" priority="9" operator="lessThan">
      <formula>#REF!</formula>
    </cfRule>
  </conditionalFormatting>
  <conditionalFormatting sqref="K4:K34">
    <cfRule type="cellIs" dxfId="40" priority="4" operator="equal">
      <formula>TRUE</formula>
    </cfRule>
  </conditionalFormatting>
  <conditionalFormatting sqref="L4:L34 M11 M21 M26 M31">
    <cfRule type="cellIs" dxfId="39" priority="3" operator="equal">
      <formula>TRUE</formula>
    </cfRule>
  </conditionalFormatting>
  <conditionalFormatting sqref="M4:M10 M12:M20 M22:M25 M27:M30 M32:M34">
    <cfRule type="cellIs" dxfId="38" priority="1" operator="equal">
      <formula>FALSE</formula>
    </cfRule>
    <cfRule type="cellIs" dxfId="37" priority="2" operator="equal">
      <formula>TRUE</formula>
    </cfRule>
  </conditionalFormatting>
  <pageMargins left="0.511811024" right="0.511811024" top="0.78740157499999996" bottom="0.78740157499999996" header="0.31496062000000002" footer="0.31496062000000002"/>
  <pageSetup scale="82" orientation="landscape" verticalDpi="0" r:id="rId1"/>
  <rowBreaks count="1" manualBreakCount="1">
    <brk id="3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>
    <tabColor theme="9" tint="0.59999389629810485"/>
  </sheetPr>
  <dimension ref="A1:GI181"/>
  <sheetViews>
    <sheetView zoomScale="80" zoomScaleNormal="80" workbookViewId="0">
      <selection activeCell="EF33" sqref="EF33"/>
    </sheetView>
  </sheetViews>
  <sheetFormatPr defaultRowHeight="15"/>
  <cols>
    <col min="1" max="1" width="9.140625" style="566"/>
    <col min="2" max="13" width="12.5703125" style="401" customWidth="1"/>
    <col min="14" max="14" width="14" style="401" customWidth="1"/>
    <col min="15" max="15" width="3.42578125" style="566" customWidth="1"/>
    <col min="16" max="16" width="9.140625" style="145"/>
    <col min="17" max="28" width="12.5703125" style="401" customWidth="1"/>
    <col min="29" max="29" width="14" style="401" customWidth="1"/>
    <col min="30" max="30" width="4.28515625" style="145" customWidth="1"/>
    <col min="31" max="31" width="5.42578125" customWidth="1"/>
    <col min="32" max="43" width="14.42578125" customWidth="1"/>
    <col min="44" max="44" width="14" customWidth="1"/>
    <col min="45" max="45" width="4.42578125" customWidth="1"/>
    <col min="46" max="46" width="6.140625" customWidth="1"/>
    <col min="47" max="59" width="14.42578125" customWidth="1"/>
    <col min="60" max="60" width="3.5703125" customWidth="1"/>
    <col min="61" max="61" width="6.140625" customWidth="1"/>
    <col min="62" max="74" width="14.140625" customWidth="1"/>
    <col min="75" max="75" width="4.140625" style="19" customWidth="1"/>
    <col min="76" max="87" width="10.5703125" style="566" customWidth="1"/>
    <col min="88" max="88" width="4.140625" style="19" customWidth="1"/>
    <col min="89" max="100" width="10.5703125" style="145" customWidth="1"/>
    <col min="101" max="101" width="3.5703125" customWidth="1"/>
    <col min="102" max="113" width="10.5703125" customWidth="1"/>
    <col min="114" max="114" width="3.5703125" customWidth="1"/>
    <col min="115" max="126" width="10.5703125" hidden="1" customWidth="1"/>
    <col min="127" max="127" width="3.5703125" hidden="1" customWidth="1"/>
    <col min="128" max="139" width="10.5703125" hidden="1" customWidth="1"/>
    <col min="140" max="140" width="3.5703125" hidden="1" customWidth="1"/>
    <col min="141" max="152" width="10.5703125" style="39" hidden="1" customWidth="1"/>
    <col min="153" max="153" width="3.5703125" hidden="1" customWidth="1"/>
    <col min="154" max="165" width="9.7109375" hidden="1" customWidth="1"/>
    <col min="166" max="166" width="3.5703125" hidden="1" customWidth="1"/>
    <col min="167" max="178" width="9.7109375" hidden="1" customWidth="1"/>
    <col min="179" max="179" width="0" hidden="1" customWidth="1"/>
    <col min="180" max="191" width="9.7109375" style="566" customWidth="1"/>
  </cols>
  <sheetData>
    <row r="1" spans="1:191" ht="15" customHeight="1">
      <c r="B1" s="975" t="s">
        <v>566</v>
      </c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Q1" s="975" t="s">
        <v>405</v>
      </c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F1" s="976" t="s">
        <v>274</v>
      </c>
      <c r="AG1" s="976"/>
      <c r="AH1" s="976"/>
      <c r="AI1" s="976"/>
      <c r="AJ1" s="976"/>
      <c r="AK1" s="976"/>
      <c r="AL1" s="976"/>
      <c r="AM1" s="976"/>
      <c r="AN1" s="976"/>
      <c r="AO1" s="976"/>
      <c r="AP1" s="976"/>
      <c r="AQ1" s="976"/>
      <c r="AR1" s="976"/>
      <c r="AU1" s="976" t="s">
        <v>176</v>
      </c>
      <c r="AV1" s="976"/>
      <c r="AW1" s="976"/>
      <c r="AX1" s="976"/>
      <c r="AY1" s="976"/>
      <c r="AZ1" s="976"/>
      <c r="BA1" s="976"/>
      <c r="BB1" s="976"/>
      <c r="BC1" s="976"/>
      <c r="BD1" s="976"/>
      <c r="BE1" s="976"/>
      <c r="BF1" s="976"/>
      <c r="BG1" s="976"/>
      <c r="BJ1" s="976" t="s">
        <v>133</v>
      </c>
      <c r="BK1" s="976"/>
      <c r="BL1" s="976"/>
      <c r="BM1" s="976"/>
      <c r="BN1" s="976"/>
      <c r="BO1" s="976"/>
      <c r="BP1" s="976"/>
      <c r="BQ1" s="976"/>
      <c r="BR1" s="976"/>
      <c r="BS1" s="976"/>
      <c r="BT1" s="976"/>
      <c r="BU1" s="976"/>
      <c r="BV1" s="976"/>
      <c r="BW1" s="403"/>
      <c r="BX1" s="973" t="s">
        <v>578</v>
      </c>
      <c r="BY1" s="973"/>
      <c r="BZ1" s="973"/>
      <c r="CA1" s="973"/>
      <c r="CB1" s="973"/>
      <c r="CC1" s="973"/>
      <c r="CD1" s="973"/>
      <c r="CE1" s="973"/>
      <c r="CF1" s="973"/>
      <c r="CG1" s="973"/>
      <c r="CH1" s="973"/>
      <c r="CI1" s="973"/>
      <c r="CJ1" s="403"/>
      <c r="CK1" s="973" t="s">
        <v>411</v>
      </c>
      <c r="CL1" s="973"/>
      <c r="CM1" s="973"/>
      <c r="CN1" s="973"/>
      <c r="CO1" s="973"/>
      <c r="CP1" s="973"/>
      <c r="CQ1" s="973"/>
      <c r="CR1" s="973"/>
      <c r="CS1" s="973"/>
      <c r="CT1" s="973"/>
      <c r="CU1" s="973"/>
      <c r="CV1" s="973"/>
      <c r="CX1" s="973" t="s">
        <v>294</v>
      </c>
      <c r="CY1" s="973"/>
      <c r="CZ1" s="973"/>
      <c r="DA1" s="973"/>
      <c r="DB1" s="973"/>
      <c r="DC1" s="973"/>
      <c r="DD1" s="973"/>
      <c r="DE1" s="973"/>
      <c r="DF1" s="973"/>
      <c r="DG1" s="973"/>
      <c r="DH1" s="973"/>
      <c r="DI1" s="973"/>
      <c r="DK1" s="973" t="s">
        <v>134</v>
      </c>
      <c r="DL1" s="973"/>
      <c r="DM1" s="973"/>
      <c r="DN1" s="973"/>
      <c r="DO1" s="973"/>
      <c r="DP1" s="973"/>
      <c r="DQ1" s="973"/>
      <c r="DR1" s="973"/>
      <c r="DS1" s="973"/>
      <c r="DT1" s="973"/>
      <c r="DU1" s="973"/>
      <c r="DV1" s="973"/>
      <c r="DX1" s="973" t="s">
        <v>135</v>
      </c>
      <c r="DY1" s="973"/>
      <c r="DZ1" s="973"/>
      <c r="EA1" s="973"/>
      <c r="EB1" s="973"/>
      <c r="EC1" s="973"/>
      <c r="ED1" s="973"/>
      <c r="EE1" s="973"/>
      <c r="EF1" s="973"/>
      <c r="EG1" s="973"/>
      <c r="EH1" s="973"/>
      <c r="EI1" s="973"/>
      <c r="EK1" s="973" t="s">
        <v>295</v>
      </c>
      <c r="EL1" s="973"/>
      <c r="EM1" s="973"/>
      <c r="EN1" s="973"/>
      <c r="EO1" s="973"/>
      <c r="EP1" s="973"/>
      <c r="EQ1" s="973"/>
      <c r="ER1" s="973"/>
      <c r="ES1" s="973"/>
      <c r="ET1" s="973"/>
      <c r="EU1" s="973"/>
      <c r="EV1" s="973"/>
      <c r="EX1" s="973" t="s">
        <v>423</v>
      </c>
      <c r="EY1" s="973"/>
      <c r="EZ1" s="973"/>
      <c r="FA1" s="973"/>
      <c r="FB1" s="973"/>
      <c r="FC1" s="973"/>
      <c r="FD1" s="973"/>
      <c r="FE1" s="973"/>
      <c r="FF1" s="973"/>
      <c r="FG1" s="973"/>
      <c r="FH1" s="973"/>
      <c r="FI1" s="973"/>
      <c r="FK1" s="973" t="s">
        <v>429</v>
      </c>
      <c r="FL1" s="973"/>
      <c r="FM1" s="973"/>
      <c r="FN1" s="973"/>
      <c r="FO1" s="973"/>
      <c r="FP1" s="973"/>
      <c r="FQ1" s="973"/>
      <c r="FR1" s="973"/>
      <c r="FS1" s="973"/>
      <c r="FT1" s="973"/>
      <c r="FU1" s="973"/>
      <c r="FV1" s="973"/>
      <c r="FX1" s="973" t="s">
        <v>584</v>
      </c>
      <c r="FY1" s="973"/>
      <c r="FZ1" s="973"/>
      <c r="GA1" s="973"/>
      <c r="GB1" s="973"/>
      <c r="GC1" s="973"/>
      <c r="GD1" s="973"/>
      <c r="GE1" s="973"/>
      <c r="GF1" s="973"/>
      <c r="GG1" s="973"/>
      <c r="GH1" s="973"/>
      <c r="GI1" s="973"/>
    </row>
    <row r="2" spans="1:191" ht="15" customHeight="1">
      <c r="B2" s="398" t="s">
        <v>120</v>
      </c>
      <c r="C2" s="398" t="s">
        <v>136</v>
      </c>
      <c r="D2" s="398" t="s">
        <v>137</v>
      </c>
      <c r="E2" s="398" t="s">
        <v>138</v>
      </c>
      <c r="F2" s="398" t="s">
        <v>139</v>
      </c>
      <c r="G2" s="398" t="s">
        <v>140</v>
      </c>
      <c r="H2" s="398" t="s">
        <v>141</v>
      </c>
      <c r="I2" s="398" t="s">
        <v>142</v>
      </c>
      <c r="J2" s="398" t="s">
        <v>143</v>
      </c>
      <c r="K2" s="398" t="s">
        <v>144</v>
      </c>
      <c r="L2" s="398" t="s">
        <v>145</v>
      </c>
      <c r="M2" s="398" t="s">
        <v>146</v>
      </c>
      <c r="N2" s="398" t="s">
        <v>118</v>
      </c>
      <c r="Q2" s="398" t="s">
        <v>120</v>
      </c>
      <c r="R2" s="398" t="s">
        <v>136</v>
      </c>
      <c r="S2" s="398" t="s">
        <v>137</v>
      </c>
      <c r="T2" s="398" t="s">
        <v>138</v>
      </c>
      <c r="U2" s="398" t="s">
        <v>139</v>
      </c>
      <c r="V2" s="398" t="s">
        <v>140</v>
      </c>
      <c r="W2" s="398" t="s">
        <v>141</v>
      </c>
      <c r="X2" s="398" t="s">
        <v>142</v>
      </c>
      <c r="Y2" s="398" t="s">
        <v>143</v>
      </c>
      <c r="Z2" s="398" t="s">
        <v>144</v>
      </c>
      <c r="AA2" s="398" t="s">
        <v>145</v>
      </c>
      <c r="AB2" s="398" t="s">
        <v>146</v>
      </c>
      <c r="AC2" s="398" t="s">
        <v>118</v>
      </c>
      <c r="AF2" s="127" t="s">
        <v>120</v>
      </c>
      <c r="AG2" s="127" t="s">
        <v>136</v>
      </c>
      <c r="AH2" s="127" t="s">
        <v>137</v>
      </c>
      <c r="AI2" s="127" t="s">
        <v>138</v>
      </c>
      <c r="AJ2" s="127" t="s">
        <v>139</v>
      </c>
      <c r="AK2" s="127" t="s">
        <v>140</v>
      </c>
      <c r="AL2" s="127" t="s">
        <v>141</v>
      </c>
      <c r="AM2" s="127" t="s">
        <v>142</v>
      </c>
      <c r="AN2" s="127" t="s">
        <v>143</v>
      </c>
      <c r="AO2" s="127" t="s">
        <v>144</v>
      </c>
      <c r="AP2" s="127" t="s">
        <v>145</v>
      </c>
      <c r="AQ2" s="127" t="s">
        <v>146</v>
      </c>
      <c r="AR2" s="127" t="s">
        <v>118</v>
      </c>
      <c r="AU2" s="60" t="s">
        <v>120</v>
      </c>
      <c r="AV2" s="60" t="s">
        <v>136</v>
      </c>
      <c r="AW2" s="60" t="s">
        <v>137</v>
      </c>
      <c r="AX2" s="60" t="s">
        <v>138</v>
      </c>
      <c r="AY2" s="60" t="s">
        <v>139</v>
      </c>
      <c r="AZ2" s="60" t="s">
        <v>140</v>
      </c>
      <c r="BA2" s="60" t="s">
        <v>141</v>
      </c>
      <c r="BB2" s="60" t="s">
        <v>142</v>
      </c>
      <c r="BC2" s="60" t="s">
        <v>143</v>
      </c>
      <c r="BD2" s="60" t="s">
        <v>144</v>
      </c>
      <c r="BE2" s="60" t="s">
        <v>145</v>
      </c>
      <c r="BF2" s="60" t="s">
        <v>146</v>
      </c>
      <c r="BG2" s="60" t="s">
        <v>118</v>
      </c>
      <c r="BJ2" s="60" t="s">
        <v>120</v>
      </c>
      <c r="BK2" s="60" t="s">
        <v>136</v>
      </c>
      <c r="BL2" s="60" t="s">
        <v>137</v>
      </c>
      <c r="BM2" s="60" t="s">
        <v>138</v>
      </c>
      <c r="BN2" s="60" t="s">
        <v>139</v>
      </c>
      <c r="BO2" s="60" t="s">
        <v>140</v>
      </c>
      <c r="BP2" s="60" t="s">
        <v>141</v>
      </c>
      <c r="BQ2" s="60" t="s">
        <v>142</v>
      </c>
      <c r="BR2" s="60" t="s">
        <v>143</v>
      </c>
      <c r="BS2" s="60" t="s">
        <v>144</v>
      </c>
      <c r="BT2" s="60" t="s">
        <v>145</v>
      </c>
      <c r="BU2" s="60" t="s">
        <v>146</v>
      </c>
      <c r="BV2" s="60" t="s">
        <v>118</v>
      </c>
      <c r="BW2" s="404"/>
      <c r="BX2" s="731" t="s">
        <v>147</v>
      </c>
      <c r="BY2" s="731" t="s">
        <v>148</v>
      </c>
      <c r="BZ2" s="731" t="s">
        <v>180</v>
      </c>
      <c r="CA2" s="731" t="s">
        <v>181</v>
      </c>
      <c r="CB2" s="731" t="s">
        <v>182</v>
      </c>
      <c r="CC2" s="731" t="s">
        <v>152</v>
      </c>
      <c r="CD2" s="731" t="s">
        <v>153</v>
      </c>
      <c r="CE2" s="731" t="s">
        <v>154</v>
      </c>
      <c r="CF2" s="731" t="s">
        <v>155</v>
      </c>
      <c r="CG2" s="731" t="s">
        <v>156</v>
      </c>
      <c r="CH2" s="731" t="s">
        <v>157</v>
      </c>
      <c r="CI2" s="731" t="s">
        <v>158</v>
      </c>
      <c r="CJ2" s="404"/>
      <c r="CK2" s="396" t="s">
        <v>147</v>
      </c>
      <c r="CL2" s="396" t="s">
        <v>148</v>
      </c>
      <c r="CM2" s="396" t="s">
        <v>180</v>
      </c>
      <c r="CN2" s="396" t="s">
        <v>181</v>
      </c>
      <c r="CO2" s="396" t="s">
        <v>182</v>
      </c>
      <c r="CP2" s="396" t="s">
        <v>152</v>
      </c>
      <c r="CQ2" s="396" t="s">
        <v>153</v>
      </c>
      <c r="CR2" s="396" t="s">
        <v>154</v>
      </c>
      <c r="CS2" s="396" t="s">
        <v>155</v>
      </c>
      <c r="CT2" s="396" t="s">
        <v>156</v>
      </c>
      <c r="CU2" s="396" t="s">
        <v>157</v>
      </c>
      <c r="CV2" s="396" t="s">
        <v>158</v>
      </c>
      <c r="CX2" s="129" t="s">
        <v>147</v>
      </c>
      <c r="CY2" s="129" t="s">
        <v>148</v>
      </c>
      <c r="CZ2" s="129" t="s">
        <v>180</v>
      </c>
      <c r="DA2" s="129" t="s">
        <v>181</v>
      </c>
      <c r="DB2" s="129" t="s">
        <v>182</v>
      </c>
      <c r="DC2" s="129" t="s">
        <v>152</v>
      </c>
      <c r="DD2" s="129" t="s">
        <v>153</v>
      </c>
      <c r="DE2" s="129" t="s">
        <v>154</v>
      </c>
      <c r="DF2" s="129" t="s">
        <v>155</v>
      </c>
      <c r="DG2" s="129" t="s">
        <v>156</v>
      </c>
      <c r="DH2" s="129" t="s">
        <v>157</v>
      </c>
      <c r="DI2" s="129" t="s">
        <v>158</v>
      </c>
      <c r="DK2" s="60" t="s">
        <v>147</v>
      </c>
      <c r="DL2" s="60" t="s">
        <v>148</v>
      </c>
      <c r="DM2" s="60" t="s">
        <v>180</v>
      </c>
      <c r="DN2" s="60" t="s">
        <v>181</v>
      </c>
      <c r="DO2" s="60" t="s">
        <v>182</v>
      </c>
      <c r="DP2" s="60" t="s">
        <v>152</v>
      </c>
      <c r="DQ2" s="60" t="s">
        <v>153</v>
      </c>
      <c r="DR2" s="60" t="s">
        <v>154</v>
      </c>
      <c r="DS2" s="60" t="s">
        <v>155</v>
      </c>
      <c r="DT2" s="60" t="s">
        <v>156</v>
      </c>
      <c r="DU2" s="60" t="s">
        <v>157</v>
      </c>
      <c r="DV2" s="60" t="s">
        <v>158</v>
      </c>
      <c r="DX2" s="60" t="s">
        <v>147</v>
      </c>
      <c r="DY2" s="60" t="s">
        <v>148</v>
      </c>
      <c r="DZ2" s="60" t="s">
        <v>180</v>
      </c>
      <c r="EA2" s="60" t="s">
        <v>181</v>
      </c>
      <c r="EB2" s="60" t="s">
        <v>182</v>
      </c>
      <c r="EC2" s="60" t="s">
        <v>152</v>
      </c>
      <c r="ED2" s="60" t="s">
        <v>153</v>
      </c>
      <c r="EE2" s="60" t="s">
        <v>154</v>
      </c>
      <c r="EF2" s="60" t="s">
        <v>155</v>
      </c>
      <c r="EG2" s="60" t="s">
        <v>156</v>
      </c>
      <c r="EH2" s="60" t="s">
        <v>157</v>
      </c>
      <c r="EI2" s="60" t="s">
        <v>158</v>
      </c>
      <c r="EK2" s="397" t="s">
        <v>147</v>
      </c>
      <c r="EL2" s="397" t="s">
        <v>148</v>
      </c>
      <c r="EM2" s="397" t="s">
        <v>180</v>
      </c>
      <c r="EN2" s="397" t="s">
        <v>181</v>
      </c>
      <c r="EO2" s="397" t="s">
        <v>182</v>
      </c>
      <c r="EP2" s="397" t="s">
        <v>152</v>
      </c>
      <c r="EQ2" s="397" t="s">
        <v>153</v>
      </c>
      <c r="ER2" s="397" t="s">
        <v>154</v>
      </c>
      <c r="ES2" s="397" t="s">
        <v>155</v>
      </c>
      <c r="ET2" s="397" t="s">
        <v>156</v>
      </c>
      <c r="EU2" s="397" t="s">
        <v>157</v>
      </c>
      <c r="EV2" s="397" t="s">
        <v>158</v>
      </c>
      <c r="EX2" s="397" t="s">
        <v>147</v>
      </c>
      <c r="EY2" s="397" t="s">
        <v>148</v>
      </c>
      <c r="EZ2" s="397" t="s">
        <v>180</v>
      </c>
      <c r="FA2" s="397" t="s">
        <v>181</v>
      </c>
      <c r="FB2" s="397" t="s">
        <v>182</v>
      </c>
      <c r="FC2" s="397" t="s">
        <v>152</v>
      </c>
      <c r="FD2" s="397" t="s">
        <v>153</v>
      </c>
      <c r="FE2" s="397" t="s">
        <v>154</v>
      </c>
      <c r="FF2" s="397" t="s">
        <v>155</v>
      </c>
      <c r="FG2" s="397" t="s">
        <v>156</v>
      </c>
      <c r="FH2" s="397" t="s">
        <v>157</v>
      </c>
      <c r="FI2" s="397" t="s">
        <v>158</v>
      </c>
      <c r="FK2" s="397" t="s">
        <v>147</v>
      </c>
      <c r="FL2" s="397" t="s">
        <v>148</v>
      </c>
      <c r="FM2" s="397" t="s">
        <v>180</v>
      </c>
      <c r="FN2" s="397" t="s">
        <v>181</v>
      </c>
      <c r="FO2" s="397" t="s">
        <v>182</v>
      </c>
      <c r="FP2" s="397" t="s">
        <v>152</v>
      </c>
      <c r="FQ2" s="397" t="s">
        <v>153</v>
      </c>
      <c r="FR2" s="397" t="s">
        <v>154</v>
      </c>
      <c r="FS2" s="397" t="s">
        <v>155</v>
      </c>
      <c r="FT2" s="397" t="s">
        <v>156</v>
      </c>
      <c r="FU2" s="397" t="s">
        <v>157</v>
      </c>
      <c r="FV2" s="397" t="s">
        <v>158</v>
      </c>
      <c r="FX2" s="731" t="s">
        <v>147</v>
      </c>
      <c r="FY2" s="731" t="s">
        <v>148</v>
      </c>
      <c r="FZ2" s="731" t="s">
        <v>180</v>
      </c>
      <c r="GA2" s="731" t="s">
        <v>181</v>
      </c>
      <c r="GB2" s="731" t="s">
        <v>182</v>
      </c>
      <c r="GC2" s="731" t="s">
        <v>152</v>
      </c>
      <c r="GD2" s="731" t="s">
        <v>153</v>
      </c>
      <c r="GE2" s="731" t="s">
        <v>154</v>
      </c>
      <c r="GF2" s="731" t="s">
        <v>155</v>
      </c>
      <c r="GG2" s="731" t="s">
        <v>156</v>
      </c>
      <c r="GH2" s="731" t="s">
        <v>157</v>
      </c>
      <c r="GI2" s="731" t="s">
        <v>158</v>
      </c>
    </row>
    <row r="3" spans="1:191">
      <c r="A3" s="724" t="s">
        <v>77</v>
      </c>
      <c r="B3" s="399">
        <v>18291.72</v>
      </c>
      <c r="C3" s="400">
        <v>20085.55</v>
      </c>
      <c r="D3" s="400">
        <v>20896.28</v>
      </c>
      <c r="E3" s="400">
        <v>17363.78</v>
      </c>
      <c r="F3" s="400">
        <v>18250.490000000002</v>
      </c>
      <c r="G3" s="400">
        <v>21249.33</v>
      </c>
      <c r="H3" s="400">
        <v>20419.759999999998</v>
      </c>
      <c r="I3" s="400">
        <v>10836.09</v>
      </c>
      <c r="J3" s="400">
        <v>11262.2</v>
      </c>
      <c r="K3" s="400">
        <v>6495.82</v>
      </c>
      <c r="L3" s="400">
        <v>6122.73</v>
      </c>
      <c r="M3" s="400">
        <v>6726.68</v>
      </c>
      <c r="N3" s="400">
        <f t="shared" ref="N3:N29" si="0">SUM(B3:M3)</f>
        <v>178000.43000000002</v>
      </c>
      <c r="P3" s="396" t="s">
        <v>77</v>
      </c>
      <c r="Q3" s="399">
        <v>18200.62</v>
      </c>
      <c r="R3" s="400">
        <v>24130.91</v>
      </c>
      <c r="S3" s="400">
        <v>18008.89</v>
      </c>
      <c r="T3" s="400">
        <v>7548.14</v>
      </c>
      <c r="U3" s="400">
        <v>6708.47</v>
      </c>
      <c r="V3" s="400">
        <v>11650.390000000001</v>
      </c>
      <c r="W3" s="400">
        <v>17506.580000000002</v>
      </c>
      <c r="X3" s="400">
        <v>24457.27</v>
      </c>
      <c r="Y3" s="400">
        <v>9349.89</v>
      </c>
      <c r="Z3" s="400">
        <v>3080.68</v>
      </c>
      <c r="AA3" s="400">
        <v>4521.92</v>
      </c>
      <c r="AB3" s="400">
        <v>7669.93</v>
      </c>
      <c r="AC3" s="400">
        <f>SUM(Q3:AB3)</f>
        <v>152833.69</v>
      </c>
      <c r="AE3" s="127" t="s">
        <v>77</v>
      </c>
      <c r="AF3" s="27">
        <v>24229.77</v>
      </c>
      <c r="AG3" s="27">
        <v>21398.49</v>
      </c>
      <c r="AH3" s="27">
        <v>14111.42</v>
      </c>
      <c r="AI3" s="27">
        <v>17818.54</v>
      </c>
      <c r="AJ3" s="27">
        <v>21864.29</v>
      </c>
      <c r="AK3" s="27">
        <v>19793.82</v>
      </c>
      <c r="AL3" s="27">
        <v>7804.99</v>
      </c>
      <c r="AM3" s="27">
        <v>3523.98</v>
      </c>
      <c r="AN3" s="27">
        <v>3945.11</v>
      </c>
      <c r="AO3" s="27">
        <v>3894.16</v>
      </c>
      <c r="AP3" s="27">
        <v>4473.34</v>
      </c>
      <c r="AQ3" s="27">
        <v>3372.93</v>
      </c>
      <c r="AR3" s="43">
        <f t="shared" ref="AR3:AR31" si="1">SUM(AF3:AQ3)</f>
        <v>146230.84</v>
      </c>
      <c r="AT3" s="60" t="s">
        <v>77</v>
      </c>
      <c r="AU3" s="27">
        <v>19812.34</v>
      </c>
      <c r="AV3" s="27">
        <v>21112.52</v>
      </c>
      <c r="AW3" s="27">
        <v>18789.150000000001</v>
      </c>
      <c r="AX3" s="27">
        <v>15928.68</v>
      </c>
      <c r="AY3" s="27">
        <v>14537.58</v>
      </c>
      <c r="AZ3" s="27">
        <v>11411.6</v>
      </c>
      <c r="BA3" s="27">
        <v>7111.58</v>
      </c>
      <c r="BB3" s="27">
        <v>8214.3700000000008</v>
      </c>
      <c r="BC3" s="27">
        <v>5449.81</v>
      </c>
      <c r="BD3" s="27">
        <v>4810.78</v>
      </c>
      <c r="BE3" s="27">
        <v>2609.94</v>
      </c>
      <c r="BF3" s="27">
        <v>3205.66</v>
      </c>
      <c r="BG3" s="43">
        <f t="shared" ref="BG3:BG66" si="2">SUM(AU3:BF3)</f>
        <v>132994.01</v>
      </c>
      <c r="BI3" s="60" t="s">
        <v>77</v>
      </c>
      <c r="BJ3" s="27">
        <v>16935.78</v>
      </c>
      <c r="BK3" s="27">
        <v>27266.25</v>
      </c>
      <c r="BL3" s="27">
        <v>10096</v>
      </c>
      <c r="BM3" s="27">
        <v>11501.65</v>
      </c>
      <c r="BN3" s="27">
        <v>16802.73</v>
      </c>
      <c r="BO3" s="27">
        <v>11663.61</v>
      </c>
      <c r="BP3" s="27">
        <v>4501.7299999999996</v>
      </c>
      <c r="BQ3" s="27">
        <v>5782.63</v>
      </c>
      <c r="BR3" s="27">
        <v>5814.48</v>
      </c>
      <c r="BS3" s="27">
        <v>4893.01</v>
      </c>
      <c r="BT3" s="27">
        <v>3669.87</v>
      </c>
      <c r="BU3" s="27">
        <v>3704.44</v>
      </c>
      <c r="BV3" s="43">
        <f>SUM(BJ3:BU3)</f>
        <v>122632.17999999998</v>
      </c>
      <c r="BW3" s="405"/>
      <c r="BX3" s="32">
        <f>B3/$N3</f>
        <v>0.10276222366429114</v>
      </c>
      <c r="BY3" s="32">
        <f>SUM(B3:C3)/$N3</f>
        <v>0.21560211961285711</v>
      </c>
      <c r="BZ3" s="32">
        <f>SUM(B3:D3)/$N3</f>
        <v>0.33299666747996054</v>
      </c>
      <c r="CA3" s="32">
        <f>SUM(B3:E3)/$N3</f>
        <v>0.43054575767036063</v>
      </c>
      <c r="CB3" s="32">
        <f>SUM(B3:F3)/$N3</f>
        <v>0.53307635268072107</v>
      </c>
      <c r="CC3" s="32">
        <f>SUM(B3:G3)/$N3</f>
        <v>0.65245432272270354</v>
      </c>
      <c r="CD3" s="32">
        <f>SUM(B3:H3)/$N3</f>
        <v>0.767171798405206</v>
      </c>
      <c r="CE3" s="32">
        <f>SUM(B3:I3)/$N3</f>
        <v>0.82804856145572225</v>
      </c>
      <c r="CF3" s="32">
        <f>SUM(B3:J3)/$N3</f>
        <v>0.89131919512778701</v>
      </c>
      <c r="CG3" s="32">
        <f>SUM(B3:K3)/$N3</f>
        <v>0.92781247775637399</v>
      </c>
      <c r="CH3" s="32">
        <f>SUM(B3:L3)/$N3</f>
        <v>0.96220975421239152</v>
      </c>
      <c r="CI3" s="32">
        <f>SUM(B3:M3)/$N3</f>
        <v>1</v>
      </c>
      <c r="CJ3" s="405"/>
      <c r="CK3" s="32">
        <f>Q3/$AC3</f>
        <v>0.11908774825759948</v>
      </c>
      <c r="CL3" s="32">
        <f>SUM(Q3:R3)/$AC3</f>
        <v>0.27697773965936434</v>
      </c>
      <c r="CM3" s="32">
        <f>SUM(Q3:S3)/$AC3</f>
        <v>0.39481098702779471</v>
      </c>
      <c r="CN3" s="32">
        <f>SUM(Q3:T3)/$AC3</f>
        <v>0.44419891975388409</v>
      </c>
      <c r="CO3" s="32">
        <f>SUM(Q3:U3)/$AC3</f>
        <v>0.48809284131005409</v>
      </c>
      <c r="CP3" s="32">
        <f>SUM(Q3:V3)/$AC3</f>
        <v>0.56432204182206158</v>
      </c>
      <c r="CQ3" s="32">
        <f>SUM(Q3:W3)/$AC3</f>
        <v>0.67886864473402431</v>
      </c>
      <c r="CR3" s="32">
        <f>SUM(Q3:X3)/$AC3</f>
        <v>0.83889402918950662</v>
      </c>
      <c r="CS3" s="32">
        <f>SUM(Q3:Y3)/$AC3</f>
        <v>0.90007092022707824</v>
      </c>
      <c r="CT3" s="32">
        <f>SUM(Q3:Z3)/$AC3</f>
        <v>0.92022799423347035</v>
      </c>
      <c r="CU3" s="32">
        <f>SUM(Q3:AA3)/$AC3</f>
        <v>0.9498151879994523</v>
      </c>
      <c r="CV3" s="32">
        <f>SUM(Q3:AB3)/$AC3</f>
        <v>1</v>
      </c>
      <c r="CX3" s="32">
        <f>AF3/$AR3</f>
        <v>0.16569534853249834</v>
      </c>
      <c r="CY3" s="32">
        <f>SUM(AF3:AG3)/$AR3</f>
        <v>0.31202898102753157</v>
      </c>
      <c r="CZ3" s="32">
        <f>SUM(AF3:AH3)/$AR3</f>
        <v>0.40852996536161595</v>
      </c>
      <c r="DA3" s="32">
        <f>SUM(AF3:AI3)/$AR3</f>
        <v>0.53038209997289221</v>
      </c>
      <c r="DB3" s="32">
        <f>SUM(AF3:AJ3)/$AR3</f>
        <v>0.67990110704417761</v>
      </c>
      <c r="DC3" s="32">
        <f>SUM(AF3:AK3)/$AR3</f>
        <v>0.81526119934755226</v>
      </c>
      <c r="DD3" s="32">
        <f>SUM(AF3:AL3)/$AR3</f>
        <v>0.86863564484755762</v>
      </c>
      <c r="DE3" s="32">
        <f>SUM(AF3:AM3)/$AR3</f>
        <v>0.89273439173296154</v>
      </c>
      <c r="DF3" s="32">
        <f>SUM(AF3:AN3)/$AR3</f>
        <v>0.91971303727722553</v>
      </c>
      <c r="DG3" s="32">
        <f>SUM(AF3:AO3)/$AR3</f>
        <v>0.94634326110689104</v>
      </c>
      <c r="DH3" s="32">
        <f>SUM(AF3:AP3)/$AR3</f>
        <v>0.97693420895346017</v>
      </c>
      <c r="DI3" s="32">
        <f>SUM(AF3:AQ3)/$AR3</f>
        <v>1</v>
      </c>
      <c r="DK3" s="32">
        <f t="shared" ref="DK3:DK29" si="3">AU3/BG3</f>
        <v>0.14897167173168174</v>
      </c>
      <c r="DL3" s="32">
        <f t="shared" ref="DL3:DL29" si="4">SUM(AU3:AV3)/$BG3</f>
        <v>0.30771957323491483</v>
      </c>
      <c r="DM3" s="32">
        <f t="shared" ref="DM3:DM29" si="5">SUM(AU3:AW3)/$BG3</f>
        <v>0.44899774057493264</v>
      </c>
      <c r="DN3" s="32">
        <f t="shared" ref="DN3:DN29" si="6">SUM(AU3:AX3)/$BG3</f>
        <v>0.56876764600150032</v>
      </c>
      <c r="DO3" s="32">
        <f t="shared" ref="DO3:DO29" si="7">SUM(AU3:AY3)/$BG3</f>
        <v>0.67807768184446804</v>
      </c>
      <c r="DP3" s="32">
        <f t="shared" ref="DP3:DP29" si="8">SUM(AU3:AZ3)/$BG3</f>
        <v>0.7638830500712025</v>
      </c>
      <c r="DQ3" s="32">
        <f t="shared" ref="DQ3:DQ29" si="9">SUM(AU3:BA3)/$BG3</f>
        <v>0.81735598467931003</v>
      </c>
      <c r="DR3" s="32">
        <f t="shared" ref="DR3:DR29" si="10">SUM(AU3:BB3)/$BG3</f>
        <v>0.87912094687572773</v>
      </c>
      <c r="DS3" s="32">
        <f t="shared" ref="DS3:DS29" si="11">SUM(AU3:BC3)/$BG3</f>
        <v>0.92009880745756889</v>
      </c>
      <c r="DT3" s="32">
        <f t="shared" ref="DT3:DT29" si="12">SUM(AU3:BD3)/$BG3</f>
        <v>0.95627171479377149</v>
      </c>
      <c r="DU3" s="32">
        <f t="shared" ref="DU3:DU29" si="13">SUM(AU3:BE3)/$BG3</f>
        <v>0.97589620765626961</v>
      </c>
      <c r="DV3" s="32">
        <f t="shared" ref="DV3:DV29" si="14">SUM(AU3:BF3)/$BG3</f>
        <v>1</v>
      </c>
      <c r="DW3" s="39"/>
      <c r="DX3" s="32">
        <f t="shared" ref="DX3:DX29" si="15">BJ3/BV3</f>
        <v>0.13810225015978678</v>
      </c>
      <c r="DY3" s="32">
        <f t="shared" ref="DY3:DY29" si="16">SUM(BJ3:BK3)/$BV3</f>
        <v>0.36044397155787339</v>
      </c>
      <c r="DZ3" s="32">
        <f t="shared" ref="DZ3:DZ29" si="17">SUM(BJ3:BL3)/$BV3</f>
        <v>0.44277146504286241</v>
      </c>
      <c r="EA3" s="32">
        <f t="shared" ref="EA3:EA29" si="18">SUM(BJ3:BM3)/$BV3</f>
        <v>0.5365612843219455</v>
      </c>
      <c r="EB3" s="32">
        <f t="shared" ref="EB3:EB29" si="19">SUM(BJ3:BN3)/$BV3</f>
        <v>0.67357858271784787</v>
      </c>
      <c r="EC3" s="32">
        <f t="shared" ref="EC3:EC29" si="20">SUM(BJ3:BO3)/$BV3</f>
        <v>0.76868909938647434</v>
      </c>
      <c r="ED3" s="32">
        <f t="shared" ref="ED3:ED29" si="21">SUM(BJ3:BP3)/$BV3</f>
        <v>0.80539830573019255</v>
      </c>
      <c r="EE3" s="32">
        <f t="shared" ref="EE3:EE29" si="22">SUM(BJ3:BQ3)/$BV3</f>
        <v>0.8525525681758247</v>
      </c>
      <c r="EF3" s="32">
        <f t="shared" ref="EF3:EF29" si="23">SUM(BJ3:BR3)/$BV3</f>
        <v>0.89996655037853857</v>
      </c>
      <c r="EG3" s="32">
        <f t="shared" ref="EG3:EG29" si="24">SUM(BJ3:BS3)/$BV3</f>
        <v>0.93986643636278833</v>
      </c>
      <c r="EH3" s="32">
        <f t="shared" ref="EH3:EH29" si="25">SUM(BJ3:BT3)/$BV3</f>
        <v>0.96979226822845355</v>
      </c>
      <c r="EI3" s="32">
        <f t="shared" ref="EI3:EI29" si="26">SUM(BJ3:BU3)/$BV3</f>
        <v>1</v>
      </c>
      <c r="EK3" s="32">
        <f>(CX3+DK3+DX3)/3</f>
        <v>0.1509230901413223</v>
      </c>
      <c r="EL3" s="32">
        <f t="shared" ref="EL3:EV18" si="27">(CY3+DL3+DY3)/3</f>
        <v>0.32673084194010654</v>
      </c>
      <c r="EM3" s="32">
        <f t="shared" si="27"/>
        <v>0.433433056993137</v>
      </c>
      <c r="EN3" s="32">
        <f t="shared" si="27"/>
        <v>0.54523701009877934</v>
      </c>
      <c r="EO3" s="32">
        <f t="shared" si="27"/>
        <v>0.67718579053549777</v>
      </c>
      <c r="EP3" s="32">
        <f t="shared" si="27"/>
        <v>0.78261111626840973</v>
      </c>
      <c r="EQ3" s="32">
        <f t="shared" si="27"/>
        <v>0.83046331175235333</v>
      </c>
      <c r="ER3" s="32">
        <f t="shared" si="27"/>
        <v>0.87480263559483795</v>
      </c>
      <c r="ES3" s="32">
        <f t="shared" si="27"/>
        <v>0.91325946503777766</v>
      </c>
      <c r="ET3" s="32">
        <f t="shared" si="27"/>
        <v>0.94749380408781692</v>
      </c>
      <c r="EU3" s="32">
        <f t="shared" si="27"/>
        <v>0.97420756161272781</v>
      </c>
      <c r="EV3" s="32">
        <f t="shared" si="27"/>
        <v>1</v>
      </c>
      <c r="EX3" s="32">
        <f>(DK3+DX3+CX3+CK3)/4</f>
        <v>0.14296425467039159</v>
      </c>
      <c r="EY3" s="32">
        <f t="shared" ref="EY3:FI3" si="28">(DL3+DY3+CY3+CL3)/4</f>
        <v>0.31429256636992109</v>
      </c>
      <c r="EZ3" s="32">
        <f t="shared" si="28"/>
        <v>0.42377753950180141</v>
      </c>
      <c r="FA3" s="32">
        <f t="shared" si="28"/>
        <v>0.51997748751255557</v>
      </c>
      <c r="FB3" s="32">
        <f t="shared" si="28"/>
        <v>0.62991255322913686</v>
      </c>
      <c r="FC3" s="32">
        <f t="shared" si="28"/>
        <v>0.7280388476568227</v>
      </c>
      <c r="FD3" s="32">
        <f t="shared" si="28"/>
        <v>0.79256464499777113</v>
      </c>
      <c r="FE3" s="32">
        <f t="shared" si="28"/>
        <v>0.86582548399350512</v>
      </c>
      <c r="FF3" s="32">
        <f t="shared" si="28"/>
        <v>0.90996232883510286</v>
      </c>
      <c r="FG3" s="32">
        <f t="shared" si="28"/>
        <v>0.94067735162423027</v>
      </c>
      <c r="FH3" s="32">
        <f t="shared" si="28"/>
        <v>0.96810946820940891</v>
      </c>
      <c r="FI3" s="32">
        <f t="shared" si="28"/>
        <v>1</v>
      </c>
      <c r="FK3" s="32">
        <f>(DK3+CX3+CK3)/3</f>
        <v>0.14458492284059318</v>
      </c>
      <c r="FL3" s="32">
        <f t="shared" ref="FL3:FL30" si="29">(DL3+CY3+CL3)/3</f>
        <v>0.29890876464060356</v>
      </c>
      <c r="FM3" s="32">
        <f t="shared" ref="FM3:FM30" si="30">(DM3+CZ3+CM3)/3</f>
        <v>0.4174462309881144</v>
      </c>
      <c r="FN3" s="32">
        <f t="shared" ref="FN3:FN30" si="31">(DN3+DA3+CN3)/3</f>
        <v>0.51444955524275893</v>
      </c>
      <c r="FO3" s="32">
        <f t="shared" ref="FO3:FO30" si="32">(DO3+DB3+CO3)/3</f>
        <v>0.61535721006623323</v>
      </c>
      <c r="FP3" s="32">
        <f t="shared" ref="FP3:FP30" si="33">(DP3+DC3+CP3)/3</f>
        <v>0.71448876374693882</v>
      </c>
      <c r="FQ3" s="32">
        <f t="shared" ref="FQ3:FQ30" si="34">(DQ3+DD3+CQ3)/3</f>
        <v>0.78828675808696402</v>
      </c>
      <c r="FR3" s="32">
        <f t="shared" ref="FR3:FR30" si="35">(DR3+DE3+CR3)/3</f>
        <v>0.87024978926606522</v>
      </c>
      <c r="FS3" s="32">
        <f t="shared" ref="FS3:FS30" si="36">(DS3+DF3+CS3)/3</f>
        <v>0.91329425498729089</v>
      </c>
      <c r="FT3" s="32">
        <f t="shared" ref="FT3:FT30" si="37">(DT3+DG3+CT3)/3</f>
        <v>0.94094765671137759</v>
      </c>
      <c r="FU3" s="32">
        <f t="shared" ref="FU3:FU30" si="38">(DU3+DH3+CU3)/3</f>
        <v>0.96754853486972736</v>
      </c>
      <c r="FV3" s="32">
        <f t="shared" ref="FV3:FV30" si="39">(DV3+DI3+CV3)/3</f>
        <v>1</v>
      </c>
      <c r="FX3" s="32">
        <f>(CX3+CK3+BX3)/3</f>
        <v>0.12918177348479631</v>
      </c>
      <c r="FY3" s="32">
        <f t="shared" ref="FY3:FY30" si="40">(CY3+CL3+BY3)/3</f>
        <v>0.26820294676658435</v>
      </c>
      <c r="FZ3" s="32">
        <f t="shared" ref="FZ3:FZ30" si="41">(CZ3+CM3+BZ3)/3</f>
        <v>0.3787792066231237</v>
      </c>
      <c r="GA3" s="32">
        <f t="shared" ref="GA3:GA30" si="42">(DA3+CN3+CA3)/3</f>
        <v>0.46837559246571231</v>
      </c>
      <c r="GB3" s="32">
        <f t="shared" ref="GB3:GB30" si="43">(DB3+CO3+CB3)/3</f>
        <v>0.56702343367831753</v>
      </c>
      <c r="GC3" s="32">
        <f t="shared" ref="GC3:GC30" si="44">(DC3+CP3+CC3)/3</f>
        <v>0.67734585463077257</v>
      </c>
      <c r="GD3" s="32">
        <f t="shared" ref="GD3:GD30" si="45">(DD3+CQ3+CD3)/3</f>
        <v>0.77155869599559601</v>
      </c>
      <c r="GE3" s="32">
        <f t="shared" ref="GE3:GE30" si="46">(DE3+CR3+CE3)/3</f>
        <v>0.8532256607927301</v>
      </c>
      <c r="GF3" s="32">
        <f t="shared" ref="GF3:GF30" si="47">(DF3+CS3+CF3)/3</f>
        <v>0.90370105087736352</v>
      </c>
      <c r="GG3" s="32">
        <f t="shared" ref="GG3:GG30" si="48">(DG3+CT3+CG3)/3</f>
        <v>0.93146124436557842</v>
      </c>
      <c r="GH3" s="32">
        <f t="shared" ref="GH3:GH30" si="49">(DH3+CU3+CH3)/3</f>
        <v>0.96298638372176804</v>
      </c>
      <c r="GI3" s="32">
        <f t="shared" ref="GI3:GI30" si="50">(DI3+CV3+CI3)/3</f>
        <v>1</v>
      </c>
    </row>
    <row r="4" spans="1:191">
      <c r="A4" s="724" t="s">
        <v>78</v>
      </c>
      <c r="B4" s="399">
        <v>107108.73</v>
      </c>
      <c r="C4" s="400">
        <v>129845.36</v>
      </c>
      <c r="D4" s="400">
        <v>77708.06</v>
      </c>
      <c r="E4" s="400">
        <v>73906.61</v>
      </c>
      <c r="F4" s="400">
        <v>59750.41</v>
      </c>
      <c r="G4" s="400">
        <v>44172.480000000003</v>
      </c>
      <c r="H4" s="400">
        <v>30661.58</v>
      </c>
      <c r="I4" s="400">
        <v>25791.58</v>
      </c>
      <c r="J4" s="400">
        <v>17074.62</v>
      </c>
      <c r="K4" s="400">
        <v>19406.189999999999</v>
      </c>
      <c r="L4" s="400">
        <v>19288.740000000002</v>
      </c>
      <c r="M4" s="400">
        <v>17241.03</v>
      </c>
      <c r="N4" s="400">
        <f t="shared" si="0"/>
        <v>621955.39</v>
      </c>
      <c r="P4" s="396" t="s">
        <v>78</v>
      </c>
      <c r="Q4" s="399">
        <v>103273.77</v>
      </c>
      <c r="R4" s="400">
        <v>96172.06</v>
      </c>
      <c r="S4" s="400">
        <v>52215.65</v>
      </c>
      <c r="T4" s="400">
        <v>21636.93</v>
      </c>
      <c r="U4" s="400">
        <v>21552.38</v>
      </c>
      <c r="V4" s="400">
        <v>27873.699999999997</v>
      </c>
      <c r="W4" s="400">
        <v>58482.23</v>
      </c>
      <c r="X4" s="400">
        <v>64539.05</v>
      </c>
      <c r="Y4" s="400">
        <v>22962.82</v>
      </c>
      <c r="Z4" s="400">
        <v>9423.98</v>
      </c>
      <c r="AA4" s="400">
        <v>17345.870000000003</v>
      </c>
      <c r="AB4" s="400">
        <v>26626.54</v>
      </c>
      <c r="AC4" s="400">
        <f t="shared" ref="AC4:AC31" si="51">SUM(Q4:AB4)</f>
        <v>522104.98</v>
      </c>
      <c r="AE4" s="127" t="s">
        <v>78</v>
      </c>
      <c r="AF4" s="27">
        <v>96465.34</v>
      </c>
      <c r="AG4" s="27">
        <v>117655.21</v>
      </c>
      <c r="AH4" s="27">
        <v>41116.620000000003</v>
      </c>
      <c r="AI4" s="27">
        <v>49707.19</v>
      </c>
      <c r="AJ4" s="27">
        <v>52983.39</v>
      </c>
      <c r="AK4" s="27">
        <v>49635.74</v>
      </c>
      <c r="AL4" s="27">
        <v>21625.02</v>
      </c>
      <c r="AM4" s="27">
        <v>15972.25</v>
      </c>
      <c r="AN4" s="27">
        <v>14009.13</v>
      </c>
      <c r="AO4" s="27">
        <v>12824.5</v>
      </c>
      <c r="AP4" s="27">
        <v>9783.1</v>
      </c>
      <c r="AQ4" s="27">
        <v>18178.03</v>
      </c>
      <c r="AR4" s="43">
        <f t="shared" si="1"/>
        <v>499955.52</v>
      </c>
      <c r="AT4" s="60" t="s">
        <v>78</v>
      </c>
      <c r="AU4" s="27">
        <v>82159.570000000007</v>
      </c>
      <c r="AV4" s="27">
        <v>85327.87</v>
      </c>
      <c r="AW4" s="27">
        <v>73002.100000000006</v>
      </c>
      <c r="AX4" s="27">
        <v>46053.47</v>
      </c>
      <c r="AY4" s="27">
        <v>56282.27</v>
      </c>
      <c r="AZ4" s="27">
        <v>51264.53</v>
      </c>
      <c r="BA4" s="27">
        <v>15249.210000000001</v>
      </c>
      <c r="BB4" s="27">
        <v>15587.62</v>
      </c>
      <c r="BC4" s="27">
        <v>12284.18</v>
      </c>
      <c r="BD4" s="27">
        <v>11079.87</v>
      </c>
      <c r="BE4" s="27">
        <v>12809.8</v>
      </c>
      <c r="BF4" s="27">
        <v>10150.6</v>
      </c>
      <c r="BG4" s="43">
        <f t="shared" si="2"/>
        <v>471251.09</v>
      </c>
      <c r="BI4" s="60" t="s">
        <v>78</v>
      </c>
      <c r="BJ4" s="27">
        <v>78370.84</v>
      </c>
      <c r="BK4" s="27">
        <v>120876.9</v>
      </c>
      <c r="BL4" s="27">
        <v>40599.399999999994</v>
      </c>
      <c r="BM4" s="27">
        <v>39292.25</v>
      </c>
      <c r="BN4" s="27">
        <v>62018.89</v>
      </c>
      <c r="BO4" s="27">
        <v>51425.36</v>
      </c>
      <c r="BP4" s="27">
        <v>13872.869999999999</v>
      </c>
      <c r="BQ4" s="27">
        <v>15263.59</v>
      </c>
      <c r="BR4" s="27">
        <v>13113.52</v>
      </c>
      <c r="BS4" s="27">
        <v>12445.32</v>
      </c>
      <c r="BT4" s="27">
        <v>13139.93</v>
      </c>
      <c r="BU4" s="27">
        <v>9817.1299999999992</v>
      </c>
      <c r="BV4" s="43">
        <f t="shared" ref="BV4:BV67" si="52">SUM(BJ4:BU4)</f>
        <v>470236.00000000006</v>
      </c>
      <c r="BW4" s="405"/>
      <c r="BX4" s="32">
        <f t="shared" ref="BX4:BX29" si="53">B4/$N4</f>
        <v>0.17221288169879836</v>
      </c>
      <c r="BY4" s="32">
        <f t="shared" ref="BY4:BY29" si="54">SUM(B4:C4)/$N4</f>
        <v>0.38098245277687842</v>
      </c>
      <c r="BZ4" s="32">
        <f t="shared" ref="BZ4:BZ29" si="55">SUM(B4:D4)/$N4</f>
        <v>0.50592398596304478</v>
      </c>
      <c r="CA4" s="32">
        <f t="shared" ref="CA4:CA29" si="56">SUM(B4:E4)/$N4</f>
        <v>0.62475342483968188</v>
      </c>
      <c r="CB4" s="32">
        <f t="shared" ref="CB4:CB29" si="57">SUM(B4:F4)/$N4</f>
        <v>0.72082206731900822</v>
      </c>
      <c r="CC4" s="32">
        <f t="shared" ref="CC4:CC29" si="58">SUM(B4:G4)/$N4</f>
        <v>0.79184400990559789</v>
      </c>
      <c r="CD4" s="32">
        <f t="shared" ref="CD4:CD29" si="59">SUM(B4:H4)/$N4</f>
        <v>0.84114269031417188</v>
      </c>
      <c r="CE4" s="32">
        <f t="shared" ref="CE4:CE29" si="60">SUM(B4:I4)/$N4</f>
        <v>0.88261122714926554</v>
      </c>
      <c r="CF4" s="32">
        <f t="shared" ref="CF4:CF29" si="61">SUM(B4:J4)/$N4</f>
        <v>0.91006435365083027</v>
      </c>
      <c r="CG4" s="32">
        <f t="shared" ref="CG4:CG29" si="62">SUM(B4:K4)/$N4</f>
        <v>0.941266253838559</v>
      </c>
      <c r="CH4" s="32">
        <f t="shared" ref="CH4:CH29" si="63">SUM(B4:L4)/$N4</f>
        <v>0.97227931411608148</v>
      </c>
      <c r="CI4" s="32">
        <f t="shared" ref="CI4:CI29" si="64">SUM(B4:M4)/$N4</f>
        <v>1</v>
      </c>
      <c r="CJ4" s="405"/>
      <c r="CK4" s="32">
        <f t="shared" ref="CK4:CK29" si="65">Q4/$AC4</f>
        <v>0.19780269094541103</v>
      </c>
      <c r="CL4" s="32">
        <f t="shared" ref="CL4:CL29" si="66">SUM(Q4:R4)/$AC4</f>
        <v>0.38200330898969787</v>
      </c>
      <c r="CM4" s="32">
        <f t="shared" ref="CM4:CM29" si="67">SUM(Q4:S4)/$AC4</f>
        <v>0.48201317673698502</v>
      </c>
      <c r="CN4" s="32">
        <f t="shared" ref="CN4:CN29" si="68">SUM(Q4:T4)/$AC4</f>
        <v>0.52345489981727433</v>
      </c>
      <c r="CO4" s="32">
        <f t="shared" ref="CO4:CO29" si="69">SUM(Q4:U4)/$AC4</f>
        <v>0.56473468228554347</v>
      </c>
      <c r="CP4" s="32">
        <f t="shared" ref="CP4:CP29" si="70">SUM(Q4:V4)/$AC4</f>
        <v>0.61812183825559386</v>
      </c>
      <c r="CQ4" s="32">
        <f t="shared" ref="CQ4:CQ29" si="71">SUM(Q4:W4)/$AC4</f>
        <v>0.73013423468973626</v>
      </c>
      <c r="CR4" s="32">
        <f t="shared" ref="CR4:CR29" si="72">SUM(Q4:X4)/$AC4</f>
        <v>0.85374740152832873</v>
      </c>
      <c r="CS4" s="32">
        <f t="shared" ref="CS4:CS29" si="73">SUM(Q4:Y4)/$AC4</f>
        <v>0.8977286330423434</v>
      </c>
      <c r="CT4" s="32">
        <f t="shared" ref="CT4:CT29" si="74">SUM(Q4:Z4)/$AC4</f>
        <v>0.91577860452508997</v>
      </c>
      <c r="CU4" s="32">
        <f t="shared" ref="CU4:CU29" si="75">SUM(Q4:AA4)/$AC4</f>
        <v>0.94900155903511973</v>
      </c>
      <c r="CV4" s="32">
        <f t="shared" ref="CV4:CV29" si="76">SUM(Q4:AB4)/$AC4</f>
        <v>1</v>
      </c>
      <c r="CX4" s="32">
        <f t="shared" ref="CX4:CX29" si="77">AF4/$AR4</f>
        <v>0.19294784464025919</v>
      </c>
      <c r="CY4" s="32">
        <f t="shared" ref="CY4:CY29" si="78">SUM(AF4:AG4)/$AR4</f>
        <v>0.42827919971760686</v>
      </c>
      <c r="CZ4" s="32">
        <f t="shared" ref="CZ4:CZ29" si="79">SUM(AF4:AH4)/$AR4</f>
        <v>0.51051975583747922</v>
      </c>
      <c r="DA4" s="32">
        <f t="shared" ref="DA4:DA29" si="80">SUM(AF4:AI4)/$AR4</f>
        <v>0.6099429805275477</v>
      </c>
      <c r="DB4" s="32">
        <f t="shared" ref="DB4:DB29" si="81">SUM(AF4:AJ4)/$AR4</f>
        <v>0.71591918817097966</v>
      </c>
      <c r="DC4" s="32">
        <f t="shared" ref="DC4:DC29" si="82">SUM(AF4:AK4)/$AR4</f>
        <v>0.81519950014753306</v>
      </c>
      <c r="DD4" s="32">
        <f t="shared" ref="DD4:DD29" si="83">SUM(AF4:AL4)/$AR4</f>
        <v>0.85845338801339766</v>
      </c>
      <c r="DE4" s="32">
        <f t="shared" ref="DE4:DE29" si="84">SUM(AF4:AM4)/$AR4</f>
        <v>0.89040073004894515</v>
      </c>
      <c r="DF4" s="32">
        <f t="shared" ref="DF4:DF29" si="85">SUM(AF4:AN4)/$AR4</f>
        <v>0.91842148277510771</v>
      </c>
      <c r="DG4" s="32">
        <f t="shared" ref="DG4:DG29" si="86">SUM(AF4:AO4)/$AR4</f>
        <v>0.94407276471314883</v>
      </c>
      <c r="DH4" s="32">
        <f t="shared" ref="DH4:DH29" si="87">SUM(AF4:AP4)/$AR4</f>
        <v>0.96364070547715919</v>
      </c>
      <c r="DI4" s="32">
        <f t="shared" ref="DI4:DI29" si="88">SUM(AF4:AQ4)/$AR4</f>
        <v>1</v>
      </c>
      <c r="DK4" s="32">
        <f t="shared" si="3"/>
        <v>0.17434351186328292</v>
      </c>
      <c r="DL4" s="32">
        <f t="shared" si="4"/>
        <v>0.35541019119976996</v>
      </c>
      <c r="DM4" s="32">
        <f t="shared" si="5"/>
        <v>0.51032145092757242</v>
      </c>
      <c r="DN4" s="32">
        <f t="shared" si="6"/>
        <v>0.60804742117413457</v>
      </c>
      <c r="DO4" s="32">
        <f t="shared" si="7"/>
        <v>0.72747901760821398</v>
      </c>
      <c r="DP4" s="32">
        <f t="shared" si="8"/>
        <v>0.83626291453246304</v>
      </c>
      <c r="DQ4" s="32">
        <f t="shared" si="9"/>
        <v>0.86862190599919897</v>
      </c>
      <c r="DR4" s="32">
        <f t="shared" si="10"/>
        <v>0.90169900721078444</v>
      </c>
      <c r="DS4" s="32">
        <f t="shared" si="11"/>
        <v>0.92776617238169157</v>
      </c>
      <c r="DT4" s="32">
        <f t="shared" si="12"/>
        <v>0.95127777847686257</v>
      </c>
      <c r="DU4" s="32">
        <f t="shared" si="13"/>
        <v>0.97846031507322351</v>
      </c>
      <c r="DV4" s="32">
        <f t="shared" si="14"/>
        <v>1</v>
      </c>
      <c r="DW4" s="39"/>
      <c r="DX4" s="32">
        <f t="shared" si="15"/>
        <v>0.16666278209239613</v>
      </c>
      <c r="DY4" s="32">
        <f t="shared" si="16"/>
        <v>0.4237186008727532</v>
      </c>
      <c r="DZ4" s="32">
        <f t="shared" si="17"/>
        <v>0.51005695012717012</v>
      </c>
      <c r="EA4" s="32">
        <f t="shared" si="18"/>
        <v>0.59361552497044034</v>
      </c>
      <c r="EB4" s="32">
        <f t="shared" si="19"/>
        <v>0.72550438503219661</v>
      </c>
      <c r="EC4" s="32">
        <f t="shared" si="20"/>
        <v>0.83486513155096587</v>
      </c>
      <c r="ED4" s="32">
        <f t="shared" si="21"/>
        <v>0.86436706249627837</v>
      </c>
      <c r="EE4" s="32">
        <f t="shared" si="22"/>
        <v>0.89682648712561353</v>
      </c>
      <c r="EF4" s="32">
        <f t="shared" si="23"/>
        <v>0.92471359062258096</v>
      </c>
      <c r="EG4" s="32">
        <f t="shared" si="24"/>
        <v>0.95117970550957398</v>
      </c>
      <c r="EH4" s="32">
        <f t="shared" si="25"/>
        <v>0.97912297229476264</v>
      </c>
      <c r="EI4" s="32">
        <f t="shared" si="26"/>
        <v>1</v>
      </c>
      <c r="EK4" s="32">
        <f t="shared" ref="EK4:EK29" si="89">(CX4+DK4+DX4)/3</f>
        <v>0.17798471286531273</v>
      </c>
      <c r="EL4" s="32">
        <f t="shared" si="27"/>
        <v>0.40246933059670997</v>
      </c>
      <c r="EM4" s="32">
        <f t="shared" si="27"/>
        <v>0.51029938563074062</v>
      </c>
      <c r="EN4" s="32">
        <f t="shared" si="27"/>
        <v>0.60386864222404091</v>
      </c>
      <c r="EO4" s="32">
        <f t="shared" si="27"/>
        <v>0.72296753027046334</v>
      </c>
      <c r="EP4" s="32">
        <f t="shared" si="27"/>
        <v>0.82877584874365395</v>
      </c>
      <c r="EQ4" s="32">
        <f t="shared" si="27"/>
        <v>0.86381411883629167</v>
      </c>
      <c r="ER4" s="32">
        <f t="shared" si="27"/>
        <v>0.89630874146178108</v>
      </c>
      <c r="ES4" s="32">
        <f t="shared" si="27"/>
        <v>0.92363374859312675</v>
      </c>
      <c r="ET4" s="32">
        <f t="shared" si="27"/>
        <v>0.94884341623319512</v>
      </c>
      <c r="EU4" s="32">
        <f t="shared" si="27"/>
        <v>0.97374133094838189</v>
      </c>
      <c r="EV4" s="32">
        <f t="shared" si="27"/>
        <v>1</v>
      </c>
      <c r="EX4" s="32">
        <f t="shared" ref="EX4:EX30" si="90">(DK4+DX4+CX4+CK4)/4</f>
        <v>0.18293920738533731</v>
      </c>
      <c r="EY4" s="32">
        <f t="shared" ref="EY4:EY30" si="91">(DL4+DY4+CY4+CL4)/4</f>
        <v>0.39735282519495696</v>
      </c>
      <c r="EZ4" s="32">
        <f t="shared" ref="EZ4:EZ30" si="92">(DM4+DZ4+CZ4+CM4)/4</f>
        <v>0.50322783340730171</v>
      </c>
      <c r="FA4" s="32">
        <f t="shared" ref="FA4:FA30" si="93">(DN4+EA4+DA4+CN4)/4</f>
        <v>0.58376520662234932</v>
      </c>
      <c r="FB4" s="32">
        <f t="shared" ref="FB4:FB30" si="94">(DO4+EB4+DB4+CO4)/4</f>
        <v>0.68340931827423335</v>
      </c>
      <c r="FC4" s="32">
        <f t="shared" ref="FC4:FC30" si="95">(DP4+EC4+DC4+CP4)/4</f>
        <v>0.77611234612163893</v>
      </c>
      <c r="FD4" s="32">
        <f t="shared" ref="FD4:FD30" si="96">(DQ4+ED4+DD4+CQ4)/4</f>
        <v>0.83039414779965282</v>
      </c>
      <c r="FE4" s="32">
        <f t="shared" ref="FE4:FE30" si="97">(DR4+EE4+DE4+CR4)/4</f>
        <v>0.88566840647841794</v>
      </c>
      <c r="FF4" s="32">
        <f t="shared" ref="FF4:FF30" si="98">(DS4+EF4+DF4+CS4)/4</f>
        <v>0.91715746970543088</v>
      </c>
      <c r="FG4" s="32">
        <f t="shared" ref="FG4:FG30" si="99">(DT4+EG4+DG4+CT4)/4</f>
        <v>0.94057721330616884</v>
      </c>
      <c r="FH4" s="32">
        <f t="shared" ref="FH4:FH30" si="100">(DU4+EH4+DH4+CU4)/4</f>
        <v>0.96755638797006616</v>
      </c>
      <c r="FI4" s="32">
        <f t="shared" ref="FI4:FI30" si="101">(DV4+EI4+DI4+CV4)/4</f>
        <v>1</v>
      </c>
      <c r="FK4" s="32">
        <f t="shared" ref="FK4:FK30" si="102">(DK4+CX4+CK4)/3</f>
        <v>0.18836468248298441</v>
      </c>
      <c r="FL4" s="32">
        <f t="shared" si="29"/>
        <v>0.38856423330235823</v>
      </c>
      <c r="FM4" s="32">
        <f t="shared" si="30"/>
        <v>0.50095146116734557</v>
      </c>
      <c r="FN4" s="32">
        <f t="shared" si="31"/>
        <v>0.5804817671729855</v>
      </c>
      <c r="FO4" s="32">
        <f t="shared" si="32"/>
        <v>0.66937762935491241</v>
      </c>
      <c r="FP4" s="32">
        <f t="shared" si="33"/>
        <v>0.75652808431186325</v>
      </c>
      <c r="FQ4" s="32">
        <f t="shared" si="34"/>
        <v>0.81906984290077756</v>
      </c>
      <c r="FR4" s="32">
        <f t="shared" si="35"/>
        <v>0.88194904626268611</v>
      </c>
      <c r="FS4" s="32">
        <f t="shared" si="36"/>
        <v>0.91463876273304756</v>
      </c>
      <c r="FT4" s="32">
        <f t="shared" si="37"/>
        <v>0.93704304923836712</v>
      </c>
      <c r="FU4" s="32">
        <f t="shared" si="38"/>
        <v>0.96370085986183407</v>
      </c>
      <c r="FV4" s="32">
        <f t="shared" si="39"/>
        <v>1</v>
      </c>
      <c r="FX4" s="32">
        <f t="shared" ref="FX4:FX30" si="103">(CX4+CK4+BX4)/3</f>
        <v>0.18765447242815617</v>
      </c>
      <c r="FY4" s="32">
        <f t="shared" si="40"/>
        <v>0.3970883204947277</v>
      </c>
      <c r="FZ4" s="32">
        <f t="shared" si="41"/>
        <v>0.49948563951250308</v>
      </c>
      <c r="GA4" s="32">
        <f t="shared" si="42"/>
        <v>0.58605043506150123</v>
      </c>
      <c r="GB4" s="32">
        <f t="shared" si="43"/>
        <v>0.66715864592517704</v>
      </c>
      <c r="GC4" s="32">
        <f t="shared" si="44"/>
        <v>0.7417217827695749</v>
      </c>
      <c r="GD4" s="32">
        <f t="shared" si="45"/>
        <v>0.80991010433910182</v>
      </c>
      <c r="GE4" s="32">
        <f t="shared" si="46"/>
        <v>0.87558645290884651</v>
      </c>
      <c r="GF4" s="32">
        <f t="shared" si="47"/>
        <v>0.90873815648942713</v>
      </c>
      <c r="GG4" s="32">
        <f t="shared" si="48"/>
        <v>0.9337058743589326</v>
      </c>
      <c r="GH4" s="32">
        <f t="shared" si="49"/>
        <v>0.96164052620945351</v>
      </c>
      <c r="GI4" s="32">
        <f t="shared" si="50"/>
        <v>1</v>
      </c>
    </row>
    <row r="5" spans="1:191">
      <c r="A5" s="724" t="s">
        <v>79</v>
      </c>
      <c r="B5" s="399">
        <v>26224.43</v>
      </c>
      <c r="C5" s="400">
        <v>25053.67</v>
      </c>
      <c r="D5" s="400">
        <v>27784.240000000002</v>
      </c>
      <c r="E5" s="400">
        <v>20477.439999999999</v>
      </c>
      <c r="F5" s="400">
        <v>18693.72</v>
      </c>
      <c r="G5" s="400">
        <v>20031.57</v>
      </c>
      <c r="H5" s="400">
        <v>13933.54</v>
      </c>
      <c r="I5" s="400">
        <v>8970.24</v>
      </c>
      <c r="J5" s="400">
        <v>7683.35</v>
      </c>
      <c r="K5" s="400">
        <v>5027.83</v>
      </c>
      <c r="L5" s="400">
        <v>6208.87</v>
      </c>
      <c r="M5" s="400">
        <v>6696.46</v>
      </c>
      <c r="N5" s="400">
        <f t="shared" si="0"/>
        <v>186785.36</v>
      </c>
      <c r="P5" s="396" t="s">
        <v>79</v>
      </c>
      <c r="Q5" s="399">
        <v>21174.69</v>
      </c>
      <c r="R5" s="400">
        <v>27971.66</v>
      </c>
      <c r="S5" s="400">
        <v>18300.150000000001</v>
      </c>
      <c r="T5" s="400">
        <v>10422.280000000001</v>
      </c>
      <c r="U5" s="400">
        <v>5261.73</v>
      </c>
      <c r="V5" s="400">
        <v>14112.679999999997</v>
      </c>
      <c r="W5" s="400">
        <v>29943.06</v>
      </c>
      <c r="X5" s="400">
        <v>30469.3</v>
      </c>
      <c r="Y5" s="400">
        <v>9543.06</v>
      </c>
      <c r="Z5" s="400">
        <v>2905.69</v>
      </c>
      <c r="AA5" s="400">
        <v>5490.7200000000012</v>
      </c>
      <c r="AB5" s="400">
        <v>7732.01</v>
      </c>
      <c r="AC5" s="400">
        <f t="shared" si="51"/>
        <v>183327.03</v>
      </c>
      <c r="AE5" s="127" t="s">
        <v>79</v>
      </c>
      <c r="AF5" s="27">
        <v>18914.34</v>
      </c>
      <c r="AG5" s="27">
        <v>24059.14</v>
      </c>
      <c r="AH5" s="27">
        <v>15244.49</v>
      </c>
      <c r="AI5" s="27">
        <v>15168.35</v>
      </c>
      <c r="AJ5" s="27">
        <v>22826.31</v>
      </c>
      <c r="AK5" s="27">
        <v>19754.060000000001</v>
      </c>
      <c r="AL5" s="27">
        <v>7572.67</v>
      </c>
      <c r="AM5" s="27">
        <v>9409.9699999999993</v>
      </c>
      <c r="AN5" s="27">
        <v>5826.01</v>
      </c>
      <c r="AO5" s="27">
        <v>3788.42</v>
      </c>
      <c r="AP5" s="27">
        <v>3247.21</v>
      </c>
      <c r="AQ5" s="27">
        <v>5295.75</v>
      </c>
      <c r="AR5" s="43">
        <f t="shared" si="1"/>
        <v>151106.72</v>
      </c>
      <c r="AT5" s="60" t="s">
        <v>79</v>
      </c>
      <c r="AU5" s="27">
        <v>18241.830000000002</v>
      </c>
      <c r="AV5" s="27">
        <v>19021.66</v>
      </c>
      <c r="AW5" s="27">
        <v>19278.52</v>
      </c>
      <c r="AX5" s="27">
        <v>15118.4</v>
      </c>
      <c r="AY5" s="27">
        <v>15454.260000000002</v>
      </c>
      <c r="AZ5" s="27">
        <v>20771.330000000002</v>
      </c>
      <c r="BA5" s="27">
        <v>6956.4</v>
      </c>
      <c r="BB5" s="27">
        <v>5764.06</v>
      </c>
      <c r="BC5" s="27">
        <v>4185.72</v>
      </c>
      <c r="BD5" s="27">
        <v>4580.22</v>
      </c>
      <c r="BE5" s="27">
        <v>2980.29</v>
      </c>
      <c r="BF5" s="27">
        <v>6289.17</v>
      </c>
      <c r="BG5" s="43">
        <f t="shared" si="2"/>
        <v>138641.86000000002</v>
      </c>
      <c r="BI5" s="60" t="s">
        <v>79</v>
      </c>
      <c r="BJ5" s="27">
        <v>15824.45</v>
      </c>
      <c r="BK5" s="27">
        <v>23092.239999999998</v>
      </c>
      <c r="BL5" s="27">
        <v>14191.66</v>
      </c>
      <c r="BM5" s="27">
        <v>11771.61</v>
      </c>
      <c r="BN5" s="27">
        <v>12236.97</v>
      </c>
      <c r="BO5" s="27">
        <v>20730.730000000003</v>
      </c>
      <c r="BP5" s="27">
        <v>7453.22</v>
      </c>
      <c r="BQ5" s="27">
        <v>7572.6900000000005</v>
      </c>
      <c r="BR5" s="27">
        <v>9324.4</v>
      </c>
      <c r="BS5" s="27">
        <v>6930.1</v>
      </c>
      <c r="BT5" s="27">
        <v>4188.0200000000004</v>
      </c>
      <c r="BU5" s="27">
        <v>3657.3599999999997</v>
      </c>
      <c r="BV5" s="43">
        <f t="shared" si="52"/>
        <v>136973.44999999998</v>
      </c>
      <c r="BW5" s="405"/>
      <c r="BX5" s="32">
        <f t="shared" si="53"/>
        <v>0.14039874431272345</v>
      </c>
      <c r="BY5" s="32">
        <f t="shared" si="54"/>
        <v>0.2745295455703809</v>
      </c>
      <c r="BZ5" s="32">
        <f t="shared" si="55"/>
        <v>0.4232791049576905</v>
      </c>
      <c r="CA5" s="32">
        <f t="shared" si="56"/>
        <v>0.5329099668196694</v>
      </c>
      <c r="CB5" s="32">
        <f t="shared" si="57"/>
        <v>0.63299125798724276</v>
      </c>
      <c r="CC5" s="32">
        <f t="shared" si="58"/>
        <v>0.74023504839993892</v>
      </c>
      <c r="CD5" s="32">
        <f t="shared" si="59"/>
        <v>0.81483157994823596</v>
      </c>
      <c r="CE5" s="32">
        <f t="shared" si="60"/>
        <v>0.86285590048384952</v>
      </c>
      <c r="CF5" s="32">
        <f t="shared" si="61"/>
        <v>0.90399054829564818</v>
      </c>
      <c r="CG5" s="32">
        <f t="shared" si="62"/>
        <v>0.93090823606304052</v>
      </c>
      <c r="CH5" s="32">
        <f t="shared" si="63"/>
        <v>0.96414890331876124</v>
      </c>
      <c r="CI5" s="32">
        <f t="shared" si="64"/>
        <v>1</v>
      </c>
      <c r="CJ5" s="405"/>
      <c r="CK5" s="32">
        <f t="shared" si="65"/>
        <v>0.11550228026930889</v>
      </c>
      <c r="CL5" s="32">
        <f t="shared" si="66"/>
        <v>0.26808021708528196</v>
      </c>
      <c r="CM5" s="32">
        <f t="shared" si="67"/>
        <v>0.36790264916199211</v>
      </c>
      <c r="CN5" s="32">
        <f t="shared" si="68"/>
        <v>0.42475340379430138</v>
      </c>
      <c r="CO5" s="32">
        <f t="shared" si="69"/>
        <v>0.4534547360528341</v>
      </c>
      <c r="CP5" s="32">
        <f t="shared" si="70"/>
        <v>0.53043563734164012</v>
      </c>
      <c r="CQ5" s="32">
        <f t="shared" si="71"/>
        <v>0.6937670347902325</v>
      </c>
      <c r="CR5" s="32">
        <f t="shared" si="72"/>
        <v>0.85996893093178883</v>
      </c>
      <c r="CS5" s="32">
        <f t="shared" si="73"/>
        <v>0.91202377521743516</v>
      </c>
      <c r="CT5" s="32">
        <f t="shared" si="74"/>
        <v>0.9278735383429273</v>
      </c>
      <c r="CU5" s="32">
        <f t="shared" si="75"/>
        <v>0.95782394991071418</v>
      </c>
      <c r="CV5" s="32">
        <f t="shared" si="76"/>
        <v>1</v>
      </c>
      <c r="CX5" s="32">
        <f t="shared" si="77"/>
        <v>0.12517206382350168</v>
      </c>
      <c r="CY5" s="32">
        <f t="shared" si="78"/>
        <v>0.28439158761436945</v>
      </c>
      <c r="CZ5" s="32">
        <f t="shared" si="79"/>
        <v>0.38527717364257524</v>
      </c>
      <c r="DA5" s="32">
        <f t="shared" si="80"/>
        <v>0.4856588773814956</v>
      </c>
      <c r="DB5" s="32">
        <f t="shared" si="81"/>
        <v>0.63671973026745599</v>
      </c>
      <c r="DC5" s="32">
        <f t="shared" si="82"/>
        <v>0.76744892616291316</v>
      </c>
      <c r="DD5" s="32">
        <f t="shared" si="83"/>
        <v>0.81756363979047386</v>
      </c>
      <c r="DE5" s="32">
        <f t="shared" si="84"/>
        <v>0.87983730968417539</v>
      </c>
      <c r="DF5" s="32">
        <f t="shared" si="85"/>
        <v>0.91839290800567963</v>
      </c>
      <c r="DG5" s="32">
        <f t="shared" si="86"/>
        <v>0.94346406301453711</v>
      </c>
      <c r="DH5" s="32">
        <f t="shared" si="87"/>
        <v>0.9649535771804193</v>
      </c>
      <c r="DI5" s="32">
        <f t="shared" si="88"/>
        <v>1</v>
      </c>
      <c r="DK5" s="32">
        <f t="shared" si="3"/>
        <v>0.13157519669744766</v>
      </c>
      <c r="DL5" s="32">
        <f t="shared" si="4"/>
        <v>0.26877517367409814</v>
      </c>
      <c r="DM5" s="32">
        <f t="shared" si="5"/>
        <v>0.40782783785503168</v>
      </c>
      <c r="DN5" s="32">
        <f t="shared" si="6"/>
        <v>0.51687426870932052</v>
      </c>
      <c r="DO5" s="32">
        <f t="shared" si="7"/>
        <v>0.6283432002426973</v>
      </c>
      <c r="DP5" s="32">
        <f t="shared" si="8"/>
        <v>0.77816324737709086</v>
      </c>
      <c r="DQ5" s="32">
        <f t="shared" si="9"/>
        <v>0.8283385696066109</v>
      </c>
      <c r="DR5" s="32">
        <f t="shared" si="10"/>
        <v>0.86991374755070361</v>
      </c>
      <c r="DS5" s="32">
        <f t="shared" si="11"/>
        <v>0.90010462929450019</v>
      </c>
      <c r="DT5" s="32">
        <f t="shared" si="12"/>
        <v>0.93314097199792323</v>
      </c>
      <c r="DU5" s="32">
        <f t="shared" si="13"/>
        <v>0.95463729352736604</v>
      </c>
      <c r="DV5" s="32">
        <f t="shared" si="14"/>
        <v>1</v>
      </c>
      <c r="DW5" s="39"/>
      <c r="DX5" s="32">
        <f t="shared" si="15"/>
        <v>0.11552932338347324</v>
      </c>
      <c r="DY5" s="32">
        <f t="shared" si="16"/>
        <v>0.28411849157628727</v>
      </c>
      <c r="DZ5" s="32">
        <f t="shared" si="17"/>
        <v>0.38772732963943024</v>
      </c>
      <c r="EA5" s="32">
        <f t="shared" si="18"/>
        <v>0.47366814517703987</v>
      </c>
      <c r="EB5" s="32">
        <f t="shared" si="19"/>
        <v>0.56300640744611463</v>
      </c>
      <c r="EC5" s="32">
        <f t="shared" si="20"/>
        <v>0.71435493520824667</v>
      </c>
      <c r="ED5" s="32">
        <f t="shared" si="21"/>
        <v>0.76876854602114508</v>
      </c>
      <c r="EE5" s="32">
        <f t="shared" si="22"/>
        <v>0.8240543696606899</v>
      </c>
      <c r="EF5" s="32">
        <f t="shared" si="23"/>
        <v>0.89212887607050873</v>
      </c>
      <c r="EG5" s="32">
        <f t="shared" si="24"/>
        <v>0.94272335259132356</v>
      </c>
      <c r="EH5" s="32">
        <f t="shared" si="25"/>
        <v>0.97329876702382845</v>
      </c>
      <c r="EI5" s="32">
        <f t="shared" si="26"/>
        <v>1</v>
      </c>
      <c r="EK5" s="32">
        <f t="shared" si="89"/>
        <v>0.12409219463480751</v>
      </c>
      <c r="EL5" s="32">
        <f t="shared" si="27"/>
        <v>0.27909508428825164</v>
      </c>
      <c r="EM5" s="32">
        <f t="shared" si="27"/>
        <v>0.39361078037901237</v>
      </c>
      <c r="EN5" s="32">
        <f t="shared" si="27"/>
        <v>0.49206709708928531</v>
      </c>
      <c r="EO5" s="32">
        <f t="shared" si="27"/>
        <v>0.60935644598542271</v>
      </c>
      <c r="EP5" s="32">
        <f t="shared" si="27"/>
        <v>0.75332236958275012</v>
      </c>
      <c r="EQ5" s="32">
        <f t="shared" si="27"/>
        <v>0.80489025180607665</v>
      </c>
      <c r="ER5" s="32">
        <f t="shared" si="27"/>
        <v>0.85793514229852297</v>
      </c>
      <c r="ES5" s="32">
        <f t="shared" si="27"/>
        <v>0.9035421377902294</v>
      </c>
      <c r="ET5" s="32">
        <f t="shared" si="27"/>
        <v>0.9397761292012613</v>
      </c>
      <c r="EU5" s="32">
        <f t="shared" si="27"/>
        <v>0.96429654591053782</v>
      </c>
      <c r="EV5" s="32">
        <f t="shared" si="27"/>
        <v>1</v>
      </c>
      <c r="EX5" s="32">
        <f t="shared" si="90"/>
        <v>0.12194471604343288</v>
      </c>
      <c r="EY5" s="32">
        <f t="shared" si="91"/>
        <v>0.2763413674875092</v>
      </c>
      <c r="EZ5" s="32">
        <f t="shared" si="92"/>
        <v>0.38718374757475732</v>
      </c>
      <c r="FA5" s="32">
        <f t="shared" si="93"/>
        <v>0.4752386737655393</v>
      </c>
      <c r="FB5" s="32">
        <f t="shared" si="94"/>
        <v>0.57038101850227552</v>
      </c>
      <c r="FC5" s="32">
        <f t="shared" si="95"/>
        <v>0.69760068652247276</v>
      </c>
      <c r="FD5" s="32">
        <f t="shared" si="96"/>
        <v>0.77710944755211564</v>
      </c>
      <c r="FE5" s="32">
        <f t="shared" si="97"/>
        <v>0.85844358945683941</v>
      </c>
      <c r="FF5" s="32">
        <f t="shared" si="98"/>
        <v>0.90566254714703087</v>
      </c>
      <c r="FG5" s="32">
        <f t="shared" si="99"/>
        <v>0.93680048148667772</v>
      </c>
      <c r="FH5" s="32">
        <f t="shared" si="100"/>
        <v>0.9626783969105821</v>
      </c>
      <c r="FI5" s="32">
        <f t="shared" si="101"/>
        <v>1</v>
      </c>
      <c r="FK5" s="32">
        <f t="shared" si="102"/>
        <v>0.1240831802634194</v>
      </c>
      <c r="FL5" s="32">
        <f t="shared" si="29"/>
        <v>0.27374899279124987</v>
      </c>
      <c r="FM5" s="32">
        <f t="shared" si="30"/>
        <v>0.38700255355319974</v>
      </c>
      <c r="FN5" s="32">
        <f t="shared" si="31"/>
        <v>0.47576218329503916</v>
      </c>
      <c r="FO5" s="32">
        <f t="shared" si="32"/>
        <v>0.57283922218766248</v>
      </c>
      <c r="FP5" s="32">
        <f t="shared" si="33"/>
        <v>0.69201593696054797</v>
      </c>
      <c r="FQ5" s="32">
        <f t="shared" si="34"/>
        <v>0.77988974806243905</v>
      </c>
      <c r="FR5" s="32">
        <f t="shared" si="35"/>
        <v>0.86990666272222261</v>
      </c>
      <c r="FS5" s="32">
        <f t="shared" si="36"/>
        <v>0.91017377083920492</v>
      </c>
      <c r="FT5" s="32">
        <f t="shared" si="37"/>
        <v>0.93482619111846255</v>
      </c>
      <c r="FU5" s="32">
        <f t="shared" si="38"/>
        <v>0.95913827353949976</v>
      </c>
      <c r="FV5" s="32">
        <f t="shared" si="39"/>
        <v>1</v>
      </c>
      <c r="FX5" s="32">
        <f t="shared" si="103"/>
        <v>0.12702436280184468</v>
      </c>
      <c r="FY5" s="32">
        <f t="shared" si="40"/>
        <v>0.27566711675667743</v>
      </c>
      <c r="FZ5" s="32">
        <f t="shared" si="41"/>
        <v>0.39215297592075266</v>
      </c>
      <c r="GA5" s="32">
        <f t="shared" si="42"/>
        <v>0.48110741599848877</v>
      </c>
      <c r="GB5" s="32">
        <f t="shared" si="43"/>
        <v>0.5743885747691776</v>
      </c>
      <c r="GC5" s="32">
        <f t="shared" si="44"/>
        <v>0.67937320396816414</v>
      </c>
      <c r="GD5" s="32">
        <f t="shared" si="45"/>
        <v>0.77538741817631418</v>
      </c>
      <c r="GE5" s="32">
        <f t="shared" si="46"/>
        <v>0.86755404703327121</v>
      </c>
      <c r="GF5" s="32">
        <f t="shared" si="47"/>
        <v>0.91146907717292092</v>
      </c>
      <c r="GG5" s="32">
        <f t="shared" si="48"/>
        <v>0.9340819458068349</v>
      </c>
      <c r="GH5" s="32">
        <f t="shared" si="49"/>
        <v>0.96230881013663161</v>
      </c>
      <c r="GI5" s="32">
        <f t="shared" si="50"/>
        <v>1</v>
      </c>
    </row>
    <row r="6" spans="1:191">
      <c r="A6" s="724" t="s">
        <v>80</v>
      </c>
      <c r="B6" s="399">
        <v>49245.69</v>
      </c>
      <c r="C6" s="400">
        <v>71533.789999999994</v>
      </c>
      <c r="D6" s="400">
        <v>82901.240000000005</v>
      </c>
      <c r="E6" s="400">
        <v>71393.7</v>
      </c>
      <c r="F6" s="400">
        <v>59540.1</v>
      </c>
      <c r="G6" s="400">
        <v>56171.95</v>
      </c>
      <c r="H6" s="400">
        <v>42357.31</v>
      </c>
      <c r="I6" s="400">
        <v>30515.03</v>
      </c>
      <c r="J6" s="400">
        <v>23530.65</v>
      </c>
      <c r="K6" s="400">
        <v>18075.810000000001</v>
      </c>
      <c r="L6" s="400">
        <v>11521.38</v>
      </c>
      <c r="M6" s="400">
        <v>18770</v>
      </c>
      <c r="N6" s="400">
        <f t="shared" si="0"/>
        <v>535556.64999999991</v>
      </c>
      <c r="P6" s="396" t="s">
        <v>80</v>
      </c>
      <c r="Q6" s="399">
        <v>70198.87</v>
      </c>
      <c r="R6" s="400">
        <v>82476.14</v>
      </c>
      <c r="S6" s="400">
        <v>59323.18</v>
      </c>
      <c r="T6" s="400">
        <v>22361.05</v>
      </c>
      <c r="U6" s="400">
        <v>24553.86</v>
      </c>
      <c r="V6" s="400">
        <v>44289.719999999987</v>
      </c>
      <c r="W6" s="400">
        <v>51077.32</v>
      </c>
      <c r="X6" s="400">
        <v>67110.16</v>
      </c>
      <c r="Y6" s="400">
        <v>25667.9</v>
      </c>
      <c r="Z6" s="400">
        <v>9962.56</v>
      </c>
      <c r="AA6" s="400">
        <v>19769.910000000003</v>
      </c>
      <c r="AB6" s="400">
        <v>18925.32</v>
      </c>
      <c r="AC6" s="400">
        <f t="shared" si="51"/>
        <v>495715.98999999993</v>
      </c>
      <c r="AE6" s="127" t="s">
        <v>80</v>
      </c>
      <c r="AF6" s="27">
        <v>64402.29</v>
      </c>
      <c r="AG6" s="27">
        <v>72528.63</v>
      </c>
      <c r="AH6" s="27">
        <v>53147.54</v>
      </c>
      <c r="AI6" s="27">
        <v>60544.32</v>
      </c>
      <c r="AJ6" s="27">
        <v>79449.61</v>
      </c>
      <c r="AK6" s="27">
        <v>70794.710000000006</v>
      </c>
      <c r="AL6" s="27">
        <v>23691.88</v>
      </c>
      <c r="AM6" s="27">
        <v>18379.740000000002</v>
      </c>
      <c r="AN6" s="27">
        <v>15668.12</v>
      </c>
      <c r="AO6" s="27">
        <v>19253.59</v>
      </c>
      <c r="AP6" s="27">
        <v>12104.84</v>
      </c>
      <c r="AQ6" s="27">
        <v>17353.79</v>
      </c>
      <c r="AR6" s="43">
        <f t="shared" si="1"/>
        <v>507319.06000000006</v>
      </c>
      <c r="AT6" s="60" t="s">
        <v>80</v>
      </c>
      <c r="AU6" s="27">
        <v>40402.980000000003</v>
      </c>
      <c r="AV6" s="27">
        <v>68823.86</v>
      </c>
      <c r="AW6" s="27">
        <v>61100.160000000003</v>
      </c>
      <c r="AX6" s="27">
        <v>49071.02</v>
      </c>
      <c r="AY6" s="27">
        <v>57944.11</v>
      </c>
      <c r="AZ6" s="27">
        <v>42500.32</v>
      </c>
      <c r="BA6" s="27">
        <v>26889.700000000004</v>
      </c>
      <c r="BB6" s="27">
        <v>28745.32</v>
      </c>
      <c r="BC6" s="27">
        <v>19037</v>
      </c>
      <c r="BD6" s="27">
        <v>18467.68</v>
      </c>
      <c r="BE6" s="27">
        <v>12025.53</v>
      </c>
      <c r="BF6" s="27">
        <v>16645.18</v>
      </c>
      <c r="BG6" s="43">
        <f t="shared" si="2"/>
        <v>441652.86000000004</v>
      </c>
      <c r="BI6" s="60" t="s">
        <v>80</v>
      </c>
      <c r="BJ6" s="27">
        <v>59048.04</v>
      </c>
      <c r="BK6" s="27">
        <v>80404.3</v>
      </c>
      <c r="BL6" s="27">
        <v>45797.119999999995</v>
      </c>
      <c r="BM6" s="27">
        <v>37658.559999999998</v>
      </c>
      <c r="BN6" s="27">
        <v>51489.130000000005</v>
      </c>
      <c r="BO6" s="27">
        <v>41132.629999999997</v>
      </c>
      <c r="BP6" s="27">
        <v>18432.310000000001</v>
      </c>
      <c r="BQ6" s="27">
        <v>21706.170000000002</v>
      </c>
      <c r="BR6" s="27">
        <v>21640.240000000002</v>
      </c>
      <c r="BS6" s="27">
        <v>29000.6</v>
      </c>
      <c r="BT6" s="27">
        <v>19573.149999999998</v>
      </c>
      <c r="BU6" s="27">
        <v>12762.880000000001</v>
      </c>
      <c r="BV6" s="43">
        <f t="shared" si="52"/>
        <v>438645.13</v>
      </c>
      <c r="BW6" s="405"/>
      <c r="BX6" s="32">
        <f t="shared" si="53"/>
        <v>9.1952345284107687E-2</v>
      </c>
      <c r="BY6" s="32">
        <f t="shared" si="54"/>
        <v>0.22552138975400646</v>
      </c>
      <c r="BZ6" s="32">
        <f t="shared" si="55"/>
        <v>0.38031591989381525</v>
      </c>
      <c r="CA6" s="32">
        <f t="shared" si="56"/>
        <v>0.51362338606009283</v>
      </c>
      <c r="CB6" s="32">
        <f t="shared" si="57"/>
        <v>0.62479761944884826</v>
      </c>
      <c r="CC6" s="32">
        <f t="shared" si="58"/>
        <v>0.72968278892625094</v>
      </c>
      <c r="CD6" s="32">
        <f t="shared" si="59"/>
        <v>0.80877304016297813</v>
      </c>
      <c r="CE6" s="32">
        <f t="shared" si="60"/>
        <v>0.86575119550844903</v>
      </c>
      <c r="CF6" s="32">
        <f t="shared" si="61"/>
        <v>0.90968800406082162</v>
      </c>
      <c r="CG6" s="32">
        <f t="shared" si="62"/>
        <v>0.94343944753556896</v>
      </c>
      <c r="CH6" s="32">
        <f t="shared" si="63"/>
        <v>0.96495235377994104</v>
      </c>
      <c r="CI6" s="32">
        <f t="shared" si="64"/>
        <v>1</v>
      </c>
      <c r="CJ6" s="405"/>
      <c r="CK6" s="32">
        <f t="shared" si="65"/>
        <v>0.14161106644956117</v>
      </c>
      <c r="CL6" s="32">
        <f t="shared" si="66"/>
        <v>0.30798887483940157</v>
      </c>
      <c r="CM6" s="32">
        <f t="shared" si="67"/>
        <v>0.42766058444069965</v>
      </c>
      <c r="CN6" s="32">
        <f t="shared" si="68"/>
        <v>0.47276917575323729</v>
      </c>
      <c r="CO6" s="32">
        <f t="shared" si="69"/>
        <v>0.52230128788058661</v>
      </c>
      <c r="CP6" s="32">
        <f t="shared" si="70"/>
        <v>0.611646237193196</v>
      </c>
      <c r="CQ6" s="32">
        <f t="shared" si="71"/>
        <v>0.71468370427187555</v>
      </c>
      <c r="CR6" s="32">
        <f t="shared" si="72"/>
        <v>0.85006396505386073</v>
      </c>
      <c r="CS6" s="32">
        <f t="shared" si="73"/>
        <v>0.90184341239426236</v>
      </c>
      <c r="CT6" s="32">
        <f t="shared" si="74"/>
        <v>0.92194072658418791</v>
      </c>
      <c r="CU6" s="32">
        <f t="shared" si="75"/>
        <v>0.9618222522941009</v>
      </c>
      <c r="CV6" s="32">
        <f t="shared" si="76"/>
        <v>1</v>
      </c>
      <c r="CX6" s="32">
        <f t="shared" si="77"/>
        <v>0.12694632446886581</v>
      </c>
      <c r="CY6" s="32">
        <f t="shared" si="78"/>
        <v>0.26991085255105535</v>
      </c>
      <c r="CZ6" s="32">
        <f t="shared" si="79"/>
        <v>0.37467242015310837</v>
      </c>
      <c r="DA6" s="32">
        <f t="shared" si="80"/>
        <v>0.49401412200046257</v>
      </c>
      <c r="DB6" s="32">
        <f t="shared" si="81"/>
        <v>0.65062091300098202</v>
      </c>
      <c r="DC6" s="32">
        <f t="shared" si="82"/>
        <v>0.79016763139157431</v>
      </c>
      <c r="DD6" s="32">
        <f t="shared" si="83"/>
        <v>0.83686778888220759</v>
      </c>
      <c r="DE6" s="32">
        <f t="shared" si="84"/>
        <v>0.87309694218861</v>
      </c>
      <c r="DF6" s="32">
        <f t="shared" si="85"/>
        <v>0.9039810962355721</v>
      </c>
      <c r="DG6" s="32">
        <f t="shared" si="86"/>
        <v>0.94193273558458457</v>
      </c>
      <c r="DH6" s="32">
        <f t="shared" si="87"/>
        <v>0.96579314406204253</v>
      </c>
      <c r="DI6" s="32">
        <f t="shared" si="88"/>
        <v>1</v>
      </c>
      <c r="DK6" s="32">
        <f t="shared" si="3"/>
        <v>9.1481305023135132E-2</v>
      </c>
      <c r="DL6" s="32">
        <f t="shared" si="4"/>
        <v>0.24731378395240095</v>
      </c>
      <c r="DM6" s="32">
        <f t="shared" si="5"/>
        <v>0.38565809355338487</v>
      </c>
      <c r="DN6" s="32">
        <f t="shared" si="6"/>
        <v>0.49676576304747572</v>
      </c>
      <c r="DO6" s="32">
        <f t="shared" si="7"/>
        <v>0.62796407567699208</v>
      </c>
      <c r="DP6" s="32">
        <f t="shared" si="8"/>
        <v>0.72419422349036744</v>
      </c>
      <c r="DQ6" s="32">
        <f t="shared" si="9"/>
        <v>0.78507846637741685</v>
      </c>
      <c r="DR6" s="32">
        <f t="shared" si="10"/>
        <v>0.85016424437962423</v>
      </c>
      <c r="DS6" s="32">
        <f t="shared" si="11"/>
        <v>0.89326823333601868</v>
      </c>
      <c r="DT6" s="32">
        <f t="shared" si="12"/>
        <v>0.93508315558060684</v>
      </c>
      <c r="DU6" s="32">
        <f t="shared" si="13"/>
        <v>0.96231162184707697</v>
      </c>
      <c r="DV6" s="32">
        <f t="shared" si="14"/>
        <v>1</v>
      </c>
      <c r="DW6" s="39"/>
      <c r="DX6" s="32">
        <f t="shared" si="15"/>
        <v>0.13461460292514818</v>
      </c>
      <c r="DY6" s="32">
        <f t="shared" si="16"/>
        <v>0.31791607945128675</v>
      </c>
      <c r="DZ6" s="32">
        <f t="shared" si="17"/>
        <v>0.42232193481778763</v>
      </c>
      <c r="EA6" s="32">
        <f t="shared" si="18"/>
        <v>0.5081739309404848</v>
      </c>
      <c r="EB6" s="32">
        <f t="shared" si="19"/>
        <v>0.62555613007717659</v>
      </c>
      <c r="EC6" s="32">
        <f t="shared" si="20"/>
        <v>0.71932812750024155</v>
      </c>
      <c r="ED6" s="32">
        <f t="shared" si="21"/>
        <v>0.76134913432186069</v>
      </c>
      <c r="EE6" s="32">
        <f t="shared" si="22"/>
        <v>0.81083371426008999</v>
      </c>
      <c r="EF6" s="32">
        <f t="shared" si="23"/>
        <v>0.86016799046646197</v>
      </c>
      <c r="EG6" s="32">
        <f t="shared" si="24"/>
        <v>0.92628202665785886</v>
      </c>
      <c r="EH6" s="32">
        <f t="shared" si="25"/>
        <v>0.97090386025715136</v>
      </c>
      <c r="EI6" s="32">
        <f t="shared" si="26"/>
        <v>1</v>
      </c>
      <c r="EK6" s="32">
        <f t="shared" si="89"/>
        <v>0.11768074413904972</v>
      </c>
      <c r="EL6" s="32">
        <f t="shared" si="27"/>
        <v>0.27838023865158101</v>
      </c>
      <c r="EM6" s="32">
        <f t="shared" si="27"/>
        <v>0.39421748284142694</v>
      </c>
      <c r="EN6" s="32">
        <f t="shared" si="27"/>
        <v>0.49965127199614107</v>
      </c>
      <c r="EO6" s="32">
        <f t="shared" si="27"/>
        <v>0.63471370625171686</v>
      </c>
      <c r="EP6" s="32">
        <f t="shared" si="27"/>
        <v>0.74456332746072773</v>
      </c>
      <c r="EQ6" s="32">
        <f t="shared" si="27"/>
        <v>0.79443179652716178</v>
      </c>
      <c r="ER6" s="32">
        <f t="shared" si="27"/>
        <v>0.84469830027610804</v>
      </c>
      <c r="ES6" s="32">
        <f t="shared" si="27"/>
        <v>0.88580577334601751</v>
      </c>
      <c r="ET6" s="32">
        <f t="shared" si="27"/>
        <v>0.93443263927435005</v>
      </c>
      <c r="EU6" s="32">
        <f t="shared" si="27"/>
        <v>0.96633620872209036</v>
      </c>
      <c r="EV6" s="32">
        <f t="shared" si="27"/>
        <v>1</v>
      </c>
      <c r="EX6" s="32">
        <f t="shared" si="90"/>
        <v>0.12366332471667758</v>
      </c>
      <c r="EY6" s="32">
        <f t="shared" si="91"/>
        <v>0.28578239769853614</v>
      </c>
      <c r="EZ6" s="32">
        <f t="shared" si="92"/>
        <v>0.40257825824124516</v>
      </c>
      <c r="FA6" s="32">
        <f t="shared" si="93"/>
        <v>0.49293074793541508</v>
      </c>
      <c r="FB6" s="32">
        <f t="shared" si="94"/>
        <v>0.60661060165893432</v>
      </c>
      <c r="FC6" s="32">
        <f t="shared" si="95"/>
        <v>0.71133405489384482</v>
      </c>
      <c r="FD6" s="32">
        <f t="shared" si="96"/>
        <v>0.77449477346334006</v>
      </c>
      <c r="FE6" s="32">
        <f t="shared" si="97"/>
        <v>0.84603971647054632</v>
      </c>
      <c r="FF6" s="32">
        <f t="shared" si="98"/>
        <v>0.88981518310807872</v>
      </c>
      <c r="FG6" s="32">
        <f t="shared" si="99"/>
        <v>0.93130966110180946</v>
      </c>
      <c r="FH6" s="32">
        <f t="shared" si="100"/>
        <v>0.96520771961509289</v>
      </c>
      <c r="FI6" s="32">
        <f t="shared" si="101"/>
        <v>1</v>
      </c>
      <c r="FK6" s="32">
        <f t="shared" si="102"/>
        <v>0.12001289864718738</v>
      </c>
      <c r="FL6" s="32">
        <f t="shared" si="29"/>
        <v>0.27507117044761925</v>
      </c>
      <c r="FM6" s="32">
        <f t="shared" si="30"/>
        <v>0.39599703271573095</v>
      </c>
      <c r="FN6" s="32">
        <f t="shared" si="31"/>
        <v>0.48784968693372521</v>
      </c>
      <c r="FO6" s="32">
        <f t="shared" si="32"/>
        <v>0.6002954255195202</v>
      </c>
      <c r="FP6" s="32">
        <f t="shared" si="33"/>
        <v>0.70866936402504599</v>
      </c>
      <c r="FQ6" s="32">
        <f t="shared" si="34"/>
        <v>0.77887665317716659</v>
      </c>
      <c r="FR6" s="32">
        <f t="shared" si="35"/>
        <v>0.85777505054069836</v>
      </c>
      <c r="FS6" s="32">
        <f t="shared" si="36"/>
        <v>0.89969758065528438</v>
      </c>
      <c r="FT6" s="32">
        <f t="shared" si="37"/>
        <v>0.93298553924979311</v>
      </c>
      <c r="FU6" s="32">
        <f t="shared" si="38"/>
        <v>0.96330900606774017</v>
      </c>
      <c r="FV6" s="32">
        <f t="shared" si="39"/>
        <v>1</v>
      </c>
      <c r="FX6" s="32">
        <f t="shared" si="103"/>
        <v>0.12016991206751156</v>
      </c>
      <c r="FY6" s="32">
        <f t="shared" si="40"/>
        <v>0.26780703904815445</v>
      </c>
      <c r="FZ6" s="32">
        <f t="shared" si="41"/>
        <v>0.39421630816254111</v>
      </c>
      <c r="GA6" s="32">
        <f t="shared" si="42"/>
        <v>0.49346889460459753</v>
      </c>
      <c r="GB6" s="32">
        <f t="shared" si="43"/>
        <v>0.59923994011013892</v>
      </c>
      <c r="GC6" s="32">
        <f t="shared" si="44"/>
        <v>0.71049888583700704</v>
      </c>
      <c r="GD6" s="32">
        <f t="shared" si="45"/>
        <v>0.78677484443902046</v>
      </c>
      <c r="GE6" s="32">
        <f t="shared" si="46"/>
        <v>0.86297070091697325</v>
      </c>
      <c r="GF6" s="32">
        <f t="shared" si="47"/>
        <v>0.90517083756355199</v>
      </c>
      <c r="GG6" s="32">
        <f t="shared" si="48"/>
        <v>0.93577096990144726</v>
      </c>
      <c r="GH6" s="32">
        <f t="shared" si="49"/>
        <v>0.96418925004536149</v>
      </c>
      <c r="GI6" s="32">
        <f t="shared" si="50"/>
        <v>1</v>
      </c>
    </row>
    <row r="7" spans="1:191">
      <c r="A7" s="724" t="s">
        <v>81</v>
      </c>
      <c r="B7" s="399">
        <v>302501.09000000003</v>
      </c>
      <c r="C7" s="400">
        <v>321869.59000000003</v>
      </c>
      <c r="D7" s="400">
        <v>258535.59</v>
      </c>
      <c r="E7" s="400">
        <v>225541.4</v>
      </c>
      <c r="F7" s="400">
        <v>163681.99</v>
      </c>
      <c r="G7" s="400">
        <v>155484.78</v>
      </c>
      <c r="H7" s="400">
        <v>122733.81</v>
      </c>
      <c r="I7" s="400">
        <v>93444.81</v>
      </c>
      <c r="J7" s="400">
        <v>80176.87</v>
      </c>
      <c r="K7" s="400">
        <v>57277.82</v>
      </c>
      <c r="L7" s="400">
        <v>43269.89</v>
      </c>
      <c r="M7" s="400">
        <v>53195.49</v>
      </c>
      <c r="N7" s="400">
        <f t="shared" si="0"/>
        <v>1877713.1300000001</v>
      </c>
      <c r="P7" s="396" t="s">
        <v>81</v>
      </c>
      <c r="Q7" s="399">
        <v>300493.12</v>
      </c>
      <c r="R7" s="400">
        <v>290192.96999999997</v>
      </c>
      <c r="S7" s="400">
        <v>187506.14</v>
      </c>
      <c r="T7" s="400">
        <v>66803.990000000005</v>
      </c>
      <c r="U7" s="400">
        <v>62026.45</v>
      </c>
      <c r="V7" s="400">
        <v>98583.42</v>
      </c>
      <c r="W7" s="400">
        <v>180292.09</v>
      </c>
      <c r="X7" s="400">
        <v>205291.54</v>
      </c>
      <c r="Y7" s="400">
        <v>88007.77</v>
      </c>
      <c r="Z7" s="400">
        <v>30433.14</v>
      </c>
      <c r="AA7" s="400">
        <v>53568.55</v>
      </c>
      <c r="AB7" s="400">
        <v>54952.45</v>
      </c>
      <c r="AC7" s="400">
        <f t="shared" si="51"/>
        <v>1618151.63</v>
      </c>
      <c r="AE7" s="127" t="s">
        <v>81</v>
      </c>
      <c r="AF7" s="27">
        <v>238012.82</v>
      </c>
      <c r="AG7" s="27">
        <v>372462.15</v>
      </c>
      <c r="AH7" s="27">
        <v>125621.39</v>
      </c>
      <c r="AI7" s="27">
        <v>138339.66</v>
      </c>
      <c r="AJ7" s="27">
        <v>172269.62</v>
      </c>
      <c r="AK7" s="27">
        <v>176967.42</v>
      </c>
      <c r="AL7" s="27">
        <v>56486.74</v>
      </c>
      <c r="AM7" s="27">
        <v>44898.55</v>
      </c>
      <c r="AN7" s="27">
        <v>40185.440000000002</v>
      </c>
      <c r="AO7" s="27">
        <v>43707.29</v>
      </c>
      <c r="AP7" s="27">
        <v>56457.48</v>
      </c>
      <c r="AQ7" s="27">
        <v>46025.1</v>
      </c>
      <c r="AR7" s="43">
        <f t="shared" si="1"/>
        <v>1511433.6600000001</v>
      </c>
      <c r="AT7" s="60" t="s">
        <v>81</v>
      </c>
      <c r="AU7" s="27">
        <v>218715.5</v>
      </c>
      <c r="AV7" s="27">
        <v>305742.28000000003</v>
      </c>
      <c r="AW7" s="27">
        <v>209756.15</v>
      </c>
      <c r="AX7" s="27">
        <v>118092.95</v>
      </c>
      <c r="AY7" s="27">
        <v>143860.20000000001</v>
      </c>
      <c r="AZ7" s="27">
        <v>152996.60999999999</v>
      </c>
      <c r="BA7" s="27">
        <v>45283.9</v>
      </c>
      <c r="BB7" s="27">
        <v>57169.67</v>
      </c>
      <c r="BC7" s="27">
        <v>38881.83</v>
      </c>
      <c r="BD7" s="27">
        <v>41161.410000000003</v>
      </c>
      <c r="BE7" s="27">
        <v>28359.88</v>
      </c>
      <c r="BF7" s="27">
        <v>28141.439999999999</v>
      </c>
      <c r="BG7" s="43">
        <f t="shared" si="2"/>
        <v>1388161.8199999996</v>
      </c>
      <c r="BI7" s="60" t="s">
        <v>81</v>
      </c>
      <c r="BJ7" s="27">
        <v>219996.2</v>
      </c>
      <c r="BK7" s="27">
        <v>381221.96</v>
      </c>
      <c r="BL7" s="27">
        <v>115044.54000000001</v>
      </c>
      <c r="BM7" s="27">
        <v>94157.95</v>
      </c>
      <c r="BN7" s="27">
        <v>129269.9</v>
      </c>
      <c r="BO7" s="27">
        <v>150363.14000000001</v>
      </c>
      <c r="BP7" s="27">
        <v>35951.490000000005</v>
      </c>
      <c r="BQ7" s="27">
        <v>41553.85</v>
      </c>
      <c r="BR7" s="27">
        <v>35146.21</v>
      </c>
      <c r="BS7" s="27">
        <v>26296.1</v>
      </c>
      <c r="BT7" s="27">
        <v>37535.58</v>
      </c>
      <c r="BU7" s="27">
        <v>33312.160000000003</v>
      </c>
      <c r="BV7" s="43">
        <f t="shared" si="52"/>
        <v>1299849.08</v>
      </c>
      <c r="BW7" s="405"/>
      <c r="BX7" s="32">
        <f t="shared" si="53"/>
        <v>0.16110080137747132</v>
      </c>
      <c r="BY7" s="32">
        <f t="shared" si="54"/>
        <v>0.3325165436745921</v>
      </c>
      <c r="BZ7" s="32">
        <f t="shared" si="55"/>
        <v>0.47020295906435927</v>
      </c>
      <c r="CA7" s="32">
        <f t="shared" si="56"/>
        <v>0.59031789909249865</v>
      </c>
      <c r="CB7" s="32">
        <f t="shared" si="57"/>
        <v>0.67748882386523002</v>
      </c>
      <c r="CC7" s="32">
        <f t="shared" si="58"/>
        <v>0.76029422023586735</v>
      </c>
      <c r="CD7" s="32">
        <f t="shared" si="59"/>
        <v>0.82565767114809485</v>
      </c>
      <c r="CE7" s="32">
        <f t="shared" si="60"/>
        <v>0.8754228927397445</v>
      </c>
      <c r="CF7" s="32">
        <f t="shared" si="61"/>
        <v>0.91812210420022999</v>
      </c>
      <c r="CG7" s="32">
        <f t="shared" si="62"/>
        <v>0.94862613545233088</v>
      </c>
      <c r="CH7" s="32">
        <f t="shared" si="63"/>
        <v>0.97167006549078139</v>
      </c>
      <c r="CI7" s="32">
        <f t="shared" si="64"/>
        <v>1</v>
      </c>
      <c r="CJ7" s="405"/>
      <c r="CK7" s="32">
        <f t="shared" si="65"/>
        <v>0.18570145988111139</v>
      </c>
      <c r="CL7" s="32">
        <f t="shared" si="66"/>
        <v>0.36503753977617043</v>
      </c>
      <c r="CM7" s="32">
        <f t="shared" si="67"/>
        <v>0.48091428242729023</v>
      </c>
      <c r="CN7" s="32">
        <f t="shared" si="68"/>
        <v>0.52219841721507898</v>
      </c>
      <c r="CO7" s="32">
        <f t="shared" si="69"/>
        <v>0.56053008456321241</v>
      </c>
      <c r="CP7" s="32">
        <f t="shared" si="70"/>
        <v>0.6214535593305307</v>
      </c>
      <c r="CQ7" s="32">
        <f t="shared" si="71"/>
        <v>0.73287209802458375</v>
      </c>
      <c r="CR7" s="32">
        <f t="shared" si="72"/>
        <v>0.85974002325109677</v>
      </c>
      <c r="CS7" s="32">
        <f t="shared" si="73"/>
        <v>0.91412786204714336</v>
      </c>
      <c r="CT7" s="32">
        <f t="shared" si="74"/>
        <v>0.93293520953904674</v>
      </c>
      <c r="CU7" s="32">
        <f t="shared" si="75"/>
        <v>0.96603998724149232</v>
      </c>
      <c r="CV7" s="32">
        <f t="shared" si="76"/>
        <v>1</v>
      </c>
      <c r="CX7" s="32">
        <f t="shared" si="77"/>
        <v>0.15747487058082324</v>
      </c>
      <c r="CY7" s="32">
        <f t="shared" si="78"/>
        <v>0.40390457494508886</v>
      </c>
      <c r="CZ7" s="32">
        <f t="shared" si="79"/>
        <v>0.48701863633234149</v>
      </c>
      <c r="DA7" s="32">
        <f t="shared" si="80"/>
        <v>0.57854740379409042</v>
      </c>
      <c r="DB7" s="32">
        <f t="shared" si="81"/>
        <v>0.69252502951403105</v>
      </c>
      <c r="DC7" s="32">
        <f t="shared" si="82"/>
        <v>0.80961083002478584</v>
      </c>
      <c r="DD7" s="32">
        <f t="shared" si="83"/>
        <v>0.84698378359523896</v>
      </c>
      <c r="DE7" s="32">
        <f t="shared" si="84"/>
        <v>0.87668971855503075</v>
      </c>
      <c r="DF7" s="32">
        <f t="shared" si="85"/>
        <v>0.90327734926850833</v>
      </c>
      <c r="DG7" s="32">
        <f t="shared" si="86"/>
        <v>0.93219511863987459</v>
      </c>
      <c r="DH7" s="32">
        <f t="shared" si="87"/>
        <v>0.96954871310726265</v>
      </c>
      <c r="DI7" s="32">
        <f t="shared" si="88"/>
        <v>1</v>
      </c>
      <c r="DK7" s="32">
        <f t="shared" si="3"/>
        <v>0.15755763978582848</v>
      </c>
      <c r="DL7" s="32">
        <f t="shared" si="4"/>
        <v>0.37780737983414653</v>
      </c>
      <c r="DM7" s="32">
        <f t="shared" si="5"/>
        <v>0.52891090896016735</v>
      </c>
      <c r="DN7" s="32">
        <f t="shared" si="6"/>
        <v>0.61398236698369957</v>
      </c>
      <c r="DO7" s="32">
        <f t="shared" si="7"/>
        <v>0.71761596209294987</v>
      </c>
      <c r="DP7" s="32">
        <f t="shared" si="8"/>
        <v>0.8278312178330911</v>
      </c>
      <c r="DQ7" s="32">
        <f t="shared" si="9"/>
        <v>0.86045270284122943</v>
      </c>
      <c r="DR7" s="32">
        <f t="shared" si="10"/>
        <v>0.9016364244912024</v>
      </c>
      <c r="DS7" s="32">
        <f t="shared" si="11"/>
        <v>0.92964600481520243</v>
      </c>
      <c r="DT7" s="32">
        <f t="shared" si="12"/>
        <v>0.9592977423914455</v>
      </c>
      <c r="DU7" s="32">
        <f t="shared" si="13"/>
        <v>0.9797275507836688</v>
      </c>
      <c r="DV7" s="32">
        <f t="shared" si="14"/>
        <v>1</v>
      </c>
      <c r="DW7" s="39"/>
      <c r="DX7" s="32">
        <f t="shared" si="15"/>
        <v>0.16924749448605217</v>
      </c>
      <c r="DY7" s="32">
        <f t="shared" si="16"/>
        <v>0.46252920377494899</v>
      </c>
      <c r="DZ7" s="32">
        <f t="shared" si="17"/>
        <v>0.55103527864942603</v>
      </c>
      <c r="EA7" s="32">
        <f t="shared" si="18"/>
        <v>0.62347288040546978</v>
      </c>
      <c r="EB7" s="32">
        <f t="shared" si="19"/>
        <v>0.72292281039272654</v>
      </c>
      <c r="EC7" s="32">
        <f t="shared" si="20"/>
        <v>0.83860019349323223</v>
      </c>
      <c r="ED7" s="32">
        <f t="shared" si="21"/>
        <v>0.86625839670556204</v>
      </c>
      <c r="EE7" s="32">
        <f t="shared" si="22"/>
        <v>0.89822660796898046</v>
      </c>
      <c r="EF7" s="32">
        <f t="shared" si="23"/>
        <v>0.92526529310618111</v>
      </c>
      <c r="EG7" s="32">
        <f t="shared" si="24"/>
        <v>0.94549541089800981</v>
      </c>
      <c r="EH7" s="32">
        <f t="shared" si="25"/>
        <v>0.97437228635804407</v>
      </c>
      <c r="EI7" s="32">
        <f t="shared" si="26"/>
        <v>1</v>
      </c>
      <c r="EK7" s="32">
        <f t="shared" si="89"/>
        <v>0.1614266682842346</v>
      </c>
      <c r="EL7" s="32">
        <f t="shared" si="27"/>
        <v>0.41474705285139479</v>
      </c>
      <c r="EM7" s="32">
        <f t="shared" si="27"/>
        <v>0.52232160798064486</v>
      </c>
      <c r="EN7" s="32">
        <f t="shared" si="27"/>
        <v>0.60533421706108659</v>
      </c>
      <c r="EO7" s="32">
        <f t="shared" si="27"/>
        <v>0.71102126733323578</v>
      </c>
      <c r="EP7" s="32">
        <f t="shared" si="27"/>
        <v>0.82534741378370302</v>
      </c>
      <c r="EQ7" s="32">
        <f t="shared" si="27"/>
        <v>0.85789829438067677</v>
      </c>
      <c r="ER7" s="32">
        <f t="shared" si="27"/>
        <v>0.89218425033840454</v>
      </c>
      <c r="ES7" s="32">
        <f t="shared" si="27"/>
        <v>0.91939621572996399</v>
      </c>
      <c r="ET7" s="32">
        <f t="shared" si="27"/>
        <v>0.94566275730977656</v>
      </c>
      <c r="EU7" s="32">
        <f t="shared" si="27"/>
        <v>0.97454951674965862</v>
      </c>
      <c r="EV7" s="32">
        <f t="shared" si="27"/>
        <v>1</v>
      </c>
      <c r="EX7" s="32">
        <f t="shared" si="90"/>
        <v>0.16749536618345381</v>
      </c>
      <c r="EY7" s="32">
        <f t="shared" si="91"/>
        <v>0.40231967458258872</v>
      </c>
      <c r="EZ7" s="32">
        <f t="shared" si="92"/>
        <v>0.51196977659230625</v>
      </c>
      <c r="FA7" s="32">
        <f t="shared" si="93"/>
        <v>0.58455026709958469</v>
      </c>
      <c r="FB7" s="32">
        <f t="shared" si="94"/>
        <v>0.67339847164072997</v>
      </c>
      <c r="FC7" s="32">
        <f t="shared" si="95"/>
        <v>0.77437395017041</v>
      </c>
      <c r="FD7" s="32">
        <f t="shared" si="96"/>
        <v>0.82664174529165346</v>
      </c>
      <c r="FE7" s="32">
        <f t="shared" si="97"/>
        <v>0.88407319356657754</v>
      </c>
      <c r="FF7" s="32">
        <f t="shared" si="98"/>
        <v>0.91807912730925878</v>
      </c>
      <c r="FG7" s="32">
        <f t="shared" si="99"/>
        <v>0.94248087036709416</v>
      </c>
      <c r="FH7" s="32">
        <f t="shared" si="100"/>
        <v>0.97242213437261693</v>
      </c>
      <c r="FI7" s="32">
        <f t="shared" si="101"/>
        <v>1</v>
      </c>
      <c r="FK7" s="32">
        <f t="shared" si="102"/>
        <v>0.16691132341592105</v>
      </c>
      <c r="FL7" s="32">
        <f t="shared" si="29"/>
        <v>0.38224983151846859</v>
      </c>
      <c r="FM7" s="32">
        <f t="shared" si="30"/>
        <v>0.49894794257326636</v>
      </c>
      <c r="FN7" s="32">
        <f t="shared" si="31"/>
        <v>0.57157606266428962</v>
      </c>
      <c r="FO7" s="32">
        <f t="shared" si="32"/>
        <v>0.65689035872339774</v>
      </c>
      <c r="FP7" s="32">
        <f t="shared" si="33"/>
        <v>0.75296520239613585</v>
      </c>
      <c r="FQ7" s="32">
        <f t="shared" si="34"/>
        <v>0.81343619482035068</v>
      </c>
      <c r="FR7" s="32">
        <f t="shared" si="35"/>
        <v>0.87935538876577668</v>
      </c>
      <c r="FS7" s="32">
        <f t="shared" si="36"/>
        <v>0.91568373871028486</v>
      </c>
      <c r="FT7" s="32">
        <f t="shared" si="37"/>
        <v>0.9414760235234555</v>
      </c>
      <c r="FU7" s="32">
        <f t="shared" si="38"/>
        <v>0.97177208371080803</v>
      </c>
      <c r="FV7" s="32">
        <f t="shared" si="39"/>
        <v>1</v>
      </c>
      <c r="FX7" s="32">
        <f t="shared" si="103"/>
        <v>0.16809237727980197</v>
      </c>
      <c r="FY7" s="32">
        <f t="shared" si="40"/>
        <v>0.36715288613195046</v>
      </c>
      <c r="FZ7" s="32">
        <f t="shared" si="41"/>
        <v>0.47937862594133035</v>
      </c>
      <c r="GA7" s="32">
        <f t="shared" si="42"/>
        <v>0.56368790670055602</v>
      </c>
      <c r="GB7" s="32">
        <f t="shared" si="43"/>
        <v>0.64351464598082453</v>
      </c>
      <c r="GC7" s="32">
        <f t="shared" si="44"/>
        <v>0.73045286986372793</v>
      </c>
      <c r="GD7" s="32">
        <f t="shared" si="45"/>
        <v>0.80183785092263926</v>
      </c>
      <c r="GE7" s="32">
        <f t="shared" si="46"/>
        <v>0.87061754484862386</v>
      </c>
      <c r="GF7" s="32">
        <f t="shared" si="47"/>
        <v>0.9118424385052939</v>
      </c>
      <c r="GG7" s="32">
        <f t="shared" si="48"/>
        <v>0.93791882121041736</v>
      </c>
      <c r="GH7" s="32">
        <f t="shared" si="49"/>
        <v>0.96908625527984549</v>
      </c>
      <c r="GI7" s="32">
        <f t="shared" si="50"/>
        <v>1</v>
      </c>
    </row>
    <row r="8" spans="1:191">
      <c r="A8" s="724" t="s">
        <v>82</v>
      </c>
      <c r="B8" s="399">
        <v>262521.48</v>
      </c>
      <c r="C8" s="400">
        <v>210473.45</v>
      </c>
      <c r="D8" s="400">
        <v>143707.19</v>
      </c>
      <c r="E8" s="400">
        <v>128477.92</v>
      </c>
      <c r="F8" s="400">
        <v>93086.78</v>
      </c>
      <c r="G8" s="400">
        <v>95058.97</v>
      </c>
      <c r="H8" s="400">
        <v>69834.37</v>
      </c>
      <c r="I8" s="400">
        <v>52793.07</v>
      </c>
      <c r="J8" s="400">
        <v>37347.15</v>
      </c>
      <c r="K8" s="400">
        <v>26255.31</v>
      </c>
      <c r="L8" s="400">
        <v>30858.82</v>
      </c>
      <c r="M8" s="400">
        <v>34366.680000000008</v>
      </c>
      <c r="N8" s="400">
        <f t="shared" si="0"/>
        <v>1184781.19</v>
      </c>
      <c r="P8" s="396" t="s">
        <v>82</v>
      </c>
      <c r="Q8" s="399">
        <v>234816.28</v>
      </c>
      <c r="R8" s="400">
        <v>154805.78</v>
      </c>
      <c r="S8" s="400">
        <v>100024.95</v>
      </c>
      <c r="T8" s="400">
        <v>30100.55</v>
      </c>
      <c r="U8" s="400">
        <v>28959.48</v>
      </c>
      <c r="V8" s="400">
        <v>64284.750000000007</v>
      </c>
      <c r="W8" s="400">
        <v>125851.78</v>
      </c>
      <c r="X8" s="400">
        <v>114340.72</v>
      </c>
      <c r="Y8" s="400">
        <v>55058.239999999998</v>
      </c>
      <c r="Z8" s="400">
        <v>19021.95</v>
      </c>
      <c r="AA8" s="400">
        <v>30095.340000000004</v>
      </c>
      <c r="AB8" s="400">
        <v>25661.58</v>
      </c>
      <c r="AC8" s="400">
        <f t="shared" si="51"/>
        <v>983021.39999999991</v>
      </c>
      <c r="AE8" s="127" t="s">
        <v>82</v>
      </c>
      <c r="AF8" s="27">
        <v>158846.41</v>
      </c>
      <c r="AG8" s="27">
        <v>179906.05</v>
      </c>
      <c r="AH8" s="27">
        <v>76172.08</v>
      </c>
      <c r="AI8" s="27">
        <v>77087.199999999997</v>
      </c>
      <c r="AJ8" s="27">
        <v>101824.35</v>
      </c>
      <c r="AK8" s="27">
        <v>99510.89</v>
      </c>
      <c r="AL8" s="27">
        <v>39994.58</v>
      </c>
      <c r="AM8" s="27">
        <v>25727.84</v>
      </c>
      <c r="AN8" s="27">
        <v>27678</v>
      </c>
      <c r="AO8" s="27">
        <v>32389.71</v>
      </c>
      <c r="AP8" s="27">
        <v>19213.169999999998</v>
      </c>
      <c r="AQ8" s="27">
        <v>18122.11</v>
      </c>
      <c r="AR8" s="43">
        <f t="shared" si="1"/>
        <v>856472.3899999999</v>
      </c>
      <c r="AT8" s="60" t="s">
        <v>82</v>
      </c>
      <c r="AU8" s="27">
        <v>143258.89000000001</v>
      </c>
      <c r="AV8" s="27">
        <v>132392.21</v>
      </c>
      <c r="AW8" s="27">
        <v>116620.11</v>
      </c>
      <c r="AX8" s="27">
        <v>55622.65</v>
      </c>
      <c r="AY8" s="27">
        <v>78277.350000000006</v>
      </c>
      <c r="AZ8" s="27">
        <v>76501.77</v>
      </c>
      <c r="BA8" s="27">
        <v>25319.1</v>
      </c>
      <c r="BB8" s="27">
        <v>19626.45</v>
      </c>
      <c r="BC8" s="27">
        <v>19979.77</v>
      </c>
      <c r="BD8" s="27">
        <v>22529.62</v>
      </c>
      <c r="BE8" s="27">
        <v>14752.38</v>
      </c>
      <c r="BF8" s="27">
        <v>18998.66</v>
      </c>
      <c r="BG8" s="43">
        <f t="shared" si="2"/>
        <v>723878.96</v>
      </c>
      <c r="BI8" s="60" t="s">
        <v>82</v>
      </c>
      <c r="BJ8" s="27">
        <v>139953.03</v>
      </c>
      <c r="BK8" s="27">
        <v>189657.29</v>
      </c>
      <c r="BL8" s="27">
        <v>57282.570000000007</v>
      </c>
      <c r="BM8" s="27">
        <v>43714.15</v>
      </c>
      <c r="BN8" s="27">
        <v>59486.080000000002</v>
      </c>
      <c r="BO8" s="27">
        <v>67789.150000000009</v>
      </c>
      <c r="BP8" s="27">
        <v>16477.28</v>
      </c>
      <c r="BQ8" s="27">
        <v>21953.829999999998</v>
      </c>
      <c r="BR8" s="27">
        <v>14252.32</v>
      </c>
      <c r="BS8" s="27">
        <v>17647.43</v>
      </c>
      <c r="BT8" s="27">
        <v>20708.8</v>
      </c>
      <c r="BU8" s="27">
        <v>15742.13</v>
      </c>
      <c r="BV8" s="43">
        <f t="shared" si="52"/>
        <v>664664.06000000006</v>
      </c>
      <c r="BW8" s="405"/>
      <c r="BX8" s="32">
        <f t="shared" si="53"/>
        <v>0.22157802826022246</v>
      </c>
      <c r="BY8" s="32">
        <f t="shared" si="54"/>
        <v>0.39922555657724446</v>
      </c>
      <c r="BZ8" s="32">
        <f t="shared" si="55"/>
        <v>0.5205198438371561</v>
      </c>
      <c r="CA8" s="32">
        <f t="shared" si="56"/>
        <v>0.62896005295290014</v>
      </c>
      <c r="CB8" s="32">
        <f t="shared" si="57"/>
        <v>0.70752880538219898</v>
      </c>
      <c r="CC8" s="32">
        <f t="shared" si="58"/>
        <v>0.78776216053868997</v>
      </c>
      <c r="CD8" s="32">
        <f t="shared" si="59"/>
        <v>0.84670500212786137</v>
      </c>
      <c r="CE8" s="32">
        <f t="shared" si="60"/>
        <v>0.891264343924974</v>
      </c>
      <c r="CF8" s="32">
        <f t="shared" si="61"/>
        <v>0.92278674680849715</v>
      </c>
      <c r="CG8" s="32">
        <f t="shared" si="62"/>
        <v>0.94494721848175189</v>
      </c>
      <c r="CH8" s="32">
        <f t="shared" si="63"/>
        <v>0.97099322618381545</v>
      </c>
      <c r="CI8" s="32">
        <f t="shared" si="64"/>
        <v>1</v>
      </c>
      <c r="CJ8" s="405"/>
      <c r="CK8" s="32">
        <f t="shared" si="65"/>
        <v>0.23887199200342946</v>
      </c>
      <c r="CL8" s="32">
        <f t="shared" si="66"/>
        <v>0.39635155450328957</v>
      </c>
      <c r="CM8" s="32">
        <f t="shared" si="67"/>
        <v>0.4981041206223995</v>
      </c>
      <c r="CN8" s="32">
        <f t="shared" si="68"/>
        <v>0.52872456286302627</v>
      </c>
      <c r="CO8" s="32">
        <f t="shared" si="69"/>
        <v>0.55818422671164647</v>
      </c>
      <c r="CP8" s="32">
        <f t="shared" si="70"/>
        <v>0.62357929339076457</v>
      </c>
      <c r="CQ8" s="32">
        <f t="shared" si="71"/>
        <v>0.75160476669175269</v>
      </c>
      <c r="CR8" s="32">
        <f t="shared" si="72"/>
        <v>0.86792036266962258</v>
      </c>
      <c r="CS8" s="32">
        <f t="shared" si="73"/>
        <v>0.92392956043479835</v>
      </c>
      <c r="CT8" s="32">
        <f t="shared" si="74"/>
        <v>0.94328005473736387</v>
      </c>
      <c r="CU8" s="32">
        <f t="shared" si="75"/>
        <v>0.97389519699164229</v>
      </c>
      <c r="CV8" s="32">
        <f t="shared" si="76"/>
        <v>1</v>
      </c>
      <c r="CX8" s="32">
        <f t="shared" si="77"/>
        <v>0.18546588524587468</v>
      </c>
      <c r="CY8" s="32">
        <f t="shared" si="78"/>
        <v>0.39552058414866126</v>
      </c>
      <c r="CZ8" s="32">
        <f t="shared" si="79"/>
        <v>0.48445757836980596</v>
      </c>
      <c r="DA8" s="32">
        <f t="shared" si="80"/>
        <v>0.57446304836516682</v>
      </c>
      <c r="DB8" s="32">
        <f t="shared" si="81"/>
        <v>0.69335111900104573</v>
      </c>
      <c r="DC8" s="32">
        <f t="shared" si="82"/>
        <v>0.80953804009957642</v>
      </c>
      <c r="DD8" s="32">
        <f t="shared" si="83"/>
        <v>0.85623491026955345</v>
      </c>
      <c r="DE8" s="32">
        <f t="shared" si="84"/>
        <v>0.8862742207019656</v>
      </c>
      <c r="DF8" s="32">
        <f t="shared" si="85"/>
        <v>0.91859049887177335</v>
      </c>
      <c r="DG8" s="32">
        <f t="shared" si="86"/>
        <v>0.95640807522119886</v>
      </c>
      <c r="DH8" s="32">
        <f t="shared" si="87"/>
        <v>0.97884098750690607</v>
      </c>
      <c r="DI8" s="32">
        <f t="shared" si="88"/>
        <v>1</v>
      </c>
      <c r="DK8" s="32">
        <f t="shared" si="3"/>
        <v>0.19790448115801021</v>
      </c>
      <c r="DL8" s="32">
        <f t="shared" si="4"/>
        <v>0.38079722609978883</v>
      </c>
      <c r="DM8" s="32">
        <f t="shared" si="5"/>
        <v>0.54190165991286721</v>
      </c>
      <c r="DN8" s="32">
        <f t="shared" si="6"/>
        <v>0.61874137079491853</v>
      </c>
      <c r="DO8" s="32">
        <f t="shared" si="7"/>
        <v>0.72687733595682902</v>
      </c>
      <c r="DP8" s="32">
        <f t="shared" si="8"/>
        <v>0.83256043247893263</v>
      </c>
      <c r="DQ8" s="32">
        <f t="shared" si="9"/>
        <v>0.86753741260831785</v>
      </c>
      <c r="DR8" s="32">
        <f t="shared" si="10"/>
        <v>0.89465030175763083</v>
      </c>
      <c r="DS8" s="32">
        <f t="shared" si="11"/>
        <v>0.92225128355712949</v>
      </c>
      <c r="DT8" s="32">
        <f t="shared" si="12"/>
        <v>0.95337474651839582</v>
      </c>
      <c r="DU8" s="32">
        <f t="shared" si="13"/>
        <v>0.97375436910060209</v>
      </c>
      <c r="DV8" s="32">
        <f t="shared" si="14"/>
        <v>1</v>
      </c>
      <c r="DW8" s="39"/>
      <c r="DX8" s="32">
        <f t="shared" si="15"/>
        <v>0.21056205446101597</v>
      </c>
      <c r="DY8" s="32">
        <f t="shared" si="16"/>
        <v>0.4959051343922522</v>
      </c>
      <c r="DZ8" s="32">
        <f t="shared" si="17"/>
        <v>0.58208787458735167</v>
      </c>
      <c r="EA8" s="32">
        <f t="shared" si="18"/>
        <v>0.64785666310887935</v>
      </c>
      <c r="EB8" s="32">
        <f t="shared" si="19"/>
        <v>0.7373546269374035</v>
      </c>
      <c r="EC8" s="32">
        <f t="shared" si="20"/>
        <v>0.83934472100086166</v>
      </c>
      <c r="ED8" s="32">
        <f t="shared" si="21"/>
        <v>0.86413510909556324</v>
      </c>
      <c r="EE8" s="32">
        <f t="shared" si="22"/>
        <v>0.8971650731348404</v>
      </c>
      <c r="EF8" s="32">
        <f t="shared" si="23"/>
        <v>0.91860796565410785</v>
      </c>
      <c r="EG8" s="32">
        <f t="shared" si="24"/>
        <v>0.9451588671726886</v>
      </c>
      <c r="EH8" s="32">
        <f t="shared" si="25"/>
        <v>0.97631565937234521</v>
      </c>
      <c r="EI8" s="32">
        <f t="shared" si="26"/>
        <v>1</v>
      </c>
      <c r="EK8" s="32">
        <f t="shared" si="89"/>
        <v>0.19797747362163362</v>
      </c>
      <c r="EL8" s="32">
        <f t="shared" si="27"/>
        <v>0.42407431488023412</v>
      </c>
      <c r="EM8" s="32">
        <f t="shared" si="27"/>
        <v>0.53614903762334165</v>
      </c>
      <c r="EN8" s="32">
        <f t="shared" si="27"/>
        <v>0.61368702742298831</v>
      </c>
      <c r="EO8" s="32">
        <f t="shared" si="27"/>
        <v>0.71919436063175946</v>
      </c>
      <c r="EP8" s="32">
        <f t="shared" si="27"/>
        <v>0.82714773119312357</v>
      </c>
      <c r="EQ8" s="32">
        <f t="shared" si="27"/>
        <v>0.86263581065781159</v>
      </c>
      <c r="ER8" s="32">
        <f t="shared" si="27"/>
        <v>0.89269653186481224</v>
      </c>
      <c r="ES8" s="32">
        <f t="shared" si="27"/>
        <v>0.91981658269433686</v>
      </c>
      <c r="ET8" s="32">
        <f t="shared" si="27"/>
        <v>0.95164722963742776</v>
      </c>
      <c r="EU8" s="32">
        <f t="shared" si="27"/>
        <v>0.97630367199328438</v>
      </c>
      <c r="EV8" s="32">
        <f t="shared" si="27"/>
        <v>1</v>
      </c>
      <c r="EX8" s="32">
        <f t="shared" si="90"/>
        <v>0.20820110321708257</v>
      </c>
      <c r="EY8" s="32">
        <f t="shared" si="91"/>
        <v>0.41714362478599798</v>
      </c>
      <c r="EZ8" s="32">
        <f t="shared" si="92"/>
        <v>0.52663780837310603</v>
      </c>
      <c r="FA8" s="32">
        <f t="shared" si="93"/>
        <v>0.5924464112829978</v>
      </c>
      <c r="FB8" s="32">
        <f t="shared" si="94"/>
        <v>0.67894182715173124</v>
      </c>
      <c r="FC8" s="32">
        <f t="shared" si="95"/>
        <v>0.77625562174253382</v>
      </c>
      <c r="FD8" s="32">
        <f t="shared" si="96"/>
        <v>0.83487804966629675</v>
      </c>
      <c r="FE8" s="32">
        <f t="shared" si="97"/>
        <v>0.88650248956601485</v>
      </c>
      <c r="FF8" s="32">
        <f t="shared" si="98"/>
        <v>0.92084482712945226</v>
      </c>
      <c r="FG8" s="32">
        <f t="shared" si="99"/>
        <v>0.94955543591241187</v>
      </c>
      <c r="FH8" s="32">
        <f t="shared" si="100"/>
        <v>0.97570155324287389</v>
      </c>
      <c r="FI8" s="32">
        <f t="shared" si="101"/>
        <v>1</v>
      </c>
      <c r="FK8" s="32">
        <f t="shared" si="102"/>
        <v>0.20741411946910479</v>
      </c>
      <c r="FL8" s="32">
        <f t="shared" si="29"/>
        <v>0.39088978825057991</v>
      </c>
      <c r="FM8" s="32">
        <f t="shared" si="30"/>
        <v>0.5081544529683576</v>
      </c>
      <c r="FN8" s="32">
        <f t="shared" si="31"/>
        <v>0.57397632734103732</v>
      </c>
      <c r="FO8" s="32">
        <f t="shared" si="32"/>
        <v>0.65947089388984048</v>
      </c>
      <c r="FP8" s="32">
        <f t="shared" si="33"/>
        <v>0.7552259219897578</v>
      </c>
      <c r="FQ8" s="32">
        <f t="shared" si="34"/>
        <v>0.825125696523208</v>
      </c>
      <c r="FR8" s="32">
        <f t="shared" si="35"/>
        <v>0.88294829504307304</v>
      </c>
      <c r="FS8" s="32">
        <f t="shared" si="36"/>
        <v>0.92159044762123365</v>
      </c>
      <c r="FT8" s="32">
        <f t="shared" si="37"/>
        <v>0.95102095882565285</v>
      </c>
      <c r="FU8" s="32">
        <f t="shared" si="38"/>
        <v>0.97549685119971674</v>
      </c>
      <c r="FV8" s="32">
        <f t="shared" si="39"/>
        <v>1</v>
      </c>
      <c r="FX8" s="32">
        <f t="shared" si="103"/>
        <v>0.21530530183650887</v>
      </c>
      <c r="FY8" s="32">
        <f t="shared" si="40"/>
        <v>0.39703256507639839</v>
      </c>
      <c r="FZ8" s="32">
        <f t="shared" si="41"/>
        <v>0.50102718094312049</v>
      </c>
      <c r="GA8" s="32">
        <f t="shared" si="42"/>
        <v>0.57738255472703104</v>
      </c>
      <c r="GB8" s="32">
        <f t="shared" si="43"/>
        <v>0.6530213836982971</v>
      </c>
      <c r="GC8" s="32">
        <f t="shared" si="44"/>
        <v>0.74029316467634365</v>
      </c>
      <c r="GD8" s="32">
        <f t="shared" si="45"/>
        <v>0.81818155969638917</v>
      </c>
      <c r="GE8" s="32">
        <f t="shared" si="46"/>
        <v>0.88181964243218747</v>
      </c>
      <c r="GF8" s="32">
        <f t="shared" si="47"/>
        <v>0.92176893537168958</v>
      </c>
      <c r="GG8" s="32">
        <f t="shared" si="48"/>
        <v>0.94821178281343821</v>
      </c>
      <c r="GH8" s="32">
        <f t="shared" si="49"/>
        <v>0.97457647022745453</v>
      </c>
      <c r="GI8" s="32">
        <f t="shared" si="50"/>
        <v>1</v>
      </c>
    </row>
    <row r="9" spans="1:191">
      <c r="A9" s="724" t="s">
        <v>83</v>
      </c>
      <c r="B9" s="399">
        <v>338139.16</v>
      </c>
      <c r="C9" s="400">
        <v>416899.69</v>
      </c>
      <c r="D9" s="400">
        <v>275681.88</v>
      </c>
      <c r="E9" s="400">
        <v>228668.19</v>
      </c>
      <c r="F9" s="400">
        <v>138152.94</v>
      </c>
      <c r="G9" s="400">
        <v>141751.5</v>
      </c>
      <c r="H9" s="400">
        <v>107539.33</v>
      </c>
      <c r="I9" s="400">
        <v>70018.649999999994</v>
      </c>
      <c r="J9" s="400">
        <v>55540.18</v>
      </c>
      <c r="K9" s="400">
        <v>34524.949999999997</v>
      </c>
      <c r="L9" s="400">
        <v>36265.660000000003</v>
      </c>
      <c r="M9" s="400">
        <v>42199.32</v>
      </c>
      <c r="N9" s="400">
        <f t="shared" si="0"/>
        <v>1885381.4499999997</v>
      </c>
      <c r="P9" s="396" t="s">
        <v>83</v>
      </c>
      <c r="Q9" s="399">
        <v>320551.25</v>
      </c>
      <c r="R9" s="400">
        <v>492077.98</v>
      </c>
      <c r="S9" s="400">
        <v>190111.75</v>
      </c>
      <c r="T9" s="400">
        <v>91025.63</v>
      </c>
      <c r="U9" s="400">
        <v>74670.27</v>
      </c>
      <c r="V9" s="400">
        <v>106328.21999999999</v>
      </c>
      <c r="W9" s="400">
        <v>137487.22</v>
      </c>
      <c r="X9" s="400">
        <v>180324.69</v>
      </c>
      <c r="Y9" s="400">
        <v>61039.11</v>
      </c>
      <c r="Z9" s="400">
        <v>26970.51</v>
      </c>
      <c r="AA9" s="400">
        <v>45659.910000000011</v>
      </c>
      <c r="AB9" s="400">
        <v>41789.699999999997</v>
      </c>
      <c r="AC9" s="400">
        <f t="shared" si="51"/>
        <v>1768036.2399999998</v>
      </c>
      <c r="AE9" s="127" t="s">
        <v>83</v>
      </c>
      <c r="AF9" s="27">
        <v>283434.44</v>
      </c>
      <c r="AG9" s="27">
        <v>401923.05</v>
      </c>
      <c r="AH9" s="27">
        <v>156060.54</v>
      </c>
      <c r="AI9" s="27">
        <v>153965.35</v>
      </c>
      <c r="AJ9" s="27">
        <v>184159.18</v>
      </c>
      <c r="AK9" s="27">
        <v>189699.29</v>
      </c>
      <c r="AL9" s="27">
        <v>56967.93</v>
      </c>
      <c r="AM9" s="27">
        <v>48095.82</v>
      </c>
      <c r="AN9" s="27">
        <v>44858.32</v>
      </c>
      <c r="AO9" s="27">
        <v>42492.54</v>
      </c>
      <c r="AP9" s="27">
        <v>40738.550000000003</v>
      </c>
      <c r="AQ9" s="27">
        <v>41357.43</v>
      </c>
      <c r="AR9" s="43">
        <f t="shared" si="1"/>
        <v>1643752.4400000002</v>
      </c>
      <c r="AT9" s="60" t="s">
        <v>83</v>
      </c>
      <c r="AU9" s="27">
        <v>261867.08</v>
      </c>
      <c r="AV9" s="27">
        <v>385246.56</v>
      </c>
      <c r="AW9" s="27">
        <v>222589.72</v>
      </c>
      <c r="AX9" s="27">
        <v>126808.25</v>
      </c>
      <c r="AY9" s="27">
        <v>153532.74</v>
      </c>
      <c r="AZ9" s="27">
        <v>143258.25</v>
      </c>
      <c r="BA9" s="27">
        <v>36921.75</v>
      </c>
      <c r="BB9" s="27">
        <v>40236.699999999997</v>
      </c>
      <c r="BC9" s="27">
        <v>28483.45</v>
      </c>
      <c r="BD9" s="27">
        <v>24216.2</v>
      </c>
      <c r="BE9" s="27">
        <v>29424.81</v>
      </c>
      <c r="BF9" s="27">
        <v>34692.86</v>
      </c>
      <c r="BG9" s="43">
        <f t="shared" si="2"/>
        <v>1487278.37</v>
      </c>
      <c r="BI9" s="60" t="s">
        <v>83</v>
      </c>
      <c r="BJ9" s="27">
        <v>230250.98</v>
      </c>
      <c r="BK9" s="27">
        <v>401049.09</v>
      </c>
      <c r="BL9" s="27">
        <v>117665.68000000001</v>
      </c>
      <c r="BM9" s="27">
        <v>93954.799999999988</v>
      </c>
      <c r="BN9" s="27">
        <v>133084.01</v>
      </c>
      <c r="BO9" s="27">
        <v>143558.67000000001</v>
      </c>
      <c r="BP9" s="27">
        <v>49726.499999999993</v>
      </c>
      <c r="BQ9" s="27">
        <v>45253.84</v>
      </c>
      <c r="BR9" s="27">
        <v>37620.36</v>
      </c>
      <c r="BS9" s="27">
        <v>32063.88</v>
      </c>
      <c r="BT9" s="27">
        <v>56742.58</v>
      </c>
      <c r="BU9" s="27">
        <v>38931.089999999997</v>
      </c>
      <c r="BV9" s="43">
        <f t="shared" si="52"/>
        <v>1379901.4800000002</v>
      </c>
      <c r="BW9" s="405"/>
      <c r="BX9" s="32">
        <f t="shared" si="53"/>
        <v>0.17934787679172298</v>
      </c>
      <c r="BY9" s="32">
        <f t="shared" si="54"/>
        <v>0.40047007463662065</v>
      </c>
      <c r="BZ9" s="32">
        <f t="shared" si="55"/>
        <v>0.54669081951559462</v>
      </c>
      <c r="CA9" s="32">
        <f t="shared" si="56"/>
        <v>0.66797566084040982</v>
      </c>
      <c r="CB9" s="32">
        <f t="shared" si="57"/>
        <v>0.74125151703386072</v>
      </c>
      <c r="CC9" s="32">
        <f t="shared" si="58"/>
        <v>0.81643603738649284</v>
      </c>
      <c r="CD9" s="32">
        <f t="shared" si="59"/>
        <v>0.87347453747357073</v>
      </c>
      <c r="CE9" s="32">
        <f t="shared" si="60"/>
        <v>0.91061219468346843</v>
      </c>
      <c r="CF9" s="32">
        <f t="shared" si="61"/>
        <v>0.94007051994703783</v>
      </c>
      <c r="CG9" s="32">
        <f t="shared" si="62"/>
        <v>0.95838243767594089</v>
      </c>
      <c r="CH9" s="32">
        <f t="shared" si="63"/>
        <v>0.9776176221528009</v>
      </c>
      <c r="CI9" s="32">
        <f t="shared" si="64"/>
        <v>1</v>
      </c>
      <c r="CJ9" s="405"/>
      <c r="CK9" s="32">
        <f t="shared" si="65"/>
        <v>0.18130355178692495</v>
      </c>
      <c r="CL9" s="32">
        <f t="shared" si="66"/>
        <v>0.45962249619951234</v>
      </c>
      <c r="CM9" s="32">
        <f t="shared" si="67"/>
        <v>0.5671495624999181</v>
      </c>
      <c r="CN9" s="32">
        <f t="shared" si="68"/>
        <v>0.61863359203542123</v>
      </c>
      <c r="CO9" s="32">
        <f t="shared" si="69"/>
        <v>0.66086704195610835</v>
      </c>
      <c r="CP9" s="32">
        <f t="shared" si="70"/>
        <v>0.72100620516692582</v>
      </c>
      <c r="CQ9" s="32">
        <f t="shared" si="71"/>
        <v>0.79876887591399148</v>
      </c>
      <c r="CR9" s="32">
        <f t="shared" si="72"/>
        <v>0.90076038825991489</v>
      </c>
      <c r="CS9" s="32">
        <f t="shared" si="73"/>
        <v>0.93528406408683118</v>
      </c>
      <c r="CT9" s="32">
        <f t="shared" si="74"/>
        <v>0.95053856475249632</v>
      </c>
      <c r="CU9" s="32">
        <f t="shared" si="75"/>
        <v>0.97636377634431293</v>
      </c>
      <c r="CV9" s="32">
        <f t="shared" si="76"/>
        <v>1</v>
      </c>
      <c r="CX9" s="32">
        <f t="shared" si="77"/>
        <v>0.17243134252016681</v>
      </c>
      <c r="CY9" s="32">
        <f t="shared" si="78"/>
        <v>0.41694690351303748</v>
      </c>
      <c r="CZ9" s="32">
        <f t="shared" si="79"/>
        <v>0.51188853596469786</v>
      </c>
      <c r="DA9" s="32">
        <f t="shared" si="80"/>
        <v>0.60555553000426265</v>
      </c>
      <c r="DB9" s="32">
        <f t="shared" si="81"/>
        <v>0.71759136673889889</v>
      </c>
      <c r="DC9" s="32">
        <f t="shared" si="82"/>
        <v>0.83299760759594677</v>
      </c>
      <c r="DD9" s="32">
        <f t="shared" si="83"/>
        <v>0.86765485196785463</v>
      </c>
      <c r="DE9" s="32">
        <f t="shared" si="84"/>
        <v>0.89691462298300828</v>
      </c>
      <c r="DF9" s="32">
        <f t="shared" si="85"/>
        <v>0.92420481517277631</v>
      </c>
      <c r="DG9" s="32">
        <f t="shared" si="86"/>
        <v>0.95005575170431389</v>
      </c>
      <c r="DH9" s="32">
        <f t="shared" si="87"/>
        <v>0.97483962366011767</v>
      </c>
      <c r="DI9" s="32">
        <f t="shared" si="88"/>
        <v>1</v>
      </c>
      <c r="DK9" s="32">
        <f t="shared" si="3"/>
        <v>0.17607132953866597</v>
      </c>
      <c r="DL9" s="32">
        <f t="shared" si="4"/>
        <v>0.43509920742006081</v>
      </c>
      <c r="DM9" s="32">
        <f t="shared" si="5"/>
        <v>0.58476165426920046</v>
      </c>
      <c r="DN9" s="32">
        <f t="shared" si="6"/>
        <v>0.67002360156693463</v>
      </c>
      <c r="DO9" s="32">
        <f t="shared" si="7"/>
        <v>0.77325426981097023</v>
      </c>
      <c r="DP9" s="32">
        <f t="shared" si="8"/>
        <v>0.86957668859260018</v>
      </c>
      <c r="DQ9" s="32">
        <f t="shared" si="9"/>
        <v>0.89440173193670525</v>
      </c>
      <c r="DR9" s="32">
        <f t="shared" si="10"/>
        <v>0.9214556451863144</v>
      </c>
      <c r="DS9" s="32">
        <f t="shared" si="11"/>
        <v>0.9406070364621788</v>
      </c>
      <c r="DT9" s="32">
        <f t="shared" si="12"/>
        <v>0.95688926075083025</v>
      </c>
      <c r="DU9" s="32">
        <f t="shared" si="13"/>
        <v>0.97667359339059034</v>
      </c>
      <c r="DV9" s="32">
        <f t="shared" si="14"/>
        <v>1</v>
      </c>
      <c r="DW9" s="39"/>
      <c r="DX9" s="32">
        <f t="shared" si="15"/>
        <v>0.16686044861695487</v>
      </c>
      <c r="DY9" s="32">
        <f t="shared" si="16"/>
        <v>0.45749648011102934</v>
      </c>
      <c r="DZ9" s="32">
        <f t="shared" si="17"/>
        <v>0.54276755323140891</v>
      </c>
      <c r="EA9" s="32">
        <f t="shared" si="18"/>
        <v>0.610855602531856</v>
      </c>
      <c r="EB9" s="32">
        <f t="shared" si="19"/>
        <v>0.7073001762415676</v>
      </c>
      <c r="EC9" s="32">
        <f t="shared" si="20"/>
        <v>0.81133562520709801</v>
      </c>
      <c r="ED9" s="32">
        <f t="shared" si="21"/>
        <v>0.84737189353547171</v>
      </c>
      <c r="EE9" s="32">
        <f t="shared" si="22"/>
        <v>0.880166872492955</v>
      </c>
      <c r="EF9" s="32">
        <f t="shared" si="23"/>
        <v>0.90742994927434961</v>
      </c>
      <c r="EG9" s="32">
        <f t="shared" si="24"/>
        <v>0.93066630380018134</v>
      </c>
      <c r="EH9" s="32">
        <f t="shared" si="25"/>
        <v>0.97178705105816676</v>
      </c>
      <c r="EI9" s="32">
        <f t="shared" si="26"/>
        <v>1</v>
      </c>
      <c r="EK9" s="32">
        <f t="shared" si="89"/>
        <v>0.17178770689192921</v>
      </c>
      <c r="EL9" s="32">
        <f t="shared" si="27"/>
        <v>0.43651419701470923</v>
      </c>
      <c r="EM9" s="32">
        <f t="shared" si="27"/>
        <v>0.54647258115510244</v>
      </c>
      <c r="EN9" s="32">
        <f t="shared" si="27"/>
        <v>0.62881157803435117</v>
      </c>
      <c r="EO9" s="32">
        <f t="shared" si="27"/>
        <v>0.73271527093047883</v>
      </c>
      <c r="EP9" s="32">
        <f t="shared" si="27"/>
        <v>0.83796997379854832</v>
      </c>
      <c r="EQ9" s="32">
        <f t="shared" si="27"/>
        <v>0.8698094924800106</v>
      </c>
      <c r="ER9" s="32">
        <f t="shared" si="27"/>
        <v>0.89951238022075908</v>
      </c>
      <c r="ES9" s="32">
        <f t="shared" si="27"/>
        <v>0.92408060030310146</v>
      </c>
      <c r="ET9" s="32">
        <f t="shared" si="27"/>
        <v>0.94587043875177512</v>
      </c>
      <c r="EU9" s="32">
        <f t="shared" si="27"/>
        <v>0.9744334227029583</v>
      </c>
      <c r="EV9" s="32">
        <f t="shared" si="27"/>
        <v>1</v>
      </c>
      <c r="EX9" s="32">
        <f t="shared" si="90"/>
        <v>0.17416666811567813</v>
      </c>
      <c r="EY9" s="32">
        <f t="shared" si="91"/>
        <v>0.44229127181090999</v>
      </c>
      <c r="EZ9" s="32">
        <f t="shared" si="92"/>
        <v>0.55164182649130633</v>
      </c>
      <c r="FA9" s="32">
        <f t="shared" si="93"/>
        <v>0.62626708153461863</v>
      </c>
      <c r="FB9" s="32">
        <f t="shared" si="94"/>
        <v>0.71475321368688627</v>
      </c>
      <c r="FC9" s="32">
        <f t="shared" si="95"/>
        <v>0.80872903164064269</v>
      </c>
      <c r="FD9" s="32">
        <f t="shared" si="96"/>
        <v>0.85204933833850582</v>
      </c>
      <c r="FE9" s="32">
        <f t="shared" si="97"/>
        <v>0.89982438223054806</v>
      </c>
      <c r="FF9" s="32">
        <f t="shared" si="98"/>
        <v>0.926881466249034</v>
      </c>
      <c r="FG9" s="32">
        <f t="shared" si="99"/>
        <v>0.94703747025195539</v>
      </c>
      <c r="FH9" s="32">
        <f t="shared" si="100"/>
        <v>0.97491601111329695</v>
      </c>
      <c r="FI9" s="32">
        <f t="shared" si="101"/>
        <v>1</v>
      </c>
      <c r="FK9" s="32">
        <f t="shared" si="102"/>
        <v>0.17660207461525257</v>
      </c>
      <c r="FL9" s="32">
        <f t="shared" si="29"/>
        <v>0.43722286904420354</v>
      </c>
      <c r="FM9" s="32">
        <f t="shared" si="30"/>
        <v>0.55459991757793881</v>
      </c>
      <c r="FN9" s="32">
        <f t="shared" si="31"/>
        <v>0.63140424120220617</v>
      </c>
      <c r="FO9" s="32">
        <f t="shared" si="32"/>
        <v>0.71723755950199253</v>
      </c>
      <c r="FP9" s="32">
        <f t="shared" si="33"/>
        <v>0.80786016711849085</v>
      </c>
      <c r="FQ9" s="32">
        <f t="shared" si="34"/>
        <v>0.85360848660618382</v>
      </c>
      <c r="FR9" s="32">
        <f t="shared" si="35"/>
        <v>0.90637688547641249</v>
      </c>
      <c r="FS9" s="32">
        <f t="shared" si="36"/>
        <v>0.93336530524059536</v>
      </c>
      <c r="FT9" s="32">
        <f t="shared" si="37"/>
        <v>0.95249452573588023</v>
      </c>
      <c r="FU9" s="32">
        <f t="shared" si="38"/>
        <v>0.97595899779834028</v>
      </c>
      <c r="FV9" s="32">
        <f t="shared" si="39"/>
        <v>1</v>
      </c>
      <c r="FX9" s="32">
        <f t="shared" si="103"/>
        <v>0.17769425703293826</v>
      </c>
      <c r="FY9" s="32">
        <f t="shared" si="40"/>
        <v>0.42567982478305683</v>
      </c>
      <c r="FZ9" s="32">
        <f t="shared" si="41"/>
        <v>0.54190963932673686</v>
      </c>
      <c r="GA9" s="32">
        <f t="shared" si="42"/>
        <v>0.63072159429336461</v>
      </c>
      <c r="GB9" s="32">
        <f t="shared" si="43"/>
        <v>0.70656997524295606</v>
      </c>
      <c r="GC9" s="32">
        <f t="shared" si="44"/>
        <v>0.79014661671645514</v>
      </c>
      <c r="GD9" s="32">
        <f t="shared" si="45"/>
        <v>0.84663275511847225</v>
      </c>
      <c r="GE9" s="32">
        <f t="shared" si="46"/>
        <v>0.90276240197546398</v>
      </c>
      <c r="GF9" s="32">
        <f t="shared" si="47"/>
        <v>0.93318646640221514</v>
      </c>
      <c r="GG9" s="32">
        <f t="shared" si="48"/>
        <v>0.9529922513775837</v>
      </c>
      <c r="GH9" s="32">
        <f t="shared" si="49"/>
        <v>0.97627367405241039</v>
      </c>
      <c r="GI9" s="32">
        <f t="shared" si="50"/>
        <v>1</v>
      </c>
    </row>
    <row r="10" spans="1:191">
      <c r="A10" s="724" t="s">
        <v>84</v>
      </c>
      <c r="B10" s="399">
        <v>212557.91</v>
      </c>
      <c r="C10" s="400">
        <v>323255.7</v>
      </c>
      <c r="D10" s="400">
        <v>188153.36</v>
      </c>
      <c r="E10" s="400">
        <v>174217.65</v>
      </c>
      <c r="F10" s="400">
        <v>111961.72</v>
      </c>
      <c r="G10" s="400">
        <v>114259.79</v>
      </c>
      <c r="H10" s="400">
        <v>82818.25</v>
      </c>
      <c r="I10" s="400">
        <v>70276.27</v>
      </c>
      <c r="J10" s="400">
        <v>62539.78</v>
      </c>
      <c r="K10" s="400">
        <v>42428.83</v>
      </c>
      <c r="L10" s="400">
        <v>33043.96</v>
      </c>
      <c r="M10" s="400">
        <v>44016.54</v>
      </c>
      <c r="N10" s="400">
        <f t="shared" si="0"/>
        <v>1459529.76</v>
      </c>
      <c r="P10" s="396" t="s">
        <v>84</v>
      </c>
      <c r="Q10" s="399">
        <v>245379.16</v>
      </c>
      <c r="R10" s="400">
        <v>342684.23</v>
      </c>
      <c r="S10" s="400">
        <v>126734.61</v>
      </c>
      <c r="T10" s="400">
        <v>53732.53</v>
      </c>
      <c r="U10" s="400">
        <v>47622.37</v>
      </c>
      <c r="V10" s="400">
        <v>63682.74</v>
      </c>
      <c r="W10" s="400">
        <v>121331.85</v>
      </c>
      <c r="X10" s="400">
        <v>160755.03</v>
      </c>
      <c r="Y10" s="400">
        <v>37327.919999999998</v>
      </c>
      <c r="Z10" s="400">
        <v>16856.75</v>
      </c>
      <c r="AA10" s="400">
        <v>25339.809999999998</v>
      </c>
      <c r="AB10" s="400">
        <v>38993.46</v>
      </c>
      <c r="AC10" s="400">
        <f t="shared" si="51"/>
        <v>1280440.46</v>
      </c>
      <c r="AE10" s="127" t="s">
        <v>84</v>
      </c>
      <c r="AF10" s="27">
        <v>191530.26</v>
      </c>
      <c r="AG10" s="27">
        <v>321038.12</v>
      </c>
      <c r="AH10" s="27">
        <v>111584.81</v>
      </c>
      <c r="AI10" s="27">
        <v>105676.46</v>
      </c>
      <c r="AJ10" s="27">
        <v>137830.31</v>
      </c>
      <c r="AK10" s="27">
        <v>131155.72</v>
      </c>
      <c r="AL10" s="27">
        <v>49906.8</v>
      </c>
      <c r="AM10" s="27">
        <v>39244.14</v>
      </c>
      <c r="AN10" s="27">
        <v>38960.089999999997</v>
      </c>
      <c r="AO10" s="27">
        <v>41008.26</v>
      </c>
      <c r="AP10" s="27">
        <v>28004.13</v>
      </c>
      <c r="AQ10" s="27">
        <v>29181.89</v>
      </c>
      <c r="AR10" s="43">
        <f t="shared" si="1"/>
        <v>1225120.9899999998</v>
      </c>
      <c r="AT10" s="60" t="s">
        <v>84</v>
      </c>
      <c r="AU10" s="27">
        <v>128711.7</v>
      </c>
      <c r="AV10" s="27">
        <v>227208.42</v>
      </c>
      <c r="AW10" s="27">
        <v>177911.2</v>
      </c>
      <c r="AX10" s="27">
        <v>88379.23</v>
      </c>
      <c r="AY10" s="27">
        <v>116906.83000000002</v>
      </c>
      <c r="AZ10" s="27">
        <v>114255.61</v>
      </c>
      <c r="BA10" s="27">
        <v>32554.160000000003</v>
      </c>
      <c r="BB10" s="27">
        <v>42881.67</v>
      </c>
      <c r="BC10" s="27">
        <v>31684.82</v>
      </c>
      <c r="BD10" s="27">
        <v>27976.560000000001</v>
      </c>
      <c r="BE10" s="27">
        <v>27578.22</v>
      </c>
      <c r="BF10" s="27">
        <v>28005.63</v>
      </c>
      <c r="BG10" s="43">
        <f t="shared" si="2"/>
        <v>1044054.0500000002</v>
      </c>
      <c r="BI10" s="60" t="s">
        <v>84</v>
      </c>
      <c r="BJ10" s="27">
        <v>146855.85</v>
      </c>
      <c r="BK10" s="27">
        <v>277212.68</v>
      </c>
      <c r="BL10" s="27">
        <v>76819.41</v>
      </c>
      <c r="BM10" s="27">
        <v>62210.66</v>
      </c>
      <c r="BN10" s="27">
        <v>92465.78</v>
      </c>
      <c r="BO10" s="27">
        <v>98390.97</v>
      </c>
      <c r="BP10" s="27">
        <v>27547.7</v>
      </c>
      <c r="BQ10" s="27">
        <v>24966.78</v>
      </c>
      <c r="BR10" s="27">
        <v>20145.810000000001</v>
      </c>
      <c r="BS10" s="27">
        <v>22303.360000000001</v>
      </c>
      <c r="BT10" s="27">
        <v>22430.61</v>
      </c>
      <c r="BU10" s="27">
        <v>19569.190000000002</v>
      </c>
      <c r="BV10" s="43">
        <f t="shared" si="52"/>
        <v>890918.8</v>
      </c>
      <c r="BW10" s="405"/>
      <c r="BX10" s="32">
        <f t="shared" si="53"/>
        <v>0.14563451587311244</v>
      </c>
      <c r="BY10" s="32">
        <f t="shared" si="54"/>
        <v>0.36711386412566194</v>
      </c>
      <c r="BZ10" s="32">
        <f t="shared" si="55"/>
        <v>0.49602754931149878</v>
      </c>
      <c r="CA10" s="32">
        <f t="shared" si="56"/>
        <v>0.61539315238080516</v>
      </c>
      <c r="CB10" s="32">
        <f t="shared" si="57"/>
        <v>0.69210396915784711</v>
      </c>
      <c r="CC10" s="32">
        <f t="shared" si="58"/>
        <v>0.77038931361015883</v>
      </c>
      <c r="CD10" s="32">
        <f t="shared" si="59"/>
        <v>0.82713241832081574</v>
      </c>
      <c r="CE10" s="32">
        <f t="shared" si="60"/>
        <v>0.87528235806579235</v>
      </c>
      <c r="CF10" s="32">
        <f t="shared" si="61"/>
        <v>0.91813162480496457</v>
      </c>
      <c r="CG10" s="32">
        <f t="shared" si="62"/>
        <v>0.94720183026620852</v>
      </c>
      <c r="CH10" s="32">
        <f t="shared" si="63"/>
        <v>0.96984197156760954</v>
      </c>
      <c r="CI10" s="32">
        <f t="shared" si="64"/>
        <v>1</v>
      </c>
      <c r="CJ10" s="405"/>
      <c r="CK10" s="32">
        <f t="shared" si="65"/>
        <v>0.19163652482521523</v>
      </c>
      <c r="CL10" s="32">
        <f t="shared" si="66"/>
        <v>0.45926648553420441</v>
      </c>
      <c r="CM10" s="32">
        <f t="shared" si="67"/>
        <v>0.55824384056092702</v>
      </c>
      <c r="CN10" s="32">
        <f t="shared" si="68"/>
        <v>0.60020793938360872</v>
      </c>
      <c r="CO10" s="32">
        <f t="shared" si="69"/>
        <v>0.63740011776884964</v>
      </c>
      <c r="CP10" s="32">
        <f t="shared" si="70"/>
        <v>0.68713514410502152</v>
      </c>
      <c r="CQ10" s="32">
        <f t="shared" si="71"/>
        <v>0.7818930448355248</v>
      </c>
      <c r="CR10" s="32">
        <f t="shared" si="72"/>
        <v>0.90743971023845971</v>
      </c>
      <c r="CS10" s="32">
        <f t="shared" si="73"/>
        <v>0.93659211612229121</v>
      </c>
      <c r="CT10" s="32">
        <f t="shared" si="74"/>
        <v>0.94975692192669392</v>
      </c>
      <c r="CU10" s="32">
        <f t="shared" si="75"/>
        <v>0.96954683859333846</v>
      </c>
      <c r="CV10" s="32">
        <f t="shared" si="76"/>
        <v>1</v>
      </c>
      <c r="CX10" s="32">
        <f t="shared" si="77"/>
        <v>0.15633579178167542</v>
      </c>
      <c r="CY10" s="32">
        <f t="shared" si="78"/>
        <v>0.4183818448821125</v>
      </c>
      <c r="CZ10" s="32">
        <f t="shared" si="79"/>
        <v>0.50946248990477261</v>
      </c>
      <c r="DA10" s="32">
        <f t="shared" si="80"/>
        <v>0.59572046839226878</v>
      </c>
      <c r="DB10" s="32">
        <f t="shared" si="81"/>
        <v>0.70822389550276188</v>
      </c>
      <c r="DC10" s="32">
        <f t="shared" si="82"/>
        <v>0.81527921581035034</v>
      </c>
      <c r="DD10" s="32">
        <f t="shared" si="83"/>
        <v>0.8560154372997888</v>
      </c>
      <c r="DE10" s="32">
        <f t="shared" si="84"/>
        <v>0.88804830615137864</v>
      </c>
      <c r="DF10" s="32">
        <f t="shared" si="85"/>
        <v>0.91984932035161704</v>
      </c>
      <c r="DG10" s="32">
        <f t="shared" si="86"/>
        <v>0.95332214494178258</v>
      </c>
      <c r="DH10" s="32">
        <f t="shared" si="87"/>
        <v>0.97618040157813324</v>
      </c>
      <c r="DI10" s="32">
        <f t="shared" si="88"/>
        <v>1</v>
      </c>
      <c r="DK10" s="32">
        <f t="shared" si="3"/>
        <v>0.12328068647403836</v>
      </c>
      <c r="DL10" s="32">
        <f t="shared" si="4"/>
        <v>0.34090200598331089</v>
      </c>
      <c r="DM10" s="32">
        <f t="shared" si="5"/>
        <v>0.51130621063152815</v>
      </c>
      <c r="DN10" s="32">
        <f t="shared" si="6"/>
        <v>0.59595626299232296</v>
      </c>
      <c r="DO10" s="32">
        <f t="shared" si="7"/>
        <v>0.70793018809706265</v>
      </c>
      <c r="DP10" s="32">
        <f t="shared" si="8"/>
        <v>0.81736476191055429</v>
      </c>
      <c r="DQ10" s="32">
        <f t="shared" si="9"/>
        <v>0.84854529322500116</v>
      </c>
      <c r="DR10" s="32">
        <f t="shared" si="10"/>
        <v>0.88961756338189579</v>
      </c>
      <c r="DS10" s="32">
        <f t="shared" si="11"/>
        <v>0.91996543665531494</v>
      </c>
      <c r="DT10" s="32">
        <f t="shared" si="12"/>
        <v>0.94676152063200181</v>
      </c>
      <c r="DU10" s="32">
        <f t="shared" si="13"/>
        <v>0.9731760726372356</v>
      </c>
      <c r="DV10" s="32">
        <f t="shared" si="14"/>
        <v>1</v>
      </c>
      <c r="DW10" s="39"/>
      <c r="DX10" s="32">
        <f t="shared" si="15"/>
        <v>0.16483640259920432</v>
      </c>
      <c r="DY10" s="32">
        <f t="shared" si="16"/>
        <v>0.47599010145481274</v>
      </c>
      <c r="DZ10" s="32">
        <f t="shared" si="17"/>
        <v>0.56221503014640617</v>
      </c>
      <c r="EA10" s="32">
        <f t="shared" si="18"/>
        <v>0.63204256100555978</v>
      </c>
      <c r="EB10" s="32">
        <f t="shared" si="19"/>
        <v>0.73582955034734943</v>
      </c>
      <c r="EC10" s="32">
        <f t="shared" si="20"/>
        <v>0.84626719068000367</v>
      </c>
      <c r="ED10" s="32">
        <f t="shared" si="21"/>
        <v>0.87718774146420531</v>
      </c>
      <c r="EE10" s="32">
        <f t="shared" si="22"/>
        <v>0.90521137279850872</v>
      </c>
      <c r="EF10" s="32">
        <f t="shared" si="23"/>
        <v>0.92782377024707541</v>
      </c>
      <c r="EG10" s="32">
        <f t="shared" si="24"/>
        <v>0.9528578810998265</v>
      </c>
      <c r="EH10" s="32">
        <f t="shared" si="25"/>
        <v>0.97803482202867431</v>
      </c>
      <c r="EI10" s="32">
        <f t="shared" si="26"/>
        <v>1</v>
      </c>
      <c r="EK10" s="32">
        <f t="shared" si="89"/>
        <v>0.14815096028497268</v>
      </c>
      <c r="EL10" s="32">
        <f t="shared" si="27"/>
        <v>0.41175798410674536</v>
      </c>
      <c r="EM10" s="32">
        <f t="shared" si="27"/>
        <v>0.52766124356090238</v>
      </c>
      <c r="EN10" s="32">
        <f t="shared" si="27"/>
        <v>0.60790643079671713</v>
      </c>
      <c r="EO10" s="32">
        <f t="shared" si="27"/>
        <v>0.71732787798239128</v>
      </c>
      <c r="EP10" s="32">
        <f t="shared" si="27"/>
        <v>0.82630372280030284</v>
      </c>
      <c r="EQ10" s="32">
        <f t="shared" si="27"/>
        <v>0.86058282399633168</v>
      </c>
      <c r="ER10" s="32">
        <f t="shared" si="27"/>
        <v>0.89429241411059446</v>
      </c>
      <c r="ES10" s="32">
        <f t="shared" si="27"/>
        <v>0.9225461757513358</v>
      </c>
      <c r="ET10" s="32">
        <f t="shared" si="27"/>
        <v>0.95098051555787022</v>
      </c>
      <c r="EU10" s="32">
        <f t="shared" si="27"/>
        <v>0.97579709874801435</v>
      </c>
      <c r="EV10" s="32">
        <f t="shared" si="27"/>
        <v>1</v>
      </c>
      <c r="EX10" s="32">
        <f t="shared" si="90"/>
        <v>0.15902235142003332</v>
      </c>
      <c r="EY10" s="32">
        <f t="shared" si="91"/>
        <v>0.42363510946361016</v>
      </c>
      <c r="EZ10" s="32">
        <f t="shared" si="92"/>
        <v>0.53530689281090849</v>
      </c>
      <c r="FA10" s="32">
        <f t="shared" si="93"/>
        <v>0.60598180794344003</v>
      </c>
      <c r="FB10" s="32">
        <f t="shared" si="94"/>
        <v>0.6973459379290059</v>
      </c>
      <c r="FC10" s="32">
        <f t="shared" si="95"/>
        <v>0.79151157812648254</v>
      </c>
      <c r="FD10" s="32">
        <f t="shared" si="96"/>
        <v>0.8409103792061301</v>
      </c>
      <c r="FE10" s="32">
        <f t="shared" si="97"/>
        <v>0.8975792381425608</v>
      </c>
      <c r="FF10" s="32">
        <f t="shared" si="98"/>
        <v>0.9260576608440747</v>
      </c>
      <c r="FG10" s="32">
        <f t="shared" si="99"/>
        <v>0.95067461715007617</v>
      </c>
      <c r="FH10" s="32">
        <f t="shared" si="100"/>
        <v>0.97423453370934543</v>
      </c>
      <c r="FI10" s="32">
        <f t="shared" si="101"/>
        <v>1</v>
      </c>
      <c r="FK10" s="32">
        <f t="shared" si="102"/>
        <v>0.15708433436030966</v>
      </c>
      <c r="FL10" s="32">
        <f t="shared" si="29"/>
        <v>0.40618344546654256</v>
      </c>
      <c r="FM10" s="32">
        <f t="shared" si="30"/>
        <v>0.526337513699076</v>
      </c>
      <c r="FN10" s="32">
        <f t="shared" si="31"/>
        <v>0.59729489025606686</v>
      </c>
      <c r="FO10" s="32">
        <f t="shared" si="32"/>
        <v>0.68451806712289143</v>
      </c>
      <c r="FP10" s="32">
        <f t="shared" si="33"/>
        <v>0.77325970727530857</v>
      </c>
      <c r="FQ10" s="32">
        <f t="shared" si="34"/>
        <v>0.82881792512010488</v>
      </c>
      <c r="FR10" s="32">
        <f t="shared" si="35"/>
        <v>0.89503519325724479</v>
      </c>
      <c r="FS10" s="32">
        <f t="shared" si="36"/>
        <v>0.92546895770974091</v>
      </c>
      <c r="FT10" s="32">
        <f t="shared" si="37"/>
        <v>0.94994686250015947</v>
      </c>
      <c r="FU10" s="32">
        <f t="shared" si="38"/>
        <v>0.97296777093623577</v>
      </c>
      <c r="FV10" s="32">
        <f t="shared" si="39"/>
        <v>1</v>
      </c>
      <c r="FX10" s="32">
        <f t="shared" si="103"/>
        <v>0.16453561082666771</v>
      </c>
      <c r="FY10" s="32">
        <f t="shared" si="40"/>
        <v>0.41492073151399295</v>
      </c>
      <c r="FZ10" s="32">
        <f t="shared" si="41"/>
        <v>0.52124462659239945</v>
      </c>
      <c r="GA10" s="32">
        <f t="shared" si="42"/>
        <v>0.60377385338556089</v>
      </c>
      <c r="GB10" s="32">
        <f t="shared" si="43"/>
        <v>0.67924266080981954</v>
      </c>
      <c r="GC10" s="32">
        <f t="shared" si="44"/>
        <v>0.7576012245085102</v>
      </c>
      <c r="GD10" s="32">
        <f t="shared" si="45"/>
        <v>0.82168030015204307</v>
      </c>
      <c r="GE10" s="32">
        <f t="shared" si="46"/>
        <v>0.8902567914852102</v>
      </c>
      <c r="GF10" s="32">
        <f t="shared" si="47"/>
        <v>0.92485768709295757</v>
      </c>
      <c r="GG10" s="32">
        <f t="shared" si="48"/>
        <v>0.9500936323782283</v>
      </c>
      <c r="GH10" s="32">
        <f t="shared" si="49"/>
        <v>0.97185640391302719</v>
      </c>
      <c r="GI10" s="32">
        <f t="shared" si="50"/>
        <v>1</v>
      </c>
    </row>
    <row r="11" spans="1:191">
      <c r="A11" s="724" t="s">
        <v>85</v>
      </c>
      <c r="B11" s="399">
        <v>231543.86</v>
      </c>
      <c r="C11" s="400">
        <v>294007.76</v>
      </c>
      <c r="D11" s="400">
        <v>195528.05</v>
      </c>
      <c r="E11" s="400">
        <v>149320.85999999999</v>
      </c>
      <c r="F11" s="400">
        <v>124775.35</v>
      </c>
      <c r="G11" s="400">
        <v>121169.39</v>
      </c>
      <c r="H11" s="400">
        <v>93517.53</v>
      </c>
      <c r="I11" s="400">
        <v>59932.09</v>
      </c>
      <c r="J11" s="400">
        <v>45809.05</v>
      </c>
      <c r="K11" s="400">
        <v>35449.550000000003</v>
      </c>
      <c r="L11" s="400">
        <v>33551.61</v>
      </c>
      <c r="M11" s="400">
        <v>36136.700000000004</v>
      </c>
      <c r="N11" s="400">
        <f t="shared" si="0"/>
        <v>1420741.8</v>
      </c>
      <c r="P11" s="396" t="s">
        <v>85</v>
      </c>
      <c r="Q11" s="399">
        <v>204749.96</v>
      </c>
      <c r="R11" s="400">
        <v>263553.43</v>
      </c>
      <c r="S11" s="400">
        <v>141831.03</v>
      </c>
      <c r="T11" s="400">
        <v>65334.15</v>
      </c>
      <c r="U11" s="400">
        <v>56458.31</v>
      </c>
      <c r="V11" s="400">
        <v>87933.3</v>
      </c>
      <c r="W11" s="400">
        <v>130613.97</v>
      </c>
      <c r="X11" s="400">
        <v>157284.10999999999</v>
      </c>
      <c r="Y11" s="400">
        <v>66084.98</v>
      </c>
      <c r="Z11" s="400">
        <v>24518.44</v>
      </c>
      <c r="AA11" s="400">
        <v>42323.42</v>
      </c>
      <c r="AB11" s="400">
        <v>43637.58</v>
      </c>
      <c r="AC11" s="400">
        <f t="shared" si="51"/>
        <v>1284322.6800000002</v>
      </c>
      <c r="AE11" s="127" t="s">
        <v>85</v>
      </c>
      <c r="AF11" s="27">
        <v>178653.97</v>
      </c>
      <c r="AG11" s="27">
        <v>250110.59</v>
      </c>
      <c r="AH11" s="27">
        <v>112437.68</v>
      </c>
      <c r="AI11" s="27">
        <v>126393.43</v>
      </c>
      <c r="AJ11" s="27">
        <v>166028.35999999999</v>
      </c>
      <c r="AK11" s="27">
        <v>148830</v>
      </c>
      <c r="AL11" s="27">
        <v>41626.22</v>
      </c>
      <c r="AM11" s="27">
        <v>28370.87</v>
      </c>
      <c r="AN11" s="27">
        <v>32837.129999999997</v>
      </c>
      <c r="AO11" s="27">
        <v>35339.74</v>
      </c>
      <c r="AP11" s="27">
        <v>22323.61</v>
      </c>
      <c r="AQ11" s="27">
        <v>33265.71</v>
      </c>
      <c r="AR11" s="43">
        <f t="shared" si="1"/>
        <v>1176217.3099999998</v>
      </c>
      <c r="AT11" s="60" t="s">
        <v>85</v>
      </c>
      <c r="AU11" s="27">
        <v>142031.79</v>
      </c>
      <c r="AV11" s="27">
        <v>214628.73</v>
      </c>
      <c r="AW11" s="27">
        <v>162946.67000000001</v>
      </c>
      <c r="AX11" s="27">
        <v>105702.76</v>
      </c>
      <c r="AY11" s="27">
        <v>121088.58</v>
      </c>
      <c r="AZ11" s="27">
        <v>125641.59</v>
      </c>
      <c r="BA11" s="27">
        <v>35214.65</v>
      </c>
      <c r="BB11" s="27">
        <v>33851.49</v>
      </c>
      <c r="BC11" s="27">
        <v>23829.16</v>
      </c>
      <c r="BD11" s="27">
        <v>25013.55</v>
      </c>
      <c r="BE11" s="27">
        <v>21957.25</v>
      </c>
      <c r="BF11" s="27">
        <v>26039.11</v>
      </c>
      <c r="BG11" s="43">
        <f t="shared" si="2"/>
        <v>1037945.3300000001</v>
      </c>
      <c r="BI11" s="60" t="s">
        <v>85</v>
      </c>
      <c r="BJ11" s="27">
        <v>147828.78</v>
      </c>
      <c r="BK11" s="27">
        <v>259975.77000000002</v>
      </c>
      <c r="BL11" s="27">
        <v>94385.55</v>
      </c>
      <c r="BM11" s="27">
        <v>76433.960000000006</v>
      </c>
      <c r="BN11" s="27">
        <v>107052.17</v>
      </c>
      <c r="BO11" s="27">
        <v>118597.93</v>
      </c>
      <c r="BP11" s="27">
        <v>32089.719999999998</v>
      </c>
      <c r="BQ11" s="27">
        <v>35985.94</v>
      </c>
      <c r="BR11" s="27">
        <v>28888.309999999998</v>
      </c>
      <c r="BS11" s="27">
        <v>25397.64</v>
      </c>
      <c r="BT11" s="27">
        <v>25910.499999999996</v>
      </c>
      <c r="BU11" s="27">
        <v>18188.89</v>
      </c>
      <c r="BV11" s="43">
        <f t="shared" si="52"/>
        <v>970735.16000000015</v>
      </c>
      <c r="BW11" s="405"/>
      <c r="BX11" s="32">
        <f t="shared" si="53"/>
        <v>0.16297391968054997</v>
      </c>
      <c r="BY11" s="32">
        <f t="shared" si="54"/>
        <v>0.36991353390179693</v>
      </c>
      <c r="BZ11" s="32">
        <f t="shared" si="55"/>
        <v>0.50753744980263116</v>
      </c>
      <c r="CA11" s="32">
        <f t="shared" si="56"/>
        <v>0.61263808103625861</v>
      </c>
      <c r="CB11" s="32">
        <f t="shared" si="57"/>
        <v>0.70046216701725805</v>
      </c>
      <c r="CC11" s="32">
        <f t="shared" si="58"/>
        <v>0.78574817042758915</v>
      </c>
      <c r="CD11" s="32">
        <f t="shared" si="59"/>
        <v>0.85157120034055434</v>
      </c>
      <c r="CE11" s="32">
        <f t="shared" si="60"/>
        <v>0.89375486101696999</v>
      </c>
      <c r="CF11" s="32">
        <f t="shared" si="61"/>
        <v>0.92599791179509172</v>
      </c>
      <c r="CG11" s="32">
        <f t="shared" si="62"/>
        <v>0.95094934913578244</v>
      </c>
      <c r="CH11" s="32">
        <f t="shared" si="63"/>
        <v>0.97456490686766595</v>
      </c>
      <c r="CI11" s="32">
        <f t="shared" si="64"/>
        <v>1</v>
      </c>
      <c r="CJ11" s="405"/>
      <c r="CK11" s="32">
        <f t="shared" si="65"/>
        <v>0.15942252144920463</v>
      </c>
      <c r="CL11" s="32">
        <f t="shared" si="66"/>
        <v>0.3646306316104298</v>
      </c>
      <c r="CM11" s="32">
        <f t="shared" si="67"/>
        <v>0.47506318271978187</v>
      </c>
      <c r="CN11" s="32">
        <f t="shared" si="68"/>
        <v>0.52593369292520786</v>
      </c>
      <c r="CO11" s="32">
        <f t="shared" si="69"/>
        <v>0.56989329192567095</v>
      </c>
      <c r="CP11" s="32">
        <f t="shared" si="70"/>
        <v>0.63835996417971852</v>
      </c>
      <c r="CQ11" s="32">
        <f t="shared" si="71"/>
        <v>0.74005868213742054</v>
      </c>
      <c r="CR11" s="32">
        <f t="shared" si="72"/>
        <v>0.86252331851680775</v>
      </c>
      <c r="CS11" s="32">
        <f t="shared" si="73"/>
        <v>0.91397844037138709</v>
      </c>
      <c r="CT11" s="32">
        <f t="shared" si="74"/>
        <v>0.93306900100837586</v>
      </c>
      <c r="CU11" s="32">
        <f t="shared" si="75"/>
        <v>0.96602288452929908</v>
      </c>
      <c r="CV11" s="32">
        <f t="shared" si="76"/>
        <v>1</v>
      </c>
      <c r="CX11" s="32">
        <f t="shared" si="77"/>
        <v>0.15188857405949929</v>
      </c>
      <c r="CY11" s="32">
        <f t="shared" si="78"/>
        <v>0.36452835403349071</v>
      </c>
      <c r="CZ11" s="32">
        <f t="shared" si="79"/>
        <v>0.4601209618314494</v>
      </c>
      <c r="DA11" s="32">
        <f t="shared" si="80"/>
        <v>0.56757851149121419</v>
      </c>
      <c r="DB11" s="32">
        <f t="shared" si="81"/>
        <v>0.70873300614832824</v>
      </c>
      <c r="DC11" s="32">
        <f t="shared" si="82"/>
        <v>0.8352657469392285</v>
      </c>
      <c r="DD11" s="32">
        <f t="shared" si="83"/>
        <v>0.87065565290821989</v>
      </c>
      <c r="DE11" s="32">
        <f t="shared" si="84"/>
        <v>0.89477608521166896</v>
      </c>
      <c r="DF11" s="32">
        <f t="shared" si="85"/>
        <v>0.92269365598776976</v>
      </c>
      <c r="DG11" s="32">
        <f t="shared" si="86"/>
        <v>0.95273890332391042</v>
      </c>
      <c r="DH11" s="32">
        <f t="shared" si="87"/>
        <v>0.97171805777964626</v>
      </c>
      <c r="DI11" s="32">
        <f t="shared" si="88"/>
        <v>1</v>
      </c>
      <c r="DK11" s="32">
        <f t="shared" si="3"/>
        <v>0.13683937476745522</v>
      </c>
      <c r="DL11" s="32">
        <f t="shared" si="4"/>
        <v>0.34362168188569236</v>
      </c>
      <c r="DM11" s="32">
        <f t="shared" si="5"/>
        <v>0.50061132795886276</v>
      </c>
      <c r="DN11" s="32">
        <f t="shared" si="6"/>
        <v>0.60244979376707641</v>
      </c>
      <c r="DO11" s="32">
        <f t="shared" si="7"/>
        <v>0.71911160292035803</v>
      </c>
      <c r="DP11" s="32">
        <f t="shared" si="8"/>
        <v>0.84015997258738084</v>
      </c>
      <c r="DQ11" s="32">
        <f t="shared" si="9"/>
        <v>0.87408724118446579</v>
      </c>
      <c r="DR11" s="32">
        <f t="shared" si="10"/>
        <v>0.90670118434850511</v>
      </c>
      <c r="DS11" s="32">
        <f t="shared" si="11"/>
        <v>0.92965919505606331</v>
      </c>
      <c r="DT11" s="32">
        <f t="shared" si="12"/>
        <v>0.95375829669179202</v>
      </c>
      <c r="DU11" s="32">
        <f t="shared" si="13"/>
        <v>0.97491283090989</v>
      </c>
      <c r="DV11" s="32">
        <f t="shared" si="14"/>
        <v>1</v>
      </c>
      <c r="DW11" s="39"/>
      <c r="DX11" s="32">
        <f t="shared" si="15"/>
        <v>0.15228538749951118</v>
      </c>
      <c r="DY11" s="32">
        <f t="shared" si="16"/>
        <v>0.4200986703726689</v>
      </c>
      <c r="DZ11" s="32">
        <f t="shared" si="17"/>
        <v>0.51732967002039976</v>
      </c>
      <c r="EA11" s="32">
        <f t="shared" si="18"/>
        <v>0.59606789147309758</v>
      </c>
      <c r="EB11" s="32">
        <f t="shared" si="19"/>
        <v>0.70634737285090199</v>
      </c>
      <c r="EC11" s="32">
        <f t="shared" si="20"/>
        <v>0.8285206852917536</v>
      </c>
      <c r="ED11" s="32">
        <f t="shared" si="21"/>
        <v>0.86157781696091029</v>
      </c>
      <c r="EE11" s="32">
        <f t="shared" si="22"/>
        <v>0.89864862832412495</v>
      </c>
      <c r="EF11" s="32">
        <f t="shared" si="23"/>
        <v>0.92840783679865879</v>
      </c>
      <c r="EG11" s="32">
        <f t="shared" si="24"/>
        <v>0.95457114173138635</v>
      </c>
      <c r="EH11" s="32">
        <f t="shared" si="25"/>
        <v>0.98126276790056721</v>
      </c>
      <c r="EI11" s="32">
        <f t="shared" si="26"/>
        <v>1</v>
      </c>
      <c r="EK11" s="32">
        <f t="shared" si="89"/>
        <v>0.14700444544215521</v>
      </c>
      <c r="EL11" s="32">
        <f t="shared" si="27"/>
        <v>0.37608290209728396</v>
      </c>
      <c r="EM11" s="32">
        <f t="shared" si="27"/>
        <v>0.49268731993690396</v>
      </c>
      <c r="EN11" s="32">
        <f t="shared" si="27"/>
        <v>0.5886987322437961</v>
      </c>
      <c r="EO11" s="32">
        <f t="shared" si="27"/>
        <v>0.71139732730652938</v>
      </c>
      <c r="EP11" s="32">
        <f t="shared" si="27"/>
        <v>0.83464880160612098</v>
      </c>
      <c r="EQ11" s="32">
        <f t="shared" si="27"/>
        <v>0.86877357035119862</v>
      </c>
      <c r="ER11" s="32">
        <f t="shared" si="27"/>
        <v>0.90004196596143293</v>
      </c>
      <c r="ES11" s="32">
        <f t="shared" si="27"/>
        <v>0.92692022928083062</v>
      </c>
      <c r="ET11" s="32">
        <f t="shared" si="27"/>
        <v>0.9536894472490296</v>
      </c>
      <c r="EU11" s="32">
        <f t="shared" si="27"/>
        <v>0.97596455219670109</v>
      </c>
      <c r="EV11" s="32">
        <f t="shared" si="27"/>
        <v>1</v>
      </c>
      <c r="EX11" s="32">
        <f t="shared" si="90"/>
        <v>0.15010896444391758</v>
      </c>
      <c r="EY11" s="32">
        <f t="shared" si="91"/>
        <v>0.37321983447557044</v>
      </c>
      <c r="EZ11" s="32">
        <f t="shared" si="92"/>
        <v>0.48828128563262352</v>
      </c>
      <c r="FA11" s="32">
        <f t="shared" si="93"/>
        <v>0.57300747241414896</v>
      </c>
      <c r="FB11" s="32">
        <f t="shared" si="94"/>
        <v>0.67602131846131486</v>
      </c>
      <c r="FC11" s="32">
        <f t="shared" si="95"/>
        <v>0.78557659224952037</v>
      </c>
      <c r="FD11" s="32">
        <f t="shared" si="96"/>
        <v>0.8365948482977541</v>
      </c>
      <c r="FE11" s="32">
        <f t="shared" si="97"/>
        <v>0.8906623041002768</v>
      </c>
      <c r="FF11" s="32">
        <f t="shared" si="98"/>
        <v>0.92368478205346971</v>
      </c>
      <c r="FG11" s="32">
        <f t="shared" si="99"/>
        <v>0.94853433568886614</v>
      </c>
      <c r="FH11" s="32">
        <f t="shared" si="100"/>
        <v>0.97347913527985064</v>
      </c>
      <c r="FI11" s="32">
        <f t="shared" si="101"/>
        <v>1</v>
      </c>
      <c r="FK11" s="32">
        <f t="shared" si="102"/>
        <v>0.14938349009205307</v>
      </c>
      <c r="FL11" s="32">
        <f t="shared" si="29"/>
        <v>0.35759355584320424</v>
      </c>
      <c r="FM11" s="32">
        <f t="shared" si="30"/>
        <v>0.47859849083669798</v>
      </c>
      <c r="FN11" s="32">
        <f t="shared" si="31"/>
        <v>0.56532066606116615</v>
      </c>
      <c r="FO11" s="32">
        <f t="shared" si="32"/>
        <v>0.6659126336647857</v>
      </c>
      <c r="FP11" s="32">
        <f t="shared" si="33"/>
        <v>0.77126189456877592</v>
      </c>
      <c r="FQ11" s="32">
        <f t="shared" si="34"/>
        <v>0.82826719207670207</v>
      </c>
      <c r="FR11" s="32">
        <f t="shared" si="35"/>
        <v>0.88800019602566049</v>
      </c>
      <c r="FS11" s="32">
        <f t="shared" si="36"/>
        <v>0.92211043047174002</v>
      </c>
      <c r="FT11" s="32">
        <f t="shared" si="37"/>
        <v>0.9465220670080261</v>
      </c>
      <c r="FU11" s="32">
        <f t="shared" si="38"/>
        <v>0.97088459107294511</v>
      </c>
      <c r="FV11" s="32">
        <f t="shared" si="39"/>
        <v>1</v>
      </c>
      <c r="FX11" s="32">
        <f t="shared" si="103"/>
        <v>0.15809500506308463</v>
      </c>
      <c r="FY11" s="32">
        <f t="shared" si="40"/>
        <v>0.36635750651523913</v>
      </c>
      <c r="FZ11" s="32">
        <f t="shared" si="41"/>
        <v>0.48090719811795407</v>
      </c>
      <c r="GA11" s="32">
        <f t="shared" si="42"/>
        <v>0.56871676181756026</v>
      </c>
      <c r="GB11" s="32">
        <f t="shared" si="43"/>
        <v>0.65969615503041912</v>
      </c>
      <c r="GC11" s="32">
        <f t="shared" si="44"/>
        <v>0.75312462718217876</v>
      </c>
      <c r="GD11" s="32">
        <f t="shared" si="45"/>
        <v>0.82076184512873152</v>
      </c>
      <c r="GE11" s="32">
        <f t="shared" si="46"/>
        <v>0.88368475491514886</v>
      </c>
      <c r="GF11" s="32">
        <f t="shared" si="47"/>
        <v>0.92089000271808275</v>
      </c>
      <c r="GG11" s="32">
        <f t="shared" si="48"/>
        <v>0.94558575115602295</v>
      </c>
      <c r="GH11" s="32">
        <f t="shared" si="49"/>
        <v>0.97076861639220369</v>
      </c>
      <c r="GI11" s="32">
        <f t="shared" si="50"/>
        <v>1</v>
      </c>
    </row>
    <row r="12" spans="1:191">
      <c r="A12" s="724" t="s">
        <v>86</v>
      </c>
      <c r="B12" s="399">
        <v>65823.59</v>
      </c>
      <c r="C12" s="400">
        <v>80623.240000000005</v>
      </c>
      <c r="D12" s="400">
        <v>76052.28</v>
      </c>
      <c r="E12" s="400">
        <v>60578.11</v>
      </c>
      <c r="F12" s="400">
        <v>44583.95</v>
      </c>
      <c r="G12" s="400">
        <v>58349.57</v>
      </c>
      <c r="H12" s="400">
        <v>37230.21</v>
      </c>
      <c r="I12" s="400">
        <v>22304.48</v>
      </c>
      <c r="J12" s="400">
        <v>16630.7</v>
      </c>
      <c r="K12" s="400">
        <v>17711.8</v>
      </c>
      <c r="L12" s="400">
        <v>14888.37</v>
      </c>
      <c r="M12" s="400">
        <v>19100.73</v>
      </c>
      <c r="N12" s="400">
        <f t="shared" si="0"/>
        <v>513877.03</v>
      </c>
      <c r="P12" s="396" t="s">
        <v>86</v>
      </c>
      <c r="Q12" s="399">
        <v>82824.28</v>
      </c>
      <c r="R12" s="400">
        <v>71643.19</v>
      </c>
      <c r="S12" s="400">
        <v>45132.5</v>
      </c>
      <c r="T12" s="400">
        <v>20492.12</v>
      </c>
      <c r="U12" s="400">
        <v>14301.08</v>
      </c>
      <c r="V12" s="400">
        <v>29672.390000000003</v>
      </c>
      <c r="W12" s="400">
        <v>57426.76</v>
      </c>
      <c r="X12" s="400">
        <v>49199.14</v>
      </c>
      <c r="Y12" s="400">
        <v>25426.22</v>
      </c>
      <c r="Z12" s="400">
        <v>7316.59</v>
      </c>
      <c r="AA12" s="400">
        <v>15237.71</v>
      </c>
      <c r="AB12" s="400">
        <v>11769.68</v>
      </c>
      <c r="AC12" s="400">
        <f t="shared" si="51"/>
        <v>430441.66000000009</v>
      </c>
      <c r="AE12" s="127" t="s">
        <v>86</v>
      </c>
      <c r="AF12" s="27">
        <v>57795.06</v>
      </c>
      <c r="AG12" s="27">
        <v>77073.929999999993</v>
      </c>
      <c r="AH12" s="27">
        <v>35948.61</v>
      </c>
      <c r="AI12" s="27">
        <v>40321.08</v>
      </c>
      <c r="AJ12" s="27">
        <v>45577.72</v>
      </c>
      <c r="AK12" s="27">
        <v>38977.199999999997</v>
      </c>
      <c r="AL12" s="27">
        <v>20869.73</v>
      </c>
      <c r="AM12" s="27">
        <v>16280.63</v>
      </c>
      <c r="AN12" s="27">
        <v>16237.73</v>
      </c>
      <c r="AO12" s="27">
        <v>18698.650000000001</v>
      </c>
      <c r="AP12" s="27">
        <v>10251.01</v>
      </c>
      <c r="AQ12" s="27">
        <v>14382.13</v>
      </c>
      <c r="AR12" s="43">
        <f t="shared" si="1"/>
        <v>392413.48</v>
      </c>
      <c r="AT12" s="60" t="s">
        <v>86</v>
      </c>
      <c r="AU12" s="27">
        <v>46372.91</v>
      </c>
      <c r="AV12" s="27">
        <v>60525.01</v>
      </c>
      <c r="AW12" s="27">
        <v>55267.74</v>
      </c>
      <c r="AX12" s="27">
        <v>40474.879999999997</v>
      </c>
      <c r="AY12" s="27">
        <v>37072.35</v>
      </c>
      <c r="AZ12" s="27">
        <v>33471.82</v>
      </c>
      <c r="BA12" s="27">
        <v>14016.180000000002</v>
      </c>
      <c r="BB12" s="27">
        <v>14821.72</v>
      </c>
      <c r="BC12" s="27">
        <v>11983.34</v>
      </c>
      <c r="BD12" s="27">
        <v>9782.92</v>
      </c>
      <c r="BE12" s="27">
        <v>10078.370000000001</v>
      </c>
      <c r="BF12" s="27">
        <v>10378.02</v>
      </c>
      <c r="BG12" s="43">
        <f t="shared" si="2"/>
        <v>344245.26</v>
      </c>
      <c r="BI12" s="60" t="s">
        <v>86</v>
      </c>
      <c r="BJ12" s="27">
        <v>56932.770000000004</v>
      </c>
      <c r="BK12" s="27">
        <v>75406.58</v>
      </c>
      <c r="BL12" s="27">
        <v>31677.31</v>
      </c>
      <c r="BM12" s="27">
        <v>24151.489999999998</v>
      </c>
      <c r="BN12" s="27">
        <v>36961.43</v>
      </c>
      <c r="BO12" s="27">
        <v>33836.350000000006</v>
      </c>
      <c r="BP12" s="27">
        <v>12761.65</v>
      </c>
      <c r="BQ12" s="27">
        <v>14859.25</v>
      </c>
      <c r="BR12" s="27">
        <v>9314.18</v>
      </c>
      <c r="BS12" s="27">
        <v>7967.03</v>
      </c>
      <c r="BT12" s="27">
        <v>13187.57</v>
      </c>
      <c r="BU12" s="27">
        <v>5661.15</v>
      </c>
      <c r="BV12" s="43">
        <f t="shared" si="52"/>
        <v>322716.76000000007</v>
      </c>
      <c r="BW12" s="405"/>
      <c r="BX12" s="32">
        <f t="shared" si="53"/>
        <v>0.12809210405843591</v>
      </c>
      <c r="BY12" s="32">
        <f t="shared" si="54"/>
        <v>0.2849841916460053</v>
      </c>
      <c r="BZ12" s="32">
        <f t="shared" si="55"/>
        <v>0.43298123288367257</v>
      </c>
      <c r="CA12" s="32">
        <f t="shared" si="56"/>
        <v>0.55086568084197107</v>
      </c>
      <c r="CB12" s="32">
        <f t="shared" si="57"/>
        <v>0.63762563973719555</v>
      </c>
      <c r="CC12" s="32">
        <f t="shared" si="58"/>
        <v>0.75117336923971878</v>
      </c>
      <c r="CD12" s="32">
        <f t="shared" si="59"/>
        <v>0.8236230173588418</v>
      </c>
      <c r="CE12" s="32">
        <f t="shared" si="60"/>
        <v>0.867027331422072</v>
      </c>
      <c r="CF12" s="32">
        <f t="shared" si="61"/>
        <v>0.89939052150278065</v>
      </c>
      <c r="CG12" s="32">
        <f t="shared" si="62"/>
        <v>0.93385752229477936</v>
      </c>
      <c r="CH12" s="32">
        <f t="shared" si="63"/>
        <v>0.96283015413240014</v>
      </c>
      <c r="CI12" s="32">
        <f t="shared" si="64"/>
        <v>1</v>
      </c>
      <c r="CJ12" s="405"/>
      <c r="CK12" s="32">
        <f t="shared" si="65"/>
        <v>0.1924169700488563</v>
      </c>
      <c r="CL12" s="32">
        <f t="shared" si="66"/>
        <v>0.35885808543717623</v>
      </c>
      <c r="CM12" s="32">
        <f t="shared" si="67"/>
        <v>0.46370969296977427</v>
      </c>
      <c r="CN12" s="32">
        <f t="shared" si="68"/>
        <v>0.51131688786814911</v>
      </c>
      <c r="CO12" s="32">
        <f t="shared" si="69"/>
        <v>0.54454108833238846</v>
      </c>
      <c r="CP12" s="32">
        <f t="shared" si="70"/>
        <v>0.61347584246376141</v>
      </c>
      <c r="CQ12" s="32">
        <f t="shared" si="71"/>
        <v>0.7468894158618381</v>
      </c>
      <c r="CR12" s="32">
        <f t="shared" si="72"/>
        <v>0.86118862193775558</v>
      </c>
      <c r="CS12" s="32">
        <f t="shared" si="73"/>
        <v>0.92025869429088247</v>
      </c>
      <c r="CT12" s="32">
        <f t="shared" si="74"/>
        <v>0.93725656108658251</v>
      </c>
      <c r="CU12" s="32">
        <f t="shared" si="75"/>
        <v>0.97265673587449697</v>
      </c>
      <c r="CV12" s="32">
        <f t="shared" si="76"/>
        <v>1</v>
      </c>
      <c r="CX12" s="32">
        <f t="shared" si="77"/>
        <v>0.14728102612580996</v>
      </c>
      <c r="CY12" s="32">
        <f t="shared" si="78"/>
        <v>0.34369102203114937</v>
      </c>
      <c r="CZ12" s="32">
        <f t="shared" si="79"/>
        <v>0.43530003097752906</v>
      </c>
      <c r="DA12" s="32">
        <f t="shared" si="80"/>
        <v>0.53805154705694613</v>
      </c>
      <c r="DB12" s="32">
        <f t="shared" si="81"/>
        <v>0.65419872936067336</v>
      </c>
      <c r="DC12" s="32">
        <f t="shared" si="82"/>
        <v>0.75352559244396999</v>
      </c>
      <c r="DD12" s="32">
        <f t="shared" si="83"/>
        <v>0.80670860236503594</v>
      </c>
      <c r="DE12" s="32">
        <f t="shared" si="84"/>
        <v>0.84819705989712679</v>
      </c>
      <c r="DF12" s="32">
        <f t="shared" si="85"/>
        <v>0.88957619396764853</v>
      </c>
      <c r="DG12" s="32">
        <f t="shared" si="86"/>
        <v>0.93722657030028633</v>
      </c>
      <c r="DH12" s="32">
        <f t="shared" si="87"/>
        <v>0.96334955160052094</v>
      </c>
      <c r="DI12" s="32">
        <f t="shared" si="88"/>
        <v>1</v>
      </c>
      <c r="DK12" s="32">
        <f t="shared" si="3"/>
        <v>0.13470892816360058</v>
      </c>
      <c r="DL12" s="32">
        <f t="shared" si="4"/>
        <v>0.31052837154533375</v>
      </c>
      <c r="DM12" s="32">
        <f t="shared" si="5"/>
        <v>0.47107594161209365</v>
      </c>
      <c r="DN12" s="32">
        <f t="shared" si="6"/>
        <v>0.58865164911784118</v>
      </c>
      <c r="DO12" s="32">
        <f t="shared" si="7"/>
        <v>0.69634332800980325</v>
      </c>
      <c r="DP12" s="32">
        <f t="shared" si="8"/>
        <v>0.79357580696971697</v>
      </c>
      <c r="DQ12" s="32">
        <f t="shared" si="9"/>
        <v>0.83429148741220138</v>
      </c>
      <c r="DR12" s="32">
        <f t="shared" si="10"/>
        <v>0.87734718555020907</v>
      </c>
      <c r="DS12" s="32">
        <f t="shared" si="11"/>
        <v>0.91215765759563405</v>
      </c>
      <c r="DT12" s="32">
        <f t="shared" si="12"/>
        <v>0.9405761171555419</v>
      </c>
      <c r="DU12" s="32">
        <f t="shared" si="13"/>
        <v>0.96985283108909037</v>
      </c>
      <c r="DV12" s="32">
        <f t="shared" si="14"/>
        <v>1</v>
      </c>
      <c r="DW12" s="39"/>
      <c r="DX12" s="32">
        <f t="shared" si="15"/>
        <v>0.17641714672643588</v>
      </c>
      <c r="DY12" s="32">
        <f t="shared" si="16"/>
        <v>0.41007894972668907</v>
      </c>
      <c r="DZ12" s="32">
        <f t="shared" si="17"/>
        <v>0.50823719226729958</v>
      </c>
      <c r="EA12" s="32">
        <f t="shared" si="18"/>
        <v>0.58307523290702334</v>
      </c>
      <c r="EB12" s="32">
        <f t="shared" si="19"/>
        <v>0.69760733839791877</v>
      </c>
      <c r="EC12" s="32">
        <f t="shared" si="20"/>
        <v>0.80245578196806366</v>
      </c>
      <c r="ED12" s="32">
        <f t="shared" si="21"/>
        <v>0.84200021095898447</v>
      </c>
      <c r="EE12" s="32">
        <f t="shared" si="22"/>
        <v>0.88804445731296988</v>
      </c>
      <c r="EF12" s="32">
        <f t="shared" si="23"/>
        <v>0.91690623691189743</v>
      </c>
      <c r="EG12" s="32">
        <f t="shared" si="24"/>
        <v>0.9415936129254644</v>
      </c>
      <c r="EH12" s="32">
        <f t="shared" si="25"/>
        <v>0.98245783702092193</v>
      </c>
      <c r="EI12" s="32">
        <f t="shared" si="26"/>
        <v>1</v>
      </c>
      <c r="EK12" s="32">
        <f t="shared" si="89"/>
        <v>0.15280236700528213</v>
      </c>
      <c r="EL12" s="32">
        <f t="shared" si="27"/>
        <v>0.35476611443439071</v>
      </c>
      <c r="EM12" s="32">
        <f t="shared" si="27"/>
        <v>0.47153772161897417</v>
      </c>
      <c r="EN12" s="32">
        <f t="shared" si="27"/>
        <v>0.56992614302727018</v>
      </c>
      <c r="EO12" s="32">
        <f t="shared" si="27"/>
        <v>0.68271646525613183</v>
      </c>
      <c r="EP12" s="32">
        <f t="shared" si="27"/>
        <v>0.78318572712725032</v>
      </c>
      <c r="EQ12" s="32">
        <f t="shared" si="27"/>
        <v>0.82766676691207397</v>
      </c>
      <c r="ER12" s="32">
        <f t="shared" si="27"/>
        <v>0.87119623425343529</v>
      </c>
      <c r="ES12" s="32">
        <f t="shared" si="27"/>
        <v>0.90621336282505993</v>
      </c>
      <c r="ET12" s="32">
        <f t="shared" si="27"/>
        <v>0.93979876679376417</v>
      </c>
      <c r="EU12" s="32">
        <f t="shared" si="27"/>
        <v>0.97188673990351104</v>
      </c>
      <c r="EV12" s="32">
        <f t="shared" si="27"/>
        <v>1</v>
      </c>
      <c r="EX12" s="32">
        <f t="shared" si="90"/>
        <v>0.16270601776617569</v>
      </c>
      <c r="EY12" s="32">
        <f t="shared" si="91"/>
        <v>0.35578910718508705</v>
      </c>
      <c r="EZ12" s="32">
        <f t="shared" si="92"/>
        <v>0.46958071445667415</v>
      </c>
      <c r="FA12" s="32">
        <f t="shared" si="93"/>
        <v>0.55527382923748991</v>
      </c>
      <c r="FB12" s="32">
        <f t="shared" si="94"/>
        <v>0.64817262102519591</v>
      </c>
      <c r="FC12" s="32">
        <f t="shared" si="95"/>
        <v>0.74075825596137812</v>
      </c>
      <c r="FD12" s="32">
        <f t="shared" si="96"/>
        <v>0.807472429149515</v>
      </c>
      <c r="FE12" s="32">
        <f t="shared" si="97"/>
        <v>0.86869433117451522</v>
      </c>
      <c r="FF12" s="32">
        <f t="shared" si="98"/>
        <v>0.90972469569151559</v>
      </c>
      <c r="FG12" s="32">
        <f t="shared" si="99"/>
        <v>0.93916321536696878</v>
      </c>
      <c r="FH12" s="32">
        <f t="shared" si="100"/>
        <v>0.97207923889625758</v>
      </c>
      <c r="FI12" s="32">
        <f t="shared" si="101"/>
        <v>1</v>
      </c>
      <c r="FK12" s="32">
        <f t="shared" si="102"/>
        <v>0.15813564144608894</v>
      </c>
      <c r="FL12" s="32">
        <f t="shared" si="29"/>
        <v>0.33769249300455312</v>
      </c>
      <c r="FM12" s="32">
        <f t="shared" si="30"/>
        <v>0.45669522185313233</v>
      </c>
      <c r="FN12" s="32">
        <f t="shared" si="31"/>
        <v>0.54600669468097884</v>
      </c>
      <c r="FO12" s="32">
        <f t="shared" si="32"/>
        <v>0.63169438190095506</v>
      </c>
      <c r="FP12" s="32">
        <f t="shared" si="33"/>
        <v>0.72019241395914957</v>
      </c>
      <c r="FQ12" s="32">
        <f t="shared" si="34"/>
        <v>0.79596316854635851</v>
      </c>
      <c r="FR12" s="32">
        <f t="shared" si="35"/>
        <v>0.86224428912836382</v>
      </c>
      <c r="FS12" s="32">
        <f t="shared" si="36"/>
        <v>0.90733084861805502</v>
      </c>
      <c r="FT12" s="32">
        <f t="shared" si="37"/>
        <v>0.93835308284747032</v>
      </c>
      <c r="FU12" s="32">
        <f t="shared" si="38"/>
        <v>0.96861970618803606</v>
      </c>
      <c r="FV12" s="32">
        <f t="shared" si="39"/>
        <v>1</v>
      </c>
      <c r="FX12" s="32">
        <f t="shared" si="103"/>
        <v>0.15593003341103404</v>
      </c>
      <c r="FY12" s="32">
        <f t="shared" si="40"/>
        <v>0.32917776637144364</v>
      </c>
      <c r="FZ12" s="32">
        <f t="shared" si="41"/>
        <v>0.44399698561032536</v>
      </c>
      <c r="GA12" s="32">
        <f t="shared" si="42"/>
        <v>0.53341137192235555</v>
      </c>
      <c r="GB12" s="32">
        <f t="shared" si="43"/>
        <v>0.61212181914341912</v>
      </c>
      <c r="GC12" s="32">
        <f t="shared" si="44"/>
        <v>0.70605826804915006</v>
      </c>
      <c r="GD12" s="32">
        <f t="shared" si="45"/>
        <v>0.79240701186190521</v>
      </c>
      <c r="GE12" s="32">
        <f t="shared" si="46"/>
        <v>0.85880433775231813</v>
      </c>
      <c r="GF12" s="32">
        <f t="shared" si="47"/>
        <v>0.90307513658710403</v>
      </c>
      <c r="GG12" s="32">
        <f t="shared" si="48"/>
        <v>0.93611355122721607</v>
      </c>
      <c r="GH12" s="32">
        <f t="shared" si="49"/>
        <v>0.96627881386913927</v>
      </c>
      <c r="GI12" s="32">
        <f t="shared" si="50"/>
        <v>1</v>
      </c>
    </row>
    <row r="13" spans="1:191">
      <c r="A13" s="724" t="s">
        <v>87</v>
      </c>
      <c r="B13" s="399">
        <v>148282.49</v>
      </c>
      <c r="C13" s="400">
        <v>170970.67</v>
      </c>
      <c r="D13" s="400">
        <v>149429.6</v>
      </c>
      <c r="E13" s="400">
        <v>156359.14000000001</v>
      </c>
      <c r="F13" s="400">
        <v>108813.12</v>
      </c>
      <c r="G13" s="400">
        <v>107225.37</v>
      </c>
      <c r="H13" s="400">
        <v>77180.039999999994</v>
      </c>
      <c r="I13" s="400">
        <v>47213.67</v>
      </c>
      <c r="J13" s="400">
        <v>60572.35</v>
      </c>
      <c r="K13" s="400">
        <v>33647.550000000003</v>
      </c>
      <c r="L13" s="400">
        <v>28033.24</v>
      </c>
      <c r="M13" s="400">
        <v>40252.709999999992</v>
      </c>
      <c r="N13" s="400">
        <f t="shared" si="0"/>
        <v>1127979.95</v>
      </c>
      <c r="P13" s="396" t="s">
        <v>87</v>
      </c>
      <c r="Q13" s="399">
        <v>140629.48000000001</v>
      </c>
      <c r="R13" s="400">
        <v>199352.69</v>
      </c>
      <c r="S13" s="400">
        <v>120281.06</v>
      </c>
      <c r="T13" s="400">
        <v>60668.86</v>
      </c>
      <c r="U13" s="400">
        <v>43774.17</v>
      </c>
      <c r="V13" s="400">
        <v>74132.36</v>
      </c>
      <c r="W13" s="400">
        <v>94992.87</v>
      </c>
      <c r="X13" s="400">
        <v>153092.31</v>
      </c>
      <c r="Y13" s="400">
        <v>40980.480000000003</v>
      </c>
      <c r="Z13" s="400">
        <v>17050.439999999999</v>
      </c>
      <c r="AA13" s="400">
        <v>30498.359999999997</v>
      </c>
      <c r="AB13" s="400">
        <v>27854.31</v>
      </c>
      <c r="AC13" s="400">
        <f t="shared" si="51"/>
        <v>1003307.39</v>
      </c>
      <c r="AE13" s="127" t="s">
        <v>87</v>
      </c>
      <c r="AF13" s="27">
        <v>120205.53</v>
      </c>
      <c r="AG13" s="27">
        <v>161539.23000000001</v>
      </c>
      <c r="AH13" s="27">
        <v>85832.68</v>
      </c>
      <c r="AI13" s="27">
        <v>92517.72</v>
      </c>
      <c r="AJ13" s="27">
        <v>122168.44</v>
      </c>
      <c r="AK13" s="27">
        <v>102041.22</v>
      </c>
      <c r="AL13" s="27">
        <v>34233.440000000002</v>
      </c>
      <c r="AM13" s="27">
        <v>29786.2</v>
      </c>
      <c r="AN13" s="27">
        <v>27154.84</v>
      </c>
      <c r="AO13" s="27">
        <v>28265.72</v>
      </c>
      <c r="AP13" s="27">
        <v>23176.240000000002</v>
      </c>
      <c r="AQ13" s="27">
        <v>22871.65</v>
      </c>
      <c r="AR13" s="43">
        <f t="shared" si="1"/>
        <v>849792.90999999992</v>
      </c>
      <c r="AT13" s="60" t="s">
        <v>87</v>
      </c>
      <c r="AU13" s="27">
        <v>97815.87</v>
      </c>
      <c r="AV13" s="27">
        <v>135847.39000000001</v>
      </c>
      <c r="AW13" s="27">
        <v>121941.64</v>
      </c>
      <c r="AX13" s="27">
        <v>87592.06</v>
      </c>
      <c r="AY13" s="27">
        <v>100983.69</v>
      </c>
      <c r="AZ13" s="27">
        <v>94138.38</v>
      </c>
      <c r="BA13" s="27">
        <v>24931.07</v>
      </c>
      <c r="BB13" s="27">
        <v>23678.240000000002</v>
      </c>
      <c r="BC13" s="27">
        <v>15299.07</v>
      </c>
      <c r="BD13" s="27">
        <v>19846.57</v>
      </c>
      <c r="BE13" s="27">
        <v>19815.48</v>
      </c>
      <c r="BF13" s="27">
        <v>17279.61</v>
      </c>
      <c r="BG13" s="43">
        <f t="shared" si="2"/>
        <v>759169.06999999983</v>
      </c>
      <c r="BI13" s="60" t="s">
        <v>87</v>
      </c>
      <c r="BJ13" s="27">
        <v>108475.31</v>
      </c>
      <c r="BK13" s="27">
        <v>160612.20000000001</v>
      </c>
      <c r="BL13" s="27">
        <v>73493.789999999994</v>
      </c>
      <c r="BM13" s="27">
        <v>49631.31</v>
      </c>
      <c r="BN13" s="27">
        <v>89424.89</v>
      </c>
      <c r="BO13" s="27">
        <v>70780.42</v>
      </c>
      <c r="BP13" s="27">
        <v>27156.46</v>
      </c>
      <c r="BQ13" s="27">
        <v>23073.05</v>
      </c>
      <c r="BR13" s="27">
        <v>16484.73</v>
      </c>
      <c r="BS13" s="27">
        <v>21985.03</v>
      </c>
      <c r="BT13" s="27">
        <v>28962.92</v>
      </c>
      <c r="BU13" s="27">
        <v>15326.4</v>
      </c>
      <c r="BV13" s="43">
        <f t="shared" si="52"/>
        <v>685406.51000000013</v>
      </c>
      <c r="BW13" s="405"/>
      <c r="BX13" s="32">
        <f t="shared" si="53"/>
        <v>0.13145844480657656</v>
      </c>
      <c r="BY13" s="32">
        <f t="shared" si="54"/>
        <v>0.28303088188757258</v>
      </c>
      <c r="BZ13" s="32">
        <f t="shared" si="55"/>
        <v>0.41550628625978681</v>
      </c>
      <c r="CA13" s="32">
        <f t="shared" si="56"/>
        <v>0.55412500904825479</v>
      </c>
      <c r="CB13" s="32">
        <f t="shared" si="57"/>
        <v>0.6505922556513527</v>
      </c>
      <c r="CC13" s="32">
        <f t="shared" si="58"/>
        <v>0.74565189744729066</v>
      </c>
      <c r="CD13" s="32">
        <f t="shared" si="59"/>
        <v>0.81407513493480099</v>
      </c>
      <c r="CE13" s="32">
        <f t="shared" si="60"/>
        <v>0.85593196935814342</v>
      </c>
      <c r="CF13" s="32">
        <f t="shared" si="61"/>
        <v>0.90963181570736262</v>
      </c>
      <c r="CG13" s="32">
        <f t="shared" si="62"/>
        <v>0.93946173422674761</v>
      </c>
      <c r="CH13" s="32">
        <f t="shared" si="63"/>
        <v>0.96431433909796005</v>
      </c>
      <c r="CI13" s="32">
        <f t="shared" si="64"/>
        <v>1</v>
      </c>
      <c r="CJ13" s="405"/>
      <c r="CK13" s="32">
        <f t="shared" si="65"/>
        <v>0.14016589671486424</v>
      </c>
      <c r="CL13" s="32">
        <f t="shared" si="66"/>
        <v>0.33886142311779449</v>
      </c>
      <c r="CM13" s="32">
        <f t="shared" si="67"/>
        <v>0.45874597813936169</v>
      </c>
      <c r="CN13" s="32">
        <f t="shared" si="68"/>
        <v>0.51921484401704643</v>
      </c>
      <c r="CO13" s="32">
        <f t="shared" si="69"/>
        <v>0.5628447130245896</v>
      </c>
      <c r="CP13" s="32">
        <f t="shared" si="70"/>
        <v>0.6367326966464385</v>
      </c>
      <c r="CQ13" s="32">
        <f t="shared" si="71"/>
        <v>0.7314124238634383</v>
      </c>
      <c r="CR13" s="32">
        <f t="shared" si="72"/>
        <v>0.88400006701834422</v>
      </c>
      <c r="CS13" s="32">
        <f t="shared" si="73"/>
        <v>0.92484545538929996</v>
      </c>
      <c r="CT13" s="32">
        <f t="shared" si="74"/>
        <v>0.94183968883155533</v>
      </c>
      <c r="CU13" s="32">
        <f t="shared" si="75"/>
        <v>0.9722375113772459</v>
      </c>
      <c r="CV13" s="32">
        <f t="shared" si="76"/>
        <v>1</v>
      </c>
      <c r="CX13" s="32">
        <f t="shared" si="77"/>
        <v>0.14145273346655718</v>
      </c>
      <c r="CY13" s="32">
        <f t="shared" si="78"/>
        <v>0.33154519964163981</v>
      </c>
      <c r="CZ13" s="32">
        <f t="shared" si="79"/>
        <v>0.43254943136675505</v>
      </c>
      <c r="DA13" s="32">
        <f t="shared" si="80"/>
        <v>0.54142033263139377</v>
      </c>
      <c r="DB13" s="32">
        <f t="shared" si="81"/>
        <v>0.68518293474583136</v>
      </c>
      <c r="DC13" s="32">
        <f t="shared" si="82"/>
        <v>0.80526068404124496</v>
      </c>
      <c r="DD13" s="32">
        <f t="shared" si="83"/>
        <v>0.84554513404918863</v>
      </c>
      <c r="DE13" s="32">
        <f t="shared" si="84"/>
        <v>0.88059626197634433</v>
      </c>
      <c r="DF13" s="32">
        <f t="shared" si="85"/>
        <v>0.91255091784656095</v>
      </c>
      <c r="DG13" s="32">
        <f t="shared" si="86"/>
        <v>0.94581280985269689</v>
      </c>
      <c r="DH13" s="32">
        <f t="shared" si="87"/>
        <v>0.97308561917750047</v>
      </c>
      <c r="DI13" s="32">
        <f t="shared" si="88"/>
        <v>1</v>
      </c>
      <c r="DK13" s="32">
        <f t="shared" si="3"/>
        <v>0.12884596312650096</v>
      </c>
      <c r="DL13" s="32">
        <f t="shared" si="4"/>
        <v>0.30778817161241839</v>
      </c>
      <c r="DM13" s="32">
        <f t="shared" si="5"/>
        <v>0.46841331404610581</v>
      </c>
      <c r="DN13" s="32">
        <f t="shared" si="6"/>
        <v>0.58379217161731856</v>
      </c>
      <c r="DO13" s="32">
        <f t="shared" si="7"/>
        <v>0.71681088113876945</v>
      </c>
      <c r="DP13" s="32">
        <f t="shared" si="8"/>
        <v>0.84081274544022211</v>
      </c>
      <c r="DQ13" s="32">
        <f t="shared" si="9"/>
        <v>0.87365268977567823</v>
      </c>
      <c r="DR13" s="32">
        <f t="shared" si="10"/>
        <v>0.90484236930253248</v>
      </c>
      <c r="DS13" s="32">
        <f t="shared" si="11"/>
        <v>0.92499475775534434</v>
      </c>
      <c r="DT13" s="32">
        <f t="shared" si="12"/>
        <v>0.95113724799141253</v>
      </c>
      <c r="DU13" s="32">
        <f t="shared" si="13"/>
        <v>0.97723878555800492</v>
      </c>
      <c r="DV13" s="32">
        <f t="shared" si="14"/>
        <v>1</v>
      </c>
      <c r="DW13" s="39"/>
      <c r="DX13" s="32">
        <f t="shared" si="15"/>
        <v>0.15826419565229979</v>
      </c>
      <c r="DY13" s="32">
        <f t="shared" si="16"/>
        <v>0.39259549781632502</v>
      </c>
      <c r="DZ13" s="32">
        <f t="shared" si="17"/>
        <v>0.49982206909590038</v>
      </c>
      <c r="EA13" s="32">
        <f t="shared" si="18"/>
        <v>0.5722335639910977</v>
      </c>
      <c r="EB13" s="32">
        <f t="shared" si="19"/>
        <v>0.70270342194444568</v>
      </c>
      <c r="EC13" s="32">
        <f t="shared" si="20"/>
        <v>0.8059712184525355</v>
      </c>
      <c r="ED13" s="32">
        <f t="shared" si="21"/>
        <v>0.84559217273848175</v>
      </c>
      <c r="EE13" s="32">
        <f t="shared" si="22"/>
        <v>0.87925548007998922</v>
      </c>
      <c r="EF13" s="32">
        <f t="shared" si="23"/>
        <v>0.90330650638261356</v>
      </c>
      <c r="EG13" s="32">
        <f t="shared" si="24"/>
        <v>0.93538240539909656</v>
      </c>
      <c r="EH13" s="32">
        <f t="shared" si="25"/>
        <v>0.97763896348168622</v>
      </c>
      <c r="EI13" s="32">
        <f t="shared" si="26"/>
        <v>1</v>
      </c>
      <c r="EK13" s="32">
        <f t="shared" si="89"/>
        <v>0.14285429741511932</v>
      </c>
      <c r="EL13" s="32">
        <f t="shared" si="27"/>
        <v>0.34397628969012772</v>
      </c>
      <c r="EM13" s="32">
        <f t="shared" si="27"/>
        <v>0.46692827150292038</v>
      </c>
      <c r="EN13" s="32">
        <f t="shared" si="27"/>
        <v>0.56581535607993672</v>
      </c>
      <c r="EO13" s="32">
        <f t="shared" si="27"/>
        <v>0.70156574594301546</v>
      </c>
      <c r="EP13" s="32">
        <f t="shared" si="27"/>
        <v>0.81734821597800089</v>
      </c>
      <c r="EQ13" s="32">
        <f t="shared" si="27"/>
        <v>0.85492999885444954</v>
      </c>
      <c r="ER13" s="32">
        <f t="shared" si="27"/>
        <v>0.8882313704529553</v>
      </c>
      <c r="ES13" s="32">
        <f t="shared" si="27"/>
        <v>0.91361739399483965</v>
      </c>
      <c r="ET13" s="32">
        <f t="shared" si="27"/>
        <v>0.9441108210810687</v>
      </c>
      <c r="EU13" s="32">
        <f t="shared" si="27"/>
        <v>0.9759877894057305</v>
      </c>
      <c r="EV13" s="32">
        <f t="shared" si="27"/>
        <v>1</v>
      </c>
      <c r="EX13" s="32">
        <f t="shared" si="90"/>
        <v>0.14218219724005554</v>
      </c>
      <c r="EY13" s="32">
        <f t="shared" si="91"/>
        <v>0.3426975730470444</v>
      </c>
      <c r="EZ13" s="32">
        <f t="shared" si="92"/>
        <v>0.46488269816203071</v>
      </c>
      <c r="FA13" s="32">
        <f t="shared" si="93"/>
        <v>0.55416522806421409</v>
      </c>
      <c r="FB13" s="32">
        <f t="shared" si="94"/>
        <v>0.66688548771340905</v>
      </c>
      <c r="FC13" s="32">
        <f t="shared" si="95"/>
        <v>0.77219433614511035</v>
      </c>
      <c r="FD13" s="32">
        <f t="shared" si="96"/>
        <v>0.8240506051066967</v>
      </c>
      <c r="FE13" s="32">
        <f t="shared" si="97"/>
        <v>0.88717354459430253</v>
      </c>
      <c r="FF13" s="32">
        <f t="shared" si="98"/>
        <v>0.9164244093434547</v>
      </c>
      <c r="FG13" s="32">
        <f t="shared" si="99"/>
        <v>0.94354303801869033</v>
      </c>
      <c r="FH13" s="32">
        <f t="shared" si="100"/>
        <v>0.97505021989860929</v>
      </c>
      <c r="FI13" s="32">
        <f t="shared" si="101"/>
        <v>1</v>
      </c>
      <c r="FK13" s="32">
        <f t="shared" si="102"/>
        <v>0.13682153110264081</v>
      </c>
      <c r="FL13" s="32">
        <f t="shared" si="29"/>
        <v>0.32606493145728427</v>
      </c>
      <c r="FM13" s="32">
        <f t="shared" si="30"/>
        <v>0.45323624118407418</v>
      </c>
      <c r="FN13" s="32">
        <f t="shared" si="31"/>
        <v>0.54814244942191959</v>
      </c>
      <c r="FO13" s="32">
        <f t="shared" si="32"/>
        <v>0.65494617630306351</v>
      </c>
      <c r="FP13" s="32">
        <f t="shared" si="33"/>
        <v>0.76093537537596856</v>
      </c>
      <c r="FQ13" s="32">
        <f t="shared" si="34"/>
        <v>0.81687008256276838</v>
      </c>
      <c r="FR13" s="32">
        <f t="shared" si="35"/>
        <v>0.88981289943240693</v>
      </c>
      <c r="FS13" s="32">
        <f t="shared" si="36"/>
        <v>0.92079704366373516</v>
      </c>
      <c r="FT13" s="32">
        <f t="shared" si="37"/>
        <v>0.94626324889188818</v>
      </c>
      <c r="FU13" s="32">
        <f t="shared" si="38"/>
        <v>0.97418730537091702</v>
      </c>
      <c r="FV13" s="32">
        <f t="shared" si="39"/>
        <v>1</v>
      </c>
      <c r="FX13" s="32">
        <f t="shared" si="103"/>
        <v>0.13769235832933266</v>
      </c>
      <c r="FY13" s="32">
        <f t="shared" si="40"/>
        <v>0.31781250154900231</v>
      </c>
      <c r="FZ13" s="32">
        <f t="shared" si="41"/>
        <v>0.43560056525530122</v>
      </c>
      <c r="GA13" s="32">
        <f t="shared" si="42"/>
        <v>0.5382533952322317</v>
      </c>
      <c r="GB13" s="32">
        <f t="shared" si="43"/>
        <v>0.63287330114059115</v>
      </c>
      <c r="GC13" s="32">
        <f t="shared" si="44"/>
        <v>0.72921509271165796</v>
      </c>
      <c r="GD13" s="32">
        <f t="shared" si="45"/>
        <v>0.79701089761580934</v>
      </c>
      <c r="GE13" s="32">
        <f t="shared" si="46"/>
        <v>0.87350943278427728</v>
      </c>
      <c r="GF13" s="32">
        <f t="shared" si="47"/>
        <v>0.91567606298107451</v>
      </c>
      <c r="GG13" s="32">
        <f t="shared" si="48"/>
        <v>0.94237141097033328</v>
      </c>
      <c r="GH13" s="32">
        <f t="shared" si="49"/>
        <v>0.96987915655090207</v>
      </c>
      <c r="GI13" s="32">
        <f t="shared" si="50"/>
        <v>1</v>
      </c>
    </row>
    <row r="14" spans="1:191">
      <c r="A14" s="724" t="s">
        <v>88</v>
      </c>
      <c r="B14" s="399">
        <v>165576.46</v>
      </c>
      <c r="C14" s="400">
        <v>162573.98000000001</v>
      </c>
      <c r="D14" s="400">
        <v>113153.56</v>
      </c>
      <c r="E14" s="400">
        <v>103919.59</v>
      </c>
      <c r="F14" s="400">
        <v>69185.740000000005</v>
      </c>
      <c r="G14" s="400">
        <v>70262.23</v>
      </c>
      <c r="H14" s="400">
        <v>50704.59</v>
      </c>
      <c r="I14" s="400">
        <v>38667.01</v>
      </c>
      <c r="J14" s="400">
        <v>31676.82</v>
      </c>
      <c r="K14" s="400">
        <v>28097.4</v>
      </c>
      <c r="L14" s="400">
        <v>20979.06</v>
      </c>
      <c r="M14" s="400">
        <v>21136.83</v>
      </c>
      <c r="N14" s="400">
        <f t="shared" si="0"/>
        <v>875933.2699999999</v>
      </c>
      <c r="P14" s="396" t="s">
        <v>88</v>
      </c>
      <c r="Q14" s="399">
        <v>177127.8</v>
      </c>
      <c r="R14" s="400">
        <v>140750.32999999999</v>
      </c>
      <c r="S14" s="400">
        <v>89553.99</v>
      </c>
      <c r="T14" s="400">
        <v>43970.07</v>
      </c>
      <c r="U14" s="400">
        <v>37527.620000000003</v>
      </c>
      <c r="V14" s="400">
        <v>52988.959999999992</v>
      </c>
      <c r="W14" s="400">
        <v>88639.21</v>
      </c>
      <c r="X14" s="400">
        <v>78723.199999999997</v>
      </c>
      <c r="Y14" s="400">
        <v>45035.61</v>
      </c>
      <c r="Z14" s="400">
        <v>15334.68</v>
      </c>
      <c r="AA14" s="400">
        <v>26970.92</v>
      </c>
      <c r="AB14" s="400">
        <v>26214.38</v>
      </c>
      <c r="AC14" s="400">
        <f t="shared" si="51"/>
        <v>822836.77</v>
      </c>
      <c r="AE14" s="127" t="s">
        <v>88</v>
      </c>
      <c r="AF14" s="27">
        <v>171469.77</v>
      </c>
      <c r="AG14" s="27">
        <v>157480.28</v>
      </c>
      <c r="AH14" s="27">
        <v>59460.04</v>
      </c>
      <c r="AI14" s="27">
        <v>78083.929999999993</v>
      </c>
      <c r="AJ14" s="27">
        <v>105843.45</v>
      </c>
      <c r="AK14" s="27">
        <v>70009.34</v>
      </c>
      <c r="AL14" s="27">
        <v>31302.19</v>
      </c>
      <c r="AM14" s="27">
        <v>22306.55</v>
      </c>
      <c r="AN14" s="27">
        <v>16462.009999999998</v>
      </c>
      <c r="AO14" s="27">
        <v>22710.06</v>
      </c>
      <c r="AP14" s="27">
        <v>15086.43</v>
      </c>
      <c r="AQ14" s="27">
        <v>20690.29</v>
      </c>
      <c r="AR14" s="43">
        <f t="shared" si="1"/>
        <v>770904.34000000008</v>
      </c>
      <c r="AT14" s="60" t="s">
        <v>88</v>
      </c>
      <c r="AU14" s="27">
        <v>153732.75</v>
      </c>
      <c r="AV14" s="27">
        <v>146671.82999999999</v>
      </c>
      <c r="AW14" s="27">
        <v>102644.02</v>
      </c>
      <c r="AX14" s="27">
        <v>77217.279999999999</v>
      </c>
      <c r="AY14" s="27">
        <v>83020.259999999995</v>
      </c>
      <c r="AZ14" s="27">
        <v>75046.7</v>
      </c>
      <c r="BA14" s="27">
        <v>25774.520000000004</v>
      </c>
      <c r="BB14" s="27">
        <v>23449.22</v>
      </c>
      <c r="BC14" s="27">
        <v>22866.62</v>
      </c>
      <c r="BD14" s="27">
        <v>21602.38</v>
      </c>
      <c r="BE14" s="27">
        <v>15312.72</v>
      </c>
      <c r="BF14" s="27">
        <v>21486.77</v>
      </c>
      <c r="BG14" s="43">
        <f t="shared" si="2"/>
        <v>768825.07</v>
      </c>
      <c r="BI14" s="60" t="s">
        <v>88</v>
      </c>
      <c r="BJ14" s="27">
        <v>162745.49</v>
      </c>
      <c r="BK14" s="27">
        <v>173986.86000000002</v>
      </c>
      <c r="BL14" s="27">
        <v>61337.68</v>
      </c>
      <c r="BM14" s="27">
        <v>50755.63</v>
      </c>
      <c r="BN14" s="27">
        <v>84872.83</v>
      </c>
      <c r="BO14" s="27">
        <v>78312.14</v>
      </c>
      <c r="BP14" s="27">
        <v>24177.56</v>
      </c>
      <c r="BQ14" s="27">
        <v>29594.14</v>
      </c>
      <c r="BR14" s="27">
        <v>21198.22</v>
      </c>
      <c r="BS14" s="27">
        <v>21389</v>
      </c>
      <c r="BT14" s="27">
        <v>19431.219999999998</v>
      </c>
      <c r="BU14" s="27">
        <v>15816.61</v>
      </c>
      <c r="BV14" s="43">
        <f t="shared" si="52"/>
        <v>743617.38</v>
      </c>
      <c r="BW14" s="405"/>
      <c r="BX14" s="32">
        <f t="shared" si="53"/>
        <v>0.18902862315071103</v>
      </c>
      <c r="BY14" s="32">
        <f t="shared" si="54"/>
        <v>0.37462949660537503</v>
      </c>
      <c r="BZ14" s="32">
        <f t="shared" si="55"/>
        <v>0.50381006763220681</v>
      </c>
      <c r="CA14" s="32">
        <f t="shared" si="56"/>
        <v>0.62244877398023712</v>
      </c>
      <c r="CB14" s="32">
        <f t="shared" si="57"/>
        <v>0.70143394598997255</v>
      </c>
      <c r="CC14" s="32">
        <f t="shared" si="58"/>
        <v>0.78164808147999676</v>
      </c>
      <c r="CD14" s="32">
        <f t="shared" si="59"/>
        <v>0.83953444307464198</v>
      </c>
      <c r="CE14" s="32">
        <f t="shared" si="60"/>
        <v>0.88367822813717301</v>
      </c>
      <c r="CF14" s="32">
        <f t="shared" si="61"/>
        <v>0.91984173634596611</v>
      </c>
      <c r="CG14" s="32">
        <f t="shared" si="62"/>
        <v>0.95191883737901628</v>
      </c>
      <c r="CH14" s="32">
        <f t="shared" si="63"/>
        <v>0.97586936045938755</v>
      </c>
      <c r="CI14" s="32">
        <f t="shared" si="64"/>
        <v>1</v>
      </c>
      <c r="CJ14" s="405"/>
      <c r="CK14" s="32">
        <f t="shared" si="65"/>
        <v>0.21526480883930355</v>
      </c>
      <c r="CL14" s="32">
        <f t="shared" si="66"/>
        <v>0.38631979219888291</v>
      </c>
      <c r="CM14" s="32">
        <f t="shared" si="67"/>
        <v>0.4951554607847678</v>
      </c>
      <c r="CN14" s="32">
        <f t="shared" si="68"/>
        <v>0.54859263277697223</v>
      </c>
      <c r="CO14" s="32">
        <f t="shared" si="69"/>
        <v>0.59420024460015319</v>
      </c>
      <c r="CP14" s="32">
        <f t="shared" si="70"/>
        <v>0.65859814456274235</v>
      </c>
      <c r="CQ14" s="32">
        <f t="shared" si="71"/>
        <v>0.76632207381787276</v>
      </c>
      <c r="CR14" s="32">
        <f t="shared" si="72"/>
        <v>0.86199499810879854</v>
      </c>
      <c r="CS14" s="32">
        <f t="shared" si="73"/>
        <v>0.91672712924581612</v>
      </c>
      <c r="CT14" s="32">
        <f t="shared" si="74"/>
        <v>0.93536348649076528</v>
      </c>
      <c r="CU14" s="32">
        <f t="shared" si="75"/>
        <v>0.96814145775230731</v>
      </c>
      <c r="CV14" s="32">
        <f t="shared" si="76"/>
        <v>1</v>
      </c>
      <c r="CX14" s="32">
        <f t="shared" si="77"/>
        <v>0.22242677995560378</v>
      </c>
      <c r="CY14" s="32">
        <f t="shared" si="78"/>
        <v>0.42670670397315436</v>
      </c>
      <c r="CZ14" s="32">
        <f t="shared" si="79"/>
        <v>0.50383694817439983</v>
      </c>
      <c r="DA14" s="32">
        <f t="shared" si="80"/>
        <v>0.60512568913543785</v>
      </c>
      <c r="DB14" s="32">
        <f t="shared" si="81"/>
        <v>0.74242346333139064</v>
      </c>
      <c r="DC14" s="32">
        <f t="shared" si="82"/>
        <v>0.83323802535603819</v>
      </c>
      <c r="DD14" s="32">
        <f t="shared" si="83"/>
        <v>0.87384253148711011</v>
      </c>
      <c r="DE14" s="32">
        <f t="shared" si="84"/>
        <v>0.90277809306404977</v>
      </c>
      <c r="DF14" s="32">
        <f t="shared" si="85"/>
        <v>0.92413224706972052</v>
      </c>
      <c r="DG14" s="32">
        <f t="shared" si="86"/>
        <v>0.95359123286295144</v>
      </c>
      <c r="DH14" s="32">
        <f t="shared" si="87"/>
        <v>0.97316101502295338</v>
      </c>
      <c r="DI14" s="32">
        <f t="shared" si="88"/>
        <v>1</v>
      </c>
      <c r="DK14" s="32">
        <f t="shared" si="3"/>
        <v>0.19995803466710577</v>
      </c>
      <c r="DL14" s="32">
        <f t="shared" si="4"/>
        <v>0.39073202958899345</v>
      </c>
      <c r="DM14" s="32">
        <f t="shared" si="5"/>
        <v>0.52423966871943961</v>
      </c>
      <c r="DN14" s="32">
        <f t="shared" si="6"/>
        <v>0.62467510327154141</v>
      </c>
      <c r="DO14" s="32">
        <f t="shared" si="7"/>
        <v>0.73265839263019872</v>
      </c>
      <c r="DP14" s="32">
        <f t="shared" si="8"/>
        <v>0.83027058417853106</v>
      </c>
      <c r="DQ14" s="32">
        <f t="shared" si="9"/>
        <v>0.86379514133169466</v>
      </c>
      <c r="DR14" s="32">
        <f t="shared" si="10"/>
        <v>0.89429521334417461</v>
      </c>
      <c r="DS14" s="32">
        <f t="shared" si="11"/>
        <v>0.92403750569684207</v>
      </c>
      <c r="DT14" s="32">
        <f t="shared" si="12"/>
        <v>0.95213541878908814</v>
      </c>
      <c r="DU14" s="32">
        <f t="shared" si="13"/>
        <v>0.97205245921546235</v>
      </c>
      <c r="DV14" s="32">
        <f t="shared" si="14"/>
        <v>1</v>
      </c>
      <c r="DW14" s="39"/>
      <c r="DX14" s="32">
        <f t="shared" si="15"/>
        <v>0.2188564904171551</v>
      </c>
      <c r="DY14" s="32">
        <f t="shared" si="16"/>
        <v>0.45283012347021795</v>
      </c>
      <c r="DZ14" s="32">
        <f t="shared" si="17"/>
        <v>0.5353156619335605</v>
      </c>
      <c r="EA14" s="32">
        <f t="shared" si="18"/>
        <v>0.60357069653213324</v>
      </c>
      <c r="EB14" s="32">
        <f t="shared" si="19"/>
        <v>0.71770577766754184</v>
      </c>
      <c r="EC14" s="32">
        <f t="shared" si="20"/>
        <v>0.82301818981153996</v>
      </c>
      <c r="ED14" s="32">
        <f t="shared" si="21"/>
        <v>0.85553163106542784</v>
      </c>
      <c r="EE14" s="32">
        <f t="shared" si="22"/>
        <v>0.89532916780401239</v>
      </c>
      <c r="EF14" s="32">
        <f t="shared" si="23"/>
        <v>0.92383605934546609</v>
      </c>
      <c r="EG14" s="32">
        <f t="shared" si="24"/>
        <v>0.95259950755857814</v>
      </c>
      <c r="EH14" s="32">
        <f t="shared" si="25"/>
        <v>0.9787301770703638</v>
      </c>
      <c r="EI14" s="32">
        <f t="shared" si="26"/>
        <v>1</v>
      </c>
      <c r="EK14" s="32">
        <f t="shared" si="89"/>
        <v>0.21374710167995489</v>
      </c>
      <c r="EL14" s="32">
        <f t="shared" si="27"/>
        <v>0.42342295234412192</v>
      </c>
      <c r="EM14" s="32">
        <f t="shared" si="27"/>
        <v>0.52113075960913335</v>
      </c>
      <c r="EN14" s="32">
        <f t="shared" si="27"/>
        <v>0.6111238296463708</v>
      </c>
      <c r="EO14" s="32">
        <f t="shared" si="27"/>
        <v>0.73092921120971044</v>
      </c>
      <c r="EP14" s="32">
        <f t="shared" si="27"/>
        <v>0.82884226644870307</v>
      </c>
      <c r="EQ14" s="32">
        <f t="shared" si="27"/>
        <v>0.86438976796141087</v>
      </c>
      <c r="ER14" s="32">
        <f t="shared" si="27"/>
        <v>0.89746749140407889</v>
      </c>
      <c r="ES14" s="32">
        <f t="shared" si="27"/>
        <v>0.92400193737067626</v>
      </c>
      <c r="ET14" s="32">
        <f t="shared" si="27"/>
        <v>0.9527753864035392</v>
      </c>
      <c r="EU14" s="32">
        <f t="shared" si="27"/>
        <v>0.97464788376959322</v>
      </c>
      <c r="EV14" s="32">
        <f t="shared" si="27"/>
        <v>1</v>
      </c>
      <c r="EX14" s="32">
        <f t="shared" si="90"/>
        <v>0.21412652846979205</v>
      </c>
      <c r="EY14" s="32">
        <f t="shared" si="91"/>
        <v>0.41414716230781212</v>
      </c>
      <c r="EZ14" s="32">
        <f t="shared" si="92"/>
        <v>0.51463693490304196</v>
      </c>
      <c r="FA14" s="32">
        <f t="shared" si="93"/>
        <v>0.59549103042902118</v>
      </c>
      <c r="FB14" s="32">
        <f t="shared" si="94"/>
        <v>0.69674696955732118</v>
      </c>
      <c r="FC14" s="32">
        <f t="shared" si="95"/>
        <v>0.78628123597721289</v>
      </c>
      <c r="FD14" s="32">
        <f t="shared" si="96"/>
        <v>0.83987284442552634</v>
      </c>
      <c r="FE14" s="32">
        <f t="shared" si="97"/>
        <v>0.88859936808025886</v>
      </c>
      <c r="FF14" s="32">
        <f t="shared" si="98"/>
        <v>0.92218323533946123</v>
      </c>
      <c r="FG14" s="32">
        <f t="shared" si="99"/>
        <v>0.94842241142534578</v>
      </c>
      <c r="FH14" s="32">
        <f t="shared" si="100"/>
        <v>0.97302127726527166</v>
      </c>
      <c r="FI14" s="32">
        <f t="shared" si="101"/>
        <v>1</v>
      </c>
      <c r="FK14" s="32">
        <f t="shared" si="102"/>
        <v>0.21254987448733767</v>
      </c>
      <c r="FL14" s="32">
        <f t="shared" si="29"/>
        <v>0.40125284192034361</v>
      </c>
      <c r="FM14" s="32">
        <f t="shared" si="30"/>
        <v>0.50774402589286904</v>
      </c>
      <c r="FN14" s="32">
        <f t="shared" si="31"/>
        <v>0.59279780839465046</v>
      </c>
      <c r="FO14" s="32">
        <f t="shared" si="32"/>
        <v>0.68976070018724756</v>
      </c>
      <c r="FP14" s="32">
        <f t="shared" si="33"/>
        <v>0.77403558469910383</v>
      </c>
      <c r="FQ14" s="32">
        <f t="shared" si="34"/>
        <v>0.83465324887889247</v>
      </c>
      <c r="FR14" s="32">
        <f t="shared" si="35"/>
        <v>0.88635610150567423</v>
      </c>
      <c r="FS14" s="32">
        <f t="shared" si="36"/>
        <v>0.92163229400412627</v>
      </c>
      <c r="FT14" s="32">
        <f t="shared" si="37"/>
        <v>0.94703004604760155</v>
      </c>
      <c r="FU14" s="32">
        <f t="shared" si="38"/>
        <v>0.97111831066357424</v>
      </c>
      <c r="FV14" s="32">
        <f t="shared" si="39"/>
        <v>1</v>
      </c>
      <c r="FX14" s="32">
        <f t="shared" si="103"/>
        <v>0.20890673731520612</v>
      </c>
      <c r="FY14" s="32">
        <f t="shared" si="40"/>
        <v>0.39588533092580408</v>
      </c>
      <c r="FZ14" s="32">
        <f t="shared" si="41"/>
        <v>0.50093415886379145</v>
      </c>
      <c r="GA14" s="32">
        <f t="shared" si="42"/>
        <v>0.59205569863088237</v>
      </c>
      <c r="GB14" s="32">
        <f t="shared" si="43"/>
        <v>0.67935255130717209</v>
      </c>
      <c r="GC14" s="32">
        <f t="shared" si="44"/>
        <v>0.75782808379959243</v>
      </c>
      <c r="GD14" s="32">
        <f t="shared" si="45"/>
        <v>0.82656634945987495</v>
      </c>
      <c r="GE14" s="32">
        <f t="shared" si="46"/>
        <v>0.88281710643667377</v>
      </c>
      <c r="GF14" s="32">
        <f t="shared" si="47"/>
        <v>0.92023370422050077</v>
      </c>
      <c r="GG14" s="32">
        <f t="shared" si="48"/>
        <v>0.94695785224424434</v>
      </c>
      <c r="GH14" s="32">
        <f t="shared" si="49"/>
        <v>0.97239061107821601</v>
      </c>
      <c r="GI14" s="32">
        <f t="shared" si="50"/>
        <v>1</v>
      </c>
    </row>
    <row r="15" spans="1:191">
      <c r="A15" s="724" t="s">
        <v>89</v>
      </c>
      <c r="B15" s="399">
        <v>1156779.07</v>
      </c>
      <c r="C15" s="400">
        <v>989244.85</v>
      </c>
      <c r="D15" s="400">
        <v>684056.68</v>
      </c>
      <c r="E15" s="400">
        <v>590269.03</v>
      </c>
      <c r="F15" s="400">
        <v>394864.11</v>
      </c>
      <c r="G15" s="400">
        <v>395757.98</v>
      </c>
      <c r="H15" s="400">
        <v>283055.86</v>
      </c>
      <c r="I15" s="400">
        <v>198922.85</v>
      </c>
      <c r="J15" s="400">
        <v>151093.79999999999</v>
      </c>
      <c r="K15" s="400">
        <v>101517.16</v>
      </c>
      <c r="L15" s="400">
        <v>103700.51</v>
      </c>
      <c r="M15" s="400">
        <v>122396.28</v>
      </c>
      <c r="N15" s="400">
        <f t="shared" si="0"/>
        <v>5171658.18</v>
      </c>
      <c r="P15" s="396" t="s">
        <v>89</v>
      </c>
      <c r="Q15" s="399">
        <v>1037076.97</v>
      </c>
      <c r="R15" s="400">
        <v>818363.24</v>
      </c>
      <c r="S15" s="400">
        <v>453132.79</v>
      </c>
      <c r="T15" s="400">
        <v>200200.95999999999</v>
      </c>
      <c r="U15" s="400">
        <v>188325.98</v>
      </c>
      <c r="V15" s="400">
        <v>293271.17</v>
      </c>
      <c r="W15" s="400">
        <v>499007.36</v>
      </c>
      <c r="X15" s="400">
        <v>504303.62</v>
      </c>
      <c r="Y15" s="400">
        <v>204890.4</v>
      </c>
      <c r="Z15" s="400">
        <v>91205.86</v>
      </c>
      <c r="AA15" s="400">
        <v>148812.20000000001</v>
      </c>
      <c r="AB15" s="400">
        <v>141575.92000000001</v>
      </c>
      <c r="AC15" s="400">
        <f t="shared" si="51"/>
        <v>4580166.4700000007</v>
      </c>
      <c r="AE15" s="127" t="s">
        <v>89</v>
      </c>
      <c r="AF15" s="27">
        <v>954378.22</v>
      </c>
      <c r="AG15" s="27">
        <v>844382.19</v>
      </c>
      <c r="AH15" s="27">
        <v>330171.69</v>
      </c>
      <c r="AI15" s="27">
        <v>379867.54</v>
      </c>
      <c r="AJ15" s="27">
        <v>532520.91</v>
      </c>
      <c r="AK15" s="27">
        <v>422430.77</v>
      </c>
      <c r="AL15" s="27">
        <v>162062.07999999999</v>
      </c>
      <c r="AM15" s="27">
        <v>110329.01</v>
      </c>
      <c r="AN15" s="27">
        <v>116651.96</v>
      </c>
      <c r="AO15" s="27">
        <v>124063.81</v>
      </c>
      <c r="AP15" s="27">
        <v>115847.85</v>
      </c>
      <c r="AQ15" s="27">
        <v>138240.76</v>
      </c>
      <c r="AR15" s="43">
        <f t="shared" si="1"/>
        <v>4230946.79</v>
      </c>
      <c r="AT15" s="60" t="s">
        <v>89</v>
      </c>
      <c r="AU15" s="27">
        <v>815124.91</v>
      </c>
      <c r="AV15" s="27">
        <v>769429.77</v>
      </c>
      <c r="AW15" s="27">
        <v>537283.21</v>
      </c>
      <c r="AX15" s="27">
        <v>324833.07</v>
      </c>
      <c r="AY15" s="27">
        <v>378592.45</v>
      </c>
      <c r="AZ15" s="27">
        <v>350469.62</v>
      </c>
      <c r="BA15" s="27">
        <v>107236.02</v>
      </c>
      <c r="BB15" s="27">
        <v>110792.37</v>
      </c>
      <c r="BC15" s="27">
        <v>83284.19</v>
      </c>
      <c r="BD15" s="27">
        <v>88467.79</v>
      </c>
      <c r="BE15" s="27">
        <v>70077.22</v>
      </c>
      <c r="BF15" s="27">
        <v>64868.160000000003</v>
      </c>
      <c r="BG15" s="43">
        <f t="shared" si="2"/>
        <v>3700458.7800000007</v>
      </c>
      <c r="BI15" s="60" t="s">
        <v>89</v>
      </c>
      <c r="BJ15" s="27">
        <v>1566407</v>
      </c>
      <c r="BK15" s="27">
        <v>335006</v>
      </c>
      <c r="BL15" s="27">
        <v>377882.64999999997</v>
      </c>
      <c r="BM15" s="27">
        <v>124804.32</v>
      </c>
      <c r="BN15" s="27">
        <v>516642.49</v>
      </c>
      <c r="BO15" s="27">
        <v>156064.23000000001</v>
      </c>
      <c r="BP15" s="27">
        <v>71107.25</v>
      </c>
      <c r="BQ15" s="27">
        <v>89041.83</v>
      </c>
      <c r="BR15" s="27">
        <v>74310.75</v>
      </c>
      <c r="BS15" s="27">
        <v>76522.34</v>
      </c>
      <c r="BT15" s="27">
        <v>89227.180000000008</v>
      </c>
      <c r="BU15" s="27">
        <v>65480.630000000005</v>
      </c>
      <c r="BV15" s="43">
        <f t="shared" si="52"/>
        <v>3542496.67</v>
      </c>
      <c r="BW15" s="405"/>
      <c r="BX15" s="32">
        <f t="shared" si="53"/>
        <v>0.22367662937847144</v>
      </c>
      <c r="BY15" s="32">
        <f t="shared" si="54"/>
        <v>0.41495857717340479</v>
      </c>
      <c r="BZ15" s="32">
        <f t="shared" si="55"/>
        <v>0.54722885803717214</v>
      </c>
      <c r="CA15" s="32">
        <f t="shared" si="56"/>
        <v>0.6613642106563199</v>
      </c>
      <c r="CB15" s="32">
        <f t="shared" si="57"/>
        <v>0.73771575908754283</v>
      </c>
      <c r="CC15" s="32">
        <f t="shared" si="58"/>
        <v>0.81424014763481523</v>
      </c>
      <c r="CD15" s="32">
        <f t="shared" si="59"/>
        <v>0.86897227612208516</v>
      </c>
      <c r="CE15" s="32">
        <f t="shared" si="60"/>
        <v>0.90743631281524484</v>
      </c>
      <c r="CF15" s="32">
        <f t="shared" si="61"/>
        <v>0.93665204880187958</v>
      </c>
      <c r="CG15" s="32">
        <f t="shared" si="62"/>
        <v>0.95628156731735114</v>
      </c>
      <c r="CH15" s="32">
        <f t="shared" si="63"/>
        <v>0.9763332618398225</v>
      </c>
      <c r="CI15" s="32">
        <f t="shared" si="64"/>
        <v>1</v>
      </c>
      <c r="CJ15" s="405"/>
      <c r="CK15" s="32">
        <f t="shared" si="65"/>
        <v>0.22642778964320043</v>
      </c>
      <c r="CL15" s="32">
        <f t="shared" si="66"/>
        <v>0.4051032254292713</v>
      </c>
      <c r="CM15" s="32">
        <f t="shared" si="67"/>
        <v>0.5040369198633079</v>
      </c>
      <c r="CN15" s="32">
        <f t="shared" si="68"/>
        <v>0.5477473311139277</v>
      </c>
      <c r="CO15" s="32">
        <f t="shared" si="69"/>
        <v>0.58886504620868063</v>
      </c>
      <c r="CP15" s="32">
        <f t="shared" si="70"/>
        <v>0.65289572542545582</v>
      </c>
      <c r="CQ15" s="32">
        <f t="shared" si="71"/>
        <v>0.76184533746870542</v>
      </c>
      <c r="CR15" s="32">
        <f t="shared" si="72"/>
        <v>0.87195129612832589</v>
      </c>
      <c r="CS15" s="32">
        <f t="shared" si="73"/>
        <v>0.916685565361121</v>
      </c>
      <c r="CT15" s="32">
        <f t="shared" si="74"/>
        <v>0.93659878480355763</v>
      </c>
      <c r="CU15" s="32">
        <f t="shared" si="75"/>
        <v>0.96908935058860424</v>
      </c>
      <c r="CV15" s="32">
        <f t="shared" si="76"/>
        <v>1</v>
      </c>
      <c r="CX15" s="32">
        <f t="shared" si="77"/>
        <v>0.22557083966541683</v>
      </c>
      <c r="CY15" s="32">
        <f t="shared" si="78"/>
        <v>0.42514370879147828</v>
      </c>
      <c r="CZ15" s="32">
        <f t="shared" si="79"/>
        <v>0.50318101495197487</v>
      </c>
      <c r="DA15" s="32">
        <f t="shared" si="80"/>
        <v>0.59296411997655973</v>
      </c>
      <c r="DB15" s="32">
        <f t="shared" si="81"/>
        <v>0.71882741640435521</v>
      </c>
      <c r="DC15" s="32">
        <f t="shared" si="82"/>
        <v>0.81867049904449407</v>
      </c>
      <c r="DD15" s="32">
        <f t="shared" si="83"/>
        <v>0.85697447402783344</v>
      </c>
      <c r="DE15" s="32">
        <f t="shared" si="84"/>
        <v>0.88305114562785603</v>
      </c>
      <c r="DF15" s="32">
        <f t="shared" si="85"/>
        <v>0.91062226996241669</v>
      </c>
      <c r="DG15" s="32">
        <f t="shared" si="86"/>
        <v>0.93994521259389319</v>
      </c>
      <c r="DH15" s="32">
        <f t="shared" si="87"/>
        <v>0.96732628254112363</v>
      </c>
      <c r="DI15" s="32">
        <f t="shared" si="88"/>
        <v>1</v>
      </c>
      <c r="DK15" s="32">
        <f t="shared" si="3"/>
        <v>0.22027671660755532</v>
      </c>
      <c r="DL15" s="32">
        <f t="shared" si="4"/>
        <v>0.42820492652535369</v>
      </c>
      <c r="DM15" s="32">
        <f t="shared" si="5"/>
        <v>0.5733986016728444</v>
      </c>
      <c r="DN15" s="32">
        <f t="shared" si="6"/>
        <v>0.66118043882115596</v>
      </c>
      <c r="DO15" s="32">
        <f t="shared" si="7"/>
        <v>0.76349003676781924</v>
      </c>
      <c r="DP15" s="32">
        <f t="shared" si="8"/>
        <v>0.85819981218653096</v>
      </c>
      <c r="DQ15" s="32">
        <f t="shared" si="9"/>
        <v>0.88717892704104107</v>
      </c>
      <c r="DR15" s="32">
        <f t="shared" si="10"/>
        <v>0.91711909840541439</v>
      </c>
      <c r="DS15" s="32">
        <f t="shared" si="11"/>
        <v>0.93962554826782851</v>
      </c>
      <c r="DT15" s="32">
        <f t="shared" si="12"/>
        <v>0.96353279741167652</v>
      </c>
      <c r="DU15" s="32">
        <f t="shared" si="13"/>
        <v>0.98247023846054027</v>
      </c>
      <c r="DV15" s="32">
        <f t="shared" si="14"/>
        <v>1</v>
      </c>
      <c r="DW15" s="39"/>
      <c r="DX15" s="32">
        <f t="shared" si="15"/>
        <v>0.44217599786762823</v>
      </c>
      <c r="DY15" s="32">
        <f t="shared" si="16"/>
        <v>0.53674376495603027</v>
      </c>
      <c r="DZ15" s="32">
        <f t="shared" si="17"/>
        <v>0.64341504377476233</v>
      </c>
      <c r="EA15" s="32">
        <f t="shared" si="18"/>
        <v>0.6786456541679684</v>
      </c>
      <c r="EB15" s="32">
        <f t="shared" si="19"/>
        <v>0.82448700227006844</v>
      </c>
      <c r="EC15" s="32">
        <f t="shared" si="20"/>
        <v>0.86854187219320655</v>
      </c>
      <c r="ED15" s="32">
        <f t="shared" si="21"/>
        <v>0.88861450926924934</v>
      </c>
      <c r="EE15" s="32">
        <f t="shared" si="22"/>
        <v>0.91374984129484027</v>
      </c>
      <c r="EF15" s="32">
        <f t="shared" si="23"/>
        <v>0.93472678409038568</v>
      </c>
      <c r="EG15" s="32">
        <f t="shared" si="24"/>
        <v>0.95632802951936158</v>
      </c>
      <c r="EH15" s="32">
        <f t="shared" si="25"/>
        <v>0.98151568340076945</v>
      </c>
      <c r="EI15" s="32">
        <f t="shared" si="26"/>
        <v>1</v>
      </c>
      <c r="EK15" s="32">
        <f t="shared" si="89"/>
        <v>0.29600785138020008</v>
      </c>
      <c r="EL15" s="32">
        <f t="shared" si="27"/>
        <v>0.46336413342428745</v>
      </c>
      <c r="EM15" s="32">
        <f t="shared" si="27"/>
        <v>0.5733315534665272</v>
      </c>
      <c r="EN15" s="32">
        <f t="shared" si="27"/>
        <v>0.64426340432189477</v>
      </c>
      <c r="EO15" s="32">
        <f t="shared" si="27"/>
        <v>0.76893481848074774</v>
      </c>
      <c r="EP15" s="32">
        <f t="shared" si="27"/>
        <v>0.8484707278080772</v>
      </c>
      <c r="EQ15" s="32">
        <f t="shared" si="27"/>
        <v>0.87758930344604125</v>
      </c>
      <c r="ER15" s="32">
        <f t="shared" si="27"/>
        <v>0.90464002844270353</v>
      </c>
      <c r="ES15" s="32">
        <f t="shared" si="27"/>
        <v>0.92832486744021026</v>
      </c>
      <c r="ET15" s="32">
        <f t="shared" si="27"/>
        <v>0.95326867984164376</v>
      </c>
      <c r="EU15" s="32">
        <f t="shared" si="27"/>
        <v>0.97710406813414441</v>
      </c>
      <c r="EV15" s="32">
        <f t="shared" si="27"/>
        <v>1</v>
      </c>
      <c r="EX15" s="32">
        <f t="shared" si="90"/>
        <v>0.27861283594595021</v>
      </c>
      <c r="EY15" s="32">
        <f t="shared" si="91"/>
        <v>0.44879890642553338</v>
      </c>
      <c r="EZ15" s="32">
        <f t="shared" si="92"/>
        <v>0.55600789506572235</v>
      </c>
      <c r="FA15" s="32">
        <f t="shared" si="93"/>
        <v>0.62013438601990289</v>
      </c>
      <c r="FB15" s="32">
        <f t="shared" si="94"/>
        <v>0.72391737541273082</v>
      </c>
      <c r="FC15" s="32">
        <f t="shared" si="95"/>
        <v>0.79957697721242182</v>
      </c>
      <c r="FD15" s="32">
        <f t="shared" si="96"/>
        <v>0.84865331195170735</v>
      </c>
      <c r="FE15" s="32">
        <f t="shared" si="97"/>
        <v>0.89646784536410917</v>
      </c>
      <c r="FF15" s="32">
        <f t="shared" si="98"/>
        <v>0.92541504192043789</v>
      </c>
      <c r="FG15" s="32">
        <f t="shared" si="99"/>
        <v>0.94910120608212234</v>
      </c>
      <c r="FH15" s="32">
        <f t="shared" si="100"/>
        <v>0.97510038874775939</v>
      </c>
      <c r="FI15" s="32">
        <f t="shared" si="101"/>
        <v>1</v>
      </c>
      <c r="FK15" s="32">
        <f t="shared" si="102"/>
        <v>0.22409178197205751</v>
      </c>
      <c r="FL15" s="32">
        <f t="shared" si="29"/>
        <v>0.41948395358203444</v>
      </c>
      <c r="FM15" s="32">
        <f t="shared" si="30"/>
        <v>0.52687217882937576</v>
      </c>
      <c r="FN15" s="32">
        <f t="shared" si="31"/>
        <v>0.60063062997054784</v>
      </c>
      <c r="FO15" s="32">
        <f t="shared" si="32"/>
        <v>0.69039416646028506</v>
      </c>
      <c r="FP15" s="32">
        <f t="shared" si="33"/>
        <v>0.77658867888549354</v>
      </c>
      <c r="FQ15" s="32">
        <f t="shared" si="34"/>
        <v>0.83533291284585998</v>
      </c>
      <c r="FR15" s="32">
        <f t="shared" si="35"/>
        <v>0.89070718005386551</v>
      </c>
      <c r="FS15" s="32">
        <f t="shared" si="36"/>
        <v>0.92231112786378888</v>
      </c>
      <c r="FT15" s="32">
        <f t="shared" si="37"/>
        <v>0.9466922649363757</v>
      </c>
      <c r="FU15" s="32">
        <f t="shared" si="38"/>
        <v>0.97296195719675593</v>
      </c>
      <c r="FV15" s="32">
        <f t="shared" si="39"/>
        <v>1</v>
      </c>
      <c r="FX15" s="32">
        <f t="shared" si="103"/>
        <v>0.22522508622902956</v>
      </c>
      <c r="FY15" s="32">
        <f t="shared" si="40"/>
        <v>0.41506850379805149</v>
      </c>
      <c r="FZ15" s="32">
        <f t="shared" si="41"/>
        <v>0.51814893095081827</v>
      </c>
      <c r="GA15" s="32">
        <f t="shared" si="42"/>
        <v>0.60069188724893585</v>
      </c>
      <c r="GB15" s="32">
        <f t="shared" si="43"/>
        <v>0.68180274056685952</v>
      </c>
      <c r="GC15" s="32">
        <f t="shared" si="44"/>
        <v>0.76193545736825508</v>
      </c>
      <c r="GD15" s="32">
        <f t="shared" si="45"/>
        <v>0.82926402920620801</v>
      </c>
      <c r="GE15" s="32">
        <f t="shared" si="46"/>
        <v>0.88747958485714229</v>
      </c>
      <c r="GF15" s="32">
        <f t="shared" si="47"/>
        <v>0.92131996137513905</v>
      </c>
      <c r="GG15" s="32">
        <f t="shared" si="48"/>
        <v>0.94427518823826728</v>
      </c>
      <c r="GH15" s="32">
        <f t="shared" si="49"/>
        <v>0.97091629832318349</v>
      </c>
      <c r="GI15" s="32">
        <f t="shared" si="50"/>
        <v>1</v>
      </c>
    </row>
    <row r="16" spans="1:191">
      <c r="A16" s="724" t="s">
        <v>90</v>
      </c>
      <c r="B16" s="399">
        <v>106109.33</v>
      </c>
      <c r="C16" s="400">
        <v>130609.49</v>
      </c>
      <c r="D16" s="400">
        <v>94093.98</v>
      </c>
      <c r="E16" s="400">
        <v>85453.09</v>
      </c>
      <c r="F16" s="400">
        <v>63304.959999999999</v>
      </c>
      <c r="G16" s="400">
        <v>69441.09</v>
      </c>
      <c r="H16" s="400">
        <v>48777.87</v>
      </c>
      <c r="I16" s="400">
        <v>37048.11</v>
      </c>
      <c r="J16" s="400">
        <v>29077.52</v>
      </c>
      <c r="K16" s="400">
        <v>22434.28</v>
      </c>
      <c r="L16" s="400">
        <v>25485.98</v>
      </c>
      <c r="M16" s="400">
        <v>26185.25</v>
      </c>
      <c r="N16" s="400">
        <f t="shared" si="0"/>
        <v>738020.95000000007</v>
      </c>
      <c r="P16" s="396" t="s">
        <v>90</v>
      </c>
      <c r="Q16" s="399">
        <v>105869.54</v>
      </c>
      <c r="R16" s="400">
        <v>113553.85</v>
      </c>
      <c r="S16" s="400">
        <v>77039.19</v>
      </c>
      <c r="T16" s="400">
        <v>32442.02</v>
      </c>
      <c r="U16" s="400">
        <v>26799.75</v>
      </c>
      <c r="V16" s="400">
        <v>52362.42</v>
      </c>
      <c r="W16" s="400">
        <v>78806.429999999993</v>
      </c>
      <c r="X16" s="400">
        <v>78626.03</v>
      </c>
      <c r="Y16" s="400">
        <v>34275.08</v>
      </c>
      <c r="Z16" s="400">
        <v>16331.34</v>
      </c>
      <c r="AA16" s="400">
        <v>27759.49</v>
      </c>
      <c r="AB16" s="400">
        <v>22360.29</v>
      </c>
      <c r="AC16" s="400">
        <f t="shared" si="51"/>
        <v>666225.42999999993</v>
      </c>
      <c r="AE16" s="127" t="s">
        <v>90</v>
      </c>
      <c r="AF16" s="27">
        <v>102222.44</v>
      </c>
      <c r="AG16" s="27">
        <v>126937.35</v>
      </c>
      <c r="AH16" s="27">
        <v>58014.86</v>
      </c>
      <c r="AI16" s="27">
        <v>63412.65</v>
      </c>
      <c r="AJ16" s="27">
        <v>82948.44</v>
      </c>
      <c r="AK16" s="27">
        <v>65336.62</v>
      </c>
      <c r="AL16" s="27">
        <v>21667.32</v>
      </c>
      <c r="AM16" s="27">
        <v>15015.45</v>
      </c>
      <c r="AN16" s="27">
        <v>17392.39</v>
      </c>
      <c r="AO16" s="27">
        <v>17357.669999999998</v>
      </c>
      <c r="AP16" s="27">
        <v>14654.79</v>
      </c>
      <c r="AQ16" s="27">
        <v>21760.720000000001</v>
      </c>
      <c r="AR16" s="43">
        <f t="shared" si="1"/>
        <v>606720.70000000007</v>
      </c>
      <c r="AT16" s="60" t="s">
        <v>90</v>
      </c>
      <c r="AU16" s="27">
        <v>88356.57</v>
      </c>
      <c r="AV16" s="27">
        <v>102794.66</v>
      </c>
      <c r="AW16" s="27">
        <v>83255.86</v>
      </c>
      <c r="AX16" s="27">
        <v>70180.45</v>
      </c>
      <c r="AY16" s="27">
        <v>65994.720000000001</v>
      </c>
      <c r="AZ16" s="27">
        <v>63958.36</v>
      </c>
      <c r="BA16" s="27">
        <v>21169.96</v>
      </c>
      <c r="BB16" s="27">
        <v>23959.360000000001</v>
      </c>
      <c r="BC16" s="27">
        <v>16440.099999999999</v>
      </c>
      <c r="BD16" s="27">
        <v>17682.060000000001</v>
      </c>
      <c r="BE16" s="27">
        <v>13010.45</v>
      </c>
      <c r="BF16" s="27">
        <v>10631.05</v>
      </c>
      <c r="BG16" s="43">
        <f t="shared" si="2"/>
        <v>577433.60000000009</v>
      </c>
      <c r="BI16" s="60" t="s">
        <v>90</v>
      </c>
      <c r="BJ16" s="27">
        <v>107902.51</v>
      </c>
      <c r="BK16" s="27">
        <v>140935.73000000001</v>
      </c>
      <c r="BL16" s="27">
        <v>74659.14</v>
      </c>
      <c r="BM16" s="27">
        <v>29775.599999999999</v>
      </c>
      <c r="BN16" s="27">
        <v>90909.43</v>
      </c>
      <c r="BO16" s="27">
        <v>31173.13</v>
      </c>
      <c r="BP16" s="27">
        <v>17150.86</v>
      </c>
      <c r="BQ16" s="27">
        <v>14777.75</v>
      </c>
      <c r="BR16" s="27">
        <v>17745.46</v>
      </c>
      <c r="BS16" s="27">
        <v>16412.36</v>
      </c>
      <c r="BT16" s="27">
        <v>21783.33</v>
      </c>
      <c r="BU16" s="27">
        <v>14130.11</v>
      </c>
      <c r="BV16" s="43">
        <f t="shared" si="52"/>
        <v>577355.40999999992</v>
      </c>
      <c r="BW16" s="405"/>
      <c r="BX16" s="32">
        <f t="shared" si="53"/>
        <v>0.14377549851396493</v>
      </c>
      <c r="BY16" s="32">
        <f t="shared" si="54"/>
        <v>0.32074810342443527</v>
      </c>
      <c r="BZ16" s="32">
        <f t="shared" si="55"/>
        <v>0.44824310204202195</v>
      </c>
      <c r="CA16" s="32">
        <f t="shared" si="56"/>
        <v>0.56402990999103753</v>
      </c>
      <c r="CB16" s="32">
        <f t="shared" si="57"/>
        <v>0.64980655359444739</v>
      </c>
      <c r="CC16" s="32">
        <f t="shared" si="58"/>
        <v>0.74389750047068448</v>
      </c>
      <c r="CD16" s="32">
        <f t="shared" si="59"/>
        <v>0.80999029905587372</v>
      </c>
      <c r="CE16" s="32">
        <f t="shared" si="60"/>
        <v>0.86018956507941946</v>
      </c>
      <c r="CF16" s="32">
        <f t="shared" si="61"/>
        <v>0.8995888802343619</v>
      </c>
      <c r="CG16" s="32">
        <f t="shared" si="62"/>
        <v>0.92998677070075042</v>
      </c>
      <c r="CH16" s="32">
        <f t="shared" si="63"/>
        <v>0.96451963863627443</v>
      </c>
      <c r="CI16" s="32">
        <f t="shared" si="64"/>
        <v>1</v>
      </c>
      <c r="CJ16" s="405"/>
      <c r="CK16" s="32">
        <f t="shared" si="65"/>
        <v>0.15890948503721933</v>
      </c>
      <c r="CL16" s="32">
        <f t="shared" si="66"/>
        <v>0.32935306897546679</v>
      </c>
      <c r="CM16" s="32">
        <f t="shared" si="67"/>
        <v>0.44498838778940042</v>
      </c>
      <c r="CN16" s="32">
        <f t="shared" si="68"/>
        <v>0.4936836469901788</v>
      </c>
      <c r="CO16" s="32">
        <f t="shared" si="69"/>
        <v>0.5339098959341736</v>
      </c>
      <c r="CP16" s="32">
        <f t="shared" si="70"/>
        <v>0.61250554485739173</v>
      </c>
      <c r="CQ16" s="32">
        <f t="shared" si="71"/>
        <v>0.73079347931825422</v>
      </c>
      <c r="CR16" s="32">
        <f t="shared" si="72"/>
        <v>0.84881063456253847</v>
      </c>
      <c r="CS16" s="32">
        <f t="shared" si="73"/>
        <v>0.90025730479846744</v>
      </c>
      <c r="CT16" s="32">
        <f t="shared" si="74"/>
        <v>0.92477053900509321</v>
      </c>
      <c r="CU16" s="32">
        <f t="shared" si="75"/>
        <v>0.9664373513932063</v>
      </c>
      <c r="CV16" s="32">
        <f t="shared" si="76"/>
        <v>1</v>
      </c>
      <c r="CX16" s="32">
        <f t="shared" si="77"/>
        <v>0.16848352133032546</v>
      </c>
      <c r="CY16" s="32">
        <f t="shared" si="78"/>
        <v>0.377702277176302</v>
      </c>
      <c r="CZ16" s="32">
        <f t="shared" si="79"/>
        <v>0.47332265076830243</v>
      </c>
      <c r="DA16" s="32">
        <f t="shared" si="80"/>
        <v>0.57783968801460051</v>
      </c>
      <c r="DB16" s="32">
        <f t="shared" si="81"/>
        <v>0.71455570907668053</v>
      </c>
      <c r="DC16" s="32">
        <f t="shared" si="82"/>
        <v>0.82224384300716946</v>
      </c>
      <c r="DD16" s="32">
        <f t="shared" si="83"/>
        <v>0.85795602490569378</v>
      </c>
      <c r="DE16" s="32">
        <f t="shared" si="84"/>
        <v>0.88270456241232576</v>
      </c>
      <c r="DF16" s="32">
        <f t="shared" si="85"/>
        <v>0.91137078395380278</v>
      </c>
      <c r="DG16" s="32">
        <f t="shared" si="86"/>
        <v>0.93997977982290692</v>
      </c>
      <c r="DH16" s="32">
        <f t="shared" si="87"/>
        <v>0.96413387576853737</v>
      </c>
      <c r="DI16" s="32">
        <f t="shared" si="88"/>
        <v>1</v>
      </c>
      <c r="DK16" s="32">
        <f t="shared" si="3"/>
        <v>0.15301598313641601</v>
      </c>
      <c r="DL16" s="32">
        <f t="shared" si="4"/>
        <v>0.33103586282474728</v>
      </c>
      <c r="DM16" s="32">
        <f t="shared" si="5"/>
        <v>0.47521843204136366</v>
      </c>
      <c r="DN16" s="32">
        <f t="shared" si="6"/>
        <v>0.59675699508999824</v>
      </c>
      <c r="DO16" s="32">
        <f t="shared" si="7"/>
        <v>0.71104670736167752</v>
      </c>
      <c r="DP16" s="32">
        <f t="shared" si="8"/>
        <v>0.82180984965197712</v>
      </c>
      <c r="DQ16" s="32">
        <f t="shared" si="9"/>
        <v>0.85847200440015947</v>
      </c>
      <c r="DR16" s="32">
        <f t="shared" si="10"/>
        <v>0.89996484444272018</v>
      </c>
      <c r="DS16" s="32">
        <f t="shared" si="11"/>
        <v>0.9284358236167759</v>
      </c>
      <c r="DT16" s="32">
        <f t="shared" si="12"/>
        <v>0.95905763017600643</v>
      </c>
      <c r="DU16" s="32">
        <f t="shared" si="13"/>
        <v>0.9815891385606933</v>
      </c>
      <c r="DV16" s="32">
        <f t="shared" si="14"/>
        <v>1</v>
      </c>
      <c r="DW16" s="39"/>
      <c r="DX16" s="32">
        <f t="shared" si="15"/>
        <v>0.18689096547999787</v>
      </c>
      <c r="DY16" s="32">
        <f t="shared" si="16"/>
        <v>0.43099663688957213</v>
      </c>
      <c r="DZ16" s="32">
        <f t="shared" si="17"/>
        <v>0.56030890920377807</v>
      </c>
      <c r="EA16" s="32">
        <f t="shared" si="18"/>
        <v>0.61188130202157465</v>
      </c>
      <c r="EB16" s="32">
        <f t="shared" si="19"/>
        <v>0.76933965163676221</v>
      </c>
      <c r="EC16" s="32">
        <f t="shared" si="20"/>
        <v>0.82333261586654227</v>
      </c>
      <c r="ED16" s="32">
        <f t="shared" si="21"/>
        <v>0.85303851227444116</v>
      </c>
      <c r="EE16" s="32">
        <f t="shared" si="22"/>
        <v>0.87863409818919003</v>
      </c>
      <c r="EF16" s="32">
        <f t="shared" si="23"/>
        <v>0.90936986283717347</v>
      </c>
      <c r="EG16" s="32">
        <f t="shared" si="24"/>
        <v>0.93779665111304678</v>
      </c>
      <c r="EH16" s="32">
        <f t="shared" si="25"/>
        <v>0.97552614948217076</v>
      </c>
      <c r="EI16" s="32">
        <f t="shared" si="26"/>
        <v>1</v>
      </c>
      <c r="EK16" s="32">
        <f t="shared" si="89"/>
        <v>0.16946348998224645</v>
      </c>
      <c r="EL16" s="32">
        <f t="shared" si="27"/>
        <v>0.37991159229687382</v>
      </c>
      <c r="EM16" s="32">
        <f t="shared" si="27"/>
        <v>0.50294999733781476</v>
      </c>
      <c r="EN16" s="32">
        <f t="shared" si="27"/>
        <v>0.5954926617087245</v>
      </c>
      <c r="EO16" s="32">
        <f t="shared" si="27"/>
        <v>0.73164735602504016</v>
      </c>
      <c r="EP16" s="32">
        <f t="shared" si="27"/>
        <v>0.82246210284189625</v>
      </c>
      <c r="EQ16" s="32">
        <f t="shared" si="27"/>
        <v>0.85648884719343155</v>
      </c>
      <c r="ER16" s="32">
        <f t="shared" si="27"/>
        <v>0.88710116834807862</v>
      </c>
      <c r="ES16" s="32">
        <f t="shared" si="27"/>
        <v>0.91639215680258401</v>
      </c>
      <c r="ET16" s="32">
        <f t="shared" si="27"/>
        <v>0.94561135370398663</v>
      </c>
      <c r="EU16" s="32">
        <f t="shared" si="27"/>
        <v>0.97374972127046711</v>
      </c>
      <c r="EV16" s="32">
        <f t="shared" si="27"/>
        <v>1</v>
      </c>
      <c r="EX16" s="32">
        <f t="shared" si="90"/>
        <v>0.16682498874598969</v>
      </c>
      <c r="EY16" s="32">
        <f t="shared" si="91"/>
        <v>0.36727196146652208</v>
      </c>
      <c r="EZ16" s="32">
        <f t="shared" si="92"/>
        <v>0.48845959495071112</v>
      </c>
      <c r="FA16" s="32">
        <f t="shared" si="93"/>
        <v>0.57004040802908795</v>
      </c>
      <c r="FB16" s="32">
        <f t="shared" si="94"/>
        <v>0.68221299100232335</v>
      </c>
      <c r="FC16" s="32">
        <f t="shared" si="95"/>
        <v>0.76997296334577014</v>
      </c>
      <c r="FD16" s="32">
        <f t="shared" si="96"/>
        <v>0.8250650052246371</v>
      </c>
      <c r="FE16" s="32">
        <f t="shared" si="97"/>
        <v>0.87752853490169358</v>
      </c>
      <c r="FF16" s="32">
        <f t="shared" si="98"/>
        <v>0.91235844380155484</v>
      </c>
      <c r="FG16" s="32">
        <f t="shared" si="99"/>
        <v>0.94040115002926328</v>
      </c>
      <c r="FH16" s="32">
        <f t="shared" si="100"/>
        <v>0.97192162880115185</v>
      </c>
      <c r="FI16" s="32">
        <f t="shared" si="101"/>
        <v>1</v>
      </c>
      <c r="FK16" s="32">
        <f t="shared" si="102"/>
        <v>0.16013632983465362</v>
      </c>
      <c r="FL16" s="32">
        <f t="shared" si="29"/>
        <v>0.34603040299217208</v>
      </c>
      <c r="FM16" s="32">
        <f t="shared" si="30"/>
        <v>0.46450982353302211</v>
      </c>
      <c r="FN16" s="32">
        <f t="shared" si="31"/>
        <v>0.55609344336492594</v>
      </c>
      <c r="FO16" s="32">
        <f t="shared" si="32"/>
        <v>0.65317077079084385</v>
      </c>
      <c r="FP16" s="32">
        <f t="shared" si="33"/>
        <v>0.75218641250551277</v>
      </c>
      <c r="FQ16" s="32">
        <f t="shared" si="34"/>
        <v>0.81574050287470257</v>
      </c>
      <c r="FR16" s="32">
        <f t="shared" si="35"/>
        <v>0.87716001380586139</v>
      </c>
      <c r="FS16" s="32">
        <f t="shared" si="36"/>
        <v>0.91335463745634871</v>
      </c>
      <c r="FT16" s="32">
        <f t="shared" si="37"/>
        <v>0.94126931633466882</v>
      </c>
      <c r="FU16" s="32">
        <f t="shared" si="38"/>
        <v>0.97072012190747914</v>
      </c>
      <c r="FV16" s="32">
        <f t="shared" si="39"/>
        <v>1</v>
      </c>
      <c r="FX16" s="32">
        <f t="shared" si="103"/>
        <v>0.15705616829383656</v>
      </c>
      <c r="FY16" s="32">
        <f t="shared" si="40"/>
        <v>0.34260114985873469</v>
      </c>
      <c r="FZ16" s="32">
        <f t="shared" si="41"/>
        <v>0.45551804686657493</v>
      </c>
      <c r="GA16" s="32">
        <f t="shared" si="42"/>
        <v>0.54518441499860559</v>
      </c>
      <c r="GB16" s="32">
        <f t="shared" si="43"/>
        <v>0.63275738620176725</v>
      </c>
      <c r="GC16" s="32">
        <f t="shared" si="44"/>
        <v>0.726215629445082</v>
      </c>
      <c r="GD16" s="32">
        <f t="shared" si="45"/>
        <v>0.79957993442660724</v>
      </c>
      <c r="GE16" s="32">
        <f t="shared" si="46"/>
        <v>0.86390158735142786</v>
      </c>
      <c r="GF16" s="32">
        <f t="shared" si="47"/>
        <v>0.90373898966221067</v>
      </c>
      <c r="GG16" s="32">
        <f t="shared" si="48"/>
        <v>0.93157902984291685</v>
      </c>
      <c r="GH16" s="32">
        <f t="shared" si="49"/>
        <v>0.96503028859933926</v>
      </c>
      <c r="GI16" s="32">
        <f t="shared" si="50"/>
        <v>1</v>
      </c>
    </row>
    <row r="17" spans="1:191">
      <c r="A17" s="724" t="s">
        <v>91</v>
      </c>
      <c r="B17" s="399">
        <v>116300.54</v>
      </c>
      <c r="C17" s="400">
        <v>142323.31</v>
      </c>
      <c r="D17" s="400">
        <v>116080.41</v>
      </c>
      <c r="E17" s="400">
        <v>88520.36</v>
      </c>
      <c r="F17" s="400">
        <v>75637.84</v>
      </c>
      <c r="G17" s="400">
        <v>71847.28</v>
      </c>
      <c r="H17" s="400">
        <v>50636.01</v>
      </c>
      <c r="I17" s="400">
        <v>38032.85</v>
      </c>
      <c r="J17" s="400">
        <v>38259.08</v>
      </c>
      <c r="K17" s="400">
        <v>29493</v>
      </c>
      <c r="L17" s="400">
        <v>22729.439999999999</v>
      </c>
      <c r="M17" s="400">
        <v>25165</v>
      </c>
      <c r="N17" s="400">
        <f t="shared" si="0"/>
        <v>815025.11999999988</v>
      </c>
      <c r="P17" s="396" t="s">
        <v>91</v>
      </c>
      <c r="Q17" s="399">
        <v>117095.32</v>
      </c>
      <c r="R17" s="400">
        <v>125760.37</v>
      </c>
      <c r="S17" s="400">
        <v>72002.92</v>
      </c>
      <c r="T17" s="400">
        <v>32530.23</v>
      </c>
      <c r="U17" s="400">
        <v>22945.56</v>
      </c>
      <c r="V17" s="400">
        <v>43390.5</v>
      </c>
      <c r="W17" s="400">
        <v>80124.02</v>
      </c>
      <c r="X17" s="400">
        <v>103596.32</v>
      </c>
      <c r="Y17" s="400">
        <v>39237.980000000003</v>
      </c>
      <c r="Z17" s="400">
        <v>12457.83</v>
      </c>
      <c r="AA17" s="400">
        <v>21722.670000000002</v>
      </c>
      <c r="AB17" s="400">
        <v>27055.99</v>
      </c>
      <c r="AC17" s="400">
        <f t="shared" si="51"/>
        <v>697919.71</v>
      </c>
      <c r="AE17" s="127" t="s">
        <v>91</v>
      </c>
      <c r="AF17" s="27">
        <v>108823.86</v>
      </c>
      <c r="AG17" s="27">
        <v>133836.14000000001</v>
      </c>
      <c r="AH17" s="27">
        <v>55196.480000000003</v>
      </c>
      <c r="AI17" s="27">
        <v>63141.87</v>
      </c>
      <c r="AJ17" s="27">
        <v>74165.8</v>
      </c>
      <c r="AK17" s="27">
        <v>71378.11</v>
      </c>
      <c r="AL17" s="27">
        <v>21040.29</v>
      </c>
      <c r="AM17" s="27">
        <v>15602.1</v>
      </c>
      <c r="AN17" s="27">
        <v>22645.53</v>
      </c>
      <c r="AO17" s="27">
        <v>18568.96</v>
      </c>
      <c r="AP17" s="27">
        <v>21013.65</v>
      </c>
      <c r="AQ17" s="27">
        <v>18767.080000000002</v>
      </c>
      <c r="AR17" s="43">
        <f t="shared" si="1"/>
        <v>624179.86999999988</v>
      </c>
      <c r="AT17" s="60" t="s">
        <v>91</v>
      </c>
      <c r="AU17" s="27">
        <v>110179.89</v>
      </c>
      <c r="AV17" s="27">
        <v>108147.67</v>
      </c>
      <c r="AW17" s="27">
        <v>94073.14</v>
      </c>
      <c r="AX17" s="27">
        <v>53503.3</v>
      </c>
      <c r="AY17" s="27">
        <v>58337.350000000006</v>
      </c>
      <c r="AZ17" s="27">
        <v>59369.48</v>
      </c>
      <c r="BA17" s="27">
        <v>13820.860000000002</v>
      </c>
      <c r="BB17" s="27">
        <v>18072.13</v>
      </c>
      <c r="BC17" s="27">
        <v>13773.74</v>
      </c>
      <c r="BD17" s="27">
        <v>17289.84</v>
      </c>
      <c r="BE17" s="27">
        <v>11922.09</v>
      </c>
      <c r="BF17" s="27">
        <v>14482.02</v>
      </c>
      <c r="BG17" s="43">
        <f t="shared" si="2"/>
        <v>572971.50999999989</v>
      </c>
      <c r="BI17" s="60" t="s">
        <v>91</v>
      </c>
      <c r="BJ17" s="27">
        <v>99197.7</v>
      </c>
      <c r="BK17" s="27">
        <v>153569.04</v>
      </c>
      <c r="BL17" s="27">
        <v>43046.49</v>
      </c>
      <c r="BM17" s="27">
        <v>39653.82</v>
      </c>
      <c r="BN17" s="27">
        <v>51296.62</v>
      </c>
      <c r="BO17" s="27">
        <v>61652.72</v>
      </c>
      <c r="BP17" s="27">
        <v>18133.27</v>
      </c>
      <c r="BQ17" s="27">
        <v>18385.59</v>
      </c>
      <c r="BR17" s="27">
        <v>16197.19</v>
      </c>
      <c r="BS17" s="27">
        <v>14076.79</v>
      </c>
      <c r="BT17" s="27">
        <v>11929.58</v>
      </c>
      <c r="BU17" s="27">
        <v>9644.6400000000012</v>
      </c>
      <c r="BV17" s="43">
        <f t="shared" si="52"/>
        <v>536783.45000000007</v>
      </c>
      <c r="BW17" s="405"/>
      <c r="BX17" s="32">
        <f t="shared" si="53"/>
        <v>0.14269565090214645</v>
      </c>
      <c r="BY17" s="32">
        <f t="shared" si="54"/>
        <v>0.31732009683333445</v>
      </c>
      <c r="BZ17" s="32">
        <f t="shared" si="55"/>
        <v>0.45974565790070382</v>
      </c>
      <c r="CA17" s="32">
        <f t="shared" si="56"/>
        <v>0.56835624894604486</v>
      </c>
      <c r="CB17" s="32">
        <f t="shared" si="57"/>
        <v>0.66116055416795017</v>
      </c>
      <c r="CC17" s="32">
        <f t="shared" si="58"/>
        <v>0.74931400887373889</v>
      </c>
      <c r="CD17" s="32">
        <f t="shared" si="59"/>
        <v>0.81144216757392718</v>
      </c>
      <c r="CE17" s="32">
        <f t="shared" si="60"/>
        <v>0.85810680289216124</v>
      </c>
      <c r="CF17" s="32">
        <f t="shared" si="61"/>
        <v>0.90504901247706337</v>
      </c>
      <c r="CG17" s="32">
        <f t="shared" si="62"/>
        <v>0.94123562719146625</v>
      </c>
      <c r="CH17" s="32">
        <f t="shared" si="63"/>
        <v>0.96912365105998199</v>
      </c>
      <c r="CI17" s="32">
        <f t="shared" si="64"/>
        <v>1</v>
      </c>
      <c r="CJ17" s="405"/>
      <c r="CK17" s="32">
        <f t="shared" si="65"/>
        <v>0.16777763734455933</v>
      </c>
      <c r="CL17" s="32">
        <f t="shared" si="66"/>
        <v>0.34797081457980317</v>
      </c>
      <c r="CM17" s="32">
        <f t="shared" si="67"/>
        <v>0.45113872769118385</v>
      </c>
      <c r="CN17" s="32">
        <f t="shared" si="68"/>
        <v>0.4977490032485255</v>
      </c>
      <c r="CO17" s="32">
        <f t="shared" si="69"/>
        <v>0.53062608018334945</v>
      </c>
      <c r="CP17" s="32">
        <f t="shared" si="70"/>
        <v>0.59279727176640418</v>
      </c>
      <c r="CQ17" s="32">
        <f t="shared" si="71"/>
        <v>0.70760133712228879</v>
      </c>
      <c r="CR17" s="32">
        <f t="shared" si="72"/>
        <v>0.85603720806222827</v>
      </c>
      <c r="CS17" s="32">
        <f t="shared" si="73"/>
        <v>0.91225854618721114</v>
      </c>
      <c r="CT17" s="32">
        <f t="shared" si="74"/>
        <v>0.93010849342541135</v>
      </c>
      <c r="CU17" s="32">
        <f t="shared" si="75"/>
        <v>0.96123337740382775</v>
      </c>
      <c r="CV17" s="32">
        <f t="shared" si="76"/>
        <v>1</v>
      </c>
      <c r="CX17" s="32">
        <f t="shared" si="77"/>
        <v>0.17434695546974308</v>
      </c>
      <c r="CY17" s="32">
        <f t="shared" si="78"/>
        <v>0.38876614204171633</v>
      </c>
      <c r="CZ17" s="32">
        <f t="shared" si="79"/>
        <v>0.47719654912933995</v>
      </c>
      <c r="DA17" s="32">
        <f t="shared" si="80"/>
        <v>0.57835628374237713</v>
      </c>
      <c r="DB17" s="32">
        <f t="shared" si="81"/>
        <v>0.69717748186912865</v>
      </c>
      <c r="DC17" s="32">
        <f t="shared" si="82"/>
        <v>0.81153251545904559</v>
      </c>
      <c r="DD17" s="32">
        <f t="shared" si="83"/>
        <v>0.8452412122806845</v>
      </c>
      <c r="DE17" s="32">
        <f t="shared" si="84"/>
        <v>0.87023737244201738</v>
      </c>
      <c r="DF17" s="32">
        <f t="shared" si="85"/>
        <v>0.90651782794597335</v>
      </c>
      <c r="DG17" s="32">
        <f t="shared" si="86"/>
        <v>0.93626720131169883</v>
      </c>
      <c r="DH17" s="32">
        <f t="shared" si="87"/>
        <v>0.96993321812829381</v>
      </c>
      <c r="DI17" s="32">
        <f t="shared" si="88"/>
        <v>1</v>
      </c>
      <c r="DK17" s="32">
        <f t="shared" si="3"/>
        <v>0.19229558202640828</v>
      </c>
      <c r="DL17" s="32">
        <f t="shared" si="4"/>
        <v>0.38104435594014097</v>
      </c>
      <c r="DM17" s="32">
        <f t="shared" si="5"/>
        <v>0.54522902892676128</v>
      </c>
      <c r="DN17" s="32">
        <f t="shared" si="6"/>
        <v>0.6386076682940135</v>
      </c>
      <c r="DO17" s="32">
        <f t="shared" si="7"/>
        <v>0.74042311458033938</v>
      </c>
      <c r="DP17" s="32">
        <f t="shared" si="8"/>
        <v>0.84403992442835429</v>
      </c>
      <c r="DQ17" s="32">
        <f t="shared" si="9"/>
        <v>0.86816129828165456</v>
      </c>
      <c r="DR17" s="32">
        <f t="shared" si="10"/>
        <v>0.89970236041928164</v>
      </c>
      <c r="DS17" s="32">
        <f t="shared" si="11"/>
        <v>0.92374149632675462</v>
      </c>
      <c r="DT17" s="32">
        <f t="shared" si="12"/>
        <v>0.95391723752547486</v>
      </c>
      <c r="DU17" s="32">
        <f t="shared" si="13"/>
        <v>0.97472471187965348</v>
      </c>
      <c r="DV17" s="32">
        <f t="shared" si="14"/>
        <v>1</v>
      </c>
      <c r="DW17" s="39"/>
      <c r="DX17" s="32">
        <f t="shared" si="15"/>
        <v>0.18480022064763729</v>
      </c>
      <c r="DY17" s="32">
        <f t="shared" si="16"/>
        <v>0.47089145539043714</v>
      </c>
      <c r="DZ17" s="32">
        <f t="shared" si="17"/>
        <v>0.55108485554090747</v>
      </c>
      <c r="EA17" s="32">
        <f t="shared" si="18"/>
        <v>0.6249578857172291</v>
      </c>
      <c r="EB17" s="32">
        <f t="shared" si="19"/>
        <v>0.72052085435942548</v>
      </c>
      <c r="EC17" s="32">
        <f t="shared" si="20"/>
        <v>0.83537670544797904</v>
      </c>
      <c r="ED17" s="32">
        <f t="shared" si="21"/>
        <v>0.86915805619565945</v>
      </c>
      <c r="EE17" s="32">
        <f t="shared" si="22"/>
        <v>0.90340946614505346</v>
      </c>
      <c r="EF17" s="32">
        <f t="shared" si="23"/>
        <v>0.9335839992831374</v>
      </c>
      <c r="EG17" s="32">
        <f t="shared" si="24"/>
        <v>0.95980833611766525</v>
      </c>
      <c r="EH17" s="32">
        <f t="shared" si="25"/>
        <v>0.98203253099550669</v>
      </c>
      <c r="EI17" s="32">
        <f t="shared" si="26"/>
        <v>1</v>
      </c>
      <c r="EK17" s="32">
        <f t="shared" si="89"/>
        <v>0.1838142527145962</v>
      </c>
      <c r="EL17" s="32">
        <f t="shared" si="27"/>
        <v>0.41356731779076483</v>
      </c>
      <c r="EM17" s="32">
        <f t="shared" si="27"/>
        <v>0.52450347786566953</v>
      </c>
      <c r="EN17" s="32">
        <f t="shared" si="27"/>
        <v>0.61397394591787324</v>
      </c>
      <c r="EO17" s="32">
        <f t="shared" si="27"/>
        <v>0.71937381693629787</v>
      </c>
      <c r="EP17" s="32">
        <f t="shared" si="27"/>
        <v>0.83031638177845968</v>
      </c>
      <c r="EQ17" s="32">
        <f t="shared" si="27"/>
        <v>0.86085352225266609</v>
      </c>
      <c r="ER17" s="32">
        <f t="shared" si="27"/>
        <v>0.8911163996687842</v>
      </c>
      <c r="ES17" s="32">
        <f t="shared" si="27"/>
        <v>0.92128110785195505</v>
      </c>
      <c r="ET17" s="32">
        <f t="shared" si="27"/>
        <v>0.94999759165161313</v>
      </c>
      <c r="EU17" s="32">
        <f t="shared" si="27"/>
        <v>0.97556348700115125</v>
      </c>
      <c r="EV17" s="32">
        <f t="shared" si="27"/>
        <v>1</v>
      </c>
      <c r="EX17" s="32">
        <f t="shared" si="90"/>
        <v>0.17980509887208698</v>
      </c>
      <c r="EY17" s="32">
        <f t="shared" si="91"/>
        <v>0.39716819198802444</v>
      </c>
      <c r="EZ17" s="32">
        <f t="shared" si="92"/>
        <v>0.50616229032204818</v>
      </c>
      <c r="FA17" s="32">
        <f t="shared" si="93"/>
        <v>0.58491771025053629</v>
      </c>
      <c r="FB17" s="32">
        <f t="shared" si="94"/>
        <v>0.67218688274806071</v>
      </c>
      <c r="FC17" s="32">
        <f t="shared" si="95"/>
        <v>0.77093660427544575</v>
      </c>
      <c r="FD17" s="32">
        <f t="shared" si="96"/>
        <v>0.82254047597007185</v>
      </c>
      <c r="FE17" s="32">
        <f t="shared" si="97"/>
        <v>0.8823466017671453</v>
      </c>
      <c r="FF17" s="32">
        <f t="shared" si="98"/>
        <v>0.91902546743576907</v>
      </c>
      <c r="FG17" s="32">
        <f t="shared" si="99"/>
        <v>0.94502531709506254</v>
      </c>
      <c r="FH17" s="32">
        <f t="shared" si="100"/>
        <v>0.9719809596018204</v>
      </c>
      <c r="FI17" s="32">
        <f t="shared" si="101"/>
        <v>1</v>
      </c>
      <c r="FK17" s="32">
        <f t="shared" si="102"/>
        <v>0.17814005828023691</v>
      </c>
      <c r="FL17" s="32">
        <f t="shared" si="29"/>
        <v>0.37259377085388684</v>
      </c>
      <c r="FM17" s="32">
        <f t="shared" si="30"/>
        <v>0.49118810191576173</v>
      </c>
      <c r="FN17" s="32">
        <f t="shared" si="31"/>
        <v>0.57157098509497206</v>
      </c>
      <c r="FO17" s="32">
        <f t="shared" si="32"/>
        <v>0.65607555887760582</v>
      </c>
      <c r="FP17" s="32">
        <f t="shared" si="33"/>
        <v>0.74945657055126802</v>
      </c>
      <c r="FQ17" s="32">
        <f t="shared" si="34"/>
        <v>0.80700128256154258</v>
      </c>
      <c r="FR17" s="32">
        <f t="shared" si="35"/>
        <v>0.8753256469745091</v>
      </c>
      <c r="FS17" s="32">
        <f t="shared" si="36"/>
        <v>0.91417262348664641</v>
      </c>
      <c r="FT17" s="32">
        <f t="shared" si="37"/>
        <v>0.94009764408752838</v>
      </c>
      <c r="FU17" s="32">
        <f t="shared" si="38"/>
        <v>0.96863043580392505</v>
      </c>
      <c r="FV17" s="32">
        <f t="shared" si="39"/>
        <v>1</v>
      </c>
      <c r="FX17" s="32">
        <f t="shared" si="103"/>
        <v>0.16160674790548293</v>
      </c>
      <c r="FY17" s="32">
        <f t="shared" si="40"/>
        <v>0.35135235115161795</v>
      </c>
      <c r="FZ17" s="32">
        <f t="shared" si="41"/>
        <v>0.46269364490707582</v>
      </c>
      <c r="GA17" s="32">
        <f t="shared" si="42"/>
        <v>0.54815384531231581</v>
      </c>
      <c r="GB17" s="32">
        <f t="shared" si="43"/>
        <v>0.62965470540680946</v>
      </c>
      <c r="GC17" s="32">
        <f t="shared" si="44"/>
        <v>0.71788126536639629</v>
      </c>
      <c r="GD17" s="32">
        <f t="shared" si="45"/>
        <v>0.78809490565896689</v>
      </c>
      <c r="GE17" s="32">
        <f t="shared" si="46"/>
        <v>0.86146046113213559</v>
      </c>
      <c r="GF17" s="32">
        <f t="shared" si="47"/>
        <v>0.90794179553674936</v>
      </c>
      <c r="GG17" s="32">
        <f t="shared" si="48"/>
        <v>0.93587044064285874</v>
      </c>
      <c r="GH17" s="32">
        <f t="shared" si="49"/>
        <v>0.96676341553070122</v>
      </c>
      <c r="GI17" s="32">
        <f t="shared" si="50"/>
        <v>1</v>
      </c>
    </row>
    <row r="18" spans="1:191">
      <c r="A18" s="724" t="s">
        <v>92</v>
      </c>
      <c r="B18" s="399">
        <v>790278.47</v>
      </c>
      <c r="C18" s="400">
        <v>822167.71</v>
      </c>
      <c r="D18" s="400">
        <v>648521.81999999995</v>
      </c>
      <c r="E18" s="400">
        <v>441621.86</v>
      </c>
      <c r="F18" s="400">
        <v>359057.05</v>
      </c>
      <c r="G18" s="400">
        <v>358118.99</v>
      </c>
      <c r="H18" s="400">
        <v>252521.84</v>
      </c>
      <c r="I18" s="400">
        <v>179870.78</v>
      </c>
      <c r="J18" s="400">
        <v>108400.68</v>
      </c>
      <c r="K18" s="400">
        <v>84234.87</v>
      </c>
      <c r="L18" s="400">
        <v>84388.91</v>
      </c>
      <c r="M18" s="400">
        <v>95174.62999999999</v>
      </c>
      <c r="N18" s="400">
        <f t="shared" si="0"/>
        <v>4224357.6099999994</v>
      </c>
      <c r="P18" s="396" t="s">
        <v>92</v>
      </c>
      <c r="Q18" s="399">
        <v>828063.3</v>
      </c>
      <c r="R18" s="400">
        <v>704920.02</v>
      </c>
      <c r="S18" s="400">
        <v>430404.15</v>
      </c>
      <c r="T18" s="400">
        <v>187466.13</v>
      </c>
      <c r="U18" s="400">
        <v>194239.03</v>
      </c>
      <c r="V18" s="400">
        <v>268586.45</v>
      </c>
      <c r="W18" s="400">
        <v>416831.64</v>
      </c>
      <c r="X18" s="400">
        <v>400355.1</v>
      </c>
      <c r="Y18" s="400">
        <v>145163.94</v>
      </c>
      <c r="Z18" s="400">
        <v>65102.68</v>
      </c>
      <c r="AA18" s="400">
        <v>108986.18000000002</v>
      </c>
      <c r="AB18" s="400">
        <v>118101.38</v>
      </c>
      <c r="AC18" s="400">
        <f t="shared" si="51"/>
        <v>3868220.0000000005</v>
      </c>
      <c r="AE18" s="127" t="s">
        <v>92</v>
      </c>
      <c r="AF18" s="27">
        <v>798755.88</v>
      </c>
      <c r="AG18" s="27">
        <v>750439.74</v>
      </c>
      <c r="AH18" s="27">
        <v>311702.77</v>
      </c>
      <c r="AI18" s="27">
        <v>372208.37</v>
      </c>
      <c r="AJ18" s="27">
        <v>466052.33</v>
      </c>
      <c r="AK18" s="27">
        <v>357595.59</v>
      </c>
      <c r="AL18" s="27">
        <v>117544.85</v>
      </c>
      <c r="AM18" s="27">
        <v>90281.1</v>
      </c>
      <c r="AN18" s="27">
        <v>79228.17</v>
      </c>
      <c r="AO18" s="27">
        <v>86688.78</v>
      </c>
      <c r="AP18" s="27">
        <v>76745.740000000005</v>
      </c>
      <c r="AQ18" s="27">
        <v>117544.25</v>
      </c>
      <c r="AR18" s="43">
        <f t="shared" si="1"/>
        <v>3624787.5700000003</v>
      </c>
      <c r="AT18" s="60" t="s">
        <v>92</v>
      </c>
      <c r="AU18" s="27">
        <v>652066.4</v>
      </c>
      <c r="AV18" s="27">
        <v>648074.03</v>
      </c>
      <c r="AW18" s="27">
        <v>452730.52</v>
      </c>
      <c r="AX18" s="27">
        <v>296707.15999999997</v>
      </c>
      <c r="AY18" s="27">
        <v>375262.77</v>
      </c>
      <c r="AZ18" s="27">
        <v>339083.11</v>
      </c>
      <c r="BA18" s="27">
        <v>95780.47</v>
      </c>
      <c r="BB18" s="27">
        <v>87057.02</v>
      </c>
      <c r="BC18" s="27">
        <v>69538.58</v>
      </c>
      <c r="BD18" s="27">
        <v>68990.070000000007</v>
      </c>
      <c r="BE18" s="27">
        <v>53749.97</v>
      </c>
      <c r="BF18" s="27">
        <v>57305.440000000002</v>
      </c>
      <c r="BG18" s="43">
        <f t="shared" si="2"/>
        <v>3196345.54</v>
      </c>
      <c r="BI18" s="60" t="s">
        <v>92</v>
      </c>
      <c r="BJ18" s="27">
        <v>712212.26</v>
      </c>
      <c r="BK18" s="27">
        <v>749648.1</v>
      </c>
      <c r="BL18" s="27">
        <v>284539.42</v>
      </c>
      <c r="BM18" s="27">
        <v>209227.18000000002</v>
      </c>
      <c r="BN18" s="27">
        <v>338893.09</v>
      </c>
      <c r="BO18" s="27">
        <v>297717.7</v>
      </c>
      <c r="BP18" s="27">
        <v>93255.670000000013</v>
      </c>
      <c r="BQ18" s="27">
        <v>83677.69</v>
      </c>
      <c r="BR18" s="27">
        <v>46152.63</v>
      </c>
      <c r="BS18" s="27">
        <v>73518.75</v>
      </c>
      <c r="BT18" s="27">
        <v>83897.36</v>
      </c>
      <c r="BU18" s="27">
        <v>66967.47</v>
      </c>
      <c r="BV18" s="43">
        <f t="shared" si="52"/>
        <v>3039707.32</v>
      </c>
      <c r="BW18" s="405"/>
      <c r="BX18" s="32">
        <f t="shared" si="53"/>
        <v>0.18707660263639472</v>
      </c>
      <c r="BY18" s="32">
        <f t="shared" si="54"/>
        <v>0.38170210215701889</v>
      </c>
      <c r="BZ18" s="32">
        <f t="shared" si="55"/>
        <v>0.53522173280211482</v>
      </c>
      <c r="CA18" s="32">
        <f t="shared" si="56"/>
        <v>0.63976351187749003</v>
      </c>
      <c r="CB18" s="32">
        <f t="shared" si="57"/>
        <v>0.72476035237935266</v>
      </c>
      <c r="CC18" s="32">
        <f t="shared" si="58"/>
        <v>0.80953513308263692</v>
      </c>
      <c r="CD18" s="32">
        <f t="shared" si="59"/>
        <v>0.86931270480199707</v>
      </c>
      <c r="CE18" s="32">
        <f t="shared" si="60"/>
        <v>0.91189214447211531</v>
      </c>
      <c r="CF18" s="32">
        <f t="shared" si="61"/>
        <v>0.937553011758396</v>
      </c>
      <c r="CG18" s="32">
        <f t="shared" si="62"/>
        <v>0.9574932909148286</v>
      </c>
      <c r="CH18" s="32">
        <f t="shared" si="63"/>
        <v>0.97747003478713534</v>
      </c>
      <c r="CI18" s="32">
        <f t="shared" si="64"/>
        <v>1</v>
      </c>
      <c r="CJ18" s="405"/>
      <c r="CK18" s="32">
        <f t="shared" si="65"/>
        <v>0.21406830531872539</v>
      </c>
      <c r="CL18" s="32">
        <f t="shared" si="66"/>
        <v>0.39630199936921889</v>
      </c>
      <c r="CM18" s="32">
        <f t="shared" si="67"/>
        <v>0.50756871894566491</v>
      </c>
      <c r="CN18" s="32">
        <f t="shared" si="68"/>
        <v>0.55603186995569021</v>
      </c>
      <c r="CO18" s="32">
        <f t="shared" si="69"/>
        <v>0.60624592965239821</v>
      </c>
      <c r="CP18" s="32">
        <f t="shared" si="70"/>
        <v>0.67568004922160574</v>
      </c>
      <c r="CQ18" s="32">
        <f t="shared" si="71"/>
        <v>0.78343804643996462</v>
      </c>
      <c r="CR18" s="32">
        <f t="shared" si="72"/>
        <v>0.88693658064949765</v>
      </c>
      <c r="CS18" s="32">
        <f t="shared" si="73"/>
        <v>0.92446390329402151</v>
      </c>
      <c r="CT18" s="32">
        <f t="shared" si="74"/>
        <v>0.9412940422209698</v>
      </c>
      <c r="CU18" s="32">
        <f t="shared" si="75"/>
        <v>0.96946880477325492</v>
      </c>
      <c r="CV18" s="32">
        <f t="shared" si="76"/>
        <v>1</v>
      </c>
      <c r="CX18" s="32">
        <f t="shared" si="77"/>
        <v>0.22035936301778919</v>
      </c>
      <c r="CY18" s="32">
        <f t="shared" si="78"/>
        <v>0.42738935457119764</v>
      </c>
      <c r="CZ18" s="32">
        <f t="shared" si="79"/>
        <v>0.51338136485609276</v>
      </c>
      <c r="DA18" s="32">
        <f t="shared" si="80"/>
        <v>0.61606555332565327</v>
      </c>
      <c r="DB18" s="32">
        <f t="shared" si="81"/>
        <v>0.7446392479214996</v>
      </c>
      <c r="DC18" s="32">
        <f t="shared" si="82"/>
        <v>0.84329208842437076</v>
      </c>
      <c r="DD18" s="32">
        <f t="shared" si="83"/>
        <v>0.87572015427099914</v>
      </c>
      <c r="DE18" s="32">
        <f t="shared" si="84"/>
        <v>0.90062674486604466</v>
      </c>
      <c r="DF18" s="32">
        <f t="shared" si="85"/>
        <v>0.92248407263215149</v>
      </c>
      <c r="DG18" s="32">
        <f t="shared" si="86"/>
        <v>0.94639962032312963</v>
      </c>
      <c r="DH18" s="32">
        <f t="shared" si="87"/>
        <v>0.9675720996803131</v>
      </c>
      <c r="DI18" s="32">
        <f t="shared" si="88"/>
        <v>1</v>
      </c>
      <c r="DK18" s="32">
        <f t="shared" si="3"/>
        <v>0.20400372608025352</v>
      </c>
      <c r="DL18" s="32">
        <f t="shared" si="4"/>
        <v>0.40675841010606134</v>
      </c>
      <c r="DM18" s="32">
        <f t="shared" si="5"/>
        <v>0.54839845319101521</v>
      </c>
      <c r="DN18" s="32">
        <f t="shared" si="6"/>
        <v>0.64122545086286264</v>
      </c>
      <c r="DO18" s="32">
        <f t="shared" si="7"/>
        <v>0.7586291437064091</v>
      </c>
      <c r="DP18" s="32">
        <f t="shared" si="8"/>
        <v>0.86471376620939411</v>
      </c>
      <c r="DQ18" s="32">
        <f t="shared" si="9"/>
        <v>0.89467938438220296</v>
      </c>
      <c r="DR18" s="32">
        <f t="shared" si="10"/>
        <v>0.92191580763824421</v>
      </c>
      <c r="DS18" s="32">
        <f t="shared" si="11"/>
        <v>0.94367145925030371</v>
      </c>
      <c r="DT18" s="32">
        <f t="shared" si="12"/>
        <v>0.96525550551083406</v>
      </c>
      <c r="DU18" s="32">
        <f t="shared" si="13"/>
        <v>0.9820715754029522</v>
      </c>
      <c r="DV18" s="32">
        <f t="shared" si="14"/>
        <v>1</v>
      </c>
      <c r="DW18" s="39"/>
      <c r="DX18" s="32">
        <f t="shared" si="15"/>
        <v>0.2343029065048276</v>
      </c>
      <c r="DY18" s="32">
        <f t="shared" si="16"/>
        <v>0.4809214197635317</v>
      </c>
      <c r="DZ18" s="32">
        <f t="shared" si="17"/>
        <v>0.57452892537035438</v>
      </c>
      <c r="EA18" s="32">
        <f t="shared" si="18"/>
        <v>0.64336028246298393</v>
      </c>
      <c r="EB18" s="32">
        <f t="shared" si="19"/>
        <v>0.75484900631814777</v>
      </c>
      <c r="EC18" s="32">
        <f t="shared" si="20"/>
        <v>0.85279188984550003</v>
      </c>
      <c r="ED18" s="32">
        <f t="shared" si="21"/>
        <v>0.8834710507589264</v>
      </c>
      <c r="EE18" s="32">
        <f t="shared" si="22"/>
        <v>0.91099925699425566</v>
      </c>
      <c r="EF18" s="32">
        <f t="shared" si="23"/>
        <v>0.92618250496564247</v>
      </c>
      <c r="EG18" s="32">
        <f t="shared" si="24"/>
        <v>0.95036863285903461</v>
      </c>
      <c r="EH18" s="32">
        <f t="shared" si="25"/>
        <v>0.97796910592036856</v>
      </c>
      <c r="EI18" s="32">
        <f t="shared" si="26"/>
        <v>1</v>
      </c>
      <c r="EK18" s="32">
        <f t="shared" si="89"/>
        <v>0.21955533186762344</v>
      </c>
      <c r="EL18" s="32">
        <f t="shared" si="27"/>
        <v>0.43835639481359689</v>
      </c>
      <c r="EM18" s="32">
        <f t="shared" si="27"/>
        <v>0.54543624780582078</v>
      </c>
      <c r="EN18" s="32">
        <f t="shared" si="27"/>
        <v>0.63355042888383328</v>
      </c>
      <c r="EO18" s="32">
        <f t="shared" si="27"/>
        <v>0.7527057993153522</v>
      </c>
      <c r="EP18" s="32">
        <f t="shared" si="27"/>
        <v>0.85359924815975496</v>
      </c>
      <c r="EQ18" s="32">
        <f t="shared" si="27"/>
        <v>0.8846235298040428</v>
      </c>
      <c r="ER18" s="32">
        <f t="shared" si="27"/>
        <v>0.91118060316618144</v>
      </c>
      <c r="ES18" s="32">
        <f t="shared" si="27"/>
        <v>0.93077934561603259</v>
      </c>
      <c r="ET18" s="32">
        <f t="shared" si="27"/>
        <v>0.95400791956433284</v>
      </c>
      <c r="EU18" s="32">
        <f t="shared" si="27"/>
        <v>0.97587092700121136</v>
      </c>
      <c r="EV18" s="32">
        <f t="shared" si="27"/>
        <v>1</v>
      </c>
      <c r="EX18" s="32">
        <f t="shared" si="90"/>
        <v>0.21818357523039894</v>
      </c>
      <c r="EY18" s="32">
        <f t="shared" si="91"/>
        <v>0.42784279595250241</v>
      </c>
      <c r="EZ18" s="32">
        <f t="shared" si="92"/>
        <v>0.53596936559078179</v>
      </c>
      <c r="FA18" s="32">
        <f t="shared" si="93"/>
        <v>0.61417078915179746</v>
      </c>
      <c r="FB18" s="32">
        <f t="shared" si="94"/>
        <v>0.71609083189961364</v>
      </c>
      <c r="FC18" s="32">
        <f t="shared" si="95"/>
        <v>0.80911944842521766</v>
      </c>
      <c r="FD18" s="32">
        <f t="shared" si="96"/>
        <v>0.85932715896302325</v>
      </c>
      <c r="FE18" s="32">
        <f t="shared" si="97"/>
        <v>0.90511959753701055</v>
      </c>
      <c r="FF18" s="32">
        <f t="shared" si="98"/>
        <v>0.92920048503552988</v>
      </c>
      <c r="FG18" s="32">
        <f t="shared" si="99"/>
        <v>0.95082945022849208</v>
      </c>
      <c r="FH18" s="32">
        <f t="shared" si="100"/>
        <v>0.97427039644422209</v>
      </c>
      <c r="FI18" s="32">
        <f t="shared" si="101"/>
        <v>1</v>
      </c>
      <c r="FK18" s="32">
        <f t="shared" si="102"/>
        <v>0.21281046480558938</v>
      </c>
      <c r="FL18" s="32">
        <f t="shared" si="29"/>
        <v>0.410149921348826</v>
      </c>
      <c r="FM18" s="32">
        <f t="shared" si="30"/>
        <v>0.52311617899759089</v>
      </c>
      <c r="FN18" s="32">
        <f t="shared" si="31"/>
        <v>0.60444095804806874</v>
      </c>
      <c r="FO18" s="32">
        <f t="shared" si="32"/>
        <v>0.70317144042676893</v>
      </c>
      <c r="FP18" s="32">
        <f t="shared" si="33"/>
        <v>0.79456196795179024</v>
      </c>
      <c r="FQ18" s="32">
        <f t="shared" si="34"/>
        <v>0.85127919503105554</v>
      </c>
      <c r="FR18" s="32">
        <f t="shared" si="35"/>
        <v>0.90315971105126225</v>
      </c>
      <c r="FS18" s="32">
        <f t="shared" si="36"/>
        <v>0.93020647839215886</v>
      </c>
      <c r="FT18" s="32">
        <f t="shared" si="37"/>
        <v>0.95098305601831123</v>
      </c>
      <c r="FU18" s="32">
        <f t="shared" si="38"/>
        <v>0.9730374932855067</v>
      </c>
      <c r="FV18" s="32">
        <f t="shared" si="39"/>
        <v>1</v>
      </c>
      <c r="FX18" s="32">
        <f t="shared" si="103"/>
        <v>0.20716809032430308</v>
      </c>
      <c r="FY18" s="32">
        <f t="shared" si="40"/>
        <v>0.4017978186991451</v>
      </c>
      <c r="FZ18" s="32">
        <f t="shared" si="41"/>
        <v>0.51872393886795753</v>
      </c>
      <c r="GA18" s="32">
        <f t="shared" si="42"/>
        <v>0.60395364505294447</v>
      </c>
      <c r="GB18" s="32">
        <f t="shared" si="43"/>
        <v>0.69188184331775016</v>
      </c>
      <c r="GC18" s="32">
        <f t="shared" si="44"/>
        <v>0.77616909024287117</v>
      </c>
      <c r="GD18" s="32">
        <f t="shared" si="45"/>
        <v>0.84282363517098702</v>
      </c>
      <c r="GE18" s="32">
        <f t="shared" si="46"/>
        <v>0.89981848999588587</v>
      </c>
      <c r="GF18" s="32">
        <f t="shared" si="47"/>
        <v>0.92816699589485629</v>
      </c>
      <c r="GG18" s="32">
        <f t="shared" si="48"/>
        <v>0.94839565115297597</v>
      </c>
      <c r="GH18" s="32">
        <f t="shared" si="49"/>
        <v>0.97150364641356779</v>
      </c>
      <c r="GI18" s="32">
        <f t="shared" si="50"/>
        <v>1</v>
      </c>
    </row>
    <row r="19" spans="1:191">
      <c r="A19" s="724" t="s">
        <v>93</v>
      </c>
      <c r="B19" s="399">
        <v>274174.95</v>
      </c>
      <c r="C19" s="400">
        <v>317205.21000000002</v>
      </c>
      <c r="D19" s="400">
        <v>209053.42</v>
      </c>
      <c r="E19" s="400">
        <v>176333.03</v>
      </c>
      <c r="F19" s="400">
        <v>123483.34</v>
      </c>
      <c r="G19" s="400">
        <v>133343.16</v>
      </c>
      <c r="H19" s="400">
        <v>94818.84</v>
      </c>
      <c r="I19" s="400">
        <v>61544.72</v>
      </c>
      <c r="J19" s="400">
        <v>53815.22</v>
      </c>
      <c r="K19" s="400">
        <v>38618.550000000003</v>
      </c>
      <c r="L19" s="400">
        <v>35142.6</v>
      </c>
      <c r="M19" s="400">
        <v>50267.349999999991</v>
      </c>
      <c r="N19" s="400">
        <f t="shared" si="0"/>
        <v>1567800.3900000004</v>
      </c>
      <c r="P19" s="396" t="s">
        <v>93</v>
      </c>
      <c r="Q19" s="399">
        <v>254103.49</v>
      </c>
      <c r="R19" s="400">
        <v>276643.37</v>
      </c>
      <c r="S19" s="400">
        <v>143367.47</v>
      </c>
      <c r="T19" s="400">
        <v>57939.41</v>
      </c>
      <c r="U19" s="400">
        <v>49102.23</v>
      </c>
      <c r="V19" s="400">
        <v>65650.070000000007</v>
      </c>
      <c r="W19" s="400">
        <v>133954.01</v>
      </c>
      <c r="X19" s="400">
        <v>149351.24</v>
      </c>
      <c r="Y19" s="400">
        <v>72534.92</v>
      </c>
      <c r="Z19" s="400">
        <v>31315.89</v>
      </c>
      <c r="AA19" s="400">
        <v>46662.909999999996</v>
      </c>
      <c r="AB19" s="400">
        <v>51904.76</v>
      </c>
      <c r="AC19" s="400">
        <f t="shared" si="51"/>
        <v>1332529.7699999998</v>
      </c>
      <c r="AE19" s="127" t="s">
        <v>93</v>
      </c>
      <c r="AF19" s="27">
        <v>234460.93</v>
      </c>
      <c r="AG19" s="27">
        <v>300461.8</v>
      </c>
      <c r="AH19" s="27">
        <v>136049.14000000001</v>
      </c>
      <c r="AI19" s="27">
        <v>139152.6</v>
      </c>
      <c r="AJ19" s="27">
        <v>158095.35</v>
      </c>
      <c r="AK19" s="27">
        <v>140172.59</v>
      </c>
      <c r="AL19" s="27">
        <v>47933.59</v>
      </c>
      <c r="AM19" s="27">
        <v>39711.14</v>
      </c>
      <c r="AN19" s="27">
        <v>37615.9</v>
      </c>
      <c r="AO19" s="27">
        <v>35325.71</v>
      </c>
      <c r="AP19" s="27">
        <v>28259.18</v>
      </c>
      <c r="AQ19" s="27">
        <v>32149.85</v>
      </c>
      <c r="AR19" s="43">
        <f t="shared" si="1"/>
        <v>1329387.7799999998</v>
      </c>
      <c r="AT19" s="60" t="s">
        <v>93</v>
      </c>
      <c r="AU19" s="27">
        <v>195357.95</v>
      </c>
      <c r="AV19" s="27">
        <v>254807.38</v>
      </c>
      <c r="AW19" s="27">
        <v>190077.44</v>
      </c>
      <c r="AX19" s="27">
        <v>114208.21</v>
      </c>
      <c r="AY19" s="27">
        <v>125015.80000000002</v>
      </c>
      <c r="AZ19" s="27">
        <v>123989.82</v>
      </c>
      <c r="BA19" s="27">
        <v>38504.68</v>
      </c>
      <c r="BB19" s="27">
        <v>37923.24</v>
      </c>
      <c r="BC19" s="27">
        <v>28593.599999999999</v>
      </c>
      <c r="BD19" s="27">
        <v>32509.77</v>
      </c>
      <c r="BE19" s="27">
        <v>26844.2</v>
      </c>
      <c r="BF19" s="27">
        <v>24062.3</v>
      </c>
      <c r="BG19" s="43">
        <f t="shared" si="2"/>
        <v>1191894.3900000004</v>
      </c>
      <c r="BI19" s="60" t="s">
        <v>93</v>
      </c>
      <c r="BJ19" s="27">
        <v>216263.29</v>
      </c>
      <c r="BK19" s="27">
        <v>342734.78</v>
      </c>
      <c r="BL19" s="27">
        <v>106189.78</v>
      </c>
      <c r="BM19" s="27">
        <v>93538.32</v>
      </c>
      <c r="BN19" s="27">
        <v>117542.26999999999</v>
      </c>
      <c r="BO19" s="27">
        <v>125586.61</v>
      </c>
      <c r="BP19" s="27">
        <v>41502</v>
      </c>
      <c r="BQ19" s="27">
        <v>43445.05</v>
      </c>
      <c r="BR19" s="27">
        <v>28766.5</v>
      </c>
      <c r="BS19" s="27">
        <v>31215.74</v>
      </c>
      <c r="BT19" s="27">
        <v>36413.71</v>
      </c>
      <c r="BU19" s="27">
        <v>20069.59</v>
      </c>
      <c r="BV19" s="43">
        <f t="shared" si="52"/>
        <v>1203267.6400000001</v>
      </c>
      <c r="BW19" s="405"/>
      <c r="BX19" s="32">
        <f t="shared" si="53"/>
        <v>0.1748787356788449</v>
      </c>
      <c r="BY19" s="32">
        <f t="shared" si="54"/>
        <v>0.37720373318697792</v>
      </c>
      <c r="BZ19" s="32">
        <f t="shared" si="55"/>
        <v>0.51054559311597048</v>
      </c>
      <c r="CA19" s="32">
        <f t="shared" si="56"/>
        <v>0.62301720055063892</v>
      </c>
      <c r="CB19" s="32">
        <f t="shared" si="57"/>
        <v>0.70177935725605978</v>
      </c>
      <c r="CC19" s="32">
        <f t="shared" si="58"/>
        <v>0.78683046506959975</v>
      </c>
      <c r="CD19" s="32">
        <f t="shared" si="59"/>
        <v>0.84730936315177208</v>
      </c>
      <c r="CE19" s="32">
        <f t="shared" si="60"/>
        <v>0.88656481964518441</v>
      </c>
      <c r="CF19" s="32">
        <f t="shared" si="61"/>
        <v>0.92089012045723484</v>
      </c>
      <c r="CG19" s="32">
        <f t="shared" si="62"/>
        <v>0.94552243350315779</v>
      </c>
      <c r="CH19" s="32">
        <f t="shared" si="63"/>
        <v>0.9679376594618655</v>
      </c>
      <c r="CI19" s="32">
        <f t="shared" si="64"/>
        <v>1</v>
      </c>
      <c r="CJ19" s="405"/>
      <c r="CK19" s="32">
        <f t="shared" si="65"/>
        <v>0.19069254265141111</v>
      </c>
      <c r="CL19" s="32">
        <f t="shared" si="66"/>
        <v>0.39830018957099927</v>
      </c>
      <c r="CM19" s="32">
        <f t="shared" si="67"/>
        <v>0.50589063387304289</v>
      </c>
      <c r="CN19" s="32">
        <f t="shared" si="68"/>
        <v>0.5493713960326756</v>
      </c>
      <c r="CO19" s="32">
        <f t="shared" si="69"/>
        <v>0.58622027633949225</v>
      </c>
      <c r="CP19" s="32">
        <f t="shared" si="70"/>
        <v>0.63548752085291138</v>
      </c>
      <c r="CQ19" s="32">
        <f t="shared" si="71"/>
        <v>0.73601361266397836</v>
      </c>
      <c r="CR19" s="32">
        <f t="shared" si="72"/>
        <v>0.84809459078726646</v>
      </c>
      <c r="CS19" s="32">
        <f t="shared" si="73"/>
        <v>0.90252858665964375</v>
      </c>
      <c r="CT19" s="32">
        <f t="shared" si="74"/>
        <v>0.92602966761485561</v>
      </c>
      <c r="CU19" s="32">
        <f t="shared" si="75"/>
        <v>0.96104795467346293</v>
      </c>
      <c r="CV19" s="32">
        <f t="shared" si="76"/>
        <v>1</v>
      </c>
      <c r="CX19" s="32">
        <f t="shared" si="77"/>
        <v>0.17636759832409474</v>
      </c>
      <c r="CY19" s="32">
        <f t="shared" si="78"/>
        <v>0.40238276449329186</v>
      </c>
      <c r="CZ19" s="32">
        <f t="shared" si="79"/>
        <v>0.50472245953697581</v>
      </c>
      <c r="DA19" s="32">
        <f t="shared" si="80"/>
        <v>0.60939665776076268</v>
      </c>
      <c r="DB19" s="32">
        <f t="shared" si="81"/>
        <v>0.72832008430226436</v>
      </c>
      <c r="DC19" s="32">
        <f t="shared" si="82"/>
        <v>0.83376154548374148</v>
      </c>
      <c r="DD19" s="32">
        <f t="shared" si="83"/>
        <v>0.86981843627297384</v>
      </c>
      <c r="DE19" s="32">
        <f t="shared" si="84"/>
        <v>0.89969018671135981</v>
      </c>
      <c r="DF19" s="32">
        <f t="shared" si="85"/>
        <v>0.92798584322777511</v>
      </c>
      <c r="DG19" s="32">
        <f t="shared" si="86"/>
        <v>0.95455875937117463</v>
      </c>
      <c r="DH19" s="32">
        <f t="shared" si="87"/>
        <v>0.97581604819626067</v>
      </c>
      <c r="DI19" s="32">
        <f t="shared" si="88"/>
        <v>1</v>
      </c>
      <c r="DK19" s="32">
        <f t="shared" si="3"/>
        <v>0.16390541950616946</v>
      </c>
      <c r="DL19" s="32">
        <f t="shared" si="4"/>
        <v>0.37768894104787243</v>
      </c>
      <c r="DM19" s="32">
        <f t="shared" si="5"/>
        <v>0.53716400997574942</v>
      </c>
      <c r="DN19" s="32">
        <f t="shared" si="6"/>
        <v>0.63298475630882012</v>
      </c>
      <c r="DO19" s="32">
        <f t="shared" si="7"/>
        <v>0.73787307615400366</v>
      </c>
      <c r="DP19" s="32">
        <f t="shared" si="8"/>
        <v>0.84190059825686381</v>
      </c>
      <c r="DQ19" s="32">
        <f t="shared" si="9"/>
        <v>0.87420604437948557</v>
      </c>
      <c r="DR19" s="32">
        <f t="shared" si="10"/>
        <v>0.90602366204609786</v>
      </c>
      <c r="DS19" s="32">
        <f t="shared" si="11"/>
        <v>0.93001370700301733</v>
      </c>
      <c r="DT19" s="32">
        <f t="shared" si="12"/>
        <v>0.95728942058364752</v>
      </c>
      <c r="DU19" s="32">
        <f t="shared" si="13"/>
        <v>0.97981171804995237</v>
      </c>
      <c r="DV19" s="32">
        <f t="shared" si="14"/>
        <v>1</v>
      </c>
      <c r="DW19" s="39"/>
      <c r="DX19" s="32">
        <f t="shared" si="15"/>
        <v>0.17972999755898031</v>
      </c>
      <c r="DY19" s="32">
        <f t="shared" si="16"/>
        <v>0.46456669440557713</v>
      </c>
      <c r="DZ19" s="32">
        <f t="shared" si="17"/>
        <v>0.55281786685462597</v>
      </c>
      <c r="EA19" s="32">
        <f t="shared" si="18"/>
        <v>0.63055478663084474</v>
      </c>
      <c r="EB19" s="32">
        <f t="shared" si="19"/>
        <v>0.72824067636357281</v>
      </c>
      <c r="EC19" s="32">
        <f t="shared" si="20"/>
        <v>0.83261197816306276</v>
      </c>
      <c r="ED19" s="32">
        <f t="shared" si="21"/>
        <v>0.86710305780349917</v>
      </c>
      <c r="EE19" s="32">
        <f t="shared" si="22"/>
        <v>0.90320894859268386</v>
      </c>
      <c r="EF19" s="32">
        <f t="shared" si="23"/>
        <v>0.92711593241217716</v>
      </c>
      <c r="EG19" s="32">
        <f t="shared" si="24"/>
        <v>0.9530584068561837</v>
      </c>
      <c r="EH19" s="32">
        <f t="shared" si="25"/>
        <v>0.98332075979372291</v>
      </c>
      <c r="EI19" s="32">
        <f t="shared" si="26"/>
        <v>1</v>
      </c>
      <c r="EK19" s="32">
        <f t="shared" si="89"/>
        <v>0.17333433846308152</v>
      </c>
      <c r="EL19" s="32">
        <f t="shared" ref="EL19:EL29" si="104">(CY19+DL19+DY19)/3</f>
        <v>0.41487946664891379</v>
      </c>
      <c r="EM19" s="32">
        <f t="shared" ref="EM19:EM29" si="105">(CZ19+DM19+DZ19)/3</f>
        <v>0.53156811212245036</v>
      </c>
      <c r="EN19" s="32">
        <f t="shared" ref="EN19:EN29" si="106">(DA19+DN19+EA19)/3</f>
        <v>0.62431206690014251</v>
      </c>
      <c r="EO19" s="32">
        <f t="shared" ref="EO19:EO29" si="107">(DB19+DO19+EB19)/3</f>
        <v>0.7314779456066135</v>
      </c>
      <c r="EP19" s="32">
        <f t="shared" ref="EP19:EP29" si="108">(DC19+DP19+EC19)/3</f>
        <v>0.83609137396788924</v>
      </c>
      <c r="EQ19" s="32">
        <f t="shared" ref="EQ19:EQ29" si="109">(DD19+DQ19+ED19)/3</f>
        <v>0.87037584615198627</v>
      </c>
      <c r="ER19" s="32">
        <f t="shared" ref="ER19:ER29" si="110">(DE19+DR19+EE19)/3</f>
        <v>0.90297426578338047</v>
      </c>
      <c r="ES19" s="32">
        <f t="shared" ref="ES19:ES29" si="111">(DF19+DS19+EF19)/3</f>
        <v>0.92837182754765646</v>
      </c>
      <c r="ET19" s="32">
        <f t="shared" ref="ET19:ET29" si="112">(DG19+DT19+EG19)/3</f>
        <v>0.95496886227033528</v>
      </c>
      <c r="EU19" s="32">
        <f t="shared" ref="EU19:EU29" si="113">(DH19+DU19+EH19)/3</f>
        <v>0.97964950867997869</v>
      </c>
      <c r="EV19" s="32">
        <f t="shared" ref="EV19:EV29" si="114">(DI19+DV19+EI19)/3</f>
        <v>1</v>
      </c>
      <c r="EX19" s="32">
        <f t="shared" si="90"/>
        <v>0.17767388951016391</v>
      </c>
      <c r="EY19" s="32">
        <f t="shared" si="91"/>
        <v>0.41073464737943516</v>
      </c>
      <c r="EZ19" s="32">
        <f t="shared" si="92"/>
        <v>0.52514874256009847</v>
      </c>
      <c r="FA19" s="32">
        <f t="shared" si="93"/>
        <v>0.60557689918327573</v>
      </c>
      <c r="FB19" s="32">
        <f t="shared" si="94"/>
        <v>0.6951635282898333</v>
      </c>
      <c r="FC19" s="32">
        <f t="shared" si="95"/>
        <v>0.78594041068914477</v>
      </c>
      <c r="FD19" s="32">
        <f t="shared" si="96"/>
        <v>0.83678528777998429</v>
      </c>
      <c r="FE19" s="32">
        <f t="shared" si="97"/>
        <v>0.88925434703435202</v>
      </c>
      <c r="FF19" s="32">
        <f t="shared" si="98"/>
        <v>0.92191101732565339</v>
      </c>
      <c r="FG19" s="32">
        <f t="shared" si="99"/>
        <v>0.94773406360646528</v>
      </c>
      <c r="FH19" s="32">
        <f t="shared" si="100"/>
        <v>0.97499912017834967</v>
      </c>
      <c r="FI19" s="32">
        <f t="shared" si="101"/>
        <v>1</v>
      </c>
      <c r="FK19" s="32">
        <f t="shared" si="102"/>
        <v>0.17698852016055844</v>
      </c>
      <c r="FL19" s="32">
        <f t="shared" si="29"/>
        <v>0.39279063170405454</v>
      </c>
      <c r="FM19" s="32">
        <f t="shared" si="30"/>
        <v>0.51592570112858938</v>
      </c>
      <c r="FN19" s="32">
        <f t="shared" si="31"/>
        <v>0.5972509367007528</v>
      </c>
      <c r="FO19" s="32">
        <f t="shared" si="32"/>
        <v>0.68413781226525339</v>
      </c>
      <c r="FP19" s="32">
        <f t="shared" si="33"/>
        <v>0.77038322153117222</v>
      </c>
      <c r="FQ19" s="32">
        <f t="shared" si="34"/>
        <v>0.82667936443881251</v>
      </c>
      <c r="FR19" s="32">
        <f t="shared" si="35"/>
        <v>0.88460281318157463</v>
      </c>
      <c r="FS19" s="32">
        <f t="shared" si="36"/>
        <v>0.92017604563014543</v>
      </c>
      <c r="FT19" s="32">
        <f t="shared" si="37"/>
        <v>0.94595928252322592</v>
      </c>
      <c r="FU19" s="32">
        <f t="shared" si="38"/>
        <v>0.97222524030655855</v>
      </c>
      <c r="FV19" s="32">
        <f t="shared" si="39"/>
        <v>1</v>
      </c>
      <c r="FX19" s="32">
        <f t="shared" si="103"/>
        <v>0.18064629221811693</v>
      </c>
      <c r="FY19" s="32">
        <f t="shared" si="40"/>
        <v>0.39262889575042298</v>
      </c>
      <c r="FZ19" s="32">
        <f t="shared" si="41"/>
        <v>0.50705289550866306</v>
      </c>
      <c r="GA19" s="32">
        <f t="shared" si="42"/>
        <v>0.59392841811469244</v>
      </c>
      <c r="GB19" s="32">
        <f t="shared" si="43"/>
        <v>0.67210657263260531</v>
      </c>
      <c r="GC19" s="32">
        <f t="shared" si="44"/>
        <v>0.7520265104687508</v>
      </c>
      <c r="GD19" s="32">
        <f t="shared" si="45"/>
        <v>0.81771380402957483</v>
      </c>
      <c r="GE19" s="32">
        <f t="shared" si="46"/>
        <v>0.87811653238127019</v>
      </c>
      <c r="GF19" s="32">
        <f t="shared" si="47"/>
        <v>0.9171348501148846</v>
      </c>
      <c r="GG19" s="32">
        <f t="shared" si="48"/>
        <v>0.94203695349639605</v>
      </c>
      <c r="GH19" s="32">
        <f t="shared" si="49"/>
        <v>0.9682672207771964</v>
      </c>
      <c r="GI19" s="32">
        <f t="shared" si="50"/>
        <v>1</v>
      </c>
    </row>
    <row r="20" spans="1:191">
      <c r="A20" s="724" t="s">
        <v>94</v>
      </c>
      <c r="B20" s="399">
        <v>83518.61</v>
      </c>
      <c r="C20" s="400">
        <v>79624.740000000005</v>
      </c>
      <c r="D20" s="400">
        <v>58995.63</v>
      </c>
      <c r="E20" s="400">
        <v>42268.91</v>
      </c>
      <c r="F20" s="400">
        <v>40264.949999999997</v>
      </c>
      <c r="G20" s="400">
        <v>54549.36</v>
      </c>
      <c r="H20" s="400">
        <v>39020.18</v>
      </c>
      <c r="I20" s="400">
        <v>22057.78</v>
      </c>
      <c r="J20" s="400">
        <v>13569.18</v>
      </c>
      <c r="K20" s="400">
        <v>9099.0300000000007</v>
      </c>
      <c r="L20" s="400">
        <v>10189.93</v>
      </c>
      <c r="M20" s="400">
        <v>7568.880000000001</v>
      </c>
      <c r="N20" s="400">
        <f t="shared" si="0"/>
        <v>460727.18000000005</v>
      </c>
      <c r="P20" s="396" t="s">
        <v>94</v>
      </c>
      <c r="Q20" s="399">
        <v>80769.94</v>
      </c>
      <c r="R20" s="400">
        <v>52025.02</v>
      </c>
      <c r="S20" s="400">
        <v>35638</v>
      </c>
      <c r="T20" s="400">
        <v>15376.63</v>
      </c>
      <c r="U20" s="400">
        <v>17316.259999999998</v>
      </c>
      <c r="V20" s="400">
        <v>18326.910000000003</v>
      </c>
      <c r="W20" s="400">
        <v>37531.67</v>
      </c>
      <c r="X20" s="400">
        <v>49946.59</v>
      </c>
      <c r="Y20" s="400">
        <v>23113.98</v>
      </c>
      <c r="Z20" s="400">
        <v>7579.08</v>
      </c>
      <c r="AA20" s="400">
        <v>12710.73</v>
      </c>
      <c r="AB20" s="400">
        <v>18034.810000000001</v>
      </c>
      <c r="AC20" s="400">
        <f t="shared" si="51"/>
        <v>368369.62</v>
      </c>
      <c r="AE20" s="127" t="s">
        <v>94</v>
      </c>
      <c r="AF20" s="27">
        <v>58637.599999999999</v>
      </c>
      <c r="AG20" s="27">
        <v>71715.5</v>
      </c>
      <c r="AH20" s="27">
        <v>25231.37</v>
      </c>
      <c r="AI20" s="27">
        <v>30279.96</v>
      </c>
      <c r="AJ20" s="27">
        <v>38256.21</v>
      </c>
      <c r="AK20" s="27">
        <v>38259.519999999997</v>
      </c>
      <c r="AL20" s="27">
        <v>13887.15</v>
      </c>
      <c r="AM20" s="27">
        <v>10871.66</v>
      </c>
      <c r="AN20" s="27">
        <v>11841.19</v>
      </c>
      <c r="AO20" s="27">
        <v>9245.76</v>
      </c>
      <c r="AP20" s="27">
        <v>8889.56</v>
      </c>
      <c r="AQ20" s="27">
        <v>7568.27</v>
      </c>
      <c r="AR20" s="43">
        <f t="shared" si="1"/>
        <v>324683.75</v>
      </c>
      <c r="AT20" s="60" t="s">
        <v>94</v>
      </c>
      <c r="AU20" s="27">
        <v>49912.76</v>
      </c>
      <c r="AV20" s="27">
        <v>66146.91</v>
      </c>
      <c r="AW20" s="27">
        <v>43459.13</v>
      </c>
      <c r="AX20" s="27">
        <v>27998.12</v>
      </c>
      <c r="AY20" s="27">
        <v>27087.910000000003</v>
      </c>
      <c r="AZ20" s="27">
        <v>27381.65</v>
      </c>
      <c r="BA20" s="27">
        <v>8540.1</v>
      </c>
      <c r="BB20" s="27">
        <v>12005.91</v>
      </c>
      <c r="BC20" s="27">
        <v>9590.8799999999992</v>
      </c>
      <c r="BD20" s="27">
        <v>6490.39</v>
      </c>
      <c r="BE20" s="27">
        <v>7061.83</v>
      </c>
      <c r="BF20" s="27">
        <v>4163.08</v>
      </c>
      <c r="BG20" s="43">
        <f t="shared" si="2"/>
        <v>289838.67000000004</v>
      </c>
      <c r="BI20" s="60" t="s">
        <v>94</v>
      </c>
      <c r="BJ20" s="27">
        <v>61557</v>
      </c>
      <c r="BK20" s="27">
        <v>64987.600000000006</v>
      </c>
      <c r="BL20" s="27">
        <v>24007.600000000002</v>
      </c>
      <c r="BM20" s="27">
        <v>19746.169999999998</v>
      </c>
      <c r="BN20" s="27">
        <v>28210.73</v>
      </c>
      <c r="BO20" s="27">
        <v>24567.77</v>
      </c>
      <c r="BP20" s="27">
        <v>7820.5</v>
      </c>
      <c r="BQ20" s="27">
        <v>7043.25</v>
      </c>
      <c r="BR20" s="27">
        <v>8954.61</v>
      </c>
      <c r="BS20" s="27">
        <v>5438.0199999999995</v>
      </c>
      <c r="BT20" s="27">
        <v>8284.6299999999992</v>
      </c>
      <c r="BU20" s="27">
        <v>3561.5699999999997</v>
      </c>
      <c r="BV20" s="43">
        <f t="shared" si="52"/>
        <v>264179.44999999995</v>
      </c>
      <c r="BW20" s="405"/>
      <c r="BX20" s="32">
        <f t="shared" si="53"/>
        <v>0.1812756304066975</v>
      </c>
      <c r="BY20" s="32">
        <f t="shared" si="54"/>
        <v>0.35409968649993689</v>
      </c>
      <c r="BZ20" s="32">
        <f t="shared" si="55"/>
        <v>0.48214863295019839</v>
      </c>
      <c r="CA20" s="32">
        <f t="shared" si="56"/>
        <v>0.57389253657663519</v>
      </c>
      <c r="CB20" s="32">
        <f t="shared" si="57"/>
        <v>0.66128688131661773</v>
      </c>
      <c r="CC20" s="32">
        <f t="shared" si="58"/>
        <v>0.77968527925788966</v>
      </c>
      <c r="CD20" s="32">
        <f t="shared" si="59"/>
        <v>0.86437787325679372</v>
      </c>
      <c r="CE20" s="32">
        <f t="shared" si="60"/>
        <v>0.91225388526025308</v>
      </c>
      <c r="CF20" s="32">
        <f t="shared" si="61"/>
        <v>0.94170554470001089</v>
      </c>
      <c r="CG20" s="32">
        <f t="shared" si="62"/>
        <v>0.9614548245232678</v>
      </c>
      <c r="CH20" s="32">
        <f t="shared" si="63"/>
        <v>0.9835718830393293</v>
      </c>
      <c r="CI20" s="32">
        <f t="shared" si="64"/>
        <v>1</v>
      </c>
      <c r="CJ20" s="405"/>
      <c r="CK20" s="32">
        <f t="shared" si="65"/>
        <v>0.21926330406942898</v>
      </c>
      <c r="CL20" s="32">
        <f t="shared" si="66"/>
        <v>0.36049378882004435</v>
      </c>
      <c r="CM20" s="32">
        <f t="shared" si="67"/>
        <v>0.45723900901491277</v>
      </c>
      <c r="CN20" s="32">
        <f t="shared" si="68"/>
        <v>0.49898140351530618</v>
      </c>
      <c r="CO20" s="32">
        <f t="shared" si="69"/>
        <v>0.54598924308687569</v>
      </c>
      <c r="CP20" s="32">
        <f t="shared" si="70"/>
        <v>0.59574065852661795</v>
      </c>
      <c r="CQ20" s="32">
        <f t="shared" si="71"/>
        <v>0.69762655780354521</v>
      </c>
      <c r="CR20" s="32">
        <f t="shared" si="72"/>
        <v>0.83321480202411924</v>
      </c>
      <c r="CS20" s="32">
        <f t="shared" si="73"/>
        <v>0.89596150735774571</v>
      </c>
      <c r="CT20" s="32">
        <f t="shared" si="74"/>
        <v>0.91653616821061412</v>
      </c>
      <c r="CU20" s="32">
        <f t="shared" si="75"/>
        <v>0.95104153811598258</v>
      </c>
      <c r="CV20" s="32">
        <f t="shared" si="76"/>
        <v>1</v>
      </c>
      <c r="CX20" s="32">
        <f t="shared" si="77"/>
        <v>0.1805991214527983</v>
      </c>
      <c r="CY20" s="32">
        <f t="shared" si="78"/>
        <v>0.40147712966848514</v>
      </c>
      <c r="CZ20" s="32">
        <f t="shared" si="79"/>
        <v>0.47918773267833698</v>
      </c>
      <c r="DA20" s="32">
        <f t="shared" si="80"/>
        <v>0.57244758938505547</v>
      </c>
      <c r="DB20" s="32">
        <f t="shared" si="81"/>
        <v>0.69027365859855927</v>
      </c>
      <c r="DC20" s="32">
        <f t="shared" si="82"/>
        <v>0.808109922347515</v>
      </c>
      <c r="DD20" s="32">
        <f t="shared" si="83"/>
        <v>0.8508812344319665</v>
      </c>
      <c r="DE20" s="32">
        <f t="shared" si="84"/>
        <v>0.88436507832621736</v>
      </c>
      <c r="DF20" s="32">
        <f t="shared" si="85"/>
        <v>0.92083499713182437</v>
      </c>
      <c r="DG20" s="32">
        <f t="shared" si="86"/>
        <v>0.94931119897438654</v>
      </c>
      <c r="DH20" s="32">
        <f t="shared" si="87"/>
        <v>0.9766903332858512</v>
      </c>
      <c r="DI20" s="32">
        <f t="shared" si="88"/>
        <v>1</v>
      </c>
      <c r="DK20" s="32">
        <f t="shared" si="3"/>
        <v>0.17220876703581339</v>
      </c>
      <c r="DL20" s="32">
        <f t="shared" si="4"/>
        <v>0.40042852114936905</v>
      </c>
      <c r="DM20" s="32">
        <f t="shared" si="5"/>
        <v>0.55037100466959776</v>
      </c>
      <c r="DN20" s="32">
        <f t="shared" si="6"/>
        <v>0.64696998506099956</v>
      </c>
      <c r="DO20" s="32">
        <f t="shared" si="7"/>
        <v>0.74042856324175099</v>
      </c>
      <c r="DP20" s="32">
        <f t="shared" si="8"/>
        <v>0.83490060177270331</v>
      </c>
      <c r="DQ20" s="32">
        <f t="shared" si="9"/>
        <v>0.86436561415355651</v>
      </c>
      <c r="DR20" s="32">
        <f t="shared" si="10"/>
        <v>0.90578834770391392</v>
      </c>
      <c r="DS20" s="32">
        <f t="shared" si="11"/>
        <v>0.93887875624049733</v>
      </c>
      <c r="DT20" s="32">
        <f t="shared" si="12"/>
        <v>0.96127186893315497</v>
      </c>
      <c r="DU20" s="32">
        <f t="shared" si="13"/>
        <v>0.98563656119454313</v>
      </c>
      <c r="DV20" s="32">
        <f t="shared" si="14"/>
        <v>1</v>
      </c>
      <c r="DW20" s="39"/>
      <c r="DX20" s="32">
        <f t="shared" si="15"/>
        <v>0.23301206812263411</v>
      </c>
      <c r="DY20" s="32">
        <f t="shared" si="16"/>
        <v>0.47901000626657381</v>
      </c>
      <c r="DZ20" s="32">
        <f t="shared" si="17"/>
        <v>0.56988611339754114</v>
      </c>
      <c r="EA20" s="32">
        <f t="shared" si="18"/>
        <v>0.64463140490299309</v>
      </c>
      <c r="EB20" s="32">
        <f t="shared" si="19"/>
        <v>0.75141764433229019</v>
      </c>
      <c r="EC20" s="32">
        <f t="shared" si="20"/>
        <v>0.84441416620407084</v>
      </c>
      <c r="ED20" s="32">
        <f t="shared" si="21"/>
        <v>0.87401715008491399</v>
      </c>
      <c r="EE20" s="32">
        <f t="shared" si="22"/>
        <v>0.90067800504543427</v>
      </c>
      <c r="EF20" s="32">
        <f t="shared" si="23"/>
        <v>0.93457394206854483</v>
      </c>
      <c r="EG20" s="32">
        <f t="shared" si="24"/>
        <v>0.95515851062601587</v>
      </c>
      <c r="EH20" s="32">
        <f t="shared" si="25"/>
        <v>0.98651836848021301</v>
      </c>
      <c r="EI20" s="32">
        <f t="shared" si="26"/>
        <v>1</v>
      </c>
      <c r="EK20" s="32">
        <f t="shared" si="89"/>
        <v>0.19527331887041524</v>
      </c>
      <c r="EL20" s="32">
        <f t="shared" si="104"/>
        <v>0.42697188569480932</v>
      </c>
      <c r="EM20" s="32">
        <f t="shared" si="105"/>
        <v>0.53314828358182531</v>
      </c>
      <c r="EN20" s="32">
        <f t="shared" si="106"/>
        <v>0.62134965978301604</v>
      </c>
      <c r="EO20" s="32">
        <f t="shared" si="107"/>
        <v>0.72737328872420015</v>
      </c>
      <c r="EP20" s="32">
        <f t="shared" si="108"/>
        <v>0.82914156344142975</v>
      </c>
      <c r="EQ20" s="32">
        <f t="shared" si="109"/>
        <v>0.86308799955681226</v>
      </c>
      <c r="ER20" s="32">
        <f t="shared" si="110"/>
        <v>0.89694381035852189</v>
      </c>
      <c r="ES20" s="32">
        <f t="shared" si="111"/>
        <v>0.93142923181362214</v>
      </c>
      <c r="ET20" s="32">
        <f t="shared" si="112"/>
        <v>0.95524719284451909</v>
      </c>
      <c r="EU20" s="32">
        <f t="shared" si="113"/>
        <v>0.98294842098686919</v>
      </c>
      <c r="EV20" s="32">
        <f t="shared" si="114"/>
        <v>1</v>
      </c>
      <c r="EX20" s="32">
        <f t="shared" si="90"/>
        <v>0.2012708151701687</v>
      </c>
      <c r="EY20" s="32">
        <f t="shared" si="91"/>
        <v>0.41035236147611809</v>
      </c>
      <c r="EZ20" s="32">
        <f t="shared" si="92"/>
        <v>0.51417096494009717</v>
      </c>
      <c r="FA20" s="32">
        <f t="shared" si="93"/>
        <v>0.59075759571608855</v>
      </c>
      <c r="FB20" s="32">
        <f t="shared" si="94"/>
        <v>0.68202727731486901</v>
      </c>
      <c r="FC20" s="32">
        <f t="shared" si="95"/>
        <v>0.77079133721272675</v>
      </c>
      <c r="FD20" s="32">
        <f t="shared" si="96"/>
        <v>0.82172263911849552</v>
      </c>
      <c r="FE20" s="32">
        <f t="shared" si="97"/>
        <v>0.88101155827492117</v>
      </c>
      <c r="FF20" s="32">
        <f t="shared" si="98"/>
        <v>0.92256230069965306</v>
      </c>
      <c r="FG20" s="32">
        <f t="shared" si="99"/>
        <v>0.94556943668604287</v>
      </c>
      <c r="FH20" s="32">
        <f t="shared" si="100"/>
        <v>0.97497170026914748</v>
      </c>
      <c r="FI20" s="32">
        <f t="shared" si="101"/>
        <v>1</v>
      </c>
      <c r="FK20" s="32">
        <f t="shared" si="102"/>
        <v>0.19069039751934688</v>
      </c>
      <c r="FL20" s="32">
        <f t="shared" si="29"/>
        <v>0.3874664798792995</v>
      </c>
      <c r="FM20" s="32">
        <f t="shared" si="30"/>
        <v>0.4955992487876158</v>
      </c>
      <c r="FN20" s="32">
        <f t="shared" si="31"/>
        <v>0.57279965932045374</v>
      </c>
      <c r="FO20" s="32">
        <f t="shared" si="32"/>
        <v>0.65889715497572865</v>
      </c>
      <c r="FP20" s="32">
        <f t="shared" si="33"/>
        <v>0.74625039421561201</v>
      </c>
      <c r="FQ20" s="32">
        <f t="shared" si="34"/>
        <v>0.80429113546302278</v>
      </c>
      <c r="FR20" s="32">
        <f t="shared" si="35"/>
        <v>0.87445607601808339</v>
      </c>
      <c r="FS20" s="32">
        <f t="shared" si="36"/>
        <v>0.91855842024335577</v>
      </c>
      <c r="FT20" s="32">
        <f t="shared" si="37"/>
        <v>0.94237307870605191</v>
      </c>
      <c r="FU20" s="32">
        <f t="shared" si="38"/>
        <v>0.97112281086545893</v>
      </c>
      <c r="FV20" s="32">
        <f t="shared" si="39"/>
        <v>1</v>
      </c>
      <c r="FX20" s="32">
        <f t="shared" si="103"/>
        <v>0.19371268530964159</v>
      </c>
      <c r="FY20" s="32">
        <f t="shared" si="40"/>
        <v>0.37202353499615542</v>
      </c>
      <c r="FZ20" s="32">
        <f t="shared" si="41"/>
        <v>0.47285845821448264</v>
      </c>
      <c r="GA20" s="32">
        <f t="shared" si="42"/>
        <v>0.54844050982566561</v>
      </c>
      <c r="GB20" s="32">
        <f t="shared" si="43"/>
        <v>0.63251659433401752</v>
      </c>
      <c r="GC20" s="32">
        <f t="shared" si="44"/>
        <v>0.72784528671067417</v>
      </c>
      <c r="GD20" s="32">
        <f t="shared" si="45"/>
        <v>0.80429522183076851</v>
      </c>
      <c r="GE20" s="32">
        <f t="shared" si="46"/>
        <v>0.87661125520352989</v>
      </c>
      <c r="GF20" s="32">
        <f t="shared" si="47"/>
        <v>0.91950068306319377</v>
      </c>
      <c r="GG20" s="32">
        <f t="shared" si="48"/>
        <v>0.94243406390275608</v>
      </c>
      <c r="GH20" s="32">
        <f t="shared" si="49"/>
        <v>0.97043458481372102</v>
      </c>
      <c r="GI20" s="32">
        <f t="shared" si="50"/>
        <v>1</v>
      </c>
    </row>
    <row r="21" spans="1:191">
      <c r="A21" s="724" t="s">
        <v>95</v>
      </c>
      <c r="B21" s="399">
        <v>1027134.84</v>
      </c>
      <c r="C21" s="400">
        <v>1127328.04</v>
      </c>
      <c r="D21" s="400">
        <v>674817.78</v>
      </c>
      <c r="E21" s="400">
        <v>465654.11</v>
      </c>
      <c r="F21" s="400">
        <v>490500.85</v>
      </c>
      <c r="G21" s="400">
        <v>563592.05000000005</v>
      </c>
      <c r="H21" s="400">
        <v>378034.76</v>
      </c>
      <c r="I21" s="400">
        <v>225351.92</v>
      </c>
      <c r="J21" s="400">
        <v>178882.57</v>
      </c>
      <c r="K21" s="400">
        <v>137424.88</v>
      </c>
      <c r="L21" s="400">
        <v>125203.8</v>
      </c>
      <c r="M21" s="400">
        <v>128293.11</v>
      </c>
      <c r="N21" s="400">
        <f t="shared" si="0"/>
        <v>5522218.71</v>
      </c>
      <c r="P21" s="396" t="s">
        <v>95</v>
      </c>
      <c r="Q21" s="399">
        <v>1157616.98</v>
      </c>
      <c r="R21" s="400">
        <v>986707.03</v>
      </c>
      <c r="S21" s="400">
        <v>556746.85</v>
      </c>
      <c r="T21" s="400">
        <v>207984.04</v>
      </c>
      <c r="U21" s="400">
        <v>176131.3</v>
      </c>
      <c r="V21" s="400">
        <v>292119.41000000003</v>
      </c>
      <c r="W21" s="400">
        <v>462835.95</v>
      </c>
      <c r="X21" s="400">
        <v>487103.11</v>
      </c>
      <c r="Y21" s="400">
        <v>224575.42</v>
      </c>
      <c r="Z21" s="400">
        <v>84895.31</v>
      </c>
      <c r="AA21" s="400">
        <v>151358.72999999998</v>
      </c>
      <c r="AB21" s="400">
        <v>152660.95000000001</v>
      </c>
      <c r="AC21" s="400">
        <f t="shared" si="51"/>
        <v>4940735.0799999991</v>
      </c>
      <c r="AE21" s="127" t="s">
        <v>95</v>
      </c>
      <c r="AF21" s="27">
        <v>1210553.2</v>
      </c>
      <c r="AG21" s="27">
        <v>1123651.81</v>
      </c>
      <c r="AH21" s="27">
        <v>386889.29</v>
      </c>
      <c r="AI21" s="27">
        <v>442082.35</v>
      </c>
      <c r="AJ21" s="27">
        <v>571441.34</v>
      </c>
      <c r="AK21" s="27">
        <v>475134.1</v>
      </c>
      <c r="AL21" s="27">
        <v>383409.57</v>
      </c>
      <c r="AM21" s="27">
        <v>250997.4</v>
      </c>
      <c r="AN21" s="27">
        <v>190074.54</v>
      </c>
      <c r="AO21" s="27">
        <v>164348</v>
      </c>
      <c r="AP21" s="27">
        <v>117138.17</v>
      </c>
      <c r="AQ21" s="27">
        <v>165110.38</v>
      </c>
      <c r="AR21" s="43">
        <f t="shared" si="1"/>
        <v>5480830.1500000004</v>
      </c>
      <c r="AT21" s="60" t="s">
        <v>95</v>
      </c>
      <c r="AU21" s="27">
        <v>1052840.29</v>
      </c>
      <c r="AV21" s="27">
        <v>1052866.8700000001</v>
      </c>
      <c r="AW21" s="27">
        <v>713923.62</v>
      </c>
      <c r="AX21" s="27">
        <v>404837.41</v>
      </c>
      <c r="AY21" s="27">
        <v>501448.12000000005</v>
      </c>
      <c r="AZ21" s="27">
        <v>481774.63</v>
      </c>
      <c r="BA21" s="27">
        <v>141722.21</v>
      </c>
      <c r="BB21" s="27">
        <v>222271.48</v>
      </c>
      <c r="BC21" s="27">
        <v>148849.82</v>
      </c>
      <c r="BD21" s="27">
        <v>147878.75</v>
      </c>
      <c r="BE21" s="27">
        <v>104687.08</v>
      </c>
      <c r="BF21" s="27">
        <v>114364.32</v>
      </c>
      <c r="BG21" s="43">
        <f t="shared" si="2"/>
        <v>5087464.6000000015</v>
      </c>
      <c r="BI21" s="60" t="s">
        <v>95</v>
      </c>
      <c r="BJ21" s="27">
        <v>1372440.4500000002</v>
      </c>
      <c r="BK21" s="27">
        <v>1277172.8500000001</v>
      </c>
      <c r="BL21" s="27">
        <v>426045.14999999997</v>
      </c>
      <c r="BM21" s="27">
        <v>310273.49</v>
      </c>
      <c r="BN21" s="27">
        <v>477740.23</v>
      </c>
      <c r="BO21" s="27">
        <v>483644.76</v>
      </c>
      <c r="BP21" s="27">
        <v>225070.39</v>
      </c>
      <c r="BQ21" s="27">
        <v>226216.44</v>
      </c>
      <c r="BR21" s="27">
        <v>153776.87</v>
      </c>
      <c r="BS21" s="27">
        <v>167512.67000000001</v>
      </c>
      <c r="BT21" s="27">
        <v>131381.07999999999</v>
      </c>
      <c r="BU21" s="27">
        <v>120186.66</v>
      </c>
      <c r="BV21" s="43">
        <f t="shared" si="52"/>
        <v>5371461.040000001</v>
      </c>
      <c r="BW21" s="405"/>
      <c r="BX21" s="32">
        <f t="shared" si="53"/>
        <v>0.18600039113626485</v>
      </c>
      <c r="BY21" s="32">
        <f t="shared" si="54"/>
        <v>0.39014443163914453</v>
      </c>
      <c r="BZ21" s="32">
        <f t="shared" si="55"/>
        <v>0.51234491217751865</v>
      </c>
      <c r="CA21" s="32">
        <f t="shared" si="56"/>
        <v>0.59666864770011985</v>
      </c>
      <c r="CB21" s="32">
        <f t="shared" si="57"/>
        <v>0.68549179574236752</v>
      </c>
      <c r="CC21" s="32">
        <f t="shared" si="58"/>
        <v>0.7875507831887375</v>
      </c>
      <c r="CD21" s="32">
        <f t="shared" si="59"/>
        <v>0.85600782552127486</v>
      </c>
      <c r="CE21" s="32">
        <f t="shared" si="60"/>
        <v>0.89681604624457179</v>
      </c>
      <c r="CF21" s="32">
        <f t="shared" si="61"/>
        <v>0.92920928877878506</v>
      </c>
      <c r="CG21" s="32">
        <f t="shared" si="62"/>
        <v>0.95409509776551382</v>
      </c>
      <c r="CH21" s="32">
        <f t="shared" si="63"/>
        <v>0.97676783250766963</v>
      </c>
      <c r="CI21" s="32">
        <f t="shared" si="64"/>
        <v>1</v>
      </c>
      <c r="CJ21" s="405"/>
      <c r="CK21" s="32">
        <f t="shared" si="65"/>
        <v>0.23430055675035305</v>
      </c>
      <c r="CL21" s="32">
        <f t="shared" si="66"/>
        <v>0.43400910497714851</v>
      </c>
      <c r="CM21" s="32">
        <f t="shared" si="67"/>
        <v>0.54669412876109935</v>
      </c>
      <c r="CN21" s="32">
        <f t="shared" si="68"/>
        <v>0.58878989723124364</v>
      </c>
      <c r="CO21" s="32">
        <f t="shared" si="69"/>
        <v>0.62443870194311257</v>
      </c>
      <c r="CP21" s="32">
        <f t="shared" si="70"/>
        <v>0.68356338789976179</v>
      </c>
      <c r="CQ21" s="32">
        <f t="shared" si="71"/>
        <v>0.77724093638309399</v>
      </c>
      <c r="CR21" s="32">
        <f t="shared" si="72"/>
        <v>0.87583013457179748</v>
      </c>
      <c r="CS21" s="32">
        <f t="shared" si="73"/>
        <v>0.92128398230167818</v>
      </c>
      <c r="CT21" s="32">
        <f t="shared" si="74"/>
        <v>0.9384667109089363</v>
      </c>
      <c r="CU21" s="32">
        <f t="shared" si="75"/>
        <v>0.96910157142042108</v>
      </c>
      <c r="CV21" s="32">
        <f t="shared" si="76"/>
        <v>1</v>
      </c>
      <c r="CX21" s="32">
        <f t="shared" si="77"/>
        <v>0.22087040956742654</v>
      </c>
      <c r="CY21" s="32">
        <f t="shared" si="78"/>
        <v>0.42588530315977763</v>
      </c>
      <c r="CZ21" s="32">
        <f t="shared" si="79"/>
        <v>0.4964748451473176</v>
      </c>
      <c r="DA21" s="32">
        <f t="shared" si="80"/>
        <v>0.57713458790544703</v>
      </c>
      <c r="DB21" s="32">
        <f t="shared" si="81"/>
        <v>0.68139641035947807</v>
      </c>
      <c r="DC21" s="32">
        <f t="shared" si="82"/>
        <v>0.76808658082571657</v>
      </c>
      <c r="DD21" s="32">
        <f t="shared" si="83"/>
        <v>0.8380412335894043</v>
      </c>
      <c r="DE21" s="32">
        <f t="shared" si="84"/>
        <v>0.88383674141042301</v>
      </c>
      <c r="DF21" s="32">
        <f t="shared" si="85"/>
        <v>0.91851662288786673</v>
      </c>
      <c r="DG21" s="32">
        <f t="shared" si="86"/>
        <v>0.94850259134558301</v>
      </c>
      <c r="DH21" s="32">
        <f t="shared" si="87"/>
        <v>0.96987493217610476</v>
      </c>
      <c r="DI21" s="32">
        <f t="shared" si="88"/>
        <v>1</v>
      </c>
      <c r="DK21" s="32">
        <f t="shared" si="3"/>
        <v>0.20694793434041778</v>
      </c>
      <c r="DL21" s="32">
        <f t="shared" si="4"/>
        <v>0.41390109328721414</v>
      </c>
      <c r="DM21" s="32">
        <f t="shared" si="5"/>
        <v>0.55423103681153862</v>
      </c>
      <c r="DN21" s="32">
        <f t="shared" si="6"/>
        <v>0.6338065114005903</v>
      </c>
      <c r="DO21" s="32">
        <f t="shared" si="7"/>
        <v>0.73237193827353597</v>
      </c>
      <c r="DP21" s="32">
        <f t="shared" si="8"/>
        <v>0.8270703131772158</v>
      </c>
      <c r="DQ21" s="32">
        <f t="shared" si="9"/>
        <v>0.85492745246817037</v>
      </c>
      <c r="DR21" s="32">
        <f t="shared" si="10"/>
        <v>0.8986174822720141</v>
      </c>
      <c r="DS21" s="32">
        <f t="shared" si="11"/>
        <v>0.92787563573415321</v>
      </c>
      <c r="DT21" s="32">
        <f t="shared" si="12"/>
        <v>0.95694291415806598</v>
      </c>
      <c r="DU21" s="32">
        <f t="shared" si="13"/>
        <v>0.97752037036287187</v>
      </c>
      <c r="DV21" s="32">
        <f t="shared" si="14"/>
        <v>1</v>
      </c>
      <c r="DW21" s="39"/>
      <c r="DX21" s="32">
        <f t="shared" si="15"/>
        <v>0.25550598613296466</v>
      </c>
      <c r="DY21" s="32">
        <f t="shared" si="16"/>
        <v>0.49327609011197443</v>
      </c>
      <c r="DZ21" s="32">
        <f t="shared" si="17"/>
        <v>0.57259252689283202</v>
      </c>
      <c r="EA21" s="32">
        <f t="shared" si="18"/>
        <v>0.63035585938085847</v>
      </c>
      <c r="EB21" s="32">
        <f t="shared" si="19"/>
        <v>0.71929632203010441</v>
      </c>
      <c r="EC21" s="32">
        <f t="shared" si="20"/>
        <v>0.80933602564117268</v>
      </c>
      <c r="ED21" s="32">
        <f t="shared" si="21"/>
        <v>0.85123717475571592</v>
      </c>
      <c r="EE21" s="32">
        <f t="shared" si="22"/>
        <v>0.89335168295291212</v>
      </c>
      <c r="EF21" s="32">
        <f t="shared" si="23"/>
        <v>0.92198018250915215</v>
      </c>
      <c r="EG21" s="32">
        <f t="shared" si="24"/>
        <v>0.95316586341655751</v>
      </c>
      <c r="EH21" s="32">
        <f t="shared" si="25"/>
        <v>0.97762495918615089</v>
      </c>
      <c r="EI21" s="32">
        <f t="shared" si="26"/>
        <v>1</v>
      </c>
      <c r="EK21" s="32">
        <f t="shared" si="89"/>
        <v>0.22777477668026966</v>
      </c>
      <c r="EL21" s="32">
        <f t="shared" si="104"/>
        <v>0.44435416218632207</v>
      </c>
      <c r="EM21" s="32">
        <f t="shared" si="105"/>
        <v>0.54109946961722943</v>
      </c>
      <c r="EN21" s="32">
        <f t="shared" si="106"/>
        <v>0.6137656528956319</v>
      </c>
      <c r="EO21" s="32">
        <f t="shared" si="107"/>
        <v>0.71102155688770619</v>
      </c>
      <c r="EP21" s="32">
        <f t="shared" si="108"/>
        <v>0.80149763988136835</v>
      </c>
      <c r="EQ21" s="32">
        <f t="shared" si="109"/>
        <v>0.84806862027109686</v>
      </c>
      <c r="ER21" s="32">
        <f t="shared" si="110"/>
        <v>0.89193530221178297</v>
      </c>
      <c r="ES21" s="32">
        <f t="shared" si="111"/>
        <v>0.92279081371039073</v>
      </c>
      <c r="ET21" s="32">
        <f t="shared" si="112"/>
        <v>0.9528704563067355</v>
      </c>
      <c r="EU21" s="32">
        <f t="shared" si="113"/>
        <v>0.97500675390837588</v>
      </c>
      <c r="EV21" s="32">
        <f t="shared" si="114"/>
        <v>1</v>
      </c>
      <c r="EX21" s="32">
        <f t="shared" si="90"/>
        <v>0.22940622169779051</v>
      </c>
      <c r="EY21" s="32">
        <f t="shared" si="91"/>
        <v>0.4417678978840287</v>
      </c>
      <c r="EZ21" s="32">
        <f t="shared" si="92"/>
        <v>0.54249813440319694</v>
      </c>
      <c r="FA21" s="32">
        <f t="shared" si="93"/>
        <v>0.60752171397953492</v>
      </c>
      <c r="FB21" s="32">
        <f t="shared" si="94"/>
        <v>0.68937584315155775</v>
      </c>
      <c r="FC21" s="32">
        <f t="shared" si="95"/>
        <v>0.77201407688596668</v>
      </c>
      <c r="FD21" s="32">
        <f t="shared" si="96"/>
        <v>0.8303616992990962</v>
      </c>
      <c r="FE21" s="32">
        <f t="shared" si="97"/>
        <v>0.88790901030178659</v>
      </c>
      <c r="FF21" s="32">
        <f t="shared" si="98"/>
        <v>0.92241410585821249</v>
      </c>
      <c r="FG21" s="32">
        <f t="shared" si="99"/>
        <v>0.9492695199572857</v>
      </c>
      <c r="FH21" s="32">
        <f t="shared" si="100"/>
        <v>0.97353045828638707</v>
      </c>
      <c r="FI21" s="32">
        <f t="shared" si="101"/>
        <v>1</v>
      </c>
      <c r="FK21" s="32">
        <f t="shared" si="102"/>
        <v>0.2207063002193991</v>
      </c>
      <c r="FL21" s="32">
        <f t="shared" si="29"/>
        <v>0.42459850047471343</v>
      </c>
      <c r="FM21" s="32">
        <f t="shared" si="30"/>
        <v>0.53246667023998517</v>
      </c>
      <c r="FN21" s="32">
        <f t="shared" si="31"/>
        <v>0.59991033217909362</v>
      </c>
      <c r="FO21" s="32">
        <f t="shared" si="32"/>
        <v>0.6794023501920422</v>
      </c>
      <c r="FP21" s="32">
        <f t="shared" si="33"/>
        <v>0.75957342730089794</v>
      </c>
      <c r="FQ21" s="32">
        <f t="shared" si="34"/>
        <v>0.823403207480223</v>
      </c>
      <c r="FR21" s="32">
        <f t="shared" si="35"/>
        <v>0.88609478608474479</v>
      </c>
      <c r="FS21" s="32">
        <f t="shared" si="36"/>
        <v>0.92255874697456608</v>
      </c>
      <c r="FT21" s="32">
        <f t="shared" si="37"/>
        <v>0.94797073880419502</v>
      </c>
      <c r="FU21" s="32">
        <f t="shared" si="38"/>
        <v>0.97216562465313261</v>
      </c>
      <c r="FV21" s="32">
        <f t="shared" si="39"/>
        <v>1</v>
      </c>
      <c r="FX21" s="32">
        <f t="shared" si="103"/>
        <v>0.21372378581801479</v>
      </c>
      <c r="FY21" s="32">
        <f t="shared" si="40"/>
        <v>0.41667961325869024</v>
      </c>
      <c r="FZ21" s="32">
        <f t="shared" si="41"/>
        <v>0.51850462869531189</v>
      </c>
      <c r="GA21" s="32">
        <f t="shared" si="42"/>
        <v>0.58753104427893688</v>
      </c>
      <c r="GB21" s="32">
        <f t="shared" si="43"/>
        <v>0.66377563601498613</v>
      </c>
      <c r="GC21" s="32">
        <f t="shared" si="44"/>
        <v>0.74640025063807192</v>
      </c>
      <c r="GD21" s="32">
        <f t="shared" si="45"/>
        <v>0.82376333183125772</v>
      </c>
      <c r="GE21" s="32">
        <f t="shared" si="46"/>
        <v>0.88549430740893076</v>
      </c>
      <c r="GF21" s="32">
        <f t="shared" si="47"/>
        <v>0.92300329798944336</v>
      </c>
      <c r="GG21" s="32">
        <f t="shared" si="48"/>
        <v>0.94702146667334441</v>
      </c>
      <c r="GH21" s="32">
        <f t="shared" si="49"/>
        <v>0.97191477870139842</v>
      </c>
      <c r="GI21" s="32">
        <f t="shared" si="50"/>
        <v>1</v>
      </c>
    </row>
    <row r="22" spans="1:191">
      <c r="A22" s="724" t="s">
        <v>96</v>
      </c>
      <c r="B22" s="399">
        <v>94482.06</v>
      </c>
      <c r="C22" s="400">
        <v>131806.62</v>
      </c>
      <c r="D22" s="400">
        <v>112708.17</v>
      </c>
      <c r="E22" s="400">
        <v>84503.51</v>
      </c>
      <c r="F22" s="400">
        <v>71630.25</v>
      </c>
      <c r="G22" s="400">
        <v>64371.61</v>
      </c>
      <c r="H22" s="400">
        <v>55793.760000000002</v>
      </c>
      <c r="I22" s="400">
        <v>40240.39</v>
      </c>
      <c r="J22" s="400">
        <v>22319.200000000001</v>
      </c>
      <c r="K22" s="400">
        <v>15167.37</v>
      </c>
      <c r="L22" s="400">
        <v>14686.96</v>
      </c>
      <c r="M22" s="400">
        <v>18441.39</v>
      </c>
      <c r="N22" s="400">
        <f t="shared" si="0"/>
        <v>726151.28999999992</v>
      </c>
      <c r="P22" s="396" t="s">
        <v>96</v>
      </c>
      <c r="Q22" s="399">
        <v>116753.31</v>
      </c>
      <c r="R22" s="400">
        <v>129148.03</v>
      </c>
      <c r="S22" s="400">
        <v>92476.83</v>
      </c>
      <c r="T22" s="400">
        <v>33710.28</v>
      </c>
      <c r="U22" s="400">
        <v>25954.62</v>
      </c>
      <c r="V22" s="400">
        <v>37662.14</v>
      </c>
      <c r="W22" s="400">
        <v>67792.25</v>
      </c>
      <c r="X22" s="400">
        <v>78740.320000000007</v>
      </c>
      <c r="Y22" s="400">
        <v>35590.68</v>
      </c>
      <c r="Z22" s="400">
        <v>10979.38</v>
      </c>
      <c r="AA22" s="400">
        <v>19944.809999999998</v>
      </c>
      <c r="AB22" s="400">
        <v>23823.54</v>
      </c>
      <c r="AC22" s="400">
        <f t="shared" si="51"/>
        <v>672576.19000000018</v>
      </c>
      <c r="AE22" s="127" t="s">
        <v>96</v>
      </c>
      <c r="AF22" s="27">
        <v>95692.160000000003</v>
      </c>
      <c r="AG22" s="27">
        <v>145841.31</v>
      </c>
      <c r="AH22" s="27">
        <v>58718.31</v>
      </c>
      <c r="AI22" s="27">
        <v>66790.25</v>
      </c>
      <c r="AJ22" s="27">
        <v>82978.63</v>
      </c>
      <c r="AK22" s="27">
        <v>78765.09</v>
      </c>
      <c r="AL22" s="27">
        <v>22916.93</v>
      </c>
      <c r="AM22" s="27">
        <v>17310.82</v>
      </c>
      <c r="AN22" s="27">
        <v>17369.599999999999</v>
      </c>
      <c r="AO22" s="27">
        <v>15609.41</v>
      </c>
      <c r="AP22" s="27">
        <v>14426.46</v>
      </c>
      <c r="AQ22" s="27">
        <v>18754.439999999999</v>
      </c>
      <c r="AR22" s="43">
        <f t="shared" si="1"/>
        <v>635173.40999999992</v>
      </c>
      <c r="AT22" s="60" t="s">
        <v>96</v>
      </c>
      <c r="AU22" s="27">
        <v>84327.14</v>
      </c>
      <c r="AV22" s="27">
        <v>122545.74</v>
      </c>
      <c r="AW22" s="27">
        <v>93804</v>
      </c>
      <c r="AX22" s="27">
        <v>60487.68</v>
      </c>
      <c r="AY22" s="27">
        <v>70666.47</v>
      </c>
      <c r="AZ22" s="27">
        <v>67861.429999999993</v>
      </c>
      <c r="BA22" s="27">
        <v>21722.3</v>
      </c>
      <c r="BB22" s="27">
        <v>14031.28</v>
      </c>
      <c r="BC22" s="27">
        <v>14431.18</v>
      </c>
      <c r="BD22" s="27">
        <v>14040.31</v>
      </c>
      <c r="BE22" s="27">
        <v>12349.72</v>
      </c>
      <c r="BF22" s="27">
        <v>11375.19</v>
      </c>
      <c r="BG22" s="43">
        <f t="shared" si="2"/>
        <v>587642.44000000006</v>
      </c>
      <c r="BI22" s="60" t="s">
        <v>96</v>
      </c>
      <c r="BJ22" s="27">
        <v>88281.27</v>
      </c>
      <c r="BK22" s="27">
        <v>161823.60999999999</v>
      </c>
      <c r="BL22" s="27">
        <v>55004.33</v>
      </c>
      <c r="BM22" s="27">
        <v>41276.949999999997</v>
      </c>
      <c r="BN22" s="27">
        <v>62614</v>
      </c>
      <c r="BO22" s="27">
        <v>69445.69</v>
      </c>
      <c r="BP22" s="27">
        <v>18293.670000000002</v>
      </c>
      <c r="BQ22" s="27">
        <v>19692.09</v>
      </c>
      <c r="BR22" s="27">
        <v>16482.43</v>
      </c>
      <c r="BS22" s="27">
        <v>12972.359999999999</v>
      </c>
      <c r="BT22" s="27">
        <v>17049.59</v>
      </c>
      <c r="BU22" s="27">
        <v>9355.91</v>
      </c>
      <c r="BV22" s="43">
        <f t="shared" si="52"/>
        <v>572291.9</v>
      </c>
      <c r="BW22" s="405"/>
      <c r="BX22" s="32">
        <f t="shared" si="53"/>
        <v>0.13011346437186666</v>
      </c>
      <c r="BY22" s="32">
        <f t="shared" si="54"/>
        <v>0.31162745713775436</v>
      </c>
      <c r="BZ22" s="32">
        <f t="shared" si="55"/>
        <v>0.46684052575324902</v>
      </c>
      <c r="CA22" s="32">
        <f t="shared" si="56"/>
        <v>0.58321229450683765</v>
      </c>
      <c r="CB22" s="32">
        <f t="shared" si="57"/>
        <v>0.68185599449943834</v>
      </c>
      <c r="CC22" s="32">
        <f t="shared" si="58"/>
        <v>0.7705036508301184</v>
      </c>
      <c r="CD22" s="32">
        <f t="shared" si="59"/>
        <v>0.84733854841736911</v>
      </c>
      <c r="CE22" s="32">
        <f t="shared" si="60"/>
        <v>0.90275453480224499</v>
      </c>
      <c r="CF22" s="32">
        <f t="shared" si="61"/>
        <v>0.93349082943858719</v>
      </c>
      <c r="CG22" s="32">
        <f t="shared" si="62"/>
        <v>0.95437817097315902</v>
      </c>
      <c r="CH22" s="32">
        <f t="shared" si="63"/>
        <v>0.97460392861107492</v>
      </c>
      <c r="CI22" s="32">
        <f t="shared" si="64"/>
        <v>1</v>
      </c>
      <c r="CJ22" s="405"/>
      <c r="CK22" s="32">
        <f t="shared" si="65"/>
        <v>0.17359120310220907</v>
      </c>
      <c r="CL22" s="32">
        <f t="shared" si="66"/>
        <v>0.36561112875553908</v>
      </c>
      <c r="CM22" s="32">
        <f t="shared" si="67"/>
        <v>0.50310756614800756</v>
      </c>
      <c r="CN22" s="32">
        <f t="shared" si="68"/>
        <v>0.55322869814942432</v>
      </c>
      <c r="CO22" s="32">
        <f t="shared" si="69"/>
        <v>0.59181855664560445</v>
      </c>
      <c r="CP22" s="32">
        <f t="shared" si="70"/>
        <v>0.64781539471386851</v>
      </c>
      <c r="CQ22" s="32">
        <f t="shared" si="71"/>
        <v>0.74861029499126308</v>
      </c>
      <c r="CR22" s="32">
        <f t="shared" si="72"/>
        <v>0.86568300908778806</v>
      </c>
      <c r="CS22" s="32">
        <f t="shared" si="73"/>
        <v>0.91859995816979478</v>
      </c>
      <c r="CT22" s="32">
        <f t="shared" si="74"/>
        <v>0.9349243243356562</v>
      </c>
      <c r="CU22" s="32">
        <f t="shared" si="75"/>
        <v>0.96457867472233882</v>
      </c>
      <c r="CV22" s="32">
        <f t="shared" si="76"/>
        <v>1</v>
      </c>
      <c r="CX22" s="32">
        <f t="shared" si="77"/>
        <v>0.15065517304951417</v>
      </c>
      <c r="CY22" s="32">
        <f t="shared" si="78"/>
        <v>0.38026382433105949</v>
      </c>
      <c r="CZ22" s="32">
        <f t="shared" si="79"/>
        <v>0.47270835849378529</v>
      </c>
      <c r="DA22" s="32">
        <f t="shared" si="80"/>
        <v>0.57786113874004907</v>
      </c>
      <c r="DB22" s="32">
        <f t="shared" si="81"/>
        <v>0.70850047076120537</v>
      </c>
      <c r="DC22" s="32">
        <f t="shared" si="82"/>
        <v>0.83250611828980703</v>
      </c>
      <c r="DD22" s="32">
        <f t="shared" si="83"/>
        <v>0.86858591892251935</v>
      </c>
      <c r="DE22" s="32">
        <f t="shared" si="84"/>
        <v>0.89583961016252256</v>
      </c>
      <c r="DF22" s="32">
        <f t="shared" si="85"/>
        <v>0.92318584305977169</v>
      </c>
      <c r="DG22" s="32">
        <f t="shared" si="86"/>
        <v>0.9477608799776428</v>
      </c>
      <c r="DH22" s="32">
        <f t="shared" si="87"/>
        <v>0.97047351210750477</v>
      </c>
      <c r="DI22" s="32">
        <f t="shared" si="88"/>
        <v>1</v>
      </c>
      <c r="DK22" s="32">
        <f t="shared" si="3"/>
        <v>0.14350076553354449</v>
      </c>
      <c r="DL22" s="32">
        <f t="shared" si="4"/>
        <v>0.35203869890677053</v>
      </c>
      <c r="DM22" s="32">
        <f t="shared" si="5"/>
        <v>0.51166637998440001</v>
      </c>
      <c r="DN22" s="32">
        <f t="shared" si="6"/>
        <v>0.61459917700974753</v>
      </c>
      <c r="DO22" s="32">
        <f t="shared" si="7"/>
        <v>0.73485337444313925</v>
      </c>
      <c r="DP22" s="32">
        <f t="shared" si="8"/>
        <v>0.85033419301710067</v>
      </c>
      <c r="DQ22" s="32">
        <f t="shared" si="9"/>
        <v>0.88729935843299534</v>
      </c>
      <c r="DR22" s="32">
        <f t="shared" si="10"/>
        <v>0.91117659915781435</v>
      </c>
      <c r="DS22" s="32">
        <f t="shared" si="11"/>
        <v>0.93573435574190322</v>
      </c>
      <c r="DT22" s="32">
        <f t="shared" si="12"/>
        <v>0.95962696295386718</v>
      </c>
      <c r="DU22" s="32">
        <f t="shared" si="13"/>
        <v>0.98064266767390063</v>
      </c>
      <c r="DV22" s="32">
        <f t="shared" si="14"/>
        <v>1</v>
      </c>
      <c r="DW22" s="39"/>
      <c r="DX22" s="32">
        <f t="shared" si="15"/>
        <v>0.15425916389870276</v>
      </c>
      <c r="DY22" s="32">
        <f t="shared" si="16"/>
        <v>0.43702327431158816</v>
      </c>
      <c r="DZ22" s="32">
        <f t="shared" si="17"/>
        <v>0.53313564284240267</v>
      </c>
      <c r="EA22" s="32">
        <f t="shared" si="18"/>
        <v>0.60526133604197441</v>
      </c>
      <c r="EB22" s="32">
        <f t="shared" si="19"/>
        <v>0.71467053788460055</v>
      </c>
      <c r="EC22" s="32">
        <f t="shared" si="20"/>
        <v>0.83601716187141561</v>
      </c>
      <c r="ED22" s="32">
        <f t="shared" si="21"/>
        <v>0.86798278990144717</v>
      </c>
      <c r="EE22" s="32">
        <f t="shared" si="22"/>
        <v>0.90239196116527254</v>
      </c>
      <c r="EF22" s="32">
        <f t="shared" si="23"/>
        <v>0.93119270078783223</v>
      </c>
      <c r="EG22" s="32">
        <f t="shared" si="24"/>
        <v>0.95386008433807989</v>
      </c>
      <c r="EH22" s="32">
        <f t="shared" si="25"/>
        <v>0.98365185668362587</v>
      </c>
      <c r="EI22" s="32">
        <f t="shared" si="26"/>
        <v>1</v>
      </c>
      <c r="EK22" s="32">
        <f t="shared" si="89"/>
        <v>0.14947170082725381</v>
      </c>
      <c r="EL22" s="32">
        <f t="shared" si="104"/>
        <v>0.3897752658498061</v>
      </c>
      <c r="EM22" s="32">
        <f t="shared" si="105"/>
        <v>0.50583679377352941</v>
      </c>
      <c r="EN22" s="32">
        <f t="shared" si="106"/>
        <v>0.599240550597257</v>
      </c>
      <c r="EO22" s="32">
        <f t="shared" si="107"/>
        <v>0.71934146102964835</v>
      </c>
      <c r="EP22" s="32">
        <f t="shared" si="108"/>
        <v>0.83961915772610773</v>
      </c>
      <c r="EQ22" s="32">
        <f t="shared" si="109"/>
        <v>0.87462268908565388</v>
      </c>
      <c r="ER22" s="32">
        <f t="shared" si="110"/>
        <v>0.90313605682853648</v>
      </c>
      <c r="ES22" s="32">
        <f t="shared" si="111"/>
        <v>0.93003763319650246</v>
      </c>
      <c r="ET22" s="32">
        <f t="shared" si="112"/>
        <v>0.95374930908986322</v>
      </c>
      <c r="EU22" s="32">
        <f t="shared" si="113"/>
        <v>0.97825601215501035</v>
      </c>
      <c r="EV22" s="32">
        <f t="shared" si="114"/>
        <v>1</v>
      </c>
      <c r="EX22" s="32">
        <f t="shared" si="90"/>
        <v>0.15550157639599263</v>
      </c>
      <c r="EY22" s="32">
        <f t="shared" si="91"/>
        <v>0.38373423157623932</v>
      </c>
      <c r="EZ22" s="32">
        <f t="shared" si="92"/>
        <v>0.50515448686714892</v>
      </c>
      <c r="FA22" s="32">
        <f t="shared" si="93"/>
        <v>0.58773758748529881</v>
      </c>
      <c r="FB22" s="32">
        <f t="shared" si="94"/>
        <v>0.68746073493363746</v>
      </c>
      <c r="FC22" s="32">
        <f t="shared" si="95"/>
        <v>0.79166821697304801</v>
      </c>
      <c r="FD22" s="32">
        <f t="shared" si="96"/>
        <v>0.84311959056205621</v>
      </c>
      <c r="FE22" s="32">
        <f t="shared" si="97"/>
        <v>0.89377279489334938</v>
      </c>
      <c r="FF22" s="32">
        <f t="shared" si="98"/>
        <v>0.92717821443982551</v>
      </c>
      <c r="FG22" s="32">
        <f t="shared" si="99"/>
        <v>0.94904306290131157</v>
      </c>
      <c r="FH22" s="32">
        <f t="shared" si="100"/>
        <v>0.97483667779684247</v>
      </c>
      <c r="FI22" s="32">
        <f t="shared" si="101"/>
        <v>1</v>
      </c>
      <c r="FK22" s="32">
        <f t="shared" si="102"/>
        <v>0.15591571389508926</v>
      </c>
      <c r="FL22" s="32">
        <f t="shared" si="29"/>
        <v>0.36597121733112298</v>
      </c>
      <c r="FM22" s="32">
        <f t="shared" si="30"/>
        <v>0.49582743487539765</v>
      </c>
      <c r="FN22" s="32">
        <f t="shared" si="31"/>
        <v>0.58189633796640694</v>
      </c>
      <c r="FO22" s="32">
        <f t="shared" si="32"/>
        <v>0.67839080061664969</v>
      </c>
      <c r="FP22" s="32">
        <f t="shared" si="33"/>
        <v>0.77688523534025877</v>
      </c>
      <c r="FQ22" s="32">
        <f t="shared" si="34"/>
        <v>0.83483185744892596</v>
      </c>
      <c r="FR22" s="32">
        <f t="shared" si="35"/>
        <v>0.89089973946937506</v>
      </c>
      <c r="FS22" s="32">
        <f t="shared" si="36"/>
        <v>0.92584005232382316</v>
      </c>
      <c r="FT22" s="32">
        <f t="shared" si="37"/>
        <v>0.94743738908905539</v>
      </c>
      <c r="FU22" s="32">
        <f t="shared" si="38"/>
        <v>0.97189828483458152</v>
      </c>
      <c r="FV22" s="32">
        <f t="shared" si="39"/>
        <v>1</v>
      </c>
      <c r="FX22" s="32">
        <f t="shared" si="103"/>
        <v>0.15145328017452997</v>
      </c>
      <c r="FY22" s="32">
        <f t="shared" si="40"/>
        <v>0.35250080340811762</v>
      </c>
      <c r="FZ22" s="32">
        <f t="shared" si="41"/>
        <v>0.48088548346501397</v>
      </c>
      <c r="GA22" s="32">
        <f t="shared" si="42"/>
        <v>0.57143404379877039</v>
      </c>
      <c r="GB22" s="32">
        <f t="shared" si="43"/>
        <v>0.66072500730208272</v>
      </c>
      <c r="GC22" s="32">
        <f t="shared" si="44"/>
        <v>0.75027505461126465</v>
      </c>
      <c r="GD22" s="32">
        <f t="shared" si="45"/>
        <v>0.82151158744371722</v>
      </c>
      <c r="GE22" s="32">
        <f t="shared" si="46"/>
        <v>0.88809238468418528</v>
      </c>
      <c r="GF22" s="32">
        <f t="shared" si="47"/>
        <v>0.92509221022271781</v>
      </c>
      <c r="GG22" s="32">
        <f t="shared" si="48"/>
        <v>0.94568779176215267</v>
      </c>
      <c r="GH22" s="32">
        <f t="shared" si="49"/>
        <v>0.96988537181363954</v>
      </c>
      <c r="GI22" s="32">
        <f t="shared" si="50"/>
        <v>1</v>
      </c>
    </row>
    <row r="23" spans="1:191">
      <c r="A23" s="724" t="s">
        <v>97</v>
      </c>
      <c r="B23" s="399">
        <v>902402.29</v>
      </c>
      <c r="C23" s="400">
        <v>1042348.07</v>
      </c>
      <c r="D23" s="400">
        <v>725153.37</v>
      </c>
      <c r="E23" s="400">
        <v>547949.03</v>
      </c>
      <c r="F23" s="400">
        <v>456658.9</v>
      </c>
      <c r="G23" s="400">
        <v>436454.72</v>
      </c>
      <c r="H23" s="400">
        <v>300020.75</v>
      </c>
      <c r="I23" s="400">
        <v>210956.81</v>
      </c>
      <c r="J23" s="400">
        <v>144271.85999999999</v>
      </c>
      <c r="K23" s="400">
        <v>124908.89</v>
      </c>
      <c r="L23" s="400">
        <v>112059.41</v>
      </c>
      <c r="M23" s="400">
        <v>144111.75</v>
      </c>
      <c r="N23" s="400">
        <f t="shared" si="0"/>
        <v>5147295.8499999996</v>
      </c>
      <c r="P23" s="396" t="s">
        <v>97</v>
      </c>
      <c r="Q23" s="399">
        <v>1077413.98</v>
      </c>
      <c r="R23" s="400">
        <v>996492.81</v>
      </c>
      <c r="S23" s="400">
        <v>502816.05</v>
      </c>
      <c r="T23" s="400">
        <v>217219.25</v>
      </c>
      <c r="U23" s="400">
        <v>204795.56</v>
      </c>
      <c r="V23" s="400">
        <v>320984.39</v>
      </c>
      <c r="W23" s="400">
        <v>441613.13</v>
      </c>
      <c r="X23" s="400">
        <v>515314.94</v>
      </c>
      <c r="Y23" s="400">
        <v>198191.07</v>
      </c>
      <c r="Z23" s="400">
        <v>94600.8</v>
      </c>
      <c r="AA23" s="400">
        <v>161440.37000000002</v>
      </c>
      <c r="AB23" s="400">
        <v>223517.67</v>
      </c>
      <c r="AC23" s="400">
        <f t="shared" si="51"/>
        <v>4954400.0200000005</v>
      </c>
      <c r="AE23" s="127" t="s">
        <v>97</v>
      </c>
      <c r="AF23" s="27">
        <v>1038614.89</v>
      </c>
      <c r="AG23" s="27">
        <v>1113590.1200000001</v>
      </c>
      <c r="AH23" s="27">
        <v>404431.98</v>
      </c>
      <c r="AI23" s="27">
        <v>486639.78</v>
      </c>
      <c r="AJ23" s="27">
        <v>587992.47000000009</v>
      </c>
      <c r="AK23" s="27">
        <v>531210.62</v>
      </c>
      <c r="AL23" s="27">
        <v>139417.84</v>
      </c>
      <c r="AM23" s="27">
        <v>106052.78</v>
      </c>
      <c r="AN23" s="27">
        <v>104861.71</v>
      </c>
      <c r="AO23" s="27">
        <v>103902.51</v>
      </c>
      <c r="AP23" s="27">
        <v>76512.91</v>
      </c>
      <c r="AQ23" s="27">
        <v>99135.32</v>
      </c>
      <c r="AR23" s="43">
        <f t="shared" si="1"/>
        <v>4792362.9300000016</v>
      </c>
      <c r="AT23" s="60" t="s">
        <v>97</v>
      </c>
      <c r="AU23" s="27">
        <v>995249.67</v>
      </c>
      <c r="AV23" s="27">
        <v>1022810.5</v>
      </c>
      <c r="AW23" s="27">
        <v>618201.18000000005</v>
      </c>
      <c r="AX23" s="27">
        <v>414675.77</v>
      </c>
      <c r="AY23" s="27">
        <v>465379.45000000007</v>
      </c>
      <c r="AZ23" s="27">
        <v>450733.5</v>
      </c>
      <c r="BA23" s="27">
        <v>101376.87</v>
      </c>
      <c r="BB23" s="27">
        <v>89837.37</v>
      </c>
      <c r="BC23" s="27">
        <v>72607.91</v>
      </c>
      <c r="BD23" s="27">
        <v>83818.649999999994</v>
      </c>
      <c r="BE23" s="27">
        <v>77966.350000000006</v>
      </c>
      <c r="BF23" s="27">
        <v>87273.83</v>
      </c>
      <c r="BG23" s="43">
        <f t="shared" si="2"/>
        <v>4479931.0500000007</v>
      </c>
      <c r="BI23" s="60" t="s">
        <v>97</v>
      </c>
      <c r="BJ23" s="27">
        <v>978965.38</v>
      </c>
      <c r="BK23" s="27">
        <v>1097615.01</v>
      </c>
      <c r="BL23" s="27">
        <v>354664.63</v>
      </c>
      <c r="BM23" s="27">
        <v>299233.59000000003</v>
      </c>
      <c r="BN23" s="27">
        <v>498889.79000000004</v>
      </c>
      <c r="BO23" s="27">
        <v>454772.99</v>
      </c>
      <c r="BP23" s="27">
        <v>118806.73999999999</v>
      </c>
      <c r="BQ23" s="27">
        <v>109853.48000000001</v>
      </c>
      <c r="BR23" s="27">
        <v>89500.43</v>
      </c>
      <c r="BS23" s="27">
        <v>119330.04</v>
      </c>
      <c r="BT23" s="27">
        <v>109436.90999999999</v>
      </c>
      <c r="BU23" s="27">
        <v>90800.260000000009</v>
      </c>
      <c r="BV23" s="43">
        <f t="shared" si="52"/>
        <v>4321869.25</v>
      </c>
      <c r="BW23" s="405"/>
      <c r="BX23" s="32">
        <f t="shared" si="53"/>
        <v>0.17531580004285163</v>
      </c>
      <c r="BY23" s="32">
        <f t="shared" si="54"/>
        <v>0.37781981387372554</v>
      </c>
      <c r="BZ23" s="32">
        <f t="shared" si="55"/>
        <v>0.5187002666652627</v>
      </c>
      <c r="CA23" s="32">
        <f t="shared" si="56"/>
        <v>0.62515403306378825</v>
      </c>
      <c r="CB23" s="32">
        <f t="shared" si="57"/>
        <v>0.71387224808537086</v>
      </c>
      <c r="CC23" s="32">
        <f t="shared" si="58"/>
        <v>0.79866526032304908</v>
      </c>
      <c r="CD23" s="32">
        <f t="shared" si="59"/>
        <v>0.85695232186819026</v>
      </c>
      <c r="CE23" s="32">
        <f t="shared" si="60"/>
        <v>0.89793632903381682</v>
      </c>
      <c r="CF23" s="32">
        <f t="shared" si="61"/>
        <v>0.92596499966093848</v>
      </c>
      <c r="CG23" s="32">
        <f t="shared" si="62"/>
        <v>0.95023189506389061</v>
      </c>
      <c r="CH23" s="32">
        <f t="shared" si="63"/>
        <v>0.97200243502615069</v>
      </c>
      <c r="CI23" s="32">
        <f t="shared" si="64"/>
        <v>1</v>
      </c>
      <c r="CJ23" s="405"/>
      <c r="CK23" s="32">
        <f t="shared" si="65"/>
        <v>0.21746608583293198</v>
      </c>
      <c r="CL23" s="32">
        <f t="shared" si="66"/>
        <v>0.41859897901421367</v>
      </c>
      <c r="CM23" s="32">
        <f t="shared" si="67"/>
        <v>0.52008776634874943</v>
      </c>
      <c r="CN23" s="32">
        <f t="shared" si="68"/>
        <v>0.56393147075758321</v>
      </c>
      <c r="CO23" s="32">
        <f t="shared" si="69"/>
        <v>0.60526756779724045</v>
      </c>
      <c r="CP23" s="32">
        <f t="shared" si="70"/>
        <v>0.67005530974464989</v>
      </c>
      <c r="CQ23" s="32">
        <f t="shared" si="71"/>
        <v>0.75919085152918264</v>
      </c>
      <c r="CR23" s="32">
        <f t="shared" si="72"/>
        <v>0.86320242466009034</v>
      </c>
      <c r="CS23" s="32">
        <f t="shared" si="73"/>
        <v>0.90320546623928044</v>
      </c>
      <c r="CT23" s="32">
        <f t="shared" si="74"/>
        <v>0.92229976617834741</v>
      </c>
      <c r="CU23" s="32">
        <f t="shared" si="75"/>
        <v>0.95488501754042865</v>
      </c>
      <c r="CV23" s="32">
        <f t="shared" si="76"/>
        <v>1</v>
      </c>
      <c r="CX23" s="32">
        <f t="shared" si="77"/>
        <v>0.21672292044041824</v>
      </c>
      <c r="CY23" s="32">
        <f t="shared" si="78"/>
        <v>0.4490905721115741</v>
      </c>
      <c r="CZ23" s="32">
        <f t="shared" si="79"/>
        <v>0.53348150533331984</v>
      </c>
      <c r="DA23" s="32">
        <f t="shared" si="80"/>
        <v>0.6350263564032701</v>
      </c>
      <c r="DB23" s="32">
        <f t="shared" si="81"/>
        <v>0.75772000014197582</v>
      </c>
      <c r="DC23" s="32">
        <f t="shared" si="82"/>
        <v>0.86856524032081173</v>
      </c>
      <c r="DD23" s="32">
        <f t="shared" si="83"/>
        <v>0.89765691013722948</v>
      </c>
      <c r="DE23" s="32">
        <f t="shared" si="84"/>
        <v>0.9197864486444477</v>
      </c>
      <c r="DF23" s="32">
        <f t="shared" si="85"/>
        <v>0.94166745213514114</v>
      </c>
      <c r="DG23" s="32">
        <f t="shared" si="86"/>
        <v>0.96334830383975101</v>
      </c>
      <c r="DH23" s="32">
        <f t="shared" si="87"/>
        <v>0.97931389557760384</v>
      </c>
      <c r="DI23" s="32">
        <f t="shared" si="88"/>
        <v>1</v>
      </c>
      <c r="DK23" s="32">
        <f t="shared" si="3"/>
        <v>0.22215736333709865</v>
      </c>
      <c r="DL23" s="32">
        <f t="shared" si="4"/>
        <v>0.45046679234047576</v>
      </c>
      <c r="DM23" s="32">
        <f t="shared" si="5"/>
        <v>0.58846025096747856</v>
      </c>
      <c r="DN23" s="32">
        <f t="shared" si="6"/>
        <v>0.68102323137317022</v>
      </c>
      <c r="DO23" s="32">
        <f t="shared" si="7"/>
        <v>0.78490417168362436</v>
      </c>
      <c r="DP23" s="32">
        <f t="shared" si="8"/>
        <v>0.88551587641064244</v>
      </c>
      <c r="DQ23" s="32">
        <f t="shared" si="9"/>
        <v>0.90814499031184859</v>
      </c>
      <c r="DR23" s="32">
        <f t="shared" si="10"/>
        <v>0.92819828331956133</v>
      </c>
      <c r="DS23" s="32">
        <f t="shared" si="11"/>
        <v>0.94440565552900635</v>
      </c>
      <c r="DT23" s="32">
        <f t="shared" si="12"/>
        <v>0.96311546357393163</v>
      </c>
      <c r="DU23" s="32">
        <f t="shared" si="13"/>
        <v>0.98051893454922701</v>
      </c>
      <c r="DV23" s="32">
        <f t="shared" si="14"/>
        <v>1</v>
      </c>
      <c r="DW23" s="39"/>
      <c r="DX23" s="32">
        <f t="shared" si="15"/>
        <v>0.22651434445870847</v>
      </c>
      <c r="DY23" s="32">
        <f t="shared" si="16"/>
        <v>0.48048200208740699</v>
      </c>
      <c r="DZ23" s="32">
        <f t="shared" si="17"/>
        <v>0.56254478776746886</v>
      </c>
      <c r="EA23" s="32">
        <f t="shared" si="18"/>
        <v>0.63178186383125767</v>
      </c>
      <c r="EB23" s="32">
        <f t="shared" si="19"/>
        <v>0.74721566368533709</v>
      </c>
      <c r="EC23" s="32">
        <f t="shared" si="20"/>
        <v>0.85244165820148299</v>
      </c>
      <c r="ED23" s="32">
        <f t="shared" si="21"/>
        <v>0.87993132369749494</v>
      </c>
      <c r="EE23" s="32">
        <f t="shared" si="22"/>
        <v>0.90534937168679963</v>
      </c>
      <c r="EF23" s="32">
        <f t="shared" si="23"/>
        <v>0.92605810321540849</v>
      </c>
      <c r="EG23" s="32">
        <f t="shared" si="24"/>
        <v>0.95366885057894801</v>
      </c>
      <c r="EH23" s="32">
        <f t="shared" si="25"/>
        <v>0.97899051203365306</v>
      </c>
      <c r="EI23" s="32">
        <f t="shared" si="26"/>
        <v>1</v>
      </c>
      <c r="EK23" s="32">
        <f t="shared" si="89"/>
        <v>0.22179820941207509</v>
      </c>
      <c r="EL23" s="32">
        <f t="shared" si="104"/>
        <v>0.46001312217981893</v>
      </c>
      <c r="EM23" s="32">
        <f t="shared" si="105"/>
        <v>0.56149551468942249</v>
      </c>
      <c r="EN23" s="32">
        <f t="shared" si="106"/>
        <v>0.64927715053589941</v>
      </c>
      <c r="EO23" s="32">
        <f t="shared" si="107"/>
        <v>0.7632799451703125</v>
      </c>
      <c r="EP23" s="32">
        <f t="shared" si="108"/>
        <v>0.86884092497764565</v>
      </c>
      <c r="EQ23" s="32">
        <f t="shared" si="109"/>
        <v>0.89524440804885774</v>
      </c>
      <c r="ER23" s="32">
        <f t="shared" si="110"/>
        <v>0.91777803455026952</v>
      </c>
      <c r="ES23" s="32">
        <f t="shared" si="111"/>
        <v>0.93737707029318529</v>
      </c>
      <c r="ET23" s="32">
        <f t="shared" si="112"/>
        <v>0.96004420599754348</v>
      </c>
      <c r="EU23" s="32">
        <f t="shared" si="113"/>
        <v>0.97960778072016141</v>
      </c>
      <c r="EV23" s="32">
        <f t="shared" si="114"/>
        <v>1</v>
      </c>
      <c r="EX23" s="32">
        <f t="shared" si="90"/>
        <v>0.22071517851728933</v>
      </c>
      <c r="EY23" s="32">
        <f t="shared" si="91"/>
        <v>0.44965958638841763</v>
      </c>
      <c r="EZ23" s="32">
        <f t="shared" si="92"/>
        <v>0.55114357760425414</v>
      </c>
      <c r="FA23" s="32">
        <f t="shared" si="93"/>
        <v>0.62794073059132027</v>
      </c>
      <c r="FB23" s="32">
        <f t="shared" si="94"/>
        <v>0.72377685082704435</v>
      </c>
      <c r="FC23" s="32">
        <f t="shared" si="95"/>
        <v>0.81914452116939684</v>
      </c>
      <c r="FD23" s="32">
        <f t="shared" si="96"/>
        <v>0.86123101891893894</v>
      </c>
      <c r="FE23" s="32">
        <f t="shared" si="97"/>
        <v>0.90413413207772475</v>
      </c>
      <c r="FF23" s="32">
        <f t="shared" si="98"/>
        <v>0.92883416927970908</v>
      </c>
      <c r="FG23" s="32">
        <f t="shared" si="99"/>
        <v>0.95060809604274454</v>
      </c>
      <c r="FH23" s="32">
        <f t="shared" si="100"/>
        <v>0.97342708992522819</v>
      </c>
      <c r="FI23" s="32">
        <f t="shared" si="101"/>
        <v>1</v>
      </c>
      <c r="FK23" s="32">
        <f t="shared" si="102"/>
        <v>0.21878212320348292</v>
      </c>
      <c r="FL23" s="32">
        <f t="shared" si="29"/>
        <v>0.43938544782208783</v>
      </c>
      <c r="FM23" s="32">
        <f t="shared" si="30"/>
        <v>0.54734317421651602</v>
      </c>
      <c r="FN23" s="32">
        <f t="shared" si="31"/>
        <v>0.62666035284467458</v>
      </c>
      <c r="FO23" s="32">
        <f t="shared" si="32"/>
        <v>0.71596391320761354</v>
      </c>
      <c r="FP23" s="32">
        <f t="shared" si="33"/>
        <v>0.80804547549203465</v>
      </c>
      <c r="FQ23" s="32">
        <f t="shared" si="34"/>
        <v>0.85499758399275361</v>
      </c>
      <c r="FR23" s="32">
        <f t="shared" si="35"/>
        <v>0.90372905220803312</v>
      </c>
      <c r="FS23" s="32">
        <f t="shared" si="36"/>
        <v>0.92975952463447598</v>
      </c>
      <c r="FT23" s="32">
        <f t="shared" si="37"/>
        <v>0.94958784453067668</v>
      </c>
      <c r="FU23" s="32">
        <f t="shared" si="38"/>
        <v>0.9715726158890865</v>
      </c>
      <c r="FV23" s="32">
        <f t="shared" si="39"/>
        <v>1</v>
      </c>
      <c r="FX23" s="32">
        <f t="shared" si="103"/>
        <v>0.20316826877206728</v>
      </c>
      <c r="FY23" s="32">
        <f t="shared" si="40"/>
        <v>0.41516978833317114</v>
      </c>
      <c r="FZ23" s="32">
        <f t="shared" si="41"/>
        <v>0.52408984611577736</v>
      </c>
      <c r="GA23" s="32">
        <f t="shared" si="42"/>
        <v>0.60803728674154722</v>
      </c>
      <c r="GB23" s="32">
        <f t="shared" si="43"/>
        <v>0.69228660534152908</v>
      </c>
      <c r="GC23" s="32">
        <f t="shared" si="44"/>
        <v>0.77909527012950353</v>
      </c>
      <c r="GD23" s="32">
        <f t="shared" si="45"/>
        <v>0.83793336117820072</v>
      </c>
      <c r="GE23" s="32">
        <f t="shared" si="46"/>
        <v>0.89364173411278491</v>
      </c>
      <c r="GF23" s="32">
        <f t="shared" si="47"/>
        <v>0.92361263934511995</v>
      </c>
      <c r="GG23" s="32">
        <f t="shared" si="48"/>
        <v>0.94529332169399627</v>
      </c>
      <c r="GH23" s="32">
        <f t="shared" si="49"/>
        <v>0.96873378271472765</v>
      </c>
      <c r="GI23" s="32">
        <f t="shared" si="50"/>
        <v>1</v>
      </c>
    </row>
    <row r="24" spans="1:191">
      <c r="A24" s="724" t="s">
        <v>98</v>
      </c>
      <c r="B24" s="399">
        <v>54731</v>
      </c>
      <c r="C24" s="400">
        <v>51066.15</v>
      </c>
      <c r="D24" s="400">
        <v>51442.41</v>
      </c>
      <c r="E24" s="400">
        <v>38846.15</v>
      </c>
      <c r="F24" s="400">
        <v>33758.93</v>
      </c>
      <c r="G24" s="400">
        <v>34047.26</v>
      </c>
      <c r="H24" s="400">
        <v>25950.76</v>
      </c>
      <c r="I24" s="400">
        <v>19576.07</v>
      </c>
      <c r="J24" s="400">
        <v>14531.76</v>
      </c>
      <c r="K24" s="400">
        <v>8741.9699999999993</v>
      </c>
      <c r="L24" s="400">
        <v>10926.3</v>
      </c>
      <c r="M24" s="400">
        <v>11729.7</v>
      </c>
      <c r="N24" s="400">
        <f t="shared" si="0"/>
        <v>355348.45999999996</v>
      </c>
      <c r="P24" s="396" t="s">
        <v>98</v>
      </c>
      <c r="Q24" s="399">
        <v>59453.56</v>
      </c>
      <c r="R24" s="400">
        <v>40804.519999999997</v>
      </c>
      <c r="S24" s="400">
        <v>33328.36</v>
      </c>
      <c r="T24" s="400">
        <v>15556.22</v>
      </c>
      <c r="U24" s="400">
        <v>15506.17</v>
      </c>
      <c r="V24" s="400">
        <v>25966.190000000002</v>
      </c>
      <c r="W24" s="400">
        <v>49129.83</v>
      </c>
      <c r="X24" s="400">
        <v>31337.07</v>
      </c>
      <c r="Y24" s="400">
        <v>15149.73</v>
      </c>
      <c r="Z24" s="400">
        <v>6581.3</v>
      </c>
      <c r="AA24" s="400">
        <v>9791.4900000000016</v>
      </c>
      <c r="AB24" s="400">
        <v>11716.83</v>
      </c>
      <c r="AC24" s="400">
        <f t="shared" si="51"/>
        <v>314321.27</v>
      </c>
      <c r="AE24" s="127" t="s">
        <v>98</v>
      </c>
      <c r="AF24" s="27">
        <v>38766.699999999997</v>
      </c>
      <c r="AG24" s="27">
        <v>48426.77</v>
      </c>
      <c r="AH24" s="27">
        <v>26235.67</v>
      </c>
      <c r="AI24" s="27">
        <v>29062.23</v>
      </c>
      <c r="AJ24" s="27">
        <v>36139.58</v>
      </c>
      <c r="AK24" s="27">
        <v>47755.16</v>
      </c>
      <c r="AL24" s="27">
        <v>8727.81</v>
      </c>
      <c r="AM24" s="27">
        <v>8210.39</v>
      </c>
      <c r="AN24" s="27">
        <v>8282.57</v>
      </c>
      <c r="AO24" s="27">
        <v>12433.34</v>
      </c>
      <c r="AP24" s="27">
        <v>6648.55</v>
      </c>
      <c r="AQ24" s="27">
        <v>8191.5</v>
      </c>
      <c r="AR24" s="43">
        <f t="shared" si="1"/>
        <v>278880.27</v>
      </c>
      <c r="AT24" s="60" t="s">
        <v>98</v>
      </c>
      <c r="AU24" s="27">
        <v>29786.95</v>
      </c>
      <c r="AV24" s="27">
        <v>40966.65</v>
      </c>
      <c r="AW24" s="27">
        <v>37814.129999999997</v>
      </c>
      <c r="AX24" s="27">
        <v>25909.16</v>
      </c>
      <c r="AY24" s="27">
        <v>31764.97</v>
      </c>
      <c r="AZ24" s="27">
        <v>36315</v>
      </c>
      <c r="BA24" s="27">
        <v>7897.61</v>
      </c>
      <c r="BB24" s="27">
        <v>8143.13</v>
      </c>
      <c r="BC24" s="27">
        <v>8392.49</v>
      </c>
      <c r="BD24" s="27">
        <v>5222.84</v>
      </c>
      <c r="BE24" s="27">
        <v>5319.55</v>
      </c>
      <c r="BF24" s="27">
        <v>6104.03</v>
      </c>
      <c r="BG24" s="43">
        <f t="shared" si="2"/>
        <v>243636.50999999998</v>
      </c>
      <c r="BI24" s="60" t="s">
        <v>98</v>
      </c>
      <c r="BJ24" s="27">
        <v>34329.31</v>
      </c>
      <c r="BK24" s="27">
        <v>48523.96</v>
      </c>
      <c r="BL24" s="27">
        <v>19905.18</v>
      </c>
      <c r="BM24" s="27">
        <v>16130.029999999999</v>
      </c>
      <c r="BN24" s="27">
        <v>26542.43</v>
      </c>
      <c r="BO24" s="27">
        <v>26038.1</v>
      </c>
      <c r="BP24" s="27">
        <v>8565.65</v>
      </c>
      <c r="BQ24" s="27">
        <v>7414.8600000000006</v>
      </c>
      <c r="BR24" s="27">
        <v>7518.76</v>
      </c>
      <c r="BS24" s="27">
        <v>5461.67</v>
      </c>
      <c r="BT24" s="27">
        <v>5054.55</v>
      </c>
      <c r="BU24" s="27">
        <v>7494.9</v>
      </c>
      <c r="BV24" s="43">
        <f t="shared" si="52"/>
        <v>212979.39999999997</v>
      </c>
      <c r="BW24" s="405"/>
      <c r="BX24" s="32">
        <f t="shared" si="53"/>
        <v>0.15402064778893373</v>
      </c>
      <c r="BY24" s="32">
        <f t="shared" si="54"/>
        <v>0.29772789784990206</v>
      </c>
      <c r="BZ24" s="32">
        <f t="shared" si="55"/>
        <v>0.4424939958934957</v>
      </c>
      <c r="CA24" s="32">
        <f t="shared" si="56"/>
        <v>0.55181246599464651</v>
      </c>
      <c r="CB24" s="32">
        <f t="shared" si="57"/>
        <v>0.64681479131779551</v>
      </c>
      <c r="CC24" s="32">
        <f t="shared" si="58"/>
        <v>0.74262851737137114</v>
      </c>
      <c r="CD24" s="32">
        <f t="shared" si="59"/>
        <v>0.81565756609723317</v>
      </c>
      <c r="CE24" s="32">
        <f t="shared" si="60"/>
        <v>0.87074735036138895</v>
      </c>
      <c r="CF24" s="32">
        <f t="shared" si="61"/>
        <v>0.91164174455687808</v>
      </c>
      <c r="CG24" s="32">
        <f t="shared" si="62"/>
        <v>0.9362428642578049</v>
      </c>
      <c r="CH24" s="32">
        <f t="shared" si="63"/>
        <v>0.96699099244724451</v>
      </c>
      <c r="CI24" s="32">
        <f t="shared" si="64"/>
        <v>1</v>
      </c>
      <c r="CJ24" s="405"/>
      <c r="CK24" s="32">
        <f t="shared" si="65"/>
        <v>0.18914901940934509</v>
      </c>
      <c r="CL24" s="32">
        <f t="shared" si="66"/>
        <v>0.3189668965132394</v>
      </c>
      <c r="CM24" s="32">
        <f t="shared" si="67"/>
        <v>0.4249996826495388</v>
      </c>
      <c r="CN24" s="32">
        <f t="shared" si="68"/>
        <v>0.47449114722653035</v>
      </c>
      <c r="CO24" s="32">
        <f t="shared" si="69"/>
        <v>0.52382337981772598</v>
      </c>
      <c r="CP24" s="32">
        <f t="shared" si="70"/>
        <v>0.60643372941322105</v>
      </c>
      <c r="CQ24" s="32">
        <f t="shared" si="71"/>
        <v>0.76273823276420338</v>
      </c>
      <c r="CR24" s="32">
        <f t="shared" si="72"/>
        <v>0.86243581288660498</v>
      </c>
      <c r="CS24" s="32">
        <f t="shared" si="73"/>
        <v>0.91063404649643975</v>
      </c>
      <c r="CT24" s="32">
        <f t="shared" si="74"/>
        <v>0.93157217772758427</v>
      </c>
      <c r="CU24" s="32">
        <f t="shared" si="75"/>
        <v>0.96272339444288957</v>
      </c>
      <c r="CV24" s="32">
        <f t="shared" si="76"/>
        <v>1</v>
      </c>
      <c r="CX24" s="32">
        <f t="shared" si="77"/>
        <v>0.13900839955440375</v>
      </c>
      <c r="CY24" s="32">
        <f t="shared" si="78"/>
        <v>0.31265557079387507</v>
      </c>
      <c r="CZ24" s="32">
        <f t="shared" si="79"/>
        <v>0.406730601630585</v>
      </c>
      <c r="DA24" s="32">
        <f t="shared" si="80"/>
        <v>0.51094102139244191</v>
      </c>
      <c r="DB24" s="32">
        <f t="shared" si="81"/>
        <v>0.64052917762880823</v>
      </c>
      <c r="DC24" s="32">
        <f t="shared" si="82"/>
        <v>0.81176811109656488</v>
      </c>
      <c r="DD24" s="32">
        <f t="shared" si="83"/>
        <v>0.84306401453211444</v>
      </c>
      <c r="DE24" s="32">
        <f t="shared" si="84"/>
        <v>0.87250456979262092</v>
      </c>
      <c r="DF24" s="32">
        <f t="shared" si="85"/>
        <v>0.90220394580082697</v>
      </c>
      <c r="DG24" s="32">
        <f t="shared" si="86"/>
        <v>0.9467870208243846</v>
      </c>
      <c r="DH24" s="32">
        <f t="shared" si="87"/>
        <v>0.97062717990053582</v>
      </c>
      <c r="DI24" s="32">
        <f t="shared" si="88"/>
        <v>1</v>
      </c>
      <c r="DK24" s="32">
        <f t="shared" si="3"/>
        <v>0.12225979595586886</v>
      </c>
      <c r="DL24" s="32">
        <f t="shared" si="4"/>
        <v>0.29040639270362234</v>
      </c>
      <c r="DM24" s="32">
        <f t="shared" si="5"/>
        <v>0.44561354946350207</v>
      </c>
      <c r="DN24" s="32">
        <f t="shared" si="6"/>
        <v>0.5519570527422184</v>
      </c>
      <c r="DO24" s="32">
        <f t="shared" si="7"/>
        <v>0.68233558262675831</v>
      </c>
      <c r="DP24" s="32">
        <f t="shared" si="8"/>
        <v>0.83138959756072695</v>
      </c>
      <c r="DQ24" s="32">
        <f t="shared" si="9"/>
        <v>0.86380514152004562</v>
      </c>
      <c r="DR24" s="32">
        <f t="shared" si="10"/>
        <v>0.89722841621725757</v>
      </c>
      <c r="DS24" s="32">
        <f t="shared" si="11"/>
        <v>0.93167518283692385</v>
      </c>
      <c r="DT24" s="32">
        <f t="shared" si="12"/>
        <v>0.95311219980946216</v>
      </c>
      <c r="DU24" s="32">
        <f t="shared" si="13"/>
        <v>0.97494616057338856</v>
      </c>
      <c r="DV24" s="32">
        <f t="shared" si="14"/>
        <v>1</v>
      </c>
      <c r="DW24" s="39"/>
      <c r="DX24" s="32">
        <f t="shared" si="15"/>
        <v>0.16118605836996444</v>
      </c>
      <c r="DY24" s="32">
        <f t="shared" si="16"/>
        <v>0.38902011180424023</v>
      </c>
      <c r="DZ24" s="32">
        <f t="shared" si="17"/>
        <v>0.48248070001136262</v>
      </c>
      <c r="EA24" s="32">
        <f t="shared" si="18"/>
        <v>0.5582158650085407</v>
      </c>
      <c r="EB24" s="32">
        <f t="shared" si="19"/>
        <v>0.68284026530265363</v>
      </c>
      <c r="EC24" s="32">
        <f t="shared" si="20"/>
        <v>0.80509669010242313</v>
      </c>
      <c r="ED24" s="32">
        <f t="shared" si="21"/>
        <v>0.84531489899962153</v>
      </c>
      <c r="EE24" s="32">
        <f t="shared" si="22"/>
        <v>0.88012981537181523</v>
      </c>
      <c r="EF24" s="32">
        <f t="shared" si="23"/>
        <v>0.91543257235206787</v>
      </c>
      <c r="EG24" s="32">
        <f t="shared" si="24"/>
        <v>0.9410766956804274</v>
      </c>
      <c r="EH24" s="32">
        <f t="shared" si="25"/>
        <v>0.96480927263387917</v>
      </c>
      <c r="EI24" s="32">
        <f t="shared" si="26"/>
        <v>1</v>
      </c>
      <c r="EK24" s="32">
        <f t="shared" si="89"/>
        <v>0.14081808462674569</v>
      </c>
      <c r="EL24" s="32">
        <f t="shared" si="104"/>
        <v>0.33069402510057921</v>
      </c>
      <c r="EM24" s="32">
        <f t="shared" si="105"/>
        <v>0.44494161703514989</v>
      </c>
      <c r="EN24" s="32">
        <f t="shared" si="106"/>
        <v>0.54037131304773367</v>
      </c>
      <c r="EO24" s="32">
        <f t="shared" si="107"/>
        <v>0.66856834185274006</v>
      </c>
      <c r="EP24" s="32">
        <f t="shared" si="108"/>
        <v>0.81608479958657165</v>
      </c>
      <c r="EQ24" s="32">
        <f t="shared" si="109"/>
        <v>0.85072801835059375</v>
      </c>
      <c r="ER24" s="32">
        <f t="shared" si="110"/>
        <v>0.88328760046056454</v>
      </c>
      <c r="ES24" s="32">
        <f t="shared" si="111"/>
        <v>0.9164372336632729</v>
      </c>
      <c r="ET24" s="32">
        <f t="shared" si="112"/>
        <v>0.94699197210475805</v>
      </c>
      <c r="EU24" s="32">
        <f t="shared" si="113"/>
        <v>0.97012753770260118</v>
      </c>
      <c r="EV24" s="32">
        <f t="shared" si="114"/>
        <v>1</v>
      </c>
      <c r="EX24" s="32">
        <f t="shared" si="90"/>
        <v>0.15290081832239555</v>
      </c>
      <c r="EY24" s="32">
        <f t="shared" si="91"/>
        <v>0.32776224295374423</v>
      </c>
      <c r="EZ24" s="32">
        <f t="shared" si="92"/>
        <v>0.43995613343874712</v>
      </c>
      <c r="FA24" s="32">
        <f t="shared" si="93"/>
        <v>0.52390127159243283</v>
      </c>
      <c r="FB24" s="32">
        <f t="shared" si="94"/>
        <v>0.63238210134398654</v>
      </c>
      <c r="FC24" s="32">
        <f t="shared" si="95"/>
        <v>0.76367203204323397</v>
      </c>
      <c r="FD24" s="32">
        <f t="shared" si="96"/>
        <v>0.82873057195399613</v>
      </c>
      <c r="FE24" s="32">
        <f t="shared" si="97"/>
        <v>0.8780746535670747</v>
      </c>
      <c r="FF24" s="32">
        <f t="shared" si="98"/>
        <v>0.91498643687156456</v>
      </c>
      <c r="FG24" s="32">
        <f t="shared" si="99"/>
        <v>0.94313702351046458</v>
      </c>
      <c r="FH24" s="32">
        <f t="shared" si="100"/>
        <v>0.96827650188767322</v>
      </c>
      <c r="FI24" s="32">
        <f t="shared" si="101"/>
        <v>1</v>
      </c>
      <c r="FK24" s="32">
        <f t="shared" si="102"/>
        <v>0.15013907163987256</v>
      </c>
      <c r="FL24" s="32">
        <f t="shared" si="29"/>
        <v>0.30734295333691225</v>
      </c>
      <c r="FM24" s="32">
        <f t="shared" si="30"/>
        <v>0.42578127791454196</v>
      </c>
      <c r="FN24" s="32">
        <f t="shared" si="31"/>
        <v>0.51246307378706357</v>
      </c>
      <c r="FO24" s="32">
        <f t="shared" si="32"/>
        <v>0.61556271335776414</v>
      </c>
      <c r="FP24" s="32">
        <f t="shared" si="33"/>
        <v>0.74986381269017099</v>
      </c>
      <c r="FQ24" s="32">
        <f t="shared" si="34"/>
        <v>0.82320246293878785</v>
      </c>
      <c r="FR24" s="32">
        <f t="shared" si="35"/>
        <v>0.87738959963216112</v>
      </c>
      <c r="FS24" s="32">
        <f t="shared" si="36"/>
        <v>0.91483772504473004</v>
      </c>
      <c r="FT24" s="32">
        <f t="shared" si="37"/>
        <v>0.94382379945381034</v>
      </c>
      <c r="FU24" s="32">
        <f t="shared" si="38"/>
        <v>0.96943224497227132</v>
      </c>
      <c r="FV24" s="32">
        <f t="shared" si="39"/>
        <v>1</v>
      </c>
      <c r="FX24" s="32">
        <f t="shared" si="103"/>
        <v>0.16072602225089419</v>
      </c>
      <c r="FY24" s="32">
        <f t="shared" si="40"/>
        <v>0.30978345505233884</v>
      </c>
      <c r="FZ24" s="32">
        <f t="shared" si="41"/>
        <v>0.42474142672453979</v>
      </c>
      <c r="GA24" s="32">
        <f t="shared" si="42"/>
        <v>0.51241487820453957</v>
      </c>
      <c r="GB24" s="32">
        <f t="shared" si="43"/>
        <v>0.60372244958810994</v>
      </c>
      <c r="GC24" s="32">
        <f t="shared" si="44"/>
        <v>0.7202767859603858</v>
      </c>
      <c r="GD24" s="32">
        <f t="shared" si="45"/>
        <v>0.80715327113118374</v>
      </c>
      <c r="GE24" s="32">
        <f t="shared" si="46"/>
        <v>0.86856257768020495</v>
      </c>
      <c r="GF24" s="32">
        <f t="shared" si="47"/>
        <v>0.90815991228471482</v>
      </c>
      <c r="GG24" s="32">
        <f t="shared" si="48"/>
        <v>0.93820068760325792</v>
      </c>
      <c r="GH24" s="32">
        <f t="shared" si="49"/>
        <v>0.96678052226355671</v>
      </c>
      <c r="GI24" s="32">
        <f t="shared" si="50"/>
        <v>1</v>
      </c>
    </row>
    <row r="25" spans="1:191">
      <c r="A25" s="724" t="s">
        <v>99</v>
      </c>
      <c r="B25" s="399">
        <v>5355.68</v>
      </c>
      <c r="C25" s="400">
        <v>12951.11</v>
      </c>
      <c r="D25" s="400">
        <v>10026.25</v>
      </c>
      <c r="E25" s="400">
        <v>9315.93</v>
      </c>
      <c r="F25" s="400">
        <v>5807.78</v>
      </c>
      <c r="G25" s="400">
        <v>5730.59</v>
      </c>
      <c r="H25" s="400">
        <v>3562.44</v>
      </c>
      <c r="I25" s="400">
        <v>3905.14</v>
      </c>
      <c r="J25" s="400">
        <v>1646.36</v>
      </c>
      <c r="K25" s="400">
        <v>1017.8</v>
      </c>
      <c r="L25" s="400">
        <v>1929</v>
      </c>
      <c r="M25" s="400">
        <v>1417.1</v>
      </c>
      <c r="N25" s="400">
        <f t="shared" si="0"/>
        <v>62665.18</v>
      </c>
      <c r="P25" s="396" t="s">
        <v>99</v>
      </c>
      <c r="Q25" s="399">
        <v>11547.23</v>
      </c>
      <c r="R25" s="400">
        <v>11804.35</v>
      </c>
      <c r="S25" s="400">
        <v>5781.95</v>
      </c>
      <c r="T25" s="400">
        <v>1695.19</v>
      </c>
      <c r="U25" s="400">
        <v>3080.84</v>
      </c>
      <c r="V25" s="400">
        <v>1404.7199999999998</v>
      </c>
      <c r="W25" s="400">
        <v>6028.37</v>
      </c>
      <c r="X25" s="400">
        <v>3557.04</v>
      </c>
      <c r="Y25" s="400">
        <v>3976.11</v>
      </c>
      <c r="Z25" s="400">
        <v>2266.6</v>
      </c>
      <c r="AA25" s="400">
        <v>3635.5999999999995</v>
      </c>
      <c r="AB25" s="400">
        <v>1466.63</v>
      </c>
      <c r="AC25" s="400">
        <f t="shared" si="51"/>
        <v>56244.63</v>
      </c>
      <c r="AE25" s="127" t="s">
        <v>99</v>
      </c>
      <c r="AF25" s="27">
        <v>14026.77</v>
      </c>
      <c r="AG25" s="27">
        <v>11023.45</v>
      </c>
      <c r="AH25" s="27">
        <v>2937.87</v>
      </c>
      <c r="AI25" s="27">
        <v>4670.87</v>
      </c>
      <c r="AJ25" s="27">
        <v>6397.39</v>
      </c>
      <c r="AK25" s="27">
        <v>4442.07</v>
      </c>
      <c r="AL25" s="27">
        <v>4001.92</v>
      </c>
      <c r="AM25" s="27">
        <v>2623.41</v>
      </c>
      <c r="AN25" s="27">
        <v>1586.94</v>
      </c>
      <c r="AO25" s="27">
        <v>1865.61</v>
      </c>
      <c r="AP25" s="27">
        <v>1755.11</v>
      </c>
      <c r="AQ25" s="27">
        <v>1884.06</v>
      </c>
      <c r="AR25" s="43">
        <f t="shared" si="1"/>
        <v>57215.47</v>
      </c>
      <c r="AT25" s="60" t="s">
        <v>99</v>
      </c>
      <c r="AU25" s="27">
        <v>9100.9</v>
      </c>
      <c r="AV25" s="27">
        <v>9510.23</v>
      </c>
      <c r="AW25" s="27">
        <v>10367.68</v>
      </c>
      <c r="AX25" s="27">
        <v>7351.43</v>
      </c>
      <c r="AY25" s="27">
        <v>6119.31</v>
      </c>
      <c r="AZ25" s="27">
        <v>4354.78</v>
      </c>
      <c r="BA25" s="27">
        <v>2762.31</v>
      </c>
      <c r="BB25" s="27">
        <v>822.91</v>
      </c>
      <c r="BC25" s="27">
        <v>444.81</v>
      </c>
      <c r="BD25" s="27">
        <v>177.92</v>
      </c>
      <c r="BE25" s="27">
        <v>951.92</v>
      </c>
      <c r="BF25" s="27">
        <v>0</v>
      </c>
      <c r="BG25" s="43">
        <f t="shared" si="2"/>
        <v>51964.19999999999</v>
      </c>
      <c r="BI25" s="60" t="s">
        <v>99</v>
      </c>
      <c r="BJ25" s="27">
        <v>11397.92</v>
      </c>
      <c r="BK25" s="27">
        <v>8689.57</v>
      </c>
      <c r="BL25" s="27">
        <v>5362.53</v>
      </c>
      <c r="BM25" s="27">
        <v>3571.85</v>
      </c>
      <c r="BN25" s="27">
        <v>3931.7</v>
      </c>
      <c r="BO25" s="27">
        <v>5645.13</v>
      </c>
      <c r="BP25" s="27">
        <v>2548.19</v>
      </c>
      <c r="BQ25" s="27">
        <v>1876.61</v>
      </c>
      <c r="BR25" s="27">
        <v>1439.89</v>
      </c>
      <c r="BS25" s="27">
        <v>3215.4300000000003</v>
      </c>
      <c r="BT25" s="27">
        <v>2069.98</v>
      </c>
      <c r="BU25" s="27">
        <v>1883.21</v>
      </c>
      <c r="BV25" s="43">
        <f t="shared" si="52"/>
        <v>51632.009999999995</v>
      </c>
      <c r="BW25" s="405"/>
      <c r="BX25" s="32">
        <f t="shared" si="53"/>
        <v>8.5465006244297079E-2</v>
      </c>
      <c r="BY25" s="32">
        <f t="shared" si="54"/>
        <v>0.29213655813324085</v>
      </c>
      <c r="BZ25" s="32">
        <f t="shared" si="55"/>
        <v>0.45213370487406246</v>
      </c>
      <c r="CA25" s="32">
        <f t="shared" si="56"/>
        <v>0.60079568908921988</v>
      </c>
      <c r="CB25" s="32">
        <f t="shared" si="57"/>
        <v>0.69347522818892404</v>
      </c>
      <c r="CC25" s="32">
        <f t="shared" si="58"/>
        <v>0.78492298274735661</v>
      </c>
      <c r="CD25" s="32">
        <f t="shared" si="59"/>
        <v>0.84177177820282334</v>
      </c>
      <c r="CE25" s="32">
        <f t="shared" si="60"/>
        <v>0.90408932041685663</v>
      </c>
      <c r="CF25" s="32">
        <f t="shared" si="61"/>
        <v>0.93036164581351233</v>
      </c>
      <c r="CG25" s="32">
        <f t="shared" si="62"/>
        <v>0.9466035204877733</v>
      </c>
      <c r="CH25" s="32">
        <f t="shared" si="63"/>
        <v>0.97738616565052561</v>
      </c>
      <c r="CI25" s="32">
        <f t="shared" si="64"/>
        <v>1</v>
      </c>
      <c r="CJ25" s="405"/>
      <c r="CK25" s="32">
        <f t="shared" si="65"/>
        <v>0.20530368854768891</v>
      </c>
      <c r="CL25" s="32">
        <f t="shared" si="66"/>
        <v>0.41517883573951864</v>
      </c>
      <c r="CM25" s="32">
        <f t="shared" si="67"/>
        <v>0.51797887193852998</v>
      </c>
      <c r="CN25" s="32">
        <f t="shared" si="68"/>
        <v>0.5481184603756839</v>
      </c>
      <c r="CO25" s="32">
        <f t="shared" si="69"/>
        <v>0.60289417851979821</v>
      </c>
      <c r="CP25" s="32">
        <f t="shared" si="70"/>
        <v>0.62786936281739258</v>
      </c>
      <c r="CQ25" s="32">
        <f t="shared" si="71"/>
        <v>0.73505061727670717</v>
      </c>
      <c r="CR25" s="32">
        <f t="shared" si="72"/>
        <v>0.79829292147534803</v>
      </c>
      <c r="CS25" s="32">
        <f t="shared" si="73"/>
        <v>0.86898607031462394</v>
      </c>
      <c r="CT25" s="32">
        <f t="shared" si="74"/>
        <v>0.90928502863295579</v>
      </c>
      <c r="CU25" s="32">
        <f t="shared" si="75"/>
        <v>0.97392408839741684</v>
      </c>
      <c r="CV25" s="32">
        <f t="shared" si="76"/>
        <v>1</v>
      </c>
      <c r="CX25" s="32">
        <f t="shared" si="77"/>
        <v>0.24515694793733234</v>
      </c>
      <c r="CY25" s="32">
        <f t="shared" si="78"/>
        <v>0.43782249800622108</v>
      </c>
      <c r="CZ25" s="32">
        <f t="shared" si="79"/>
        <v>0.4891699744841736</v>
      </c>
      <c r="DA25" s="32">
        <f t="shared" si="80"/>
        <v>0.57080646195862761</v>
      </c>
      <c r="DB25" s="32">
        <f t="shared" si="81"/>
        <v>0.68261870434691874</v>
      </c>
      <c r="DC25" s="32">
        <f t="shared" si="82"/>
        <v>0.76025627334705104</v>
      </c>
      <c r="DD25" s="32">
        <f t="shared" si="83"/>
        <v>0.83020099284336901</v>
      </c>
      <c r="DE25" s="32">
        <f t="shared" si="84"/>
        <v>0.87605240330980416</v>
      </c>
      <c r="DF25" s="32">
        <f t="shared" si="85"/>
        <v>0.90378860822081863</v>
      </c>
      <c r="DG25" s="32">
        <f t="shared" si="86"/>
        <v>0.93639534902011645</v>
      </c>
      <c r="DH25" s="32">
        <f t="shared" si="87"/>
        <v>0.96707079396533846</v>
      </c>
      <c r="DI25" s="32">
        <f t="shared" si="88"/>
        <v>1</v>
      </c>
      <c r="DK25" s="32">
        <f t="shared" si="3"/>
        <v>0.17513788338894856</v>
      </c>
      <c r="DL25" s="32">
        <f t="shared" si="4"/>
        <v>0.35815292066461141</v>
      </c>
      <c r="DM25" s="32">
        <f t="shared" si="5"/>
        <v>0.55766874117180676</v>
      </c>
      <c r="DN25" s="32">
        <f t="shared" si="6"/>
        <v>0.69913979239553392</v>
      </c>
      <c r="DO25" s="32">
        <f t="shared" si="7"/>
        <v>0.81689990416479041</v>
      </c>
      <c r="DP25" s="32">
        <f t="shared" si="8"/>
        <v>0.90070336885779068</v>
      </c>
      <c r="DQ25" s="32">
        <f t="shared" si="9"/>
        <v>0.95386131221109927</v>
      </c>
      <c r="DR25" s="32">
        <f t="shared" si="10"/>
        <v>0.96969740706101515</v>
      </c>
      <c r="DS25" s="32">
        <f t="shared" si="11"/>
        <v>0.97825733870626319</v>
      </c>
      <c r="DT25" s="32">
        <f t="shared" si="12"/>
        <v>0.98168123438829047</v>
      </c>
      <c r="DU25" s="32">
        <f t="shared" si="13"/>
        <v>1</v>
      </c>
      <c r="DV25" s="32">
        <f t="shared" si="14"/>
        <v>1</v>
      </c>
      <c r="DW25" s="39"/>
      <c r="DX25" s="32">
        <f t="shared" si="15"/>
        <v>0.22075297862701843</v>
      </c>
      <c r="DY25" s="32">
        <f t="shared" si="16"/>
        <v>0.38905109446639791</v>
      </c>
      <c r="DZ25" s="32">
        <f t="shared" si="17"/>
        <v>0.49291166468243247</v>
      </c>
      <c r="EA25" s="32">
        <f t="shared" si="18"/>
        <v>0.56209064880487891</v>
      </c>
      <c r="EB25" s="32">
        <f t="shared" si="19"/>
        <v>0.63823914660692072</v>
      </c>
      <c r="EC25" s="32">
        <f t="shared" si="20"/>
        <v>0.74757306562343773</v>
      </c>
      <c r="ED25" s="32">
        <f t="shared" si="21"/>
        <v>0.79692597673420029</v>
      </c>
      <c r="EE25" s="32">
        <f t="shared" si="22"/>
        <v>0.83327184047260594</v>
      </c>
      <c r="EF25" s="32">
        <f t="shared" si="23"/>
        <v>0.86115938542776072</v>
      </c>
      <c r="EG25" s="32">
        <f t="shared" si="24"/>
        <v>0.92343528752802762</v>
      </c>
      <c r="EH25" s="32">
        <f t="shared" si="25"/>
        <v>0.96352630858260213</v>
      </c>
      <c r="EI25" s="32">
        <f t="shared" si="26"/>
        <v>1</v>
      </c>
      <c r="EK25" s="32">
        <f t="shared" si="89"/>
        <v>0.21368260331776642</v>
      </c>
      <c r="EL25" s="32">
        <f t="shared" si="104"/>
        <v>0.39500883771241013</v>
      </c>
      <c r="EM25" s="32">
        <f t="shared" si="105"/>
        <v>0.51325012677947102</v>
      </c>
      <c r="EN25" s="32">
        <f t="shared" si="106"/>
        <v>0.61067896771968011</v>
      </c>
      <c r="EO25" s="32">
        <f t="shared" si="107"/>
        <v>0.71258591837287666</v>
      </c>
      <c r="EP25" s="32">
        <f t="shared" si="108"/>
        <v>0.80284423594275989</v>
      </c>
      <c r="EQ25" s="32">
        <f t="shared" si="109"/>
        <v>0.86032942726288952</v>
      </c>
      <c r="ER25" s="32">
        <f t="shared" si="110"/>
        <v>0.89300721694780849</v>
      </c>
      <c r="ES25" s="32">
        <f t="shared" si="111"/>
        <v>0.91440177745161411</v>
      </c>
      <c r="ET25" s="32">
        <f t="shared" si="112"/>
        <v>0.94717062364547822</v>
      </c>
      <c r="EU25" s="32">
        <f t="shared" si="113"/>
        <v>0.97686570084931346</v>
      </c>
      <c r="EV25" s="32">
        <f t="shared" si="114"/>
        <v>1</v>
      </c>
      <c r="EX25" s="32">
        <f t="shared" si="90"/>
        <v>0.21158787462524706</v>
      </c>
      <c r="EY25" s="32">
        <f t="shared" si="91"/>
        <v>0.40005133721918729</v>
      </c>
      <c r="EZ25" s="32">
        <f t="shared" si="92"/>
        <v>0.51443231306923565</v>
      </c>
      <c r="FA25" s="32">
        <f t="shared" si="93"/>
        <v>0.59503884088368109</v>
      </c>
      <c r="FB25" s="32">
        <f t="shared" si="94"/>
        <v>0.68516298340960702</v>
      </c>
      <c r="FC25" s="32">
        <f t="shared" si="95"/>
        <v>0.75910051766141806</v>
      </c>
      <c r="FD25" s="32">
        <f t="shared" si="96"/>
        <v>0.82900972476634394</v>
      </c>
      <c r="FE25" s="32">
        <f t="shared" si="97"/>
        <v>0.86932864307969338</v>
      </c>
      <c r="FF25" s="32">
        <f t="shared" si="98"/>
        <v>0.90304785066736659</v>
      </c>
      <c r="FG25" s="32">
        <f t="shared" si="99"/>
        <v>0.93769922489234758</v>
      </c>
      <c r="FH25" s="32">
        <f t="shared" si="100"/>
        <v>0.9761302977363393</v>
      </c>
      <c r="FI25" s="32">
        <f t="shared" si="101"/>
        <v>1</v>
      </c>
      <c r="FK25" s="32">
        <f t="shared" si="102"/>
        <v>0.20853283995798991</v>
      </c>
      <c r="FL25" s="32">
        <f t="shared" si="29"/>
        <v>0.40371808480345034</v>
      </c>
      <c r="FM25" s="32">
        <f t="shared" si="30"/>
        <v>0.52160586253150354</v>
      </c>
      <c r="FN25" s="32">
        <f t="shared" si="31"/>
        <v>0.60602157157661518</v>
      </c>
      <c r="FO25" s="32">
        <f t="shared" si="32"/>
        <v>0.70080426234383575</v>
      </c>
      <c r="FP25" s="32">
        <f t="shared" si="33"/>
        <v>0.76294300167407814</v>
      </c>
      <c r="FQ25" s="32">
        <f t="shared" si="34"/>
        <v>0.83970430744372526</v>
      </c>
      <c r="FR25" s="32">
        <f t="shared" si="35"/>
        <v>0.88134757728205582</v>
      </c>
      <c r="FS25" s="32">
        <f t="shared" si="36"/>
        <v>0.91701067241390188</v>
      </c>
      <c r="FT25" s="32">
        <f t="shared" si="37"/>
        <v>0.94245387068045428</v>
      </c>
      <c r="FU25" s="32">
        <f t="shared" si="38"/>
        <v>0.98033162745425173</v>
      </c>
      <c r="FV25" s="32">
        <f t="shared" si="39"/>
        <v>1</v>
      </c>
      <c r="FX25" s="32">
        <f t="shared" si="103"/>
        <v>0.17864188090977276</v>
      </c>
      <c r="FY25" s="32">
        <f t="shared" si="40"/>
        <v>0.38171263062632682</v>
      </c>
      <c r="FZ25" s="32">
        <f t="shared" si="41"/>
        <v>0.48642751709892201</v>
      </c>
      <c r="GA25" s="32">
        <f t="shared" si="42"/>
        <v>0.5732402038078438</v>
      </c>
      <c r="GB25" s="32">
        <f t="shared" si="43"/>
        <v>0.65966270368521362</v>
      </c>
      <c r="GC25" s="32">
        <f t="shared" si="44"/>
        <v>0.72434953963726667</v>
      </c>
      <c r="GD25" s="32">
        <f t="shared" si="45"/>
        <v>0.80234112944096658</v>
      </c>
      <c r="GE25" s="32">
        <f t="shared" si="46"/>
        <v>0.85947821506733624</v>
      </c>
      <c r="GF25" s="32">
        <f t="shared" si="47"/>
        <v>0.90104544144965171</v>
      </c>
      <c r="GG25" s="32">
        <f t="shared" si="48"/>
        <v>0.93076129938028185</v>
      </c>
      <c r="GH25" s="32">
        <f t="shared" si="49"/>
        <v>0.97279368267109356</v>
      </c>
      <c r="GI25" s="32">
        <f t="shared" si="50"/>
        <v>1</v>
      </c>
    </row>
    <row r="26" spans="1:191">
      <c r="A26" s="724" t="s">
        <v>100</v>
      </c>
      <c r="B26" s="399">
        <v>618978.52</v>
      </c>
      <c r="C26" s="400">
        <v>786353.38</v>
      </c>
      <c r="D26" s="400">
        <v>509776.71</v>
      </c>
      <c r="E26" s="400">
        <v>382944.56</v>
      </c>
      <c r="F26" s="400">
        <v>307213.07</v>
      </c>
      <c r="G26" s="400">
        <v>297913.89</v>
      </c>
      <c r="H26" s="400">
        <v>210623.03</v>
      </c>
      <c r="I26" s="400">
        <v>133496.35</v>
      </c>
      <c r="J26" s="400">
        <v>96131.86</v>
      </c>
      <c r="K26" s="400">
        <v>76144.02</v>
      </c>
      <c r="L26" s="400">
        <v>75574.27</v>
      </c>
      <c r="M26" s="400">
        <v>87450.62</v>
      </c>
      <c r="N26" s="400">
        <f t="shared" si="0"/>
        <v>3582600.28</v>
      </c>
      <c r="P26" s="396" t="s">
        <v>100</v>
      </c>
      <c r="Q26" s="399">
        <v>624459.93000000005</v>
      </c>
      <c r="R26" s="400">
        <v>740898.1</v>
      </c>
      <c r="S26" s="400">
        <v>352708.41</v>
      </c>
      <c r="T26" s="400">
        <v>173408.16</v>
      </c>
      <c r="U26" s="400">
        <v>148534.54</v>
      </c>
      <c r="V26" s="400">
        <v>229123.33000000002</v>
      </c>
      <c r="W26" s="400">
        <v>302436.92</v>
      </c>
      <c r="X26" s="400">
        <v>371908.35</v>
      </c>
      <c r="Y26" s="400">
        <v>116603.52</v>
      </c>
      <c r="Z26" s="400">
        <v>44325.94</v>
      </c>
      <c r="AA26" s="400">
        <v>82175.540000000008</v>
      </c>
      <c r="AB26" s="400">
        <v>81262.02</v>
      </c>
      <c r="AC26" s="400">
        <f t="shared" si="51"/>
        <v>3267844.76</v>
      </c>
      <c r="AE26" s="127" t="s">
        <v>100</v>
      </c>
      <c r="AF26" s="27">
        <v>570780.80000000005</v>
      </c>
      <c r="AG26" s="27">
        <v>760330.83</v>
      </c>
      <c r="AH26" s="27">
        <v>294771.95</v>
      </c>
      <c r="AI26" s="27">
        <v>311624.87</v>
      </c>
      <c r="AJ26" s="27">
        <v>389424.48</v>
      </c>
      <c r="AK26" s="27">
        <v>355506.18</v>
      </c>
      <c r="AL26" s="27">
        <v>88471.18</v>
      </c>
      <c r="AM26" s="27">
        <v>61744.800000000003</v>
      </c>
      <c r="AN26" s="27">
        <v>56892.99</v>
      </c>
      <c r="AO26" s="27">
        <v>68822.149999999994</v>
      </c>
      <c r="AP26" s="27">
        <v>37461.47</v>
      </c>
      <c r="AQ26" s="27">
        <v>54915.33</v>
      </c>
      <c r="AR26" s="43">
        <f t="shared" si="1"/>
        <v>3050747.0300000003</v>
      </c>
      <c r="AT26" s="60" t="s">
        <v>100</v>
      </c>
      <c r="AU26" s="27">
        <v>506570.91</v>
      </c>
      <c r="AV26" s="27">
        <v>636216.56000000006</v>
      </c>
      <c r="AW26" s="27">
        <v>422761.68</v>
      </c>
      <c r="AX26" s="27">
        <v>278807.03999999998</v>
      </c>
      <c r="AY26" s="27">
        <v>294160.32</v>
      </c>
      <c r="AZ26" s="27">
        <v>302821.59000000003</v>
      </c>
      <c r="BA26" s="27">
        <v>61530.09</v>
      </c>
      <c r="BB26" s="27">
        <v>55334.62</v>
      </c>
      <c r="BC26" s="27">
        <v>46039.34</v>
      </c>
      <c r="BD26" s="27">
        <v>57447.519999999997</v>
      </c>
      <c r="BE26" s="27">
        <v>46815.9</v>
      </c>
      <c r="BF26" s="27">
        <v>43366.39</v>
      </c>
      <c r="BG26" s="43">
        <f t="shared" si="2"/>
        <v>2751871.9599999995</v>
      </c>
      <c r="BI26" s="60" t="s">
        <v>100</v>
      </c>
      <c r="BJ26" s="27">
        <v>461325.67000000004</v>
      </c>
      <c r="BK26" s="27">
        <v>775936.56</v>
      </c>
      <c r="BL26" s="27">
        <v>234366.34</v>
      </c>
      <c r="BM26" s="27">
        <v>189828.43</v>
      </c>
      <c r="BN26" s="27">
        <v>269958.36</v>
      </c>
      <c r="BO26" s="27">
        <v>290278.32</v>
      </c>
      <c r="BP26" s="27">
        <v>68937.25</v>
      </c>
      <c r="BQ26" s="27">
        <v>60928.77</v>
      </c>
      <c r="BR26" s="27">
        <v>50011.75</v>
      </c>
      <c r="BS26" s="27">
        <v>45391.86</v>
      </c>
      <c r="BT26" s="27">
        <v>57129.38</v>
      </c>
      <c r="BU26" s="27">
        <v>42027.46</v>
      </c>
      <c r="BV26" s="43">
        <f t="shared" si="52"/>
        <v>2546120.1499999994</v>
      </c>
      <c r="BW26" s="405"/>
      <c r="BX26" s="32">
        <f t="shared" si="53"/>
        <v>0.17277353643259361</v>
      </c>
      <c r="BY26" s="32">
        <f t="shared" si="54"/>
        <v>0.39226589353138774</v>
      </c>
      <c r="BZ26" s="32">
        <f t="shared" si="55"/>
        <v>0.53455827062013184</v>
      </c>
      <c r="CA26" s="32">
        <f t="shared" si="56"/>
        <v>0.6414483867566716</v>
      </c>
      <c r="CB26" s="32">
        <f t="shared" si="57"/>
        <v>0.72719980918440608</v>
      </c>
      <c r="CC26" s="32">
        <f t="shared" si="58"/>
        <v>0.81035558061196822</v>
      </c>
      <c r="CD26" s="32">
        <f t="shared" si="59"/>
        <v>0.86914612757189869</v>
      </c>
      <c r="CE26" s="32">
        <f t="shared" si="60"/>
        <v>0.90640854580628794</v>
      </c>
      <c r="CF26" s="32">
        <f t="shared" si="61"/>
        <v>0.93324153092513007</v>
      </c>
      <c r="CG26" s="32">
        <f t="shared" si="62"/>
        <v>0.95449537284131514</v>
      </c>
      <c r="CH26" s="32">
        <f t="shared" si="63"/>
        <v>0.97559018222373384</v>
      </c>
      <c r="CI26" s="32">
        <f t="shared" si="64"/>
        <v>1</v>
      </c>
      <c r="CJ26" s="405"/>
      <c r="CK26" s="32">
        <f t="shared" si="65"/>
        <v>0.19109228738270911</v>
      </c>
      <c r="CL26" s="32">
        <f t="shared" si="66"/>
        <v>0.41781606235175017</v>
      </c>
      <c r="CM26" s="32">
        <f t="shared" si="67"/>
        <v>0.52574909953800864</v>
      </c>
      <c r="CN26" s="32">
        <f t="shared" si="68"/>
        <v>0.57881409274778406</v>
      </c>
      <c r="CO26" s="32">
        <f t="shared" si="69"/>
        <v>0.62426745755205337</v>
      </c>
      <c r="CP26" s="32">
        <f t="shared" si="70"/>
        <v>0.69438196629634263</v>
      </c>
      <c r="CQ26" s="32">
        <f t="shared" si="71"/>
        <v>0.78693131983417719</v>
      </c>
      <c r="CR26" s="32">
        <f t="shared" si="72"/>
        <v>0.90073977075948974</v>
      </c>
      <c r="CS26" s="32">
        <f t="shared" si="73"/>
        <v>0.93642185744466022</v>
      </c>
      <c r="CT26" s="32">
        <f t="shared" si="74"/>
        <v>0.94998613092012363</v>
      </c>
      <c r="CU26" s="32">
        <f t="shared" si="75"/>
        <v>0.97513283954161889</v>
      </c>
      <c r="CV26" s="32">
        <f t="shared" si="76"/>
        <v>1</v>
      </c>
      <c r="CX26" s="32">
        <f t="shared" si="77"/>
        <v>0.18709542101889712</v>
      </c>
      <c r="CY26" s="32">
        <f t="shared" si="78"/>
        <v>0.43632317491758726</v>
      </c>
      <c r="CZ26" s="32">
        <f t="shared" si="79"/>
        <v>0.53294605026625219</v>
      </c>
      <c r="DA26" s="32">
        <f t="shared" si="80"/>
        <v>0.63509312012671193</v>
      </c>
      <c r="DB26" s="32">
        <f t="shared" si="81"/>
        <v>0.76274201273253373</v>
      </c>
      <c r="DC26" s="32">
        <f t="shared" si="82"/>
        <v>0.8792728743556294</v>
      </c>
      <c r="DD26" s="32">
        <f t="shared" si="83"/>
        <v>0.90827271574857515</v>
      </c>
      <c r="DE26" s="32">
        <f t="shared" si="84"/>
        <v>0.92851195531607211</v>
      </c>
      <c r="DF26" s="32">
        <f t="shared" si="85"/>
        <v>0.94716082703192861</v>
      </c>
      <c r="DG26" s="32">
        <f t="shared" si="86"/>
        <v>0.96971994102047843</v>
      </c>
      <c r="DH26" s="32">
        <f t="shared" si="87"/>
        <v>0.98199938262334385</v>
      </c>
      <c r="DI26" s="32">
        <f t="shared" si="88"/>
        <v>1</v>
      </c>
      <c r="DK26" s="32">
        <f t="shared" si="3"/>
        <v>0.18408229647428803</v>
      </c>
      <c r="DL26" s="32">
        <f t="shared" si="4"/>
        <v>0.41527639607185801</v>
      </c>
      <c r="DM26" s="32">
        <f t="shared" si="5"/>
        <v>0.5689033402557</v>
      </c>
      <c r="DN26" s="32">
        <f t="shared" si="6"/>
        <v>0.67021875174744694</v>
      </c>
      <c r="DO26" s="32">
        <f t="shared" si="7"/>
        <v>0.77711337630694133</v>
      </c>
      <c r="DP26" s="32">
        <f t="shared" si="8"/>
        <v>0.88715541111149665</v>
      </c>
      <c r="DQ26" s="32">
        <f t="shared" si="9"/>
        <v>0.90951476899383066</v>
      </c>
      <c r="DR26" s="32">
        <f t="shared" si="10"/>
        <v>0.92962276122759724</v>
      </c>
      <c r="DS26" s="32">
        <f t="shared" si="11"/>
        <v>0.94635295095633731</v>
      </c>
      <c r="DT26" s="32">
        <f t="shared" si="12"/>
        <v>0.96722874780845547</v>
      </c>
      <c r="DU26" s="32">
        <f t="shared" si="13"/>
        <v>0.98424113089912801</v>
      </c>
      <c r="DV26" s="32">
        <f t="shared" si="14"/>
        <v>1</v>
      </c>
      <c r="DW26" s="39"/>
      <c r="DX26" s="32">
        <f t="shared" si="15"/>
        <v>0.1811877063225002</v>
      </c>
      <c r="DY26" s="32">
        <f t="shared" si="16"/>
        <v>0.48594023734504449</v>
      </c>
      <c r="DZ26" s="32">
        <f t="shared" si="17"/>
        <v>0.57798865854779102</v>
      </c>
      <c r="EA26" s="32">
        <f t="shared" si="18"/>
        <v>0.65254461773926908</v>
      </c>
      <c r="EB26" s="32">
        <f t="shared" si="19"/>
        <v>0.75857196291384765</v>
      </c>
      <c r="EC26" s="32">
        <f t="shared" si="20"/>
        <v>0.87258006264943944</v>
      </c>
      <c r="ED26" s="32">
        <f t="shared" si="21"/>
        <v>0.89965547383928457</v>
      </c>
      <c r="EE26" s="32">
        <f t="shared" si="22"/>
        <v>0.92358551893161844</v>
      </c>
      <c r="EF26" s="32">
        <f t="shared" si="23"/>
        <v>0.94322785592031089</v>
      </c>
      <c r="EG26" s="32">
        <f t="shared" si="24"/>
        <v>0.96105571058773487</v>
      </c>
      <c r="EH26" s="32">
        <f t="shared" si="25"/>
        <v>0.98349352837885518</v>
      </c>
      <c r="EI26" s="32">
        <f t="shared" si="26"/>
        <v>1</v>
      </c>
      <c r="EK26" s="32">
        <f t="shared" si="89"/>
        <v>0.18412180793856181</v>
      </c>
      <c r="EL26" s="32">
        <f t="shared" si="104"/>
        <v>0.44584660277816329</v>
      </c>
      <c r="EM26" s="32">
        <f t="shared" si="105"/>
        <v>0.55994601635658103</v>
      </c>
      <c r="EN26" s="32">
        <f t="shared" si="106"/>
        <v>0.65261882987114261</v>
      </c>
      <c r="EO26" s="32">
        <f t="shared" si="107"/>
        <v>0.76614245065110753</v>
      </c>
      <c r="EP26" s="32">
        <f t="shared" si="108"/>
        <v>0.87966944937218849</v>
      </c>
      <c r="EQ26" s="32">
        <f t="shared" si="109"/>
        <v>0.90581431952723024</v>
      </c>
      <c r="ER26" s="32">
        <f t="shared" si="110"/>
        <v>0.92724007849176271</v>
      </c>
      <c r="ES26" s="32">
        <f t="shared" si="111"/>
        <v>0.94558054463619223</v>
      </c>
      <c r="ET26" s="32">
        <f t="shared" si="112"/>
        <v>0.96600146647222296</v>
      </c>
      <c r="EU26" s="32">
        <f t="shared" si="113"/>
        <v>0.98324468063377568</v>
      </c>
      <c r="EV26" s="32">
        <f t="shared" si="114"/>
        <v>1</v>
      </c>
      <c r="EX26" s="32">
        <f t="shared" si="90"/>
        <v>0.18586442779959861</v>
      </c>
      <c r="EY26" s="32">
        <f t="shared" si="91"/>
        <v>0.43883896767156</v>
      </c>
      <c r="EZ26" s="32">
        <f t="shared" si="92"/>
        <v>0.55139678715193796</v>
      </c>
      <c r="FA26" s="32">
        <f t="shared" si="93"/>
        <v>0.63416764559030303</v>
      </c>
      <c r="FB26" s="32">
        <f t="shared" si="94"/>
        <v>0.73067370237634399</v>
      </c>
      <c r="FC26" s="32">
        <f t="shared" si="95"/>
        <v>0.83334757860322695</v>
      </c>
      <c r="FD26" s="32">
        <f t="shared" si="96"/>
        <v>0.87609356960396689</v>
      </c>
      <c r="FE26" s="32">
        <f t="shared" si="97"/>
        <v>0.92061500155869447</v>
      </c>
      <c r="FF26" s="32">
        <f t="shared" si="98"/>
        <v>0.94329087283830926</v>
      </c>
      <c r="FG26" s="32">
        <f t="shared" si="99"/>
        <v>0.96199763258419813</v>
      </c>
      <c r="FH26" s="32">
        <f t="shared" si="100"/>
        <v>0.98121672036073648</v>
      </c>
      <c r="FI26" s="32">
        <f t="shared" si="101"/>
        <v>1</v>
      </c>
      <c r="FK26" s="32">
        <f t="shared" si="102"/>
        <v>0.18742333495863142</v>
      </c>
      <c r="FL26" s="32">
        <f t="shared" si="29"/>
        <v>0.42313854444706517</v>
      </c>
      <c r="FM26" s="32">
        <f t="shared" si="30"/>
        <v>0.54253283001998698</v>
      </c>
      <c r="FN26" s="32">
        <f t="shared" si="31"/>
        <v>0.62804198820731427</v>
      </c>
      <c r="FO26" s="32">
        <f t="shared" si="32"/>
        <v>0.72137428219717614</v>
      </c>
      <c r="FP26" s="32">
        <f t="shared" si="33"/>
        <v>0.82027008392115619</v>
      </c>
      <c r="FQ26" s="32">
        <f t="shared" si="34"/>
        <v>0.8682396015255277</v>
      </c>
      <c r="FR26" s="32">
        <f t="shared" si="35"/>
        <v>0.91962482910105303</v>
      </c>
      <c r="FS26" s="32">
        <f t="shared" si="36"/>
        <v>0.94331187847764209</v>
      </c>
      <c r="FT26" s="32">
        <f t="shared" si="37"/>
        <v>0.96231160658301917</v>
      </c>
      <c r="FU26" s="32">
        <f t="shared" si="38"/>
        <v>0.98045778435469699</v>
      </c>
      <c r="FV26" s="32">
        <f t="shared" si="39"/>
        <v>1</v>
      </c>
      <c r="FX26" s="32">
        <f t="shared" si="103"/>
        <v>0.1836537482780666</v>
      </c>
      <c r="FY26" s="32">
        <f t="shared" si="40"/>
        <v>0.41546837693357502</v>
      </c>
      <c r="FZ26" s="32">
        <f t="shared" si="41"/>
        <v>0.53108447347479748</v>
      </c>
      <c r="GA26" s="32">
        <f t="shared" si="42"/>
        <v>0.61845186654372253</v>
      </c>
      <c r="GB26" s="32">
        <f t="shared" si="43"/>
        <v>0.7047364264896645</v>
      </c>
      <c r="GC26" s="32">
        <f t="shared" si="44"/>
        <v>0.79467014042131334</v>
      </c>
      <c r="GD26" s="32">
        <f t="shared" si="45"/>
        <v>0.85478338771821694</v>
      </c>
      <c r="GE26" s="32">
        <f t="shared" si="46"/>
        <v>0.91188675729394986</v>
      </c>
      <c r="GF26" s="32">
        <f t="shared" si="47"/>
        <v>0.93894140513390634</v>
      </c>
      <c r="GG26" s="32">
        <f t="shared" si="48"/>
        <v>0.9580671482606391</v>
      </c>
      <c r="GH26" s="32">
        <f t="shared" si="49"/>
        <v>0.97757413479623223</v>
      </c>
      <c r="GI26" s="32">
        <f t="shared" si="50"/>
        <v>1</v>
      </c>
    </row>
    <row r="27" spans="1:191">
      <c r="A27" s="724" t="s">
        <v>101</v>
      </c>
      <c r="B27" s="399">
        <v>3624084.77</v>
      </c>
      <c r="C27" s="400">
        <v>3969089</v>
      </c>
      <c r="D27" s="400">
        <v>2940420.88</v>
      </c>
      <c r="E27" s="400">
        <v>1866472.42</v>
      </c>
      <c r="F27" s="400">
        <v>1578731.31</v>
      </c>
      <c r="G27" s="400">
        <v>1605356.93</v>
      </c>
      <c r="H27" s="400">
        <v>1092367.1000000001</v>
      </c>
      <c r="I27" s="400">
        <v>755902.77</v>
      </c>
      <c r="J27" s="400">
        <v>524427.88</v>
      </c>
      <c r="K27" s="400">
        <v>401213.53</v>
      </c>
      <c r="L27" s="400">
        <v>405133.3</v>
      </c>
      <c r="M27" s="400">
        <v>498508.03</v>
      </c>
      <c r="N27" s="400">
        <f t="shared" si="0"/>
        <v>19261707.920000002</v>
      </c>
      <c r="P27" s="396" t="s">
        <v>101</v>
      </c>
      <c r="Q27" s="399">
        <v>4274574.24</v>
      </c>
      <c r="R27" s="400">
        <v>3710769.18</v>
      </c>
      <c r="S27" s="400">
        <v>1963611.94</v>
      </c>
      <c r="T27" s="400">
        <v>898902.24</v>
      </c>
      <c r="U27" s="400">
        <v>754768.63</v>
      </c>
      <c r="V27" s="400">
        <v>1146585.68</v>
      </c>
      <c r="W27" s="400">
        <v>1631870.17</v>
      </c>
      <c r="X27" s="400">
        <v>1591378.77</v>
      </c>
      <c r="Y27" s="400">
        <v>652847</v>
      </c>
      <c r="Z27" s="400">
        <v>297847.45</v>
      </c>
      <c r="AA27" s="400">
        <v>516326.88</v>
      </c>
      <c r="AB27" s="400">
        <v>494025.63</v>
      </c>
      <c r="AC27" s="400">
        <f t="shared" si="51"/>
        <v>17933507.809999999</v>
      </c>
      <c r="AE27" s="127" t="s">
        <v>101</v>
      </c>
      <c r="AF27" s="27">
        <v>3846614.09</v>
      </c>
      <c r="AG27" s="27">
        <v>3684385.84</v>
      </c>
      <c r="AH27" s="27">
        <v>1459068.49</v>
      </c>
      <c r="AI27" s="27">
        <v>1643754.38</v>
      </c>
      <c r="AJ27" s="27">
        <v>2062317.61</v>
      </c>
      <c r="AK27" s="27">
        <v>1593637.56</v>
      </c>
      <c r="AL27" s="27">
        <v>656431.5</v>
      </c>
      <c r="AM27" s="27">
        <v>535638.26</v>
      </c>
      <c r="AN27" s="27">
        <v>462887.37</v>
      </c>
      <c r="AO27" s="27">
        <v>455158.88</v>
      </c>
      <c r="AP27" s="27">
        <v>514546.83</v>
      </c>
      <c r="AQ27" s="27">
        <v>580668.28</v>
      </c>
      <c r="AR27" s="43">
        <f t="shared" si="1"/>
        <v>17495109.09</v>
      </c>
      <c r="AT27" s="60" t="s">
        <v>101</v>
      </c>
      <c r="AU27" s="27">
        <v>5167080.1500000004</v>
      </c>
      <c r="AV27" s="27">
        <v>3273636.99</v>
      </c>
      <c r="AW27" s="27">
        <v>670179.79</v>
      </c>
      <c r="AX27" s="27">
        <v>2020931.2</v>
      </c>
      <c r="AY27" s="27">
        <v>1481986.46</v>
      </c>
      <c r="AZ27" s="27">
        <v>1022671.92</v>
      </c>
      <c r="BA27" s="27">
        <v>409389.24</v>
      </c>
      <c r="BB27" s="27">
        <v>364080.62</v>
      </c>
      <c r="BC27" s="27">
        <v>286094.34000000003</v>
      </c>
      <c r="BD27" s="27">
        <v>314778.55</v>
      </c>
      <c r="BE27" s="27">
        <v>257510.86</v>
      </c>
      <c r="BF27" s="27">
        <v>293455.51</v>
      </c>
      <c r="BG27" s="43">
        <f t="shared" si="2"/>
        <v>15561795.629999999</v>
      </c>
      <c r="BI27" s="60" t="s">
        <v>101</v>
      </c>
      <c r="BJ27" s="27">
        <v>6426892.2700000005</v>
      </c>
      <c r="BK27" s="27">
        <v>1364083.1099999999</v>
      </c>
      <c r="BL27" s="27">
        <v>1814560.58</v>
      </c>
      <c r="BM27" s="27">
        <v>591276.49</v>
      </c>
      <c r="BN27" s="27">
        <v>2318748.96</v>
      </c>
      <c r="BO27" s="27">
        <v>728171.10000000009</v>
      </c>
      <c r="BP27" s="27">
        <v>391310.96</v>
      </c>
      <c r="BQ27" s="27">
        <v>423966.51999999996</v>
      </c>
      <c r="BR27" s="27">
        <v>193439.94999999998</v>
      </c>
      <c r="BS27" s="27">
        <v>527595.19999999995</v>
      </c>
      <c r="BT27" s="27">
        <v>342140.32</v>
      </c>
      <c r="BU27" s="27">
        <v>172216.43</v>
      </c>
      <c r="BV27" s="43">
        <f t="shared" si="52"/>
        <v>15294401.889999999</v>
      </c>
      <c r="BW27" s="405"/>
      <c r="BX27" s="32">
        <f t="shared" si="53"/>
        <v>0.18814971055796176</v>
      </c>
      <c r="BY27" s="32">
        <f t="shared" si="54"/>
        <v>0.39421082499728816</v>
      </c>
      <c r="BZ27" s="32">
        <f t="shared" si="55"/>
        <v>0.54686711550966127</v>
      </c>
      <c r="CA27" s="32">
        <f t="shared" si="56"/>
        <v>0.64376778640302412</v>
      </c>
      <c r="CB27" s="32">
        <f t="shared" si="57"/>
        <v>0.72572995281926156</v>
      </c>
      <c r="CC27" s="32">
        <f t="shared" si="58"/>
        <v>0.80907442760143344</v>
      </c>
      <c r="CD27" s="32">
        <f t="shared" si="59"/>
        <v>0.86578627810487518</v>
      </c>
      <c r="CE27" s="32">
        <f t="shared" si="60"/>
        <v>0.90503008624169801</v>
      </c>
      <c r="CF27" s="32">
        <f t="shared" si="61"/>
        <v>0.9322565337705524</v>
      </c>
      <c r="CG27" s="32">
        <f t="shared" si="62"/>
        <v>0.95308612643525115</v>
      </c>
      <c r="CH27" s="32">
        <f t="shared" si="63"/>
        <v>0.97411921974570148</v>
      </c>
      <c r="CI27" s="32">
        <f t="shared" si="64"/>
        <v>1</v>
      </c>
      <c r="CJ27" s="405"/>
      <c r="CK27" s="32">
        <f t="shared" si="65"/>
        <v>0.23835683934720414</v>
      </c>
      <c r="CL27" s="32">
        <f t="shared" si="66"/>
        <v>0.44527504070047302</v>
      </c>
      <c r="CM27" s="32">
        <f t="shared" si="67"/>
        <v>0.55476906500424361</v>
      </c>
      <c r="CN27" s="32">
        <f t="shared" si="68"/>
        <v>0.60489323756008673</v>
      </c>
      <c r="CO27" s="32">
        <f t="shared" si="69"/>
        <v>0.64698029816175717</v>
      </c>
      <c r="CP27" s="32">
        <f t="shared" si="70"/>
        <v>0.71091568058374188</v>
      </c>
      <c r="CQ27" s="32">
        <f t="shared" si="71"/>
        <v>0.80191127315208732</v>
      </c>
      <c r="CR27" s="32">
        <f t="shared" si="72"/>
        <v>0.89064900292922677</v>
      </c>
      <c r="CS27" s="32">
        <f t="shared" si="73"/>
        <v>0.92705275655716801</v>
      </c>
      <c r="CT27" s="32">
        <f t="shared" si="74"/>
        <v>0.94366118883687611</v>
      </c>
      <c r="CU27" s="32">
        <f t="shared" si="75"/>
        <v>0.97245237043226296</v>
      </c>
      <c r="CV27" s="32">
        <f t="shared" si="76"/>
        <v>1</v>
      </c>
      <c r="CX27" s="32">
        <f t="shared" si="77"/>
        <v>0.21986796825397789</v>
      </c>
      <c r="CY27" s="32">
        <f t="shared" si="78"/>
        <v>0.43046315923257839</v>
      </c>
      <c r="CZ27" s="32">
        <f t="shared" si="79"/>
        <v>0.51386180982081542</v>
      </c>
      <c r="DA27" s="32">
        <f t="shared" si="80"/>
        <v>0.60781689015464158</v>
      </c>
      <c r="DB27" s="32">
        <f t="shared" si="81"/>
        <v>0.72569655580238512</v>
      </c>
      <c r="DC27" s="32">
        <f t="shared" si="82"/>
        <v>0.81678701724517233</v>
      </c>
      <c r="DD27" s="32">
        <f t="shared" si="83"/>
        <v>0.85430787502451644</v>
      </c>
      <c r="DE27" s="32">
        <f t="shared" si="84"/>
        <v>0.88492433230091971</v>
      </c>
      <c r="DF27" s="32">
        <f t="shared" si="85"/>
        <v>0.91138243368335581</v>
      </c>
      <c r="DG27" s="32">
        <f t="shared" si="86"/>
        <v>0.93739878360484119</v>
      </c>
      <c r="DH27" s="32">
        <f t="shared" si="87"/>
        <v>0.96680967937879825</v>
      </c>
      <c r="DI27" s="32">
        <f t="shared" si="88"/>
        <v>1</v>
      </c>
      <c r="DK27" s="32">
        <f t="shared" si="3"/>
        <v>0.33203624265820025</v>
      </c>
      <c r="DL27" s="32">
        <f t="shared" si="4"/>
        <v>0.54239994796795832</v>
      </c>
      <c r="DM27" s="32">
        <f t="shared" si="5"/>
        <v>0.58546565875958623</v>
      </c>
      <c r="DN27" s="32">
        <f t="shared" si="6"/>
        <v>0.71533056947105012</v>
      </c>
      <c r="DO27" s="32">
        <f t="shared" si="7"/>
        <v>0.81056292537881125</v>
      </c>
      <c r="DP27" s="32">
        <f t="shared" si="8"/>
        <v>0.87627975808341863</v>
      </c>
      <c r="DQ27" s="32">
        <f t="shared" si="9"/>
        <v>0.90258708467565196</v>
      </c>
      <c r="DR27" s="32">
        <f t="shared" si="10"/>
        <v>0.92598288222089964</v>
      </c>
      <c r="DS27" s="32">
        <f t="shared" si="11"/>
        <v>0.9443672863605137</v>
      </c>
      <c r="DT27" s="32">
        <f t="shared" si="12"/>
        <v>0.96459493601510571</v>
      </c>
      <c r="DU27" s="32">
        <f t="shared" si="13"/>
        <v>0.98114256754315188</v>
      </c>
      <c r="DV27" s="32">
        <f t="shared" si="14"/>
        <v>1</v>
      </c>
      <c r="DW27" s="39"/>
      <c r="DX27" s="32">
        <f t="shared" si="15"/>
        <v>0.42021206950251005</v>
      </c>
      <c r="DY27" s="32">
        <f t="shared" si="16"/>
        <v>0.50940046142595519</v>
      </c>
      <c r="DZ27" s="32">
        <f t="shared" si="17"/>
        <v>0.62804260206346663</v>
      </c>
      <c r="EA27" s="32">
        <f t="shared" si="18"/>
        <v>0.66670226945370281</v>
      </c>
      <c r="EB27" s="32">
        <f t="shared" si="19"/>
        <v>0.81830996073034412</v>
      </c>
      <c r="EC27" s="32">
        <f t="shared" si="20"/>
        <v>0.86592026319507165</v>
      </c>
      <c r="ED27" s="32">
        <f t="shared" si="21"/>
        <v>0.89150550430579811</v>
      </c>
      <c r="EE27" s="32">
        <f t="shared" si="22"/>
        <v>0.91922587696562752</v>
      </c>
      <c r="EF27" s="32">
        <f t="shared" si="23"/>
        <v>0.93187363863628669</v>
      </c>
      <c r="EG27" s="32">
        <f t="shared" si="24"/>
        <v>0.96636960675550809</v>
      </c>
      <c r="EH27" s="32">
        <f t="shared" si="25"/>
        <v>0.98873990423171754</v>
      </c>
      <c r="EI27" s="32">
        <f t="shared" si="26"/>
        <v>1</v>
      </c>
      <c r="EK27" s="32">
        <f t="shared" si="89"/>
        <v>0.32403876013822935</v>
      </c>
      <c r="EL27" s="32">
        <f t="shared" si="104"/>
        <v>0.49408785620883061</v>
      </c>
      <c r="EM27" s="32">
        <f t="shared" si="105"/>
        <v>0.57579002354795616</v>
      </c>
      <c r="EN27" s="32">
        <f t="shared" si="106"/>
        <v>0.66328324302646491</v>
      </c>
      <c r="EO27" s="32">
        <f t="shared" si="107"/>
        <v>0.78485648063718028</v>
      </c>
      <c r="EP27" s="32">
        <f t="shared" si="108"/>
        <v>0.85299567950788757</v>
      </c>
      <c r="EQ27" s="32">
        <f t="shared" si="109"/>
        <v>0.88280015466865558</v>
      </c>
      <c r="ER27" s="32">
        <f t="shared" si="110"/>
        <v>0.91004436382914899</v>
      </c>
      <c r="ES27" s="32">
        <f t="shared" si="111"/>
        <v>0.92920778622671873</v>
      </c>
      <c r="ET27" s="32">
        <f t="shared" si="112"/>
        <v>0.95612110879181833</v>
      </c>
      <c r="EU27" s="32">
        <f t="shared" si="113"/>
        <v>0.97889738371788926</v>
      </c>
      <c r="EV27" s="32">
        <f t="shared" si="114"/>
        <v>1</v>
      </c>
      <c r="EX27" s="32">
        <f t="shared" si="90"/>
        <v>0.30261827994047308</v>
      </c>
      <c r="EY27" s="32">
        <f t="shared" si="91"/>
        <v>0.48188465233174121</v>
      </c>
      <c r="EZ27" s="32">
        <f t="shared" si="92"/>
        <v>0.57053478391202805</v>
      </c>
      <c r="FA27" s="32">
        <f t="shared" si="93"/>
        <v>0.64868574165987036</v>
      </c>
      <c r="FB27" s="32">
        <f t="shared" si="94"/>
        <v>0.75038743501832439</v>
      </c>
      <c r="FC27" s="32">
        <f t="shared" si="95"/>
        <v>0.81747567977685109</v>
      </c>
      <c r="FD27" s="32">
        <f t="shared" si="96"/>
        <v>0.86257793428951346</v>
      </c>
      <c r="FE27" s="32">
        <f t="shared" si="97"/>
        <v>0.90519552360416844</v>
      </c>
      <c r="FF27" s="32">
        <f t="shared" si="98"/>
        <v>0.92866902880933111</v>
      </c>
      <c r="FG27" s="32">
        <f t="shared" si="99"/>
        <v>0.95300612880308277</v>
      </c>
      <c r="FH27" s="32">
        <f t="shared" si="100"/>
        <v>0.9772861303964826</v>
      </c>
      <c r="FI27" s="32">
        <f t="shared" si="101"/>
        <v>1</v>
      </c>
      <c r="FK27" s="32">
        <f t="shared" si="102"/>
        <v>0.26342035008646075</v>
      </c>
      <c r="FL27" s="32">
        <f t="shared" si="29"/>
        <v>0.47271271596700326</v>
      </c>
      <c r="FM27" s="32">
        <f t="shared" si="30"/>
        <v>0.55136551119488175</v>
      </c>
      <c r="FN27" s="32">
        <f t="shared" si="31"/>
        <v>0.64268023239525951</v>
      </c>
      <c r="FO27" s="32">
        <f t="shared" si="32"/>
        <v>0.72774659311431789</v>
      </c>
      <c r="FP27" s="32">
        <f t="shared" si="33"/>
        <v>0.80132748530411091</v>
      </c>
      <c r="FQ27" s="32">
        <f t="shared" si="34"/>
        <v>0.85293541095075198</v>
      </c>
      <c r="FR27" s="32">
        <f t="shared" si="35"/>
        <v>0.90051873915034875</v>
      </c>
      <c r="FS27" s="32">
        <f t="shared" si="36"/>
        <v>0.92760082553367917</v>
      </c>
      <c r="FT27" s="32">
        <f t="shared" si="37"/>
        <v>0.94855163615227422</v>
      </c>
      <c r="FU27" s="32">
        <f t="shared" si="38"/>
        <v>0.97346820578473769</v>
      </c>
      <c r="FV27" s="32">
        <f t="shared" si="39"/>
        <v>1</v>
      </c>
      <c r="FX27" s="32">
        <f t="shared" si="103"/>
        <v>0.2154581727197146</v>
      </c>
      <c r="FY27" s="32">
        <f t="shared" si="40"/>
        <v>0.4233163416434465</v>
      </c>
      <c r="FZ27" s="32">
        <f t="shared" si="41"/>
        <v>0.53849933011157347</v>
      </c>
      <c r="GA27" s="32">
        <f t="shared" si="42"/>
        <v>0.61882597137258422</v>
      </c>
      <c r="GB27" s="32">
        <f t="shared" si="43"/>
        <v>0.69946893559446799</v>
      </c>
      <c r="GC27" s="32">
        <f t="shared" si="44"/>
        <v>0.77892570847678255</v>
      </c>
      <c r="GD27" s="32">
        <f t="shared" si="45"/>
        <v>0.84066847542715972</v>
      </c>
      <c r="GE27" s="32">
        <f t="shared" si="46"/>
        <v>0.89353447382394824</v>
      </c>
      <c r="GF27" s="32">
        <f t="shared" si="47"/>
        <v>0.92356390800369204</v>
      </c>
      <c r="GG27" s="32">
        <f t="shared" si="48"/>
        <v>0.94471536629232278</v>
      </c>
      <c r="GH27" s="32">
        <f t="shared" si="49"/>
        <v>0.97112708985225427</v>
      </c>
      <c r="GI27" s="32">
        <f t="shared" si="50"/>
        <v>1</v>
      </c>
    </row>
    <row r="28" spans="1:191">
      <c r="A28" s="724" t="s">
        <v>102</v>
      </c>
      <c r="B28" s="399">
        <v>69631.509999999995</v>
      </c>
      <c r="C28" s="400">
        <v>78644.460000000006</v>
      </c>
      <c r="D28" s="400">
        <v>69608.37</v>
      </c>
      <c r="E28" s="400">
        <v>46752.86</v>
      </c>
      <c r="F28" s="400">
        <v>43718.12</v>
      </c>
      <c r="G28" s="400">
        <v>38218.97</v>
      </c>
      <c r="H28" s="400">
        <v>34652.53</v>
      </c>
      <c r="I28" s="400">
        <v>23975.01</v>
      </c>
      <c r="J28" s="400">
        <v>19461.79</v>
      </c>
      <c r="K28" s="400">
        <v>13911.81</v>
      </c>
      <c r="L28" s="400">
        <v>13558.18</v>
      </c>
      <c r="M28" s="400">
        <v>13395.53</v>
      </c>
      <c r="N28" s="400">
        <f t="shared" si="0"/>
        <v>465529.14000000007</v>
      </c>
      <c r="P28" s="396" t="s">
        <v>102</v>
      </c>
      <c r="Q28" s="399">
        <v>66645.320000000007</v>
      </c>
      <c r="R28" s="400">
        <v>64352.509999999995</v>
      </c>
      <c r="S28" s="400">
        <v>41943.46</v>
      </c>
      <c r="T28" s="400">
        <v>21911.53</v>
      </c>
      <c r="U28" s="400">
        <v>16477.54</v>
      </c>
      <c r="V28" s="400">
        <v>30298.899999999998</v>
      </c>
      <c r="W28" s="400">
        <v>59043.75</v>
      </c>
      <c r="X28" s="400">
        <v>52481.52</v>
      </c>
      <c r="Y28" s="400">
        <v>22128.92</v>
      </c>
      <c r="Z28" s="400">
        <v>9178</v>
      </c>
      <c r="AA28" s="400">
        <v>14986.720000000003</v>
      </c>
      <c r="AB28" s="400">
        <v>12033.78</v>
      </c>
      <c r="AC28" s="400">
        <f t="shared" si="51"/>
        <v>411481.95000000007</v>
      </c>
      <c r="AE28" s="127" t="s">
        <v>102</v>
      </c>
      <c r="AF28" s="27">
        <v>55939.76</v>
      </c>
      <c r="AG28" s="27">
        <v>85711.94</v>
      </c>
      <c r="AH28" s="27">
        <v>34417.199999999997</v>
      </c>
      <c r="AI28" s="27">
        <v>36447.22</v>
      </c>
      <c r="AJ28" s="27">
        <v>42980.4</v>
      </c>
      <c r="AK28" s="27">
        <v>45502.35</v>
      </c>
      <c r="AL28" s="27">
        <v>14099.27</v>
      </c>
      <c r="AM28" s="27">
        <v>7700.74</v>
      </c>
      <c r="AN28" s="27">
        <v>9835.0499999999993</v>
      </c>
      <c r="AO28" s="27">
        <v>9591.18</v>
      </c>
      <c r="AP28" s="27">
        <v>7342.81</v>
      </c>
      <c r="AQ28" s="27">
        <v>10505.85</v>
      </c>
      <c r="AR28" s="43">
        <f t="shared" si="1"/>
        <v>360073.76999999996</v>
      </c>
      <c r="AT28" s="60" t="s">
        <v>102</v>
      </c>
      <c r="AU28" s="27">
        <v>59785.48</v>
      </c>
      <c r="AV28" s="27">
        <v>65893.25</v>
      </c>
      <c r="AW28" s="27">
        <v>52488.84</v>
      </c>
      <c r="AX28" s="27">
        <v>28091.78</v>
      </c>
      <c r="AY28" s="27">
        <v>32520.410000000003</v>
      </c>
      <c r="AZ28" s="27">
        <v>37199.22</v>
      </c>
      <c r="BA28" s="27">
        <v>12440.510000000002</v>
      </c>
      <c r="BB28" s="27">
        <v>10508.03</v>
      </c>
      <c r="BC28" s="27">
        <v>9297.92</v>
      </c>
      <c r="BD28" s="27">
        <v>9296.74</v>
      </c>
      <c r="BE28" s="27">
        <v>7029.64</v>
      </c>
      <c r="BF28" s="27">
        <v>7525.56</v>
      </c>
      <c r="BG28" s="43">
        <f t="shared" si="2"/>
        <v>332077.38</v>
      </c>
      <c r="BI28" s="60" t="s">
        <v>102</v>
      </c>
      <c r="BJ28" s="27">
        <v>59642.25</v>
      </c>
      <c r="BK28" s="27">
        <v>83949.55</v>
      </c>
      <c r="BL28" s="27">
        <v>29865.360000000001</v>
      </c>
      <c r="BM28" s="27">
        <v>24538.94</v>
      </c>
      <c r="BN28" s="27">
        <v>34338.29</v>
      </c>
      <c r="BO28" s="27">
        <v>33456.339999999997</v>
      </c>
      <c r="BP28" s="27">
        <v>8885.89</v>
      </c>
      <c r="BQ28" s="27">
        <v>13464.45</v>
      </c>
      <c r="BR28" s="27">
        <v>10556.279999999999</v>
      </c>
      <c r="BS28" s="27">
        <v>8488.31</v>
      </c>
      <c r="BT28" s="27">
        <v>6038.5199999999995</v>
      </c>
      <c r="BU28" s="27">
        <v>7769.66</v>
      </c>
      <c r="BV28" s="43">
        <f t="shared" si="52"/>
        <v>320993.83999999997</v>
      </c>
      <c r="BW28" s="405"/>
      <c r="BX28" s="32">
        <f t="shared" si="53"/>
        <v>0.14957497612286952</v>
      </c>
      <c r="BY28" s="32">
        <f t="shared" si="54"/>
        <v>0.31851060923919816</v>
      </c>
      <c r="BZ28" s="32">
        <f t="shared" si="55"/>
        <v>0.46803587848442735</v>
      </c>
      <c r="CA28" s="32">
        <f t="shared" si="56"/>
        <v>0.56846538113596923</v>
      </c>
      <c r="CB28" s="32">
        <f t="shared" si="57"/>
        <v>0.66237597929959868</v>
      </c>
      <c r="CC28" s="32">
        <f t="shared" si="58"/>
        <v>0.74447389050661783</v>
      </c>
      <c r="CD28" s="32">
        <f t="shared" si="59"/>
        <v>0.81891075604848285</v>
      </c>
      <c r="CE28" s="32">
        <f t="shared" si="60"/>
        <v>0.87041131302757979</v>
      </c>
      <c r="CF28" s="32">
        <f t="shared" si="61"/>
        <v>0.91221705262102382</v>
      </c>
      <c r="CG28" s="32">
        <f t="shared" si="62"/>
        <v>0.94210091767832194</v>
      </c>
      <c r="CH28" s="32">
        <f t="shared" si="63"/>
        <v>0.97122515252213848</v>
      </c>
      <c r="CI28" s="32">
        <f t="shared" si="64"/>
        <v>1</v>
      </c>
      <c r="CJ28" s="405"/>
      <c r="CK28" s="32">
        <f t="shared" si="65"/>
        <v>0.16196413961778883</v>
      </c>
      <c r="CL28" s="32">
        <f t="shared" si="66"/>
        <v>0.31835620007147331</v>
      </c>
      <c r="CM28" s="32">
        <f t="shared" si="67"/>
        <v>0.42028888508961326</v>
      </c>
      <c r="CN28" s="32">
        <f t="shared" si="68"/>
        <v>0.4735391673923971</v>
      </c>
      <c r="CO28" s="32">
        <f t="shared" si="69"/>
        <v>0.513583548439974</v>
      </c>
      <c r="CP28" s="32">
        <f t="shared" si="70"/>
        <v>0.58721715496876592</v>
      </c>
      <c r="CQ28" s="32">
        <f t="shared" si="71"/>
        <v>0.73070765315465225</v>
      </c>
      <c r="CR28" s="32">
        <f t="shared" si="72"/>
        <v>0.8582503558175516</v>
      </c>
      <c r="CS28" s="32">
        <f t="shared" si="73"/>
        <v>0.91202894804984747</v>
      </c>
      <c r="CT28" s="32">
        <f t="shared" si="74"/>
        <v>0.93433369313040326</v>
      </c>
      <c r="CU28" s="32">
        <f t="shared" si="75"/>
        <v>0.97075502339774555</v>
      </c>
      <c r="CV28" s="32">
        <f t="shared" si="76"/>
        <v>1</v>
      </c>
      <c r="CX28" s="32">
        <f t="shared" si="77"/>
        <v>0.15535638710923044</v>
      </c>
      <c r="CY28" s="32">
        <f t="shared" si="78"/>
        <v>0.39339633097962129</v>
      </c>
      <c r="CZ28" s="32">
        <f t="shared" si="79"/>
        <v>0.48898007761020762</v>
      </c>
      <c r="DA28" s="32">
        <f t="shared" si="80"/>
        <v>0.59020161340827482</v>
      </c>
      <c r="DB28" s="32">
        <f t="shared" si="81"/>
        <v>0.70956715341970078</v>
      </c>
      <c r="DC28" s="32">
        <f t="shared" si="82"/>
        <v>0.83593667486526446</v>
      </c>
      <c r="DD28" s="32">
        <f t="shared" si="83"/>
        <v>0.87509328991112034</v>
      </c>
      <c r="DE28" s="32">
        <f t="shared" si="84"/>
        <v>0.89647985189257207</v>
      </c>
      <c r="DF28" s="32">
        <f t="shared" si="85"/>
        <v>0.92379383813489113</v>
      </c>
      <c r="DG28" s="32">
        <f t="shared" si="86"/>
        <v>0.95043054649606951</v>
      </c>
      <c r="DH28" s="32">
        <f t="shared" si="87"/>
        <v>0.97082306217417624</v>
      </c>
      <c r="DI28" s="32">
        <f t="shared" si="88"/>
        <v>1</v>
      </c>
      <c r="DK28" s="32">
        <f t="shared" si="3"/>
        <v>0.18003478586828167</v>
      </c>
      <c r="DL28" s="32">
        <f t="shared" si="4"/>
        <v>0.37846218251902619</v>
      </c>
      <c r="DM28" s="32">
        <f t="shared" si="5"/>
        <v>0.53652425829184758</v>
      </c>
      <c r="DN28" s="32">
        <f t="shared" si="6"/>
        <v>0.62111833693701146</v>
      </c>
      <c r="DO28" s="32">
        <f t="shared" si="7"/>
        <v>0.7190485542857511</v>
      </c>
      <c r="DP28" s="32">
        <f t="shared" si="8"/>
        <v>0.83106828896325302</v>
      </c>
      <c r="DQ28" s="32">
        <f t="shared" si="9"/>
        <v>0.86853097311235106</v>
      </c>
      <c r="DR28" s="32">
        <f t="shared" si="10"/>
        <v>0.90017429070296817</v>
      </c>
      <c r="DS28" s="32">
        <f t="shared" si="11"/>
        <v>0.92817354798450891</v>
      </c>
      <c r="DT28" s="32">
        <f t="shared" si="12"/>
        <v>0.95616925187737867</v>
      </c>
      <c r="DU28" s="32">
        <f t="shared" si="13"/>
        <v>0.97733793250235834</v>
      </c>
      <c r="DV28" s="32">
        <f t="shared" si="14"/>
        <v>1</v>
      </c>
      <c r="DW28" s="39"/>
      <c r="DX28" s="32">
        <f t="shared" si="15"/>
        <v>0.18580496747227301</v>
      </c>
      <c r="DY28" s="32">
        <f t="shared" si="16"/>
        <v>0.44733506412459506</v>
      </c>
      <c r="DZ28" s="32">
        <f t="shared" si="17"/>
        <v>0.54037535424355809</v>
      </c>
      <c r="EA28" s="32">
        <f t="shared" si="18"/>
        <v>0.61682211720947666</v>
      </c>
      <c r="EB28" s="32">
        <f t="shared" si="19"/>
        <v>0.72379703610511659</v>
      </c>
      <c r="EC28" s="32">
        <f t="shared" si="20"/>
        <v>0.82802439448682252</v>
      </c>
      <c r="ED28" s="32">
        <f t="shared" si="21"/>
        <v>0.85570682602507275</v>
      </c>
      <c r="EE28" s="32">
        <f t="shared" si="22"/>
        <v>0.89765295807545731</v>
      </c>
      <c r="EF28" s="32">
        <f t="shared" si="23"/>
        <v>0.93053919664003526</v>
      </c>
      <c r="EG28" s="32">
        <f t="shared" si="24"/>
        <v>0.95698303743149715</v>
      </c>
      <c r="EH28" s="32">
        <f t="shared" si="25"/>
        <v>0.97579498721844637</v>
      </c>
      <c r="EI28" s="32">
        <f t="shared" si="26"/>
        <v>1</v>
      </c>
      <c r="EK28" s="32">
        <f t="shared" si="89"/>
        <v>0.17373204681659504</v>
      </c>
      <c r="EL28" s="32">
        <f t="shared" si="104"/>
        <v>0.40639785920774751</v>
      </c>
      <c r="EM28" s="32">
        <f t="shared" si="105"/>
        <v>0.52195989671520449</v>
      </c>
      <c r="EN28" s="32">
        <f t="shared" si="106"/>
        <v>0.60938068918492094</v>
      </c>
      <c r="EO28" s="32">
        <f t="shared" si="107"/>
        <v>0.71747091460352275</v>
      </c>
      <c r="EP28" s="32">
        <f t="shared" si="108"/>
        <v>0.83167645277177993</v>
      </c>
      <c r="EQ28" s="32">
        <f t="shared" si="109"/>
        <v>0.86644369634951479</v>
      </c>
      <c r="ER28" s="32">
        <f t="shared" si="110"/>
        <v>0.89810236689033252</v>
      </c>
      <c r="ES28" s="32">
        <f t="shared" si="111"/>
        <v>0.92750219425314517</v>
      </c>
      <c r="ET28" s="32">
        <f t="shared" si="112"/>
        <v>0.95452761193498181</v>
      </c>
      <c r="EU28" s="32">
        <f t="shared" si="113"/>
        <v>0.97465199396499358</v>
      </c>
      <c r="EV28" s="32">
        <f t="shared" si="114"/>
        <v>1</v>
      </c>
      <c r="EX28" s="32">
        <f t="shared" si="90"/>
        <v>0.1707900700168935</v>
      </c>
      <c r="EY28" s="32">
        <f t="shared" si="91"/>
        <v>0.38438744442367895</v>
      </c>
      <c r="EZ28" s="32">
        <f t="shared" si="92"/>
        <v>0.49654214380880657</v>
      </c>
      <c r="FA28" s="32">
        <f t="shared" si="93"/>
        <v>0.57542030873678995</v>
      </c>
      <c r="FB28" s="32">
        <f t="shared" si="94"/>
        <v>0.66649907306263567</v>
      </c>
      <c r="FC28" s="32">
        <f t="shared" si="95"/>
        <v>0.77056162832102637</v>
      </c>
      <c r="FD28" s="32">
        <f t="shared" si="96"/>
        <v>0.83250968555079907</v>
      </c>
      <c r="FE28" s="32">
        <f t="shared" si="97"/>
        <v>0.88813936412213734</v>
      </c>
      <c r="FF28" s="32">
        <f t="shared" si="98"/>
        <v>0.92363388270232061</v>
      </c>
      <c r="FG28" s="32">
        <f t="shared" si="99"/>
        <v>0.94947913223383718</v>
      </c>
      <c r="FH28" s="32">
        <f t="shared" si="100"/>
        <v>0.97367775132318157</v>
      </c>
      <c r="FI28" s="32">
        <f t="shared" si="101"/>
        <v>1</v>
      </c>
      <c r="FK28" s="32">
        <f t="shared" si="102"/>
        <v>0.16578510419843365</v>
      </c>
      <c r="FL28" s="32">
        <f t="shared" si="29"/>
        <v>0.3634049045233736</v>
      </c>
      <c r="FM28" s="32">
        <f t="shared" si="30"/>
        <v>0.48193107366388954</v>
      </c>
      <c r="FN28" s="32">
        <f t="shared" si="31"/>
        <v>0.56161970591256116</v>
      </c>
      <c r="FO28" s="32">
        <f t="shared" si="32"/>
        <v>0.64739975204847522</v>
      </c>
      <c r="FP28" s="32">
        <f t="shared" si="33"/>
        <v>0.75140737293242787</v>
      </c>
      <c r="FQ28" s="32">
        <f t="shared" si="34"/>
        <v>0.82477730539270799</v>
      </c>
      <c r="FR28" s="32">
        <f t="shared" si="35"/>
        <v>0.88496816613769724</v>
      </c>
      <c r="FS28" s="32">
        <f t="shared" si="36"/>
        <v>0.92133211138974913</v>
      </c>
      <c r="FT28" s="32">
        <f t="shared" si="37"/>
        <v>0.94697783050128381</v>
      </c>
      <c r="FU28" s="32">
        <f t="shared" si="38"/>
        <v>0.97297200602476008</v>
      </c>
      <c r="FV28" s="32">
        <f t="shared" si="39"/>
        <v>1</v>
      </c>
      <c r="FX28" s="32">
        <f t="shared" si="103"/>
        <v>0.15563183428329627</v>
      </c>
      <c r="FY28" s="32">
        <f t="shared" si="40"/>
        <v>0.34342104676343094</v>
      </c>
      <c r="FZ28" s="32">
        <f t="shared" si="41"/>
        <v>0.45910161372808278</v>
      </c>
      <c r="GA28" s="32">
        <f t="shared" si="42"/>
        <v>0.54406872064554701</v>
      </c>
      <c r="GB28" s="32">
        <f t="shared" si="43"/>
        <v>0.62850889371975782</v>
      </c>
      <c r="GC28" s="32">
        <f t="shared" si="44"/>
        <v>0.72254257344688277</v>
      </c>
      <c r="GD28" s="32">
        <f t="shared" si="45"/>
        <v>0.80823723303808503</v>
      </c>
      <c r="GE28" s="32">
        <f t="shared" si="46"/>
        <v>0.87504717357923445</v>
      </c>
      <c r="GF28" s="32">
        <f t="shared" si="47"/>
        <v>0.91601327960192069</v>
      </c>
      <c r="GG28" s="32">
        <f t="shared" si="48"/>
        <v>0.9422883857682649</v>
      </c>
      <c r="GH28" s="32">
        <f t="shared" si="49"/>
        <v>0.97093441269802006</v>
      </c>
      <c r="GI28" s="32">
        <f t="shared" si="50"/>
        <v>1</v>
      </c>
    </row>
    <row r="29" spans="1:191">
      <c r="A29" s="724" t="s">
        <v>103</v>
      </c>
      <c r="B29" s="399">
        <v>27388.5</v>
      </c>
      <c r="C29" s="400">
        <v>43707.57</v>
      </c>
      <c r="D29" s="400">
        <v>42076.9</v>
      </c>
      <c r="E29" s="400">
        <v>24666.560000000001</v>
      </c>
      <c r="F29" s="400">
        <v>18923.03</v>
      </c>
      <c r="G29" s="400">
        <v>21046.95</v>
      </c>
      <c r="H29" s="400">
        <v>16323.7</v>
      </c>
      <c r="I29" s="400">
        <v>9196.69</v>
      </c>
      <c r="J29" s="400">
        <v>11915.17</v>
      </c>
      <c r="K29" s="400">
        <v>8780.52</v>
      </c>
      <c r="L29" s="400">
        <v>3858.54</v>
      </c>
      <c r="M29" s="400">
        <v>5668.18</v>
      </c>
      <c r="N29" s="400">
        <f t="shared" si="0"/>
        <v>233552.31000000003</v>
      </c>
      <c r="P29" s="396" t="s">
        <v>103</v>
      </c>
      <c r="Q29" s="399">
        <v>22030.21</v>
      </c>
      <c r="R29" s="400">
        <v>31890.54</v>
      </c>
      <c r="S29" s="400">
        <v>27489.87</v>
      </c>
      <c r="T29" s="400">
        <v>6979.91</v>
      </c>
      <c r="U29" s="400">
        <v>9155.26</v>
      </c>
      <c r="V29" s="400">
        <v>17207.29</v>
      </c>
      <c r="W29" s="400">
        <v>29235.49</v>
      </c>
      <c r="X29" s="400">
        <v>39945.379999999997</v>
      </c>
      <c r="Y29" s="400">
        <v>9133.09</v>
      </c>
      <c r="Z29" s="400">
        <v>3626.95</v>
      </c>
      <c r="AA29" s="400">
        <v>6286.34</v>
      </c>
      <c r="AB29" s="400">
        <v>10468.66</v>
      </c>
      <c r="AC29" s="400">
        <f t="shared" si="51"/>
        <v>213448.99</v>
      </c>
      <c r="AE29" s="127" t="s">
        <v>103</v>
      </c>
      <c r="AF29" s="27">
        <v>22640.95</v>
      </c>
      <c r="AG29" s="27">
        <v>35885.96</v>
      </c>
      <c r="AH29" s="27">
        <v>19764.84</v>
      </c>
      <c r="AI29" s="27">
        <v>23573.39</v>
      </c>
      <c r="AJ29" s="27">
        <v>29686.61</v>
      </c>
      <c r="AK29" s="27">
        <v>26010.04</v>
      </c>
      <c r="AL29" s="27">
        <v>7835.75</v>
      </c>
      <c r="AM29" s="27">
        <v>8641.83</v>
      </c>
      <c r="AN29" s="27">
        <v>7554.68</v>
      </c>
      <c r="AO29" s="27">
        <v>8454.5</v>
      </c>
      <c r="AP29" s="27">
        <v>5079.51</v>
      </c>
      <c r="AQ29" s="27">
        <v>4672.49</v>
      </c>
      <c r="AR29" s="43">
        <f t="shared" si="1"/>
        <v>199800.55</v>
      </c>
      <c r="AT29" s="60" t="s">
        <v>103</v>
      </c>
      <c r="AU29" s="27">
        <v>18233.98</v>
      </c>
      <c r="AV29" s="27">
        <v>32485.1</v>
      </c>
      <c r="AW29" s="27">
        <v>35704.239999999998</v>
      </c>
      <c r="AX29" s="27">
        <v>19376.8</v>
      </c>
      <c r="AY29" s="27">
        <v>16714.97</v>
      </c>
      <c r="AZ29" s="27">
        <v>16410.25</v>
      </c>
      <c r="BA29" s="27">
        <v>7134.920000000001</v>
      </c>
      <c r="BB29" s="27">
        <v>8638.5</v>
      </c>
      <c r="BC29" s="27">
        <v>6043.62</v>
      </c>
      <c r="BD29" s="27">
        <v>7937.39</v>
      </c>
      <c r="BE29" s="27">
        <v>3687.61</v>
      </c>
      <c r="BF29" s="27">
        <v>4403.7299999999996</v>
      </c>
      <c r="BG29" s="43">
        <f t="shared" si="2"/>
        <v>176771.11000000004</v>
      </c>
      <c r="BI29" s="60" t="s">
        <v>103</v>
      </c>
      <c r="BJ29" s="27">
        <v>21182.93</v>
      </c>
      <c r="BK29" s="27">
        <v>41360.97</v>
      </c>
      <c r="BL29" s="27">
        <v>15030.32</v>
      </c>
      <c r="BM29" s="27">
        <v>13329.109999999999</v>
      </c>
      <c r="BN29" s="27">
        <v>18932.27</v>
      </c>
      <c r="BO29" s="27">
        <v>18806.72</v>
      </c>
      <c r="BP29" s="27">
        <v>7534.65</v>
      </c>
      <c r="BQ29" s="27">
        <v>6734.91</v>
      </c>
      <c r="BR29" s="27">
        <v>8801.67</v>
      </c>
      <c r="BS29" s="27">
        <v>10783.5</v>
      </c>
      <c r="BT29" s="27">
        <v>8920.81</v>
      </c>
      <c r="BU29" s="27">
        <v>6496.39</v>
      </c>
      <c r="BV29" s="43">
        <f t="shared" si="52"/>
        <v>177914.25000000003</v>
      </c>
      <c r="BW29" s="405"/>
      <c r="BX29" s="32">
        <f t="shared" si="53"/>
        <v>0.11726923189070576</v>
      </c>
      <c r="BY29" s="32">
        <f t="shared" si="54"/>
        <v>0.30441176111681362</v>
      </c>
      <c r="BZ29" s="32">
        <f t="shared" si="55"/>
        <v>0.48457225706737811</v>
      </c>
      <c r="CA29" s="32">
        <f t="shared" si="56"/>
        <v>0.59018696924898739</v>
      </c>
      <c r="CB29" s="32">
        <f t="shared" si="57"/>
        <v>0.67120963179512105</v>
      </c>
      <c r="CC29" s="32">
        <f t="shared" si="58"/>
        <v>0.76132627418671217</v>
      </c>
      <c r="CD29" s="32">
        <f t="shared" si="59"/>
        <v>0.83121939577476245</v>
      </c>
      <c r="CE29" s="32">
        <f t="shared" si="60"/>
        <v>0.87059682689501128</v>
      </c>
      <c r="CF29" s="32">
        <f t="shared" si="61"/>
        <v>0.92161396305607091</v>
      </c>
      <c r="CG29" s="32">
        <f t="shared" si="62"/>
        <v>0.95920948073688506</v>
      </c>
      <c r="CH29" s="32">
        <f t="shared" si="63"/>
        <v>0.97573057616086101</v>
      </c>
      <c r="CI29" s="32">
        <f t="shared" si="64"/>
        <v>1</v>
      </c>
      <c r="CJ29" s="405"/>
      <c r="CK29" s="32">
        <f t="shared" si="65"/>
        <v>0.10321065468616178</v>
      </c>
      <c r="CL29" s="32">
        <f t="shared" si="66"/>
        <v>0.25261656192423304</v>
      </c>
      <c r="CM29" s="32">
        <f t="shared" si="67"/>
        <v>0.38140550583069049</v>
      </c>
      <c r="CN29" s="32">
        <f t="shared" si="68"/>
        <v>0.41410610563207634</v>
      </c>
      <c r="CO29" s="32">
        <f t="shared" si="69"/>
        <v>0.4569981333713502</v>
      </c>
      <c r="CP29" s="32">
        <f t="shared" si="70"/>
        <v>0.53761360032671035</v>
      </c>
      <c r="CQ29" s="32">
        <f t="shared" si="71"/>
        <v>0.67458070427037387</v>
      </c>
      <c r="CR29" s="32">
        <f t="shared" si="72"/>
        <v>0.86172321546239217</v>
      </c>
      <c r="CS29" s="32">
        <f t="shared" si="73"/>
        <v>0.90451137763640854</v>
      </c>
      <c r="CT29" s="32">
        <f t="shared" si="74"/>
        <v>0.9215034936450156</v>
      </c>
      <c r="CU29" s="32">
        <f t="shared" si="75"/>
        <v>0.95095474567483307</v>
      </c>
      <c r="CV29" s="32">
        <f t="shared" si="76"/>
        <v>1</v>
      </c>
      <c r="CX29" s="32">
        <f t="shared" si="77"/>
        <v>0.11331775613230295</v>
      </c>
      <c r="CY29" s="32">
        <f t="shared" si="78"/>
        <v>0.2929266711227772</v>
      </c>
      <c r="CZ29" s="32">
        <f t="shared" si="79"/>
        <v>0.39184952193575046</v>
      </c>
      <c r="DA29" s="32">
        <f t="shared" si="80"/>
        <v>0.50983413208822503</v>
      </c>
      <c r="DB29" s="32">
        <f t="shared" si="81"/>
        <v>0.65841535471248702</v>
      </c>
      <c r="DC29" s="32">
        <f t="shared" si="82"/>
        <v>0.78859537673945346</v>
      </c>
      <c r="DD29" s="32">
        <f t="shared" si="83"/>
        <v>0.82781323675034935</v>
      </c>
      <c r="DE29" s="32">
        <f t="shared" si="84"/>
        <v>0.87106552008990967</v>
      </c>
      <c r="DF29" s="32">
        <f t="shared" si="85"/>
        <v>0.90887662721649165</v>
      </c>
      <c r="DG29" s="32">
        <f t="shared" si="86"/>
        <v>0.95119132554940411</v>
      </c>
      <c r="DH29" s="32">
        <f t="shared" si="87"/>
        <v>0.97661422853941093</v>
      </c>
      <c r="DI29" s="32">
        <f t="shared" si="88"/>
        <v>1</v>
      </c>
      <c r="DK29" s="32">
        <f t="shared" si="3"/>
        <v>0.10315022630111897</v>
      </c>
      <c r="DL29" s="32">
        <f t="shared" si="4"/>
        <v>0.28691950851018577</v>
      </c>
      <c r="DM29" s="32">
        <f t="shared" si="5"/>
        <v>0.48889957188140065</v>
      </c>
      <c r="DN29" s="32">
        <f t="shared" si="6"/>
        <v>0.59851476861801678</v>
      </c>
      <c r="DO29" s="32">
        <f t="shared" si="7"/>
        <v>0.69307190524514994</v>
      </c>
      <c r="DP29" s="32">
        <f t="shared" si="8"/>
        <v>0.78590523078120622</v>
      </c>
      <c r="DQ29" s="32">
        <f t="shared" si="9"/>
        <v>0.8262677085639164</v>
      </c>
      <c r="DR29" s="32">
        <f t="shared" si="10"/>
        <v>0.87513598800165937</v>
      </c>
      <c r="DS29" s="32">
        <f t="shared" si="11"/>
        <v>0.90932494568824052</v>
      </c>
      <c r="DT29" s="32">
        <f t="shared" si="12"/>
        <v>0.95422702273012827</v>
      </c>
      <c r="DU29" s="32">
        <f t="shared" si="13"/>
        <v>0.97508795413458671</v>
      </c>
      <c r="DV29" s="32">
        <f t="shared" si="14"/>
        <v>1</v>
      </c>
      <c r="DW29" s="39"/>
      <c r="DX29" s="32">
        <f t="shared" si="15"/>
        <v>0.1190625821146985</v>
      </c>
      <c r="DY29" s="32">
        <f t="shared" si="16"/>
        <v>0.35153957594740159</v>
      </c>
      <c r="DZ29" s="32">
        <f t="shared" si="17"/>
        <v>0.43602027381168168</v>
      </c>
      <c r="EA29" s="32">
        <f t="shared" si="18"/>
        <v>0.5109390057288834</v>
      </c>
      <c r="EB29" s="32">
        <f t="shared" si="19"/>
        <v>0.61735133638817574</v>
      </c>
      <c r="EC29" s="32">
        <f t="shared" si="20"/>
        <v>0.7230579900148526</v>
      </c>
      <c r="ED29" s="32">
        <f t="shared" si="21"/>
        <v>0.76540788610243404</v>
      </c>
      <c r="EE29" s="32">
        <f t="shared" si="22"/>
        <v>0.80326269537150607</v>
      </c>
      <c r="EF29" s="32">
        <f t="shared" si="23"/>
        <v>0.85273411207927408</v>
      </c>
      <c r="EG29" s="32">
        <f t="shared" si="24"/>
        <v>0.91334477142780857</v>
      </c>
      <c r="EH29" s="32">
        <f t="shared" si="25"/>
        <v>0.96348583657576603</v>
      </c>
      <c r="EI29" s="32">
        <f t="shared" si="26"/>
        <v>1</v>
      </c>
      <c r="EK29" s="32">
        <f t="shared" si="89"/>
        <v>0.11184352151604014</v>
      </c>
      <c r="EL29" s="32">
        <f t="shared" si="104"/>
        <v>0.31046191852678823</v>
      </c>
      <c r="EM29" s="32">
        <f t="shared" si="105"/>
        <v>0.43892312254294424</v>
      </c>
      <c r="EN29" s="32">
        <f t="shared" si="106"/>
        <v>0.53976263547837511</v>
      </c>
      <c r="EO29" s="32">
        <f t="shared" si="107"/>
        <v>0.6562795321152709</v>
      </c>
      <c r="EP29" s="32">
        <f t="shared" si="108"/>
        <v>0.76585286584517076</v>
      </c>
      <c r="EQ29" s="32">
        <f t="shared" si="109"/>
        <v>0.80649627713889993</v>
      </c>
      <c r="ER29" s="32">
        <f t="shared" si="110"/>
        <v>0.84982140115435845</v>
      </c>
      <c r="ES29" s="32">
        <f t="shared" si="111"/>
        <v>0.89031189499466878</v>
      </c>
      <c r="ET29" s="32">
        <f t="shared" si="112"/>
        <v>0.93958770656911372</v>
      </c>
      <c r="EU29" s="32">
        <f t="shared" si="113"/>
        <v>0.97172933974992126</v>
      </c>
      <c r="EV29" s="32">
        <f t="shared" si="114"/>
        <v>1</v>
      </c>
      <c r="EX29" s="32">
        <f t="shared" si="90"/>
        <v>0.10968530480857056</v>
      </c>
      <c r="EY29" s="32">
        <f t="shared" si="91"/>
        <v>0.29600057937614943</v>
      </c>
      <c r="EZ29" s="32">
        <f t="shared" si="92"/>
        <v>0.42454371836488081</v>
      </c>
      <c r="FA29" s="32">
        <f t="shared" si="93"/>
        <v>0.50834850301680035</v>
      </c>
      <c r="FB29" s="32">
        <f t="shared" si="94"/>
        <v>0.60645918242929064</v>
      </c>
      <c r="FC29" s="32">
        <f t="shared" si="95"/>
        <v>0.70879304946555566</v>
      </c>
      <c r="FD29" s="32">
        <f t="shared" si="96"/>
        <v>0.77351738392176839</v>
      </c>
      <c r="FE29" s="32">
        <f t="shared" si="97"/>
        <v>0.8527968547313669</v>
      </c>
      <c r="FF29" s="32">
        <f t="shared" si="98"/>
        <v>0.89386176565510378</v>
      </c>
      <c r="FG29" s="32">
        <f t="shared" si="99"/>
        <v>0.93506665333808914</v>
      </c>
      <c r="FH29" s="32">
        <f t="shared" si="100"/>
        <v>0.96653569123114913</v>
      </c>
      <c r="FI29" s="32">
        <f t="shared" si="101"/>
        <v>1</v>
      </c>
      <c r="FK29" s="32">
        <f t="shared" si="102"/>
        <v>0.10655954570652788</v>
      </c>
      <c r="FL29" s="32">
        <f t="shared" si="29"/>
        <v>0.27748758051906536</v>
      </c>
      <c r="FM29" s="32">
        <f t="shared" si="30"/>
        <v>0.42071819988261389</v>
      </c>
      <c r="FN29" s="32">
        <f t="shared" si="31"/>
        <v>0.5074850021127727</v>
      </c>
      <c r="FO29" s="32">
        <f t="shared" si="32"/>
        <v>0.60282846444299565</v>
      </c>
      <c r="FP29" s="32">
        <f t="shared" si="33"/>
        <v>0.70403806928245671</v>
      </c>
      <c r="FQ29" s="32">
        <f t="shared" si="34"/>
        <v>0.77622054986154654</v>
      </c>
      <c r="FR29" s="32">
        <f t="shared" si="35"/>
        <v>0.86930824118465377</v>
      </c>
      <c r="FS29" s="32">
        <f t="shared" si="36"/>
        <v>0.90757098351371368</v>
      </c>
      <c r="FT29" s="32">
        <f t="shared" si="37"/>
        <v>0.94230728064151592</v>
      </c>
      <c r="FU29" s="32">
        <f t="shared" si="38"/>
        <v>0.96755230944961035</v>
      </c>
      <c r="FV29" s="32">
        <f t="shared" si="39"/>
        <v>1</v>
      </c>
      <c r="FX29" s="32">
        <f t="shared" si="103"/>
        <v>0.11126588090305684</v>
      </c>
      <c r="FY29" s="32">
        <f t="shared" si="40"/>
        <v>0.28331833138794127</v>
      </c>
      <c r="FZ29" s="32">
        <f t="shared" si="41"/>
        <v>0.419275761611273</v>
      </c>
      <c r="GA29" s="32">
        <f t="shared" si="42"/>
        <v>0.50470906898976298</v>
      </c>
      <c r="GB29" s="32">
        <f t="shared" si="43"/>
        <v>0.59554103995965268</v>
      </c>
      <c r="GC29" s="32">
        <f t="shared" si="44"/>
        <v>0.69584508375095877</v>
      </c>
      <c r="GD29" s="32">
        <f t="shared" si="45"/>
        <v>0.77787111226516181</v>
      </c>
      <c r="GE29" s="32">
        <f t="shared" si="46"/>
        <v>0.86779518748243767</v>
      </c>
      <c r="GF29" s="32">
        <f t="shared" si="47"/>
        <v>0.91166732263632377</v>
      </c>
      <c r="GG29" s="32">
        <f t="shared" si="48"/>
        <v>0.94396809997710163</v>
      </c>
      <c r="GH29" s="32">
        <f t="shared" si="49"/>
        <v>0.96776651679170167</v>
      </c>
      <c r="GI29" s="32">
        <f t="shared" si="50"/>
        <v>1</v>
      </c>
    </row>
    <row r="30" spans="1:191">
      <c r="A30" s="724" t="s">
        <v>224</v>
      </c>
      <c r="N30" s="401">
        <f>SUM(B30:M30)</f>
        <v>0</v>
      </c>
      <c r="P30" s="396" t="s">
        <v>224</v>
      </c>
      <c r="AC30" s="401">
        <f>SUM(Q30:AB30)</f>
        <v>0</v>
      </c>
      <c r="AE30" s="127" t="s">
        <v>224</v>
      </c>
      <c r="AR30" s="41">
        <f t="shared" si="1"/>
        <v>0</v>
      </c>
      <c r="AT30" s="118" t="s">
        <v>224</v>
      </c>
      <c r="BG30" s="41">
        <f t="shared" si="2"/>
        <v>0</v>
      </c>
      <c r="BV30" s="41">
        <f t="shared" si="52"/>
        <v>0</v>
      </c>
      <c r="BW30" s="406"/>
      <c r="BX30" s="39">
        <f>AVERAGE(BX3:BX29)</f>
        <v>0.15698526003939217</v>
      </c>
      <c r="BY30" s="39">
        <f t="shared" ref="BY30:CI30" si="115">AVERAGE(BY3:BY29)</f>
        <v>0.33901508139120567</v>
      </c>
      <c r="BZ30" s="39">
        <f t="shared" si="115"/>
        <v>0.47946194038869577</v>
      </c>
      <c r="CA30" s="39">
        <f t="shared" si="115"/>
        <v>0.5917219302985397</v>
      </c>
      <c r="CB30" s="39">
        <f t="shared" si="115"/>
        <v>0.68017441888907371</v>
      </c>
      <c r="CC30" s="39">
        <f t="shared" si="115"/>
        <v>0.77060456748433437</v>
      </c>
      <c r="CD30" s="39">
        <f t="shared" si="115"/>
        <v>0.83732917833996778</v>
      </c>
      <c r="CE30" s="39">
        <f t="shared" si="115"/>
        <v>0.88346203507183174</v>
      </c>
      <c r="CF30" s="39">
        <f t="shared" si="115"/>
        <v>0.92001745515916455</v>
      </c>
      <c r="CG30" s="39">
        <f t="shared" si="115"/>
        <v>0.94671072001840129</v>
      </c>
      <c r="CH30" s="39">
        <f t="shared" si="115"/>
        <v>0.97165424389255928</v>
      </c>
      <c r="CI30" s="39">
        <f t="shared" si="115"/>
        <v>1</v>
      </c>
      <c r="CJ30" s="406"/>
      <c r="CK30" s="39">
        <f>AVERAGE(CK3:CK29)</f>
        <v>0.18408744630413801</v>
      </c>
      <c r="CL30" s="39">
        <f t="shared" ref="CL30:CV30" si="116">AVERAGE(CL3:CL29)</f>
        <v>0.36992407576828146</v>
      </c>
      <c r="CM30" s="39">
        <f t="shared" si="116"/>
        <v>0.47908949950287733</v>
      </c>
      <c r="CN30" s="39">
        <f t="shared" si="116"/>
        <v>0.52531392207897487</v>
      </c>
      <c r="CO30" s="39">
        <f t="shared" si="116"/>
        <v>0.56662861666908237</v>
      </c>
      <c r="CP30" s="39">
        <f t="shared" si="116"/>
        <v>0.63169773932863837</v>
      </c>
      <c r="CQ30" s="39">
        <f t="shared" si="116"/>
        <v>0.7430205649557321</v>
      </c>
      <c r="CR30" s="39">
        <f t="shared" si="116"/>
        <v>0.86407753987290925</v>
      </c>
      <c r="CS30" s="39">
        <f t="shared" si="116"/>
        <v>0.91304777554583993</v>
      </c>
      <c r="CT30" s="39">
        <f t="shared" si="116"/>
        <v>0.93226779857981323</v>
      </c>
      <c r="CU30" s="39">
        <f t="shared" si="116"/>
        <v>0.96504420149858583</v>
      </c>
      <c r="CV30" s="39">
        <f t="shared" si="116"/>
        <v>1</v>
      </c>
      <c r="CX30" s="39">
        <f>AVERAGE(CX3:CX29)</f>
        <v>0.17552953213054842</v>
      </c>
      <c r="CY30" s="39">
        <f t="shared" ref="CY30:DI30" si="117">AVERAGE(CY3:CY29)</f>
        <v>0.38435275146209047</v>
      </c>
      <c r="CZ30" s="39">
        <f t="shared" si="117"/>
        <v>0.47336401646517628</v>
      </c>
      <c r="DA30" s="39">
        <f t="shared" si="117"/>
        <v>0.57363873426429157</v>
      </c>
      <c r="DB30" s="39">
        <f t="shared" si="117"/>
        <v>0.70023592299646464</v>
      </c>
      <c r="DC30" s="39">
        <f t="shared" si="117"/>
        <v>0.8141547288967601</v>
      </c>
      <c r="DD30" s="39">
        <f t="shared" si="117"/>
        <v>0.85573292922685085</v>
      </c>
      <c r="DE30" s="39">
        <f t="shared" si="117"/>
        <v>0.88740815798149542</v>
      </c>
      <c r="DF30" s="39">
        <f t="shared" si="117"/>
        <v>0.91688057466129658</v>
      </c>
      <c r="DG30" s="39">
        <f t="shared" si="117"/>
        <v>0.94722814612376438</v>
      </c>
      <c r="DH30" s="39">
        <f t="shared" si="117"/>
        <v>0.97137496774627086</v>
      </c>
      <c r="DI30" s="39">
        <f t="shared" si="117"/>
        <v>1</v>
      </c>
      <c r="DK30" s="39">
        <f>AVERAGE(DK3:DK29)</f>
        <v>0.16950191152767169</v>
      </c>
      <c r="DL30" s="39">
        <f t="shared" ref="DL30:DV30" si="118">AVERAGE(DL3:DL29)</f>
        <v>0.36591406468874804</v>
      </c>
      <c r="DM30" s="39">
        <f t="shared" si="118"/>
        <v>0.51671252322539918</v>
      </c>
      <c r="DN30" s="39">
        <f t="shared" si="118"/>
        <v>0.61822818167321192</v>
      </c>
      <c r="DO30" s="39">
        <f t="shared" si="118"/>
        <v>0.72798215963888224</v>
      </c>
      <c r="DP30" s="39">
        <f t="shared" si="118"/>
        <v>0.83317193466410489</v>
      </c>
      <c r="DQ30" s="39">
        <f t="shared" si="118"/>
        <v>0.86808002555206798</v>
      </c>
      <c r="DR30" s="39">
        <f t="shared" si="118"/>
        <v>0.90288118756354674</v>
      </c>
      <c r="DS30" s="39">
        <f t="shared" si="118"/>
        <v>0.92944779297431568</v>
      </c>
      <c r="DT30" s="39">
        <f t="shared" si="118"/>
        <v>0.95580470982315391</v>
      </c>
      <c r="DU30" s="39">
        <f t="shared" si="118"/>
        <v>0.9772753923176084</v>
      </c>
      <c r="DV30" s="39">
        <f t="shared" si="118"/>
        <v>1</v>
      </c>
      <c r="DW30" s="39"/>
      <c r="DX30" s="39">
        <f>AVERAGE(DX3:DX29)</f>
        <v>0.19843098489261035</v>
      </c>
      <c r="DY30" s="39">
        <f t="shared" ref="DY30" si="119">AVERAGE(DY3:DY29)</f>
        <v>0.43703404421753594</v>
      </c>
      <c r="DZ30" s="39">
        <f t="shared" ref="DZ30" si="120">AVERAGE(DZ3:DZ29)</f>
        <v>0.5311045160949619</v>
      </c>
      <c r="EA30" s="39">
        <f t="shared" ref="EA30" si="121">AVERAGE(EA3:EA29)</f>
        <v>0.60184958801731347</v>
      </c>
      <c r="EB30" s="39">
        <f t="shared" ref="EB30" si="122">AVERAGE(EB3:EB29)</f>
        <v>0.71424309803631703</v>
      </c>
      <c r="EC30" s="39">
        <f t="shared" ref="EC30" si="123">AVERAGE(EC3:EC29)</f>
        <v>0.8159210162613888</v>
      </c>
      <c r="ED30" s="39">
        <f t="shared" ref="ED30" si="124">AVERAGE(ED3:ED29)</f>
        <v>0.84994845229043869</v>
      </c>
      <c r="EE30" s="39">
        <f t="shared" ref="EE30" si="125">AVERAGE(EE3:EE29)</f>
        <v>0.88500800505161736</v>
      </c>
      <c r="EF30" s="39">
        <f t="shared" ref="EF30" si="126">AVERAGE(EF3:EF29)</f>
        <v>0.9151226443882825</v>
      </c>
      <c r="EG30" s="39">
        <f t="shared" ref="EG30" si="127">AVERAGE(EG3:EG29)</f>
        <v>0.94643907876083966</v>
      </c>
      <c r="EH30" s="39">
        <f t="shared" ref="EH30" si="128">AVERAGE(EH3:EH29)</f>
        <v>0.97706359984045987</v>
      </c>
      <c r="EI30" s="39">
        <f t="shared" ref="EI30" si="129">AVERAGE(EI3:EI29)</f>
        <v>1</v>
      </c>
      <c r="EK30" s="39">
        <f>AVERAGE(EK3:EK29)</f>
        <v>0.18115414285027678</v>
      </c>
      <c r="EL30" s="39">
        <f t="shared" ref="EL30" si="130">AVERAGE(EL3:EL29)</f>
        <v>0.39576695345612473</v>
      </c>
      <c r="EM30" s="39">
        <f t="shared" ref="EM30" si="131">AVERAGE(EM3:EM29)</f>
        <v>0.5070603519285124</v>
      </c>
      <c r="EN30" s="39">
        <f t="shared" ref="EN30" si="132">AVERAGE(EN3:EN29)</f>
        <v>0.59790550131827236</v>
      </c>
      <c r="EO30" s="39">
        <f t="shared" ref="EO30" si="133">AVERAGE(EO3:EO29)</f>
        <v>0.71415372689055445</v>
      </c>
      <c r="EP30" s="39">
        <f t="shared" ref="EP30" si="134">AVERAGE(EP3:EP29)</f>
        <v>0.82108255994075141</v>
      </c>
      <c r="EQ30" s="39">
        <f t="shared" ref="EQ30" si="135">AVERAGE(EQ3:EQ29)</f>
        <v>0.85792046902311947</v>
      </c>
      <c r="ER30" s="39">
        <f t="shared" ref="ER30" si="136">AVERAGE(ER3:ER29)</f>
        <v>0.8917657835322198</v>
      </c>
      <c r="ES30" s="39">
        <f t="shared" ref="ES30" si="137">AVERAGE(ES3:ES29)</f>
        <v>0.92048367067463144</v>
      </c>
      <c r="ET30" s="39">
        <f t="shared" ref="ET30" si="138">AVERAGE(ET3:ET29)</f>
        <v>0.94982397823591935</v>
      </c>
      <c r="EU30" s="39">
        <f t="shared" ref="EU30" si="139">AVERAGE(EU3:EU29)</f>
        <v>0.97523798663477967</v>
      </c>
      <c r="EV30" s="39">
        <f t="shared" ref="EV30" si="140">AVERAGE(EV3:EV29)</f>
        <v>1</v>
      </c>
      <c r="EX30" s="32">
        <f t="shared" si="90"/>
        <v>0.18188746871374212</v>
      </c>
      <c r="EY30" s="32">
        <f t="shared" si="91"/>
        <v>0.38930623403416398</v>
      </c>
      <c r="EZ30" s="32">
        <f t="shared" si="92"/>
        <v>0.50006763882210359</v>
      </c>
      <c r="FA30" s="32">
        <f t="shared" si="93"/>
        <v>0.57975760650844799</v>
      </c>
      <c r="FB30" s="32">
        <f t="shared" si="94"/>
        <v>0.67727244933518649</v>
      </c>
      <c r="FC30" s="32">
        <f t="shared" si="95"/>
        <v>0.77373635478772296</v>
      </c>
      <c r="FD30" s="32">
        <f t="shared" si="96"/>
        <v>0.82919549300627238</v>
      </c>
      <c r="FE30" s="32">
        <f t="shared" si="97"/>
        <v>0.88484372261739219</v>
      </c>
      <c r="FF30" s="32">
        <f t="shared" si="98"/>
        <v>0.91862469689243365</v>
      </c>
      <c r="FG30" s="32">
        <f t="shared" si="99"/>
        <v>0.94543493332189277</v>
      </c>
      <c r="FH30" s="32">
        <f t="shared" si="100"/>
        <v>0.97268954035073119</v>
      </c>
      <c r="FI30" s="32">
        <f t="shared" si="101"/>
        <v>1</v>
      </c>
      <c r="FK30" s="32">
        <f t="shared" si="102"/>
        <v>0.17637296332078603</v>
      </c>
      <c r="FL30" s="32">
        <f t="shared" si="29"/>
        <v>0.37339696397303995</v>
      </c>
      <c r="FM30" s="32">
        <f t="shared" si="30"/>
        <v>0.48972201306448432</v>
      </c>
      <c r="FN30" s="32">
        <f t="shared" si="31"/>
        <v>0.57239361267215949</v>
      </c>
      <c r="FO30" s="32">
        <f t="shared" si="32"/>
        <v>0.66494889976814309</v>
      </c>
      <c r="FP30" s="32">
        <f t="shared" si="33"/>
        <v>0.75967480096316775</v>
      </c>
      <c r="FQ30" s="32">
        <f t="shared" si="34"/>
        <v>0.82227783991155023</v>
      </c>
      <c r="FR30" s="32">
        <f t="shared" si="35"/>
        <v>0.88478896180598376</v>
      </c>
      <c r="FS30" s="32">
        <f t="shared" si="36"/>
        <v>0.91979204772715073</v>
      </c>
      <c r="FT30" s="32">
        <f t="shared" si="37"/>
        <v>0.94510021817557721</v>
      </c>
      <c r="FU30" s="32">
        <f t="shared" si="38"/>
        <v>0.97123152052082184</v>
      </c>
      <c r="FV30" s="32">
        <f t="shared" si="39"/>
        <v>1</v>
      </c>
      <c r="FX30" s="32">
        <f t="shared" si="103"/>
        <v>0.17220074615802619</v>
      </c>
      <c r="FY30" s="32">
        <f t="shared" si="40"/>
        <v>0.36443063620719252</v>
      </c>
      <c r="FZ30" s="32">
        <f t="shared" si="41"/>
        <v>0.47730515211891644</v>
      </c>
      <c r="GA30" s="32">
        <f t="shared" si="42"/>
        <v>0.56355819554726871</v>
      </c>
      <c r="GB30" s="32">
        <f t="shared" si="43"/>
        <v>0.64901298618487357</v>
      </c>
      <c r="GC30" s="32">
        <f t="shared" si="44"/>
        <v>0.73881901190324417</v>
      </c>
      <c r="GD30" s="32">
        <f t="shared" si="45"/>
        <v>0.81202755750751698</v>
      </c>
      <c r="GE30" s="32">
        <f t="shared" si="46"/>
        <v>0.87831591097541217</v>
      </c>
      <c r="GF30" s="32">
        <f t="shared" si="47"/>
        <v>0.91664860178876706</v>
      </c>
      <c r="GG30" s="32">
        <f t="shared" si="48"/>
        <v>0.9420688882406596</v>
      </c>
      <c r="GH30" s="32">
        <f t="shared" si="49"/>
        <v>0.96935780437913854</v>
      </c>
      <c r="GI30" s="32">
        <f t="shared" si="50"/>
        <v>1</v>
      </c>
    </row>
    <row r="31" spans="1:191">
      <c r="B31" s="975" t="s">
        <v>567</v>
      </c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>
        <f t="shared" ref="N31" si="141">SUM(B31:M31)</f>
        <v>0</v>
      </c>
      <c r="Q31" s="975" t="s">
        <v>406</v>
      </c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>
        <f t="shared" si="51"/>
        <v>0</v>
      </c>
      <c r="AF31" s="976" t="s">
        <v>275</v>
      </c>
      <c r="AG31" s="976"/>
      <c r="AH31" s="976"/>
      <c r="AI31" s="976"/>
      <c r="AJ31" s="976"/>
      <c r="AK31" s="976"/>
      <c r="AL31" s="976"/>
      <c r="AM31" s="976"/>
      <c r="AN31" s="976"/>
      <c r="AO31" s="976"/>
      <c r="AP31" s="976"/>
      <c r="AQ31" s="976"/>
      <c r="AR31" s="976">
        <f t="shared" si="1"/>
        <v>0</v>
      </c>
      <c r="AU31" s="976" t="s">
        <v>177</v>
      </c>
      <c r="AV31" s="976"/>
      <c r="AW31" s="976"/>
      <c r="AX31" s="976"/>
      <c r="AY31" s="976"/>
      <c r="AZ31" s="976"/>
      <c r="BA31" s="976"/>
      <c r="BB31" s="976"/>
      <c r="BC31" s="976"/>
      <c r="BD31" s="976"/>
      <c r="BE31" s="976"/>
      <c r="BF31" s="976"/>
      <c r="BG31" s="976">
        <f t="shared" si="2"/>
        <v>0</v>
      </c>
      <c r="BJ31" s="976" t="s">
        <v>159</v>
      </c>
      <c r="BK31" s="976"/>
      <c r="BL31" s="976"/>
      <c r="BM31" s="976"/>
      <c r="BN31" s="976"/>
      <c r="BO31" s="976"/>
      <c r="BP31" s="976"/>
      <c r="BQ31" s="976"/>
      <c r="BR31" s="976"/>
      <c r="BS31" s="976"/>
      <c r="BT31" s="976"/>
      <c r="BU31" s="976"/>
      <c r="BV31" s="976">
        <f t="shared" si="52"/>
        <v>0</v>
      </c>
      <c r="BW31" s="403"/>
      <c r="BX31" s="973" t="s">
        <v>578</v>
      </c>
      <c r="BY31" s="973"/>
      <c r="BZ31" s="973"/>
      <c r="CA31" s="973"/>
      <c r="CB31" s="973"/>
      <c r="CC31" s="973"/>
      <c r="CD31" s="973"/>
      <c r="CE31" s="973"/>
      <c r="CF31" s="973"/>
      <c r="CG31" s="973"/>
      <c r="CH31" s="973"/>
      <c r="CI31" s="973"/>
      <c r="CJ31" s="403"/>
      <c r="CK31" s="973" t="s">
        <v>411</v>
      </c>
      <c r="CL31" s="973"/>
      <c r="CM31" s="973"/>
      <c r="CN31" s="973"/>
      <c r="CO31" s="973"/>
      <c r="CP31" s="973"/>
      <c r="CQ31" s="973"/>
      <c r="CR31" s="973"/>
      <c r="CS31" s="973"/>
      <c r="CT31" s="973"/>
      <c r="CU31" s="973"/>
      <c r="CV31" s="973"/>
      <c r="CX31" s="973" t="s">
        <v>294</v>
      </c>
      <c r="CY31" s="973"/>
      <c r="CZ31" s="973"/>
      <c r="DA31" s="973"/>
      <c r="DB31" s="973"/>
      <c r="DC31" s="973"/>
      <c r="DD31" s="973"/>
      <c r="DE31" s="973"/>
      <c r="DF31" s="973"/>
      <c r="DG31" s="973"/>
      <c r="DH31" s="973"/>
      <c r="DI31" s="973"/>
      <c r="DK31" s="973" t="s">
        <v>134</v>
      </c>
      <c r="DL31" s="973"/>
      <c r="DM31" s="973"/>
      <c r="DN31" s="973"/>
      <c r="DO31" s="973"/>
      <c r="DP31" s="973"/>
      <c r="DQ31" s="973"/>
      <c r="DR31" s="973"/>
      <c r="DS31" s="973"/>
      <c r="DT31" s="973"/>
      <c r="DU31" s="973"/>
      <c r="DV31" s="973"/>
      <c r="DW31" s="39"/>
      <c r="DX31" s="973" t="s">
        <v>135</v>
      </c>
      <c r="DY31" s="973"/>
      <c r="DZ31" s="973"/>
      <c r="EA31" s="973"/>
      <c r="EB31" s="973"/>
      <c r="EC31" s="973"/>
      <c r="ED31" s="973"/>
      <c r="EE31" s="973"/>
      <c r="EF31" s="973"/>
      <c r="EG31" s="973"/>
      <c r="EH31" s="973"/>
      <c r="EI31" s="973"/>
      <c r="EK31" s="973" t="s">
        <v>296</v>
      </c>
      <c r="EL31" s="973"/>
      <c r="EM31" s="973"/>
      <c r="EN31" s="973"/>
      <c r="EO31" s="973"/>
      <c r="EP31" s="973"/>
      <c r="EQ31" s="973"/>
      <c r="ER31" s="973"/>
      <c r="ES31" s="973"/>
      <c r="ET31" s="973"/>
      <c r="EU31" s="973"/>
      <c r="EV31" s="973"/>
      <c r="EX31" s="973" t="s">
        <v>424</v>
      </c>
      <c r="EY31" s="973"/>
      <c r="EZ31" s="973"/>
      <c r="FA31" s="973"/>
      <c r="FB31" s="973"/>
      <c r="FC31" s="973"/>
      <c r="FD31" s="973"/>
      <c r="FE31" s="973"/>
      <c r="FF31" s="973"/>
      <c r="FG31" s="973"/>
      <c r="FH31" s="973"/>
      <c r="FI31" s="973"/>
      <c r="FK31" s="973" t="s">
        <v>430</v>
      </c>
      <c r="FL31" s="973"/>
      <c r="FM31" s="973"/>
      <c r="FN31" s="973"/>
      <c r="FO31" s="973"/>
      <c r="FP31" s="973"/>
      <c r="FQ31" s="973"/>
      <c r="FR31" s="973"/>
      <c r="FS31" s="973"/>
      <c r="FT31" s="973"/>
      <c r="FU31" s="973"/>
      <c r="FV31" s="973"/>
      <c r="FX31" s="973" t="s">
        <v>583</v>
      </c>
      <c r="FY31" s="973"/>
      <c r="FZ31" s="973"/>
      <c r="GA31" s="973"/>
      <c r="GB31" s="973"/>
      <c r="GC31" s="973"/>
      <c r="GD31" s="973"/>
      <c r="GE31" s="973"/>
      <c r="GF31" s="973"/>
      <c r="GG31" s="973"/>
      <c r="GH31" s="973"/>
      <c r="GI31" s="973"/>
    </row>
    <row r="32" spans="1:191">
      <c r="B32" s="398" t="s">
        <v>120</v>
      </c>
      <c r="C32" s="398" t="s">
        <v>136</v>
      </c>
      <c r="D32" s="398" t="s">
        <v>137</v>
      </c>
      <c r="E32" s="398" t="s">
        <v>138</v>
      </c>
      <c r="F32" s="398" t="s">
        <v>139</v>
      </c>
      <c r="G32" s="398" t="s">
        <v>140</v>
      </c>
      <c r="H32" s="398" t="s">
        <v>141</v>
      </c>
      <c r="I32" s="398" t="s">
        <v>142</v>
      </c>
      <c r="J32" s="398" t="s">
        <v>143</v>
      </c>
      <c r="K32" s="398" t="s">
        <v>144</v>
      </c>
      <c r="L32" s="398" t="s">
        <v>145</v>
      </c>
      <c r="M32" s="398" t="s">
        <v>146</v>
      </c>
      <c r="N32" s="398" t="s">
        <v>118</v>
      </c>
      <c r="Q32" s="398" t="s">
        <v>120</v>
      </c>
      <c r="R32" s="398" t="s">
        <v>136</v>
      </c>
      <c r="S32" s="398" t="s">
        <v>137</v>
      </c>
      <c r="T32" s="398" t="s">
        <v>138</v>
      </c>
      <c r="U32" s="398" t="s">
        <v>139</v>
      </c>
      <c r="V32" s="398" t="s">
        <v>140</v>
      </c>
      <c r="W32" s="398" t="s">
        <v>141</v>
      </c>
      <c r="X32" s="398" t="s">
        <v>142</v>
      </c>
      <c r="Y32" s="398" t="s">
        <v>143</v>
      </c>
      <c r="Z32" s="398" t="s">
        <v>144</v>
      </c>
      <c r="AA32" s="398" t="s">
        <v>145</v>
      </c>
      <c r="AB32" s="398" t="s">
        <v>146</v>
      </c>
      <c r="AC32" s="398" t="s">
        <v>118</v>
      </c>
      <c r="AF32" s="127" t="s">
        <v>120</v>
      </c>
      <c r="AG32" s="127" t="s">
        <v>136</v>
      </c>
      <c r="AH32" s="127" t="s">
        <v>137</v>
      </c>
      <c r="AI32" s="127" t="s">
        <v>138</v>
      </c>
      <c r="AJ32" s="127" t="s">
        <v>139</v>
      </c>
      <c r="AK32" s="127" t="s">
        <v>140</v>
      </c>
      <c r="AL32" s="127" t="s">
        <v>141</v>
      </c>
      <c r="AM32" s="127" t="s">
        <v>142</v>
      </c>
      <c r="AN32" s="127" t="s">
        <v>143</v>
      </c>
      <c r="AO32" s="127" t="s">
        <v>144</v>
      </c>
      <c r="AP32" s="127" t="s">
        <v>145</v>
      </c>
      <c r="AQ32" s="127" t="s">
        <v>146</v>
      </c>
      <c r="AR32" s="127" t="s">
        <v>118</v>
      </c>
      <c r="AU32" s="60" t="s">
        <v>120</v>
      </c>
      <c r="AV32" s="60" t="s">
        <v>136</v>
      </c>
      <c r="AW32" s="60" t="s">
        <v>137</v>
      </c>
      <c r="AX32" s="60" t="s">
        <v>138</v>
      </c>
      <c r="AY32" s="60" t="s">
        <v>139</v>
      </c>
      <c r="AZ32" s="60" t="s">
        <v>140</v>
      </c>
      <c r="BA32" s="60" t="s">
        <v>141</v>
      </c>
      <c r="BB32" s="60" t="s">
        <v>142</v>
      </c>
      <c r="BC32" s="60" t="s">
        <v>143</v>
      </c>
      <c r="BD32" s="60" t="s">
        <v>144</v>
      </c>
      <c r="BE32" s="60" t="s">
        <v>145</v>
      </c>
      <c r="BF32" s="60" t="s">
        <v>146</v>
      </c>
      <c r="BG32" s="60" t="s">
        <v>118</v>
      </c>
      <c r="BJ32" s="60" t="s">
        <v>120</v>
      </c>
      <c r="BK32" s="60" t="s">
        <v>136</v>
      </c>
      <c r="BL32" s="60" t="s">
        <v>137</v>
      </c>
      <c r="BM32" s="60" t="s">
        <v>138</v>
      </c>
      <c r="BN32" s="60" t="s">
        <v>139</v>
      </c>
      <c r="BO32" s="60" t="s">
        <v>140</v>
      </c>
      <c r="BP32" s="60" t="s">
        <v>141</v>
      </c>
      <c r="BQ32" s="60" t="s">
        <v>142</v>
      </c>
      <c r="BR32" s="60" t="s">
        <v>143</v>
      </c>
      <c r="BS32" s="60" t="s">
        <v>144</v>
      </c>
      <c r="BT32" s="60" t="s">
        <v>145</v>
      </c>
      <c r="BU32" s="60" t="s">
        <v>146</v>
      </c>
      <c r="BV32" s="60">
        <f t="shared" si="52"/>
        <v>0</v>
      </c>
      <c r="BW32" s="404"/>
      <c r="BX32" s="731" t="s">
        <v>147</v>
      </c>
      <c r="BY32" s="731" t="s">
        <v>148</v>
      </c>
      <c r="BZ32" s="731" t="s">
        <v>149</v>
      </c>
      <c r="CA32" s="731" t="s">
        <v>150</v>
      </c>
      <c r="CB32" s="731" t="s">
        <v>151</v>
      </c>
      <c r="CC32" s="731" t="s">
        <v>152</v>
      </c>
      <c r="CD32" s="731" t="s">
        <v>153</v>
      </c>
      <c r="CE32" s="731" t="s">
        <v>154</v>
      </c>
      <c r="CF32" s="731" t="s">
        <v>155</v>
      </c>
      <c r="CG32" s="731" t="s">
        <v>156</v>
      </c>
      <c r="CH32" s="731" t="s">
        <v>157</v>
      </c>
      <c r="CI32" s="731" t="s">
        <v>158</v>
      </c>
      <c r="CJ32" s="404"/>
      <c r="CK32" s="396" t="s">
        <v>147</v>
      </c>
      <c r="CL32" s="396" t="s">
        <v>148</v>
      </c>
      <c r="CM32" s="396" t="s">
        <v>149</v>
      </c>
      <c r="CN32" s="396" t="s">
        <v>150</v>
      </c>
      <c r="CO32" s="396" t="s">
        <v>151</v>
      </c>
      <c r="CP32" s="396" t="s">
        <v>152</v>
      </c>
      <c r="CQ32" s="396" t="s">
        <v>153</v>
      </c>
      <c r="CR32" s="396" t="s">
        <v>154</v>
      </c>
      <c r="CS32" s="396" t="s">
        <v>155</v>
      </c>
      <c r="CT32" s="396" t="s">
        <v>156</v>
      </c>
      <c r="CU32" s="396" t="s">
        <v>157</v>
      </c>
      <c r="CV32" s="396" t="s">
        <v>158</v>
      </c>
      <c r="CX32" s="129" t="s">
        <v>147</v>
      </c>
      <c r="CY32" s="129" t="s">
        <v>148</v>
      </c>
      <c r="CZ32" s="129" t="s">
        <v>149</v>
      </c>
      <c r="DA32" s="129" t="s">
        <v>150</v>
      </c>
      <c r="DB32" s="129" t="s">
        <v>151</v>
      </c>
      <c r="DC32" s="129" t="s">
        <v>152</v>
      </c>
      <c r="DD32" s="129" t="s">
        <v>153</v>
      </c>
      <c r="DE32" s="129" t="s">
        <v>154</v>
      </c>
      <c r="DF32" s="129" t="s">
        <v>155</v>
      </c>
      <c r="DG32" s="129" t="s">
        <v>156</v>
      </c>
      <c r="DH32" s="129" t="s">
        <v>157</v>
      </c>
      <c r="DI32" s="129" t="s">
        <v>158</v>
      </c>
      <c r="DK32" s="60" t="s">
        <v>147</v>
      </c>
      <c r="DL32" s="60" t="s">
        <v>148</v>
      </c>
      <c r="DM32" s="60" t="s">
        <v>149</v>
      </c>
      <c r="DN32" s="60" t="s">
        <v>150</v>
      </c>
      <c r="DO32" s="60" t="s">
        <v>151</v>
      </c>
      <c r="DP32" s="60" t="s">
        <v>152</v>
      </c>
      <c r="DQ32" s="60" t="s">
        <v>153</v>
      </c>
      <c r="DR32" s="60" t="s">
        <v>154</v>
      </c>
      <c r="DS32" s="60" t="s">
        <v>155</v>
      </c>
      <c r="DT32" s="60" t="s">
        <v>156</v>
      </c>
      <c r="DU32" s="60" t="s">
        <v>157</v>
      </c>
      <c r="DV32" s="60" t="s">
        <v>158</v>
      </c>
      <c r="DW32" s="39"/>
      <c r="DX32" s="60" t="s">
        <v>147</v>
      </c>
      <c r="DY32" s="60" t="s">
        <v>148</v>
      </c>
      <c r="DZ32" s="60" t="s">
        <v>180</v>
      </c>
      <c r="EA32" s="60" t="s">
        <v>181</v>
      </c>
      <c r="EB32" s="60" t="s">
        <v>182</v>
      </c>
      <c r="EC32" s="60" t="s">
        <v>152</v>
      </c>
      <c r="ED32" s="60" t="s">
        <v>153</v>
      </c>
      <c r="EE32" s="60" t="s">
        <v>154</v>
      </c>
      <c r="EF32" s="60" t="s">
        <v>155</v>
      </c>
      <c r="EG32" s="60" t="s">
        <v>156</v>
      </c>
      <c r="EH32" s="60" t="s">
        <v>157</v>
      </c>
      <c r="EI32" s="60" t="s">
        <v>158</v>
      </c>
      <c r="EK32" s="60" t="s">
        <v>147</v>
      </c>
      <c r="EL32" s="60" t="s">
        <v>148</v>
      </c>
      <c r="EM32" s="60" t="s">
        <v>180</v>
      </c>
      <c r="EN32" s="60" t="s">
        <v>181</v>
      </c>
      <c r="EO32" s="60" t="s">
        <v>182</v>
      </c>
      <c r="EP32" s="60" t="s">
        <v>152</v>
      </c>
      <c r="EQ32" s="60" t="s">
        <v>153</v>
      </c>
      <c r="ER32" s="60" t="s">
        <v>154</v>
      </c>
      <c r="ES32" s="60" t="s">
        <v>155</v>
      </c>
      <c r="ET32" s="60" t="s">
        <v>156</v>
      </c>
      <c r="EU32" s="60" t="s">
        <v>157</v>
      </c>
      <c r="EV32" s="60" t="s">
        <v>158</v>
      </c>
      <c r="EX32" s="397" t="s">
        <v>147</v>
      </c>
      <c r="EY32" s="397" t="s">
        <v>148</v>
      </c>
      <c r="EZ32" s="397" t="s">
        <v>180</v>
      </c>
      <c r="FA32" s="397" t="s">
        <v>181</v>
      </c>
      <c r="FB32" s="397" t="s">
        <v>182</v>
      </c>
      <c r="FC32" s="397" t="s">
        <v>152</v>
      </c>
      <c r="FD32" s="397" t="s">
        <v>153</v>
      </c>
      <c r="FE32" s="397" t="s">
        <v>154</v>
      </c>
      <c r="FF32" s="397" t="s">
        <v>155</v>
      </c>
      <c r="FG32" s="397" t="s">
        <v>156</v>
      </c>
      <c r="FH32" s="397" t="s">
        <v>157</v>
      </c>
      <c r="FI32" s="397" t="s">
        <v>158</v>
      </c>
      <c r="FK32" s="397" t="s">
        <v>147</v>
      </c>
      <c r="FL32" s="397" t="s">
        <v>148</v>
      </c>
      <c r="FM32" s="397" t="s">
        <v>180</v>
      </c>
      <c r="FN32" s="397" t="s">
        <v>181</v>
      </c>
      <c r="FO32" s="397" t="s">
        <v>182</v>
      </c>
      <c r="FP32" s="397" t="s">
        <v>152</v>
      </c>
      <c r="FQ32" s="397" t="s">
        <v>153</v>
      </c>
      <c r="FR32" s="397" t="s">
        <v>154</v>
      </c>
      <c r="FS32" s="397" t="s">
        <v>155</v>
      </c>
      <c r="FT32" s="397" t="s">
        <v>156</v>
      </c>
      <c r="FU32" s="397" t="s">
        <v>157</v>
      </c>
      <c r="FV32" s="397" t="s">
        <v>158</v>
      </c>
      <c r="FX32" s="731" t="s">
        <v>147</v>
      </c>
      <c r="FY32" s="731" t="s">
        <v>148</v>
      </c>
      <c r="FZ32" s="731" t="s">
        <v>180</v>
      </c>
      <c r="GA32" s="731" t="s">
        <v>181</v>
      </c>
      <c r="GB32" s="731" t="s">
        <v>182</v>
      </c>
      <c r="GC32" s="731" t="s">
        <v>152</v>
      </c>
      <c r="GD32" s="731" t="s">
        <v>153</v>
      </c>
      <c r="GE32" s="731" t="s">
        <v>154</v>
      </c>
      <c r="GF32" s="731" t="s">
        <v>155</v>
      </c>
      <c r="GG32" s="731" t="s">
        <v>156</v>
      </c>
      <c r="GH32" s="731" t="s">
        <v>157</v>
      </c>
      <c r="GI32" s="731" t="s">
        <v>158</v>
      </c>
    </row>
    <row r="33" spans="1:191">
      <c r="A33" s="724" t="s">
        <v>77</v>
      </c>
      <c r="B33" s="399">
        <v>5861.1999999999971</v>
      </c>
      <c r="C33" s="400">
        <v>5761.7200000000021</v>
      </c>
      <c r="D33" s="400">
        <v>4195.7700000000013</v>
      </c>
      <c r="E33" s="400">
        <v>3461.380000000001</v>
      </c>
      <c r="F33" s="400">
        <v>2234.8499999999985</v>
      </c>
      <c r="G33" s="400">
        <v>5247.9999999999973</v>
      </c>
      <c r="H33" s="400">
        <v>5237.3100000000022</v>
      </c>
      <c r="I33" s="400">
        <v>6472.0700000000006</v>
      </c>
      <c r="J33" s="400">
        <v>8166.2999999999984</v>
      </c>
      <c r="K33" s="400">
        <v>3609.9900000000002</v>
      </c>
      <c r="L33" s="400">
        <v>2045.2700000000007</v>
      </c>
      <c r="M33" s="400">
        <v>3112.3199999999997</v>
      </c>
      <c r="N33" s="400">
        <f t="shared" ref="N33:N59" si="142">SUM(B33:M33)</f>
        <v>55406.179999999993</v>
      </c>
      <c r="P33" s="396" t="s">
        <v>77</v>
      </c>
      <c r="Q33" s="399">
        <v>4812.99</v>
      </c>
      <c r="R33" s="400">
        <v>4189.0600000000004</v>
      </c>
      <c r="S33" s="400">
        <v>4276.38</v>
      </c>
      <c r="T33" s="400">
        <v>1517.86</v>
      </c>
      <c r="U33" s="400">
        <v>1290.6300000000001</v>
      </c>
      <c r="V33" s="400">
        <v>2393.89</v>
      </c>
      <c r="W33" s="400">
        <v>1577.1799999999967</v>
      </c>
      <c r="X33" s="400">
        <v>5592.5799999999981</v>
      </c>
      <c r="Y33" s="400">
        <v>3882.7500000000018</v>
      </c>
      <c r="Z33" s="400">
        <v>10423.89</v>
      </c>
      <c r="AA33" s="400">
        <v>1656.72</v>
      </c>
      <c r="AB33" s="400">
        <v>2696.9499999999989</v>
      </c>
      <c r="AC33" s="400">
        <f t="shared" ref="AC33:AC59" si="143">SUM(Q33:AB33)</f>
        <v>44310.879999999997</v>
      </c>
      <c r="AE33" s="127" t="s">
        <v>77</v>
      </c>
      <c r="AF33" s="27">
        <v>3179.86</v>
      </c>
      <c r="AG33" s="27">
        <v>2380.88</v>
      </c>
      <c r="AH33" s="27">
        <v>744.84</v>
      </c>
      <c r="AI33" s="27">
        <v>2055.36</v>
      </c>
      <c r="AJ33" s="27">
        <v>2590.08</v>
      </c>
      <c r="AK33" s="27">
        <v>1079.82</v>
      </c>
      <c r="AL33" s="27">
        <v>1433.1</v>
      </c>
      <c r="AM33" s="27">
        <v>2459.88</v>
      </c>
      <c r="AN33" s="27">
        <v>503.02</v>
      </c>
      <c r="AO33" s="27">
        <v>629.49</v>
      </c>
      <c r="AP33" s="27">
        <v>1342.31</v>
      </c>
      <c r="AQ33" s="27">
        <v>926.76</v>
      </c>
      <c r="AR33" s="43">
        <f t="shared" ref="AR33:AR61" si="144">SUM(AF33:AQ33)</f>
        <v>19325.400000000001</v>
      </c>
      <c r="AT33" s="60" t="s">
        <v>77</v>
      </c>
      <c r="AU33" s="27">
        <v>2154.869999999999</v>
      </c>
      <c r="AV33" s="27">
        <v>1308.1800000000003</v>
      </c>
      <c r="AW33" s="27">
        <v>1887.1099999999969</v>
      </c>
      <c r="AX33" s="27">
        <v>514.86000000000058</v>
      </c>
      <c r="AY33" s="27">
        <v>1482.9500000000007</v>
      </c>
      <c r="AZ33" s="27">
        <v>591.66</v>
      </c>
      <c r="BA33" s="27">
        <v>1514.0300000000007</v>
      </c>
      <c r="BB33" s="27">
        <v>3058.38</v>
      </c>
      <c r="BC33" s="27">
        <v>665.37</v>
      </c>
      <c r="BD33" s="27">
        <v>1440.98</v>
      </c>
      <c r="BE33" s="27">
        <v>2004.45</v>
      </c>
      <c r="BF33" s="27">
        <v>1036.51</v>
      </c>
      <c r="BG33" s="43">
        <f t="shared" si="2"/>
        <v>17659.349999999995</v>
      </c>
      <c r="BI33" s="60" t="s">
        <v>77</v>
      </c>
      <c r="BJ33" s="27">
        <v>2352.2099999999991</v>
      </c>
      <c r="BK33" s="27">
        <v>1113.1800000000003</v>
      </c>
      <c r="BL33" s="27">
        <v>478.63999999999942</v>
      </c>
      <c r="BM33" s="27">
        <v>992.37599999999929</v>
      </c>
      <c r="BN33" s="27">
        <v>1397.67</v>
      </c>
      <c r="BO33" s="27">
        <v>273.0300000000002</v>
      </c>
      <c r="BP33" s="27">
        <v>1044.82</v>
      </c>
      <c r="BQ33" s="27">
        <v>1387.3199999999993</v>
      </c>
      <c r="BR33" s="27">
        <v>706.16999999999985</v>
      </c>
      <c r="BS33" s="27">
        <v>891.83999999999958</v>
      </c>
      <c r="BT33" s="27">
        <v>738.7299999999999</v>
      </c>
      <c r="BU33" s="27">
        <v>186.84999999999997</v>
      </c>
      <c r="BV33" s="43">
        <f t="shared" si="52"/>
        <v>11562.835999999998</v>
      </c>
      <c r="BW33" s="405"/>
      <c r="BX33" s="32">
        <f>B33/$N33</f>
        <v>0.10578603325477406</v>
      </c>
      <c r="BY33" s="32">
        <f>SUM(B33:C33)/$N33</f>
        <v>0.20977659892813399</v>
      </c>
      <c r="BZ33" s="32">
        <f>SUM(B33:D33)/$N33</f>
        <v>0.2855040719284383</v>
      </c>
      <c r="CA33" s="32">
        <f>SUM(B33:E33)/$N33</f>
        <v>0.34797688633289647</v>
      </c>
      <c r="CB33" s="32">
        <f>SUM(B33:F33)/$N33</f>
        <v>0.38831263949256206</v>
      </c>
      <c r="CC33" s="32">
        <f>SUM(B33:G33)/$N33</f>
        <v>0.48303131527927023</v>
      </c>
      <c r="CD33" s="32">
        <f>SUM(B33:H33)/$N33</f>
        <v>0.57755705229994203</v>
      </c>
      <c r="CE33" s="32">
        <f>SUM(B33:I33)/$N33</f>
        <v>0.69436838995216776</v>
      </c>
      <c r="CF33" s="32">
        <f>SUM(B33:J33)/$N33</f>
        <v>0.84175808546988795</v>
      </c>
      <c r="CG33" s="32">
        <f>SUM(B33:K33)/$N33</f>
        <v>0.90691309164428946</v>
      </c>
      <c r="CH33" s="32">
        <f>SUM(B33:L33)/$N33</f>
        <v>0.94382720483527294</v>
      </c>
      <c r="CI33" s="32">
        <f>SUM(B33:M33)/$N33</f>
        <v>1</v>
      </c>
      <c r="CJ33" s="405"/>
      <c r="CK33" s="32">
        <f>Q33/$AC33</f>
        <v>0.1086186959049335</v>
      </c>
      <c r="CL33" s="32">
        <f>SUM(Q33:R33)/$AC33</f>
        <v>0.20315665136869318</v>
      </c>
      <c r="CM33" s="32">
        <f>SUM(Q33:S33)/$AC33</f>
        <v>0.29966522894602865</v>
      </c>
      <c r="CN33" s="32">
        <f>SUM(Q33:T33)/$AC33</f>
        <v>0.33392002144845695</v>
      </c>
      <c r="CO33" s="32">
        <f>SUM(Q33:U33)/$AC33</f>
        <v>0.363046728027067</v>
      </c>
      <c r="CP33" s="32">
        <f>SUM(Q33:V33)/$AC33</f>
        <v>0.41707160859815923</v>
      </c>
      <c r="CQ33" s="32">
        <f>SUM(Q33:W33)/$AC33</f>
        <v>0.45266512423133998</v>
      </c>
      <c r="CR33" s="32">
        <f>SUM(Q33:X33)/$AC33</f>
        <v>0.57887746756552783</v>
      </c>
      <c r="CS33" s="32">
        <f>SUM(Q33:Y33)/$AC33</f>
        <v>0.66650267383541018</v>
      </c>
      <c r="CT33" s="32">
        <f>SUM(Q33:Z33)/$AC33</f>
        <v>0.90174715555186447</v>
      </c>
      <c r="CU33" s="32">
        <f>SUM(Q33:AA33)/$AC33</f>
        <v>0.9391357156526795</v>
      </c>
      <c r="CV33" s="32">
        <f>SUM(Q33:AB33)/$AC33</f>
        <v>1</v>
      </c>
      <c r="CX33" s="32">
        <f>AF33/$AR33</f>
        <v>0.16454303662537387</v>
      </c>
      <c r="CY33" s="32">
        <f>SUM(AF33:AG33)/$AR33</f>
        <v>0.28774255642832747</v>
      </c>
      <c r="CZ33" s="32">
        <f>SUM(AF33:AH33)/$AR33</f>
        <v>0.32628457884442236</v>
      </c>
      <c r="DA33" s="32">
        <f>SUM(AF33:AI33)/$AR33</f>
        <v>0.43263994535688782</v>
      </c>
      <c r="DB33" s="32">
        <f>SUM(AF33:AJ33)/$AR33</f>
        <v>0.56666459685181159</v>
      </c>
      <c r="DC33" s="32">
        <f>SUM(AF33:AK33)/$AR33</f>
        <v>0.62254028377161663</v>
      </c>
      <c r="DD33" s="32">
        <f>SUM(AF33:AL33)/$AR33</f>
        <v>0.69669657549132225</v>
      </c>
      <c r="DE33" s="32">
        <f>SUM(AF33:AM33)/$AR33</f>
        <v>0.82398397963302172</v>
      </c>
      <c r="DF33" s="32">
        <f>SUM(AF33:AN33)/$AR33</f>
        <v>0.85001293634284403</v>
      </c>
      <c r="DG33" s="32">
        <f>SUM(AF33:AO33)/$AR33</f>
        <v>0.88258613017065624</v>
      </c>
      <c r="DH33" s="32">
        <f>SUM(AF33:AP33)/$AR33</f>
        <v>0.95204445962308681</v>
      </c>
      <c r="DI33" s="32">
        <f>SUM(AF33:AQ33)/$AR33</f>
        <v>1</v>
      </c>
      <c r="DK33" s="32">
        <f t="shared" ref="DK33:DK59" si="145">AU33/BG33</f>
        <v>0.12202431006803759</v>
      </c>
      <c r="DL33" s="32">
        <f t="shared" ref="DL33:DL59" si="146">SUM(AU33:AV33)/$BG33</f>
        <v>0.19610291432017601</v>
      </c>
      <c r="DM33" s="32">
        <f t="shared" ref="DM33:DM59" si="147">SUM(AU33:AW33)/$BG33</f>
        <v>0.30296471840696276</v>
      </c>
      <c r="DN33" s="32">
        <f t="shared" ref="DN33:DN59" si="148">SUM(AU33:AX33)/$BG33</f>
        <v>0.3321198118843558</v>
      </c>
      <c r="DO33" s="32">
        <f t="shared" ref="DO33:DO59" si="149">SUM(AU33:AY33)/$BG33</f>
        <v>0.41609515639024086</v>
      </c>
      <c r="DP33" s="32">
        <f t="shared" ref="DP33:DP59" si="150">SUM(AU33:AZ33)/$BG33</f>
        <v>0.44959922080937292</v>
      </c>
      <c r="DQ33" s="32">
        <f t="shared" ref="DQ33:DQ59" si="151">SUM(AU33:BA33)/$BG33</f>
        <v>0.53533453949324294</v>
      </c>
      <c r="DR33" s="32">
        <f t="shared" ref="DR33:DR59" si="152">SUM(AU33:BB33)/$BG33</f>
        <v>0.70852211434735712</v>
      </c>
      <c r="DS33" s="32">
        <f t="shared" ref="DS33:DS59" si="153">SUM(AU33:BC33)/$BG33</f>
        <v>0.74620017158049434</v>
      </c>
      <c r="DT33" s="32">
        <f t="shared" ref="DT33:DT59" si="154">SUM(AU33:BD33)/$BG33</f>
        <v>0.82779887141938979</v>
      </c>
      <c r="DU33" s="32">
        <f t="shared" ref="DU33:DU59" si="155">SUM(AU33:BE33)/$BG33</f>
        <v>0.94130531418200569</v>
      </c>
      <c r="DV33" s="32">
        <f t="shared" ref="DV33:DV59" si="156">SUM(AU33:BF33)/$BG33</f>
        <v>1</v>
      </c>
      <c r="DW33" s="39"/>
      <c r="DX33" s="32">
        <f t="shared" ref="DX33:DX59" si="157">BJ33/BV33</f>
        <v>0.20342846685709282</v>
      </c>
      <c r="DY33" s="32">
        <f t="shared" ref="DY33:DY59" si="158">SUM(BJ33:BK33)/$BV33</f>
        <v>0.29970069626517232</v>
      </c>
      <c r="DZ33" s="32">
        <f t="shared" ref="DZ33:DZ59" si="159">SUM(BJ33:BL33)/$BV33</f>
        <v>0.34109538524977778</v>
      </c>
      <c r="EA33" s="32">
        <f t="shared" ref="EA33:EA59" si="160">SUM(BJ33:BM33)/$BV33</f>
        <v>0.42692000474624037</v>
      </c>
      <c r="EB33" s="32">
        <f t="shared" ref="EB33:EB59" si="161">SUM(BJ33:BN33)/$BV33</f>
        <v>0.54779605972098888</v>
      </c>
      <c r="EC33" s="32">
        <f t="shared" ref="EC33:EC59" si="162">SUM(BJ33:BO33)/$BV33</f>
        <v>0.57140877895353692</v>
      </c>
      <c r="ED33" s="32">
        <f t="shared" ref="ED33:ED59" si="163">SUM(BJ33:BP33)/$BV33</f>
        <v>0.66176896394621521</v>
      </c>
      <c r="EE33" s="32">
        <f t="shared" ref="EE33:EE59" si="164">SUM(BJ33:BQ33)/$BV33</f>
        <v>0.78174990979721581</v>
      </c>
      <c r="EF33" s="32">
        <f t="shared" ref="EF33:EF59" si="165">SUM(BJ33:BR33)/$BV33</f>
        <v>0.8428222972288113</v>
      </c>
      <c r="EG33" s="32">
        <f t="shared" ref="EG33:EG59" si="166">SUM(BJ33:BS33)/$BV33</f>
        <v>0.91995216398468338</v>
      </c>
      <c r="EH33" s="32">
        <f t="shared" ref="EH33:EH59" si="167">SUM(BJ33:BT33)/$BV33</f>
        <v>0.98384046958721882</v>
      </c>
      <c r="EI33" s="32">
        <f t="shared" ref="EI33:EI59" si="168">SUM(BJ33:BU33)/$BV33</f>
        <v>1</v>
      </c>
      <c r="EK33" s="32">
        <f>(CX33+DK33+DX33)/3</f>
        <v>0.16333193785016809</v>
      </c>
      <c r="EL33" s="32">
        <f t="shared" ref="EL33:EL59" si="169">(CY33+DL33+DY33)/3</f>
        <v>0.26118205567122527</v>
      </c>
      <c r="EM33" s="32">
        <f t="shared" ref="EM33:EM59" si="170">(CZ33+DM33+DZ33)/3</f>
        <v>0.32344822750038765</v>
      </c>
      <c r="EN33" s="32">
        <f t="shared" ref="EN33:EN59" si="171">(DA33+DN33+EA33)/3</f>
        <v>0.39722658732916133</v>
      </c>
      <c r="EO33" s="32">
        <f t="shared" ref="EO33:EO59" si="172">(DB33+DO33+EB33)/3</f>
        <v>0.51018527098768052</v>
      </c>
      <c r="EP33" s="32">
        <f t="shared" ref="EP33:EP59" si="173">(DC33+DP33+EC33)/3</f>
        <v>0.54784942784484214</v>
      </c>
      <c r="EQ33" s="32">
        <f t="shared" ref="EQ33:EQ59" si="174">(DD33+DQ33+ED33)/3</f>
        <v>0.63126669297692672</v>
      </c>
      <c r="ER33" s="32">
        <f t="shared" ref="ER33:ER59" si="175">(DE33+DR33+EE33)/3</f>
        <v>0.77141866792586489</v>
      </c>
      <c r="ES33" s="32">
        <f t="shared" ref="ES33:ES59" si="176">(DF33+DS33+EF33)/3</f>
        <v>0.81301180171738319</v>
      </c>
      <c r="ET33" s="32">
        <f t="shared" ref="ET33:ET59" si="177">(DG33+DT33+EG33)/3</f>
        <v>0.87677905519157651</v>
      </c>
      <c r="EU33" s="32">
        <f t="shared" ref="EU33:EU59" si="178">(DH33+DU33+EH33)/3</f>
        <v>0.95906341446410381</v>
      </c>
      <c r="EV33" s="32">
        <f t="shared" ref="EV33:EV59" si="179">(DI33+DV33+EI33)/3</f>
        <v>1</v>
      </c>
      <c r="EX33" s="32">
        <f t="shared" ref="EX33:EX60" si="180">(DK33+DX33+CX33+CK33)/4</f>
        <v>0.14965362736385945</v>
      </c>
      <c r="EY33" s="32">
        <f t="shared" ref="EY33:EY60" si="181">(DL33+DY33+CY33+CL33)/4</f>
        <v>0.24667570459559227</v>
      </c>
      <c r="EZ33" s="32">
        <f t="shared" ref="EZ33:EZ60" si="182">(DM33+DZ33+CZ33+CM33)/4</f>
        <v>0.31750247786179792</v>
      </c>
      <c r="FA33" s="32">
        <f t="shared" ref="FA33:FA60" si="183">(DN33+EA33+DA33+CN33)/4</f>
        <v>0.38139994585898523</v>
      </c>
      <c r="FB33" s="32">
        <f t="shared" ref="FB33:FB60" si="184">(DO33+EB33+DB33+CO33)/4</f>
        <v>0.47340063524752712</v>
      </c>
      <c r="FC33" s="32">
        <f t="shared" ref="FC33:FC60" si="185">(DP33+EC33+DC33+CP33)/4</f>
        <v>0.51515497303317148</v>
      </c>
      <c r="FD33" s="32">
        <f t="shared" ref="FD33:FD60" si="186">(DQ33+ED33+DD33+CQ33)/4</f>
        <v>0.58661630079053007</v>
      </c>
      <c r="FE33" s="32">
        <f t="shared" ref="FE33:FE60" si="187">(DR33+EE33+DE33+CR33)/4</f>
        <v>0.72328336783578062</v>
      </c>
      <c r="FF33" s="32">
        <f t="shared" ref="FF33:FF60" si="188">(DS33+EF33+DF33+CS33)/4</f>
        <v>0.77638451974688993</v>
      </c>
      <c r="FG33" s="32">
        <f t="shared" ref="FG33:FG60" si="189">(DT33+EG33+DG33+CT33)/4</f>
        <v>0.8830210802816485</v>
      </c>
      <c r="FH33" s="32">
        <f t="shared" ref="FH33:FH60" si="190">(DU33+EH33+DH33+CU33)/4</f>
        <v>0.95408148976124774</v>
      </c>
      <c r="FI33" s="32">
        <f t="shared" ref="FI33:FI60" si="191">(DV33+EI33+DI33+CV33)/4</f>
        <v>1</v>
      </c>
      <c r="FK33" s="32">
        <f>(DK33+CX33+CK33)/3</f>
        <v>0.13172868086611497</v>
      </c>
      <c r="FL33" s="32">
        <f t="shared" ref="FL33:FL60" si="192">(DL33+CY33+CL33)/3</f>
        <v>0.22900070737239889</v>
      </c>
      <c r="FM33" s="32">
        <f t="shared" ref="FM33:FM60" si="193">(DM33+CZ33+CM33)/3</f>
        <v>0.3096381753991379</v>
      </c>
      <c r="FN33" s="32">
        <f t="shared" ref="FN33:FN60" si="194">(DN33+DA33+CN33)/3</f>
        <v>0.36622659289656689</v>
      </c>
      <c r="FO33" s="32">
        <f t="shared" ref="FO33:FO60" si="195">(DO33+DB33+CO33)/3</f>
        <v>0.44860216042303985</v>
      </c>
      <c r="FP33" s="32">
        <f t="shared" ref="FP33:FP60" si="196">(DP33+DC33+CP33)/3</f>
        <v>0.49640370439304959</v>
      </c>
      <c r="FQ33" s="32">
        <f t="shared" ref="FQ33:FQ60" si="197">(DQ33+DD33+CQ33)/3</f>
        <v>0.56156541307196839</v>
      </c>
      <c r="FR33" s="32">
        <f t="shared" ref="FR33:FR60" si="198">(DR33+DE33+CR33)/3</f>
        <v>0.70379452051530222</v>
      </c>
      <c r="FS33" s="32">
        <f t="shared" ref="FS33:FS60" si="199">(DS33+DF33+CS33)/3</f>
        <v>0.75423859391958281</v>
      </c>
      <c r="FT33" s="32">
        <f t="shared" ref="FT33:FT60" si="200">(DT33+DG33+CT33)/3</f>
        <v>0.87071071904730346</v>
      </c>
      <c r="FU33" s="32">
        <f t="shared" ref="FU33:FU60" si="201">(DU33+DH33+CU33)/3</f>
        <v>0.94416182981925745</v>
      </c>
      <c r="FV33" s="32">
        <f t="shared" ref="FV33:FV60" si="202">(DV33+DI33+CV33)/3</f>
        <v>1</v>
      </c>
      <c r="FX33" s="32">
        <f>(CX33+CK33+BX33)/3</f>
        <v>0.1263159219283605</v>
      </c>
      <c r="FY33" s="32">
        <f t="shared" ref="FY33:FY60" si="203">(CY33+CL33+BY33)/3</f>
        <v>0.23355860224171821</v>
      </c>
      <c r="FZ33" s="32">
        <f t="shared" ref="FZ33:FZ60" si="204">(CZ33+CM33+BZ33)/3</f>
        <v>0.30381795990629645</v>
      </c>
      <c r="GA33" s="32">
        <f t="shared" ref="GA33:GA60" si="205">(DA33+CN33+CA33)/3</f>
        <v>0.37151228437941369</v>
      </c>
      <c r="GB33" s="32">
        <f t="shared" ref="GB33:GB60" si="206">(DB33+CO33+CB33)/3</f>
        <v>0.43934132145714688</v>
      </c>
      <c r="GC33" s="32">
        <f t="shared" ref="GC33:GC60" si="207">(DC33+CP33+CC33)/3</f>
        <v>0.50754773588301538</v>
      </c>
      <c r="GD33" s="32">
        <f t="shared" ref="GD33:GD60" si="208">(DD33+CQ33+CD33)/3</f>
        <v>0.57563958400753479</v>
      </c>
      <c r="GE33" s="32">
        <f t="shared" ref="GE33:GE60" si="209">(DE33+CR33+CE33)/3</f>
        <v>0.69907661238357244</v>
      </c>
      <c r="GF33" s="32">
        <f t="shared" ref="GF33:GF60" si="210">(DF33+CS33+CF33)/3</f>
        <v>0.78609123188271413</v>
      </c>
      <c r="GG33" s="32">
        <f t="shared" ref="GG33:GG60" si="211">(DG33+CT33+CG33)/3</f>
        <v>0.89708212578893676</v>
      </c>
      <c r="GH33" s="32">
        <f t="shared" ref="GH33:GH60" si="212">(DH33+CU33+CH33)/3</f>
        <v>0.94500246003701305</v>
      </c>
      <c r="GI33" s="32">
        <f t="shared" ref="GI33:GI60" si="213">(DI33+CV33+CI33)/3</f>
        <v>1</v>
      </c>
    </row>
    <row r="34" spans="1:191">
      <c r="A34" s="724" t="s">
        <v>78</v>
      </c>
      <c r="B34" s="399">
        <v>39097.050000000003</v>
      </c>
      <c r="C34" s="400">
        <v>27626.979999999996</v>
      </c>
      <c r="D34" s="400">
        <v>38290.900000000009</v>
      </c>
      <c r="E34" s="400">
        <v>25164.62</v>
      </c>
      <c r="F34" s="400">
        <v>31348.04</v>
      </c>
      <c r="G34" s="400">
        <v>25528.71</v>
      </c>
      <c r="H34" s="400">
        <v>21126.74</v>
      </c>
      <c r="I34" s="400">
        <v>19219.759999999998</v>
      </c>
      <c r="J34" s="400">
        <v>20407.180000000004</v>
      </c>
      <c r="K34" s="400">
        <v>24406.690000000002</v>
      </c>
      <c r="L34" s="400">
        <v>17469.379999999997</v>
      </c>
      <c r="M34" s="400">
        <v>19484.679999999997</v>
      </c>
      <c r="N34" s="400">
        <f t="shared" si="142"/>
        <v>309170.73</v>
      </c>
      <c r="P34" s="396" t="s">
        <v>78</v>
      </c>
      <c r="Q34" s="399">
        <v>31408.05</v>
      </c>
      <c r="R34" s="400">
        <v>20580.86</v>
      </c>
      <c r="S34" s="400">
        <v>17213.419999999998</v>
      </c>
      <c r="T34" s="400">
        <v>13098.6</v>
      </c>
      <c r="U34" s="400">
        <v>10887.79</v>
      </c>
      <c r="V34" s="400">
        <v>13742.92</v>
      </c>
      <c r="W34" s="400">
        <v>17675.32</v>
      </c>
      <c r="X34" s="400">
        <v>18086.22</v>
      </c>
      <c r="Y34" s="400">
        <v>17212.409999999996</v>
      </c>
      <c r="Z34" s="400">
        <v>32616.930000000004</v>
      </c>
      <c r="AA34" s="400">
        <v>14326.97</v>
      </c>
      <c r="AB34" s="400">
        <v>21415.090000000004</v>
      </c>
      <c r="AC34" s="400">
        <f t="shared" si="143"/>
        <v>228264.58</v>
      </c>
      <c r="AE34" s="127" t="s">
        <v>78</v>
      </c>
      <c r="AF34" s="27">
        <v>12368.1</v>
      </c>
      <c r="AG34" s="27">
        <v>17107.48</v>
      </c>
      <c r="AH34" s="27">
        <v>10427.65</v>
      </c>
      <c r="AI34" s="27">
        <v>7761.9</v>
      </c>
      <c r="AJ34" s="27">
        <v>10202.540000000001</v>
      </c>
      <c r="AK34" s="27">
        <v>9152.82</v>
      </c>
      <c r="AL34" s="27">
        <v>7968.83</v>
      </c>
      <c r="AM34" s="27">
        <v>8482.01</v>
      </c>
      <c r="AN34" s="27">
        <v>9364.16</v>
      </c>
      <c r="AO34" s="27">
        <v>13924.46</v>
      </c>
      <c r="AP34" s="27">
        <v>13047.52</v>
      </c>
      <c r="AQ34" s="27">
        <v>15581.2</v>
      </c>
      <c r="AR34" s="43">
        <f t="shared" si="144"/>
        <v>135388.67000000001</v>
      </c>
      <c r="AT34" s="60" t="s">
        <v>78</v>
      </c>
      <c r="AU34" s="27">
        <v>19817.459999999995</v>
      </c>
      <c r="AV34" s="27">
        <v>11696.830000000002</v>
      </c>
      <c r="AW34" s="27">
        <v>8679.9699999999975</v>
      </c>
      <c r="AX34" s="27">
        <v>7434.8300000000017</v>
      </c>
      <c r="AY34" s="27">
        <v>9516.2400000000071</v>
      </c>
      <c r="AZ34" s="27">
        <v>5826</v>
      </c>
      <c r="BA34" s="27">
        <v>4521.1600000000017</v>
      </c>
      <c r="BB34" s="27">
        <v>7166.13</v>
      </c>
      <c r="BC34" s="27">
        <v>4947.6499999999996</v>
      </c>
      <c r="BD34" s="27">
        <v>3740.82</v>
      </c>
      <c r="BE34" s="27">
        <v>3044.56</v>
      </c>
      <c r="BF34" s="27">
        <v>6203.24</v>
      </c>
      <c r="BG34" s="43">
        <f t="shared" si="2"/>
        <v>92594.890000000014</v>
      </c>
      <c r="BI34" s="60" t="s">
        <v>78</v>
      </c>
      <c r="BJ34" s="27">
        <v>8899.9900000000016</v>
      </c>
      <c r="BK34" s="27">
        <v>13869.910000000003</v>
      </c>
      <c r="BL34" s="27">
        <v>8620.6100000000042</v>
      </c>
      <c r="BM34" s="27">
        <v>7676.5400000000027</v>
      </c>
      <c r="BN34" s="27">
        <v>10707.779999999999</v>
      </c>
      <c r="BO34" s="27">
        <v>7782.4900000000016</v>
      </c>
      <c r="BP34" s="27">
        <v>5573.98</v>
      </c>
      <c r="BQ34" s="27">
        <v>6146.65</v>
      </c>
      <c r="BR34" s="27">
        <v>5282.96</v>
      </c>
      <c r="BS34" s="27">
        <v>5117.9000000000015</v>
      </c>
      <c r="BT34" s="27">
        <v>8552.6900000000023</v>
      </c>
      <c r="BU34" s="27">
        <v>5251.1099999999988</v>
      </c>
      <c r="BV34" s="43">
        <f t="shared" si="52"/>
        <v>93482.61</v>
      </c>
      <c r="BW34" s="405"/>
      <c r="BX34" s="32">
        <f t="shared" ref="BX34:BX59" si="214">B34/$N34</f>
        <v>0.12645779889965653</v>
      </c>
      <c r="BY34" s="32">
        <f t="shared" ref="BY34:BY59" si="215">SUM(B34:C34)/$N34</f>
        <v>0.21581612851902249</v>
      </c>
      <c r="BZ34" s="32">
        <f t="shared" ref="BZ34:BZ59" si="216">SUM(B34:D34)/$N34</f>
        <v>0.33966646842668458</v>
      </c>
      <c r="CA34" s="32">
        <f t="shared" ref="CA34:CA59" si="217">SUM(B34:E34)/$N34</f>
        <v>0.42106039598250461</v>
      </c>
      <c r="CB34" s="32">
        <f t="shared" ref="CB34:CB59" si="218">SUM(B34:F34)/$N34</f>
        <v>0.52245434100440236</v>
      </c>
      <c r="CC34" s="32">
        <f t="shared" ref="CC34:CC59" si="219">SUM(B34:G34)/$N34</f>
        <v>0.6050259026784327</v>
      </c>
      <c r="CD34" s="32">
        <f t="shared" ref="CD34:CD59" si="220">SUM(B34:H34)/$N34</f>
        <v>0.67335947358276771</v>
      </c>
      <c r="CE34" s="32">
        <f t="shared" ref="CE34:CE59" si="221">SUM(B34:I34)/$N34</f>
        <v>0.73552499617282663</v>
      </c>
      <c r="CF34" s="32">
        <f t="shared" ref="CF34:CF59" si="222">SUM(B34:J34)/$N34</f>
        <v>0.8015311798759216</v>
      </c>
      <c r="CG34" s="32">
        <f t="shared" ref="CG34:CG59" si="223">SUM(B34:K34)/$N34</f>
        <v>0.8804736140449001</v>
      </c>
      <c r="CH34" s="32">
        <f t="shared" ref="CH34:CH59" si="224">SUM(B34:L34)/$N34</f>
        <v>0.93697760457466339</v>
      </c>
      <c r="CI34" s="32">
        <f t="shared" ref="CI34:CI59" si="225">SUM(B34:M34)/$N34</f>
        <v>1</v>
      </c>
      <c r="CJ34" s="405"/>
      <c r="CK34" s="32">
        <f t="shared" ref="CK34:CK59" si="226">Q34/$AC34</f>
        <v>0.13759493479014573</v>
      </c>
      <c r="CL34" s="32">
        <f t="shared" ref="CL34:CL59" si="227">SUM(Q34:R34)/$AC34</f>
        <v>0.22775723679950699</v>
      </c>
      <c r="CM34" s="32">
        <f t="shared" ref="CM34:CM59" si="228">SUM(Q34:S34)/$AC34</f>
        <v>0.3031671843261885</v>
      </c>
      <c r="CN34" s="32">
        <f t="shared" ref="CN34:CN59" si="229">SUM(Q34:T34)/$AC34</f>
        <v>0.36055059440233789</v>
      </c>
      <c r="CO34" s="32">
        <f t="shared" ref="CO34:CO59" si="230">SUM(Q34:U34)/$AC34</f>
        <v>0.40824870858194473</v>
      </c>
      <c r="CP34" s="32">
        <f t="shared" ref="CP34:CP59" si="231">SUM(Q34:V34)/$AC34</f>
        <v>0.46845480801270178</v>
      </c>
      <c r="CQ34" s="32">
        <f t="shared" ref="CQ34:CQ59" si="232">SUM(Q34:W34)/$AC34</f>
        <v>0.54588828455119931</v>
      </c>
      <c r="CR34" s="32">
        <f t="shared" ref="CR34:CR59" si="233">SUM(Q34:X34)/$AC34</f>
        <v>0.62512186516190993</v>
      </c>
      <c r="CS34" s="32">
        <f t="shared" ref="CS34:CS59" si="234">SUM(Q34:Y34)/$AC34</f>
        <v>0.70052738799861114</v>
      </c>
      <c r="CT34" s="32">
        <f t="shared" ref="CT34:CT59" si="235">SUM(Q34:Z34)/$AC34</f>
        <v>0.84341828241595784</v>
      </c>
      <c r="CU34" s="32">
        <f t="shared" ref="CU34:CU59" si="236">SUM(Q34:AA34)/$AC34</f>
        <v>0.90618303549328594</v>
      </c>
      <c r="CV34" s="32">
        <f t="shared" ref="CV34:CV59" si="237">SUM(Q34:AB34)/$AC34</f>
        <v>1</v>
      </c>
      <c r="CX34" s="32">
        <f t="shared" ref="CX34:CX59" si="238">AF34/$AR34</f>
        <v>9.1352548185900634E-2</v>
      </c>
      <c r="CY34" s="32">
        <f t="shared" ref="CY34:CY59" si="239">SUM(AF34:AG34)/$AR34</f>
        <v>0.21771083208070513</v>
      </c>
      <c r="CZ34" s="32">
        <f t="shared" ref="CZ34:CZ59" si="240">SUM(AF34:AH34)/$AR34</f>
        <v>0.29473094018871743</v>
      </c>
      <c r="DA34" s="32">
        <f t="shared" ref="DA34:DA59" si="241">SUM(AF34:AI34)/$AR34</f>
        <v>0.35206143911451382</v>
      </c>
      <c r="DB34" s="32">
        <f t="shared" ref="DB34:DB59" si="242">SUM(AF34:AJ34)/$AR34</f>
        <v>0.42741885270015578</v>
      </c>
      <c r="DC34" s="32">
        <f t="shared" ref="DC34:DC59" si="243">SUM(AF34:AK34)/$AR34</f>
        <v>0.49502288485439733</v>
      </c>
      <c r="DD34" s="32">
        <f t="shared" ref="DD34:DD59" si="244">SUM(AF34:AL34)/$AR34</f>
        <v>0.55388179823319039</v>
      </c>
      <c r="DE34" s="32">
        <f t="shared" ref="DE34:DE59" si="245">SUM(AF34:AM34)/$AR34</f>
        <v>0.61653113218410371</v>
      </c>
      <c r="DF34" s="32">
        <f t="shared" ref="DF34:DF59" si="246">SUM(AF34:AN34)/$AR34</f>
        <v>0.6856961516794573</v>
      </c>
      <c r="DG34" s="32">
        <f t="shared" ref="DG34:DG59" si="247">SUM(AF34:AO34)/$AR34</f>
        <v>0.78854419649738783</v>
      </c>
      <c r="DH34" s="32">
        <f t="shared" ref="DH34:DH59" si="248">SUM(AF34:AP34)/$AR34</f>
        <v>0.88491503757293721</v>
      </c>
      <c r="DI34" s="32">
        <f t="shared" ref="DI34:DI59" si="249">SUM(AF34:AQ34)/$AR34</f>
        <v>1</v>
      </c>
      <c r="DK34" s="32">
        <f t="shared" si="145"/>
        <v>0.21402325765493099</v>
      </c>
      <c r="DL34" s="32">
        <f t="shared" si="146"/>
        <v>0.34034588733784327</v>
      </c>
      <c r="DM34" s="32">
        <f t="shared" si="147"/>
        <v>0.4340872374274648</v>
      </c>
      <c r="DN34" s="32">
        <f t="shared" si="148"/>
        <v>0.51438140916847563</v>
      </c>
      <c r="DO34" s="32">
        <f t="shared" si="149"/>
        <v>0.61715425116871991</v>
      </c>
      <c r="DP34" s="32">
        <f t="shared" si="150"/>
        <v>0.68007349001656558</v>
      </c>
      <c r="DQ34" s="32">
        <f t="shared" si="151"/>
        <v>0.72890080651318878</v>
      </c>
      <c r="DR34" s="32">
        <f t="shared" si="152"/>
        <v>0.8062930902558445</v>
      </c>
      <c r="DS34" s="32">
        <f t="shared" si="153"/>
        <v>0.85972638446894845</v>
      </c>
      <c r="DT34" s="32">
        <f t="shared" si="154"/>
        <v>0.90012623806778103</v>
      </c>
      <c r="DU34" s="32">
        <f t="shared" si="155"/>
        <v>0.93300667023849804</v>
      </c>
      <c r="DV34" s="32">
        <f t="shared" si="156"/>
        <v>1</v>
      </c>
      <c r="DW34" s="39"/>
      <c r="DX34" s="32">
        <f t="shared" si="157"/>
        <v>9.5204765891752502E-2</v>
      </c>
      <c r="DY34" s="32">
        <f t="shared" si="158"/>
        <v>0.24357364433877066</v>
      </c>
      <c r="DZ34" s="32">
        <f t="shared" si="159"/>
        <v>0.33578983299674675</v>
      </c>
      <c r="EA34" s="32">
        <f t="shared" si="160"/>
        <v>0.41790713802278318</v>
      </c>
      <c r="EB34" s="32">
        <f t="shared" si="161"/>
        <v>0.53245015302846177</v>
      </c>
      <c r="EC34" s="32">
        <f t="shared" si="162"/>
        <v>0.615700823928643</v>
      </c>
      <c r="ED34" s="32">
        <f t="shared" si="163"/>
        <v>0.6753266730571601</v>
      </c>
      <c r="EE34" s="32">
        <f t="shared" si="164"/>
        <v>0.74107847438149188</v>
      </c>
      <c r="EF34" s="32">
        <f t="shared" si="165"/>
        <v>0.79759123113913921</v>
      </c>
      <c r="EG34" s="32">
        <f t="shared" si="166"/>
        <v>0.85233831190635345</v>
      </c>
      <c r="EH34" s="32">
        <f t="shared" si="167"/>
        <v>0.94382794832108341</v>
      </c>
      <c r="EI34" s="32">
        <f t="shared" si="168"/>
        <v>1</v>
      </c>
      <c r="EK34" s="32">
        <f t="shared" ref="EK34:EK59" si="250">(CX34+DK34+DX34)/3</f>
        <v>0.13352685724419469</v>
      </c>
      <c r="EL34" s="32">
        <f t="shared" si="169"/>
        <v>0.26721012125243965</v>
      </c>
      <c r="EM34" s="32">
        <f t="shared" si="170"/>
        <v>0.35486933687097633</v>
      </c>
      <c r="EN34" s="32">
        <f t="shared" si="171"/>
        <v>0.42811666210192417</v>
      </c>
      <c r="EO34" s="32">
        <f t="shared" si="172"/>
        <v>0.52567441896577916</v>
      </c>
      <c r="EP34" s="32">
        <f t="shared" si="173"/>
        <v>0.59693239959986866</v>
      </c>
      <c r="EQ34" s="32">
        <f t="shared" si="174"/>
        <v>0.65270309260117976</v>
      </c>
      <c r="ER34" s="32">
        <f t="shared" si="175"/>
        <v>0.72130089894048</v>
      </c>
      <c r="ES34" s="32">
        <f t="shared" si="176"/>
        <v>0.78100458909584836</v>
      </c>
      <c r="ET34" s="32">
        <f t="shared" si="177"/>
        <v>0.84700291549050755</v>
      </c>
      <c r="EU34" s="32">
        <f t="shared" si="178"/>
        <v>0.9205832187108397</v>
      </c>
      <c r="EV34" s="32">
        <f t="shared" si="179"/>
        <v>1</v>
      </c>
      <c r="EX34" s="32">
        <f t="shared" si="180"/>
        <v>0.13454387663068246</v>
      </c>
      <c r="EY34" s="32">
        <f t="shared" si="181"/>
        <v>0.25734690013920647</v>
      </c>
      <c r="EZ34" s="32">
        <f t="shared" si="182"/>
        <v>0.34194379873477937</v>
      </c>
      <c r="FA34" s="32">
        <f t="shared" si="183"/>
        <v>0.41122514517702763</v>
      </c>
      <c r="FB34" s="32">
        <f t="shared" si="184"/>
        <v>0.49631799136982047</v>
      </c>
      <c r="FC34" s="32">
        <f t="shared" si="185"/>
        <v>0.56481300170307702</v>
      </c>
      <c r="FD34" s="32">
        <f t="shared" si="186"/>
        <v>0.62599939058868459</v>
      </c>
      <c r="FE34" s="32">
        <f t="shared" si="187"/>
        <v>0.69725614049583751</v>
      </c>
      <c r="FF34" s="32">
        <f t="shared" si="188"/>
        <v>0.76088528882153894</v>
      </c>
      <c r="FG34" s="32">
        <f t="shared" si="189"/>
        <v>0.84610675722187012</v>
      </c>
      <c r="FH34" s="32">
        <f t="shared" si="190"/>
        <v>0.91698317290645115</v>
      </c>
      <c r="FI34" s="32">
        <f t="shared" si="191"/>
        <v>1</v>
      </c>
      <c r="FK34" s="32">
        <f t="shared" ref="FK34:FK60" si="251">(DK34+CX34+CK34)/3</f>
        <v>0.14765691354365912</v>
      </c>
      <c r="FL34" s="32">
        <f t="shared" si="192"/>
        <v>0.26193798540601848</v>
      </c>
      <c r="FM34" s="32">
        <f t="shared" si="193"/>
        <v>0.34399512064745691</v>
      </c>
      <c r="FN34" s="32">
        <f t="shared" si="194"/>
        <v>0.40899781422844245</v>
      </c>
      <c r="FO34" s="32">
        <f t="shared" si="195"/>
        <v>0.48427393748360686</v>
      </c>
      <c r="FP34" s="32">
        <f t="shared" si="196"/>
        <v>0.54785039429455484</v>
      </c>
      <c r="FQ34" s="32">
        <f t="shared" si="197"/>
        <v>0.60955696309919283</v>
      </c>
      <c r="FR34" s="32">
        <f t="shared" si="198"/>
        <v>0.68264869586728594</v>
      </c>
      <c r="FS34" s="32">
        <f t="shared" si="199"/>
        <v>0.74864997471567241</v>
      </c>
      <c r="FT34" s="32">
        <f t="shared" si="200"/>
        <v>0.84402957232704223</v>
      </c>
      <c r="FU34" s="32">
        <f t="shared" si="201"/>
        <v>0.90803491443490714</v>
      </c>
      <c r="FV34" s="32">
        <f t="shared" si="202"/>
        <v>1</v>
      </c>
      <c r="FX34" s="32">
        <f t="shared" ref="FX34:FX60" si="252">(CX34+CK34+BX34)/3</f>
        <v>0.11846842729190095</v>
      </c>
      <c r="FY34" s="32">
        <f t="shared" si="203"/>
        <v>0.22042806579974486</v>
      </c>
      <c r="FZ34" s="32">
        <f t="shared" si="204"/>
        <v>0.3125215309805302</v>
      </c>
      <c r="GA34" s="32">
        <f t="shared" si="205"/>
        <v>0.37789080983311879</v>
      </c>
      <c r="GB34" s="32">
        <f t="shared" si="206"/>
        <v>0.45270730076216764</v>
      </c>
      <c r="GC34" s="32">
        <f t="shared" si="207"/>
        <v>0.52283453184851059</v>
      </c>
      <c r="GD34" s="32">
        <f t="shared" si="208"/>
        <v>0.5910431854557191</v>
      </c>
      <c r="GE34" s="32">
        <f t="shared" si="209"/>
        <v>0.65905933117294679</v>
      </c>
      <c r="GF34" s="32">
        <f t="shared" si="210"/>
        <v>0.72925157318466338</v>
      </c>
      <c r="GG34" s="32">
        <f t="shared" si="211"/>
        <v>0.83747869765274852</v>
      </c>
      <c r="GH34" s="32">
        <f t="shared" si="212"/>
        <v>0.90935855921362885</v>
      </c>
      <c r="GI34" s="32">
        <f t="shared" si="213"/>
        <v>1</v>
      </c>
    </row>
    <row r="35" spans="1:191">
      <c r="A35" s="724" t="s">
        <v>79</v>
      </c>
      <c r="B35" s="399">
        <v>9382.2200000000012</v>
      </c>
      <c r="C35" s="400">
        <v>7327.09</v>
      </c>
      <c r="D35" s="400">
        <v>8624.369999999999</v>
      </c>
      <c r="E35" s="400">
        <v>5875.4100000000026</v>
      </c>
      <c r="F35" s="400">
        <v>10698.81</v>
      </c>
      <c r="G35" s="400">
        <v>9451.11</v>
      </c>
      <c r="H35" s="400">
        <v>6845.3599999999988</v>
      </c>
      <c r="I35" s="400">
        <v>3030.630000000001</v>
      </c>
      <c r="J35" s="400">
        <v>10740.03</v>
      </c>
      <c r="K35" s="400">
        <v>3750.3900000000003</v>
      </c>
      <c r="L35" s="400">
        <v>4287.1999999999989</v>
      </c>
      <c r="M35" s="400">
        <v>3265.6800000000003</v>
      </c>
      <c r="N35" s="400">
        <f t="shared" si="142"/>
        <v>83278.299999999988</v>
      </c>
      <c r="P35" s="396" t="s">
        <v>79</v>
      </c>
      <c r="Q35" s="399">
        <v>8091.96</v>
      </c>
      <c r="R35" s="400">
        <v>7125.05</v>
      </c>
      <c r="S35" s="400">
        <v>4899.82</v>
      </c>
      <c r="T35" s="400">
        <v>3849.3</v>
      </c>
      <c r="U35" s="400">
        <v>3770.22</v>
      </c>
      <c r="V35" s="400">
        <v>4705.2700000000004</v>
      </c>
      <c r="W35" s="400">
        <v>8476.5499999999993</v>
      </c>
      <c r="X35" s="400">
        <v>9320.9500000000007</v>
      </c>
      <c r="Y35" s="400">
        <v>5645.4800000000014</v>
      </c>
      <c r="Z35" s="400">
        <v>12605.029999999999</v>
      </c>
      <c r="AA35" s="400">
        <v>5968.16</v>
      </c>
      <c r="AB35" s="400">
        <v>3357.16</v>
      </c>
      <c r="AC35" s="400">
        <f t="shared" si="143"/>
        <v>77814.950000000012</v>
      </c>
      <c r="AE35" s="127" t="s">
        <v>79</v>
      </c>
      <c r="AF35" s="27">
        <v>10942.06</v>
      </c>
      <c r="AG35" s="27">
        <v>6299.66</v>
      </c>
      <c r="AH35" s="27">
        <v>5770.28</v>
      </c>
      <c r="AI35" s="27">
        <v>6709.38</v>
      </c>
      <c r="AJ35" s="27">
        <v>5416.29</v>
      </c>
      <c r="AK35" s="27">
        <v>4288.71</v>
      </c>
      <c r="AL35" s="27">
        <v>5234.7</v>
      </c>
      <c r="AM35" s="27">
        <v>4041.3</v>
      </c>
      <c r="AN35" s="27">
        <v>3869.94</v>
      </c>
      <c r="AO35" s="27">
        <v>2898.54</v>
      </c>
      <c r="AP35" s="27">
        <v>2645.21</v>
      </c>
      <c r="AQ35" s="27">
        <v>3289.62</v>
      </c>
      <c r="AR35" s="43">
        <f t="shared" si="144"/>
        <v>61405.69</v>
      </c>
      <c r="AT35" s="60" t="s">
        <v>79</v>
      </c>
      <c r="AU35" s="27">
        <v>2839.2399999999975</v>
      </c>
      <c r="AV35" s="27">
        <v>3464.380000000001</v>
      </c>
      <c r="AW35" s="27">
        <v>1699.489999999998</v>
      </c>
      <c r="AX35" s="27">
        <v>2442.2600000000002</v>
      </c>
      <c r="AY35" s="27">
        <v>2737.6900000000005</v>
      </c>
      <c r="AZ35" s="27">
        <v>1461.68</v>
      </c>
      <c r="BA35" s="27">
        <v>3767.8700000000003</v>
      </c>
      <c r="BB35" s="27">
        <v>1717.91</v>
      </c>
      <c r="BC35" s="27">
        <v>2265.3000000000002</v>
      </c>
      <c r="BD35" s="27">
        <v>3945.2699999999995</v>
      </c>
      <c r="BE35" s="27">
        <v>3771.18</v>
      </c>
      <c r="BF35" s="27">
        <v>2450.7799999999997</v>
      </c>
      <c r="BG35" s="43">
        <f t="shared" si="2"/>
        <v>32563.049999999996</v>
      </c>
      <c r="BI35" s="60" t="s">
        <v>79</v>
      </c>
      <c r="BJ35" s="27">
        <v>2086.0799999999995</v>
      </c>
      <c r="BK35" s="27">
        <v>1246.8000000000011</v>
      </c>
      <c r="BL35" s="27">
        <v>3160.1400000000003</v>
      </c>
      <c r="BM35" s="27">
        <v>1215.8999999999987</v>
      </c>
      <c r="BN35" s="27">
        <v>977.20000000000027</v>
      </c>
      <c r="BO35" s="27">
        <v>1571.65</v>
      </c>
      <c r="BP35" s="27">
        <v>628.12999999999943</v>
      </c>
      <c r="BQ35" s="27">
        <v>1386.5999999999997</v>
      </c>
      <c r="BR35" s="27">
        <v>1730.9900000000007</v>
      </c>
      <c r="BS35" s="27">
        <v>922.88000000000011</v>
      </c>
      <c r="BT35" s="27">
        <v>1450.7999999999997</v>
      </c>
      <c r="BU35" s="27">
        <v>591.69000000000005</v>
      </c>
      <c r="BV35" s="43">
        <f t="shared" si="52"/>
        <v>16968.859999999997</v>
      </c>
      <c r="BW35" s="405"/>
      <c r="BX35" s="32">
        <f t="shared" si="214"/>
        <v>0.11266104135170869</v>
      </c>
      <c r="BY35" s="32">
        <f t="shared" si="215"/>
        <v>0.20064422544648491</v>
      </c>
      <c r="BZ35" s="32">
        <f t="shared" si="216"/>
        <v>0.30420505701965583</v>
      </c>
      <c r="CA35" s="32">
        <f t="shared" si="217"/>
        <v>0.37475656923832507</v>
      </c>
      <c r="CB35" s="32">
        <f t="shared" si="218"/>
        <v>0.50322713119744289</v>
      </c>
      <c r="CC35" s="32">
        <f t="shared" si="219"/>
        <v>0.6167153988494003</v>
      </c>
      <c r="CD35" s="32">
        <f t="shared" si="220"/>
        <v>0.69891400280745419</v>
      </c>
      <c r="CE35" s="32">
        <f t="shared" si="221"/>
        <v>0.73530559581547661</v>
      </c>
      <c r="CF35" s="32">
        <f t="shared" si="222"/>
        <v>0.86427112465071942</v>
      </c>
      <c r="CG35" s="32">
        <f t="shared" si="223"/>
        <v>0.90930554538217045</v>
      </c>
      <c r="CH35" s="32">
        <f t="shared" si="224"/>
        <v>0.96078594303678155</v>
      </c>
      <c r="CI35" s="32">
        <f t="shared" si="225"/>
        <v>1</v>
      </c>
      <c r="CJ35" s="405"/>
      <c r="CK35" s="32">
        <f t="shared" si="226"/>
        <v>0.10398978602440789</v>
      </c>
      <c r="CL35" s="32">
        <f t="shared" si="227"/>
        <v>0.195553810675198</v>
      </c>
      <c r="CM35" s="32">
        <f t="shared" si="228"/>
        <v>0.25852140237833476</v>
      </c>
      <c r="CN35" s="32">
        <f t="shared" si="229"/>
        <v>0.30798876051452834</v>
      </c>
      <c r="CO35" s="32">
        <f t="shared" si="230"/>
        <v>0.35643986149191126</v>
      </c>
      <c r="CP35" s="32">
        <f t="shared" si="231"/>
        <v>0.41690729095116036</v>
      </c>
      <c r="CQ35" s="32">
        <f t="shared" si="232"/>
        <v>0.5258394434488487</v>
      </c>
      <c r="CR35" s="32">
        <f t="shared" si="233"/>
        <v>0.64562298118806205</v>
      </c>
      <c r="CS35" s="32">
        <f t="shared" si="234"/>
        <v>0.71817305029431988</v>
      </c>
      <c r="CT35" s="32">
        <f t="shared" si="235"/>
        <v>0.88016030338643148</v>
      </c>
      <c r="CU35" s="32">
        <f t="shared" si="236"/>
        <v>0.95685713349427071</v>
      </c>
      <c r="CV35" s="32">
        <f t="shared" si="237"/>
        <v>1</v>
      </c>
      <c r="CX35" s="32">
        <f t="shared" si="238"/>
        <v>0.17819293293504232</v>
      </c>
      <c r="CY35" s="32">
        <f t="shared" si="239"/>
        <v>0.28078375147319412</v>
      </c>
      <c r="CZ35" s="32">
        <f t="shared" si="240"/>
        <v>0.37475354482622047</v>
      </c>
      <c r="DA35" s="32">
        <f t="shared" si="241"/>
        <v>0.48401670920072715</v>
      </c>
      <c r="DB35" s="32">
        <f t="shared" si="242"/>
        <v>0.57222172733504006</v>
      </c>
      <c r="DC35" s="32">
        <f t="shared" si="243"/>
        <v>0.6420639520539545</v>
      </c>
      <c r="DD35" s="32">
        <f t="shared" si="244"/>
        <v>0.72731175237995038</v>
      </c>
      <c r="DE35" s="32">
        <f t="shared" si="245"/>
        <v>0.79312487165277346</v>
      </c>
      <c r="DF35" s="32">
        <f t="shared" si="246"/>
        <v>0.85614737005642305</v>
      </c>
      <c r="DG35" s="32">
        <f t="shared" si="247"/>
        <v>0.90335048755253788</v>
      </c>
      <c r="DH35" s="32">
        <f t="shared" si="248"/>
        <v>0.94642809159867758</v>
      </c>
      <c r="DI35" s="32">
        <f t="shared" si="249"/>
        <v>1</v>
      </c>
      <c r="DK35" s="32">
        <f t="shared" si="145"/>
        <v>8.719207813764368E-2</v>
      </c>
      <c r="DL35" s="32">
        <f t="shared" si="146"/>
        <v>0.19358198940209839</v>
      </c>
      <c r="DM35" s="32">
        <f t="shared" si="147"/>
        <v>0.24577273934720481</v>
      </c>
      <c r="DN35" s="32">
        <f t="shared" si="148"/>
        <v>0.32077369902389358</v>
      </c>
      <c r="DO35" s="32">
        <f t="shared" si="149"/>
        <v>0.40484721179373551</v>
      </c>
      <c r="DP35" s="32">
        <f t="shared" si="150"/>
        <v>0.44973489891149632</v>
      </c>
      <c r="DQ35" s="32">
        <f t="shared" si="151"/>
        <v>0.56544488308066965</v>
      </c>
      <c r="DR35" s="32">
        <f t="shared" si="152"/>
        <v>0.61820130485320013</v>
      </c>
      <c r="DS35" s="32">
        <f t="shared" si="153"/>
        <v>0.68776788415090107</v>
      </c>
      <c r="DT35" s="32">
        <f t="shared" si="154"/>
        <v>0.8089257609468401</v>
      </c>
      <c r="DU35" s="32">
        <f t="shared" si="155"/>
        <v>0.92473739407088718</v>
      </c>
      <c r="DV35" s="32">
        <f t="shared" si="156"/>
        <v>1</v>
      </c>
      <c r="DW35" s="39"/>
      <c r="DX35" s="32">
        <f t="shared" si="157"/>
        <v>0.1229357776538907</v>
      </c>
      <c r="DY35" s="32">
        <f t="shared" si="158"/>
        <v>0.19641154444081696</v>
      </c>
      <c r="DZ35" s="32">
        <f t="shared" si="159"/>
        <v>0.38264326536962423</v>
      </c>
      <c r="EA35" s="32">
        <f t="shared" si="160"/>
        <v>0.45429804948594077</v>
      </c>
      <c r="EB35" s="32">
        <f t="shared" si="161"/>
        <v>0.51188588980049343</v>
      </c>
      <c r="EC35" s="32">
        <f t="shared" si="162"/>
        <v>0.60450554722002536</v>
      </c>
      <c r="ED35" s="32">
        <f t="shared" si="163"/>
        <v>0.64152217650449117</v>
      </c>
      <c r="EE35" s="32">
        <f t="shared" si="164"/>
        <v>0.72323656391767044</v>
      </c>
      <c r="EF35" s="32">
        <f t="shared" si="165"/>
        <v>0.82524636304383447</v>
      </c>
      <c r="EG35" s="32">
        <f t="shared" si="166"/>
        <v>0.87963304547270715</v>
      </c>
      <c r="EH35" s="32">
        <f t="shared" si="167"/>
        <v>0.96513083377433728</v>
      </c>
      <c r="EI35" s="32">
        <f t="shared" si="168"/>
        <v>1</v>
      </c>
      <c r="EK35" s="32">
        <f t="shared" si="250"/>
        <v>0.12944026290885888</v>
      </c>
      <c r="EL35" s="32">
        <f t="shared" si="169"/>
        <v>0.22359242843870317</v>
      </c>
      <c r="EM35" s="32">
        <f t="shared" si="170"/>
        <v>0.33438984984768316</v>
      </c>
      <c r="EN35" s="32">
        <f t="shared" si="171"/>
        <v>0.41969615257018716</v>
      </c>
      <c r="EO35" s="32">
        <f t="shared" si="172"/>
        <v>0.49631827630975628</v>
      </c>
      <c r="EP35" s="32">
        <f t="shared" si="173"/>
        <v>0.56543479939515873</v>
      </c>
      <c r="EQ35" s="32">
        <f t="shared" si="174"/>
        <v>0.6447596039883704</v>
      </c>
      <c r="ER35" s="32">
        <f t="shared" si="175"/>
        <v>0.71152091347454804</v>
      </c>
      <c r="ES35" s="32">
        <f t="shared" si="176"/>
        <v>0.78972053908371953</v>
      </c>
      <c r="ET35" s="32">
        <f t="shared" si="177"/>
        <v>0.86396976465736175</v>
      </c>
      <c r="EU35" s="32">
        <f t="shared" si="178"/>
        <v>0.9454321064813006</v>
      </c>
      <c r="EV35" s="32">
        <f t="shared" si="179"/>
        <v>1</v>
      </c>
      <c r="EX35" s="32">
        <f t="shared" si="180"/>
        <v>0.12307764368774615</v>
      </c>
      <c r="EY35" s="32">
        <f t="shared" si="181"/>
        <v>0.21658277399782688</v>
      </c>
      <c r="EZ35" s="32">
        <f t="shared" si="182"/>
        <v>0.31542273798034604</v>
      </c>
      <c r="FA35" s="32">
        <f t="shared" si="183"/>
        <v>0.39176930455627251</v>
      </c>
      <c r="FB35" s="32">
        <f t="shared" si="184"/>
        <v>0.46134867260529505</v>
      </c>
      <c r="FC35" s="32">
        <f t="shared" si="185"/>
        <v>0.52830292228415909</v>
      </c>
      <c r="FD35" s="32">
        <f t="shared" si="186"/>
        <v>0.61502956385348995</v>
      </c>
      <c r="FE35" s="32">
        <f t="shared" si="187"/>
        <v>0.69504643040292646</v>
      </c>
      <c r="FF35" s="32">
        <f t="shared" si="188"/>
        <v>0.77183366688636967</v>
      </c>
      <c r="FG35" s="32">
        <f t="shared" si="189"/>
        <v>0.86801739933962918</v>
      </c>
      <c r="FH35" s="32">
        <f t="shared" si="190"/>
        <v>0.94828836323454313</v>
      </c>
      <c r="FI35" s="32">
        <f t="shared" si="191"/>
        <v>1</v>
      </c>
      <c r="FK35" s="32">
        <f t="shared" si="251"/>
        <v>0.12312493236569795</v>
      </c>
      <c r="FL35" s="32">
        <f t="shared" si="192"/>
        <v>0.22330651718349684</v>
      </c>
      <c r="FM35" s="32">
        <f t="shared" si="193"/>
        <v>0.29301589551725332</v>
      </c>
      <c r="FN35" s="32">
        <f t="shared" si="194"/>
        <v>0.37092638957971635</v>
      </c>
      <c r="FO35" s="32">
        <f t="shared" si="195"/>
        <v>0.44450293354022891</v>
      </c>
      <c r="FP35" s="32">
        <f t="shared" si="196"/>
        <v>0.50290204730553711</v>
      </c>
      <c r="FQ35" s="32">
        <f t="shared" si="197"/>
        <v>0.60619869296982287</v>
      </c>
      <c r="FR35" s="32">
        <f t="shared" si="198"/>
        <v>0.68564971923134532</v>
      </c>
      <c r="FS35" s="32">
        <f t="shared" si="199"/>
        <v>0.75402943483388141</v>
      </c>
      <c r="FT35" s="32">
        <f t="shared" si="200"/>
        <v>0.86414551729526989</v>
      </c>
      <c r="FU35" s="32">
        <f t="shared" si="201"/>
        <v>0.94267420638794519</v>
      </c>
      <c r="FV35" s="32">
        <f t="shared" si="202"/>
        <v>1</v>
      </c>
      <c r="FX35" s="32">
        <f t="shared" si="252"/>
        <v>0.13161458677038632</v>
      </c>
      <c r="FY35" s="32">
        <f t="shared" si="203"/>
        <v>0.22566059586495901</v>
      </c>
      <c r="FZ35" s="32">
        <f t="shared" si="204"/>
        <v>0.31249333474140367</v>
      </c>
      <c r="GA35" s="32">
        <f t="shared" si="205"/>
        <v>0.38892067965119348</v>
      </c>
      <c r="GB35" s="32">
        <f t="shared" si="206"/>
        <v>0.47729624000813137</v>
      </c>
      <c r="GC35" s="32">
        <f t="shared" si="207"/>
        <v>0.55856221395150507</v>
      </c>
      <c r="GD35" s="32">
        <f t="shared" si="208"/>
        <v>0.65068839954541779</v>
      </c>
      <c r="GE35" s="32">
        <f t="shared" si="209"/>
        <v>0.7246844828854373</v>
      </c>
      <c r="GF35" s="32">
        <f t="shared" si="210"/>
        <v>0.81286384833382075</v>
      </c>
      <c r="GG35" s="32">
        <f t="shared" si="211"/>
        <v>0.89760544544038001</v>
      </c>
      <c r="GH35" s="32">
        <f t="shared" si="212"/>
        <v>0.95469038937657658</v>
      </c>
      <c r="GI35" s="32">
        <f t="shared" si="213"/>
        <v>1</v>
      </c>
    </row>
    <row r="36" spans="1:191">
      <c r="A36" s="724" t="s">
        <v>80</v>
      </c>
      <c r="B36" s="399">
        <v>22115.33</v>
      </c>
      <c r="C36" s="400">
        <v>27041.980000000007</v>
      </c>
      <c r="D36" s="400">
        <v>22844.61</v>
      </c>
      <c r="E36" s="400">
        <v>25133.060000000005</v>
      </c>
      <c r="F36" s="400">
        <v>13815.800000000005</v>
      </c>
      <c r="G36" s="400">
        <v>21362.78</v>
      </c>
      <c r="H36" s="400">
        <v>12023.800000000005</v>
      </c>
      <c r="I36" s="400">
        <v>16208.340000000002</v>
      </c>
      <c r="J36" s="400">
        <v>11664.38</v>
      </c>
      <c r="K36" s="400">
        <v>8013.01</v>
      </c>
      <c r="L36" s="400">
        <v>8361.19</v>
      </c>
      <c r="M36" s="400">
        <v>12106.07</v>
      </c>
      <c r="N36" s="400">
        <f t="shared" si="142"/>
        <v>200690.35000000003</v>
      </c>
      <c r="P36" s="396" t="s">
        <v>80</v>
      </c>
      <c r="Q36" s="399">
        <v>25844.32</v>
      </c>
      <c r="R36" s="400">
        <v>16485.86</v>
      </c>
      <c r="S36" s="400">
        <v>17948.510000000002</v>
      </c>
      <c r="T36" s="400">
        <v>9007.33</v>
      </c>
      <c r="U36" s="400">
        <v>13667.69</v>
      </c>
      <c r="V36" s="400">
        <v>23655.64</v>
      </c>
      <c r="W36" s="400">
        <v>20771.46</v>
      </c>
      <c r="X36" s="400">
        <v>19347.37999999999</v>
      </c>
      <c r="Y36" s="400">
        <v>17419.549999999996</v>
      </c>
      <c r="Z36" s="400">
        <v>25996.240000000005</v>
      </c>
      <c r="AA36" s="400">
        <v>10902.92</v>
      </c>
      <c r="AB36" s="400">
        <v>21578.92</v>
      </c>
      <c r="AC36" s="400">
        <f t="shared" si="143"/>
        <v>222625.82</v>
      </c>
      <c r="AE36" s="127" t="s">
        <v>80</v>
      </c>
      <c r="AF36" s="27">
        <v>17423.650000000001</v>
      </c>
      <c r="AG36" s="27">
        <v>30261.56</v>
      </c>
      <c r="AH36" s="27">
        <v>23846.1</v>
      </c>
      <c r="AI36" s="27">
        <v>21908.959999999999</v>
      </c>
      <c r="AJ36" s="27">
        <v>27415.9</v>
      </c>
      <c r="AK36" s="27">
        <v>17748.060000000001</v>
      </c>
      <c r="AL36" s="27">
        <v>20059.12</v>
      </c>
      <c r="AM36" s="27">
        <v>19757.82</v>
      </c>
      <c r="AN36" s="27">
        <v>13952.76</v>
      </c>
      <c r="AO36" s="27">
        <v>16741.84</v>
      </c>
      <c r="AP36" s="27">
        <v>13368.65</v>
      </c>
      <c r="AQ36" s="27">
        <v>13164.35</v>
      </c>
      <c r="AR36" s="43">
        <f t="shared" si="144"/>
        <v>235648.77</v>
      </c>
      <c r="AT36" s="60" t="s">
        <v>80</v>
      </c>
      <c r="AU36" s="27">
        <v>16051.829999999994</v>
      </c>
      <c r="AV36" s="27">
        <v>10156.150000000001</v>
      </c>
      <c r="AW36" s="27">
        <v>9022.9999999999964</v>
      </c>
      <c r="AX36" s="27">
        <v>7731.58</v>
      </c>
      <c r="AY36" s="27">
        <v>6586.34</v>
      </c>
      <c r="AZ36" s="27">
        <v>7393.67</v>
      </c>
      <c r="BA36" s="27">
        <v>8608.4799999999959</v>
      </c>
      <c r="BB36" s="27">
        <v>8537.56</v>
      </c>
      <c r="BC36" s="27">
        <v>3567.19</v>
      </c>
      <c r="BD36" s="27">
        <v>6809.34</v>
      </c>
      <c r="BE36" s="27">
        <v>4650.1000000000004</v>
      </c>
      <c r="BF36" s="27">
        <v>4853.82</v>
      </c>
      <c r="BG36" s="43">
        <f t="shared" si="2"/>
        <v>93969.06</v>
      </c>
      <c r="BI36" s="60" t="s">
        <v>80</v>
      </c>
      <c r="BJ36" s="27">
        <v>13496.579999999993</v>
      </c>
      <c r="BK36" s="27">
        <v>12678.04</v>
      </c>
      <c r="BL36" s="27">
        <v>9213.99</v>
      </c>
      <c r="BM36" s="27">
        <v>6941.5699999999988</v>
      </c>
      <c r="BN36" s="27">
        <v>7931.889999999994</v>
      </c>
      <c r="BO36" s="27">
        <v>7311.8200000000024</v>
      </c>
      <c r="BP36" s="27">
        <v>7465.3599999999988</v>
      </c>
      <c r="BQ36" s="27">
        <v>9422.4000000000015</v>
      </c>
      <c r="BR36" s="27">
        <v>12750.519999999999</v>
      </c>
      <c r="BS36" s="27">
        <v>8555.2899999999991</v>
      </c>
      <c r="BT36" s="27">
        <v>8548.0400000000027</v>
      </c>
      <c r="BU36" s="27">
        <v>7388.71</v>
      </c>
      <c r="BV36" s="43">
        <f t="shared" si="52"/>
        <v>111704.21</v>
      </c>
      <c r="BW36" s="405"/>
      <c r="BX36" s="32">
        <f t="shared" si="214"/>
        <v>0.11019627999054263</v>
      </c>
      <c r="BY36" s="32">
        <f t="shared" si="215"/>
        <v>0.24494107464559209</v>
      </c>
      <c r="BZ36" s="32">
        <f t="shared" si="216"/>
        <v>0.35877121147080565</v>
      </c>
      <c r="CA36" s="32">
        <f t="shared" si="217"/>
        <v>0.48400423837020562</v>
      </c>
      <c r="CB36" s="32">
        <f t="shared" si="218"/>
        <v>0.55284561514791319</v>
      </c>
      <c r="CC36" s="32">
        <f t="shared" si="219"/>
        <v>0.65929208853340471</v>
      </c>
      <c r="CD36" s="32">
        <f t="shared" si="220"/>
        <v>0.7192042866037156</v>
      </c>
      <c r="CE36" s="32">
        <f t="shared" si="221"/>
        <v>0.79996721317193364</v>
      </c>
      <c r="CF36" s="32">
        <f t="shared" si="222"/>
        <v>0.85808849304413481</v>
      </c>
      <c r="CG36" s="32">
        <f t="shared" si="223"/>
        <v>0.89801572422391007</v>
      </c>
      <c r="CH36" s="32">
        <f t="shared" si="224"/>
        <v>0.93967786692284905</v>
      </c>
      <c r="CI36" s="32">
        <f t="shared" si="225"/>
        <v>1</v>
      </c>
      <c r="CJ36" s="405"/>
      <c r="CK36" s="32">
        <f t="shared" si="226"/>
        <v>0.1160886010436705</v>
      </c>
      <c r="CL36" s="32">
        <f t="shared" si="227"/>
        <v>0.19014047876387383</v>
      </c>
      <c r="CM36" s="32">
        <f t="shared" si="228"/>
        <v>0.27076234912913516</v>
      </c>
      <c r="CN36" s="32">
        <f t="shared" si="229"/>
        <v>0.31122185198464403</v>
      </c>
      <c r="CO36" s="32">
        <f t="shared" si="230"/>
        <v>0.37261495544407203</v>
      </c>
      <c r="CP36" s="32">
        <f t="shared" si="231"/>
        <v>0.47887235182334198</v>
      </c>
      <c r="CQ36" s="32">
        <f t="shared" si="232"/>
        <v>0.57217446745395473</v>
      </c>
      <c r="CR36" s="32">
        <f t="shared" si="233"/>
        <v>0.65907984078396653</v>
      </c>
      <c r="CS36" s="32">
        <f t="shared" si="234"/>
        <v>0.73732570642524742</v>
      </c>
      <c r="CT36" s="32">
        <f t="shared" si="235"/>
        <v>0.85409670809971627</v>
      </c>
      <c r="CU36" s="32">
        <f t="shared" si="236"/>
        <v>0.90307090165911563</v>
      </c>
      <c r="CV36" s="32">
        <f t="shared" si="237"/>
        <v>1</v>
      </c>
      <c r="CX36" s="32">
        <f t="shared" si="238"/>
        <v>7.3939066178872914E-2</v>
      </c>
      <c r="CY36" s="32">
        <f t="shared" si="239"/>
        <v>0.20235713515500212</v>
      </c>
      <c r="CZ36" s="32">
        <f t="shared" si="240"/>
        <v>0.30355053412754923</v>
      </c>
      <c r="DA36" s="32">
        <f t="shared" si="241"/>
        <v>0.39652347856515435</v>
      </c>
      <c r="DB36" s="32">
        <f t="shared" si="242"/>
        <v>0.51286569414302474</v>
      </c>
      <c r="DC36" s="32">
        <f t="shared" si="243"/>
        <v>0.58818142780885296</v>
      </c>
      <c r="DD36" s="32">
        <f t="shared" si="244"/>
        <v>0.67330438431738893</v>
      </c>
      <c r="DE36" s="32">
        <f t="shared" si="245"/>
        <v>0.75714874302123447</v>
      </c>
      <c r="DF36" s="32">
        <f t="shared" si="246"/>
        <v>0.81635872743999471</v>
      </c>
      <c r="DG36" s="32">
        <f t="shared" si="247"/>
        <v>0.88740446215781221</v>
      </c>
      <c r="DH36" s="32">
        <f t="shared" si="248"/>
        <v>0.94413571520021089</v>
      </c>
      <c r="DI36" s="32">
        <f t="shared" si="249"/>
        <v>1</v>
      </c>
      <c r="DK36" s="32">
        <f t="shared" si="145"/>
        <v>0.17082037428064084</v>
      </c>
      <c r="DL36" s="32">
        <f t="shared" si="146"/>
        <v>0.27890009754274436</v>
      </c>
      <c r="DM36" s="32">
        <f t="shared" si="147"/>
        <v>0.3749210644439776</v>
      </c>
      <c r="DN36" s="32">
        <f t="shared" si="148"/>
        <v>0.45719899720184493</v>
      </c>
      <c r="DO36" s="32">
        <f t="shared" si="149"/>
        <v>0.52728951422947079</v>
      </c>
      <c r="DP36" s="32">
        <f t="shared" si="150"/>
        <v>0.6059714761433177</v>
      </c>
      <c r="DQ36" s="32">
        <f t="shared" si="151"/>
        <v>0.69758120385582223</v>
      </c>
      <c r="DR36" s="32">
        <f t="shared" si="152"/>
        <v>0.78843621506908745</v>
      </c>
      <c r="DS36" s="32">
        <f t="shared" si="153"/>
        <v>0.82639753978596775</v>
      </c>
      <c r="DT36" s="32">
        <f t="shared" si="154"/>
        <v>0.89886117834955448</v>
      </c>
      <c r="DU36" s="32">
        <f t="shared" si="155"/>
        <v>0.94834661536467424</v>
      </c>
      <c r="DV36" s="32">
        <f t="shared" si="156"/>
        <v>1</v>
      </c>
      <c r="DW36" s="39"/>
      <c r="DX36" s="32">
        <f t="shared" si="157"/>
        <v>0.12082427331968949</v>
      </c>
      <c r="DY36" s="32">
        <f t="shared" si="158"/>
        <v>0.23432080133774719</v>
      </c>
      <c r="DZ36" s="32">
        <f t="shared" si="159"/>
        <v>0.31680641222027345</v>
      </c>
      <c r="EA36" s="32">
        <f t="shared" si="160"/>
        <v>0.37894883281480607</v>
      </c>
      <c r="EB36" s="32">
        <f t="shared" si="161"/>
        <v>0.44995681004323812</v>
      </c>
      <c r="EC36" s="32">
        <f t="shared" si="162"/>
        <v>0.51541378789572911</v>
      </c>
      <c r="ED36" s="32">
        <f t="shared" si="163"/>
        <v>0.58224528869592274</v>
      </c>
      <c r="EE36" s="32">
        <f t="shared" si="164"/>
        <v>0.66659663051195639</v>
      </c>
      <c r="EF36" s="32">
        <f t="shared" si="165"/>
        <v>0.78074201500552209</v>
      </c>
      <c r="EG36" s="32">
        <f t="shared" si="166"/>
        <v>0.8573308024827353</v>
      </c>
      <c r="EH36" s="32">
        <f t="shared" si="167"/>
        <v>0.93385468640796976</v>
      </c>
      <c r="EI36" s="32">
        <f t="shared" si="168"/>
        <v>1</v>
      </c>
      <c r="EK36" s="32">
        <f t="shared" si="250"/>
        <v>0.12186123792640108</v>
      </c>
      <c r="EL36" s="32">
        <f t="shared" si="169"/>
        <v>0.23852601134516452</v>
      </c>
      <c r="EM36" s="32">
        <f t="shared" si="170"/>
        <v>0.33175933693060006</v>
      </c>
      <c r="EN36" s="32">
        <f t="shared" si="171"/>
        <v>0.41089043619393512</v>
      </c>
      <c r="EO36" s="32">
        <f t="shared" si="172"/>
        <v>0.4967040061385779</v>
      </c>
      <c r="EP36" s="32">
        <f t="shared" si="173"/>
        <v>0.56985556394930004</v>
      </c>
      <c r="EQ36" s="32">
        <f t="shared" si="174"/>
        <v>0.65104362562304463</v>
      </c>
      <c r="ER36" s="32">
        <f t="shared" si="175"/>
        <v>0.73739386286742603</v>
      </c>
      <c r="ES36" s="32">
        <f t="shared" si="176"/>
        <v>0.80783276074382826</v>
      </c>
      <c r="ET36" s="32">
        <f t="shared" si="177"/>
        <v>0.881198814330034</v>
      </c>
      <c r="EU36" s="32">
        <f t="shared" si="178"/>
        <v>0.94211233899095159</v>
      </c>
      <c r="EV36" s="32">
        <f t="shared" si="179"/>
        <v>1</v>
      </c>
      <c r="EX36" s="32">
        <f t="shared" si="180"/>
        <v>0.12041807870571844</v>
      </c>
      <c r="EY36" s="32">
        <f t="shared" si="181"/>
        <v>0.22642962819984189</v>
      </c>
      <c r="EZ36" s="32">
        <f t="shared" si="182"/>
        <v>0.31651008998023383</v>
      </c>
      <c r="FA36" s="32">
        <f t="shared" si="183"/>
        <v>0.3859732901416123</v>
      </c>
      <c r="FB36" s="32">
        <f t="shared" si="184"/>
        <v>0.46568174346495145</v>
      </c>
      <c r="FC36" s="32">
        <f t="shared" si="185"/>
        <v>0.54710976091781038</v>
      </c>
      <c r="FD36" s="32">
        <f t="shared" si="186"/>
        <v>0.63132633608077215</v>
      </c>
      <c r="FE36" s="32">
        <f t="shared" si="187"/>
        <v>0.71781535734656121</v>
      </c>
      <c r="FF36" s="32">
        <f t="shared" si="188"/>
        <v>0.79020599716418294</v>
      </c>
      <c r="FG36" s="32">
        <f t="shared" si="189"/>
        <v>0.87442328777245459</v>
      </c>
      <c r="FH36" s="32">
        <f t="shared" si="190"/>
        <v>0.93235197965799266</v>
      </c>
      <c r="FI36" s="32">
        <f t="shared" si="191"/>
        <v>1</v>
      </c>
      <c r="FK36" s="32">
        <f t="shared" si="251"/>
        <v>0.12028268050106143</v>
      </c>
      <c r="FL36" s="32">
        <f t="shared" si="192"/>
        <v>0.22379923715387343</v>
      </c>
      <c r="FM36" s="32">
        <f t="shared" si="193"/>
        <v>0.31641131590022065</v>
      </c>
      <c r="FN36" s="32">
        <f t="shared" si="194"/>
        <v>0.38831477591721447</v>
      </c>
      <c r="FO36" s="32">
        <f t="shared" si="195"/>
        <v>0.47092338793885591</v>
      </c>
      <c r="FP36" s="32">
        <f t="shared" si="196"/>
        <v>0.55767508525850429</v>
      </c>
      <c r="FQ36" s="32">
        <f t="shared" si="197"/>
        <v>0.64768668520905537</v>
      </c>
      <c r="FR36" s="32">
        <f t="shared" si="198"/>
        <v>0.73488826629142956</v>
      </c>
      <c r="FS36" s="32">
        <f t="shared" si="199"/>
        <v>0.79336065788373666</v>
      </c>
      <c r="FT36" s="32">
        <f t="shared" si="200"/>
        <v>0.88012078286902762</v>
      </c>
      <c r="FU36" s="32">
        <f t="shared" si="201"/>
        <v>0.93185107740800033</v>
      </c>
      <c r="FV36" s="32">
        <f t="shared" si="202"/>
        <v>1</v>
      </c>
      <c r="FX36" s="32">
        <f t="shared" si="252"/>
        <v>0.10007464907102868</v>
      </c>
      <c r="FY36" s="32">
        <f t="shared" si="203"/>
        <v>0.2124795628548227</v>
      </c>
      <c r="FZ36" s="32">
        <f t="shared" si="204"/>
        <v>0.31102803157583003</v>
      </c>
      <c r="GA36" s="32">
        <f t="shared" si="205"/>
        <v>0.39724985630666798</v>
      </c>
      <c r="GB36" s="32">
        <f t="shared" si="206"/>
        <v>0.47944208824500328</v>
      </c>
      <c r="GC36" s="32">
        <f t="shared" si="207"/>
        <v>0.57544862272186659</v>
      </c>
      <c r="GD36" s="32">
        <f t="shared" si="208"/>
        <v>0.65489437945835305</v>
      </c>
      <c r="GE36" s="32">
        <f t="shared" si="209"/>
        <v>0.73873193232571144</v>
      </c>
      <c r="GF36" s="32">
        <f t="shared" si="210"/>
        <v>0.80392430896979228</v>
      </c>
      <c r="GG36" s="32">
        <f t="shared" si="211"/>
        <v>0.87983896482714619</v>
      </c>
      <c r="GH36" s="32">
        <f t="shared" si="212"/>
        <v>0.92896149459405863</v>
      </c>
      <c r="GI36" s="32">
        <f t="shared" si="213"/>
        <v>1</v>
      </c>
    </row>
    <row r="37" spans="1:191">
      <c r="A37" s="724" t="s">
        <v>81</v>
      </c>
      <c r="B37" s="399">
        <v>74675.25</v>
      </c>
      <c r="C37" s="400">
        <v>64162.1</v>
      </c>
      <c r="D37" s="400">
        <v>64670.660000000018</v>
      </c>
      <c r="E37" s="400">
        <v>54995.900000000016</v>
      </c>
      <c r="F37" s="400">
        <v>39977.21</v>
      </c>
      <c r="G37" s="400">
        <v>47575.739999999991</v>
      </c>
      <c r="H37" s="400">
        <v>39448.11</v>
      </c>
      <c r="I37" s="400">
        <v>43200.11</v>
      </c>
      <c r="J37" s="400">
        <v>44811.130000000012</v>
      </c>
      <c r="K37" s="400">
        <v>39636.099999999991</v>
      </c>
      <c r="L37" s="400">
        <v>24406.990000000005</v>
      </c>
      <c r="M37" s="400">
        <v>48665.070000000007</v>
      </c>
      <c r="N37" s="400">
        <f t="shared" si="142"/>
        <v>586224.37000000011</v>
      </c>
      <c r="P37" s="396" t="s">
        <v>81</v>
      </c>
      <c r="Q37" s="399">
        <v>70885.59</v>
      </c>
      <c r="R37" s="400">
        <v>66489.490000000005</v>
      </c>
      <c r="S37" s="400">
        <v>43371.5</v>
      </c>
      <c r="T37" s="400">
        <v>24756.31</v>
      </c>
      <c r="U37" s="400">
        <v>18713.97</v>
      </c>
      <c r="V37" s="400">
        <v>23435.52</v>
      </c>
      <c r="W37" s="400">
        <v>33091.959999999992</v>
      </c>
      <c r="X37" s="400">
        <v>25298.639999999985</v>
      </c>
      <c r="Y37" s="400">
        <v>31256.33</v>
      </c>
      <c r="Z37" s="400">
        <v>65248.47</v>
      </c>
      <c r="AA37" s="400">
        <v>23084.34</v>
      </c>
      <c r="AB37" s="400">
        <v>25353.679999999993</v>
      </c>
      <c r="AC37" s="400">
        <f t="shared" si="143"/>
        <v>450985.80000000005</v>
      </c>
      <c r="AE37" s="127" t="s">
        <v>81</v>
      </c>
      <c r="AF37" s="27">
        <v>45041.73</v>
      </c>
      <c r="AG37" s="27">
        <v>36865.81</v>
      </c>
      <c r="AH37" s="27">
        <v>23393.32</v>
      </c>
      <c r="AI37" s="27">
        <v>29054.41</v>
      </c>
      <c r="AJ37" s="27">
        <v>26799.67</v>
      </c>
      <c r="AK37" s="27">
        <v>25219.17</v>
      </c>
      <c r="AL37" s="27">
        <v>27173.53</v>
      </c>
      <c r="AM37" s="27">
        <v>25659.4</v>
      </c>
      <c r="AN37" s="27">
        <v>21669.07</v>
      </c>
      <c r="AO37" s="27">
        <v>20144.96</v>
      </c>
      <c r="AP37" s="27">
        <v>29404.22</v>
      </c>
      <c r="AQ37" s="27">
        <v>33172.29</v>
      </c>
      <c r="AR37" s="43">
        <f t="shared" si="144"/>
        <v>343597.58</v>
      </c>
      <c r="AT37" s="60" t="s">
        <v>81</v>
      </c>
      <c r="AU37" s="27">
        <v>52985.74000000002</v>
      </c>
      <c r="AV37" s="27">
        <v>40949.159999999982</v>
      </c>
      <c r="AW37" s="27">
        <v>31112.410000000007</v>
      </c>
      <c r="AX37" s="27">
        <v>30388.760000000009</v>
      </c>
      <c r="AY37" s="27">
        <v>24138.400000000001</v>
      </c>
      <c r="AZ37" s="27">
        <v>15211.310000000001</v>
      </c>
      <c r="BA37" s="27">
        <v>27186.410000000007</v>
      </c>
      <c r="BB37" s="27">
        <v>34319.25</v>
      </c>
      <c r="BC37" s="27">
        <v>16275.36</v>
      </c>
      <c r="BD37" s="27">
        <v>23826.32</v>
      </c>
      <c r="BE37" s="27">
        <v>17007.740000000002</v>
      </c>
      <c r="BF37" s="27">
        <v>15537.7</v>
      </c>
      <c r="BG37" s="43">
        <f t="shared" si="2"/>
        <v>328938.56</v>
      </c>
      <c r="BI37" s="60" t="s">
        <v>81</v>
      </c>
      <c r="BJ37" s="27">
        <v>26687.299999999988</v>
      </c>
      <c r="BK37" s="27">
        <v>24558.779999999955</v>
      </c>
      <c r="BL37" s="27">
        <v>13976.810000000005</v>
      </c>
      <c r="BM37" s="27">
        <v>19549.340000000015</v>
      </c>
      <c r="BN37" s="27">
        <v>13124.309999999998</v>
      </c>
      <c r="BO37" s="27">
        <v>16731.290000000008</v>
      </c>
      <c r="BP37" s="27">
        <v>13698.269999999997</v>
      </c>
      <c r="BQ37" s="27">
        <v>10718.690000000002</v>
      </c>
      <c r="BR37" s="27">
        <v>13039.72</v>
      </c>
      <c r="BS37" s="27">
        <v>12201.839999999998</v>
      </c>
      <c r="BT37" s="27">
        <v>10416.800000000003</v>
      </c>
      <c r="BU37" s="27">
        <v>22292.799999999999</v>
      </c>
      <c r="BV37" s="43">
        <f t="shared" si="52"/>
        <v>196995.94999999995</v>
      </c>
      <c r="BW37" s="405"/>
      <c r="BX37" s="32">
        <f t="shared" si="214"/>
        <v>0.12738339417721578</v>
      </c>
      <c r="BY37" s="32">
        <f t="shared" si="215"/>
        <v>0.23683312585589025</v>
      </c>
      <c r="BZ37" s="32">
        <f t="shared" si="216"/>
        <v>0.34715037520531594</v>
      </c>
      <c r="CA37" s="32">
        <f t="shared" si="217"/>
        <v>0.44096411413261444</v>
      </c>
      <c r="CB37" s="32">
        <f t="shared" si="218"/>
        <v>0.50915849847729799</v>
      </c>
      <c r="CC37" s="32">
        <f t="shared" si="219"/>
        <v>0.59031469469616216</v>
      </c>
      <c r="CD37" s="32">
        <f t="shared" si="220"/>
        <v>0.65760652359095884</v>
      </c>
      <c r="CE37" s="32">
        <f t="shared" si="221"/>
        <v>0.73129863229670911</v>
      </c>
      <c r="CF37" s="32">
        <f t="shared" si="222"/>
        <v>0.80773886967544517</v>
      </c>
      <c r="CG37" s="32">
        <f t="shared" si="223"/>
        <v>0.87535137783507688</v>
      </c>
      <c r="CH37" s="32">
        <f t="shared" si="224"/>
        <v>0.91698559034657656</v>
      </c>
      <c r="CI37" s="32">
        <f t="shared" si="225"/>
        <v>1</v>
      </c>
      <c r="CJ37" s="405"/>
      <c r="CK37" s="32">
        <f t="shared" si="226"/>
        <v>0.15717920608586786</v>
      </c>
      <c r="CL37" s="32">
        <f t="shared" si="227"/>
        <v>0.30461065514701352</v>
      </c>
      <c r="CM37" s="32">
        <f t="shared" si="228"/>
        <v>0.40078108889459491</v>
      </c>
      <c r="CN37" s="32">
        <f t="shared" si="229"/>
        <v>0.45567485716845185</v>
      </c>
      <c r="CO37" s="32">
        <f t="shared" si="230"/>
        <v>0.49717055392874898</v>
      </c>
      <c r="CP37" s="32">
        <f t="shared" si="231"/>
        <v>0.54913564906034729</v>
      </c>
      <c r="CQ37" s="32">
        <f t="shared" si="232"/>
        <v>0.62251259352290012</v>
      </c>
      <c r="CR37" s="32">
        <f t="shared" si="233"/>
        <v>0.67860890520278005</v>
      </c>
      <c r="CS37" s="32">
        <f t="shared" si="234"/>
        <v>0.74791558847307382</v>
      </c>
      <c r="CT37" s="32">
        <f t="shared" si="235"/>
        <v>0.89259524357529663</v>
      </c>
      <c r="CU37" s="32">
        <f t="shared" si="236"/>
        <v>0.94378164456619262</v>
      </c>
      <c r="CV37" s="32">
        <f t="shared" si="237"/>
        <v>1</v>
      </c>
      <c r="CX37" s="32">
        <f t="shared" si="238"/>
        <v>0.13108861244016912</v>
      </c>
      <c r="CY37" s="32">
        <f t="shared" si="239"/>
        <v>0.23838217952524579</v>
      </c>
      <c r="CZ37" s="32">
        <f t="shared" si="240"/>
        <v>0.30646566253464302</v>
      </c>
      <c r="DA37" s="32">
        <f t="shared" si="241"/>
        <v>0.39102507648627799</v>
      </c>
      <c r="DB37" s="32">
        <f t="shared" si="242"/>
        <v>0.46902233711890517</v>
      </c>
      <c r="DC37" s="32">
        <f t="shared" si="243"/>
        <v>0.54241973997604986</v>
      </c>
      <c r="DD37" s="32">
        <f t="shared" si="244"/>
        <v>0.62150507579244296</v>
      </c>
      <c r="DE37" s="32">
        <f t="shared" si="245"/>
        <v>0.69618371584572847</v>
      </c>
      <c r="DF37" s="32">
        <f t="shared" si="246"/>
        <v>0.75924897375586864</v>
      </c>
      <c r="DG37" s="32">
        <f t="shared" si="247"/>
        <v>0.81787849029670112</v>
      </c>
      <c r="DH37" s="32">
        <f t="shared" si="248"/>
        <v>0.90345598475984612</v>
      </c>
      <c r="DI37" s="32">
        <f t="shared" si="249"/>
        <v>1</v>
      </c>
      <c r="DK37" s="32">
        <f t="shared" si="145"/>
        <v>0.16108096296159385</v>
      </c>
      <c r="DL37" s="32">
        <f t="shared" si="146"/>
        <v>0.28556974287234671</v>
      </c>
      <c r="DM37" s="32">
        <f t="shared" si="147"/>
        <v>0.38015400201180427</v>
      </c>
      <c r="DN37" s="32">
        <f t="shared" si="148"/>
        <v>0.47253830624174925</v>
      </c>
      <c r="DO37" s="32">
        <f t="shared" si="149"/>
        <v>0.54592100725436388</v>
      </c>
      <c r="DP37" s="32">
        <f t="shared" si="150"/>
        <v>0.59216462794754132</v>
      </c>
      <c r="DQ37" s="32">
        <f t="shared" si="151"/>
        <v>0.67481352748671364</v>
      </c>
      <c r="DR37" s="32">
        <f t="shared" si="152"/>
        <v>0.77914684128245715</v>
      </c>
      <c r="DS37" s="32">
        <f t="shared" si="153"/>
        <v>0.82862526059577812</v>
      </c>
      <c r="DT37" s="32">
        <f t="shared" si="154"/>
        <v>0.90105921300318215</v>
      </c>
      <c r="DU37" s="32">
        <f t="shared" si="155"/>
        <v>0.95276412713669079</v>
      </c>
      <c r="DV37" s="32">
        <f t="shared" si="156"/>
        <v>1</v>
      </c>
      <c r="DW37" s="39"/>
      <c r="DX37" s="32">
        <f t="shared" si="157"/>
        <v>0.13547131298892182</v>
      </c>
      <c r="DY37" s="32">
        <f t="shared" si="158"/>
        <v>0.26013773379604987</v>
      </c>
      <c r="DZ37" s="32">
        <f t="shared" si="159"/>
        <v>0.33108746651898158</v>
      </c>
      <c r="EA37" s="32">
        <f t="shared" si="160"/>
        <v>0.43032473510242208</v>
      </c>
      <c r="EB37" s="32">
        <f t="shared" si="161"/>
        <v>0.49694696769146773</v>
      </c>
      <c r="EC37" s="32">
        <f t="shared" si="162"/>
        <v>0.5818791198499258</v>
      </c>
      <c r="ED37" s="32">
        <f t="shared" si="163"/>
        <v>0.65141491487515357</v>
      </c>
      <c r="EE37" s="32">
        <f t="shared" si="164"/>
        <v>0.70582562737964927</v>
      </c>
      <c r="EF37" s="32">
        <f t="shared" si="165"/>
        <v>0.77201846027799059</v>
      </c>
      <c r="EG37" s="32">
        <f t="shared" si="166"/>
        <v>0.83395800776614959</v>
      </c>
      <c r="EH37" s="32">
        <f t="shared" si="167"/>
        <v>0.88683625221736795</v>
      </c>
      <c r="EI37" s="32">
        <f t="shared" si="168"/>
        <v>1</v>
      </c>
      <c r="EK37" s="32">
        <f t="shared" si="250"/>
        <v>0.14254696279689494</v>
      </c>
      <c r="EL37" s="32">
        <f t="shared" si="169"/>
        <v>0.2613632187312141</v>
      </c>
      <c r="EM37" s="32">
        <f t="shared" si="170"/>
        <v>0.33923571035514294</v>
      </c>
      <c r="EN37" s="32">
        <f t="shared" si="171"/>
        <v>0.43129603927681642</v>
      </c>
      <c r="EO37" s="32">
        <f t="shared" si="172"/>
        <v>0.50396343735491234</v>
      </c>
      <c r="EP37" s="32">
        <f t="shared" si="173"/>
        <v>0.57215449592450562</v>
      </c>
      <c r="EQ37" s="32">
        <f t="shared" si="174"/>
        <v>0.6492445060514368</v>
      </c>
      <c r="ER37" s="32">
        <f t="shared" si="175"/>
        <v>0.72705206150261159</v>
      </c>
      <c r="ES37" s="32">
        <f t="shared" si="176"/>
        <v>0.78663089820987908</v>
      </c>
      <c r="ET37" s="32">
        <f t="shared" si="177"/>
        <v>0.85096523702201088</v>
      </c>
      <c r="EU37" s="32">
        <f t="shared" si="178"/>
        <v>0.91435212137130162</v>
      </c>
      <c r="EV37" s="32">
        <f t="shared" si="179"/>
        <v>1</v>
      </c>
      <c r="EX37" s="32">
        <f t="shared" si="180"/>
        <v>0.14620502361913817</v>
      </c>
      <c r="EY37" s="32">
        <f t="shared" si="181"/>
        <v>0.27217507783516398</v>
      </c>
      <c r="EZ37" s="32">
        <f t="shared" si="182"/>
        <v>0.35462205499000593</v>
      </c>
      <c r="FA37" s="32">
        <f t="shared" si="183"/>
        <v>0.43739074374972531</v>
      </c>
      <c r="FB37" s="32">
        <f t="shared" si="184"/>
        <v>0.50226521649837141</v>
      </c>
      <c r="FC37" s="32">
        <f t="shared" si="185"/>
        <v>0.56639978420846615</v>
      </c>
      <c r="FD37" s="32">
        <f t="shared" si="186"/>
        <v>0.64256152791930254</v>
      </c>
      <c r="FE37" s="32">
        <f t="shared" si="187"/>
        <v>0.71494127242765371</v>
      </c>
      <c r="FF37" s="32">
        <f t="shared" si="188"/>
        <v>0.77695207077567774</v>
      </c>
      <c r="FG37" s="32">
        <f t="shared" si="189"/>
        <v>0.86137273866033248</v>
      </c>
      <c r="FH37" s="32">
        <f t="shared" si="190"/>
        <v>0.92170950217002434</v>
      </c>
      <c r="FI37" s="32">
        <f t="shared" si="191"/>
        <v>1</v>
      </c>
      <c r="FK37" s="32">
        <f t="shared" si="251"/>
        <v>0.1497829271625436</v>
      </c>
      <c r="FL37" s="32">
        <f t="shared" si="192"/>
        <v>0.276187525848202</v>
      </c>
      <c r="FM37" s="32">
        <f t="shared" si="193"/>
        <v>0.36246691781368073</v>
      </c>
      <c r="FN37" s="32">
        <f t="shared" si="194"/>
        <v>0.43974607996549303</v>
      </c>
      <c r="FO37" s="32">
        <f t="shared" si="195"/>
        <v>0.50403796610067275</v>
      </c>
      <c r="FP37" s="32">
        <f t="shared" si="196"/>
        <v>0.56124000566131282</v>
      </c>
      <c r="FQ37" s="32">
        <f t="shared" si="197"/>
        <v>0.63961039893401894</v>
      </c>
      <c r="FR37" s="32">
        <f t="shared" si="198"/>
        <v>0.71797982077698863</v>
      </c>
      <c r="FS37" s="32">
        <f t="shared" si="199"/>
        <v>0.77859660760824012</v>
      </c>
      <c r="FT37" s="32">
        <f t="shared" si="200"/>
        <v>0.87051098229172652</v>
      </c>
      <c r="FU37" s="32">
        <f t="shared" si="201"/>
        <v>0.93333391882090988</v>
      </c>
      <c r="FV37" s="32">
        <f t="shared" si="202"/>
        <v>1</v>
      </c>
      <c r="FX37" s="32">
        <f t="shared" si="252"/>
        <v>0.13855040423441758</v>
      </c>
      <c r="FY37" s="32">
        <f t="shared" si="203"/>
        <v>0.25994198684271652</v>
      </c>
      <c r="FZ37" s="32">
        <f t="shared" si="204"/>
        <v>0.35146570887818468</v>
      </c>
      <c r="GA37" s="32">
        <f t="shared" si="205"/>
        <v>0.42922134926244809</v>
      </c>
      <c r="GB37" s="32">
        <f t="shared" si="206"/>
        <v>0.49178379650831738</v>
      </c>
      <c r="GC37" s="32">
        <f t="shared" si="207"/>
        <v>0.56062336124418644</v>
      </c>
      <c r="GD37" s="32">
        <f t="shared" si="208"/>
        <v>0.63387473096876734</v>
      </c>
      <c r="GE37" s="32">
        <f t="shared" si="209"/>
        <v>0.70203041778173914</v>
      </c>
      <c r="GF37" s="32">
        <f t="shared" si="210"/>
        <v>0.77163447730146251</v>
      </c>
      <c r="GG37" s="32">
        <f t="shared" si="211"/>
        <v>0.86194170390235814</v>
      </c>
      <c r="GH37" s="32">
        <f t="shared" si="212"/>
        <v>0.92140773989087166</v>
      </c>
      <c r="GI37" s="32">
        <f t="shared" si="213"/>
        <v>1</v>
      </c>
    </row>
    <row r="38" spans="1:191">
      <c r="A38" s="724" t="s">
        <v>82</v>
      </c>
      <c r="B38" s="399">
        <v>45758.600000000035</v>
      </c>
      <c r="C38" s="400">
        <v>26498.239999999976</v>
      </c>
      <c r="D38" s="400">
        <v>30240.289999999994</v>
      </c>
      <c r="E38" s="400">
        <v>23278.689999999991</v>
      </c>
      <c r="F38" s="400">
        <v>21140.589999999997</v>
      </c>
      <c r="G38" s="400">
        <v>20868.229999999996</v>
      </c>
      <c r="H38" s="400">
        <v>19643.77</v>
      </c>
      <c r="I38" s="400">
        <v>16635.760000000006</v>
      </c>
      <c r="J38" s="400">
        <v>14051.879999999996</v>
      </c>
      <c r="K38" s="400">
        <v>16940.78</v>
      </c>
      <c r="L38" s="400">
        <v>28553.39</v>
      </c>
      <c r="M38" s="400">
        <v>45143.289999999994</v>
      </c>
      <c r="N38" s="400">
        <f t="shared" si="142"/>
        <v>308753.50999999995</v>
      </c>
      <c r="P38" s="396" t="s">
        <v>82</v>
      </c>
      <c r="Q38" s="399">
        <v>28778.9</v>
      </c>
      <c r="R38" s="400">
        <v>16478.009999999998</v>
      </c>
      <c r="S38" s="400">
        <v>13657.93</v>
      </c>
      <c r="T38" s="400">
        <v>10089.86</v>
      </c>
      <c r="U38" s="400">
        <v>7677.83</v>
      </c>
      <c r="V38" s="400">
        <v>10514.210000000001</v>
      </c>
      <c r="W38" s="400">
        <v>16864.459999999992</v>
      </c>
      <c r="X38" s="400">
        <v>18015.379999999976</v>
      </c>
      <c r="Y38" s="400">
        <v>21919.520000000011</v>
      </c>
      <c r="Z38" s="400">
        <v>45155.31</v>
      </c>
      <c r="AA38" s="400">
        <v>10869.54</v>
      </c>
      <c r="AB38" s="400">
        <v>14343.049999999996</v>
      </c>
      <c r="AC38" s="400">
        <f t="shared" si="143"/>
        <v>214364</v>
      </c>
      <c r="AE38" s="127" t="s">
        <v>82</v>
      </c>
      <c r="AF38" s="27">
        <v>25305.47</v>
      </c>
      <c r="AG38" s="27">
        <v>17117.310000000001</v>
      </c>
      <c r="AH38" s="27">
        <v>16930.990000000002</v>
      </c>
      <c r="AI38" s="27">
        <v>17741.7</v>
      </c>
      <c r="AJ38" s="27">
        <v>10861.88</v>
      </c>
      <c r="AK38" s="27">
        <v>9490.3700000000008</v>
      </c>
      <c r="AL38" s="27">
        <v>12900.62</v>
      </c>
      <c r="AM38" s="27">
        <v>15362.41</v>
      </c>
      <c r="AN38" s="27">
        <v>6952.45</v>
      </c>
      <c r="AO38" s="27">
        <v>17265.77</v>
      </c>
      <c r="AP38" s="27">
        <v>10486.36</v>
      </c>
      <c r="AQ38" s="27">
        <v>10915.81</v>
      </c>
      <c r="AR38" s="43">
        <f t="shared" si="144"/>
        <v>171331.14</v>
      </c>
      <c r="AT38" s="60" t="s">
        <v>82</v>
      </c>
      <c r="AU38" s="27">
        <v>15953.689999999986</v>
      </c>
      <c r="AV38" s="27">
        <v>15044.89</v>
      </c>
      <c r="AW38" s="27">
        <v>10320.380000000006</v>
      </c>
      <c r="AX38" s="27">
        <v>8270.0499999999975</v>
      </c>
      <c r="AY38" s="27">
        <v>7238.1999999999907</v>
      </c>
      <c r="AZ38" s="27">
        <v>7364.8200000000006</v>
      </c>
      <c r="BA38" s="27">
        <v>11929.110000000002</v>
      </c>
      <c r="BB38" s="27">
        <v>12910.599999999999</v>
      </c>
      <c r="BC38" s="27">
        <v>6388.47</v>
      </c>
      <c r="BD38" s="27">
        <v>9448.02</v>
      </c>
      <c r="BE38" s="27">
        <v>9319.56</v>
      </c>
      <c r="BF38" s="27">
        <v>11522.94</v>
      </c>
      <c r="BG38" s="43">
        <f t="shared" si="2"/>
        <v>125710.73</v>
      </c>
      <c r="BI38" s="60" t="s">
        <v>82</v>
      </c>
      <c r="BJ38" s="27">
        <v>11268.220000000008</v>
      </c>
      <c r="BK38" s="27">
        <v>17767.579999999987</v>
      </c>
      <c r="BL38" s="27">
        <v>22558.02</v>
      </c>
      <c r="BM38" s="27">
        <v>15059.509999999995</v>
      </c>
      <c r="BN38" s="27">
        <v>11534.250000000004</v>
      </c>
      <c r="BO38" s="27">
        <v>13460.049999999996</v>
      </c>
      <c r="BP38" s="27">
        <v>9539.16</v>
      </c>
      <c r="BQ38" s="27">
        <v>7756.550000000002</v>
      </c>
      <c r="BR38" s="27">
        <v>6538.0999999999985</v>
      </c>
      <c r="BS38" s="27">
        <v>6078.4599999999991</v>
      </c>
      <c r="BT38" s="27">
        <v>6382.6500000000005</v>
      </c>
      <c r="BU38" s="27">
        <v>4791.4500000000016</v>
      </c>
      <c r="BV38" s="43">
        <f t="shared" si="52"/>
        <v>132733.99999999997</v>
      </c>
      <c r="BW38" s="405"/>
      <c r="BX38" s="32">
        <f t="shared" si="214"/>
        <v>0.14820430705386975</v>
      </c>
      <c r="BY38" s="32">
        <f t="shared" si="215"/>
        <v>0.23402759048795921</v>
      </c>
      <c r="BZ38" s="32">
        <f t="shared" si="216"/>
        <v>0.33197073613835199</v>
      </c>
      <c r="CA38" s="32">
        <f t="shared" si="217"/>
        <v>0.40736644580979831</v>
      </c>
      <c r="CB38" s="32">
        <f t="shared" si="218"/>
        <v>0.47583721396398049</v>
      </c>
      <c r="CC38" s="32">
        <f t="shared" si="219"/>
        <v>0.54342585449473912</v>
      </c>
      <c r="CD38" s="32">
        <f t="shared" si="220"/>
        <v>0.60704867776240012</v>
      </c>
      <c r="CE38" s="32">
        <f t="shared" si="221"/>
        <v>0.66092906927600592</v>
      </c>
      <c r="CF38" s="32">
        <f t="shared" si="222"/>
        <v>0.70644071382378781</v>
      </c>
      <c r="CG38" s="32">
        <f t="shared" si="223"/>
        <v>0.76130901313478183</v>
      </c>
      <c r="CH38" s="32">
        <f t="shared" si="224"/>
        <v>0.85378857717277457</v>
      </c>
      <c r="CI38" s="32">
        <f t="shared" si="225"/>
        <v>1</v>
      </c>
      <c r="CJ38" s="405"/>
      <c r="CK38" s="32">
        <f t="shared" si="226"/>
        <v>0.13425248642495943</v>
      </c>
      <c r="CL38" s="32">
        <f t="shared" si="227"/>
        <v>0.21112178350842495</v>
      </c>
      <c r="CM38" s="32">
        <f t="shared" si="228"/>
        <v>0.27483551342576179</v>
      </c>
      <c r="CN38" s="32">
        <f t="shared" si="229"/>
        <v>0.32190433095109261</v>
      </c>
      <c r="CO38" s="32">
        <f t="shared" si="230"/>
        <v>0.35772111921777916</v>
      </c>
      <c r="CP38" s="32">
        <f t="shared" si="231"/>
        <v>0.40676951353772101</v>
      </c>
      <c r="CQ38" s="32">
        <f t="shared" si="232"/>
        <v>0.48544158534082221</v>
      </c>
      <c r="CR38" s="32">
        <f t="shared" si="233"/>
        <v>0.56948265566979528</v>
      </c>
      <c r="CS38" s="32">
        <f t="shared" si="234"/>
        <v>0.67173639230467808</v>
      </c>
      <c r="CT38" s="32">
        <f t="shared" si="235"/>
        <v>0.882384215633222</v>
      </c>
      <c r="CU38" s="32">
        <f t="shared" si="236"/>
        <v>0.93309021104289902</v>
      </c>
      <c r="CV38" s="32">
        <f t="shared" si="237"/>
        <v>1</v>
      </c>
      <c r="CX38" s="32">
        <f t="shared" si="238"/>
        <v>0.14769918649931355</v>
      </c>
      <c r="CY38" s="32">
        <f t="shared" si="239"/>
        <v>0.24760694407333073</v>
      </c>
      <c r="CZ38" s="32">
        <f t="shared" si="240"/>
        <v>0.34642721690873007</v>
      </c>
      <c r="DA38" s="32">
        <f t="shared" si="241"/>
        <v>0.44997932074694652</v>
      </c>
      <c r="DB38" s="32">
        <f t="shared" si="242"/>
        <v>0.51337631909762582</v>
      </c>
      <c r="DC38" s="32">
        <f t="shared" si="243"/>
        <v>0.56876829279254193</v>
      </c>
      <c r="DD38" s="32">
        <f t="shared" si="244"/>
        <v>0.64406470417461759</v>
      </c>
      <c r="DE38" s="32">
        <f t="shared" si="245"/>
        <v>0.7337297236217537</v>
      </c>
      <c r="DF38" s="32">
        <f t="shared" si="246"/>
        <v>0.77430874504191127</v>
      </c>
      <c r="DG38" s="32">
        <f t="shared" si="247"/>
        <v>0.8750830117630688</v>
      </c>
      <c r="DH38" s="32">
        <f t="shared" si="248"/>
        <v>0.93628823108280257</v>
      </c>
      <c r="DI38" s="32">
        <f t="shared" si="249"/>
        <v>1</v>
      </c>
      <c r="DK38" s="32">
        <f t="shared" si="145"/>
        <v>0.12690794174848866</v>
      </c>
      <c r="DL38" s="32">
        <f t="shared" si="146"/>
        <v>0.24658658811383871</v>
      </c>
      <c r="DM38" s="32">
        <f t="shared" si="147"/>
        <v>0.32868284194992736</v>
      </c>
      <c r="DN38" s="32">
        <f t="shared" si="148"/>
        <v>0.39446919129337638</v>
      </c>
      <c r="DO38" s="32">
        <f t="shared" si="149"/>
        <v>0.45204741075006072</v>
      </c>
      <c r="DP38" s="32">
        <f t="shared" si="150"/>
        <v>0.51063286324087032</v>
      </c>
      <c r="DQ38" s="32">
        <f t="shared" si="151"/>
        <v>0.60552619493976356</v>
      </c>
      <c r="DR38" s="32">
        <f t="shared" si="152"/>
        <v>0.70822705428566035</v>
      </c>
      <c r="DS38" s="32">
        <f t="shared" si="153"/>
        <v>0.75904586664956919</v>
      </c>
      <c r="DT38" s="32">
        <f t="shared" si="154"/>
        <v>0.83420269693764404</v>
      </c>
      <c r="DU38" s="32">
        <f t="shared" si="155"/>
        <v>0.90833765741396932</v>
      </c>
      <c r="DV38" s="32">
        <f t="shared" si="156"/>
        <v>1</v>
      </c>
      <c r="DW38" s="39"/>
      <c r="DX38" s="32">
        <f t="shared" si="157"/>
        <v>8.4893245136890408E-2</v>
      </c>
      <c r="DY38" s="32">
        <f t="shared" si="158"/>
        <v>0.21875178929287148</v>
      </c>
      <c r="DZ38" s="32">
        <f t="shared" si="159"/>
        <v>0.3887008603673513</v>
      </c>
      <c r="EA38" s="32">
        <f t="shared" si="160"/>
        <v>0.50215717148582883</v>
      </c>
      <c r="EB38" s="32">
        <f t="shared" si="161"/>
        <v>0.58905465065469287</v>
      </c>
      <c r="EC38" s="32">
        <f t="shared" si="162"/>
        <v>0.69046084650504014</v>
      </c>
      <c r="ED38" s="32">
        <f t="shared" si="163"/>
        <v>0.76232758750583873</v>
      </c>
      <c r="EE38" s="32">
        <f t="shared" si="164"/>
        <v>0.82076438591468659</v>
      </c>
      <c r="EF38" s="32">
        <f t="shared" si="165"/>
        <v>0.87002154685310473</v>
      </c>
      <c r="EG38" s="32">
        <f t="shared" si="166"/>
        <v>0.9158158422107372</v>
      </c>
      <c r="EH38" s="32">
        <f t="shared" si="167"/>
        <v>0.96390186387813215</v>
      </c>
      <c r="EI38" s="32">
        <f t="shared" si="168"/>
        <v>1</v>
      </c>
      <c r="EK38" s="32">
        <f t="shared" si="250"/>
        <v>0.11983345779489753</v>
      </c>
      <c r="EL38" s="32">
        <f t="shared" si="169"/>
        <v>0.23764844049334699</v>
      </c>
      <c r="EM38" s="32">
        <f t="shared" si="170"/>
        <v>0.35460363974200293</v>
      </c>
      <c r="EN38" s="32">
        <f t="shared" si="171"/>
        <v>0.44886856117538393</v>
      </c>
      <c r="EO38" s="32">
        <f t="shared" si="172"/>
        <v>0.51815946016745984</v>
      </c>
      <c r="EP38" s="32">
        <f t="shared" si="173"/>
        <v>0.58995400084615079</v>
      </c>
      <c r="EQ38" s="32">
        <f t="shared" si="174"/>
        <v>0.67063949554007329</v>
      </c>
      <c r="ER38" s="32">
        <f t="shared" si="175"/>
        <v>0.75424038794070025</v>
      </c>
      <c r="ES38" s="32">
        <f t="shared" si="176"/>
        <v>0.8011253861815284</v>
      </c>
      <c r="ET38" s="32">
        <f t="shared" si="177"/>
        <v>0.87503385030381653</v>
      </c>
      <c r="EU38" s="32">
        <f t="shared" si="178"/>
        <v>0.93617591745830131</v>
      </c>
      <c r="EV38" s="32">
        <f t="shared" si="179"/>
        <v>1</v>
      </c>
      <c r="EX38" s="32">
        <f t="shared" si="180"/>
        <v>0.12343821495241303</v>
      </c>
      <c r="EY38" s="32">
        <f t="shared" si="181"/>
        <v>0.23101677624711647</v>
      </c>
      <c r="EZ38" s="32">
        <f t="shared" si="182"/>
        <v>0.33466160816294266</v>
      </c>
      <c r="FA38" s="32">
        <f t="shared" si="183"/>
        <v>0.41712750361931106</v>
      </c>
      <c r="FB38" s="32">
        <f t="shared" si="184"/>
        <v>0.47804987493003964</v>
      </c>
      <c r="FC38" s="32">
        <f t="shared" si="185"/>
        <v>0.54415787901904333</v>
      </c>
      <c r="FD38" s="32">
        <f t="shared" si="186"/>
        <v>0.62434001799026051</v>
      </c>
      <c r="FE38" s="32">
        <f t="shared" si="187"/>
        <v>0.70805095487297398</v>
      </c>
      <c r="FF38" s="32">
        <f t="shared" si="188"/>
        <v>0.76877813771231585</v>
      </c>
      <c r="FG38" s="32">
        <f t="shared" si="189"/>
        <v>0.87687144163616804</v>
      </c>
      <c r="FH38" s="32">
        <f t="shared" si="190"/>
        <v>0.93540449085445077</v>
      </c>
      <c r="FI38" s="32">
        <f t="shared" si="191"/>
        <v>1</v>
      </c>
      <c r="FK38" s="32">
        <f t="shared" si="251"/>
        <v>0.13628653822425388</v>
      </c>
      <c r="FL38" s="32">
        <f t="shared" si="192"/>
        <v>0.23510510523186479</v>
      </c>
      <c r="FM38" s="32">
        <f t="shared" si="193"/>
        <v>0.31664852409480643</v>
      </c>
      <c r="FN38" s="32">
        <f t="shared" si="194"/>
        <v>0.38878428099713852</v>
      </c>
      <c r="FO38" s="32">
        <f t="shared" si="195"/>
        <v>0.44104828302182186</v>
      </c>
      <c r="FP38" s="32">
        <f t="shared" si="196"/>
        <v>0.49539022319037773</v>
      </c>
      <c r="FQ38" s="32">
        <f t="shared" si="197"/>
        <v>0.57834416148506784</v>
      </c>
      <c r="FR38" s="32">
        <f t="shared" si="198"/>
        <v>0.67047981119240319</v>
      </c>
      <c r="FS38" s="32">
        <f t="shared" si="199"/>
        <v>0.73503033466538614</v>
      </c>
      <c r="FT38" s="32">
        <f t="shared" si="200"/>
        <v>0.86388997477797824</v>
      </c>
      <c r="FU38" s="32">
        <f t="shared" si="201"/>
        <v>0.92590536651322364</v>
      </c>
      <c r="FV38" s="32">
        <f t="shared" si="202"/>
        <v>1</v>
      </c>
      <c r="FX38" s="32">
        <f t="shared" si="252"/>
        <v>0.14338532665938089</v>
      </c>
      <c r="FY38" s="32">
        <f t="shared" si="203"/>
        <v>0.23091877268990493</v>
      </c>
      <c r="FZ38" s="32">
        <f t="shared" si="204"/>
        <v>0.3177444888242813</v>
      </c>
      <c r="GA38" s="32">
        <f t="shared" si="205"/>
        <v>0.39308336583594583</v>
      </c>
      <c r="GB38" s="32">
        <f t="shared" si="206"/>
        <v>0.44897821742646182</v>
      </c>
      <c r="GC38" s="32">
        <f t="shared" si="207"/>
        <v>0.50632122027500071</v>
      </c>
      <c r="GD38" s="32">
        <f t="shared" si="208"/>
        <v>0.57885165575927999</v>
      </c>
      <c r="GE38" s="32">
        <f t="shared" si="209"/>
        <v>0.65471381618918501</v>
      </c>
      <c r="GF38" s="32">
        <f t="shared" si="210"/>
        <v>0.71749528372345905</v>
      </c>
      <c r="GG38" s="32">
        <f t="shared" si="211"/>
        <v>0.83959208017702425</v>
      </c>
      <c r="GH38" s="32">
        <f t="shared" si="212"/>
        <v>0.90772233976615879</v>
      </c>
      <c r="GI38" s="32">
        <f t="shared" si="213"/>
        <v>1</v>
      </c>
    </row>
    <row r="39" spans="1:191">
      <c r="A39" s="724" t="s">
        <v>83</v>
      </c>
      <c r="B39" s="399">
        <v>75970.31</v>
      </c>
      <c r="C39" s="400">
        <v>53065.539999999972</v>
      </c>
      <c r="D39" s="400">
        <v>65486.52</v>
      </c>
      <c r="E39" s="400">
        <v>53865.69999999999</v>
      </c>
      <c r="F39" s="400">
        <v>48765.530000000013</v>
      </c>
      <c r="G39" s="400">
        <v>40820.170000000006</v>
      </c>
      <c r="H39" s="400">
        <v>45452.250000000007</v>
      </c>
      <c r="I39" s="400">
        <v>34879.290000000008</v>
      </c>
      <c r="J39" s="400">
        <v>34425.279999999992</v>
      </c>
      <c r="K39" s="400">
        <v>20033.48</v>
      </c>
      <c r="L39" s="400">
        <v>16237.099999999999</v>
      </c>
      <c r="M39" s="400">
        <v>25946.480000000003</v>
      </c>
      <c r="N39" s="400">
        <f t="shared" si="142"/>
        <v>514947.64999999985</v>
      </c>
      <c r="P39" s="396" t="s">
        <v>83</v>
      </c>
      <c r="Q39" s="399">
        <v>74064.03</v>
      </c>
      <c r="R39" s="400">
        <v>55093.9</v>
      </c>
      <c r="S39" s="400">
        <v>58366.82</v>
      </c>
      <c r="T39" s="400">
        <v>41340.129999999997</v>
      </c>
      <c r="U39" s="400">
        <v>37804.400000000001</v>
      </c>
      <c r="V39" s="400">
        <v>32529.49</v>
      </c>
      <c r="W39" s="400">
        <v>34910.369999999995</v>
      </c>
      <c r="X39" s="400">
        <v>48973.649999999994</v>
      </c>
      <c r="Y39" s="400">
        <v>32860.679999999993</v>
      </c>
      <c r="Z39" s="400">
        <v>87933.950000000012</v>
      </c>
      <c r="AA39" s="400">
        <v>34295.46</v>
      </c>
      <c r="AB39" s="400">
        <v>29173.310000000012</v>
      </c>
      <c r="AC39" s="400">
        <f t="shared" si="143"/>
        <v>567346.19000000006</v>
      </c>
      <c r="AE39" s="127" t="s">
        <v>83</v>
      </c>
      <c r="AF39" s="27">
        <v>48249.17</v>
      </c>
      <c r="AG39" s="27">
        <v>43095.350000000006</v>
      </c>
      <c r="AH39" s="27">
        <v>30658.66</v>
      </c>
      <c r="AI39" s="27">
        <v>33363.240000000005</v>
      </c>
      <c r="AJ39" s="27">
        <v>31445.279999999999</v>
      </c>
      <c r="AK39" s="27">
        <v>37269.300000000003</v>
      </c>
      <c r="AL39" s="27">
        <v>38068.660000000003</v>
      </c>
      <c r="AM39" s="27">
        <v>46819.799999999996</v>
      </c>
      <c r="AN39" s="27">
        <v>36520.050000000003</v>
      </c>
      <c r="AO39" s="27">
        <v>46954.97</v>
      </c>
      <c r="AP39" s="27">
        <v>37472.97</v>
      </c>
      <c r="AQ39" s="27">
        <v>35374.620000000003</v>
      </c>
      <c r="AR39" s="43">
        <f t="shared" si="144"/>
        <v>465292.06999999995</v>
      </c>
      <c r="AT39" s="60" t="s">
        <v>83</v>
      </c>
      <c r="AU39" s="27">
        <v>48170.460000000006</v>
      </c>
      <c r="AV39" s="27">
        <v>50654.609999999986</v>
      </c>
      <c r="AW39" s="27">
        <v>43705.979999999981</v>
      </c>
      <c r="AX39" s="27">
        <v>28638.840000000011</v>
      </c>
      <c r="AY39" s="27">
        <v>28682.26</v>
      </c>
      <c r="AZ39" s="27">
        <v>24455.170000000002</v>
      </c>
      <c r="BA39" s="27">
        <v>19582.89</v>
      </c>
      <c r="BB39" s="27">
        <v>21825.68</v>
      </c>
      <c r="BC39" s="27">
        <v>11470.320000000002</v>
      </c>
      <c r="BD39" s="27">
        <v>14280.029999999999</v>
      </c>
      <c r="BE39" s="27">
        <v>17974.5</v>
      </c>
      <c r="BF39" s="27">
        <v>27207.38</v>
      </c>
      <c r="BG39" s="43">
        <f t="shared" si="2"/>
        <v>336648.12</v>
      </c>
      <c r="BI39" s="60" t="s">
        <v>83</v>
      </c>
      <c r="BJ39" s="27">
        <v>35934.450000000004</v>
      </c>
      <c r="BK39" s="27">
        <v>31581.029999999955</v>
      </c>
      <c r="BL39" s="27">
        <v>28986.249999999993</v>
      </c>
      <c r="BM39" s="27">
        <v>16017.73000000001</v>
      </c>
      <c r="BN39" s="27">
        <v>24779.489999999994</v>
      </c>
      <c r="BO39" s="27">
        <v>23037.210000000003</v>
      </c>
      <c r="BP39" s="27">
        <v>21775.120000000006</v>
      </c>
      <c r="BQ39" s="27">
        <v>26775.839999999997</v>
      </c>
      <c r="BR39" s="27">
        <v>24652.57</v>
      </c>
      <c r="BS39" s="27">
        <v>28543.179999999993</v>
      </c>
      <c r="BT39" s="27">
        <v>25121.349999999995</v>
      </c>
      <c r="BU39" s="27">
        <v>22818.309999999998</v>
      </c>
      <c r="BV39" s="43">
        <f t="shared" si="52"/>
        <v>310022.52999999991</v>
      </c>
      <c r="BW39" s="405"/>
      <c r="BX39" s="32">
        <f t="shared" si="214"/>
        <v>0.14753016156108301</v>
      </c>
      <c r="BY39" s="32">
        <f t="shared" si="215"/>
        <v>0.25058052017520621</v>
      </c>
      <c r="BZ39" s="32">
        <f t="shared" si="216"/>
        <v>0.3777517384534137</v>
      </c>
      <c r="CA39" s="32">
        <f t="shared" si="217"/>
        <v>0.48235596375670425</v>
      </c>
      <c r="CB39" s="32">
        <f t="shared" si="218"/>
        <v>0.57705593956977974</v>
      </c>
      <c r="CC39" s="32">
        <f t="shared" si="219"/>
        <v>0.65632646347643309</v>
      </c>
      <c r="CD39" s="32">
        <f t="shared" si="220"/>
        <v>0.74459223185114076</v>
      </c>
      <c r="CE39" s="32">
        <f t="shared" si="221"/>
        <v>0.81232589370977815</v>
      </c>
      <c r="CF39" s="32">
        <f t="shared" si="222"/>
        <v>0.87917789313146699</v>
      </c>
      <c r="CG39" s="32">
        <f t="shared" si="223"/>
        <v>0.9180818088984386</v>
      </c>
      <c r="CH39" s="32">
        <f t="shared" si="224"/>
        <v>0.9496133636108447</v>
      </c>
      <c r="CI39" s="32">
        <f t="shared" si="225"/>
        <v>1</v>
      </c>
      <c r="CJ39" s="405"/>
      <c r="CK39" s="32">
        <f t="shared" si="226"/>
        <v>0.13054468560016239</v>
      </c>
      <c r="CL39" s="32">
        <f t="shared" si="227"/>
        <v>0.2276527669992813</v>
      </c>
      <c r="CM39" s="32">
        <f t="shared" si="228"/>
        <v>0.33052967183934023</v>
      </c>
      <c r="CN39" s="32">
        <f t="shared" si="229"/>
        <v>0.40339546476905042</v>
      </c>
      <c r="CO39" s="32">
        <f t="shared" si="230"/>
        <v>0.47002920738746828</v>
      </c>
      <c r="CP39" s="32">
        <f t="shared" si="231"/>
        <v>0.5273654344977623</v>
      </c>
      <c r="CQ39" s="32">
        <f t="shared" si="232"/>
        <v>0.58889818225447144</v>
      </c>
      <c r="CR39" s="32">
        <f t="shared" si="233"/>
        <v>0.67521875840921752</v>
      </c>
      <c r="CS39" s="32">
        <f t="shared" si="234"/>
        <v>0.73313873844821265</v>
      </c>
      <c r="CT39" s="32">
        <f t="shared" si="235"/>
        <v>0.88813043760812072</v>
      </c>
      <c r="CU39" s="32">
        <f t="shared" si="236"/>
        <v>0.94857934976173885</v>
      </c>
      <c r="CV39" s="32">
        <f t="shared" si="237"/>
        <v>1</v>
      </c>
      <c r="CX39" s="32">
        <f t="shared" si="238"/>
        <v>0.10369652334715269</v>
      </c>
      <c r="CY39" s="32">
        <f t="shared" si="239"/>
        <v>0.19631652007308015</v>
      </c>
      <c r="CZ39" s="32">
        <f t="shared" si="240"/>
        <v>0.26220773545528087</v>
      </c>
      <c r="DA39" s="32">
        <f t="shared" si="241"/>
        <v>0.33391160094346767</v>
      </c>
      <c r="DB39" s="32">
        <f t="shared" si="242"/>
        <v>0.40149341036480596</v>
      </c>
      <c r="DC39" s="32">
        <f t="shared" si="243"/>
        <v>0.48159213201290973</v>
      </c>
      <c r="DD39" s="32">
        <f t="shared" si="244"/>
        <v>0.56340882835162021</v>
      </c>
      <c r="DE39" s="32">
        <f t="shared" si="245"/>
        <v>0.66403336725682871</v>
      </c>
      <c r="DF39" s="32">
        <f t="shared" si="246"/>
        <v>0.74252181001064566</v>
      </c>
      <c r="DG39" s="32">
        <f t="shared" si="247"/>
        <v>0.84343685461907836</v>
      </c>
      <c r="DH39" s="32">
        <f t="shared" si="248"/>
        <v>0.92397330132877609</v>
      </c>
      <c r="DI39" s="32">
        <f t="shared" si="249"/>
        <v>1</v>
      </c>
      <c r="DK39" s="32">
        <f t="shared" si="145"/>
        <v>0.14308845687301033</v>
      </c>
      <c r="DL39" s="32">
        <f t="shared" si="146"/>
        <v>0.29355598361874113</v>
      </c>
      <c r="DM39" s="32">
        <f t="shared" si="147"/>
        <v>0.42338287824093596</v>
      </c>
      <c r="DN39" s="32">
        <f t="shared" si="148"/>
        <v>0.50845342608775002</v>
      </c>
      <c r="DO39" s="32">
        <f t="shared" si="149"/>
        <v>0.59365295133684404</v>
      </c>
      <c r="DP39" s="32">
        <f t="shared" si="150"/>
        <v>0.66629607199351071</v>
      </c>
      <c r="DQ39" s="32">
        <f t="shared" si="151"/>
        <v>0.72446627653824425</v>
      </c>
      <c r="DR39" s="32">
        <f t="shared" si="152"/>
        <v>0.78929860056845114</v>
      </c>
      <c r="DS39" s="32">
        <f t="shared" si="153"/>
        <v>0.82337073499771818</v>
      </c>
      <c r="DT39" s="32">
        <f t="shared" si="154"/>
        <v>0.86578900247534429</v>
      </c>
      <c r="DU39" s="32">
        <f t="shared" si="155"/>
        <v>0.91918154778348382</v>
      </c>
      <c r="DV39" s="32">
        <f t="shared" si="156"/>
        <v>1</v>
      </c>
      <c r="DW39" s="39"/>
      <c r="DX39" s="32">
        <f t="shared" si="157"/>
        <v>0.1159091566667752</v>
      </c>
      <c r="DY39" s="32">
        <f t="shared" si="158"/>
        <v>0.21777604356689809</v>
      </c>
      <c r="DZ39" s="32">
        <f t="shared" si="159"/>
        <v>0.31127328068705196</v>
      </c>
      <c r="EA39" s="32">
        <f t="shared" si="160"/>
        <v>0.36293962248485617</v>
      </c>
      <c r="EB39" s="32">
        <f t="shared" si="161"/>
        <v>0.44286765223159746</v>
      </c>
      <c r="EC39" s="32">
        <f t="shared" si="162"/>
        <v>0.51717583234999076</v>
      </c>
      <c r="ED39" s="32">
        <f t="shared" si="163"/>
        <v>0.58741305027089485</v>
      </c>
      <c r="EE39" s="32">
        <f t="shared" si="164"/>
        <v>0.67378045073046788</v>
      </c>
      <c r="EF39" s="32">
        <f t="shared" si="165"/>
        <v>0.75329909087575031</v>
      </c>
      <c r="EG39" s="32">
        <f t="shared" si="166"/>
        <v>0.84536717379862691</v>
      </c>
      <c r="EH39" s="32">
        <f t="shared" si="167"/>
        <v>0.92639789759795843</v>
      </c>
      <c r="EI39" s="32">
        <f t="shared" si="168"/>
        <v>1</v>
      </c>
      <c r="EK39" s="32">
        <f t="shared" si="250"/>
        <v>0.12089804562897942</v>
      </c>
      <c r="EL39" s="32">
        <f t="shared" si="169"/>
        <v>0.2358828490862398</v>
      </c>
      <c r="EM39" s="32">
        <f t="shared" si="170"/>
        <v>0.33228796479442296</v>
      </c>
      <c r="EN39" s="32">
        <f t="shared" si="171"/>
        <v>0.40176821650535799</v>
      </c>
      <c r="EO39" s="32">
        <f t="shared" si="172"/>
        <v>0.47933800464441584</v>
      </c>
      <c r="EP39" s="32">
        <f t="shared" si="173"/>
        <v>0.5550213454521371</v>
      </c>
      <c r="EQ39" s="32">
        <f t="shared" si="174"/>
        <v>0.62509605172025307</v>
      </c>
      <c r="ER39" s="32">
        <f t="shared" si="175"/>
        <v>0.70903747285191587</v>
      </c>
      <c r="ES39" s="32">
        <f t="shared" si="176"/>
        <v>0.77306387862803805</v>
      </c>
      <c r="ET39" s="32">
        <f t="shared" si="177"/>
        <v>0.85153101029768319</v>
      </c>
      <c r="EU39" s="32">
        <f t="shared" si="178"/>
        <v>0.923184248903406</v>
      </c>
      <c r="EV39" s="32">
        <f t="shared" si="179"/>
        <v>1</v>
      </c>
      <c r="EX39" s="32">
        <f t="shared" si="180"/>
        <v>0.12330970562177515</v>
      </c>
      <c r="EY39" s="32">
        <f t="shared" si="181"/>
        <v>0.23382532856450014</v>
      </c>
      <c r="EZ39" s="32">
        <f t="shared" si="182"/>
        <v>0.33184839155565227</v>
      </c>
      <c r="FA39" s="32">
        <f t="shared" si="183"/>
        <v>0.40217502857128107</v>
      </c>
      <c r="FB39" s="32">
        <f t="shared" si="184"/>
        <v>0.47701080533017898</v>
      </c>
      <c r="FC39" s="32">
        <f t="shared" si="185"/>
        <v>0.54810736771354329</v>
      </c>
      <c r="FD39" s="32">
        <f t="shared" si="186"/>
        <v>0.61604658435380766</v>
      </c>
      <c r="FE39" s="32">
        <f t="shared" si="187"/>
        <v>0.70058279424124126</v>
      </c>
      <c r="FF39" s="32">
        <f t="shared" si="188"/>
        <v>0.76308259358308173</v>
      </c>
      <c r="FG39" s="32">
        <f t="shared" si="189"/>
        <v>0.86068086712529257</v>
      </c>
      <c r="FH39" s="32">
        <f t="shared" si="190"/>
        <v>0.92953302411798922</v>
      </c>
      <c r="FI39" s="32">
        <f t="shared" si="191"/>
        <v>1</v>
      </c>
      <c r="FK39" s="32">
        <f t="shared" si="251"/>
        <v>0.12577655527344181</v>
      </c>
      <c r="FL39" s="32">
        <f t="shared" si="192"/>
        <v>0.23917509023036754</v>
      </c>
      <c r="FM39" s="32">
        <f t="shared" si="193"/>
        <v>0.33870676184518572</v>
      </c>
      <c r="FN39" s="32">
        <f t="shared" si="194"/>
        <v>0.41525349726675609</v>
      </c>
      <c r="FO39" s="32">
        <f t="shared" si="195"/>
        <v>0.48839185636303944</v>
      </c>
      <c r="FP39" s="32">
        <f t="shared" si="196"/>
        <v>0.55841787950139421</v>
      </c>
      <c r="FQ39" s="32">
        <f t="shared" si="197"/>
        <v>0.62559109571477867</v>
      </c>
      <c r="FR39" s="32">
        <f t="shared" si="198"/>
        <v>0.70951690874483242</v>
      </c>
      <c r="FS39" s="32">
        <f t="shared" si="199"/>
        <v>0.76634376115219227</v>
      </c>
      <c r="FT39" s="32">
        <f t="shared" si="200"/>
        <v>0.86578543156751442</v>
      </c>
      <c r="FU39" s="32">
        <f t="shared" si="201"/>
        <v>0.93057806629133288</v>
      </c>
      <c r="FV39" s="32">
        <f t="shared" si="202"/>
        <v>1</v>
      </c>
      <c r="FX39" s="32">
        <f t="shared" si="252"/>
        <v>0.12725712350279936</v>
      </c>
      <c r="FY39" s="32">
        <f t="shared" si="203"/>
        <v>0.22484993574918924</v>
      </c>
      <c r="FZ39" s="32">
        <f t="shared" si="204"/>
        <v>0.3234963819160116</v>
      </c>
      <c r="GA39" s="32">
        <f t="shared" si="205"/>
        <v>0.40655434315640743</v>
      </c>
      <c r="GB39" s="32">
        <f t="shared" si="206"/>
        <v>0.48285951910735131</v>
      </c>
      <c r="GC39" s="32">
        <f t="shared" si="207"/>
        <v>0.55509467666236834</v>
      </c>
      <c r="GD39" s="32">
        <f t="shared" si="208"/>
        <v>0.63229974748574413</v>
      </c>
      <c r="GE39" s="32">
        <f t="shared" si="209"/>
        <v>0.71719267312527479</v>
      </c>
      <c r="GF39" s="32">
        <f t="shared" si="210"/>
        <v>0.78494614719677502</v>
      </c>
      <c r="GG39" s="32">
        <f t="shared" si="211"/>
        <v>0.88321636704187922</v>
      </c>
      <c r="GH39" s="32">
        <f t="shared" si="212"/>
        <v>0.94072200490045332</v>
      </c>
      <c r="GI39" s="32">
        <f t="shared" si="213"/>
        <v>1</v>
      </c>
    </row>
    <row r="40" spans="1:191">
      <c r="A40" s="724" t="s">
        <v>84</v>
      </c>
      <c r="B40" s="399">
        <v>28491.429999999993</v>
      </c>
      <c r="C40" s="400">
        <v>23410.659999999963</v>
      </c>
      <c r="D40" s="400">
        <v>23891.550000000021</v>
      </c>
      <c r="E40" s="400">
        <v>13092.890000000009</v>
      </c>
      <c r="F40" s="400">
        <v>13338.559999999994</v>
      </c>
      <c r="G40" s="400">
        <v>20163.16</v>
      </c>
      <c r="H40" s="400">
        <v>25146.469999999998</v>
      </c>
      <c r="I40" s="400">
        <v>20389.5</v>
      </c>
      <c r="J40" s="400">
        <v>20195.099999999999</v>
      </c>
      <c r="K40" s="400">
        <v>19579.829999999998</v>
      </c>
      <c r="L40" s="400">
        <v>17970.170000000006</v>
      </c>
      <c r="M40" s="400">
        <v>31687.040000000001</v>
      </c>
      <c r="N40" s="400">
        <f t="shared" si="142"/>
        <v>257356.36</v>
      </c>
      <c r="P40" s="396" t="s">
        <v>84</v>
      </c>
      <c r="Q40" s="399">
        <v>32603.57</v>
      </c>
      <c r="R40" s="400">
        <v>32330.75</v>
      </c>
      <c r="S40" s="400">
        <v>23256.75</v>
      </c>
      <c r="T40" s="400">
        <v>12359.31</v>
      </c>
      <c r="U40" s="400">
        <v>12318.7</v>
      </c>
      <c r="V40" s="400">
        <v>10775.37</v>
      </c>
      <c r="W40" s="400">
        <v>9028.6699999999983</v>
      </c>
      <c r="X40" s="400">
        <v>10710.540000000008</v>
      </c>
      <c r="Y40" s="400">
        <v>8914.2000000000044</v>
      </c>
      <c r="Z40" s="400">
        <v>26413.89</v>
      </c>
      <c r="AA40" s="400">
        <v>6124.24</v>
      </c>
      <c r="AB40" s="400">
        <v>11073.269999999997</v>
      </c>
      <c r="AC40" s="400">
        <f t="shared" si="143"/>
        <v>195909.25999999998</v>
      </c>
      <c r="AE40" s="127" t="s">
        <v>84</v>
      </c>
      <c r="AF40" s="27">
        <v>31234.3</v>
      </c>
      <c r="AG40" s="27">
        <v>34772.080000000002</v>
      </c>
      <c r="AH40" s="27">
        <v>23920.36</v>
      </c>
      <c r="AI40" s="27">
        <v>17655.59</v>
      </c>
      <c r="AJ40" s="27">
        <v>15366.96</v>
      </c>
      <c r="AK40" s="27">
        <v>15565.4</v>
      </c>
      <c r="AL40" s="27">
        <v>19991.38</v>
      </c>
      <c r="AM40" s="27">
        <v>23936.519999999997</v>
      </c>
      <c r="AN40" s="27">
        <v>21576.73</v>
      </c>
      <c r="AO40" s="27">
        <v>22028.49</v>
      </c>
      <c r="AP40" s="27">
        <v>18078.18</v>
      </c>
      <c r="AQ40" s="27">
        <v>23490.62</v>
      </c>
      <c r="AR40" s="43">
        <f t="shared" si="144"/>
        <v>267616.61</v>
      </c>
      <c r="AT40" s="60" t="s">
        <v>84</v>
      </c>
      <c r="AU40" s="27">
        <v>22968.870000000014</v>
      </c>
      <c r="AV40" s="27">
        <v>17281.760000000009</v>
      </c>
      <c r="AW40" s="27">
        <v>17469.359999999997</v>
      </c>
      <c r="AX40" s="27">
        <v>11035.04</v>
      </c>
      <c r="AY40" s="27">
        <v>12920.759999999987</v>
      </c>
      <c r="AZ40" s="27">
        <v>10684.06</v>
      </c>
      <c r="BA40" s="27">
        <v>15822.390000000003</v>
      </c>
      <c r="BB40" s="27">
        <v>17034.77</v>
      </c>
      <c r="BC40" s="27">
        <v>13364.69</v>
      </c>
      <c r="BD40" s="27">
        <v>16317.740000000002</v>
      </c>
      <c r="BE40" s="27">
        <v>12287.579999999998</v>
      </c>
      <c r="BF40" s="27">
        <v>23794.58</v>
      </c>
      <c r="BG40" s="43">
        <f t="shared" si="2"/>
        <v>190981.59999999998</v>
      </c>
      <c r="BI40" s="60" t="s">
        <v>84</v>
      </c>
      <c r="BJ40" s="27">
        <v>12123.200000000004</v>
      </c>
      <c r="BK40" s="27">
        <v>9829.4599999999991</v>
      </c>
      <c r="BL40" s="27">
        <v>12965.45</v>
      </c>
      <c r="BM40" s="27">
        <v>7394.32</v>
      </c>
      <c r="BN40" s="27">
        <v>7186.2599999999875</v>
      </c>
      <c r="BO40" s="27">
        <v>6458.5800000000017</v>
      </c>
      <c r="BP40" s="27">
        <v>7719.239999999998</v>
      </c>
      <c r="BQ40" s="27">
        <v>8456.6299999999974</v>
      </c>
      <c r="BR40" s="27">
        <v>8235.9199999999983</v>
      </c>
      <c r="BS40" s="27">
        <v>4716.9200000000019</v>
      </c>
      <c r="BT40" s="27">
        <v>7936.2900000000018</v>
      </c>
      <c r="BU40" s="27">
        <v>8084.52</v>
      </c>
      <c r="BV40" s="43">
        <f t="shared" si="52"/>
        <v>101106.79</v>
      </c>
      <c r="BW40" s="405"/>
      <c r="BX40" s="32">
        <f t="shared" si="214"/>
        <v>0.1107080858619542</v>
      </c>
      <c r="BY40" s="32">
        <f t="shared" si="215"/>
        <v>0.20167401341859184</v>
      </c>
      <c r="BZ40" s="32">
        <f t="shared" si="216"/>
        <v>0.29450851729485128</v>
      </c>
      <c r="CA40" s="32">
        <f t="shared" si="217"/>
        <v>0.34538307116249228</v>
      </c>
      <c r="CB40" s="32">
        <f t="shared" si="218"/>
        <v>0.39721221577737575</v>
      </c>
      <c r="CC40" s="32">
        <f t="shared" si="219"/>
        <v>0.4755594538250385</v>
      </c>
      <c r="CD40" s="32">
        <f t="shared" si="220"/>
        <v>0.57327015349455512</v>
      </c>
      <c r="CE40" s="32">
        <f t="shared" si="221"/>
        <v>0.65249687243011978</v>
      </c>
      <c r="CF40" s="32">
        <f t="shared" si="222"/>
        <v>0.73096821854334582</v>
      </c>
      <c r="CG40" s="32">
        <f t="shared" si="223"/>
        <v>0.80704883298784602</v>
      </c>
      <c r="CH40" s="32">
        <f t="shared" si="224"/>
        <v>0.8768748516648277</v>
      </c>
      <c r="CI40" s="32">
        <f t="shared" si="225"/>
        <v>1</v>
      </c>
      <c r="CJ40" s="405"/>
      <c r="CK40" s="32">
        <f t="shared" si="226"/>
        <v>0.16642179139464874</v>
      </c>
      <c r="CL40" s="32">
        <f t="shared" si="227"/>
        <v>0.33145099930447397</v>
      </c>
      <c r="CM40" s="32">
        <f t="shared" si="228"/>
        <v>0.45016284579912158</v>
      </c>
      <c r="CN40" s="32">
        <f t="shared" si="229"/>
        <v>0.51324975654545379</v>
      </c>
      <c r="CO40" s="32">
        <f t="shared" si="230"/>
        <v>0.57612937744749793</v>
      </c>
      <c r="CP40" s="32">
        <f t="shared" si="231"/>
        <v>0.63113121860600163</v>
      </c>
      <c r="CQ40" s="32">
        <f t="shared" si="232"/>
        <v>0.67721719739026121</v>
      </c>
      <c r="CR40" s="32">
        <f t="shared" si="233"/>
        <v>0.73188812004088022</v>
      </c>
      <c r="CS40" s="32">
        <f t="shared" si="234"/>
        <v>0.77738979770532557</v>
      </c>
      <c r="CT40" s="32">
        <f t="shared" si="235"/>
        <v>0.91221696207723935</v>
      </c>
      <c r="CU40" s="32">
        <f t="shared" si="236"/>
        <v>0.9434775569056818</v>
      </c>
      <c r="CV40" s="32">
        <f t="shared" si="237"/>
        <v>1</v>
      </c>
      <c r="CX40" s="32">
        <f t="shared" si="238"/>
        <v>0.11671286023688889</v>
      </c>
      <c r="CY40" s="32">
        <f t="shared" si="239"/>
        <v>0.24664530351834293</v>
      </c>
      <c r="CZ40" s="32">
        <f t="shared" si="240"/>
        <v>0.33602824578040957</v>
      </c>
      <c r="DA40" s="32">
        <f t="shared" si="241"/>
        <v>0.40200169189797302</v>
      </c>
      <c r="DB40" s="32">
        <f t="shared" si="242"/>
        <v>0.45942323983552447</v>
      </c>
      <c r="DC40" s="32">
        <f t="shared" si="243"/>
        <v>0.51758629630649611</v>
      </c>
      <c r="DD40" s="32">
        <f t="shared" si="244"/>
        <v>0.59228786284976864</v>
      </c>
      <c r="DE40" s="32">
        <f t="shared" si="245"/>
        <v>0.68173119000349047</v>
      </c>
      <c r="DF40" s="32">
        <f t="shared" si="246"/>
        <v>0.76235671619934209</v>
      </c>
      <c r="DG40" s="32">
        <f t="shared" si="247"/>
        <v>0.84467032894557637</v>
      </c>
      <c r="DH40" s="32">
        <f t="shared" si="248"/>
        <v>0.91222286240005812</v>
      </c>
      <c r="DI40" s="32">
        <f t="shared" si="249"/>
        <v>1</v>
      </c>
      <c r="DK40" s="32">
        <f t="shared" si="145"/>
        <v>0.12026744984857189</v>
      </c>
      <c r="DL40" s="32">
        <f t="shared" si="146"/>
        <v>0.21075658597477465</v>
      </c>
      <c r="DM40" s="32">
        <f t="shared" si="147"/>
        <v>0.30222801568318636</v>
      </c>
      <c r="DN40" s="32">
        <f t="shared" si="148"/>
        <v>0.36000866052017594</v>
      </c>
      <c r="DO40" s="32">
        <f t="shared" si="149"/>
        <v>0.42766313613458062</v>
      </c>
      <c r="DP40" s="32">
        <f t="shared" si="150"/>
        <v>0.48360601230694483</v>
      </c>
      <c r="DQ40" s="32">
        <f t="shared" si="151"/>
        <v>0.56645373166839119</v>
      </c>
      <c r="DR40" s="32">
        <f t="shared" si="152"/>
        <v>0.65564960184646071</v>
      </c>
      <c r="DS40" s="32">
        <f t="shared" si="153"/>
        <v>0.72562854222605755</v>
      </c>
      <c r="DT40" s="32">
        <f t="shared" si="154"/>
        <v>0.8110699669496958</v>
      </c>
      <c r="DU40" s="32">
        <f t="shared" si="155"/>
        <v>0.87540904464094971</v>
      </c>
      <c r="DV40" s="32">
        <f t="shared" si="156"/>
        <v>1</v>
      </c>
      <c r="DW40" s="39"/>
      <c r="DX40" s="32">
        <f t="shared" si="157"/>
        <v>0.11990490450740257</v>
      </c>
      <c r="DY40" s="32">
        <f t="shared" si="158"/>
        <v>0.21712349882732906</v>
      </c>
      <c r="DZ40" s="32">
        <f t="shared" si="159"/>
        <v>0.34535870439561978</v>
      </c>
      <c r="EA40" s="32">
        <f t="shared" si="160"/>
        <v>0.41849246722203326</v>
      </c>
      <c r="EB40" s="32">
        <f t="shared" si="161"/>
        <v>0.48956840584099237</v>
      </c>
      <c r="EC40" s="32">
        <f t="shared" si="162"/>
        <v>0.55344720171612605</v>
      </c>
      <c r="ED40" s="32">
        <f t="shared" si="163"/>
        <v>0.62979459638665214</v>
      </c>
      <c r="EE40" s="32">
        <f t="shared" si="164"/>
        <v>0.71343517087230235</v>
      </c>
      <c r="EF40" s="32">
        <f t="shared" si="165"/>
        <v>0.79489280591343059</v>
      </c>
      <c r="EG40" s="32">
        <f t="shared" si="166"/>
        <v>0.8415456568248284</v>
      </c>
      <c r="EH40" s="32">
        <f t="shared" si="167"/>
        <v>0.92003979159065374</v>
      </c>
      <c r="EI40" s="32">
        <f t="shared" si="168"/>
        <v>1</v>
      </c>
      <c r="EK40" s="32">
        <f t="shared" si="250"/>
        <v>0.11896173819762113</v>
      </c>
      <c r="EL40" s="32">
        <f t="shared" si="169"/>
        <v>0.22484179610681554</v>
      </c>
      <c r="EM40" s="32">
        <f t="shared" si="170"/>
        <v>0.32787165528640522</v>
      </c>
      <c r="EN40" s="32">
        <f t="shared" si="171"/>
        <v>0.39350093988006069</v>
      </c>
      <c r="EO40" s="32">
        <f t="shared" si="172"/>
        <v>0.45888492727036584</v>
      </c>
      <c r="EP40" s="32">
        <f t="shared" si="173"/>
        <v>0.51821317010985568</v>
      </c>
      <c r="EQ40" s="32">
        <f t="shared" si="174"/>
        <v>0.59617873030160407</v>
      </c>
      <c r="ER40" s="32">
        <f t="shared" si="175"/>
        <v>0.68360532090741788</v>
      </c>
      <c r="ES40" s="32">
        <f t="shared" si="176"/>
        <v>0.76095935477961019</v>
      </c>
      <c r="ET40" s="32">
        <f t="shared" si="177"/>
        <v>0.83242865090670015</v>
      </c>
      <c r="EU40" s="32">
        <f t="shared" si="178"/>
        <v>0.90255723287722045</v>
      </c>
      <c r="EV40" s="32">
        <f t="shared" si="179"/>
        <v>1</v>
      </c>
      <c r="EX40" s="32">
        <f t="shared" si="180"/>
        <v>0.130826751496878</v>
      </c>
      <c r="EY40" s="32">
        <f t="shared" si="181"/>
        <v>0.25149409690623015</v>
      </c>
      <c r="EZ40" s="32">
        <f t="shared" si="182"/>
        <v>0.35844445291458432</v>
      </c>
      <c r="FA40" s="32">
        <f t="shared" si="183"/>
        <v>0.423438144046409</v>
      </c>
      <c r="FB40" s="32">
        <f t="shared" si="184"/>
        <v>0.48819603981464887</v>
      </c>
      <c r="FC40" s="32">
        <f t="shared" si="185"/>
        <v>0.54644268223389214</v>
      </c>
      <c r="FD40" s="32">
        <f t="shared" si="186"/>
        <v>0.61643834707376832</v>
      </c>
      <c r="FE40" s="32">
        <f t="shared" si="187"/>
        <v>0.69567602069078349</v>
      </c>
      <c r="FF40" s="32">
        <f t="shared" si="188"/>
        <v>0.76506696551103903</v>
      </c>
      <c r="FG40" s="32">
        <f t="shared" si="189"/>
        <v>0.85237572869933498</v>
      </c>
      <c r="FH40" s="32">
        <f t="shared" si="190"/>
        <v>0.91278731388433576</v>
      </c>
      <c r="FI40" s="32">
        <f t="shared" si="191"/>
        <v>1</v>
      </c>
      <c r="FK40" s="32">
        <f t="shared" si="251"/>
        <v>0.13446736716003652</v>
      </c>
      <c r="FL40" s="32">
        <f t="shared" si="192"/>
        <v>0.26295096293253051</v>
      </c>
      <c r="FM40" s="32">
        <f t="shared" si="193"/>
        <v>0.36280636908757247</v>
      </c>
      <c r="FN40" s="32">
        <f t="shared" si="194"/>
        <v>0.4250867029878676</v>
      </c>
      <c r="FO40" s="32">
        <f t="shared" si="195"/>
        <v>0.48773858447253432</v>
      </c>
      <c r="FP40" s="32">
        <f t="shared" si="196"/>
        <v>0.5441078424064808</v>
      </c>
      <c r="FQ40" s="32">
        <f t="shared" si="197"/>
        <v>0.61198626396947364</v>
      </c>
      <c r="FR40" s="32">
        <f t="shared" si="198"/>
        <v>0.68975630396361043</v>
      </c>
      <c r="FS40" s="32">
        <f t="shared" si="199"/>
        <v>0.75512501871024174</v>
      </c>
      <c r="FT40" s="32">
        <f t="shared" si="200"/>
        <v>0.85598575265750387</v>
      </c>
      <c r="FU40" s="32">
        <f t="shared" si="201"/>
        <v>0.91036982131556321</v>
      </c>
      <c r="FV40" s="32">
        <f t="shared" si="202"/>
        <v>1</v>
      </c>
      <c r="FX40" s="32">
        <f t="shared" si="252"/>
        <v>0.13128091249783061</v>
      </c>
      <c r="FY40" s="32">
        <f t="shared" si="203"/>
        <v>0.25992343874713625</v>
      </c>
      <c r="FZ40" s="32">
        <f t="shared" si="204"/>
        <v>0.3602332029581275</v>
      </c>
      <c r="GA40" s="32">
        <f t="shared" si="205"/>
        <v>0.42021150653530642</v>
      </c>
      <c r="GB40" s="32">
        <f t="shared" si="206"/>
        <v>0.4775882776867994</v>
      </c>
      <c r="GC40" s="32">
        <f t="shared" si="207"/>
        <v>0.54142565624584538</v>
      </c>
      <c r="GD40" s="32">
        <f t="shared" si="208"/>
        <v>0.61425840457819503</v>
      </c>
      <c r="GE40" s="32">
        <f t="shared" si="209"/>
        <v>0.68870539415816356</v>
      </c>
      <c r="GF40" s="32">
        <f t="shared" si="210"/>
        <v>0.75690491081600453</v>
      </c>
      <c r="GG40" s="32">
        <f t="shared" si="211"/>
        <v>0.85464537467022061</v>
      </c>
      <c r="GH40" s="32">
        <f t="shared" si="212"/>
        <v>0.91085842365685588</v>
      </c>
      <c r="GI40" s="32">
        <f t="shared" si="213"/>
        <v>1</v>
      </c>
    </row>
    <row r="41" spans="1:191">
      <c r="A41" s="724" t="s">
        <v>85</v>
      </c>
      <c r="B41" s="399">
        <v>62403.540000000037</v>
      </c>
      <c r="C41" s="400">
        <v>54446.699999999975</v>
      </c>
      <c r="D41" s="400">
        <v>46735.750000000022</v>
      </c>
      <c r="E41" s="400">
        <v>30733.910000000014</v>
      </c>
      <c r="F41" s="400">
        <v>45231.14999999998</v>
      </c>
      <c r="G41" s="400">
        <v>41903.05000000001</v>
      </c>
      <c r="H41" s="400">
        <v>42052.399999999994</v>
      </c>
      <c r="I41" s="400">
        <v>30388.98</v>
      </c>
      <c r="J41" s="400">
        <v>38019.289999999994</v>
      </c>
      <c r="K41" s="400">
        <v>21487.119999999995</v>
      </c>
      <c r="L41" s="400">
        <v>17184.239999999998</v>
      </c>
      <c r="M41" s="400">
        <v>28168.2</v>
      </c>
      <c r="N41" s="400">
        <f t="shared" si="142"/>
        <v>458754.32999999996</v>
      </c>
      <c r="P41" s="396" t="s">
        <v>85</v>
      </c>
      <c r="Q41" s="399">
        <v>41165.14</v>
      </c>
      <c r="R41" s="400">
        <v>42656.25</v>
      </c>
      <c r="S41" s="400">
        <v>36362.25</v>
      </c>
      <c r="T41" s="400">
        <v>19007.82</v>
      </c>
      <c r="U41" s="400">
        <v>24079.81</v>
      </c>
      <c r="V41" s="400">
        <v>30436.25</v>
      </c>
      <c r="W41" s="400">
        <v>32371.940000000002</v>
      </c>
      <c r="X41" s="400">
        <v>33886.540000000008</v>
      </c>
      <c r="Y41" s="400">
        <v>35692.210000000006</v>
      </c>
      <c r="Z41" s="400">
        <v>66680.819999999992</v>
      </c>
      <c r="AA41" s="400">
        <v>31111.929999999997</v>
      </c>
      <c r="AB41" s="400">
        <v>41051.449999999983</v>
      </c>
      <c r="AC41" s="400">
        <f t="shared" si="143"/>
        <v>434502.41000000003</v>
      </c>
      <c r="AE41" s="127" t="s">
        <v>85</v>
      </c>
      <c r="AF41" s="27">
        <v>35549.9</v>
      </c>
      <c r="AG41" s="27">
        <v>35660.800000000003</v>
      </c>
      <c r="AH41" s="27">
        <v>26848.98</v>
      </c>
      <c r="AI41" s="27">
        <v>25463.21</v>
      </c>
      <c r="AJ41" s="27">
        <v>26016.86</v>
      </c>
      <c r="AK41" s="27">
        <v>19634.23</v>
      </c>
      <c r="AL41" s="27">
        <v>26309.67</v>
      </c>
      <c r="AM41" s="27">
        <v>30935.62</v>
      </c>
      <c r="AN41" s="27">
        <v>27075.34</v>
      </c>
      <c r="AO41" s="27">
        <v>32159.34</v>
      </c>
      <c r="AP41" s="27">
        <v>17713.79</v>
      </c>
      <c r="AQ41" s="27">
        <v>21176.45</v>
      </c>
      <c r="AR41" s="43">
        <f t="shared" si="144"/>
        <v>324544.19</v>
      </c>
      <c r="AT41" s="60" t="s">
        <v>85</v>
      </c>
      <c r="AU41" s="27">
        <v>32775.00999999998</v>
      </c>
      <c r="AV41" s="27">
        <v>20149.899999999983</v>
      </c>
      <c r="AW41" s="27">
        <v>16552.709999999995</v>
      </c>
      <c r="AX41" s="27">
        <v>15082.55</v>
      </c>
      <c r="AY41" s="27">
        <v>12143.390000000012</v>
      </c>
      <c r="AZ41" s="27">
        <v>7201.42</v>
      </c>
      <c r="BA41" s="27">
        <v>9066.6699999999964</v>
      </c>
      <c r="BB41" s="27">
        <v>10181.730000000001</v>
      </c>
      <c r="BC41" s="27">
        <v>7721.3499999999995</v>
      </c>
      <c r="BD41" s="27">
        <v>13991.460000000001</v>
      </c>
      <c r="BE41" s="27">
        <v>8878.9</v>
      </c>
      <c r="BF41" s="27">
        <v>14586.53</v>
      </c>
      <c r="BG41" s="43">
        <f t="shared" si="2"/>
        <v>168331.61999999997</v>
      </c>
      <c r="BI41" s="60" t="s">
        <v>85</v>
      </c>
      <c r="BJ41" s="27">
        <v>17325.209999999985</v>
      </c>
      <c r="BK41" s="27">
        <v>20363.580000000002</v>
      </c>
      <c r="BL41" s="27">
        <v>13125.369999999995</v>
      </c>
      <c r="BM41" s="27">
        <v>14836.529999999993</v>
      </c>
      <c r="BN41" s="27">
        <v>9642.2500000000109</v>
      </c>
      <c r="BO41" s="27">
        <v>12954.409999999993</v>
      </c>
      <c r="BP41" s="27">
        <v>13415.810000000001</v>
      </c>
      <c r="BQ41" s="27">
        <v>15084.26</v>
      </c>
      <c r="BR41" s="27">
        <v>11292.669999999998</v>
      </c>
      <c r="BS41" s="27">
        <v>7866.5800000000008</v>
      </c>
      <c r="BT41" s="27">
        <v>8987.2500000000036</v>
      </c>
      <c r="BU41" s="27">
        <v>8838.5</v>
      </c>
      <c r="BV41" s="43">
        <f t="shared" si="52"/>
        <v>153732.41999999995</v>
      </c>
      <c r="BW41" s="405"/>
      <c r="BX41" s="32">
        <f t="shared" si="214"/>
        <v>0.13602823105778653</v>
      </c>
      <c r="BY41" s="32">
        <f t="shared" si="215"/>
        <v>0.25471201547024097</v>
      </c>
      <c r="BZ41" s="32">
        <f t="shared" si="216"/>
        <v>0.35658734817827237</v>
      </c>
      <c r="CA41" s="32">
        <f t="shared" si="217"/>
        <v>0.42358161502257663</v>
      </c>
      <c r="CB41" s="32">
        <f t="shared" si="218"/>
        <v>0.52217719667081963</v>
      </c>
      <c r="CC41" s="32">
        <f t="shared" si="219"/>
        <v>0.61351813289696921</v>
      </c>
      <c r="CD41" s="32">
        <f t="shared" si="220"/>
        <v>0.70518462463340681</v>
      </c>
      <c r="CE41" s="32">
        <f t="shared" si="221"/>
        <v>0.77142700756633731</v>
      </c>
      <c r="CF41" s="32">
        <f t="shared" si="222"/>
        <v>0.85430206184647894</v>
      </c>
      <c r="CG41" s="32">
        <f t="shared" si="223"/>
        <v>0.9011400284766794</v>
      </c>
      <c r="CH41" s="32">
        <f t="shared" si="224"/>
        <v>0.93859850870508399</v>
      </c>
      <c r="CI41" s="32">
        <f t="shared" si="225"/>
        <v>1</v>
      </c>
      <c r="CJ41" s="405"/>
      <c r="CK41" s="32">
        <f t="shared" si="226"/>
        <v>9.4740878422285388E-2</v>
      </c>
      <c r="CL41" s="32">
        <f t="shared" si="227"/>
        <v>0.19291352146930552</v>
      </c>
      <c r="CM41" s="32">
        <f t="shared" si="228"/>
        <v>0.27660062921169987</v>
      </c>
      <c r="CN41" s="32">
        <f t="shared" si="229"/>
        <v>0.32034680774267738</v>
      </c>
      <c r="CO41" s="32">
        <f t="shared" si="230"/>
        <v>0.37576608608453971</v>
      </c>
      <c r="CP41" s="32">
        <f t="shared" si="231"/>
        <v>0.44581460434247067</v>
      </c>
      <c r="CQ41" s="32">
        <f t="shared" si="232"/>
        <v>0.52031808062928808</v>
      </c>
      <c r="CR41" s="32">
        <f t="shared" si="233"/>
        <v>0.59830738338137179</v>
      </c>
      <c r="CS41" s="32">
        <f t="shared" si="234"/>
        <v>0.68045240531577256</v>
      </c>
      <c r="CT41" s="32">
        <f t="shared" si="235"/>
        <v>0.83391719277230247</v>
      </c>
      <c r="CU41" s="32">
        <f t="shared" si="236"/>
        <v>0.9055207772035142</v>
      </c>
      <c r="CV41" s="32">
        <f t="shared" si="237"/>
        <v>1</v>
      </c>
      <c r="CX41" s="32">
        <f t="shared" si="238"/>
        <v>0.10953793380186533</v>
      </c>
      <c r="CY41" s="32">
        <f t="shared" si="239"/>
        <v>0.21941757761862879</v>
      </c>
      <c r="CZ41" s="32">
        <f t="shared" si="240"/>
        <v>0.30214584953746981</v>
      </c>
      <c r="DA41" s="32">
        <f t="shared" si="241"/>
        <v>0.38060422526744359</v>
      </c>
      <c r="DB41" s="32">
        <f t="shared" si="242"/>
        <v>0.46076853201408413</v>
      </c>
      <c r="DC41" s="32">
        <f t="shared" si="243"/>
        <v>0.52126639518643059</v>
      </c>
      <c r="DD41" s="32">
        <f t="shared" si="244"/>
        <v>0.60233292113471515</v>
      </c>
      <c r="DE41" s="32">
        <f t="shared" si="245"/>
        <v>0.69765313007143959</v>
      </c>
      <c r="DF41" s="32">
        <f t="shared" si="246"/>
        <v>0.78107887249499064</v>
      </c>
      <c r="DG41" s="32">
        <f t="shared" si="247"/>
        <v>0.88016966194957924</v>
      </c>
      <c r="DH41" s="32">
        <f t="shared" si="248"/>
        <v>0.93475017993697562</v>
      </c>
      <c r="DI41" s="32">
        <f t="shared" si="249"/>
        <v>1</v>
      </c>
      <c r="DK41" s="32">
        <f t="shared" si="145"/>
        <v>0.19470501145298777</v>
      </c>
      <c r="DL41" s="32">
        <f t="shared" si="146"/>
        <v>0.31440860605987142</v>
      </c>
      <c r="DM41" s="32">
        <f t="shared" si="147"/>
        <v>0.41274253761711532</v>
      </c>
      <c r="DN41" s="32">
        <f t="shared" si="148"/>
        <v>0.50234275651835325</v>
      </c>
      <c r="DO41" s="32">
        <f t="shared" si="149"/>
        <v>0.5744824412668279</v>
      </c>
      <c r="DP41" s="32">
        <f t="shared" si="150"/>
        <v>0.6172635895739611</v>
      </c>
      <c r="DQ41" s="32">
        <f t="shared" si="151"/>
        <v>0.67112554373325695</v>
      </c>
      <c r="DR41" s="32">
        <f t="shared" si="152"/>
        <v>0.7316116841268443</v>
      </c>
      <c r="DS41" s="32">
        <f t="shared" si="153"/>
        <v>0.77748155694099541</v>
      </c>
      <c r="DT41" s="32">
        <f t="shared" si="154"/>
        <v>0.86059998709689833</v>
      </c>
      <c r="DU41" s="32">
        <f t="shared" si="155"/>
        <v>0.91334646455609469</v>
      </c>
      <c r="DV41" s="32">
        <f t="shared" si="156"/>
        <v>1</v>
      </c>
      <c r="DW41" s="39"/>
      <c r="DX41" s="32">
        <f t="shared" si="157"/>
        <v>0.11269717864325553</v>
      </c>
      <c r="DY41" s="32">
        <f t="shared" si="158"/>
        <v>0.24515837323057815</v>
      </c>
      <c r="DZ41" s="32">
        <f t="shared" si="159"/>
        <v>0.33053639564120563</v>
      </c>
      <c r="EA41" s="32">
        <f t="shared" si="160"/>
        <v>0.42704518669516811</v>
      </c>
      <c r="EB41" s="32">
        <f t="shared" si="161"/>
        <v>0.48976617944347722</v>
      </c>
      <c r="EC41" s="32">
        <f t="shared" si="162"/>
        <v>0.5740321397399456</v>
      </c>
      <c r="ED41" s="32">
        <f t="shared" si="163"/>
        <v>0.66129941882135213</v>
      </c>
      <c r="EE41" s="32">
        <f t="shared" si="164"/>
        <v>0.75941964616181812</v>
      </c>
      <c r="EF41" s="32">
        <f t="shared" si="165"/>
        <v>0.83287630546634217</v>
      </c>
      <c r="EG41" s="32">
        <f t="shared" si="166"/>
        <v>0.88404690435498245</v>
      </c>
      <c r="EH41" s="32">
        <f t="shared" si="167"/>
        <v>0.94250724733273561</v>
      </c>
      <c r="EI41" s="32">
        <f t="shared" si="168"/>
        <v>1</v>
      </c>
      <c r="EK41" s="32">
        <f t="shared" si="250"/>
        <v>0.13898004129936953</v>
      </c>
      <c r="EL41" s="32">
        <f t="shared" si="169"/>
        <v>0.25966151896969275</v>
      </c>
      <c r="EM41" s="32">
        <f t="shared" si="170"/>
        <v>0.34847492759859694</v>
      </c>
      <c r="EN41" s="32">
        <f t="shared" si="171"/>
        <v>0.43666405616032167</v>
      </c>
      <c r="EO41" s="32">
        <f t="shared" si="172"/>
        <v>0.5083390509081297</v>
      </c>
      <c r="EP41" s="32">
        <f t="shared" si="173"/>
        <v>0.57085404150011243</v>
      </c>
      <c r="EQ41" s="32">
        <f t="shared" si="174"/>
        <v>0.64491929456310804</v>
      </c>
      <c r="ER41" s="32">
        <f t="shared" si="175"/>
        <v>0.72956148678670063</v>
      </c>
      <c r="ES41" s="32">
        <f t="shared" si="176"/>
        <v>0.79714557830077604</v>
      </c>
      <c r="ET41" s="32">
        <f t="shared" si="177"/>
        <v>0.87493885113382008</v>
      </c>
      <c r="EU41" s="32">
        <f t="shared" si="178"/>
        <v>0.93020129727526868</v>
      </c>
      <c r="EV41" s="32">
        <f t="shared" si="179"/>
        <v>1</v>
      </c>
      <c r="EX41" s="32">
        <f t="shared" si="180"/>
        <v>0.12792025058009851</v>
      </c>
      <c r="EY41" s="32">
        <f t="shared" si="181"/>
        <v>0.24297451959459598</v>
      </c>
      <c r="EZ41" s="32">
        <f t="shared" si="182"/>
        <v>0.33050635300187264</v>
      </c>
      <c r="FA41" s="32">
        <f t="shared" si="183"/>
        <v>0.40758474405591061</v>
      </c>
      <c r="FB41" s="32">
        <f t="shared" si="184"/>
        <v>0.47519580970223224</v>
      </c>
      <c r="FC41" s="32">
        <f t="shared" si="185"/>
        <v>0.53959418221070199</v>
      </c>
      <c r="FD41" s="32">
        <f t="shared" si="186"/>
        <v>0.6137689910796531</v>
      </c>
      <c r="FE41" s="32">
        <f t="shared" si="187"/>
        <v>0.69674796093536839</v>
      </c>
      <c r="FF41" s="32">
        <f t="shared" si="188"/>
        <v>0.76797228505452519</v>
      </c>
      <c r="FG41" s="32">
        <f t="shared" si="189"/>
        <v>0.8646834365434406</v>
      </c>
      <c r="FH41" s="32">
        <f t="shared" si="190"/>
        <v>0.92403116725733003</v>
      </c>
      <c r="FI41" s="32">
        <f t="shared" si="191"/>
        <v>1</v>
      </c>
      <c r="FK41" s="32">
        <f t="shared" si="251"/>
        <v>0.13299460789237949</v>
      </c>
      <c r="FL41" s="32">
        <f t="shared" si="192"/>
        <v>0.24224656838260192</v>
      </c>
      <c r="FM41" s="32">
        <f t="shared" si="193"/>
        <v>0.33049633878876167</v>
      </c>
      <c r="FN41" s="32">
        <f t="shared" si="194"/>
        <v>0.40109792984282477</v>
      </c>
      <c r="FO41" s="32">
        <f t="shared" si="195"/>
        <v>0.47033901978848397</v>
      </c>
      <c r="FP41" s="32">
        <f t="shared" si="196"/>
        <v>0.52811486303428745</v>
      </c>
      <c r="FQ41" s="32">
        <f t="shared" si="197"/>
        <v>0.59792551516575332</v>
      </c>
      <c r="FR41" s="32">
        <f t="shared" si="198"/>
        <v>0.67585739919321852</v>
      </c>
      <c r="FS41" s="32">
        <f t="shared" si="199"/>
        <v>0.74633761158391954</v>
      </c>
      <c r="FT41" s="32">
        <f t="shared" si="200"/>
        <v>0.85822894727292676</v>
      </c>
      <c r="FU41" s="32">
        <f t="shared" si="201"/>
        <v>0.91787247389886151</v>
      </c>
      <c r="FV41" s="32">
        <f t="shared" si="202"/>
        <v>1</v>
      </c>
      <c r="FX41" s="32">
        <f t="shared" si="252"/>
        <v>0.1134356810939791</v>
      </c>
      <c r="FY41" s="32">
        <f t="shared" si="203"/>
        <v>0.22234770485272506</v>
      </c>
      <c r="FZ41" s="32">
        <f t="shared" si="204"/>
        <v>0.31177794230914735</v>
      </c>
      <c r="GA41" s="32">
        <f t="shared" si="205"/>
        <v>0.37484421601089918</v>
      </c>
      <c r="GB41" s="32">
        <f t="shared" si="206"/>
        <v>0.45290393825648118</v>
      </c>
      <c r="GC41" s="32">
        <f t="shared" si="207"/>
        <v>0.52686637747529019</v>
      </c>
      <c r="GD41" s="32">
        <f t="shared" si="208"/>
        <v>0.60927854213247001</v>
      </c>
      <c r="GE41" s="32">
        <f t="shared" si="209"/>
        <v>0.6891291736730496</v>
      </c>
      <c r="GF41" s="32">
        <f t="shared" si="210"/>
        <v>0.77194444655241412</v>
      </c>
      <c r="GG41" s="32">
        <f t="shared" si="211"/>
        <v>0.87174229439952045</v>
      </c>
      <c r="GH41" s="32">
        <f t="shared" si="212"/>
        <v>0.92628982194852461</v>
      </c>
      <c r="GI41" s="32">
        <f t="shared" si="213"/>
        <v>1</v>
      </c>
    </row>
    <row r="42" spans="1:191">
      <c r="A42" s="724" t="s">
        <v>86</v>
      </c>
      <c r="B42" s="399">
        <v>27870.760000000009</v>
      </c>
      <c r="C42" s="400">
        <v>20171.099999999995</v>
      </c>
      <c r="D42" s="400">
        <v>21927.760000000006</v>
      </c>
      <c r="E42" s="400">
        <v>16041.560000000005</v>
      </c>
      <c r="F42" s="400">
        <v>11791.28</v>
      </c>
      <c r="G42" s="400">
        <v>19489.270000000004</v>
      </c>
      <c r="H42" s="400">
        <v>15409.280000000002</v>
      </c>
      <c r="I42" s="400">
        <v>12277.929999999998</v>
      </c>
      <c r="J42" s="400">
        <v>8013.3499999999976</v>
      </c>
      <c r="K42" s="400">
        <v>9549.340000000002</v>
      </c>
      <c r="L42" s="400">
        <v>8366.2999999999975</v>
      </c>
      <c r="M42" s="400">
        <v>13377.529999999999</v>
      </c>
      <c r="N42" s="400">
        <f t="shared" si="142"/>
        <v>184285.46000000002</v>
      </c>
      <c r="P42" s="396" t="s">
        <v>86</v>
      </c>
      <c r="Q42" s="399">
        <v>22378.58</v>
      </c>
      <c r="R42" s="400">
        <v>26844.22</v>
      </c>
      <c r="S42" s="400">
        <v>42721.89</v>
      </c>
      <c r="T42" s="400">
        <v>14353.48</v>
      </c>
      <c r="U42" s="400">
        <v>9814.2999999999993</v>
      </c>
      <c r="V42" s="400">
        <v>15090.240000000002</v>
      </c>
      <c r="W42" s="400">
        <v>15685.500000000007</v>
      </c>
      <c r="X42" s="400">
        <v>14038.419999999998</v>
      </c>
      <c r="Y42" s="400">
        <v>14825.740000000005</v>
      </c>
      <c r="Z42" s="400">
        <v>26450.609999999997</v>
      </c>
      <c r="AA42" s="400">
        <v>9488.619999999999</v>
      </c>
      <c r="AB42" s="400">
        <v>10814.77</v>
      </c>
      <c r="AC42" s="400">
        <f t="shared" si="143"/>
        <v>222506.36999999997</v>
      </c>
      <c r="AE42" s="127" t="s">
        <v>86</v>
      </c>
      <c r="AF42" s="27">
        <v>16310.64</v>
      </c>
      <c r="AG42" s="27">
        <v>11796.63</v>
      </c>
      <c r="AH42" s="27">
        <v>13795.01</v>
      </c>
      <c r="AI42" s="27">
        <v>12223.07</v>
      </c>
      <c r="AJ42" s="27">
        <v>13304.9</v>
      </c>
      <c r="AK42" s="27">
        <v>17809.740000000002</v>
      </c>
      <c r="AL42" s="27">
        <v>19183.8</v>
      </c>
      <c r="AM42" s="27">
        <v>13088.98</v>
      </c>
      <c r="AN42" s="27">
        <v>13857.55</v>
      </c>
      <c r="AO42" s="27">
        <v>11310.59</v>
      </c>
      <c r="AP42" s="27">
        <v>9499.66</v>
      </c>
      <c r="AQ42" s="27">
        <v>11660.6</v>
      </c>
      <c r="AR42" s="43">
        <f t="shared" si="144"/>
        <v>163841.17000000001</v>
      </c>
      <c r="AT42" s="60" t="s">
        <v>86</v>
      </c>
      <c r="AU42" s="27">
        <v>10203.849999999997</v>
      </c>
      <c r="AV42" s="27">
        <v>5656.9299999999976</v>
      </c>
      <c r="AW42" s="27">
        <v>6249.0400000000054</v>
      </c>
      <c r="AX42" s="27">
        <v>6650.619999999999</v>
      </c>
      <c r="AY42" s="27">
        <v>4588.3500000000022</v>
      </c>
      <c r="AZ42" s="27">
        <v>5492.16</v>
      </c>
      <c r="BA42" s="27">
        <v>12465.53</v>
      </c>
      <c r="BB42" s="27">
        <v>8734.09</v>
      </c>
      <c r="BC42" s="27">
        <v>7098.96</v>
      </c>
      <c r="BD42" s="27">
        <v>5709.4800000000005</v>
      </c>
      <c r="BE42" s="27">
        <v>7334.95</v>
      </c>
      <c r="BF42" s="27">
        <v>5985.37</v>
      </c>
      <c r="BG42" s="43">
        <f t="shared" si="2"/>
        <v>86169.329999999987</v>
      </c>
      <c r="BI42" s="60" t="s">
        <v>86</v>
      </c>
      <c r="BJ42" s="27">
        <v>10395.449999999995</v>
      </c>
      <c r="BK42" s="27">
        <v>5624.8499999999949</v>
      </c>
      <c r="BL42" s="27">
        <v>6702.4599999999982</v>
      </c>
      <c r="BM42" s="27">
        <v>6489.5299999999988</v>
      </c>
      <c r="BN42" s="27">
        <v>5465.4799999999968</v>
      </c>
      <c r="BO42" s="27">
        <v>4978.9299999999994</v>
      </c>
      <c r="BP42" s="27">
        <v>5261.8100000000013</v>
      </c>
      <c r="BQ42" s="27">
        <v>4751.4599999999991</v>
      </c>
      <c r="BR42" s="27">
        <v>4087.69</v>
      </c>
      <c r="BS42" s="27">
        <v>4201.4600000000009</v>
      </c>
      <c r="BT42" s="27">
        <v>6812.1700000000019</v>
      </c>
      <c r="BU42" s="27">
        <v>3447.4900000000011</v>
      </c>
      <c r="BV42" s="43">
        <f t="shared" si="52"/>
        <v>68218.779999999984</v>
      </c>
      <c r="BW42" s="405"/>
      <c r="BX42" s="32">
        <f t="shared" si="214"/>
        <v>0.15123689085400446</v>
      </c>
      <c r="BY42" s="32">
        <f t="shared" si="215"/>
        <v>0.26069262328129411</v>
      </c>
      <c r="BZ42" s="32">
        <f t="shared" si="216"/>
        <v>0.37968063242753936</v>
      </c>
      <c r="CA42" s="32">
        <f t="shared" si="217"/>
        <v>0.46672797734558119</v>
      </c>
      <c r="CB42" s="32">
        <f t="shared" si="218"/>
        <v>0.53071175555575578</v>
      </c>
      <c r="CC42" s="32">
        <f t="shared" si="219"/>
        <v>0.63646763016463703</v>
      </c>
      <c r="CD42" s="32">
        <f t="shared" si="220"/>
        <v>0.72008399360427033</v>
      </c>
      <c r="CE42" s="32">
        <f t="shared" si="221"/>
        <v>0.78670851189236535</v>
      </c>
      <c r="CF42" s="32">
        <f t="shared" si="222"/>
        <v>0.8301918664662965</v>
      </c>
      <c r="CG42" s="32">
        <f t="shared" si="223"/>
        <v>0.88201006199838017</v>
      </c>
      <c r="CH42" s="32">
        <f t="shared" si="224"/>
        <v>0.92740865177317844</v>
      </c>
      <c r="CI42" s="32">
        <f t="shared" si="225"/>
        <v>1</v>
      </c>
      <c r="CJ42" s="405"/>
      <c r="CK42" s="32">
        <f t="shared" si="226"/>
        <v>0.100575008257067</v>
      </c>
      <c r="CL42" s="32">
        <f t="shared" si="227"/>
        <v>0.22121973406873705</v>
      </c>
      <c r="CM42" s="32">
        <f t="shared" si="228"/>
        <v>0.41322273155595507</v>
      </c>
      <c r="CN42" s="32">
        <f t="shared" si="229"/>
        <v>0.47773090720953298</v>
      </c>
      <c r="CO42" s="32">
        <f t="shared" si="230"/>
        <v>0.521838857916742</v>
      </c>
      <c r="CP42" s="32">
        <f t="shared" si="231"/>
        <v>0.58965821967254251</v>
      </c>
      <c r="CQ42" s="32">
        <f t="shared" si="232"/>
        <v>0.6601528306807577</v>
      </c>
      <c r="CR42" s="32">
        <f t="shared" si="233"/>
        <v>0.72324504687214142</v>
      </c>
      <c r="CS42" s="32">
        <f t="shared" si="234"/>
        <v>0.78987567861540331</v>
      </c>
      <c r="CT42" s="32">
        <f t="shared" si="235"/>
        <v>0.90875142136380194</v>
      </c>
      <c r="CU42" s="32">
        <f t="shared" si="236"/>
        <v>0.95139568363818083</v>
      </c>
      <c r="CV42" s="32">
        <f t="shared" si="237"/>
        <v>1</v>
      </c>
      <c r="CX42" s="32">
        <f t="shared" si="238"/>
        <v>9.9551535184959905E-2</v>
      </c>
      <c r="CY42" s="32">
        <f t="shared" si="239"/>
        <v>0.17155193654928119</v>
      </c>
      <c r="CZ42" s="32">
        <f t="shared" si="240"/>
        <v>0.2557493943677282</v>
      </c>
      <c r="DA42" s="32">
        <f t="shared" si="241"/>
        <v>0.33035256034853749</v>
      </c>
      <c r="DB42" s="32">
        <f t="shared" si="242"/>
        <v>0.41155864548574694</v>
      </c>
      <c r="DC42" s="32">
        <f t="shared" si="243"/>
        <v>0.52025989560499353</v>
      </c>
      <c r="DD42" s="32">
        <f t="shared" si="244"/>
        <v>0.63734768251471841</v>
      </c>
      <c r="DE42" s="32">
        <f t="shared" si="245"/>
        <v>0.7172359059691773</v>
      </c>
      <c r="DF42" s="32">
        <f t="shared" si="246"/>
        <v>0.80181507492896931</v>
      </c>
      <c r="DG42" s="32">
        <f t="shared" si="247"/>
        <v>0.87084894474325347</v>
      </c>
      <c r="DH42" s="32">
        <f t="shared" si="248"/>
        <v>0.9288298539372003</v>
      </c>
      <c r="DI42" s="32">
        <f t="shared" si="249"/>
        <v>1</v>
      </c>
      <c r="DK42" s="32">
        <f t="shared" si="145"/>
        <v>0.11841626249153844</v>
      </c>
      <c r="DL42" s="32">
        <f t="shared" si="146"/>
        <v>0.18406525848582087</v>
      </c>
      <c r="DM42" s="32">
        <f t="shared" si="147"/>
        <v>0.25658572487450004</v>
      </c>
      <c r="DN42" s="32">
        <f t="shared" si="148"/>
        <v>0.33376655011707768</v>
      </c>
      <c r="DO42" s="32">
        <f t="shared" si="149"/>
        <v>0.38701461413242977</v>
      </c>
      <c r="DP42" s="32">
        <f t="shared" si="150"/>
        <v>0.45075144485862895</v>
      </c>
      <c r="DQ42" s="32">
        <f t="shared" si="151"/>
        <v>0.59541463302546282</v>
      </c>
      <c r="DR42" s="32">
        <f t="shared" si="152"/>
        <v>0.69677424670703603</v>
      </c>
      <c r="DS42" s="32">
        <f t="shared" si="153"/>
        <v>0.77915808327626557</v>
      </c>
      <c r="DT42" s="32">
        <f t="shared" si="154"/>
        <v>0.8454169250242517</v>
      </c>
      <c r="DU42" s="32">
        <f t="shared" si="155"/>
        <v>0.93053943903242609</v>
      </c>
      <c r="DV42" s="32">
        <f t="shared" si="156"/>
        <v>1</v>
      </c>
      <c r="DW42" s="39"/>
      <c r="DX42" s="32">
        <f t="shared" si="157"/>
        <v>0.15238399162224828</v>
      </c>
      <c r="DY42" s="32">
        <f t="shared" si="158"/>
        <v>0.23483709324617055</v>
      </c>
      <c r="DZ42" s="32">
        <f t="shared" si="159"/>
        <v>0.33308657821204063</v>
      </c>
      <c r="EA42" s="32">
        <f t="shared" si="160"/>
        <v>0.42821478191196022</v>
      </c>
      <c r="EB42" s="32">
        <f t="shared" si="161"/>
        <v>0.50833172331724474</v>
      </c>
      <c r="EC42" s="32">
        <f t="shared" si="162"/>
        <v>0.58131646446916807</v>
      </c>
      <c r="ED42" s="32">
        <f t="shared" si="163"/>
        <v>0.65844786435641312</v>
      </c>
      <c r="EE42" s="32">
        <f t="shared" si="164"/>
        <v>0.72809818645246938</v>
      </c>
      <c r="EF42" s="32">
        <f t="shared" si="165"/>
        <v>0.78801848992315593</v>
      </c>
      <c r="EG42" s="32">
        <f t="shared" si="166"/>
        <v>0.84960651597697867</v>
      </c>
      <c r="EH42" s="32">
        <f t="shared" si="167"/>
        <v>0.9494642091224732</v>
      </c>
      <c r="EI42" s="32">
        <f t="shared" si="168"/>
        <v>1</v>
      </c>
      <c r="EK42" s="32">
        <f t="shared" si="250"/>
        <v>0.12345059643291555</v>
      </c>
      <c r="EL42" s="32">
        <f t="shared" si="169"/>
        <v>0.19681809609375753</v>
      </c>
      <c r="EM42" s="32">
        <f t="shared" si="170"/>
        <v>0.28180723248475631</v>
      </c>
      <c r="EN42" s="32">
        <f t="shared" si="171"/>
        <v>0.3641112974591918</v>
      </c>
      <c r="EO42" s="32">
        <f t="shared" si="172"/>
        <v>0.43563499431180713</v>
      </c>
      <c r="EP42" s="32">
        <f t="shared" si="173"/>
        <v>0.51744260164426359</v>
      </c>
      <c r="EQ42" s="32">
        <f t="shared" si="174"/>
        <v>0.63040339329886474</v>
      </c>
      <c r="ER42" s="32">
        <f t="shared" si="175"/>
        <v>0.71403611304289427</v>
      </c>
      <c r="ES42" s="32">
        <f t="shared" si="176"/>
        <v>0.78966388270946364</v>
      </c>
      <c r="ET42" s="32">
        <f t="shared" si="177"/>
        <v>0.85529079524816121</v>
      </c>
      <c r="EU42" s="32">
        <f t="shared" si="178"/>
        <v>0.93627783403069975</v>
      </c>
      <c r="EV42" s="32">
        <f t="shared" si="179"/>
        <v>1</v>
      </c>
      <c r="EX42" s="32">
        <f t="shared" si="180"/>
        <v>0.11773169938895341</v>
      </c>
      <c r="EY42" s="32">
        <f t="shared" si="181"/>
        <v>0.20291850558750243</v>
      </c>
      <c r="EZ42" s="32">
        <f t="shared" si="182"/>
        <v>0.31466110725255603</v>
      </c>
      <c r="FA42" s="32">
        <f t="shared" si="183"/>
        <v>0.39251619989677711</v>
      </c>
      <c r="FB42" s="32">
        <f t="shared" si="184"/>
        <v>0.45718596021304081</v>
      </c>
      <c r="FC42" s="32">
        <f t="shared" si="185"/>
        <v>0.53549650615133326</v>
      </c>
      <c r="FD42" s="32">
        <f t="shared" si="186"/>
        <v>0.63784075264433804</v>
      </c>
      <c r="FE42" s="32">
        <f t="shared" si="187"/>
        <v>0.716338346500206</v>
      </c>
      <c r="FF42" s="32">
        <f t="shared" si="188"/>
        <v>0.78971683168594853</v>
      </c>
      <c r="FG42" s="32">
        <f t="shared" si="189"/>
        <v>0.86865595177707156</v>
      </c>
      <c r="FH42" s="32">
        <f t="shared" si="190"/>
        <v>0.94005729643257019</v>
      </c>
      <c r="FI42" s="32">
        <f t="shared" si="191"/>
        <v>1</v>
      </c>
      <c r="FK42" s="32">
        <f t="shared" si="251"/>
        <v>0.10618093531118844</v>
      </c>
      <c r="FL42" s="32">
        <f t="shared" si="192"/>
        <v>0.19227897636794636</v>
      </c>
      <c r="FM42" s="32">
        <f t="shared" si="193"/>
        <v>0.30851928359939446</v>
      </c>
      <c r="FN42" s="32">
        <f t="shared" si="194"/>
        <v>0.38061667255838277</v>
      </c>
      <c r="FO42" s="32">
        <f t="shared" si="195"/>
        <v>0.44013737251163959</v>
      </c>
      <c r="FP42" s="32">
        <f t="shared" si="196"/>
        <v>0.52022318671205492</v>
      </c>
      <c r="FQ42" s="32">
        <f t="shared" si="197"/>
        <v>0.63097171540697961</v>
      </c>
      <c r="FR42" s="32">
        <f t="shared" si="198"/>
        <v>0.71241839984945143</v>
      </c>
      <c r="FS42" s="32">
        <f t="shared" si="199"/>
        <v>0.79028294560687939</v>
      </c>
      <c r="FT42" s="32">
        <f t="shared" si="200"/>
        <v>0.8750057637104357</v>
      </c>
      <c r="FU42" s="32">
        <f t="shared" si="201"/>
        <v>0.93692165886926915</v>
      </c>
      <c r="FV42" s="32">
        <f t="shared" si="202"/>
        <v>1</v>
      </c>
      <c r="FX42" s="32">
        <f t="shared" si="252"/>
        <v>0.11712114476534378</v>
      </c>
      <c r="FY42" s="32">
        <f t="shared" si="203"/>
        <v>0.21782143129977075</v>
      </c>
      <c r="FZ42" s="32">
        <f t="shared" si="204"/>
        <v>0.34955091945040756</v>
      </c>
      <c r="GA42" s="32">
        <f t="shared" si="205"/>
        <v>0.4249371483012172</v>
      </c>
      <c r="GB42" s="32">
        <f t="shared" si="206"/>
        <v>0.48803641965274824</v>
      </c>
      <c r="GC42" s="32">
        <f t="shared" si="207"/>
        <v>0.58212858181405769</v>
      </c>
      <c r="GD42" s="32">
        <f t="shared" si="208"/>
        <v>0.67252816893324885</v>
      </c>
      <c r="GE42" s="32">
        <f t="shared" si="209"/>
        <v>0.74239648824456139</v>
      </c>
      <c r="GF42" s="32">
        <f t="shared" si="210"/>
        <v>0.807294206670223</v>
      </c>
      <c r="GG42" s="32">
        <f t="shared" si="211"/>
        <v>0.88720347603514516</v>
      </c>
      <c r="GH42" s="32">
        <f t="shared" si="212"/>
        <v>0.9358780631161866</v>
      </c>
      <c r="GI42" s="32">
        <f t="shared" si="213"/>
        <v>1</v>
      </c>
    </row>
    <row r="43" spans="1:191">
      <c r="A43" s="724" t="s">
        <v>87</v>
      </c>
      <c r="B43" s="399">
        <v>42057.72</v>
      </c>
      <c r="C43" s="400">
        <v>44586.22</v>
      </c>
      <c r="D43" s="400">
        <v>44018.48</v>
      </c>
      <c r="E43" s="400">
        <v>40915.699999999997</v>
      </c>
      <c r="F43" s="400">
        <v>23352.960000000017</v>
      </c>
      <c r="G43" s="400">
        <v>29333.880000000019</v>
      </c>
      <c r="H43" s="400">
        <v>34147.960000000006</v>
      </c>
      <c r="I43" s="400">
        <v>27686.440000000002</v>
      </c>
      <c r="J43" s="400">
        <v>23174.380000000008</v>
      </c>
      <c r="K43" s="400">
        <v>19999.319999999996</v>
      </c>
      <c r="L43" s="400">
        <v>21910.479999999996</v>
      </c>
      <c r="M43" s="400">
        <v>28490.700000000004</v>
      </c>
      <c r="N43" s="400">
        <f t="shared" si="142"/>
        <v>379674.24000000005</v>
      </c>
      <c r="P43" s="396" t="s">
        <v>87</v>
      </c>
      <c r="Q43" s="399">
        <v>18644.47</v>
      </c>
      <c r="R43" s="400">
        <v>21242.400000000001</v>
      </c>
      <c r="S43" s="400">
        <v>21708.43</v>
      </c>
      <c r="T43" s="400">
        <v>10269.18</v>
      </c>
      <c r="U43" s="400">
        <v>21041.64</v>
      </c>
      <c r="V43" s="400">
        <v>41743.17</v>
      </c>
      <c r="W43" s="400">
        <v>40100.950000000012</v>
      </c>
      <c r="X43" s="400">
        <v>49575.72</v>
      </c>
      <c r="Y43" s="400">
        <v>30465.250000000007</v>
      </c>
      <c r="Z43" s="400">
        <v>33071.270000000004</v>
      </c>
      <c r="AA43" s="400">
        <v>18250.600000000002</v>
      </c>
      <c r="AB43" s="400">
        <v>27638.890000000003</v>
      </c>
      <c r="AC43" s="400">
        <f t="shared" si="143"/>
        <v>333751.97000000003</v>
      </c>
      <c r="AE43" s="127" t="s">
        <v>87</v>
      </c>
      <c r="AF43" s="27">
        <v>17150.61</v>
      </c>
      <c r="AG43" s="27">
        <v>23009.629999999997</v>
      </c>
      <c r="AH43" s="27">
        <v>20053.009999999998</v>
      </c>
      <c r="AI43" s="27">
        <v>14881.02</v>
      </c>
      <c r="AJ43" s="27">
        <v>12397.21</v>
      </c>
      <c r="AK43" s="27">
        <v>10100.51</v>
      </c>
      <c r="AL43" s="27">
        <v>9755.33</v>
      </c>
      <c r="AM43" s="27">
        <v>6058.26</v>
      </c>
      <c r="AN43" s="27">
        <v>5616.62</v>
      </c>
      <c r="AO43" s="27">
        <v>8504.75</v>
      </c>
      <c r="AP43" s="27">
        <v>7887.2</v>
      </c>
      <c r="AQ43" s="27">
        <v>10779.2</v>
      </c>
      <c r="AR43" s="43">
        <f t="shared" si="144"/>
        <v>146193.35</v>
      </c>
      <c r="AT43" s="60" t="s">
        <v>87</v>
      </c>
      <c r="AU43" s="27">
        <v>13861.410000000005</v>
      </c>
      <c r="AV43" s="27">
        <v>15066.34999999998</v>
      </c>
      <c r="AW43" s="27">
        <v>12100.069999999996</v>
      </c>
      <c r="AX43" s="27">
        <v>10810.610000000004</v>
      </c>
      <c r="AY43" s="27">
        <v>9728.8800000000047</v>
      </c>
      <c r="AZ43" s="27">
        <v>6898.43</v>
      </c>
      <c r="BA43" s="27">
        <v>4628.760000000002</v>
      </c>
      <c r="BB43" s="27">
        <v>4136.79</v>
      </c>
      <c r="BC43" s="27">
        <v>3327.05</v>
      </c>
      <c r="BD43" s="27">
        <v>6952.51</v>
      </c>
      <c r="BE43" s="27">
        <v>3189.99</v>
      </c>
      <c r="BF43" s="27">
        <v>5981.06</v>
      </c>
      <c r="BG43" s="43">
        <f t="shared" si="2"/>
        <v>96681.91</v>
      </c>
      <c r="BI43" s="60" t="s">
        <v>87</v>
      </c>
      <c r="BJ43" s="27">
        <v>15884.770000000004</v>
      </c>
      <c r="BK43" s="27">
        <v>13233.369999999992</v>
      </c>
      <c r="BL43" s="27">
        <v>10044.659999999996</v>
      </c>
      <c r="BM43" s="27">
        <v>4932.3700000000008</v>
      </c>
      <c r="BN43" s="27">
        <v>7012.1000000000022</v>
      </c>
      <c r="BO43" s="27">
        <v>6950.6299999999992</v>
      </c>
      <c r="BP43" s="27">
        <v>3284.9399999999987</v>
      </c>
      <c r="BQ43" s="27">
        <v>7733.5700000000015</v>
      </c>
      <c r="BR43" s="27">
        <v>5424.3600000000006</v>
      </c>
      <c r="BS43" s="27">
        <v>3859.7699999999995</v>
      </c>
      <c r="BT43" s="27">
        <v>7181.0700000000015</v>
      </c>
      <c r="BU43" s="27">
        <v>2965.7499999999982</v>
      </c>
      <c r="BV43" s="43">
        <f t="shared" si="52"/>
        <v>88507.36</v>
      </c>
      <c r="BW43" s="405"/>
      <c r="BX43" s="32">
        <f t="shared" si="214"/>
        <v>0.11077317228579953</v>
      </c>
      <c r="BY43" s="32">
        <f t="shared" si="215"/>
        <v>0.22820600101813596</v>
      </c>
      <c r="BZ43" s="32">
        <f t="shared" si="216"/>
        <v>0.34414349522369492</v>
      </c>
      <c r="CA43" s="32">
        <f t="shared" si="217"/>
        <v>0.45190877316301464</v>
      </c>
      <c r="CB43" s="32">
        <f t="shared" si="218"/>
        <v>0.51341665950263049</v>
      </c>
      <c r="CC43" s="32">
        <f t="shared" si="219"/>
        <v>0.59067731326728934</v>
      </c>
      <c r="CD43" s="32">
        <f t="shared" si="220"/>
        <v>0.68061746828017622</v>
      </c>
      <c r="CE43" s="32">
        <f t="shared" si="221"/>
        <v>0.75353903388336274</v>
      </c>
      <c r="CF43" s="32">
        <f t="shared" si="222"/>
        <v>0.81457656964033165</v>
      </c>
      <c r="CG43" s="32">
        <f t="shared" si="223"/>
        <v>0.86725151540436352</v>
      </c>
      <c r="CH43" s="32">
        <f t="shared" si="224"/>
        <v>0.92496014478095745</v>
      </c>
      <c r="CI43" s="32">
        <f t="shared" si="225"/>
        <v>1</v>
      </c>
      <c r="CJ43" s="405"/>
      <c r="CK43" s="32">
        <f t="shared" si="226"/>
        <v>5.5863250784706976E-2</v>
      </c>
      <c r="CL43" s="32">
        <f t="shared" si="227"/>
        <v>0.11951051554841759</v>
      </c>
      <c r="CM43" s="32">
        <f t="shared" si="228"/>
        <v>0.18455411663937143</v>
      </c>
      <c r="CN43" s="32">
        <f t="shared" si="229"/>
        <v>0.21532301367389683</v>
      </c>
      <c r="CO43" s="32">
        <f t="shared" si="230"/>
        <v>0.27836875389829158</v>
      </c>
      <c r="CP43" s="32">
        <f t="shared" si="231"/>
        <v>0.40344118418237351</v>
      </c>
      <c r="CQ43" s="32">
        <f t="shared" si="232"/>
        <v>0.52359313414689357</v>
      </c>
      <c r="CR43" s="32">
        <f t="shared" si="233"/>
        <v>0.67213374051395114</v>
      </c>
      <c r="CS43" s="32">
        <f t="shared" si="234"/>
        <v>0.76341484965616835</v>
      </c>
      <c r="CT43" s="32">
        <f t="shared" si="235"/>
        <v>0.86250421233468677</v>
      </c>
      <c r="CU43" s="32">
        <f t="shared" si="236"/>
        <v>0.91718733525378138</v>
      </c>
      <c r="CV43" s="32">
        <f t="shared" si="237"/>
        <v>1</v>
      </c>
      <c r="CX43" s="32">
        <f t="shared" si="238"/>
        <v>0.11731457005397304</v>
      </c>
      <c r="CY43" s="32">
        <f t="shared" si="239"/>
        <v>0.2747063392418328</v>
      </c>
      <c r="CZ43" s="32">
        <f t="shared" si="240"/>
        <v>0.41187406951136968</v>
      </c>
      <c r="DA43" s="32">
        <f t="shared" si="241"/>
        <v>0.51366406201102854</v>
      </c>
      <c r="DB43" s="32">
        <f t="shared" si="242"/>
        <v>0.59846415722739787</v>
      </c>
      <c r="DC43" s="32">
        <f t="shared" si="243"/>
        <v>0.66755423553807336</v>
      </c>
      <c r="DD43" s="32">
        <f t="shared" si="244"/>
        <v>0.73428319413981558</v>
      </c>
      <c r="DE43" s="32">
        <f t="shared" si="245"/>
        <v>0.77572324596159814</v>
      </c>
      <c r="DF43" s="32">
        <f t="shared" si="246"/>
        <v>0.81414236694076714</v>
      </c>
      <c r="DG43" s="32">
        <f t="shared" si="247"/>
        <v>0.87231703767647428</v>
      </c>
      <c r="DH43" s="32">
        <f t="shared" si="248"/>
        <v>0.9262675080638072</v>
      </c>
      <c r="DI43" s="32">
        <f t="shared" si="249"/>
        <v>1</v>
      </c>
      <c r="DK43" s="32">
        <f t="shared" si="145"/>
        <v>0.1433712883826975</v>
      </c>
      <c r="DL43" s="32">
        <f t="shared" si="146"/>
        <v>0.29920550804178347</v>
      </c>
      <c r="DM43" s="32">
        <f t="shared" si="147"/>
        <v>0.42435891057592867</v>
      </c>
      <c r="DN43" s="32">
        <f t="shared" si="148"/>
        <v>0.53617517485949528</v>
      </c>
      <c r="DO43" s="32">
        <f t="shared" si="149"/>
        <v>0.6368028931161992</v>
      </c>
      <c r="DP43" s="32">
        <f t="shared" si="150"/>
        <v>0.70815471063821556</v>
      </c>
      <c r="DQ43" s="32">
        <f t="shared" si="151"/>
        <v>0.75603088519868922</v>
      </c>
      <c r="DR43" s="32">
        <f t="shared" si="152"/>
        <v>0.79881851734207565</v>
      </c>
      <c r="DS43" s="32">
        <f t="shared" si="153"/>
        <v>0.83323084949397463</v>
      </c>
      <c r="DT43" s="32">
        <f t="shared" si="154"/>
        <v>0.90514202708655633</v>
      </c>
      <c r="DU43" s="32">
        <f t="shared" si="155"/>
        <v>0.93813672071641951</v>
      </c>
      <c r="DV43" s="32">
        <f t="shared" si="156"/>
        <v>1</v>
      </c>
      <c r="DW43" s="39"/>
      <c r="DX43" s="32">
        <f t="shared" si="157"/>
        <v>0.17947400080626066</v>
      </c>
      <c r="DY43" s="32">
        <f t="shared" si="158"/>
        <v>0.32899117090375302</v>
      </c>
      <c r="DZ43" s="32">
        <f t="shared" si="159"/>
        <v>0.44248071572804781</v>
      </c>
      <c r="EA43" s="32">
        <f t="shared" si="160"/>
        <v>0.49820907549383453</v>
      </c>
      <c r="EB43" s="32">
        <f t="shared" si="161"/>
        <v>0.57743525510194849</v>
      </c>
      <c r="EC43" s="32">
        <f t="shared" si="162"/>
        <v>0.65596691619770364</v>
      </c>
      <c r="ED43" s="32">
        <f t="shared" si="163"/>
        <v>0.6930817956834322</v>
      </c>
      <c r="EE43" s="32">
        <f t="shared" si="164"/>
        <v>0.78045950076920145</v>
      </c>
      <c r="EF43" s="32">
        <f t="shared" si="165"/>
        <v>0.8417466072878006</v>
      </c>
      <c r="EG43" s="32">
        <f t="shared" si="166"/>
        <v>0.88535620088544043</v>
      </c>
      <c r="EH43" s="32">
        <f t="shared" si="167"/>
        <v>0.96649148726162437</v>
      </c>
      <c r="EI43" s="32">
        <f t="shared" si="168"/>
        <v>1</v>
      </c>
      <c r="EK43" s="32">
        <f t="shared" si="250"/>
        <v>0.14671995308097707</v>
      </c>
      <c r="EL43" s="32">
        <f t="shared" si="169"/>
        <v>0.30096767272912306</v>
      </c>
      <c r="EM43" s="32">
        <f t="shared" si="170"/>
        <v>0.42623789860511535</v>
      </c>
      <c r="EN43" s="32">
        <f t="shared" si="171"/>
        <v>0.51601610412145282</v>
      </c>
      <c r="EO43" s="32">
        <f t="shared" si="172"/>
        <v>0.60423410181518189</v>
      </c>
      <c r="EP43" s="32">
        <f t="shared" si="173"/>
        <v>0.67722528745799748</v>
      </c>
      <c r="EQ43" s="32">
        <f t="shared" si="174"/>
        <v>0.72779862500731241</v>
      </c>
      <c r="ER43" s="32">
        <f t="shared" si="175"/>
        <v>0.78500042135762504</v>
      </c>
      <c r="ES43" s="32">
        <f t="shared" si="176"/>
        <v>0.82970660790751405</v>
      </c>
      <c r="ET43" s="32">
        <f t="shared" si="177"/>
        <v>0.88760508854949027</v>
      </c>
      <c r="EU43" s="32">
        <f t="shared" si="178"/>
        <v>0.94363190534728369</v>
      </c>
      <c r="EV43" s="32">
        <f t="shared" si="179"/>
        <v>1</v>
      </c>
      <c r="EX43" s="32">
        <f t="shared" si="180"/>
        <v>0.12400577750690955</v>
      </c>
      <c r="EY43" s="32">
        <f t="shared" si="181"/>
        <v>0.25560338343394667</v>
      </c>
      <c r="EZ43" s="32">
        <f t="shared" si="182"/>
        <v>0.3658169531136794</v>
      </c>
      <c r="FA43" s="32">
        <f t="shared" si="183"/>
        <v>0.44084283150956383</v>
      </c>
      <c r="FB43" s="32">
        <f t="shared" si="184"/>
        <v>0.52276776483595933</v>
      </c>
      <c r="FC43" s="32">
        <f t="shared" si="185"/>
        <v>0.60877926163909146</v>
      </c>
      <c r="FD43" s="32">
        <f t="shared" si="186"/>
        <v>0.67674725229220756</v>
      </c>
      <c r="FE43" s="32">
        <f t="shared" si="187"/>
        <v>0.7567837511467066</v>
      </c>
      <c r="FF43" s="32">
        <f t="shared" si="188"/>
        <v>0.81313366834467771</v>
      </c>
      <c r="FG43" s="32">
        <f t="shared" si="189"/>
        <v>0.8813298694957894</v>
      </c>
      <c r="FH43" s="32">
        <f t="shared" si="190"/>
        <v>0.93702076282390812</v>
      </c>
      <c r="FI43" s="32">
        <f t="shared" si="191"/>
        <v>1</v>
      </c>
      <c r="FK43" s="32">
        <f t="shared" si="251"/>
        <v>0.10551636974045918</v>
      </c>
      <c r="FL43" s="32">
        <f t="shared" si="192"/>
        <v>0.23114078761067794</v>
      </c>
      <c r="FM43" s="32">
        <f t="shared" si="193"/>
        <v>0.34026236557555656</v>
      </c>
      <c r="FN43" s="32">
        <f t="shared" si="194"/>
        <v>0.42172075018147354</v>
      </c>
      <c r="FO43" s="32">
        <f t="shared" si="195"/>
        <v>0.50454526808062961</v>
      </c>
      <c r="FP43" s="32">
        <f t="shared" si="196"/>
        <v>0.59305004345288748</v>
      </c>
      <c r="FQ43" s="32">
        <f t="shared" si="197"/>
        <v>0.67130240449513279</v>
      </c>
      <c r="FR43" s="32">
        <f t="shared" si="198"/>
        <v>0.74889183460587494</v>
      </c>
      <c r="FS43" s="32">
        <f t="shared" si="199"/>
        <v>0.80359602203030323</v>
      </c>
      <c r="FT43" s="32">
        <f t="shared" si="200"/>
        <v>0.87998775903257254</v>
      </c>
      <c r="FU43" s="32">
        <f t="shared" si="201"/>
        <v>0.92719718801133599</v>
      </c>
      <c r="FV43" s="32">
        <f t="shared" si="202"/>
        <v>1</v>
      </c>
      <c r="FX43" s="32">
        <f t="shared" si="252"/>
        <v>9.4650331041493188E-2</v>
      </c>
      <c r="FY43" s="32">
        <f t="shared" si="203"/>
        <v>0.2074742852694621</v>
      </c>
      <c r="FZ43" s="32">
        <f t="shared" si="204"/>
        <v>0.31352389379147866</v>
      </c>
      <c r="GA43" s="32">
        <f t="shared" si="205"/>
        <v>0.39363194961597997</v>
      </c>
      <c r="GB43" s="32">
        <f t="shared" si="206"/>
        <v>0.46341652354277335</v>
      </c>
      <c r="GC43" s="32">
        <f t="shared" si="207"/>
        <v>0.55389091099591203</v>
      </c>
      <c r="GD43" s="32">
        <f t="shared" si="208"/>
        <v>0.64616459885562849</v>
      </c>
      <c r="GE43" s="32">
        <f t="shared" si="209"/>
        <v>0.73379867345297056</v>
      </c>
      <c r="GF43" s="32">
        <f t="shared" si="210"/>
        <v>0.79737792874575575</v>
      </c>
      <c r="GG43" s="32">
        <f t="shared" si="211"/>
        <v>0.86735758847184152</v>
      </c>
      <c r="GH43" s="32">
        <f t="shared" si="212"/>
        <v>0.92280499603284871</v>
      </c>
      <c r="GI43" s="32">
        <f t="shared" si="213"/>
        <v>1</v>
      </c>
    </row>
    <row r="44" spans="1:191">
      <c r="A44" s="724" t="s">
        <v>88</v>
      </c>
      <c r="B44" s="399">
        <v>39732.570000000007</v>
      </c>
      <c r="C44" s="400">
        <v>33887.589999999997</v>
      </c>
      <c r="D44" s="400">
        <v>31519.139999999992</v>
      </c>
      <c r="E44" s="400">
        <v>26224.620000000006</v>
      </c>
      <c r="F44" s="400">
        <v>29103.89</v>
      </c>
      <c r="G44" s="400">
        <v>23360.190000000002</v>
      </c>
      <c r="H44" s="400">
        <v>29061.690000000006</v>
      </c>
      <c r="I44" s="400">
        <v>23980.419999999995</v>
      </c>
      <c r="J44" s="400">
        <v>20640.54</v>
      </c>
      <c r="K44" s="400">
        <v>14887.549999999997</v>
      </c>
      <c r="L44" s="400">
        <v>20551.810000000001</v>
      </c>
      <c r="M44" s="400">
        <v>13201.960000000001</v>
      </c>
      <c r="N44" s="400">
        <f t="shared" si="142"/>
        <v>306151.97000000003</v>
      </c>
      <c r="P44" s="396" t="s">
        <v>88</v>
      </c>
      <c r="Q44" s="399">
        <v>31112.66</v>
      </c>
      <c r="R44" s="400">
        <v>24809.49</v>
      </c>
      <c r="S44" s="400">
        <v>25308.43</v>
      </c>
      <c r="T44" s="400">
        <v>15051.54</v>
      </c>
      <c r="U44" s="400">
        <v>15386.82</v>
      </c>
      <c r="V44" s="400">
        <v>19783.52</v>
      </c>
      <c r="W44" s="400">
        <v>19112.999999999985</v>
      </c>
      <c r="X44" s="400">
        <v>23439.919999999998</v>
      </c>
      <c r="Y44" s="400">
        <v>29836.560000000012</v>
      </c>
      <c r="Z44" s="400">
        <v>38386.65</v>
      </c>
      <c r="AA44" s="400">
        <v>23195.57</v>
      </c>
      <c r="AB44" s="400">
        <v>19951.829999999998</v>
      </c>
      <c r="AC44" s="400">
        <f t="shared" si="143"/>
        <v>285375.98999999993</v>
      </c>
      <c r="AE44" s="127" t="s">
        <v>88</v>
      </c>
      <c r="AF44" s="27">
        <v>23304.02</v>
      </c>
      <c r="AG44" s="27">
        <v>22527.030000000002</v>
      </c>
      <c r="AH44" s="27">
        <v>14670.72</v>
      </c>
      <c r="AI44" s="27">
        <v>15577.82</v>
      </c>
      <c r="AJ44" s="27">
        <v>17745.29</v>
      </c>
      <c r="AK44" s="27">
        <v>11376.9</v>
      </c>
      <c r="AL44" s="27">
        <v>14433.6</v>
      </c>
      <c r="AM44" s="27">
        <v>14272.57</v>
      </c>
      <c r="AN44" s="27">
        <v>10434.07</v>
      </c>
      <c r="AO44" s="27">
        <v>14175.03</v>
      </c>
      <c r="AP44" s="27">
        <v>9619.61</v>
      </c>
      <c r="AQ44" s="27">
        <v>12007.09</v>
      </c>
      <c r="AR44" s="43">
        <f t="shared" si="144"/>
        <v>180143.75000000003</v>
      </c>
      <c r="AT44" s="60" t="s">
        <v>88</v>
      </c>
      <c r="AU44" s="27">
        <v>20146.349999999995</v>
      </c>
      <c r="AV44" s="27">
        <v>19123.260000000013</v>
      </c>
      <c r="AW44" s="27">
        <v>11760.289999999995</v>
      </c>
      <c r="AX44" s="27">
        <v>14537.730000000001</v>
      </c>
      <c r="AY44" s="27">
        <v>15170.34</v>
      </c>
      <c r="AZ44" s="27">
        <v>10578.36</v>
      </c>
      <c r="BA44" s="27">
        <v>7585.5899999999983</v>
      </c>
      <c r="BB44" s="27">
        <v>11148.82</v>
      </c>
      <c r="BC44" s="27">
        <v>7873.1600000000008</v>
      </c>
      <c r="BD44" s="27">
        <v>14688.62</v>
      </c>
      <c r="BE44" s="27">
        <v>8879.7100000000009</v>
      </c>
      <c r="BF44" s="27">
        <v>18040.849999999999</v>
      </c>
      <c r="BG44" s="43">
        <f t="shared" si="2"/>
        <v>159533.07999999999</v>
      </c>
      <c r="BI44" s="60" t="s">
        <v>88</v>
      </c>
      <c r="BJ44" s="27">
        <v>11857.820000000014</v>
      </c>
      <c r="BK44" s="27">
        <v>13319.579999999973</v>
      </c>
      <c r="BL44" s="27">
        <v>10272.030000000002</v>
      </c>
      <c r="BM44" s="27">
        <v>6360.3700000000026</v>
      </c>
      <c r="BN44" s="27">
        <v>12331.340000000004</v>
      </c>
      <c r="BO44" s="27">
        <v>16387.570000000003</v>
      </c>
      <c r="BP44" s="27">
        <v>9569.3499999999967</v>
      </c>
      <c r="BQ44" s="27">
        <v>8728.9399999999987</v>
      </c>
      <c r="BR44" s="27">
        <v>5380.5999999999995</v>
      </c>
      <c r="BS44" s="27">
        <v>8641.3099999999977</v>
      </c>
      <c r="BT44" s="27">
        <v>6156.2600000000029</v>
      </c>
      <c r="BU44" s="27">
        <v>5214.6500000000015</v>
      </c>
      <c r="BV44" s="43">
        <f t="shared" si="52"/>
        <v>114219.82</v>
      </c>
      <c r="BW44" s="405"/>
      <c r="BX44" s="32">
        <f t="shared" si="214"/>
        <v>0.12978054656973137</v>
      </c>
      <c r="BY44" s="32">
        <f t="shared" si="215"/>
        <v>0.24046933292638945</v>
      </c>
      <c r="BZ44" s="32">
        <f t="shared" si="216"/>
        <v>0.34342192865850246</v>
      </c>
      <c r="CA44" s="32">
        <f t="shared" si="217"/>
        <v>0.42908076012053742</v>
      </c>
      <c r="CB44" s="32">
        <f t="shared" si="218"/>
        <v>0.52414429996971756</v>
      </c>
      <c r="CC44" s="32">
        <f t="shared" si="219"/>
        <v>0.60044689570346377</v>
      </c>
      <c r="CD44" s="32">
        <f t="shared" si="220"/>
        <v>0.69537259551196084</v>
      </c>
      <c r="CE44" s="32">
        <f t="shared" si="221"/>
        <v>0.77370108054506381</v>
      </c>
      <c r="CF44" s="32">
        <f t="shared" si="222"/>
        <v>0.84112034294602112</v>
      </c>
      <c r="CG44" s="32">
        <f t="shared" si="223"/>
        <v>0.88974831682448419</v>
      </c>
      <c r="CH44" s="32">
        <f t="shared" si="224"/>
        <v>0.95687775584132284</v>
      </c>
      <c r="CI44" s="32">
        <f t="shared" si="225"/>
        <v>1</v>
      </c>
      <c r="CJ44" s="405"/>
      <c r="CK44" s="32">
        <f t="shared" si="226"/>
        <v>0.10902339751848082</v>
      </c>
      <c r="CL44" s="32">
        <f t="shared" si="227"/>
        <v>0.19595954796337287</v>
      </c>
      <c r="CM44" s="32">
        <f t="shared" si="228"/>
        <v>0.28464405852783908</v>
      </c>
      <c r="CN44" s="32">
        <f t="shared" si="229"/>
        <v>0.33738689789564996</v>
      </c>
      <c r="CO44" s="32">
        <f t="shared" si="230"/>
        <v>0.39130460835195008</v>
      </c>
      <c r="CP44" s="32">
        <f t="shared" si="231"/>
        <v>0.46062901087088659</v>
      </c>
      <c r="CQ44" s="32">
        <f t="shared" si="232"/>
        <v>0.52760381137880585</v>
      </c>
      <c r="CR44" s="32">
        <f t="shared" si="233"/>
        <v>0.60974078442969215</v>
      </c>
      <c r="CS44" s="32">
        <f t="shared" si="234"/>
        <v>0.71429253736447829</v>
      </c>
      <c r="CT44" s="32">
        <f t="shared" si="235"/>
        <v>0.8488050799228064</v>
      </c>
      <c r="CU44" s="32">
        <f t="shared" si="236"/>
        <v>0.93008581415696523</v>
      </c>
      <c r="CV44" s="32">
        <f t="shared" si="237"/>
        <v>1</v>
      </c>
      <c r="CX44" s="32">
        <f t="shared" si="238"/>
        <v>0.12936346667591853</v>
      </c>
      <c r="CY44" s="32">
        <f t="shared" si="239"/>
        <v>0.2544137667834715</v>
      </c>
      <c r="CZ44" s="32">
        <f t="shared" si="240"/>
        <v>0.33585272872358879</v>
      </c>
      <c r="DA44" s="32">
        <f t="shared" si="241"/>
        <v>0.42232711376331394</v>
      </c>
      <c r="DB44" s="32">
        <f t="shared" si="242"/>
        <v>0.52083339000104079</v>
      </c>
      <c r="DC44" s="32">
        <f t="shared" si="243"/>
        <v>0.58398795406446236</v>
      </c>
      <c r="DD44" s="32">
        <f t="shared" si="244"/>
        <v>0.66411063386878522</v>
      </c>
      <c r="DE44" s="32">
        <f t="shared" si="245"/>
        <v>0.74333941643826107</v>
      </c>
      <c r="DF44" s="32">
        <f t="shared" si="246"/>
        <v>0.80126021579988205</v>
      </c>
      <c r="DG44" s="32">
        <f t="shared" si="247"/>
        <v>0.87994754189362656</v>
      </c>
      <c r="DH44" s="32">
        <f t="shared" si="248"/>
        <v>0.93334717413176982</v>
      </c>
      <c r="DI44" s="32">
        <f t="shared" si="249"/>
        <v>1</v>
      </c>
      <c r="DK44" s="32">
        <f t="shared" si="145"/>
        <v>0.12628321348776064</v>
      </c>
      <c r="DL44" s="32">
        <f t="shared" si="146"/>
        <v>0.24615339965855365</v>
      </c>
      <c r="DM44" s="32">
        <f t="shared" si="147"/>
        <v>0.31987033660981162</v>
      </c>
      <c r="DN44" s="32">
        <f t="shared" si="148"/>
        <v>0.41099707972791605</v>
      </c>
      <c r="DO44" s="32">
        <f t="shared" si="149"/>
        <v>0.50608920732928875</v>
      </c>
      <c r="DP44" s="32">
        <f t="shared" si="150"/>
        <v>0.57239746139170644</v>
      </c>
      <c r="DQ44" s="32">
        <f t="shared" si="151"/>
        <v>0.61994615787521945</v>
      </c>
      <c r="DR44" s="32">
        <f t="shared" si="152"/>
        <v>0.68983022204548428</v>
      </c>
      <c r="DS44" s="32">
        <f t="shared" si="153"/>
        <v>0.73918149138724087</v>
      </c>
      <c r="DT44" s="32">
        <f t="shared" si="154"/>
        <v>0.83125405715228462</v>
      </c>
      <c r="DU44" s="32">
        <f t="shared" si="155"/>
        <v>0.88691467625397813</v>
      </c>
      <c r="DV44" s="32">
        <f t="shared" si="156"/>
        <v>1</v>
      </c>
      <c r="DW44" s="39"/>
      <c r="DX44" s="32">
        <f t="shared" si="157"/>
        <v>0.10381578258484397</v>
      </c>
      <c r="DY44" s="32">
        <f t="shared" si="158"/>
        <v>0.22042934404904496</v>
      </c>
      <c r="DZ44" s="32">
        <f t="shared" si="159"/>
        <v>0.31036145915831415</v>
      </c>
      <c r="EA44" s="32">
        <f t="shared" si="160"/>
        <v>0.36604680343569085</v>
      </c>
      <c r="EB44" s="32">
        <f t="shared" si="161"/>
        <v>0.47400827632192027</v>
      </c>
      <c r="EC44" s="32">
        <f t="shared" si="162"/>
        <v>0.6174822373209834</v>
      </c>
      <c r="ED44" s="32">
        <f t="shared" si="163"/>
        <v>0.70126235534253156</v>
      </c>
      <c r="EE44" s="32">
        <f t="shared" si="164"/>
        <v>0.77768464352333944</v>
      </c>
      <c r="EF44" s="32">
        <f t="shared" si="165"/>
        <v>0.8247920544788111</v>
      </c>
      <c r="EG44" s="32">
        <f t="shared" si="166"/>
        <v>0.90044713780848185</v>
      </c>
      <c r="EH44" s="32">
        <f t="shared" si="167"/>
        <v>0.9543454892504647</v>
      </c>
      <c r="EI44" s="32">
        <f t="shared" si="168"/>
        <v>1</v>
      </c>
      <c r="EK44" s="32">
        <f t="shared" si="250"/>
        <v>0.11982082091617439</v>
      </c>
      <c r="EL44" s="32">
        <f t="shared" si="169"/>
        <v>0.24033217016369002</v>
      </c>
      <c r="EM44" s="32">
        <f t="shared" si="170"/>
        <v>0.3220281748305715</v>
      </c>
      <c r="EN44" s="32">
        <f t="shared" si="171"/>
        <v>0.39979033230897359</v>
      </c>
      <c r="EO44" s="32">
        <f t="shared" si="172"/>
        <v>0.50031029121741655</v>
      </c>
      <c r="EP44" s="32">
        <f t="shared" si="173"/>
        <v>0.59128921759238406</v>
      </c>
      <c r="EQ44" s="32">
        <f t="shared" si="174"/>
        <v>0.66177304902884548</v>
      </c>
      <c r="ER44" s="32">
        <f t="shared" si="175"/>
        <v>0.73695142733569485</v>
      </c>
      <c r="ES44" s="32">
        <f t="shared" si="176"/>
        <v>0.78841125388864475</v>
      </c>
      <c r="ET44" s="32">
        <f t="shared" si="177"/>
        <v>0.87054957895146423</v>
      </c>
      <c r="EU44" s="32">
        <f t="shared" si="178"/>
        <v>0.92486911321207088</v>
      </c>
      <c r="EV44" s="32">
        <f t="shared" si="179"/>
        <v>1</v>
      </c>
      <c r="EX44" s="32">
        <f t="shared" si="180"/>
        <v>0.11712146506675099</v>
      </c>
      <c r="EY44" s="32">
        <f t="shared" si="181"/>
        <v>0.22923901461361074</v>
      </c>
      <c r="EZ44" s="32">
        <f t="shared" si="182"/>
        <v>0.31268214575488845</v>
      </c>
      <c r="FA44" s="32">
        <f t="shared" si="183"/>
        <v>0.38418947370564271</v>
      </c>
      <c r="FB44" s="32">
        <f t="shared" si="184"/>
        <v>0.47305887050105</v>
      </c>
      <c r="FC44" s="32">
        <f t="shared" si="185"/>
        <v>0.5586241659120097</v>
      </c>
      <c r="FD44" s="32">
        <f t="shared" si="186"/>
        <v>0.62823073961633547</v>
      </c>
      <c r="FE44" s="32">
        <f t="shared" si="187"/>
        <v>0.70514876660919423</v>
      </c>
      <c r="FF44" s="32">
        <f t="shared" si="188"/>
        <v>0.76988157475760299</v>
      </c>
      <c r="FG44" s="32">
        <f t="shared" si="189"/>
        <v>0.86511345419429975</v>
      </c>
      <c r="FH44" s="32">
        <f t="shared" si="190"/>
        <v>0.9261732884482945</v>
      </c>
      <c r="FI44" s="32">
        <f t="shared" si="191"/>
        <v>1</v>
      </c>
      <c r="FK44" s="32">
        <f t="shared" si="251"/>
        <v>0.12155669256072001</v>
      </c>
      <c r="FL44" s="32">
        <f t="shared" si="192"/>
        <v>0.23217557146846601</v>
      </c>
      <c r="FM44" s="32">
        <f t="shared" si="193"/>
        <v>0.3134557079537465</v>
      </c>
      <c r="FN44" s="32">
        <f t="shared" si="194"/>
        <v>0.3902370304622933</v>
      </c>
      <c r="FO44" s="32">
        <f t="shared" si="195"/>
        <v>0.47274240189409317</v>
      </c>
      <c r="FP44" s="32">
        <f t="shared" si="196"/>
        <v>0.53900480877568513</v>
      </c>
      <c r="FQ44" s="32">
        <f t="shared" si="197"/>
        <v>0.60388686770760358</v>
      </c>
      <c r="FR44" s="32">
        <f t="shared" si="198"/>
        <v>0.68097014097114583</v>
      </c>
      <c r="FS44" s="32">
        <f t="shared" si="199"/>
        <v>0.7515780815172004</v>
      </c>
      <c r="FT44" s="32">
        <f t="shared" si="200"/>
        <v>0.85333555965623908</v>
      </c>
      <c r="FU44" s="32">
        <f t="shared" si="201"/>
        <v>0.91678255484757099</v>
      </c>
      <c r="FV44" s="32">
        <f t="shared" si="202"/>
        <v>1</v>
      </c>
      <c r="FX44" s="32">
        <f t="shared" si="252"/>
        <v>0.12272247025471024</v>
      </c>
      <c r="FY44" s="32">
        <f t="shared" si="203"/>
        <v>0.23028088255774462</v>
      </c>
      <c r="FZ44" s="32">
        <f t="shared" si="204"/>
        <v>0.32130623863664343</v>
      </c>
      <c r="GA44" s="32">
        <f t="shared" si="205"/>
        <v>0.39626492392650042</v>
      </c>
      <c r="GB44" s="32">
        <f t="shared" si="206"/>
        <v>0.47876076610756951</v>
      </c>
      <c r="GC44" s="32">
        <f t="shared" si="207"/>
        <v>0.54835462021293757</v>
      </c>
      <c r="GD44" s="32">
        <f t="shared" si="208"/>
        <v>0.6290290135865173</v>
      </c>
      <c r="GE44" s="32">
        <f t="shared" si="209"/>
        <v>0.70892709380433905</v>
      </c>
      <c r="GF44" s="32">
        <f t="shared" si="210"/>
        <v>0.78555769870346037</v>
      </c>
      <c r="GG44" s="32">
        <f t="shared" si="211"/>
        <v>0.87283364621363901</v>
      </c>
      <c r="GH44" s="32">
        <f t="shared" si="212"/>
        <v>0.94010358137668604</v>
      </c>
      <c r="GI44" s="32">
        <f t="shared" si="213"/>
        <v>1</v>
      </c>
    </row>
    <row r="45" spans="1:191">
      <c r="A45" s="724" t="s">
        <v>89</v>
      </c>
      <c r="B45" s="399">
        <v>214674.28000000003</v>
      </c>
      <c r="C45" s="400">
        <v>197955.4</v>
      </c>
      <c r="D45" s="400">
        <v>211358.74</v>
      </c>
      <c r="E45" s="400">
        <v>159605.72999999992</v>
      </c>
      <c r="F45" s="400">
        <v>124644.99000000002</v>
      </c>
      <c r="G45" s="400">
        <v>142081.32000000007</v>
      </c>
      <c r="H45" s="400">
        <v>140144.48000000001</v>
      </c>
      <c r="I45" s="400">
        <v>125354.46999999997</v>
      </c>
      <c r="J45" s="400">
        <v>111311.16000000002</v>
      </c>
      <c r="K45" s="400">
        <v>81654.069999999992</v>
      </c>
      <c r="L45" s="400">
        <v>89931.43</v>
      </c>
      <c r="M45" s="400">
        <v>113724.15</v>
      </c>
      <c r="N45" s="400">
        <f t="shared" si="142"/>
        <v>1712440.2199999997</v>
      </c>
      <c r="P45" s="396" t="s">
        <v>89</v>
      </c>
      <c r="Q45" s="399">
        <v>231394.32</v>
      </c>
      <c r="R45" s="400">
        <v>179713.74</v>
      </c>
      <c r="S45" s="400">
        <v>173621.12</v>
      </c>
      <c r="T45" s="400">
        <v>105304.98</v>
      </c>
      <c r="U45" s="400">
        <v>83980.63</v>
      </c>
      <c r="V45" s="400">
        <v>109656.52</v>
      </c>
      <c r="W45" s="400">
        <v>122299.66999999993</v>
      </c>
      <c r="X45" s="400">
        <v>109482.92999999993</v>
      </c>
      <c r="Y45" s="400">
        <v>114262.36999999997</v>
      </c>
      <c r="Z45" s="400">
        <v>207765.52000000002</v>
      </c>
      <c r="AA45" s="400">
        <v>124312.98</v>
      </c>
      <c r="AB45" s="400">
        <v>122270.12000000002</v>
      </c>
      <c r="AC45" s="400">
        <f t="shared" si="143"/>
        <v>1684064.8999999997</v>
      </c>
      <c r="AE45" s="127" t="s">
        <v>89</v>
      </c>
      <c r="AF45" s="27">
        <v>152369.53</v>
      </c>
      <c r="AG45" s="27">
        <v>122638.69999999998</v>
      </c>
      <c r="AH45" s="27">
        <v>84443.92</v>
      </c>
      <c r="AI45" s="27">
        <v>102283.92000000001</v>
      </c>
      <c r="AJ45" s="27">
        <v>91713.23</v>
      </c>
      <c r="AK45" s="27">
        <v>65629.64</v>
      </c>
      <c r="AL45" s="27">
        <v>100322.05</v>
      </c>
      <c r="AM45" s="27">
        <v>79929.13</v>
      </c>
      <c r="AN45" s="27">
        <v>113125.42</v>
      </c>
      <c r="AO45" s="27">
        <v>138080.21</v>
      </c>
      <c r="AP45" s="27">
        <v>111596.36</v>
      </c>
      <c r="AQ45" s="27">
        <v>150819.56</v>
      </c>
      <c r="AR45" s="43">
        <f t="shared" si="144"/>
        <v>1312951.6700000002</v>
      </c>
      <c r="AT45" s="60" t="s">
        <v>89</v>
      </c>
      <c r="AU45" s="27">
        <v>108611.08999999991</v>
      </c>
      <c r="AV45" s="27">
        <v>98396.010000000024</v>
      </c>
      <c r="AW45" s="27">
        <v>94533.780000000028</v>
      </c>
      <c r="AX45" s="27">
        <v>75547.530000000013</v>
      </c>
      <c r="AY45" s="27">
        <v>71810.299999999959</v>
      </c>
      <c r="AZ45" s="27">
        <v>56989.41</v>
      </c>
      <c r="BA45" s="27">
        <v>67810.130000000019</v>
      </c>
      <c r="BB45" s="27">
        <v>52367.33</v>
      </c>
      <c r="BC45" s="27">
        <v>57151.01</v>
      </c>
      <c r="BD45" s="27">
        <v>51507.47</v>
      </c>
      <c r="BE45" s="27">
        <v>47992.1</v>
      </c>
      <c r="BF45" s="27">
        <v>49971.979999999996</v>
      </c>
      <c r="BG45" s="43">
        <f t="shared" si="2"/>
        <v>832688.1399999999</v>
      </c>
      <c r="BI45" s="60" t="s">
        <v>89</v>
      </c>
      <c r="BJ45" s="27">
        <v>108100.61000000004</v>
      </c>
      <c r="BK45" s="27">
        <v>36611.72</v>
      </c>
      <c r="BL45" s="27">
        <v>68622.800000000017</v>
      </c>
      <c r="BM45" s="27">
        <v>26979.19999999999</v>
      </c>
      <c r="BN45" s="27">
        <v>58930.430000000008</v>
      </c>
      <c r="BO45" s="27">
        <v>42166.059999999983</v>
      </c>
      <c r="BP45" s="27">
        <v>26972.57</v>
      </c>
      <c r="BQ45" s="27">
        <v>42428.459999999992</v>
      </c>
      <c r="BR45" s="27">
        <v>40372.499999999993</v>
      </c>
      <c r="BS45" s="27">
        <v>44686.71</v>
      </c>
      <c r="BT45" s="27">
        <v>51920.679999999993</v>
      </c>
      <c r="BU45" s="27">
        <v>41865.360000000001</v>
      </c>
      <c r="BV45" s="43">
        <f t="shared" si="52"/>
        <v>589657.10000000009</v>
      </c>
      <c r="BW45" s="405"/>
      <c r="BX45" s="32">
        <f t="shared" si="214"/>
        <v>0.12536161992270892</v>
      </c>
      <c r="BY45" s="32">
        <f t="shared" si="215"/>
        <v>0.24096004939664412</v>
      </c>
      <c r="BZ45" s="32">
        <f t="shared" si="216"/>
        <v>0.36438551998037055</v>
      </c>
      <c r="CA45" s="32">
        <f t="shared" si="217"/>
        <v>0.45758919981451968</v>
      </c>
      <c r="CB45" s="32">
        <f t="shared" si="218"/>
        <v>0.53037713631837036</v>
      </c>
      <c r="CC45" s="32">
        <f t="shared" si="219"/>
        <v>0.61334722680129539</v>
      </c>
      <c r="CD45" s="32">
        <f t="shared" si="220"/>
        <v>0.69518627634195607</v>
      </c>
      <c r="CE45" s="32">
        <f t="shared" si="221"/>
        <v>0.76838852219904064</v>
      </c>
      <c r="CF45" s="32">
        <f t="shared" si="222"/>
        <v>0.83339000879108061</v>
      </c>
      <c r="CG45" s="32">
        <f t="shared" si="223"/>
        <v>0.88107288206533718</v>
      </c>
      <c r="CH45" s="32">
        <f t="shared" si="224"/>
        <v>0.93358941896377556</v>
      </c>
      <c r="CI45" s="32">
        <f t="shared" si="225"/>
        <v>1</v>
      </c>
      <c r="CJ45" s="405"/>
      <c r="CK45" s="32">
        <f t="shared" si="226"/>
        <v>0.13740225807212064</v>
      </c>
      <c r="CL45" s="32">
        <f t="shared" si="227"/>
        <v>0.24411651831232875</v>
      </c>
      <c r="CM45" s="32">
        <f t="shared" si="228"/>
        <v>0.34721297261168499</v>
      </c>
      <c r="CN45" s="32">
        <f t="shared" si="229"/>
        <v>0.40974321120284618</v>
      </c>
      <c r="CO45" s="32">
        <f t="shared" si="230"/>
        <v>0.45961102211678428</v>
      </c>
      <c r="CP45" s="32">
        <f t="shared" si="231"/>
        <v>0.52472521100582292</v>
      </c>
      <c r="CQ45" s="32">
        <f t="shared" si="232"/>
        <v>0.59734691934972339</v>
      </c>
      <c r="CR45" s="32">
        <f t="shared" si="233"/>
        <v>0.66235803026356044</v>
      </c>
      <c r="CS45" s="32">
        <f t="shared" si="234"/>
        <v>0.73020717907011767</v>
      </c>
      <c r="CT45" s="32">
        <f t="shared" si="235"/>
        <v>0.85357862395920714</v>
      </c>
      <c r="CU45" s="32">
        <f t="shared" si="236"/>
        <v>0.92739583848579699</v>
      </c>
      <c r="CV45" s="32">
        <f t="shared" si="237"/>
        <v>1</v>
      </c>
      <c r="CX45" s="32">
        <f t="shared" si="238"/>
        <v>0.11605113385475947</v>
      </c>
      <c r="CY45" s="32">
        <f t="shared" si="239"/>
        <v>0.20945799931843642</v>
      </c>
      <c r="CZ45" s="32">
        <f t="shared" si="240"/>
        <v>0.27377409101433253</v>
      </c>
      <c r="DA45" s="32">
        <f t="shared" si="241"/>
        <v>0.35167788773215081</v>
      </c>
      <c r="DB45" s="32">
        <f t="shared" si="242"/>
        <v>0.42153059601957765</v>
      </c>
      <c r="DC45" s="32">
        <f t="shared" si="243"/>
        <v>0.47151692948454066</v>
      </c>
      <c r="DD45" s="32">
        <f t="shared" si="244"/>
        <v>0.5479264823205563</v>
      </c>
      <c r="DE45" s="32">
        <f t="shared" si="245"/>
        <v>0.60880391735973027</v>
      </c>
      <c r="DF45" s="32">
        <f t="shared" si="246"/>
        <v>0.69496506295620153</v>
      </c>
      <c r="DG45" s="32">
        <f t="shared" si="247"/>
        <v>0.80013284114258365</v>
      </c>
      <c r="DH45" s="32">
        <f t="shared" si="248"/>
        <v>0.88512938941613895</v>
      </c>
      <c r="DI45" s="32">
        <f t="shared" si="249"/>
        <v>1</v>
      </c>
      <c r="DK45" s="32">
        <f t="shared" si="145"/>
        <v>0.13043429440462539</v>
      </c>
      <c r="DL45" s="32">
        <f t="shared" si="146"/>
        <v>0.2486009948454411</v>
      </c>
      <c r="DM45" s="32">
        <f t="shared" si="147"/>
        <v>0.3621294281914475</v>
      </c>
      <c r="DN45" s="32">
        <f t="shared" si="148"/>
        <v>0.45285670815486817</v>
      </c>
      <c r="DO45" s="32">
        <f t="shared" si="149"/>
        <v>0.53909583724826438</v>
      </c>
      <c r="DP45" s="32">
        <f t="shared" si="150"/>
        <v>0.60753611790363682</v>
      </c>
      <c r="DQ45" s="32">
        <f t="shared" si="151"/>
        <v>0.68897132364584901</v>
      </c>
      <c r="DR45" s="32">
        <f t="shared" si="152"/>
        <v>0.75186081069918931</v>
      </c>
      <c r="DS45" s="32">
        <f t="shared" si="153"/>
        <v>0.82049516160996372</v>
      </c>
      <c r="DT45" s="32">
        <f t="shared" si="154"/>
        <v>0.88235201716695522</v>
      </c>
      <c r="DU45" s="32">
        <f t="shared" si="155"/>
        <v>0.93998716013896877</v>
      </c>
      <c r="DV45" s="32">
        <f t="shared" si="156"/>
        <v>1</v>
      </c>
      <c r="DW45" s="39"/>
      <c r="DX45" s="32">
        <f t="shared" si="157"/>
        <v>0.18332792058299649</v>
      </c>
      <c r="DY45" s="32">
        <f t="shared" si="158"/>
        <v>0.24541776907290699</v>
      </c>
      <c r="DZ45" s="32">
        <f t="shared" si="159"/>
        <v>0.36179523658750151</v>
      </c>
      <c r="EA45" s="32">
        <f t="shared" si="160"/>
        <v>0.40754928584765621</v>
      </c>
      <c r="EB45" s="32">
        <f t="shared" si="161"/>
        <v>0.50748945446429805</v>
      </c>
      <c r="EC45" s="32">
        <f t="shared" si="162"/>
        <v>0.57899891309712037</v>
      </c>
      <c r="ED45" s="32">
        <f t="shared" si="163"/>
        <v>0.6247417185343821</v>
      </c>
      <c r="EE45" s="32">
        <f t="shared" si="164"/>
        <v>0.69669618156043578</v>
      </c>
      <c r="EF45" s="32">
        <f t="shared" si="165"/>
        <v>0.76516394019507272</v>
      </c>
      <c r="EG45" s="32">
        <f t="shared" si="166"/>
        <v>0.84094817140334621</v>
      </c>
      <c r="EH45" s="32">
        <f t="shared" si="167"/>
        <v>0.92900049876445145</v>
      </c>
      <c r="EI45" s="32">
        <f t="shared" si="168"/>
        <v>1</v>
      </c>
      <c r="EK45" s="32">
        <f t="shared" si="250"/>
        <v>0.14327111628079378</v>
      </c>
      <c r="EL45" s="32">
        <f t="shared" si="169"/>
        <v>0.23449225441226151</v>
      </c>
      <c r="EM45" s="32">
        <f t="shared" si="170"/>
        <v>0.33256625193109385</v>
      </c>
      <c r="EN45" s="32">
        <f t="shared" si="171"/>
        <v>0.40402796057822504</v>
      </c>
      <c r="EO45" s="32">
        <f t="shared" si="172"/>
        <v>0.48937196257738003</v>
      </c>
      <c r="EP45" s="32">
        <f t="shared" si="173"/>
        <v>0.55268398682843267</v>
      </c>
      <c r="EQ45" s="32">
        <f t="shared" si="174"/>
        <v>0.62054650816692913</v>
      </c>
      <c r="ER45" s="32">
        <f t="shared" si="175"/>
        <v>0.68578696987311849</v>
      </c>
      <c r="ES45" s="32">
        <f t="shared" si="176"/>
        <v>0.76020805492041266</v>
      </c>
      <c r="ET45" s="32">
        <f t="shared" si="177"/>
        <v>0.84114434323762843</v>
      </c>
      <c r="EU45" s="32">
        <f t="shared" si="178"/>
        <v>0.91803901610651961</v>
      </c>
      <c r="EV45" s="32">
        <f t="shared" si="179"/>
        <v>1</v>
      </c>
      <c r="EX45" s="32">
        <f t="shared" si="180"/>
        <v>0.1418039017286255</v>
      </c>
      <c r="EY45" s="32">
        <f t="shared" si="181"/>
        <v>0.23689832038727832</v>
      </c>
      <c r="EZ45" s="32">
        <f t="shared" si="182"/>
        <v>0.33622793210124163</v>
      </c>
      <c r="FA45" s="32">
        <f t="shared" si="183"/>
        <v>0.40545677323438034</v>
      </c>
      <c r="FB45" s="32">
        <f t="shared" si="184"/>
        <v>0.48193172746223112</v>
      </c>
      <c r="FC45" s="32">
        <f t="shared" si="185"/>
        <v>0.54569429287278015</v>
      </c>
      <c r="FD45" s="32">
        <f t="shared" si="186"/>
        <v>0.61474661096262773</v>
      </c>
      <c r="FE45" s="32">
        <f t="shared" si="187"/>
        <v>0.67992973497072895</v>
      </c>
      <c r="FF45" s="32">
        <f t="shared" si="188"/>
        <v>0.75270783595783897</v>
      </c>
      <c r="FG45" s="32">
        <f t="shared" si="189"/>
        <v>0.84425291341802311</v>
      </c>
      <c r="FH45" s="32">
        <f t="shared" si="190"/>
        <v>0.92037822170133898</v>
      </c>
      <c r="FI45" s="32">
        <f t="shared" si="191"/>
        <v>1</v>
      </c>
      <c r="FK45" s="32">
        <f t="shared" si="251"/>
        <v>0.12796256211050183</v>
      </c>
      <c r="FL45" s="32">
        <f t="shared" si="192"/>
        <v>0.23405850415873541</v>
      </c>
      <c r="FM45" s="32">
        <f t="shared" si="193"/>
        <v>0.32770549727248838</v>
      </c>
      <c r="FN45" s="32">
        <f t="shared" si="194"/>
        <v>0.40475926902995507</v>
      </c>
      <c r="FO45" s="32">
        <f t="shared" si="195"/>
        <v>0.47341248512820872</v>
      </c>
      <c r="FP45" s="32">
        <f t="shared" si="196"/>
        <v>0.53459275279800011</v>
      </c>
      <c r="FQ45" s="32">
        <f t="shared" si="197"/>
        <v>0.6114149084387096</v>
      </c>
      <c r="FR45" s="32">
        <f t="shared" si="198"/>
        <v>0.67434091944082664</v>
      </c>
      <c r="FS45" s="32">
        <f t="shared" si="199"/>
        <v>0.7485558012120942</v>
      </c>
      <c r="FT45" s="32">
        <f t="shared" si="200"/>
        <v>0.84535449408958208</v>
      </c>
      <c r="FU45" s="32">
        <f t="shared" si="201"/>
        <v>0.91750412934696823</v>
      </c>
      <c r="FV45" s="32">
        <f t="shared" si="202"/>
        <v>1</v>
      </c>
      <c r="FX45" s="32">
        <f t="shared" si="252"/>
        <v>0.12627167061652966</v>
      </c>
      <c r="FY45" s="32">
        <f t="shared" si="203"/>
        <v>0.23151152234246974</v>
      </c>
      <c r="FZ45" s="32">
        <f t="shared" si="204"/>
        <v>0.32845752786879601</v>
      </c>
      <c r="GA45" s="32">
        <f t="shared" si="205"/>
        <v>0.40633676624983889</v>
      </c>
      <c r="GB45" s="32">
        <f t="shared" si="206"/>
        <v>0.47050625148491076</v>
      </c>
      <c r="GC45" s="32">
        <f t="shared" si="207"/>
        <v>0.53652978909721971</v>
      </c>
      <c r="GD45" s="32">
        <f t="shared" si="208"/>
        <v>0.61348655933741192</v>
      </c>
      <c r="GE45" s="32">
        <f t="shared" si="209"/>
        <v>0.67985015660744386</v>
      </c>
      <c r="GF45" s="32">
        <f t="shared" si="210"/>
        <v>0.75285408360580008</v>
      </c>
      <c r="GG45" s="32">
        <f t="shared" si="211"/>
        <v>0.84492811572237603</v>
      </c>
      <c r="GH45" s="32">
        <f t="shared" si="212"/>
        <v>0.9153715489552372</v>
      </c>
      <c r="GI45" s="32">
        <f t="shared" si="213"/>
        <v>1</v>
      </c>
    </row>
    <row r="46" spans="1:191">
      <c r="A46" s="724" t="s">
        <v>90</v>
      </c>
      <c r="B46" s="399">
        <v>47583.199999999997</v>
      </c>
      <c r="C46" s="400">
        <v>38087.509999999995</v>
      </c>
      <c r="D46" s="400">
        <v>31751.309999999998</v>
      </c>
      <c r="E46" s="400">
        <v>28562</v>
      </c>
      <c r="F46" s="400">
        <v>25219.35</v>
      </c>
      <c r="G46" s="400">
        <v>24666.14</v>
      </c>
      <c r="H46" s="400">
        <v>26568.870000000003</v>
      </c>
      <c r="I46" s="400">
        <v>23413.409999999996</v>
      </c>
      <c r="J46" s="400">
        <v>23276.600000000002</v>
      </c>
      <c r="K46" s="400">
        <v>19152.809999999998</v>
      </c>
      <c r="L46" s="400">
        <v>21590.079999999998</v>
      </c>
      <c r="M46" s="400">
        <v>25779.52</v>
      </c>
      <c r="N46" s="400">
        <f t="shared" si="142"/>
        <v>335650.80000000005</v>
      </c>
      <c r="P46" s="396" t="s">
        <v>90</v>
      </c>
      <c r="Q46" s="399">
        <v>41330.31</v>
      </c>
      <c r="R46" s="400">
        <v>36281.89</v>
      </c>
      <c r="S46" s="400">
        <v>38561.160000000003</v>
      </c>
      <c r="T46" s="400">
        <v>23038.91</v>
      </c>
      <c r="U46" s="400">
        <v>14784.82</v>
      </c>
      <c r="V46" s="400">
        <v>20283.740000000002</v>
      </c>
      <c r="W46" s="400">
        <v>23102.990000000005</v>
      </c>
      <c r="X46" s="400">
        <v>34521.97</v>
      </c>
      <c r="Y46" s="400">
        <v>26067.689999999995</v>
      </c>
      <c r="Z46" s="400">
        <v>55032.130000000005</v>
      </c>
      <c r="AA46" s="400">
        <v>23046.77</v>
      </c>
      <c r="AB46" s="400">
        <v>21218.690000000002</v>
      </c>
      <c r="AC46" s="400">
        <f t="shared" si="143"/>
        <v>357271.07</v>
      </c>
      <c r="AE46" s="127" t="s">
        <v>90</v>
      </c>
      <c r="AF46" s="27">
        <v>23150.57</v>
      </c>
      <c r="AG46" s="27">
        <v>23743.439999999999</v>
      </c>
      <c r="AH46" s="27">
        <v>20840.07</v>
      </c>
      <c r="AI46" s="27">
        <v>20325.71</v>
      </c>
      <c r="AJ46" s="27">
        <v>18865.25</v>
      </c>
      <c r="AK46" s="27">
        <v>15678.55</v>
      </c>
      <c r="AL46" s="27">
        <v>16435.150000000001</v>
      </c>
      <c r="AM46" s="27">
        <v>14819.07</v>
      </c>
      <c r="AN46" s="27">
        <v>12467.5</v>
      </c>
      <c r="AO46" s="27">
        <v>17226.63</v>
      </c>
      <c r="AP46" s="27">
        <v>19270.419999999998</v>
      </c>
      <c r="AQ46" s="27">
        <v>20931.72</v>
      </c>
      <c r="AR46" s="43">
        <f t="shared" si="144"/>
        <v>223754.08</v>
      </c>
      <c r="AT46" s="60" t="s">
        <v>90</v>
      </c>
      <c r="AU46" s="27">
        <v>26668.609999999993</v>
      </c>
      <c r="AV46" s="27">
        <v>16535.179999999997</v>
      </c>
      <c r="AW46" s="27">
        <v>15833.9</v>
      </c>
      <c r="AX46" s="27">
        <v>13976.920000000002</v>
      </c>
      <c r="AY46" s="27">
        <v>11575.350000000002</v>
      </c>
      <c r="AZ46" s="27">
        <v>8868.369999999999</v>
      </c>
      <c r="BA46" s="27">
        <v>12416.999999999998</v>
      </c>
      <c r="BB46" s="27">
        <v>8080.32</v>
      </c>
      <c r="BC46" s="27">
        <v>12346.730000000001</v>
      </c>
      <c r="BD46" s="27">
        <v>10964.800000000001</v>
      </c>
      <c r="BE46" s="27">
        <v>12702.57</v>
      </c>
      <c r="BF46" s="27">
        <v>8815.5400000000009</v>
      </c>
      <c r="BG46" s="43">
        <f t="shared" si="2"/>
        <v>158785.29</v>
      </c>
      <c r="BI46" s="60" t="s">
        <v>90</v>
      </c>
      <c r="BJ46" s="27">
        <v>15261.400000000001</v>
      </c>
      <c r="BK46" s="27">
        <v>17601.090000000004</v>
      </c>
      <c r="BL46" s="27">
        <v>12659.02</v>
      </c>
      <c r="BM46" s="27">
        <v>7318.7500000000036</v>
      </c>
      <c r="BN46" s="27">
        <v>13606.190000000002</v>
      </c>
      <c r="BO46" s="27">
        <v>13434</v>
      </c>
      <c r="BP46" s="27">
        <v>10168.86</v>
      </c>
      <c r="BQ46" s="27">
        <v>7555.1799999999994</v>
      </c>
      <c r="BR46" s="27">
        <v>11617.939999999999</v>
      </c>
      <c r="BS46" s="27">
        <v>10181.900000000001</v>
      </c>
      <c r="BT46" s="27">
        <v>10219.829999999998</v>
      </c>
      <c r="BU46" s="27">
        <v>5296.9799999999987</v>
      </c>
      <c r="BV46" s="43">
        <f t="shared" si="52"/>
        <v>134921.14000000001</v>
      </c>
      <c r="BW46" s="405"/>
      <c r="BX46" s="32">
        <f t="shared" si="214"/>
        <v>0.14176399996663197</v>
      </c>
      <c r="BY46" s="32">
        <f t="shared" si="215"/>
        <v>0.25523761599853173</v>
      </c>
      <c r="BZ46" s="32">
        <f t="shared" si="216"/>
        <v>0.34983387496767465</v>
      </c>
      <c r="CA46" s="32">
        <f t="shared" si="217"/>
        <v>0.43492826473227525</v>
      </c>
      <c r="CB46" s="32">
        <f t="shared" si="218"/>
        <v>0.51006394145343903</v>
      </c>
      <c r="CC46" s="32">
        <f t="shared" si="219"/>
        <v>0.58355144692043037</v>
      </c>
      <c r="CD46" s="32">
        <f t="shared" si="220"/>
        <v>0.66270773077257661</v>
      </c>
      <c r="CE46" s="32">
        <f t="shared" si="221"/>
        <v>0.73246299427857753</v>
      </c>
      <c r="CF46" s="32">
        <f t="shared" si="222"/>
        <v>0.80181066155659386</v>
      </c>
      <c r="CG46" s="32">
        <f t="shared" si="223"/>
        <v>0.85887237569521646</v>
      </c>
      <c r="CH46" s="32">
        <f t="shared" si="224"/>
        <v>0.9231954161884911</v>
      </c>
      <c r="CI46" s="32">
        <f t="shared" si="225"/>
        <v>1</v>
      </c>
      <c r="CJ46" s="405"/>
      <c r="CK46" s="32">
        <f t="shared" si="226"/>
        <v>0.11568333814433952</v>
      </c>
      <c r="CL46" s="32">
        <f t="shared" si="227"/>
        <v>0.21723617308280796</v>
      </c>
      <c r="CM46" s="32">
        <f t="shared" si="228"/>
        <v>0.32516867374679959</v>
      </c>
      <c r="CN46" s="32">
        <f t="shared" si="229"/>
        <v>0.38965447160331224</v>
      </c>
      <c r="CO46" s="32">
        <f t="shared" si="230"/>
        <v>0.43103711140115542</v>
      </c>
      <c r="CP46" s="32">
        <f t="shared" si="231"/>
        <v>0.48781120172982373</v>
      </c>
      <c r="CQ46" s="32">
        <f t="shared" si="232"/>
        <v>0.5524763591969537</v>
      </c>
      <c r="CR46" s="32">
        <f t="shared" si="233"/>
        <v>0.64910318655244048</v>
      </c>
      <c r="CS46" s="32">
        <f t="shared" si="234"/>
        <v>0.72206652500578905</v>
      </c>
      <c r="CT46" s="32">
        <f t="shared" si="235"/>
        <v>0.87610119117677221</v>
      </c>
      <c r="CU46" s="32">
        <f t="shared" si="236"/>
        <v>0.94060898913533642</v>
      </c>
      <c r="CV46" s="32">
        <f t="shared" si="237"/>
        <v>1</v>
      </c>
      <c r="CX46" s="32">
        <f t="shared" si="238"/>
        <v>0.10346434800205655</v>
      </c>
      <c r="CY46" s="32">
        <f t="shared" si="239"/>
        <v>0.20957834601272968</v>
      </c>
      <c r="CZ46" s="32">
        <f t="shared" si="240"/>
        <v>0.30271662532365884</v>
      </c>
      <c r="DA46" s="32">
        <f t="shared" si="241"/>
        <v>0.39355613090943409</v>
      </c>
      <c r="DB46" s="32">
        <f t="shared" si="242"/>
        <v>0.47786855998335309</v>
      </c>
      <c r="DC46" s="32">
        <f t="shared" si="243"/>
        <v>0.54793901411764201</v>
      </c>
      <c r="DD46" s="32">
        <f t="shared" si="244"/>
        <v>0.62139085910746295</v>
      </c>
      <c r="DE46" s="32">
        <f t="shared" si="245"/>
        <v>0.68762013188765092</v>
      </c>
      <c r="DF46" s="32">
        <f t="shared" si="246"/>
        <v>0.74333978625104846</v>
      </c>
      <c r="DG46" s="32">
        <f t="shared" si="247"/>
        <v>0.8203289075220439</v>
      </c>
      <c r="DH46" s="32">
        <f t="shared" si="248"/>
        <v>0.90645211921945734</v>
      </c>
      <c r="DI46" s="32">
        <f t="shared" si="249"/>
        <v>1</v>
      </c>
      <c r="DK46" s="32">
        <f t="shared" si="145"/>
        <v>0.1679539080729707</v>
      </c>
      <c r="DL46" s="32">
        <f t="shared" si="146"/>
        <v>0.272089373014339</v>
      </c>
      <c r="DM46" s="32">
        <f t="shared" si="147"/>
        <v>0.37180830793582953</v>
      </c>
      <c r="DN46" s="32">
        <f t="shared" si="148"/>
        <v>0.45983233081603464</v>
      </c>
      <c r="DO46" s="32">
        <f t="shared" si="149"/>
        <v>0.53273171589131463</v>
      </c>
      <c r="DP46" s="32">
        <f t="shared" si="150"/>
        <v>0.58858304821561236</v>
      </c>
      <c r="DQ46" s="32">
        <f t="shared" si="151"/>
        <v>0.6667829872653821</v>
      </c>
      <c r="DR46" s="32">
        <f t="shared" si="152"/>
        <v>0.71767132837053094</v>
      </c>
      <c r="DS46" s="32">
        <f t="shared" si="153"/>
        <v>0.79542872012892363</v>
      </c>
      <c r="DT46" s="32">
        <f t="shared" si="154"/>
        <v>0.86448297572149146</v>
      </c>
      <c r="DU46" s="32">
        <f t="shared" si="155"/>
        <v>0.9444813811153413</v>
      </c>
      <c r="DV46" s="32">
        <f t="shared" si="156"/>
        <v>1</v>
      </c>
      <c r="DW46" s="39"/>
      <c r="DX46" s="32">
        <f t="shared" si="157"/>
        <v>0.11311348243870456</v>
      </c>
      <c r="DY46" s="32">
        <f t="shared" si="158"/>
        <v>0.2435681317249469</v>
      </c>
      <c r="DZ46" s="32">
        <f t="shared" si="159"/>
        <v>0.33739345813413674</v>
      </c>
      <c r="EA46" s="32">
        <f t="shared" si="160"/>
        <v>0.391638108008871</v>
      </c>
      <c r="EB46" s="32">
        <f t="shared" si="161"/>
        <v>0.49248360931430024</v>
      </c>
      <c r="EC46" s="32">
        <f t="shared" si="162"/>
        <v>0.59205288363261688</v>
      </c>
      <c r="ED46" s="32">
        <f t="shared" si="163"/>
        <v>0.66742179913392374</v>
      </c>
      <c r="EE46" s="32">
        <f t="shared" si="164"/>
        <v>0.72341880597806985</v>
      </c>
      <c r="EF46" s="32">
        <f t="shared" si="165"/>
        <v>0.8095279212731229</v>
      </c>
      <c r="EG46" s="32">
        <f t="shared" si="166"/>
        <v>0.88499348582438608</v>
      </c>
      <c r="EH46" s="32">
        <f t="shared" si="167"/>
        <v>0.96074017755853536</v>
      </c>
      <c r="EI46" s="32">
        <f t="shared" si="168"/>
        <v>1</v>
      </c>
      <c r="EK46" s="32">
        <f t="shared" si="250"/>
        <v>0.12817724617124393</v>
      </c>
      <c r="EL46" s="32">
        <f t="shared" si="169"/>
        <v>0.24174528358400518</v>
      </c>
      <c r="EM46" s="32">
        <f t="shared" si="170"/>
        <v>0.33730613046454172</v>
      </c>
      <c r="EN46" s="32">
        <f t="shared" si="171"/>
        <v>0.41500885657811332</v>
      </c>
      <c r="EO46" s="32">
        <f t="shared" si="172"/>
        <v>0.50102796172965602</v>
      </c>
      <c r="EP46" s="32">
        <f t="shared" si="173"/>
        <v>0.57619164865529038</v>
      </c>
      <c r="EQ46" s="32">
        <f t="shared" si="174"/>
        <v>0.65186521516892293</v>
      </c>
      <c r="ER46" s="32">
        <f t="shared" si="175"/>
        <v>0.70957008874541716</v>
      </c>
      <c r="ES46" s="32">
        <f t="shared" si="176"/>
        <v>0.78276547588436507</v>
      </c>
      <c r="ET46" s="32">
        <f t="shared" si="177"/>
        <v>0.85660178968930722</v>
      </c>
      <c r="EU46" s="32">
        <f t="shared" si="178"/>
        <v>0.93722455929777804</v>
      </c>
      <c r="EV46" s="32">
        <f t="shared" si="179"/>
        <v>1</v>
      </c>
      <c r="EX46" s="32">
        <f t="shared" si="180"/>
        <v>0.12505376916451785</v>
      </c>
      <c r="EY46" s="32">
        <f t="shared" si="181"/>
        <v>0.23561800595870588</v>
      </c>
      <c r="EZ46" s="32">
        <f t="shared" si="182"/>
        <v>0.33427176628510619</v>
      </c>
      <c r="FA46" s="32">
        <f t="shared" si="183"/>
        <v>0.408670260334413</v>
      </c>
      <c r="FB46" s="32">
        <f t="shared" si="184"/>
        <v>0.48353024914753084</v>
      </c>
      <c r="FC46" s="32">
        <f t="shared" si="185"/>
        <v>0.5540965369239238</v>
      </c>
      <c r="FD46" s="32">
        <f t="shared" si="186"/>
        <v>0.62701800117593054</v>
      </c>
      <c r="FE46" s="32">
        <f t="shared" si="187"/>
        <v>0.69445336319717299</v>
      </c>
      <c r="FF46" s="32">
        <f t="shared" si="188"/>
        <v>0.76759073816472101</v>
      </c>
      <c r="FG46" s="32">
        <f t="shared" si="189"/>
        <v>0.86147664006117353</v>
      </c>
      <c r="FH46" s="32">
        <f t="shared" si="190"/>
        <v>0.93807066675716755</v>
      </c>
      <c r="FI46" s="32">
        <f t="shared" si="191"/>
        <v>1</v>
      </c>
      <c r="FK46" s="32">
        <f t="shared" si="251"/>
        <v>0.12903386473978892</v>
      </c>
      <c r="FL46" s="32">
        <f t="shared" si="192"/>
        <v>0.23296796403662556</v>
      </c>
      <c r="FM46" s="32">
        <f t="shared" si="193"/>
        <v>0.3332312023354293</v>
      </c>
      <c r="FN46" s="32">
        <f t="shared" si="194"/>
        <v>0.41434764444292699</v>
      </c>
      <c r="FO46" s="32">
        <f t="shared" si="195"/>
        <v>0.48054579575860767</v>
      </c>
      <c r="FP46" s="32">
        <f t="shared" si="196"/>
        <v>0.54144442135435933</v>
      </c>
      <c r="FQ46" s="32">
        <f t="shared" si="197"/>
        <v>0.61355006852326632</v>
      </c>
      <c r="FR46" s="32">
        <f t="shared" si="198"/>
        <v>0.68479821560354071</v>
      </c>
      <c r="FS46" s="32">
        <f t="shared" si="199"/>
        <v>0.75361167712858712</v>
      </c>
      <c r="FT46" s="32">
        <f t="shared" si="200"/>
        <v>0.85363769147343582</v>
      </c>
      <c r="FU46" s="32">
        <f t="shared" si="201"/>
        <v>0.93051416315671176</v>
      </c>
      <c r="FV46" s="32">
        <f t="shared" si="202"/>
        <v>1</v>
      </c>
      <c r="FX46" s="32">
        <f t="shared" si="252"/>
        <v>0.12030389537100934</v>
      </c>
      <c r="FY46" s="32">
        <f t="shared" si="203"/>
        <v>0.22735071169802312</v>
      </c>
      <c r="FZ46" s="32">
        <f t="shared" si="204"/>
        <v>0.32590639134604432</v>
      </c>
      <c r="GA46" s="32">
        <f t="shared" si="205"/>
        <v>0.40604628908167384</v>
      </c>
      <c r="GB46" s="32">
        <f t="shared" si="206"/>
        <v>0.47298987094598255</v>
      </c>
      <c r="GC46" s="32">
        <f t="shared" si="207"/>
        <v>0.53976722092263207</v>
      </c>
      <c r="GD46" s="32">
        <f t="shared" si="208"/>
        <v>0.61219164969233109</v>
      </c>
      <c r="GE46" s="32">
        <f t="shared" si="209"/>
        <v>0.68972877090622298</v>
      </c>
      <c r="GF46" s="32">
        <f t="shared" si="210"/>
        <v>0.75573899093781038</v>
      </c>
      <c r="GG46" s="32">
        <f t="shared" si="211"/>
        <v>0.85176749146467756</v>
      </c>
      <c r="GH46" s="32">
        <f t="shared" si="212"/>
        <v>0.92341884151442821</v>
      </c>
      <c r="GI46" s="32">
        <f t="shared" si="213"/>
        <v>1</v>
      </c>
    </row>
    <row r="47" spans="1:191">
      <c r="A47" s="724" t="s">
        <v>91</v>
      </c>
      <c r="B47" s="399">
        <v>40586.819999999992</v>
      </c>
      <c r="C47" s="400">
        <v>33037.100000000013</v>
      </c>
      <c r="D47" s="400">
        <v>26198.949999999986</v>
      </c>
      <c r="E47" s="400">
        <v>24389.27</v>
      </c>
      <c r="F47" s="400">
        <v>33073.660000000003</v>
      </c>
      <c r="G47" s="400">
        <v>31375.9</v>
      </c>
      <c r="H47" s="400">
        <v>31886.749999999993</v>
      </c>
      <c r="I47" s="400">
        <v>22498.800000000003</v>
      </c>
      <c r="J47" s="400">
        <v>23521.369999999995</v>
      </c>
      <c r="K47" s="400">
        <v>20870.370000000003</v>
      </c>
      <c r="L47" s="400">
        <v>17978.490000000002</v>
      </c>
      <c r="M47" s="400">
        <v>34415.65</v>
      </c>
      <c r="N47" s="400">
        <f t="shared" si="142"/>
        <v>339833.13</v>
      </c>
      <c r="P47" s="396" t="s">
        <v>91</v>
      </c>
      <c r="Q47" s="399">
        <v>43659.07</v>
      </c>
      <c r="R47" s="400">
        <v>31642.27</v>
      </c>
      <c r="S47" s="400">
        <v>27013.51</v>
      </c>
      <c r="T47" s="400">
        <v>20656.52</v>
      </c>
      <c r="U47" s="400">
        <v>11747.48</v>
      </c>
      <c r="V47" s="400">
        <v>14899.67</v>
      </c>
      <c r="W47" s="400">
        <v>22719.389999999985</v>
      </c>
      <c r="X47" s="400">
        <v>26668.100000000006</v>
      </c>
      <c r="Y47" s="400">
        <v>26156.339999999997</v>
      </c>
      <c r="Z47" s="400">
        <v>49550.259999999995</v>
      </c>
      <c r="AA47" s="400">
        <v>19101.890000000003</v>
      </c>
      <c r="AB47" s="400">
        <v>28036.719999999998</v>
      </c>
      <c r="AC47" s="400">
        <f t="shared" si="143"/>
        <v>321851.21999999997</v>
      </c>
      <c r="AE47" s="127" t="s">
        <v>91</v>
      </c>
      <c r="AF47" s="27">
        <v>26225.01</v>
      </c>
      <c r="AG47" s="27">
        <v>18166.02</v>
      </c>
      <c r="AH47" s="27">
        <v>14588.89</v>
      </c>
      <c r="AI47" s="27">
        <v>12074.09</v>
      </c>
      <c r="AJ47" s="27">
        <v>13730.27</v>
      </c>
      <c r="AK47" s="27">
        <v>11570.35</v>
      </c>
      <c r="AL47" s="27">
        <v>12557</v>
      </c>
      <c r="AM47" s="27">
        <v>15978.23</v>
      </c>
      <c r="AN47" s="27">
        <v>11718.17</v>
      </c>
      <c r="AO47" s="27">
        <v>12922.02</v>
      </c>
      <c r="AP47" s="27">
        <v>19995.47</v>
      </c>
      <c r="AQ47" s="27">
        <v>15868.53</v>
      </c>
      <c r="AR47" s="43">
        <f t="shared" si="144"/>
        <v>185394.05</v>
      </c>
      <c r="AT47" s="60" t="s">
        <v>91</v>
      </c>
      <c r="AU47" s="27">
        <v>14492.239999999994</v>
      </c>
      <c r="AV47" s="27">
        <v>13292.862000000001</v>
      </c>
      <c r="AW47" s="27">
        <v>13873.439999999999</v>
      </c>
      <c r="AX47" s="27">
        <v>10454.889999999996</v>
      </c>
      <c r="AY47" s="27">
        <v>9466.7300000000014</v>
      </c>
      <c r="AZ47" s="27">
        <v>13693.6</v>
      </c>
      <c r="BA47" s="27">
        <v>6962.170000000001</v>
      </c>
      <c r="BB47" s="27">
        <v>6931.4999999999991</v>
      </c>
      <c r="BC47" s="27">
        <v>6994.7199999999993</v>
      </c>
      <c r="BD47" s="27">
        <v>6899.579999999999</v>
      </c>
      <c r="BE47" s="27">
        <v>6631.6500000000005</v>
      </c>
      <c r="BF47" s="27">
        <v>10645.480000000001</v>
      </c>
      <c r="BG47" s="43">
        <f t="shared" si="2"/>
        <v>120338.86199999998</v>
      </c>
      <c r="BI47" s="60" t="s">
        <v>91</v>
      </c>
      <c r="BJ47" s="27">
        <v>13176.400000000009</v>
      </c>
      <c r="BK47" s="27">
        <v>11442.840000000002</v>
      </c>
      <c r="BL47" s="27">
        <v>5003.8100000000049</v>
      </c>
      <c r="BM47" s="27">
        <v>9821.2200000000012</v>
      </c>
      <c r="BN47" s="27">
        <v>7193.8600000000006</v>
      </c>
      <c r="BO47" s="27">
        <v>8181</v>
      </c>
      <c r="BP47" s="27">
        <v>5086.0899999999983</v>
      </c>
      <c r="BQ47" s="27">
        <v>6929.9499999999989</v>
      </c>
      <c r="BR47" s="27">
        <v>8316.3399999999983</v>
      </c>
      <c r="BS47" s="27">
        <v>6342.32</v>
      </c>
      <c r="BT47" s="27">
        <v>5403.7</v>
      </c>
      <c r="BU47" s="27">
        <v>5343.8399999999983</v>
      </c>
      <c r="BV47" s="43">
        <f t="shared" si="52"/>
        <v>92241.37000000001</v>
      </c>
      <c r="BW47" s="405"/>
      <c r="BX47" s="32">
        <f t="shared" si="214"/>
        <v>0.11943161633475816</v>
      </c>
      <c r="BY47" s="32">
        <f t="shared" si="215"/>
        <v>0.21664727038237858</v>
      </c>
      <c r="BZ47" s="32">
        <f t="shared" si="216"/>
        <v>0.2937408427483218</v>
      </c>
      <c r="CA47" s="32">
        <f t="shared" si="217"/>
        <v>0.36550921330124581</v>
      </c>
      <c r="CB47" s="32">
        <f t="shared" si="218"/>
        <v>0.46283244956134789</v>
      </c>
      <c r="CC47" s="32">
        <f t="shared" si="219"/>
        <v>0.55515982211622505</v>
      </c>
      <c r="CD47" s="32">
        <f t="shared" si="220"/>
        <v>0.64899043245136212</v>
      </c>
      <c r="CE47" s="32">
        <f t="shared" si="221"/>
        <v>0.71519586686559955</v>
      </c>
      <c r="CF47" s="32">
        <f t="shared" si="222"/>
        <v>0.78441033692035855</v>
      </c>
      <c r="CG47" s="32">
        <f t="shared" si="223"/>
        <v>0.8458239195219136</v>
      </c>
      <c r="CH47" s="32">
        <f t="shared" si="224"/>
        <v>0.89872779619809284</v>
      </c>
      <c r="CI47" s="32">
        <f t="shared" si="225"/>
        <v>1</v>
      </c>
      <c r="CJ47" s="405"/>
      <c r="CK47" s="32">
        <f t="shared" si="226"/>
        <v>0.13564985088451739</v>
      </c>
      <c r="CL47" s="32">
        <f t="shared" si="227"/>
        <v>0.2339631957896571</v>
      </c>
      <c r="CM47" s="32">
        <f t="shared" si="228"/>
        <v>0.31789486458991828</v>
      </c>
      <c r="CN47" s="32">
        <f t="shared" si="229"/>
        <v>0.38207520232485059</v>
      </c>
      <c r="CO47" s="32">
        <f t="shared" si="230"/>
        <v>0.41857492415284309</v>
      </c>
      <c r="CP47" s="32">
        <f t="shared" si="231"/>
        <v>0.46486858120345181</v>
      </c>
      <c r="CQ47" s="32">
        <f t="shared" si="232"/>
        <v>0.53545830896648461</v>
      </c>
      <c r="CR47" s="32">
        <f t="shared" si="233"/>
        <v>0.61831678003271207</v>
      </c>
      <c r="CS47" s="32">
        <f t="shared" si="234"/>
        <v>0.6995851996459731</v>
      </c>
      <c r="CT47" s="32">
        <f t="shared" si="235"/>
        <v>0.85353912904229479</v>
      </c>
      <c r="CU47" s="32">
        <f t="shared" si="236"/>
        <v>0.91288919147176151</v>
      </c>
      <c r="CV47" s="32">
        <f t="shared" si="237"/>
        <v>1</v>
      </c>
      <c r="CX47" s="32">
        <f t="shared" si="238"/>
        <v>0.1414555105732897</v>
      </c>
      <c r="CY47" s="32">
        <f t="shared" si="239"/>
        <v>0.2394415031118852</v>
      </c>
      <c r="CZ47" s="32">
        <f t="shared" si="240"/>
        <v>0.31813275560893134</v>
      </c>
      <c r="DA47" s="32">
        <f t="shared" si="241"/>
        <v>0.38325938723491937</v>
      </c>
      <c r="DB47" s="32">
        <f t="shared" si="242"/>
        <v>0.45731931526389336</v>
      </c>
      <c r="DC47" s="32">
        <f t="shared" si="243"/>
        <v>0.51972881546090621</v>
      </c>
      <c r="DD47" s="32">
        <f t="shared" si="244"/>
        <v>0.58746022323801661</v>
      </c>
      <c r="DE47" s="32">
        <f t="shared" si="245"/>
        <v>0.67364545949559873</v>
      </c>
      <c r="DF47" s="32">
        <f t="shared" si="246"/>
        <v>0.7368522884094717</v>
      </c>
      <c r="DG47" s="32">
        <f t="shared" si="247"/>
        <v>0.80655258353760539</v>
      </c>
      <c r="DH47" s="32">
        <f t="shared" si="248"/>
        <v>0.91440647636749939</v>
      </c>
      <c r="DI47" s="32">
        <f t="shared" si="249"/>
        <v>1</v>
      </c>
      <c r="DK47" s="32">
        <f t="shared" si="145"/>
        <v>0.12042859438042548</v>
      </c>
      <c r="DL47" s="32">
        <f t="shared" si="146"/>
        <v>0.23089051648169981</v>
      </c>
      <c r="DM47" s="32">
        <f t="shared" si="147"/>
        <v>0.34617696484449056</v>
      </c>
      <c r="DN47" s="32">
        <f t="shared" si="148"/>
        <v>0.4330557156174536</v>
      </c>
      <c r="DO47" s="32">
        <f t="shared" si="149"/>
        <v>0.51172298770782787</v>
      </c>
      <c r="DP47" s="32">
        <f t="shared" si="150"/>
        <v>0.6255149894969092</v>
      </c>
      <c r="DQ47" s="32">
        <f t="shared" si="151"/>
        <v>0.68336969980653461</v>
      </c>
      <c r="DR47" s="32">
        <f t="shared" si="152"/>
        <v>0.74096954647950719</v>
      </c>
      <c r="DS47" s="32">
        <f t="shared" si="153"/>
        <v>0.7990947429767119</v>
      </c>
      <c r="DT47" s="32">
        <f t="shared" si="154"/>
        <v>0.85642933867863902</v>
      </c>
      <c r="DU47" s="32">
        <f t="shared" si="155"/>
        <v>0.91153747157755238</v>
      </c>
      <c r="DV47" s="32">
        <f t="shared" si="156"/>
        <v>1</v>
      </c>
      <c r="DW47" s="39"/>
      <c r="DX47" s="32">
        <f t="shared" si="157"/>
        <v>0.14284696768922672</v>
      </c>
      <c r="DY47" s="32">
        <f t="shared" si="158"/>
        <v>0.26690019890207628</v>
      </c>
      <c r="DZ47" s="32">
        <f t="shared" si="159"/>
        <v>0.32114711652699884</v>
      </c>
      <c r="EA47" s="32">
        <f t="shared" si="160"/>
        <v>0.42762016652614782</v>
      </c>
      <c r="EB47" s="32">
        <f t="shared" si="161"/>
        <v>0.50560968467836087</v>
      </c>
      <c r="EC47" s="32">
        <f t="shared" si="162"/>
        <v>0.59430090858364326</v>
      </c>
      <c r="ED47" s="32">
        <f t="shared" si="163"/>
        <v>0.64943983377523562</v>
      </c>
      <c r="EE47" s="32">
        <f t="shared" si="164"/>
        <v>0.72456827126483492</v>
      </c>
      <c r="EF47" s="32">
        <f t="shared" si="165"/>
        <v>0.81472673270138984</v>
      </c>
      <c r="EG47" s="32">
        <f t="shared" si="166"/>
        <v>0.88348460132367945</v>
      </c>
      <c r="EH47" s="32">
        <f t="shared" si="167"/>
        <v>0.94206677546094564</v>
      </c>
      <c r="EI47" s="32">
        <f t="shared" si="168"/>
        <v>1</v>
      </c>
      <c r="EK47" s="32">
        <f t="shared" si="250"/>
        <v>0.1349103575476473</v>
      </c>
      <c r="EL47" s="32">
        <f t="shared" si="169"/>
        <v>0.24574407283188707</v>
      </c>
      <c r="EM47" s="32">
        <f t="shared" si="170"/>
        <v>0.3284856123268069</v>
      </c>
      <c r="EN47" s="32">
        <f t="shared" si="171"/>
        <v>0.41464508979284026</v>
      </c>
      <c r="EO47" s="32">
        <f t="shared" si="172"/>
        <v>0.49155066255002738</v>
      </c>
      <c r="EP47" s="32">
        <f t="shared" si="173"/>
        <v>0.57984823784715289</v>
      </c>
      <c r="EQ47" s="32">
        <f t="shared" si="174"/>
        <v>0.64008991893992895</v>
      </c>
      <c r="ER47" s="32">
        <f t="shared" si="175"/>
        <v>0.71306109241331361</v>
      </c>
      <c r="ES47" s="32">
        <f t="shared" si="176"/>
        <v>0.78355792136252445</v>
      </c>
      <c r="ET47" s="32">
        <f t="shared" si="177"/>
        <v>0.84882217451330799</v>
      </c>
      <c r="EU47" s="32">
        <f t="shared" si="178"/>
        <v>0.92267024113533258</v>
      </c>
      <c r="EV47" s="32">
        <f t="shared" si="179"/>
        <v>1</v>
      </c>
      <c r="EX47" s="32">
        <f t="shared" si="180"/>
        <v>0.13509523088186481</v>
      </c>
      <c r="EY47" s="32">
        <f t="shared" si="181"/>
        <v>0.24279885357132958</v>
      </c>
      <c r="EZ47" s="32">
        <f t="shared" si="182"/>
        <v>0.32583792539258472</v>
      </c>
      <c r="FA47" s="32">
        <f t="shared" si="183"/>
        <v>0.40650261792584286</v>
      </c>
      <c r="FB47" s="32">
        <f t="shared" si="184"/>
        <v>0.47330672795073125</v>
      </c>
      <c r="FC47" s="32">
        <f t="shared" si="185"/>
        <v>0.55110332368622761</v>
      </c>
      <c r="FD47" s="32">
        <f t="shared" si="186"/>
        <v>0.61393201644656781</v>
      </c>
      <c r="FE47" s="32">
        <f t="shared" si="187"/>
        <v>0.68937501431816317</v>
      </c>
      <c r="FF47" s="32">
        <f t="shared" si="188"/>
        <v>0.76256474093338655</v>
      </c>
      <c r="FG47" s="32">
        <f t="shared" si="189"/>
        <v>0.85000141314555466</v>
      </c>
      <c r="FH47" s="32">
        <f t="shared" si="190"/>
        <v>0.92022497871943965</v>
      </c>
      <c r="FI47" s="32">
        <f t="shared" si="191"/>
        <v>1</v>
      </c>
      <c r="FK47" s="32">
        <f t="shared" si="251"/>
        <v>0.13251131861274421</v>
      </c>
      <c r="FL47" s="32">
        <f t="shared" si="192"/>
        <v>0.23476507179441405</v>
      </c>
      <c r="FM47" s="32">
        <f t="shared" si="193"/>
        <v>0.32740152834778002</v>
      </c>
      <c r="FN47" s="32">
        <f t="shared" si="194"/>
        <v>0.3994634350590745</v>
      </c>
      <c r="FO47" s="32">
        <f t="shared" si="195"/>
        <v>0.46253907570818814</v>
      </c>
      <c r="FP47" s="32">
        <f t="shared" si="196"/>
        <v>0.53670412872042239</v>
      </c>
      <c r="FQ47" s="32">
        <f t="shared" si="197"/>
        <v>0.60209607733701198</v>
      </c>
      <c r="FR47" s="32">
        <f t="shared" si="198"/>
        <v>0.6776439286692727</v>
      </c>
      <c r="FS47" s="32">
        <f t="shared" si="199"/>
        <v>0.74517741034405216</v>
      </c>
      <c r="FT47" s="32">
        <f t="shared" si="200"/>
        <v>0.8388403504195131</v>
      </c>
      <c r="FU47" s="32">
        <f t="shared" si="201"/>
        <v>0.91294437980560439</v>
      </c>
      <c r="FV47" s="32">
        <f t="shared" si="202"/>
        <v>1</v>
      </c>
      <c r="FX47" s="32">
        <f t="shared" si="252"/>
        <v>0.13217899259752175</v>
      </c>
      <c r="FY47" s="32">
        <f t="shared" si="203"/>
        <v>0.23001732309464029</v>
      </c>
      <c r="FZ47" s="32">
        <f t="shared" si="204"/>
        <v>0.30992282098239049</v>
      </c>
      <c r="GA47" s="32">
        <f t="shared" si="205"/>
        <v>0.37694793428700524</v>
      </c>
      <c r="GB47" s="32">
        <f t="shared" si="206"/>
        <v>0.44624222965936139</v>
      </c>
      <c r="GC47" s="32">
        <f t="shared" si="207"/>
        <v>0.5132524062601943</v>
      </c>
      <c r="GD47" s="32">
        <f t="shared" si="208"/>
        <v>0.59063632155195445</v>
      </c>
      <c r="GE47" s="32">
        <f t="shared" si="209"/>
        <v>0.66905270213130341</v>
      </c>
      <c r="GF47" s="32">
        <f t="shared" si="210"/>
        <v>0.74028260832526771</v>
      </c>
      <c r="GG47" s="32">
        <f t="shared" si="211"/>
        <v>0.83530521070060459</v>
      </c>
      <c r="GH47" s="32">
        <f t="shared" si="212"/>
        <v>0.90867448801245132</v>
      </c>
      <c r="GI47" s="32">
        <f t="shared" si="213"/>
        <v>1</v>
      </c>
    </row>
    <row r="48" spans="1:191">
      <c r="A48" s="724" t="s">
        <v>92</v>
      </c>
      <c r="B48" s="399">
        <v>161056.96999999997</v>
      </c>
      <c r="C48" s="400">
        <v>142339.14000000001</v>
      </c>
      <c r="D48" s="400">
        <v>127258.08000000002</v>
      </c>
      <c r="E48" s="400">
        <v>94550.750000000058</v>
      </c>
      <c r="F48" s="400">
        <v>87818.489999999991</v>
      </c>
      <c r="G48" s="400">
        <v>91260.48000000001</v>
      </c>
      <c r="H48" s="400">
        <v>77005.600000000006</v>
      </c>
      <c r="I48" s="400">
        <v>95500.880000000019</v>
      </c>
      <c r="J48" s="400">
        <v>60524.670000000006</v>
      </c>
      <c r="K48" s="400">
        <v>55592.459999999992</v>
      </c>
      <c r="L48" s="400">
        <v>44660.490000000005</v>
      </c>
      <c r="M48" s="400">
        <v>69084.14</v>
      </c>
      <c r="N48" s="400">
        <f t="shared" si="142"/>
        <v>1106652.1499999999</v>
      </c>
      <c r="P48" s="396" t="s">
        <v>92</v>
      </c>
      <c r="Q48" s="399">
        <v>204750.72</v>
      </c>
      <c r="R48" s="400">
        <v>144178.41</v>
      </c>
      <c r="S48" s="400">
        <v>135602.07999999999</v>
      </c>
      <c r="T48" s="400">
        <v>77358.070000000007</v>
      </c>
      <c r="U48" s="400">
        <v>73086.710000000006</v>
      </c>
      <c r="V48" s="400">
        <v>83741.63</v>
      </c>
      <c r="W48" s="400">
        <v>73735.549999999988</v>
      </c>
      <c r="X48" s="400">
        <v>80301.080000000075</v>
      </c>
      <c r="Y48" s="400">
        <v>79295</v>
      </c>
      <c r="Z48" s="400">
        <v>134859.89000000001</v>
      </c>
      <c r="AA48" s="400">
        <v>68962.919999999984</v>
      </c>
      <c r="AB48" s="400">
        <v>66090.73000000001</v>
      </c>
      <c r="AC48" s="400">
        <f t="shared" si="143"/>
        <v>1221962.79</v>
      </c>
      <c r="AE48" s="127" t="s">
        <v>92</v>
      </c>
      <c r="AF48" s="27">
        <v>85690.15</v>
      </c>
      <c r="AG48" s="27">
        <v>73177.16</v>
      </c>
      <c r="AH48" s="27">
        <v>56931.48</v>
      </c>
      <c r="AI48" s="27">
        <v>54175.26</v>
      </c>
      <c r="AJ48" s="27">
        <v>52313.9</v>
      </c>
      <c r="AK48" s="27">
        <v>36927.64</v>
      </c>
      <c r="AL48" s="27">
        <v>45849.29</v>
      </c>
      <c r="AM48" s="27">
        <v>41542.720000000001</v>
      </c>
      <c r="AN48" s="27">
        <v>41038.550000000003</v>
      </c>
      <c r="AO48" s="27">
        <v>79190.240000000005</v>
      </c>
      <c r="AP48" s="27">
        <v>76843.78</v>
      </c>
      <c r="AQ48" s="27">
        <v>174424.14</v>
      </c>
      <c r="AR48" s="43">
        <f t="shared" si="144"/>
        <v>818104.31</v>
      </c>
      <c r="AT48" s="60" t="s">
        <v>92</v>
      </c>
      <c r="AU48" s="27">
        <v>74724.999999999971</v>
      </c>
      <c r="AV48" s="27">
        <v>50924.489999999932</v>
      </c>
      <c r="AW48" s="27">
        <v>45592.840000000004</v>
      </c>
      <c r="AX48" s="27">
        <v>47495.500000000007</v>
      </c>
      <c r="AY48" s="27">
        <v>32970.479999999981</v>
      </c>
      <c r="AZ48" s="27">
        <v>29664.559999999998</v>
      </c>
      <c r="BA48" s="27">
        <v>26892.780000000002</v>
      </c>
      <c r="BB48" s="27">
        <v>20969.179999999997</v>
      </c>
      <c r="BC48" s="27">
        <v>21755.8</v>
      </c>
      <c r="BD48" s="27">
        <v>25553.85</v>
      </c>
      <c r="BE48" s="27">
        <v>23219.37</v>
      </c>
      <c r="BF48" s="27">
        <v>20533.810000000001</v>
      </c>
      <c r="BG48" s="43">
        <f t="shared" si="2"/>
        <v>420297.65999999986</v>
      </c>
      <c r="BI48" s="60" t="s">
        <v>92</v>
      </c>
      <c r="BJ48" s="27">
        <v>52161.499999999971</v>
      </c>
      <c r="BK48" s="27">
        <v>50273.929999999935</v>
      </c>
      <c r="BL48" s="27">
        <v>32212.549999999988</v>
      </c>
      <c r="BM48" s="27">
        <v>25480.239999999976</v>
      </c>
      <c r="BN48" s="27">
        <v>30629.639999999941</v>
      </c>
      <c r="BO48" s="27">
        <v>27225.17</v>
      </c>
      <c r="BP48" s="27">
        <v>22013.329999999998</v>
      </c>
      <c r="BQ48" s="27">
        <v>30118.850000000006</v>
      </c>
      <c r="BR48" s="27">
        <v>34173.56</v>
      </c>
      <c r="BS48" s="27">
        <v>20601.669999999991</v>
      </c>
      <c r="BT48" s="27">
        <v>27980.340000000011</v>
      </c>
      <c r="BU48" s="27">
        <v>26421.250000000004</v>
      </c>
      <c r="BV48" s="43">
        <f t="shared" si="52"/>
        <v>379292.0299999998</v>
      </c>
      <c r="BW48" s="405"/>
      <c r="BX48" s="32">
        <f t="shared" si="214"/>
        <v>0.14553531568162587</v>
      </c>
      <c r="BY48" s="32">
        <f t="shared" si="215"/>
        <v>0.27415670768813849</v>
      </c>
      <c r="BZ48" s="32">
        <f t="shared" si="216"/>
        <v>0.38915045707903795</v>
      </c>
      <c r="CA48" s="32">
        <f t="shared" si="217"/>
        <v>0.4745890025153795</v>
      </c>
      <c r="CB48" s="32">
        <f t="shared" si="218"/>
        <v>0.55394410068240518</v>
      </c>
      <c r="CC48" s="32">
        <f t="shared" si="219"/>
        <v>0.63640947157605043</v>
      </c>
      <c r="CD48" s="32">
        <f t="shared" si="220"/>
        <v>0.70599375783980545</v>
      </c>
      <c r="CE48" s="32">
        <f t="shared" si="221"/>
        <v>0.79229086574313357</v>
      </c>
      <c r="CF48" s="32">
        <f t="shared" si="222"/>
        <v>0.84698255002712475</v>
      </c>
      <c r="CG48" s="32">
        <f t="shared" si="223"/>
        <v>0.89721735958313564</v>
      </c>
      <c r="CH48" s="32">
        <f t="shared" si="224"/>
        <v>0.93757375341474747</v>
      </c>
      <c r="CI48" s="32">
        <f t="shared" si="225"/>
        <v>1</v>
      </c>
      <c r="CJ48" s="405"/>
      <c r="CK48" s="32">
        <f t="shared" si="226"/>
        <v>0.16755888286909293</v>
      </c>
      <c r="CL48" s="32">
        <f t="shared" si="227"/>
        <v>0.28554808121448605</v>
      </c>
      <c r="CM48" s="32">
        <f t="shared" si="228"/>
        <v>0.39651879252395233</v>
      </c>
      <c r="CN48" s="32">
        <f t="shared" si="229"/>
        <v>0.45982519647754577</v>
      </c>
      <c r="CO48" s="32">
        <f t="shared" si="230"/>
        <v>0.51963610937776594</v>
      </c>
      <c r="CP48" s="32">
        <f t="shared" si="231"/>
        <v>0.58816653492370252</v>
      </c>
      <c r="CQ48" s="32">
        <f t="shared" si="232"/>
        <v>0.64850842962247635</v>
      </c>
      <c r="CR48" s="32">
        <f t="shared" si="233"/>
        <v>0.71422326206839737</v>
      </c>
      <c r="CS48" s="32">
        <f t="shared" si="234"/>
        <v>0.77911476338817154</v>
      </c>
      <c r="CT48" s="32">
        <f t="shared" si="235"/>
        <v>0.88947809941086675</v>
      </c>
      <c r="CU48" s="32">
        <f t="shared" si="236"/>
        <v>0.94591428598247251</v>
      </c>
      <c r="CV48" s="32">
        <f t="shared" si="237"/>
        <v>1</v>
      </c>
      <c r="CX48" s="32">
        <f t="shared" si="238"/>
        <v>0.10474232802905047</v>
      </c>
      <c r="CY48" s="32">
        <f t="shared" si="239"/>
        <v>0.19418955267452384</v>
      </c>
      <c r="CZ48" s="32">
        <f t="shared" si="240"/>
        <v>0.26377906504367393</v>
      </c>
      <c r="DA48" s="32">
        <f t="shared" si="241"/>
        <v>0.32999954492355621</v>
      </c>
      <c r="DB48" s="32">
        <f t="shared" si="242"/>
        <v>0.39394481371208029</v>
      </c>
      <c r="DC48" s="32">
        <f t="shared" si="243"/>
        <v>0.43908287196286744</v>
      </c>
      <c r="DD48" s="32">
        <f t="shared" si="244"/>
        <v>0.49512620218319103</v>
      </c>
      <c r="DE48" s="32">
        <f t="shared" si="245"/>
        <v>0.54590544816956155</v>
      </c>
      <c r="DF48" s="32">
        <f t="shared" si="246"/>
        <v>0.59606842799789173</v>
      </c>
      <c r="DG48" s="32">
        <f t="shared" si="247"/>
        <v>0.69286566892674106</v>
      </c>
      <c r="DH48" s="32">
        <f t="shared" si="248"/>
        <v>0.7867947425921763</v>
      </c>
      <c r="DI48" s="32">
        <f t="shared" si="249"/>
        <v>1</v>
      </c>
      <c r="DK48" s="32">
        <f t="shared" si="145"/>
        <v>0.17779066388330594</v>
      </c>
      <c r="DL48" s="32">
        <f t="shared" si="146"/>
        <v>0.2989535797082476</v>
      </c>
      <c r="DM48" s="32">
        <f t="shared" si="147"/>
        <v>0.40743108110570958</v>
      </c>
      <c r="DN48" s="32">
        <f t="shared" si="148"/>
        <v>0.52043551705712554</v>
      </c>
      <c r="DO48" s="32">
        <f t="shared" si="149"/>
        <v>0.59888106443419165</v>
      </c>
      <c r="DP48" s="32">
        <f t="shared" si="150"/>
        <v>0.66946094822417035</v>
      </c>
      <c r="DQ48" s="32">
        <f t="shared" si="151"/>
        <v>0.73344602965431693</v>
      </c>
      <c r="DR48" s="32">
        <f t="shared" si="152"/>
        <v>0.78333729005295916</v>
      </c>
      <c r="DS48" s="32">
        <f t="shared" si="153"/>
        <v>0.83510012879919437</v>
      </c>
      <c r="DT48" s="32">
        <f t="shared" si="154"/>
        <v>0.89589953938834677</v>
      </c>
      <c r="DU48" s="32">
        <f t="shared" si="155"/>
        <v>0.95114460070988738</v>
      </c>
      <c r="DV48" s="32">
        <f t="shared" si="156"/>
        <v>1</v>
      </c>
      <c r="DW48" s="39"/>
      <c r="DX48" s="32">
        <f t="shared" si="157"/>
        <v>0.13752332206927734</v>
      </c>
      <c r="DY48" s="32">
        <f t="shared" si="158"/>
        <v>0.27007008293846818</v>
      </c>
      <c r="DZ48" s="32">
        <f t="shared" si="159"/>
        <v>0.35499817910753351</v>
      </c>
      <c r="EA48" s="32">
        <f t="shared" si="160"/>
        <v>0.42217660096891552</v>
      </c>
      <c r="EB48" s="32">
        <f t="shared" si="161"/>
        <v>0.50293136926710513</v>
      </c>
      <c r="EC48" s="32">
        <f t="shared" si="162"/>
        <v>0.57471028326115869</v>
      </c>
      <c r="ED48" s="32">
        <f t="shared" si="163"/>
        <v>0.63274822832422795</v>
      </c>
      <c r="EE48" s="32">
        <f t="shared" si="164"/>
        <v>0.71215630341613012</v>
      </c>
      <c r="EF48" s="32">
        <f t="shared" si="165"/>
        <v>0.80225458467977817</v>
      </c>
      <c r="EG48" s="32">
        <f t="shared" si="166"/>
        <v>0.85657070094512644</v>
      </c>
      <c r="EH48" s="32">
        <f t="shared" si="167"/>
        <v>0.93034061380092792</v>
      </c>
      <c r="EI48" s="32">
        <f t="shared" si="168"/>
        <v>1</v>
      </c>
      <c r="EK48" s="32">
        <f t="shared" si="250"/>
        <v>0.14001877132721127</v>
      </c>
      <c r="EL48" s="32">
        <f t="shared" si="169"/>
        <v>0.2544044051070799</v>
      </c>
      <c r="EM48" s="32">
        <f t="shared" si="170"/>
        <v>0.34206944175230564</v>
      </c>
      <c r="EN48" s="32">
        <f t="shared" si="171"/>
        <v>0.42420388764986577</v>
      </c>
      <c r="EO48" s="32">
        <f t="shared" si="172"/>
        <v>0.49858574913779236</v>
      </c>
      <c r="EP48" s="32">
        <f t="shared" si="173"/>
        <v>0.56108470114939879</v>
      </c>
      <c r="EQ48" s="32">
        <f t="shared" si="174"/>
        <v>0.62044015338724534</v>
      </c>
      <c r="ER48" s="32">
        <f t="shared" si="175"/>
        <v>0.68046634721288368</v>
      </c>
      <c r="ES48" s="32">
        <f t="shared" si="176"/>
        <v>0.74447438049228809</v>
      </c>
      <c r="ET48" s="32">
        <f t="shared" si="177"/>
        <v>0.81511196975340472</v>
      </c>
      <c r="EU48" s="32">
        <f t="shared" si="178"/>
        <v>0.88942665236766383</v>
      </c>
      <c r="EV48" s="32">
        <f t="shared" si="179"/>
        <v>1</v>
      </c>
      <c r="EX48" s="32">
        <f t="shared" si="180"/>
        <v>0.14690379921268168</v>
      </c>
      <c r="EY48" s="32">
        <f t="shared" si="181"/>
        <v>0.2621903241339314</v>
      </c>
      <c r="EZ48" s="32">
        <f t="shared" si="182"/>
        <v>0.35568177944521734</v>
      </c>
      <c r="FA48" s="32">
        <f t="shared" si="183"/>
        <v>0.43310921485678577</v>
      </c>
      <c r="FB48" s="32">
        <f t="shared" si="184"/>
        <v>0.50384833919778571</v>
      </c>
      <c r="FC48" s="32">
        <f t="shared" si="185"/>
        <v>0.56785515959297472</v>
      </c>
      <c r="FD48" s="32">
        <f t="shared" si="186"/>
        <v>0.62745722244605306</v>
      </c>
      <c r="FE48" s="32">
        <f t="shared" si="187"/>
        <v>0.68890557592676205</v>
      </c>
      <c r="FF48" s="32">
        <f t="shared" si="188"/>
        <v>0.75313447621625895</v>
      </c>
      <c r="FG48" s="32">
        <f t="shared" si="189"/>
        <v>0.83370350216777023</v>
      </c>
      <c r="FH48" s="32">
        <f t="shared" si="190"/>
        <v>0.90354856077136603</v>
      </c>
      <c r="FI48" s="32">
        <f t="shared" si="191"/>
        <v>1</v>
      </c>
      <c r="FK48" s="32">
        <f t="shared" si="251"/>
        <v>0.15003062492714977</v>
      </c>
      <c r="FL48" s="32">
        <f t="shared" si="192"/>
        <v>0.25956373786575249</v>
      </c>
      <c r="FM48" s="32">
        <f t="shared" si="193"/>
        <v>0.35590964622444532</v>
      </c>
      <c r="FN48" s="32">
        <f t="shared" si="194"/>
        <v>0.43675341948607582</v>
      </c>
      <c r="FO48" s="32">
        <f t="shared" si="195"/>
        <v>0.50415399584134601</v>
      </c>
      <c r="FP48" s="32">
        <f t="shared" si="196"/>
        <v>0.56557011837024673</v>
      </c>
      <c r="FQ48" s="32">
        <f t="shared" si="197"/>
        <v>0.62569355381999481</v>
      </c>
      <c r="FR48" s="32">
        <f t="shared" si="198"/>
        <v>0.68115533343030599</v>
      </c>
      <c r="FS48" s="32">
        <f t="shared" si="199"/>
        <v>0.73676110672841932</v>
      </c>
      <c r="FT48" s="32">
        <f t="shared" si="200"/>
        <v>0.82608110257531819</v>
      </c>
      <c r="FU48" s="32">
        <f t="shared" si="201"/>
        <v>0.89461787642817869</v>
      </c>
      <c r="FV48" s="32">
        <f t="shared" si="202"/>
        <v>1</v>
      </c>
      <c r="FX48" s="32">
        <f t="shared" si="252"/>
        <v>0.13927884219325642</v>
      </c>
      <c r="FY48" s="32">
        <f t="shared" si="203"/>
        <v>0.25129811385904949</v>
      </c>
      <c r="FZ48" s="32">
        <f t="shared" si="204"/>
        <v>0.34981610488222142</v>
      </c>
      <c r="GA48" s="32">
        <f t="shared" si="205"/>
        <v>0.42147124797216051</v>
      </c>
      <c r="GB48" s="32">
        <f t="shared" si="206"/>
        <v>0.4891750079240838</v>
      </c>
      <c r="GC48" s="32">
        <f t="shared" si="207"/>
        <v>0.55455295948754013</v>
      </c>
      <c r="GD48" s="32">
        <f t="shared" si="208"/>
        <v>0.61654279654849098</v>
      </c>
      <c r="GE48" s="32">
        <f t="shared" si="209"/>
        <v>0.6841398586603642</v>
      </c>
      <c r="GF48" s="32">
        <f t="shared" si="210"/>
        <v>0.740721913804396</v>
      </c>
      <c r="GG48" s="32">
        <f t="shared" si="211"/>
        <v>0.82652037597358119</v>
      </c>
      <c r="GH48" s="32">
        <f t="shared" si="212"/>
        <v>0.89009426066313202</v>
      </c>
      <c r="GI48" s="32">
        <f t="shared" si="213"/>
        <v>1</v>
      </c>
    </row>
    <row r="49" spans="1:191">
      <c r="A49" s="724" t="s">
        <v>93</v>
      </c>
      <c r="B49" s="399">
        <v>68478.200000000012</v>
      </c>
      <c r="C49" s="400">
        <v>90649.969999999987</v>
      </c>
      <c r="D49" s="400">
        <v>64160.609999999986</v>
      </c>
      <c r="E49" s="400">
        <v>51397.650000000016</v>
      </c>
      <c r="F49" s="400">
        <v>43148.040000000008</v>
      </c>
      <c r="G49" s="400">
        <v>52607.729999999996</v>
      </c>
      <c r="H49" s="400">
        <v>33085.4</v>
      </c>
      <c r="I49" s="400">
        <v>31802.1</v>
      </c>
      <c r="J49" s="400">
        <v>31144.169999999995</v>
      </c>
      <c r="K49" s="400">
        <v>19419.019999999993</v>
      </c>
      <c r="L49" s="400">
        <v>26200.18</v>
      </c>
      <c r="M49" s="400">
        <v>46148.15</v>
      </c>
      <c r="N49" s="400">
        <f t="shared" si="142"/>
        <v>558241.22</v>
      </c>
      <c r="P49" s="396" t="s">
        <v>93</v>
      </c>
      <c r="Q49" s="399">
        <v>83692.210000000006</v>
      </c>
      <c r="R49" s="400">
        <v>53274.84</v>
      </c>
      <c r="S49" s="400">
        <v>40462.57</v>
      </c>
      <c r="T49" s="400">
        <v>21740.17</v>
      </c>
      <c r="U49" s="400">
        <v>17964.84</v>
      </c>
      <c r="V49" s="400">
        <v>21150</v>
      </c>
      <c r="W49" s="400">
        <v>33013.19</v>
      </c>
      <c r="X49" s="400">
        <v>30713.380000000005</v>
      </c>
      <c r="Y49" s="400">
        <v>31403.309999999998</v>
      </c>
      <c r="Z49" s="400">
        <v>74161.289999999994</v>
      </c>
      <c r="AA49" s="400">
        <v>26497.040000000001</v>
      </c>
      <c r="AB49" s="400">
        <v>19047.32</v>
      </c>
      <c r="AC49" s="400">
        <f t="shared" si="143"/>
        <v>453120.15999999992</v>
      </c>
      <c r="AE49" s="127" t="s">
        <v>93</v>
      </c>
      <c r="AF49" s="27">
        <v>32157.73</v>
      </c>
      <c r="AG49" s="27">
        <v>48384.34</v>
      </c>
      <c r="AH49" s="27">
        <v>43251.519999999997</v>
      </c>
      <c r="AI49" s="27">
        <v>42841.41</v>
      </c>
      <c r="AJ49" s="27">
        <v>57155.71</v>
      </c>
      <c r="AK49" s="27">
        <v>39600.01</v>
      </c>
      <c r="AL49" s="27">
        <v>44169.85</v>
      </c>
      <c r="AM49" s="27">
        <v>39029.9</v>
      </c>
      <c r="AN49" s="27">
        <v>32089.05</v>
      </c>
      <c r="AO49" s="27">
        <v>21963.55</v>
      </c>
      <c r="AP49" s="27">
        <v>22106.61</v>
      </c>
      <c r="AQ49" s="27">
        <v>20319.599999999999</v>
      </c>
      <c r="AR49" s="43">
        <f t="shared" si="144"/>
        <v>443069.27999999991</v>
      </c>
      <c r="AT49" s="60" t="s">
        <v>93</v>
      </c>
      <c r="AU49" s="27">
        <v>32427.249999999985</v>
      </c>
      <c r="AV49" s="27">
        <v>24175.389999999992</v>
      </c>
      <c r="AW49" s="27">
        <v>22067.489999999998</v>
      </c>
      <c r="AX49" s="27">
        <v>17947.819999999985</v>
      </c>
      <c r="AY49" s="27">
        <v>12517.720000000008</v>
      </c>
      <c r="AZ49" s="27">
        <v>11188.13</v>
      </c>
      <c r="BA49" s="27">
        <v>12289.580000000004</v>
      </c>
      <c r="BB49" s="27">
        <v>8991.35</v>
      </c>
      <c r="BC49" s="27">
        <v>6177.74</v>
      </c>
      <c r="BD49" s="27">
        <v>6827.23</v>
      </c>
      <c r="BE49" s="27">
        <v>5880.18</v>
      </c>
      <c r="BF49" s="27">
        <v>6923.59</v>
      </c>
      <c r="BG49" s="43">
        <f t="shared" si="2"/>
        <v>167413.46999999997</v>
      </c>
      <c r="BI49" s="60" t="s">
        <v>93</v>
      </c>
      <c r="BJ49" s="27">
        <v>27849.5</v>
      </c>
      <c r="BK49" s="27">
        <v>23140.049999999996</v>
      </c>
      <c r="BL49" s="27">
        <v>19167.209999999995</v>
      </c>
      <c r="BM49" s="27">
        <v>12610.919999999995</v>
      </c>
      <c r="BN49" s="27">
        <v>13712.269999999997</v>
      </c>
      <c r="BO49" s="27">
        <v>13680.359999999993</v>
      </c>
      <c r="BP49" s="27">
        <v>12841.430000000002</v>
      </c>
      <c r="BQ49" s="27">
        <v>10256.329999999996</v>
      </c>
      <c r="BR49" s="27">
        <v>7413.1699999999983</v>
      </c>
      <c r="BS49" s="27">
        <v>4768.0600000000004</v>
      </c>
      <c r="BT49" s="27">
        <v>6392.5700000000052</v>
      </c>
      <c r="BU49" s="27">
        <v>8211.2000000000007</v>
      </c>
      <c r="BV49" s="43">
        <f t="shared" si="52"/>
        <v>160043.07</v>
      </c>
      <c r="BW49" s="405"/>
      <c r="BX49" s="32">
        <f t="shared" si="214"/>
        <v>0.12266776000525367</v>
      </c>
      <c r="BY49" s="32">
        <f t="shared" si="215"/>
        <v>0.28505270535199817</v>
      </c>
      <c r="BZ49" s="32">
        <f t="shared" si="216"/>
        <v>0.39998619234889171</v>
      </c>
      <c r="CA49" s="32">
        <f t="shared" si="217"/>
        <v>0.49205687462491576</v>
      </c>
      <c r="CB49" s="32">
        <f t="shared" si="218"/>
        <v>0.56934969796748436</v>
      </c>
      <c r="CC49" s="32">
        <f t="shared" si="219"/>
        <v>0.66358804532563898</v>
      </c>
      <c r="CD49" s="32">
        <f t="shared" si="220"/>
        <v>0.72285525601280387</v>
      </c>
      <c r="CE49" s="32">
        <f t="shared" si="221"/>
        <v>0.77982363968035173</v>
      </c>
      <c r="CF49" s="32">
        <f t="shared" si="222"/>
        <v>0.83561344681784688</v>
      </c>
      <c r="CG49" s="32">
        <f t="shared" si="223"/>
        <v>0.87039952012142707</v>
      </c>
      <c r="CH49" s="32">
        <f t="shared" si="224"/>
        <v>0.91733295868047859</v>
      </c>
      <c r="CI49" s="32">
        <f t="shared" si="225"/>
        <v>1</v>
      </c>
      <c r="CJ49" s="405"/>
      <c r="CK49" s="32">
        <f t="shared" si="226"/>
        <v>0.18470202252753445</v>
      </c>
      <c r="CL49" s="32">
        <f t="shared" si="227"/>
        <v>0.3022753390623803</v>
      </c>
      <c r="CM49" s="32">
        <f t="shared" si="228"/>
        <v>0.39157299909145521</v>
      </c>
      <c r="CN49" s="32">
        <f t="shared" si="229"/>
        <v>0.43955181777831298</v>
      </c>
      <c r="CO49" s="32">
        <f t="shared" si="230"/>
        <v>0.47919878471088112</v>
      </c>
      <c r="CP49" s="32">
        <f t="shared" si="231"/>
        <v>0.52587514534775948</v>
      </c>
      <c r="CQ49" s="32">
        <f t="shared" si="232"/>
        <v>0.59873261873848205</v>
      </c>
      <c r="CR49" s="32">
        <f t="shared" si="233"/>
        <v>0.66651459515727574</v>
      </c>
      <c r="CS49" s="32">
        <f t="shared" si="234"/>
        <v>0.73581919197768653</v>
      </c>
      <c r="CT49" s="32">
        <f t="shared" si="235"/>
        <v>0.89948723535055253</v>
      </c>
      <c r="CU49" s="32">
        <f t="shared" si="236"/>
        <v>0.95796408617087347</v>
      </c>
      <c r="CV49" s="32">
        <f t="shared" si="237"/>
        <v>1</v>
      </c>
      <c r="CX49" s="32">
        <f t="shared" si="238"/>
        <v>7.2579462065165079E-2</v>
      </c>
      <c r="CY49" s="32">
        <f t="shared" si="239"/>
        <v>0.18178211317200779</v>
      </c>
      <c r="CZ49" s="32">
        <f t="shared" si="240"/>
        <v>0.2794000748596247</v>
      </c>
      <c r="DA49" s="32">
        <f t="shared" si="241"/>
        <v>0.37609242509433294</v>
      </c>
      <c r="DB49" s="32">
        <f t="shared" si="242"/>
        <v>0.50509191248826824</v>
      </c>
      <c r="DC49" s="32">
        <f t="shared" si="243"/>
        <v>0.59446847680344717</v>
      </c>
      <c r="DD49" s="32">
        <f t="shared" si="244"/>
        <v>0.69415909403603882</v>
      </c>
      <c r="DE49" s="32">
        <f t="shared" si="245"/>
        <v>0.78224892955792391</v>
      </c>
      <c r="DF49" s="32">
        <f t="shared" si="246"/>
        <v>0.85467338200472853</v>
      </c>
      <c r="DG49" s="32">
        <f t="shared" si="247"/>
        <v>0.90424474926359155</v>
      </c>
      <c r="DH49" s="32">
        <f t="shared" si="248"/>
        <v>0.95413900056442646</v>
      </c>
      <c r="DI49" s="32">
        <f t="shared" si="249"/>
        <v>1</v>
      </c>
      <c r="DK49" s="32">
        <f t="shared" si="145"/>
        <v>0.19369558494904854</v>
      </c>
      <c r="DL49" s="32">
        <f t="shared" si="146"/>
        <v>0.33810087085585161</v>
      </c>
      <c r="DM49" s="32">
        <f t="shared" si="147"/>
        <v>0.46991517468695909</v>
      </c>
      <c r="DN49" s="32">
        <f t="shared" si="148"/>
        <v>0.5771217214481007</v>
      </c>
      <c r="DO49" s="32">
        <f t="shared" si="149"/>
        <v>0.65189300478629331</v>
      </c>
      <c r="DP49" s="32">
        <f t="shared" si="150"/>
        <v>0.71872233458872803</v>
      </c>
      <c r="DQ49" s="32">
        <f t="shared" si="151"/>
        <v>0.7921308840919431</v>
      </c>
      <c r="DR49" s="32">
        <f t="shared" si="152"/>
        <v>0.84583833069107284</v>
      </c>
      <c r="DS49" s="32">
        <f t="shared" si="153"/>
        <v>0.88273942353623036</v>
      </c>
      <c r="DT49" s="32">
        <f t="shared" si="154"/>
        <v>0.92352007278745263</v>
      </c>
      <c r="DU49" s="32">
        <f t="shared" si="155"/>
        <v>0.95864376982330035</v>
      </c>
      <c r="DV49" s="32">
        <f t="shared" si="156"/>
        <v>1</v>
      </c>
      <c r="DW49" s="39"/>
      <c r="DX49" s="32">
        <f t="shared" si="157"/>
        <v>0.1740125330012727</v>
      </c>
      <c r="DY49" s="32">
        <f t="shared" si="158"/>
        <v>0.31859892465197021</v>
      </c>
      <c r="DZ49" s="32">
        <f t="shared" si="159"/>
        <v>0.43836174849682646</v>
      </c>
      <c r="EA49" s="32">
        <f t="shared" si="160"/>
        <v>0.5171587873189385</v>
      </c>
      <c r="EB49" s="32">
        <f t="shared" si="161"/>
        <v>0.60283741120437129</v>
      </c>
      <c r="EC49" s="32">
        <f t="shared" si="162"/>
        <v>0.68831665126143837</v>
      </c>
      <c r="ED49" s="32">
        <f t="shared" si="163"/>
        <v>0.76855398987285095</v>
      </c>
      <c r="EE49" s="32">
        <f t="shared" si="164"/>
        <v>0.83263880154260961</v>
      </c>
      <c r="EF49" s="32">
        <f t="shared" si="165"/>
        <v>0.87895864531966295</v>
      </c>
      <c r="EG49" s="32">
        <f t="shared" si="166"/>
        <v>0.90875100059002856</v>
      </c>
      <c r="EH49" s="32">
        <f t="shared" si="167"/>
        <v>0.94869381098475547</v>
      </c>
      <c r="EI49" s="32">
        <f t="shared" si="168"/>
        <v>1</v>
      </c>
      <c r="EK49" s="32">
        <f t="shared" si="250"/>
        <v>0.14676252667182876</v>
      </c>
      <c r="EL49" s="32">
        <f t="shared" si="169"/>
        <v>0.27949396955994321</v>
      </c>
      <c r="EM49" s="32">
        <f t="shared" si="170"/>
        <v>0.39589233268113677</v>
      </c>
      <c r="EN49" s="32">
        <f t="shared" si="171"/>
        <v>0.49012431128712403</v>
      </c>
      <c r="EO49" s="32">
        <f t="shared" si="172"/>
        <v>0.58660744282631094</v>
      </c>
      <c r="EP49" s="32">
        <f t="shared" si="173"/>
        <v>0.66716915421787126</v>
      </c>
      <c r="EQ49" s="32">
        <f t="shared" si="174"/>
        <v>0.75161465600027766</v>
      </c>
      <c r="ER49" s="32">
        <f t="shared" si="175"/>
        <v>0.82024202059720219</v>
      </c>
      <c r="ES49" s="32">
        <f t="shared" si="176"/>
        <v>0.87212381695354058</v>
      </c>
      <c r="ET49" s="32">
        <f t="shared" si="177"/>
        <v>0.91217194088035758</v>
      </c>
      <c r="EU49" s="32">
        <f t="shared" si="178"/>
        <v>0.9538255271241608</v>
      </c>
      <c r="EV49" s="32">
        <f t="shared" si="179"/>
        <v>1</v>
      </c>
      <c r="EX49" s="32">
        <f t="shared" si="180"/>
        <v>0.15624740063575518</v>
      </c>
      <c r="EY49" s="32">
        <f t="shared" si="181"/>
        <v>0.28518931193555247</v>
      </c>
      <c r="EZ49" s="32">
        <f t="shared" si="182"/>
        <v>0.39481249928371637</v>
      </c>
      <c r="FA49" s="32">
        <f t="shared" si="183"/>
        <v>0.47748118790992122</v>
      </c>
      <c r="FB49" s="32">
        <f t="shared" si="184"/>
        <v>0.55975527829745342</v>
      </c>
      <c r="FC49" s="32">
        <f t="shared" si="185"/>
        <v>0.63184565200034326</v>
      </c>
      <c r="FD49" s="32">
        <f t="shared" si="186"/>
        <v>0.71339414668482881</v>
      </c>
      <c r="FE49" s="32">
        <f t="shared" si="187"/>
        <v>0.7818101642372205</v>
      </c>
      <c r="FF49" s="32">
        <f t="shared" si="188"/>
        <v>0.83804766070957704</v>
      </c>
      <c r="FG49" s="32">
        <f t="shared" si="189"/>
        <v>0.90900076449790634</v>
      </c>
      <c r="FH49" s="32">
        <f t="shared" si="190"/>
        <v>0.95486016688583897</v>
      </c>
      <c r="FI49" s="32">
        <f t="shared" si="191"/>
        <v>1</v>
      </c>
      <c r="FK49" s="32">
        <f t="shared" si="251"/>
        <v>0.15032568984724937</v>
      </c>
      <c r="FL49" s="32">
        <f t="shared" si="192"/>
        <v>0.27405277436341319</v>
      </c>
      <c r="FM49" s="32">
        <f t="shared" si="193"/>
        <v>0.3802960828793463</v>
      </c>
      <c r="FN49" s="32">
        <f t="shared" si="194"/>
        <v>0.46425532144024889</v>
      </c>
      <c r="FO49" s="32">
        <f t="shared" si="195"/>
        <v>0.54539456732848091</v>
      </c>
      <c r="FP49" s="32">
        <f t="shared" si="196"/>
        <v>0.61302198557997822</v>
      </c>
      <c r="FQ49" s="32">
        <f t="shared" si="197"/>
        <v>0.69500753228882139</v>
      </c>
      <c r="FR49" s="32">
        <f t="shared" si="198"/>
        <v>0.76486728513542424</v>
      </c>
      <c r="FS49" s="32">
        <f t="shared" si="199"/>
        <v>0.82441066583954836</v>
      </c>
      <c r="FT49" s="32">
        <f t="shared" si="200"/>
        <v>0.90908401913386561</v>
      </c>
      <c r="FU49" s="32">
        <f t="shared" si="201"/>
        <v>0.9569156188528668</v>
      </c>
      <c r="FV49" s="32">
        <f t="shared" si="202"/>
        <v>1</v>
      </c>
      <c r="FX49" s="32">
        <f t="shared" si="252"/>
        <v>0.12664974819931774</v>
      </c>
      <c r="FY49" s="32">
        <f t="shared" si="203"/>
        <v>0.25637005252879547</v>
      </c>
      <c r="FZ49" s="32">
        <f t="shared" si="204"/>
        <v>0.35698642209999054</v>
      </c>
      <c r="GA49" s="32">
        <f t="shared" si="205"/>
        <v>0.43590037249918723</v>
      </c>
      <c r="GB49" s="32">
        <f t="shared" si="206"/>
        <v>0.51788013172221126</v>
      </c>
      <c r="GC49" s="32">
        <f t="shared" si="207"/>
        <v>0.59464388915894861</v>
      </c>
      <c r="GD49" s="32">
        <f t="shared" si="208"/>
        <v>0.67191565626244154</v>
      </c>
      <c r="GE49" s="32">
        <f t="shared" si="209"/>
        <v>0.74286238813185046</v>
      </c>
      <c r="GF49" s="32">
        <f t="shared" si="210"/>
        <v>0.80870200693342065</v>
      </c>
      <c r="GG49" s="32">
        <f t="shared" si="211"/>
        <v>0.89137716824519042</v>
      </c>
      <c r="GH49" s="32">
        <f t="shared" si="212"/>
        <v>0.94314534847192621</v>
      </c>
      <c r="GI49" s="32">
        <f t="shared" si="213"/>
        <v>1</v>
      </c>
    </row>
    <row r="50" spans="1:191">
      <c r="A50" s="724" t="s">
        <v>94</v>
      </c>
      <c r="B50" s="399">
        <v>39405.240000000005</v>
      </c>
      <c r="C50" s="400">
        <v>26915.229999999989</v>
      </c>
      <c r="D50" s="400">
        <v>19559.409999999996</v>
      </c>
      <c r="E50" s="400">
        <v>16105.829999999994</v>
      </c>
      <c r="F50" s="400">
        <v>15243.75</v>
      </c>
      <c r="G50" s="400">
        <v>16060.210000000003</v>
      </c>
      <c r="H50" s="400">
        <v>14030.900000000001</v>
      </c>
      <c r="I50" s="400">
        <v>6993.91</v>
      </c>
      <c r="J50" s="400">
        <v>5058.4399999999987</v>
      </c>
      <c r="K50" s="400">
        <v>4624.9499999999989</v>
      </c>
      <c r="L50" s="400">
        <v>4439.8500000000004</v>
      </c>
      <c r="M50" s="400">
        <v>6316.83</v>
      </c>
      <c r="N50" s="400">
        <f t="shared" si="142"/>
        <v>174754.55</v>
      </c>
      <c r="P50" s="396" t="s">
        <v>94</v>
      </c>
      <c r="Q50" s="399">
        <v>14655.02</v>
      </c>
      <c r="R50" s="400">
        <v>11163.76</v>
      </c>
      <c r="S50" s="400">
        <v>6649.94</v>
      </c>
      <c r="T50" s="400">
        <v>4058.63</v>
      </c>
      <c r="U50" s="400">
        <v>4897.43</v>
      </c>
      <c r="V50" s="400">
        <v>2649.99</v>
      </c>
      <c r="W50" s="400">
        <v>3143.7300000000032</v>
      </c>
      <c r="X50" s="400">
        <v>10245.830000000002</v>
      </c>
      <c r="Y50" s="400">
        <v>9146.84</v>
      </c>
      <c r="Z50" s="400">
        <v>14237.960000000001</v>
      </c>
      <c r="AA50" s="400">
        <v>4382.05</v>
      </c>
      <c r="AB50" s="400">
        <v>17447.319999999996</v>
      </c>
      <c r="AC50" s="400">
        <f t="shared" si="143"/>
        <v>102678.5</v>
      </c>
      <c r="AE50" s="127" t="s">
        <v>94</v>
      </c>
      <c r="AF50" s="27">
        <v>7696.26</v>
      </c>
      <c r="AG50" s="27">
        <v>5105.88</v>
      </c>
      <c r="AH50" s="27">
        <v>3881.68</v>
      </c>
      <c r="AI50" s="27">
        <v>4015.38</v>
      </c>
      <c r="AJ50" s="27">
        <v>3375.3</v>
      </c>
      <c r="AK50" s="27">
        <v>1803.63</v>
      </c>
      <c r="AL50" s="27">
        <v>3147.88</v>
      </c>
      <c r="AM50" s="27">
        <v>3139.7</v>
      </c>
      <c r="AN50" s="27">
        <v>2607.5500000000002</v>
      </c>
      <c r="AO50" s="27">
        <v>3574.76</v>
      </c>
      <c r="AP50" s="27">
        <v>2442.7800000000002</v>
      </c>
      <c r="AQ50" s="27">
        <v>2874.8</v>
      </c>
      <c r="AR50" s="43">
        <f t="shared" si="144"/>
        <v>43665.600000000006</v>
      </c>
      <c r="AT50" s="60" t="s">
        <v>94</v>
      </c>
      <c r="AU50" s="27">
        <v>4984.949999999998</v>
      </c>
      <c r="AV50" s="27">
        <v>3437.9300000000012</v>
      </c>
      <c r="AW50" s="27">
        <v>4239.0700000000052</v>
      </c>
      <c r="AX50" s="27">
        <v>2868.9400000000023</v>
      </c>
      <c r="AY50" s="27">
        <v>2767.6099999999988</v>
      </c>
      <c r="AZ50" s="27">
        <v>2215.44</v>
      </c>
      <c r="BA50" s="27">
        <v>1470.2700000000004</v>
      </c>
      <c r="BB50" s="27">
        <v>1832.5</v>
      </c>
      <c r="BC50" s="27">
        <v>1512.21</v>
      </c>
      <c r="BD50" s="27">
        <v>700.04</v>
      </c>
      <c r="BE50" s="27">
        <v>1876.72</v>
      </c>
      <c r="BF50" s="27">
        <v>1599.13</v>
      </c>
      <c r="BG50" s="43">
        <f t="shared" si="2"/>
        <v>29504.810000000009</v>
      </c>
      <c r="BI50" s="60" t="s">
        <v>94</v>
      </c>
      <c r="BJ50" s="27">
        <v>5514.0600000000013</v>
      </c>
      <c r="BK50" s="27">
        <v>4000.5599999999959</v>
      </c>
      <c r="BL50" s="27">
        <v>3392.7299999999959</v>
      </c>
      <c r="BM50" s="27">
        <v>2402.849999999999</v>
      </c>
      <c r="BN50" s="27">
        <v>4087.63</v>
      </c>
      <c r="BO50" s="27">
        <v>2625.9399999999978</v>
      </c>
      <c r="BP50" s="27">
        <v>2475.2800000000007</v>
      </c>
      <c r="BQ50" s="27">
        <v>2511.41</v>
      </c>
      <c r="BR50" s="27">
        <v>1105.8300000000004</v>
      </c>
      <c r="BS50" s="27">
        <v>1203.4400000000005</v>
      </c>
      <c r="BT50" s="27">
        <v>2306.13</v>
      </c>
      <c r="BU50" s="27">
        <v>1176.1399999999999</v>
      </c>
      <c r="BV50" s="43">
        <f t="shared" si="52"/>
        <v>32801.999999999993</v>
      </c>
      <c r="BW50" s="405"/>
      <c r="BX50" s="32">
        <f t="shared" si="214"/>
        <v>0.22548906451935019</v>
      </c>
      <c r="BY50" s="32">
        <f t="shared" si="215"/>
        <v>0.37950639911807738</v>
      </c>
      <c r="BZ50" s="32">
        <f t="shared" si="216"/>
        <v>0.4914314391241888</v>
      </c>
      <c r="CA50" s="32">
        <f t="shared" si="217"/>
        <v>0.58359401800983146</v>
      </c>
      <c r="CB50" s="32">
        <f t="shared" si="218"/>
        <v>0.67082350645519673</v>
      </c>
      <c r="CC50" s="32">
        <f t="shared" si="219"/>
        <v>0.76272503348267606</v>
      </c>
      <c r="CD50" s="32">
        <f t="shared" si="220"/>
        <v>0.84301421622498518</v>
      </c>
      <c r="CE50" s="32">
        <f t="shared" si="221"/>
        <v>0.88303554900287284</v>
      </c>
      <c r="CF50" s="32">
        <f t="shared" si="222"/>
        <v>0.91198151922224624</v>
      </c>
      <c r="CG50" s="32">
        <f t="shared" si="223"/>
        <v>0.93844692455790135</v>
      </c>
      <c r="CH50" s="32">
        <f t="shared" si="224"/>
        <v>0.96385313000434047</v>
      </c>
      <c r="CI50" s="32">
        <f t="shared" si="225"/>
        <v>1</v>
      </c>
      <c r="CJ50" s="405"/>
      <c r="CK50" s="32">
        <f t="shared" si="226"/>
        <v>0.14272725059286998</v>
      </c>
      <c r="CL50" s="32">
        <f t="shared" si="227"/>
        <v>0.25145264101053288</v>
      </c>
      <c r="CM50" s="32">
        <f t="shared" si="228"/>
        <v>0.31621731910770023</v>
      </c>
      <c r="CN50" s="32">
        <f t="shared" si="229"/>
        <v>0.35574487356165113</v>
      </c>
      <c r="CO50" s="32">
        <f t="shared" si="230"/>
        <v>0.40344161630721131</v>
      </c>
      <c r="CP50" s="32">
        <f t="shared" si="231"/>
        <v>0.42925023252190087</v>
      </c>
      <c r="CQ50" s="32">
        <f t="shared" si="232"/>
        <v>0.45986745034257415</v>
      </c>
      <c r="CR50" s="32">
        <f t="shared" si="233"/>
        <v>0.55965299454121364</v>
      </c>
      <c r="CS50" s="32">
        <f t="shared" si="234"/>
        <v>0.64873532433761694</v>
      </c>
      <c r="CT50" s="32">
        <f t="shared" si="235"/>
        <v>0.78740077036575329</v>
      </c>
      <c r="CU50" s="32">
        <f t="shared" si="236"/>
        <v>0.83007815657610895</v>
      </c>
      <c r="CV50" s="32">
        <f t="shared" si="237"/>
        <v>1</v>
      </c>
      <c r="CX50" s="32">
        <f t="shared" si="238"/>
        <v>0.1762545344619105</v>
      </c>
      <c r="CY50" s="32">
        <f t="shared" si="239"/>
        <v>0.29318594041991858</v>
      </c>
      <c r="CZ50" s="32">
        <f t="shared" si="240"/>
        <v>0.3820815470301564</v>
      </c>
      <c r="DA50" s="32">
        <f t="shared" si="241"/>
        <v>0.4740390604961342</v>
      </c>
      <c r="DB50" s="32">
        <f t="shared" si="242"/>
        <v>0.55133789527683108</v>
      </c>
      <c r="DC50" s="32">
        <f t="shared" si="243"/>
        <v>0.59264340808325078</v>
      </c>
      <c r="DD50" s="32">
        <f t="shared" si="244"/>
        <v>0.66473402403722837</v>
      </c>
      <c r="DE50" s="32">
        <f t="shared" si="245"/>
        <v>0.73663730717086218</v>
      </c>
      <c r="DF50" s="32">
        <f t="shared" si="246"/>
        <v>0.79635365138690406</v>
      </c>
      <c r="DG50" s="32">
        <f t="shared" si="247"/>
        <v>0.87822038400938041</v>
      </c>
      <c r="DH50" s="32">
        <f t="shared" si="248"/>
        <v>0.9341632772708951</v>
      </c>
      <c r="DI50" s="32">
        <f t="shared" si="249"/>
        <v>1</v>
      </c>
      <c r="DK50" s="32">
        <f t="shared" si="145"/>
        <v>0.16895380787064876</v>
      </c>
      <c r="DL50" s="32">
        <f t="shared" si="146"/>
        <v>0.28547480902266431</v>
      </c>
      <c r="DM50" s="32">
        <f t="shared" si="147"/>
        <v>0.42914867101330262</v>
      </c>
      <c r="DN50" s="32">
        <f t="shared" si="148"/>
        <v>0.52638501993403797</v>
      </c>
      <c r="DO50" s="32">
        <f t="shared" si="149"/>
        <v>0.62018701357507477</v>
      </c>
      <c r="DP50" s="32">
        <f t="shared" si="150"/>
        <v>0.69527443152489377</v>
      </c>
      <c r="DQ50" s="32">
        <f t="shared" si="151"/>
        <v>0.74510596746767732</v>
      </c>
      <c r="DR50" s="32">
        <f t="shared" si="152"/>
        <v>0.80721448468910662</v>
      </c>
      <c r="DS50" s="32">
        <f t="shared" si="153"/>
        <v>0.85846748377637405</v>
      </c>
      <c r="DT50" s="32">
        <f t="shared" si="154"/>
        <v>0.88219378467443099</v>
      </c>
      <c r="DU50" s="32">
        <f t="shared" si="155"/>
        <v>0.94580104057609593</v>
      </c>
      <c r="DV50" s="32">
        <f t="shared" si="156"/>
        <v>1</v>
      </c>
      <c r="DW50" s="39"/>
      <c r="DX50" s="32">
        <f t="shared" si="157"/>
        <v>0.16810133528443397</v>
      </c>
      <c r="DY50" s="32">
        <f t="shared" si="158"/>
        <v>0.29006219132979694</v>
      </c>
      <c r="DZ50" s="32">
        <f t="shared" si="159"/>
        <v>0.39349277483080286</v>
      </c>
      <c r="EA50" s="32">
        <f t="shared" si="160"/>
        <v>0.46674593012621168</v>
      </c>
      <c r="EB50" s="32">
        <f t="shared" si="161"/>
        <v>0.5913611974879579</v>
      </c>
      <c r="EC50" s="32">
        <f t="shared" si="162"/>
        <v>0.67141546247180028</v>
      </c>
      <c r="ED50" s="32">
        <f t="shared" si="163"/>
        <v>0.74687671483446116</v>
      </c>
      <c r="EE50" s="32">
        <f t="shared" si="164"/>
        <v>0.82343942442533979</v>
      </c>
      <c r="EF50" s="32">
        <f t="shared" si="165"/>
        <v>0.85715169806719094</v>
      </c>
      <c r="EG50" s="32">
        <f t="shared" si="166"/>
        <v>0.89383970489604281</v>
      </c>
      <c r="EH50" s="32">
        <f t="shared" si="167"/>
        <v>0.96414425949637206</v>
      </c>
      <c r="EI50" s="32">
        <f t="shared" si="168"/>
        <v>1</v>
      </c>
      <c r="EK50" s="32">
        <f t="shared" si="250"/>
        <v>0.17110322587233107</v>
      </c>
      <c r="EL50" s="32">
        <f t="shared" si="169"/>
        <v>0.28957431359079328</v>
      </c>
      <c r="EM50" s="32">
        <f t="shared" si="170"/>
        <v>0.40157433095808726</v>
      </c>
      <c r="EN50" s="32">
        <f t="shared" si="171"/>
        <v>0.48905667018546123</v>
      </c>
      <c r="EO50" s="32">
        <f t="shared" si="172"/>
        <v>0.58762870211328799</v>
      </c>
      <c r="EP50" s="32">
        <f t="shared" si="173"/>
        <v>0.65311110069331491</v>
      </c>
      <c r="EQ50" s="32">
        <f t="shared" si="174"/>
        <v>0.71890556877978895</v>
      </c>
      <c r="ER50" s="32">
        <f t="shared" si="175"/>
        <v>0.78909707209510282</v>
      </c>
      <c r="ES50" s="32">
        <f t="shared" si="176"/>
        <v>0.83732427774348961</v>
      </c>
      <c r="ET50" s="32">
        <f t="shared" si="177"/>
        <v>0.88475129119328466</v>
      </c>
      <c r="EU50" s="32">
        <f t="shared" si="178"/>
        <v>0.9480361924477877</v>
      </c>
      <c r="EV50" s="32">
        <f t="shared" si="179"/>
        <v>1</v>
      </c>
      <c r="EX50" s="32">
        <f t="shared" si="180"/>
        <v>0.16400923205246579</v>
      </c>
      <c r="EY50" s="32">
        <f t="shared" si="181"/>
        <v>0.28004389544572816</v>
      </c>
      <c r="EZ50" s="32">
        <f t="shared" si="182"/>
        <v>0.3802350779954905</v>
      </c>
      <c r="FA50" s="32">
        <f t="shared" si="183"/>
        <v>0.45572872102950873</v>
      </c>
      <c r="FB50" s="32">
        <f t="shared" si="184"/>
        <v>0.54158193066176874</v>
      </c>
      <c r="FC50" s="32">
        <f t="shared" si="185"/>
        <v>0.5971458836504614</v>
      </c>
      <c r="FD50" s="32">
        <f t="shared" si="186"/>
        <v>0.65414603917048519</v>
      </c>
      <c r="FE50" s="32">
        <f t="shared" si="187"/>
        <v>0.73173605270663056</v>
      </c>
      <c r="FF50" s="32">
        <f t="shared" si="188"/>
        <v>0.79017703939202144</v>
      </c>
      <c r="FG50" s="32">
        <f t="shared" si="189"/>
        <v>0.86041366098640193</v>
      </c>
      <c r="FH50" s="32">
        <f t="shared" si="190"/>
        <v>0.91854668347986801</v>
      </c>
      <c r="FI50" s="32">
        <f t="shared" si="191"/>
        <v>1</v>
      </c>
      <c r="FK50" s="32">
        <f t="shared" si="251"/>
        <v>0.16264519764180974</v>
      </c>
      <c r="FL50" s="32">
        <f t="shared" si="192"/>
        <v>0.27670446348437189</v>
      </c>
      <c r="FM50" s="32">
        <f t="shared" si="193"/>
        <v>0.37581584571705307</v>
      </c>
      <c r="FN50" s="32">
        <f t="shared" si="194"/>
        <v>0.45205631799727436</v>
      </c>
      <c r="FO50" s="32">
        <f t="shared" si="195"/>
        <v>0.52498884171970583</v>
      </c>
      <c r="FP50" s="32">
        <f t="shared" si="196"/>
        <v>0.57238935737668184</v>
      </c>
      <c r="FQ50" s="32">
        <f t="shared" si="197"/>
        <v>0.62323581394915994</v>
      </c>
      <c r="FR50" s="32">
        <f t="shared" si="198"/>
        <v>0.70116826213372752</v>
      </c>
      <c r="FS50" s="32">
        <f t="shared" si="199"/>
        <v>0.76785215316696498</v>
      </c>
      <c r="FT50" s="32">
        <f t="shared" si="200"/>
        <v>0.84927164634985486</v>
      </c>
      <c r="FU50" s="32">
        <f t="shared" si="201"/>
        <v>0.90334749147436666</v>
      </c>
      <c r="FV50" s="32">
        <f t="shared" si="202"/>
        <v>1</v>
      </c>
      <c r="FX50" s="32">
        <f t="shared" si="252"/>
        <v>0.18149028319137686</v>
      </c>
      <c r="FY50" s="32">
        <f t="shared" si="203"/>
        <v>0.30804832684950961</v>
      </c>
      <c r="FZ50" s="32">
        <f t="shared" si="204"/>
        <v>0.39657676842068179</v>
      </c>
      <c r="GA50" s="32">
        <f t="shared" si="205"/>
        <v>0.47112598402253897</v>
      </c>
      <c r="GB50" s="32">
        <f t="shared" si="206"/>
        <v>0.54186767267974634</v>
      </c>
      <c r="GC50" s="32">
        <f t="shared" si="207"/>
        <v>0.59487289136260924</v>
      </c>
      <c r="GD50" s="32">
        <f t="shared" si="208"/>
        <v>0.65587189686826253</v>
      </c>
      <c r="GE50" s="32">
        <f t="shared" si="209"/>
        <v>0.72644195023831626</v>
      </c>
      <c r="GF50" s="32">
        <f t="shared" si="210"/>
        <v>0.78569016498225575</v>
      </c>
      <c r="GG50" s="32">
        <f t="shared" si="211"/>
        <v>0.86802269297767831</v>
      </c>
      <c r="GH50" s="32">
        <f t="shared" si="212"/>
        <v>0.90936485461711491</v>
      </c>
      <c r="GI50" s="32">
        <f t="shared" si="213"/>
        <v>1</v>
      </c>
    </row>
    <row r="51" spans="1:191">
      <c r="A51" s="724" t="s">
        <v>95</v>
      </c>
      <c r="B51" s="399">
        <v>186409.14</v>
      </c>
      <c r="C51" s="400">
        <v>151710.03999999995</v>
      </c>
      <c r="D51" s="400">
        <v>150135.40999999995</v>
      </c>
      <c r="E51" s="400">
        <v>106752.21000000002</v>
      </c>
      <c r="F51" s="400">
        <v>134194.49</v>
      </c>
      <c r="G51" s="400">
        <v>175226.61999999997</v>
      </c>
      <c r="H51" s="400">
        <v>159475.70999999996</v>
      </c>
      <c r="I51" s="400">
        <v>128233.76</v>
      </c>
      <c r="J51" s="400">
        <v>98931.51999999996</v>
      </c>
      <c r="K51" s="400">
        <v>92467.459999999992</v>
      </c>
      <c r="L51" s="400">
        <v>85573.73000000001</v>
      </c>
      <c r="M51" s="400">
        <v>106572.41</v>
      </c>
      <c r="N51" s="400">
        <f t="shared" si="142"/>
        <v>1575682.4999999995</v>
      </c>
      <c r="P51" s="396" t="s">
        <v>95</v>
      </c>
      <c r="Q51" s="399">
        <v>182543.18</v>
      </c>
      <c r="R51" s="400">
        <v>124624.1</v>
      </c>
      <c r="S51" s="400">
        <v>117355.13</v>
      </c>
      <c r="T51" s="400">
        <v>69475.13</v>
      </c>
      <c r="U51" s="400">
        <v>56248.52</v>
      </c>
      <c r="V51" s="400">
        <v>79692.34</v>
      </c>
      <c r="W51" s="400">
        <v>90732.259999999951</v>
      </c>
      <c r="X51" s="400">
        <v>86931.100000000093</v>
      </c>
      <c r="Y51" s="400">
        <v>95353.199999999983</v>
      </c>
      <c r="Z51" s="400">
        <v>182798.33000000002</v>
      </c>
      <c r="AA51" s="400">
        <v>77689.070000000007</v>
      </c>
      <c r="AB51" s="400">
        <v>75814.25</v>
      </c>
      <c r="AC51" s="400">
        <f t="shared" si="143"/>
        <v>1239256.6100000001</v>
      </c>
      <c r="AE51" s="127" t="s">
        <v>95</v>
      </c>
      <c r="AF51" s="27">
        <v>130722.78000000001</v>
      </c>
      <c r="AG51" s="27">
        <v>112190.78</v>
      </c>
      <c r="AH51" s="27">
        <v>78775.67</v>
      </c>
      <c r="AI51" s="27">
        <v>81526.899999999994</v>
      </c>
      <c r="AJ51" s="27">
        <v>83544.460000000006</v>
      </c>
      <c r="AK51" s="27">
        <v>60995.67</v>
      </c>
      <c r="AL51" s="27">
        <v>155100.53</v>
      </c>
      <c r="AM51" s="27">
        <v>174547.59</v>
      </c>
      <c r="AN51" s="27">
        <v>136503.88</v>
      </c>
      <c r="AO51" s="27">
        <v>144723.09</v>
      </c>
      <c r="AP51" s="27">
        <v>95575.42</v>
      </c>
      <c r="AQ51" s="27">
        <v>123185.24</v>
      </c>
      <c r="AR51" s="43">
        <f t="shared" si="144"/>
        <v>1377392.01</v>
      </c>
      <c r="AT51" s="60" t="s">
        <v>95</v>
      </c>
      <c r="AU51" s="27">
        <v>148522.44999999984</v>
      </c>
      <c r="AV51" s="27">
        <v>97981.489999999845</v>
      </c>
      <c r="AW51" s="27">
        <v>76436.03</v>
      </c>
      <c r="AX51" s="27">
        <v>73876.430000000037</v>
      </c>
      <c r="AY51" s="27">
        <v>60915.569999999978</v>
      </c>
      <c r="AZ51" s="27">
        <v>50594.34</v>
      </c>
      <c r="BA51" s="27">
        <v>49130.720000000008</v>
      </c>
      <c r="BB51" s="27">
        <v>69567.31</v>
      </c>
      <c r="BC51" s="27">
        <v>55135.86</v>
      </c>
      <c r="BD51" s="27">
        <v>63287.9</v>
      </c>
      <c r="BE51" s="27">
        <v>42075.880000000005</v>
      </c>
      <c r="BF51" s="27">
        <v>66240.36</v>
      </c>
      <c r="BG51" s="43">
        <f t="shared" si="2"/>
        <v>853764.33999999962</v>
      </c>
      <c r="BI51" s="60" t="s">
        <v>95</v>
      </c>
      <c r="BJ51" s="27">
        <v>94501.419999999838</v>
      </c>
      <c r="BK51" s="27">
        <v>93141.419999999896</v>
      </c>
      <c r="BL51" s="27">
        <v>61065.380000000019</v>
      </c>
      <c r="BM51" s="27">
        <v>93684.320000000036</v>
      </c>
      <c r="BN51" s="27">
        <v>128340.41999999998</v>
      </c>
      <c r="BO51" s="27">
        <v>128046.91000000003</v>
      </c>
      <c r="BP51" s="27">
        <v>125415.35</v>
      </c>
      <c r="BQ51" s="27">
        <v>140854.46999999997</v>
      </c>
      <c r="BR51" s="27">
        <v>96052.22</v>
      </c>
      <c r="BS51" s="27">
        <v>105252.47</v>
      </c>
      <c r="BT51" s="27">
        <v>88066.989999999991</v>
      </c>
      <c r="BU51" s="27">
        <v>78635.149999999994</v>
      </c>
      <c r="BV51" s="43">
        <f t="shared" si="52"/>
        <v>1233056.5199999998</v>
      </c>
      <c r="BW51" s="405"/>
      <c r="BX51" s="32">
        <f t="shared" si="214"/>
        <v>0.11830374456783017</v>
      </c>
      <c r="BY51" s="32">
        <f t="shared" si="215"/>
        <v>0.21458585723964063</v>
      </c>
      <c r="BZ51" s="32">
        <f t="shared" si="216"/>
        <v>0.30986863787596802</v>
      </c>
      <c r="CA51" s="32">
        <f t="shared" si="217"/>
        <v>0.37761846057184745</v>
      </c>
      <c r="CB51" s="32">
        <f t="shared" si="218"/>
        <v>0.46278440612242633</v>
      </c>
      <c r="CC51" s="32">
        <f t="shared" si="219"/>
        <v>0.57399121333136593</v>
      </c>
      <c r="CD51" s="32">
        <f t="shared" si="220"/>
        <v>0.67520177446915852</v>
      </c>
      <c r="CE51" s="32">
        <f t="shared" si="221"/>
        <v>0.75658476882239922</v>
      </c>
      <c r="CF51" s="32">
        <f t="shared" si="222"/>
        <v>0.81937122485018399</v>
      </c>
      <c r="CG51" s="32">
        <f t="shared" si="223"/>
        <v>0.87805529349980094</v>
      </c>
      <c r="CH51" s="32">
        <f t="shared" si="224"/>
        <v>0.9323642865869235</v>
      </c>
      <c r="CI51" s="32">
        <f t="shared" si="225"/>
        <v>1</v>
      </c>
      <c r="CJ51" s="405"/>
      <c r="CK51" s="32">
        <f t="shared" si="226"/>
        <v>0.14730054980299842</v>
      </c>
      <c r="CL51" s="32">
        <f t="shared" si="227"/>
        <v>0.24786414494089323</v>
      </c>
      <c r="CM51" s="32">
        <f t="shared" si="228"/>
        <v>0.3425621510302051</v>
      </c>
      <c r="CN51" s="32">
        <f t="shared" si="229"/>
        <v>0.39862409126064696</v>
      </c>
      <c r="CO51" s="32">
        <f t="shared" si="230"/>
        <v>0.44401301196206655</v>
      </c>
      <c r="CP51" s="32">
        <f t="shared" si="231"/>
        <v>0.50831958039747716</v>
      </c>
      <c r="CQ51" s="32">
        <f t="shared" si="232"/>
        <v>0.58153465084200751</v>
      </c>
      <c r="CR51" s="32">
        <f t="shared" si="233"/>
        <v>0.65168243080825683</v>
      </c>
      <c r="CS51" s="32">
        <f t="shared" si="234"/>
        <v>0.72862630121456429</v>
      </c>
      <c r="CT51" s="32">
        <f t="shared" si="235"/>
        <v>0.87613274057904755</v>
      </c>
      <c r="CU51" s="32">
        <f t="shared" si="236"/>
        <v>0.93882279958143622</v>
      </c>
      <c r="CV51" s="32">
        <f t="shared" si="237"/>
        <v>1</v>
      </c>
      <c r="CX51" s="32">
        <f t="shared" si="238"/>
        <v>9.4906010090765672E-2</v>
      </c>
      <c r="CY51" s="32">
        <f t="shared" si="239"/>
        <v>0.17635760788245025</v>
      </c>
      <c r="CZ51" s="32">
        <f t="shared" si="240"/>
        <v>0.23354951071627023</v>
      </c>
      <c r="DA51" s="32">
        <f t="shared" si="241"/>
        <v>0.29273883329699291</v>
      </c>
      <c r="DB51" s="32">
        <f t="shared" si="242"/>
        <v>0.35339292406669326</v>
      </c>
      <c r="DC51" s="32">
        <f t="shared" si="243"/>
        <v>0.39767637391769101</v>
      </c>
      <c r="DD51" s="32">
        <f t="shared" si="244"/>
        <v>0.51028086768123482</v>
      </c>
      <c r="DE51" s="32">
        <f t="shared" si="245"/>
        <v>0.63700411620654018</v>
      </c>
      <c r="DF51" s="32">
        <f t="shared" si="246"/>
        <v>0.73610726114201863</v>
      </c>
      <c r="DG51" s="32">
        <f t="shared" si="247"/>
        <v>0.84117763250274702</v>
      </c>
      <c r="DH51" s="32">
        <f t="shared" si="248"/>
        <v>0.91056631728247062</v>
      </c>
      <c r="DI51" s="32">
        <f t="shared" si="249"/>
        <v>1</v>
      </c>
      <c r="DK51" s="32">
        <f t="shared" si="145"/>
        <v>0.17396188039430166</v>
      </c>
      <c r="DL51" s="32">
        <f t="shared" si="146"/>
        <v>0.28872597325861582</v>
      </c>
      <c r="DM51" s="32">
        <f t="shared" si="147"/>
        <v>0.37825422645316836</v>
      </c>
      <c r="DN51" s="32">
        <f t="shared" si="148"/>
        <v>0.46478446265394491</v>
      </c>
      <c r="DO51" s="32">
        <f t="shared" si="149"/>
        <v>0.53613385867111751</v>
      </c>
      <c r="DP51" s="32">
        <f t="shared" si="150"/>
        <v>0.59539416930906242</v>
      </c>
      <c r="DQ51" s="32">
        <f t="shared" si="151"/>
        <v>0.65294016613530603</v>
      </c>
      <c r="DR51" s="32">
        <f t="shared" si="152"/>
        <v>0.7344232016061949</v>
      </c>
      <c r="DS51" s="32">
        <f t="shared" si="153"/>
        <v>0.79900291923647215</v>
      </c>
      <c r="DT51" s="32">
        <f t="shared" si="154"/>
        <v>0.87313098600487338</v>
      </c>
      <c r="DU51" s="32">
        <f t="shared" si="155"/>
        <v>0.92241376584081736</v>
      </c>
      <c r="DV51" s="32">
        <f t="shared" si="156"/>
        <v>1</v>
      </c>
      <c r="DW51" s="39"/>
      <c r="DX51" s="32">
        <f t="shared" si="157"/>
        <v>7.6639974297366228E-2</v>
      </c>
      <c r="DY51" s="32">
        <f t="shared" si="158"/>
        <v>0.15217699834229803</v>
      </c>
      <c r="DZ51" s="32">
        <f t="shared" si="159"/>
        <v>0.20170058384671594</v>
      </c>
      <c r="EA51" s="32">
        <f t="shared" si="160"/>
        <v>0.27767789590050573</v>
      </c>
      <c r="EB51" s="32">
        <f t="shared" si="161"/>
        <v>0.38176105666267418</v>
      </c>
      <c r="EC51" s="32">
        <f t="shared" si="162"/>
        <v>0.48560618291852509</v>
      </c>
      <c r="ED51" s="32">
        <f t="shared" si="163"/>
        <v>0.58731713287562848</v>
      </c>
      <c r="EE51" s="32">
        <f t="shared" si="164"/>
        <v>0.70154909849550118</v>
      </c>
      <c r="EF51" s="32">
        <f t="shared" si="165"/>
        <v>0.77944676047777595</v>
      </c>
      <c r="EG51" s="32">
        <f t="shared" si="166"/>
        <v>0.86480575926884529</v>
      </c>
      <c r="EH51" s="32">
        <f t="shared" si="167"/>
        <v>0.93622745695387921</v>
      </c>
      <c r="EI51" s="32">
        <f t="shared" si="168"/>
        <v>1</v>
      </c>
      <c r="EK51" s="32">
        <f t="shared" si="250"/>
        <v>0.11516928826081119</v>
      </c>
      <c r="EL51" s="32">
        <f t="shared" si="169"/>
        <v>0.20575352649445469</v>
      </c>
      <c r="EM51" s="32">
        <f t="shared" si="170"/>
        <v>0.27116810700538485</v>
      </c>
      <c r="EN51" s="32">
        <f t="shared" si="171"/>
        <v>0.34506706395048115</v>
      </c>
      <c r="EO51" s="32">
        <f t="shared" si="172"/>
        <v>0.423762613133495</v>
      </c>
      <c r="EP51" s="32">
        <f t="shared" si="173"/>
        <v>0.49289224204842624</v>
      </c>
      <c r="EQ51" s="32">
        <f t="shared" si="174"/>
        <v>0.58351272223072304</v>
      </c>
      <c r="ER51" s="32">
        <f t="shared" si="175"/>
        <v>0.69099213876941201</v>
      </c>
      <c r="ES51" s="32">
        <f t="shared" si="176"/>
        <v>0.77151898028542221</v>
      </c>
      <c r="ET51" s="32">
        <f t="shared" si="177"/>
        <v>0.85970479259215526</v>
      </c>
      <c r="EU51" s="32">
        <f t="shared" si="178"/>
        <v>0.92306918002572236</v>
      </c>
      <c r="EV51" s="32">
        <f t="shared" si="179"/>
        <v>1</v>
      </c>
      <c r="EX51" s="32">
        <f t="shared" si="180"/>
        <v>0.123202103646358</v>
      </c>
      <c r="EY51" s="32">
        <f t="shared" si="181"/>
        <v>0.21628118110606434</v>
      </c>
      <c r="EZ51" s="32">
        <f t="shared" si="182"/>
        <v>0.2890166180115899</v>
      </c>
      <c r="FA51" s="32">
        <f t="shared" si="183"/>
        <v>0.35845632077802259</v>
      </c>
      <c r="FB51" s="32">
        <f t="shared" si="184"/>
        <v>0.4288252128406379</v>
      </c>
      <c r="FC51" s="32">
        <f t="shared" si="185"/>
        <v>0.4967490766356889</v>
      </c>
      <c r="FD51" s="32">
        <f t="shared" si="186"/>
        <v>0.58301820438354413</v>
      </c>
      <c r="FE51" s="32">
        <f t="shared" si="187"/>
        <v>0.68116471177912319</v>
      </c>
      <c r="FF51" s="32">
        <f t="shared" si="188"/>
        <v>0.76079581051770773</v>
      </c>
      <c r="FG51" s="32">
        <f t="shared" si="189"/>
        <v>0.86381177958887834</v>
      </c>
      <c r="FH51" s="32">
        <f t="shared" si="190"/>
        <v>0.92700758491465085</v>
      </c>
      <c r="FI51" s="32">
        <f t="shared" si="191"/>
        <v>1</v>
      </c>
      <c r="FK51" s="32">
        <f t="shared" si="251"/>
        <v>0.13872281342935525</v>
      </c>
      <c r="FL51" s="32">
        <f t="shared" si="192"/>
        <v>0.23764924202731977</v>
      </c>
      <c r="FM51" s="32">
        <f t="shared" si="193"/>
        <v>0.31812196273321458</v>
      </c>
      <c r="FN51" s="32">
        <f t="shared" si="194"/>
        <v>0.38538246240386159</v>
      </c>
      <c r="FO51" s="32">
        <f t="shared" si="195"/>
        <v>0.44451326489995918</v>
      </c>
      <c r="FP51" s="32">
        <f t="shared" si="196"/>
        <v>0.50046337454141021</v>
      </c>
      <c r="FQ51" s="32">
        <f t="shared" si="197"/>
        <v>0.58158522821951608</v>
      </c>
      <c r="FR51" s="32">
        <f t="shared" si="198"/>
        <v>0.67436991620699727</v>
      </c>
      <c r="FS51" s="32">
        <f t="shared" si="199"/>
        <v>0.75457882719768499</v>
      </c>
      <c r="FT51" s="32">
        <f t="shared" si="200"/>
        <v>0.86348045302888943</v>
      </c>
      <c r="FU51" s="32">
        <f t="shared" si="201"/>
        <v>0.92393429423490803</v>
      </c>
      <c r="FV51" s="32">
        <f t="shared" si="202"/>
        <v>1</v>
      </c>
      <c r="FX51" s="32">
        <f t="shared" si="252"/>
        <v>0.12017010148719809</v>
      </c>
      <c r="FY51" s="32">
        <f t="shared" si="203"/>
        <v>0.21293587002099471</v>
      </c>
      <c r="FZ51" s="32">
        <f t="shared" si="204"/>
        <v>0.29532676654081441</v>
      </c>
      <c r="GA51" s="32">
        <f t="shared" si="205"/>
        <v>0.35632712837649577</v>
      </c>
      <c r="GB51" s="32">
        <f t="shared" si="206"/>
        <v>0.42006344738372875</v>
      </c>
      <c r="GC51" s="32">
        <f t="shared" si="207"/>
        <v>0.49332905588217796</v>
      </c>
      <c r="GD51" s="32">
        <f t="shared" si="208"/>
        <v>0.58900576433080032</v>
      </c>
      <c r="GE51" s="32">
        <f t="shared" si="209"/>
        <v>0.6817571052790653</v>
      </c>
      <c r="GF51" s="32">
        <f t="shared" si="210"/>
        <v>0.76136826240225564</v>
      </c>
      <c r="GG51" s="32">
        <f t="shared" si="211"/>
        <v>0.86512188886053176</v>
      </c>
      <c r="GH51" s="32">
        <f t="shared" si="212"/>
        <v>0.92725113448361007</v>
      </c>
      <c r="GI51" s="32">
        <f t="shared" si="213"/>
        <v>1</v>
      </c>
    </row>
    <row r="52" spans="1:191">
      <c r="A52" s="724" t="s">
        <v>96</v>
      </c>
      <c r="B52" s="399">
        <v>28819.660000000003</v>
      </c>
      <c r="C52" s="400">
        <v>29114.789999999997</v>
      </c>
      <c r="D52" s="400">
        <v>24603.310000000005</v>
      </c>
      <c r="E52" s="400">
        <v>27637.230000000003</v>
      </c>
      <c r="F52" s="400">
        <v>31617.949999999997</v>
      </c>
      <c r="G52" s="400">
        <v>25935.099999999995</v>
      </c>
      <c r="H52" s="400">
        <v>29119.400000000005</v>
      </c>
      <c r="I52" s="400">
        <v>21758.050000000003</v>
      </c>
      <c r="J52" s="400">
        <v>15750.820000000003</v>
      </c>
      <c r="K52" s="400">
        <v>19623.34</v>
      </c>
      <c r="L52" s="400">
        <v>13636.100000000002</v>
      </c>
      <c r="M52" s="400">
        <v>21475.989999999998</v>
      </c>
      <c r="N52" s="400">
        <f t="shared" si="142"/>
        <v>289091.74</v>
      </c>
      <c r="P52" s="396" t="s">
        <v>96</v>
      </c>
      <c r="Q52" s="399">
        <v>42037.919999999998</v>
      </c>
      <c r="R52" s="400">
        <v>32641</v>
      </c>
      <c r="S52" s="400">
        <v>39408.280000000006</v>
      </c>
      <c r="T52" s="400">
        <v>21658.69</v>
      </c>
      <c r="U52" s="400">
        <v>18809.2</v>
      </c>
      <c r="V52" s="400">
        <v>20778.02</v>
      </c>
      <c r="W52" s="400">
        <v>26001.87000000001</v>
      </c>
      <c r="X52" s="400">
        <v>21187.64999999998</v>
      </c>
      <c r="Y52" s="400">
        <v>16782.370000000003</v>
      </c>
      <c r="Z52" s="400">
        <v>35259.560000000005</v>
      </c>
      <c r="AA52" s="400">
        <v>15396.39</v>
      </c>
      <c r="AB52" s="400">
        <v>22164.18</v>
      </c>
      <c r="AC52" s="400">
        <f t="shared" si="143"/>
        <v>312125.13</v>
      </c>
      <c r="AE52" s="127" t="s">
        <v>96</v>
      </c>
      <c r="AF52" s="27">
        <v>19525.189999999999</v>
      </c>
      <c r="AG52" s="27">
        <v>25793.420000000002</v>
      </c>
      <c r="AH52" s="27">
        <v>14215.51</v>
      </c>
      <c r="AI52" s="27">
        <v>17009.3</v>
      </c>
      <c r="AJ52" s="27">
        <v>14580.09</v>
      </c>
      <c r="AK52" s="27">
        <v>12647.8</v>
      </c>
      <c r="AL52" s="27">
        <v>11326.08</v>
      </c>
      <c r="AM52" s="27">
        <v>11292.8</v>
      </c>
      <c r="AN52" s="27">
        <v>10951.1</v>
      </c>
      <c r="AO52" s="27">
        <v>23978.99</v>
      </c>
      <c r="AP52" s="27">
        <v>18898.09</v>
      </c>
      <c r="AQ52" s="27">
        <v>21668.55</v>
      </c>
      <c r="AR52" s="43">
        <f t="shared" si="144"/>
        <v>201886.91999999998</v>
      </c>
      <c r="AT52" s="60" t="s">
        <v>96</v>
      </c>
      <c r="AU52" s="27">
        <v>28027.699999999997</v>
      </c>
      <c r="AV52" s="27">
        <v>23062.019999999982</v>
      </c>
      <c r="AW52" s="27">
        <v>23082.900000000005</v>
      </c>
      <c r="AX52" s="27">
        <v>14386</v>
      </c>
      <c r="AY52" s="27">
        <v>17040.260000000002</v>
      </c>
      <c r="AZ52" s="27">
        <v>11686.05</v>
      </c>
      <c r="BA52" s="27">
        <v>10513.19</v>
      </c>
      <c r="BB52" s="27">
        <v>10718.210000000001</v>
      </c>
      <c r="BC52" s="27">
        <v>6380.21</v>
      </c>
      <c r="BD52" s="27">
        <v>7368.8</v>
      </c>
      <c r="BE52" s="27">
        <v>9253.0600000000013</v>
      </c>
      <c r="BF52" s="27">
        <v>7066.43</v>
      </c>
      <c r="BG52" s="43">
        <f t="shared" si="2"/>
        <v>168584.82999999996</v>
      </c>
      <c r="BI52" s="60" t="s">
        <v>96</v>
      </c>
      <c r="BJ52" s="27">
        <v>15090.060000000005</v>
      </c>
      <c r="BK52" s="27">
        <v>16500.430000000004</v>
      </c>
      <c r="BL52" s="27">
        <v>11704.680000000004</v>
      </c>
      <c r="BM52" s="27">
        <v>8268.8500000000022</v>
      </c>
      <c r="BN52" s="27">
        <v>10469.549999999999</v>
      </c>
      <c r="BO52" s="27">
        <v>10194.439999999995</v>
      </c>
      <c r="BP52" s="27">
        <v>13044.189999999999</v>
      </c>
      <c r="BQ52" s="27">
        <v>13647.69</v>
      </c>
      <c r="BR52" s="27">
        <v>16577.61</v>
      </c>
      <c r="BS52" s="27">
        <v>14807.32</v>
      </c>
      <c r="BT52" s="27">
        <v>15606</v>
      </c>
      <c r="BU52" s="27">
        <v>12716.259999999998</v>
      </c>
      <c r="BV52" s="43">
        <f t="shared" si="52"/>
        <v>158627.08000000002</v>
      </c>
      <c r="BW52" s="405"/>
      <c r="BX52" s="32">
        <f t="shared" si="214"/>
        <v>9.969036126732643E-2</v>
      </c>
      <c r="BY52" s="32">
        <f t="shared" si="215"/>
        <v>0.20040160953751221</v>
      </c>
      <c r="BZ52" s="32">
        <f t="shared" si="216"/>
        <v>0.28550715423415424</v>
      </c>
      <c r="CA52" s="32">
        <f t="shared" si="217"/>
        <v>0.38110736059079386</v>
      </c>
      <c r="CB52" s="32">
        <f t="shared" si="218"/>
        <v>0.49047731353375923</v>
      </c>
      <c r="CC52" s="32">
        <f t="shared" si="219"/>
        <v>0.5801896657441683</v>
      </c>
      <c r="CD52" s="32">
        <f t="shared" si="220"/>
        <v>0.68091686050940092</v>
      </c>
      <c r="CE52" s="32">
        <f t="shared" si="221"/>
        <v>0.75618033915462268</v>
      </c>
      <c r="CF52" s="32">
        <f t="shared" si="222"/>
        <v>0.8106641511099556</v>
      </c>
      <c r="CG52" s="32">
        <f t="shared" si="223"/>
        <v>0.87854343399780288</v>
      </c>
      <c r="CH52" s="32">
        <f t="shared" si="224"/>
        <v>0.92571219779575853</v>
      </c>
      <c r="CI52" s="32">
        <f t="shared" si="225"/>
        <v>1</v>
      </c>
      <c r="CJ52" s="405"/>
      <c r="CK52" s="32">
        <f t="shared" si="226"/>
        <v>0.13468290746086353</v>
      </c>
      <c r="CL52" s="32">
        <f t="shared" si="227"/>
        <v>0.23925955593514689</v>
      </c>
      <c r="CM52" s="32">
        <f t="shared" si="228"/>
        <v>0.36551750895546287</v>
      </c>
      <c r="CN52" s="32">
        <f t="shared" si="229"/>
        <v>0.43490855734685641</v>
      </c>
      <c r="CO52" s="32">
        <f t="shared" si="230"/>
        <v>0.49517028635278432</v>
      </c>
      <c r="CP52" s="32">
        <f t="shared" si="231"/>
        <v>0.5617398060835409</v>
      </c>
      <c r="CQ52" s="32">
        <f t="shared" si="232"/>
        <v>0.64504572252801318</v>
      </c>
      <c r="CR52" s="32">
        <f t="shared" si="233"/>
        <v>0.71292763258120229</v>
      </c>
      <c r="CS52" s="32">
        <f t="shared" si="234"/>
        <v>0.76669571591367858</v>
      </c>
      <c r="CT52" s="32">
        <f t="shared" si="235"/>
        <v>0.87966182024497674</v>
      </c>
      <c r="CU52" s="32">
        <f t="shared" si="236"/>
        <v>0.92898944086943591</v>
      </c>
      <c r="CV52" s="32">
        <f t="shared" si="237"/>
        <v>1</v>
      </c>
      <c r="CX52" s="32">
        <f t="shared" si="238"/>
        <v>9.6713496842687971E-2</v>
      </c>
      <c r="CY52" s="32">
        <f t="shared" si="239"/>
        <v>0.22447521612593824</v>
      </c>
      <c r="CZ52" s="32">
        <f t="shared" si="240"/>
        <v>0.29488844547234666</v>
      </c>
      <c r="DA52" s="32">
        <f t="shared" si="241"/>
        <v>0.37914006514141679</v>
      </c>
      <c r="DB52" s="32">
        <f t="shared" si="242"/>
        <v>0.45135915689832706</v>
      </c>
      <c r="DC52" s="32">
        <f t="shared" si="243"/>
        <v>0.51400709862729099</v>
      </c>
      <c r="DD52" s="32">
        <f t="shared" si="244"/>
        <v>0.57010820710920751</v>
      </c>
      <c r="DE52" s="32">
        <f t="shared" si="245"/>
        <v>0.62604447083545589</v>
      </c>
      <c r="DF52" s="32">
        <f t="shared" si="246"/>
        <v>0.68028820292072423</v>
      </c>
      <c r="DG52" s="32">
        <f t="shared" si="247"/>
        <v>0.79906256433056688</v>
      </c>
      <c r="DH52" s="32">
        <f t="shared" si="248"/>
        <v>0.89266986687399075</v>
      </c>
      <c r="DI52" s="32">
        <f t="shared" si="249"/>
        <v>1</v>
      </c>
      <c r="DK52" s="32">
        <f t="shared" si="145"/>
        <v>0.16625279985156435</v>
      </c>
      <c r="DL52" s="32">
        <f t="shared" si="146"/>
        <v>0.30305051765333801</v>
      </c>
      <c r="DM52" s="32">
        <f t="shared" si="147"/>
        <v>0.43997209001545395</v>
      </c>
      <c r="DN52" s="32">
        <f t="shared" si="148"/>
        <v>0.52530598393698891</v>
      </c>
      <c r="DO52" s="32">
        <f t="shared" si="149"/>
        <v>0.62638423635151519</v>
      </c>
      <c r="DP52" s="32">
        <f t="shared" si="150"/>
        <v>0.69570275095333312</v>
      </c>
      <c r="DQ52" s="32">
        <f t="shared" si="151"/>
        <v>0.75806417457608732</v>
      </c>
      <c r="DR52" s="32">
        <f t="shared" si="152"/>
        <v>0.82164172185599393</v>
      </c>
      <c r="DS52" s="32">
        <f t="shared" si="153"/>
        <v>0.85948741651309912</v>
      </c>
      <c r="DT52" s="32">
        <f t="shared" si="154"/>
        <v>0.90319716192732169</v>
      </c>
      <c r="DU52" s="32">
        <f t="shared" si="155"/>
        <v>0.95808383233532934</v>
      </c>
      <c r="DV52" s="32">
        <f t="shared" si="156"/>
        <v>1</v>
      </c>
      <c r="DW52" s="39"/>
      <c r="DX52" s="32">
        <f t="shared" si="157"/>
        <v>9.5129154492410772E-2</v>
      </c>
      <c r="DY52" s="32">
        <f t="shared" si="158"/>
        <v>0.19914941383274537</v>
      </c>
      <c r="DZ52" s="32">
        <f t="shared" si="159"/>
        <v>0.27293681507596312</v>
      </c>
      <c r="EA52" s="32">
        <f t="shared" si="160"/>
        <v>0.3250644215350873</v>
      </c>
      <c r="EB52" s="32">
        <f t="shared" si="161"/>
        <v>0.39106544733723914</v>
      </c>
      <c r="EC52" s="32">
        <f t="shared" si="162"/>
        <v>0.45533215387940068</v>
      </c>
      <c r="ED52" s="32">
        <f t="shared" si="163"/>
        <v>0.53756395188009509</v>
      </c>
      <c r="EE52" s="32">
        <f t="shared" si="164"/>
        <v>0.62360027052127542</v>
      </c>
      <c r="EF52" s="32">
        <f t="shared" si="165"/>
        <v>0.72810707982521017</v>
      </c>
      <c r="EG52" s="32">
        <f t="shared" si="166"/>
        <v>0.82145381482152979</v>
      </c>
      <c r="EH52" s="32">
        <f t="shared" si="167"/>
        <v>0.91983550349662868</v>
      </c>
      <c r="EI52" s="32">
        <f t="shared" si="168"/>
        <v>1</v>
      </c>
      <c r="EK52" s="32">
        <f t="shared" si="250"/>
        <v>0.11936515039555436</v>
      </c>
      <c r="EL52" s="32">
        <f t="shared" si="169"/>
        <v>0.24222504920400723</v>
      </c>
      <c r="EM52" s="32">
        <f t="shared" si="170"/>
        <v>0.33593245018792128</v>
      </c>
      <c r="EN52" s="32">
        <f t="shared" si="171"/>
        <v>0.40983682353783096</v>
      </c>
      <c r="EO52" s="32">
        <f t="shared" si="172"/>
        <v>0.48960294686236044</v>
      </c>
      <c r="EP52" s="32">
        <f t="shared" si="173"/>
        <v>0.55501400115334165</v>
      </c>
      <c r="EQ52" s="32">
        <f t="shared" si="174"/>
        <v>0.62191211118846335</v>
      </c>
      <c r="ER52" s="32">
        <f t="shared" si="175"/>
        <v>0.69042882107090842</v>
      </c>
      <c r="ES52" s="32">
        <f t="shared" si="176"/>
        <v>0.75596089975301117</v>
      </c>
      <c r="ET52" s="32">
        <f t="shared" si="177"/>
        <v>0.84123784702647286</v>
      </c>
      <c r="EU52" s="32">
        <f t="shared" si="178"/>
        <v>0.92352973423531626</v>
      </c>
      <c r="EV52" s="32">
        <f t="shared" si="179"/>
        <v>1</v>
      </c>
      <c r="EX52" s="32">
        <f t="shared" si="180"/>
        <v>0.12319458966188167</v>
      </c>
      <c r="EY52" s="32">
        <f t="shared" si="181"/>
        <v>0.24148367588679215</v>
      </c>
      <c r="EZ52" s="32">
        <f t="shared" si="182"/>
        <v>0.34332871487980665</v>
      </c>
      <c r="FA52" s="32">
        <f t="shared" si="183"/>
        <v>0.41610475699008731</v>
      </c>
      <c r="FB52" s="32">
        <f t="shared" si="184"/>
        <v>0.49099478173496641</v>
      </c>
      <c r="FC52" s="32">
        <f t="shared" si="185"/>
        <v>0.55669545238589146</v>
      </c>
      <c r="FD52" s="32">
        <f t="shared" si="186"/>
        <v>0.62769551402335078</v>
      </c>
      <c r="FE52" s="32">
        <f t="shared" si="187"/>
        <v>0.69605352394848186</v>
      </c>
      <c r="FF52" s="32">
        <f t="shared" si="188"/>
        <v>0.758644603793178</v>
      </c>
      <c r="FG52" s="32">
        <f t="shared" si="189"/>
        <v>0.85084384033109883</v>
      </c>
      <c r="FH52" s="32">
        <f t="shared" si="190"/>
        <v>0.9248946608938462</v>
      </c>
      <c r="FI52" s="32">
        <f t="shared" si="191"/>
        <v>1</v>
      </c>
      <c r="FK52" s="32">
        <f t="shared" si="251"/>
        <v>0.13254973471837195</v>
      </c>
      <c r="FL52" s="32">
        <f t="shared" si="192"/>
        <v>0.25559509657147439</v>
      </c>
      <c r="FM52" s="32">
        <f t="shared" si="193"/>
        <v>0.36679268148108779</v>
      </c>
      <c r="FN52" s="32">
        <f t="shared" si="194"/>
        <v>0.44645153547508737</v>
      </c>
      <c r="FO52" s="32">
        <f t="shared" si="195"/>
        <v>0.52430455986754221</v>
      </c>
      <c r="FP52" s="32">
        <f t="shared" si="196"/>
        <v>0.59048321855472174</v>
      </c>
      <c r="FQ52" s="32">
        <f t="shared" si="197"/>
        <v>0.65773936807110267</v>
      </c>
      <c r="FR52" s="32">
        <f t="shared" si="198"/>
        <v>0.72020460842421741</v>
      </c>
      <c r="FS52" s="32">
        <f t="shared" si="199"/>
        <v>0.76882377844916727</v>
      </c>
      <c r="FT52" s="32">
        <f t="shared" si="200"/>
        <v>0.86064051550095522</v>
      </c>
      <c r="FU52" s="32">
        <f t="shared" si="201"/>
        <v>0.92658104669291863</v>
      </c>
      <c r="FV52" s="32">
        <f t="shared" si="202"/>
        <v>1</v>
      </c>
      <c r="FX52" s="32">
        <f t="shared" si="252"/>
        <v>0.11036225519029265</v>
      </c>
      <c r="FY52" s="32">
        <f t="shared" si="203"/>
        <v>0.2213787938661991</v>
      </c>
      <c r="FZ52" s="32">
        <f t="shared" si="204"/>
        <v>0.31530436955398794</v>
      </c>
      <c r="GA52" s="32">
        <f t="shared" si="205"/>
        <v>0.39838532769302243</v>
      </c>
      <c r="GB52" s="32">
        <f t="shared" si="206"/>
        <v>0.47900225226162352</v>
      </c>
      <c r="GC52" s="32">
        <f t="shared" si="207"/>
        <v>0.55197885681833336</v>
      </c>
      <c r="GD52" s="32">
        <f t="shared" si="208"/>
        <v>0.63202359671554054</v>
      </c>
      <c r="GE52" s="32">
        <f t="shared" si="209"/>
        <v>0.69838414752376021</v>
      </c>
      <c r="GF52" s="32">
        <f t="shared" si="210"/>
        <v>0.75254935664811951</v>
      </c>
      <c r="GG52" s="32">
        <f t="shared" si="211"/>
        <v>0.85242260619111543</v>
      </c>
      <c r="GH52" s="32">
        <f t="shared" si="212"/>
        <v>0.91579050184639499</v>
      </c>
      <c r="GI52" s="32">
        <f t="shared" si="213"/>
        <v>1</v>
      </c>
    </row>
    <row r="53" spans="1:191">
      <c r="A53" s="724" t="s">
        <v>97</v>
      </c>
      <c r="B53" s="399">
        <v>215652</v>
      </c>
      <c r="C53" s="400">
        <v>173375.35000000006</v>
      </c>
      <c r="D53" s="400">
        <v>157789.61999999997</v>
      </c>
      <c r="E53" s="400">
        <v>122929.42999999996</v>
      </c>
      <c r="F53" s="400">
        <v>119901.47</v>
      </c>
      <c r="G53" s="400">
        <v>99596.219999999987</v>
      </c>
      <c r="H53" s="400">
        <v>91685.82</v>
      </c>
      <c r="I53" s="400">
        <v>85552.89999999998</v>
      </c>
      <c r="J53" s="400">
        <v>75547.100000000006</v>
      </c>
      <c r="K53" s="400">
        <v>83750.590000000011</v>
      </c>
      <c r="L53" s="400">
        <v>79081.279999999999</v>
      </c>
      <c r="M53" s="400">
        <v>115803.29999999999</v>
      </c>
      <c r="N53" s="400">
        <f t="shared" si="142"/>
        <v>1420665.08</v>
      </c>
      <c r="P53" s="396" t="s">
        <v>97</v>
      </c>
      <c r="Q53" s="399">
        <v>163979.45000000001</v>
      </c>
      <c r="R53" s="400">
        <v>112094.56</v>
      </c>
      <c r="S53" s="400">
        <v>123107.44</v>
      </c>
      <c r="T53" s="400">
        <v>68750.64</v>
      </c>
      <c r="U53" s="400">
        <v>55305.57</v>
      </c>
      <c r="V53" s="400">
        <v>73680.09</v>
      </c>
      <c r="W53" s="400">
        <v>78277.539999999979</v>
      </c>
      <c r="X53" s="400">
        <v>88284.390000000072</v>
      </c>
      <c r="Y53" s="400">
        <v>96385.689999999944</v>
      </c>
      <c r="Z53" s="400">
        <v>158882.08999999997</v>
      </c>
      <c r="AA53" s="400">
        <v>76419.329999999987</v>
      </c>
      <c r="AB53" s="400">
        <v>122217.06999999998</v>
      </c>
      <c r="AC53" s="400">
        <f t="shared" si="143"/>
        <v>1217383.8600000001</v>
      </c>
      <c r="AE53" s="127" t="s">
        <v>97</v>
      </c>
      <c r="AF53" s="27">
        <v>141334.82999999999</v>
      </c>
      <c r="AG53" s="27">
        <v>126517.16999999998</v>
      </c>
      <c r="AH53" s="27">
        <v>86821.21</v>
      </c>
      <c r="AI53" s="27">
        <v>108804.12</v>
      </c>
      <c r="AJ53" s="27">
        <v>107804.67</v>
      </c>
      <c r="AK53" s="27">
        <v>80255.08</v>
      </c>
      <c r="AL53" s="27">
        <v>110158.65</v>
      </c>
      <c r="AM53" s="27">
        <v>86494.239999999991</v>
      </c>
      <c r="AN53" s="27">
        <v>71490.039999999994</v>
      </c>
      <c r="AO53" s="27">
        <v>91066.36</v>
      </c>
      <c r="AP53" s="27">
        <v>78936.259999999995</v>
      </c>
      <c r="AQ53" s="27">
        <v>111549.69</v>
      </c>
      <c r="AR53" s="43">
        <f t="shared" si="144"/>
        <v>1201232.3199999998</v>
      </c>
      <c r="AT53" s="60" t="s">
        <v>97</v>
      </c>
      <c r="AU53" s="27">
        <v>134423.82000000004</v>
      </c>
      <c r="AV53" s="27">
        <v>102137.30999999994</v>
      </c>
      <c r="AW53" s="27">
        <v>82749.279999999926</v>
      </c>
      <c r="AX53" s="27">
        <v>86597.119999999966</v>
      </c>
      <c r="AY53" s="27">
        <v>85091.150000000023</v>
      </c>
      <c r="AZ53" s="27">
        <v>72670.06</v>
      </c>
      <c r="BA53" s="27">
        <v>85426.17</v>
      </c>
      <c r="BB53" s="27">
        <v>70285.31</v>
      </c>
      <c r="BC53" s="27">
        <v>52912.090000000004</v>
      </c>
      <c r="BD53" s="27">
        <v>54941.229999999996</v>
      </c>
      <c r="BE53" s="27">
        <v>61797.439999999995</v>
      </c>
      <c r="BF53" s="27">
        <v>71763.060000000012</v>
      </c>
      <c r="BG53" s="43">
        <f t="shared" si="2"/>
        <v>960794.03999999992</v>
      </c>
      <c r="BI53" s="60" t="s">
        <v>97</v>
      </c>
      <c r="BJ53" s="27">
        <v>95482.089999999967</v>
      </c>
      <c r="BK53" s="27">
        <v>69530.140000000043</v>
      </c>
      <c r="BL53" s="27">
        <v>57876.589999999989</v>
      </c>
      <c r="BM53" s="27">
        <v>52070.710000000014</v>
      </c>
      <c r="BN53" s="27">
        <v>59465.279999999955</v>
      </c>
      <c r="BO53" s="27">
        <v>56698</v>
      </c>
      <c r="BP53" s="27">
        <v>66105.459999999992</v>
      </c>
      <c r="BQ53" s="27">
        <v>62178.84</v>
      </c>
      <c r="BR53" s="27">
        <v>53467.79</v>
      </c>
      <c r="BS53" s="27">
        <v>73591.340000000011</v>
      </c>
      <c r="BT53" s="27">
        <v>68614.890000000014</v>
      </c>
      <c r="BU53" s="27">
        <v>58135.469999999994</v>
      </c>
      <c r="BV53" s="43">
        <f t="shared" si="52"/>
        <v>773216.6</v>
      </c>
      <c r="BW53" s="405"/>
      <c r="BX53" s="32">
        <f t="shared" si="214"/>
        <v>0.15179650928000565</v>
      </c>
      <c r="BY53" s="32">
        <f t="shared" si="215"/>
        <v>0.27383466763327502</v>
      </c>
      <c r="BZ53" s="32">
        <f t="shared" si="216"/>
        <v>0.38490209810745829</v>
      </c>
      <c r="CA53" s="32">
        <f t="shared" si="217"/>
        <v>0.47143159174433991</v>
      </c>
      <c r="CB53" s="32">
        <f t="shared" si="218"/>
        <v>0.55582971744473364</v>
      </c>
      <c r="CC53" s="32">
        <f t="shared" si="219"/>
        <v>0.62593506556802248</v>
      </c>
      <c r="CD53" s="32">
        <f t="shared" si="220"/>
        <v>0.6904723173740569</v>
      </c>
      <c r="CE53" s="32">
        <f t="shared" si="221"/>
        <v>0.75069263334043501</v>
      </c>
      <c r="CF53" s="32">
        <f t="shared" si="222"/>
        <v>0.80386991000018093</v>
      </c>
      <c r="CG53" s="32">
        <f t="shared" si="223"/>
        <v>0.86282158775944573</v>
      </c>
      <c r="CH53" s="32">
        <f t="shared" si="224"/>
        <v>0.91848655842234117</v>
      </c>
      <c r="CI53" s="32">
        <f t="shared" si="225"/>
        <v>1</v>
      </c>
      <c r="CJ53" s="405"/>
      <c r="CK53" s="32">
        <f t="shared" si="226"/>
        <v>0.13469822903681342</v>
      </c>
      <c r="CL53" s="32">
        <f t="shared" si="227"/>
        <v>0.22677646638094906</v>
      </c>
      <c r="CM53" s="32">
        <f t="shared" si="228"/>
        <v>0.32790105332922681</v>
      </c>
      <c r="CN53" s="32">
        <f t="shared" si="229"/>
        <v>0.38437513866825868</v>
      </c>
      <c r="CO53" s="32">
        <f t="shared" si="230"/>
        <v>0.4298049918289536</v>
      </c>
      <c r="CP53" s="32">
        <f t="shared" si="231"/>
        <v>0.49032829300036879</v>
      </c>
      <c r="CQ53" s="32">
        <f t="shared" si="232"/>
        <v>0.55462809405079505</v>
      </c>
      <c r="CR53" s="32">
        <f t="shared" si="233"/>
        <v>0.62714785786629379</v>
      </c>
      <c r="CS53" s="32">
        <f t="shared" si="234"/>
        <v>0.70632230166087473</v>
      </c>
      <c r="CT53" s="32">
        <f t="shared" si="235"/>
        <v>0.83683338795045303</v>
      </c>
      <c r="CU53" s="32">
        <f t="shared" si="236"/>
        <v>0.89960679288125267</v>
      </c>
      <c r="CV53" s="32">
        <f t="shared" si="237"/>
        <v>1</v>
      </c>
      <c r="CX53" s="32">
        <f t="shared" si="238"/>
        <v>0.11765819787466258</v>
      </c>
      <c r="CY53" s="32">
        <f t="shared" si="239"/>
        <v>0.22298101336467541</v>
      </c>
      <c r="CZ53" s="32">
        <f t="shared" si="240"/>
        <v>0.29525779825837528</v>
      </c>
      <c r="DA53" s="32">
        <f t="shared" si="241"/>
        <v>0.38583488163222257</v>
      </c>
      <c r="DB53" s="32">
        <f t="shared" si="242"/>
        <v>0.47557994443572754</v>
      </c>
      <c r="DC53" s="32">
        <f t="shared" si="243"/>
        <v>0.54239056771299665</v>
      </c>
      <c r="DD53" s="32">
        <f t="shared" si="244"/>
        <v>0.63409526809934658</v>
      </c>
      <c r="DE53" s="32">
        <f t="shared" si="245"/>
        <v>0.70609985751965121</v>
      </c>
      <c r="DF53" s="32">
        <f t="shared" si="246"/>
        <v>0.76561377402832465</v>
      </c>
      <c r="DG53" s="32">
        <f t="shared" si="247"/>
        <v>0.84142455474391509</v>
      </c>
      <c r="DH53" s="32">
        <f t="shared" si="248"/>
        <v>0.90713728881354116</v>
      </c>
      <c r="DI53" s="32">
        <f t="shared" si="249"/>
        <v>1</v>
      </c>
      <c r="DK53" s="32">
        <f t="shared" si="145"/>
        <v>0.13990909019377351</v>
      </c>
      <c r="DL53" s="32">
        <f t="shared" si="146"/>
        <v>0.24621419383492429</v>
      </c>
      <c r="DM53" s="32">
        <f t="shared" si="147"/>
        <v>0.33234012359194065</v>
      </c>
      <c r="DN53" s="32">
        <f t="shared" si="148"/>
        <v>0.42247090750063349</v>
      </c>
      <c r="DO53" s="32">
        <f t="shared" si="149"/>
        <v>0.51103426911349281</v>
      </c>
      <c r="DP53" s="32">
        <f t="shared" si="150"/>
        <v>0.58666968833403677</v>
      </c>
      <c r="DQ53" s="32">
        <f t="shared" si="151"/>
        <v>0.67558174070272137</v>
      </c>
      <c r="DR53" s="32">
        <f t="shared" si="152"/>
        <v>0.7487350983151394</v>
      </c>
      <c r="DS53" s="32">
        <f t="shared" si="153"/>
        <v>0.80380630795753061</v>
      </c>
      <c r="DT53" s="32">
        <f t="shared" si="154"/>
        <v>0.86098945826100248</v>
      </c>
      <c r="DU53" s="32">
        <f t="shared" si="155"/>
        <v>0.92530859163114698</v>
      </c>
      <c r="DV53" s="32">
        <f t="shared" si="156"/>
        <v>1</v>
      </c>
      <c r="DW53" s="39"/>
      <c r="DX53" s="32">
        <f t="shared" si="157"/>
        <v>0.12348685995618817</v>
      </c>
      <c r="DY53" s="32">
        <f t="shared" si="158"/>
        <v>0.21341009750695991</v>
      </c>
      <c r="DZ53" s="32">
        <f t="shared" si="159"/>
        <v>0.28826181434801063</v>
      </c>
      <c r="EA53" s="32">
        <f t="shared" si="160"/>
        <v>0.35560479430989977</v>
      </c>
      <c r="EB53" s="32">
        <f t="shared" si="161"/>
        <v>0.43251116181416693</v>
      </c>
      <c r="EC53" s="32">
        <f t="shared" si="162"/>
        <v>0.50583860977635509</v>
      </c>
      <c r="ED53" s="32">
        <f t="shared" si="163"/>
        <v>0.59133271323973136</v>
      </c>
      <c r="EE53" s="32">
        <f t="shared" si="164"/>
        <v>0.67174852428155318</v>
      </c>
      <c r="EF53" s="32">
        <f t="shared" si="165"/>
        <v>0.74089834594859971</v>
      </c>
      <c r="EG53" s="32">
        <f t="shared" si="166"/>
        <v>0.83607392805586433</v>
      </c>
      <c r="EH53" s="32">
        <f t="shared" si="167"/>
        <v>0.92481347399939429</v>
      </c>
      <c r="EI53" s="32">
        <f t="shared" si="168"/>
        <v>1</v>
      </c>
      <c r="EK53" s="32">
        <f t="shared" si="250"/>
        <v>0.12701804934154143</v>
      </c>
      <c r="EL53" s="32">
        <f t="shared" si="169"/>
        <v>0.22753510156885323</v>
      </c>
      <c r="EM53" s="32">
        <f t="shared" si="170"/>
        <v>0.30528657873277548</v>
      </c>
      <c r="EN53" s="32">
        <f t="shared" si="171"/>
        <v>0.38797019448091863</v>
      </c>
      <c r="EO53" s="32">
        <f t="shared" si="172"/>
        <v>0.47304179178779576</v>
      </c>
      <c r="EP53" s="32">
        <f t="shared" si="173"/>
        <v>0.54496628860779606</v>
      </c>
      <c r="EQ53" s="32">
        <f t="shared" si="174"/>
        <v>0.63366990734726647</v>
      </c>
      <c r="ER53" s="32">
        <f t="shared" si="175"/>
        <v>0.70886116003878119</v>
      </c>
      <c r="ES53" s="32">
        <f t="shared" si="176"/>
        <v>0.77010614264481836</v>
      </c>
      <c r="ET53" s="32">
        <f t="shared" si="177"/>
        <v>0.84616264702026067</v>
      </c>
      <c r="EU53" s="32">
        <f t="shared" si="178"/>
        <v>0.91908645148136081</v>
      </c>
      <c r="EV53" s="32">
        <f t="shared" si="179"/>
        <v>1</v>
      </c>
      <c r="EX53" s="32">
        <f t="shared" si="180"/>
        <v>0.12893809426535943</v>
      </c>
      <c r="EY53" s="32">
        <f t="shared" si="181"/>
        <v>0.22734544277187718</v>
      </c>
      <c r="EZ53" s="32">
        <f t="shared" si="182"/>
        <v>0.31094019738188833</v>
      </c>
      <c r="FA53" s="32">
        <f t="shared" si="183"/>
        <v>0.38707143052775361</v>
      </c>
      <c r="FB53" s="32">
        <f t="shared" si="184"/>
        <v>0.46223259179808518</v>
      </c>
      <c r="FC53" s="32">
        <f t="shared" si="185"/>
        <v>0.53130678970593936</v>
      </c>
      <c r="FD53" s="32">
        <f t="shared" si="186"/>
        <v>0.61390945402314867</v>
      </c>
      <c r="FE53" s="32">
        <f t="shared" si="187"/>
        <v>0.6884328344956594</v>
      </c>
      <c r="FF53" s="32">
        <f t="shared" si="188"/>
        <v>0.75416018239883242</v>
      </c>
      <c r="FG53" s="32">
        <f t="shared" si="189"/>
        <v>0.84383033225280879</v>
      </c>
      <c r="FH53" s="32">
        <f t="shared" si="190"/>
        <v>0.91421653683133375</v>
      </c>
      <c r="FI53" s="32">
        <f t="shared" si="191"/>
        <v>1</v>
      </c>
      <c r="FK53" s="32">
        <f t="shared" si="251"/>
        <v>0.13075517236841649</v>
      </c>
      <c r="FL53" s="32">
        <f t="shared" si="192"/>
        <v>0.23199055786018294</v>
      </c>
      <c r="FM53" s="32">
        <f t="shared" si="193"/>
        <v>0.3184996583931809</v>
      </c>
      <c r="FN53" s="32">
        <f t="shared" si="194"/>
        <v>0.39756030926703828</v>
      </c>
      <c r="FO53" s="32">
        <f t="shared" si="195"/>
        <v>0.47213973512605795</v>
      </c>
      <c r="FP53" s="32">
        <f t="shared" si="196"/>
        <v>0.53979618301580068</v>
      </c>
      <c r="FQ53" s="32">
        <f t="shared" si="197"/>
        <v>0.6214350342842877</v>
      </c>
      <c r="FR53" s="32">
        <f t="shared" si="198"/>
        <v>0.69399427123369473</v>
      </c>
      <c r="FS53" s="32">
        <f t="shared" si="199"/>
        <v>0.75858079454891003</v>
      </c>
      <c r="FT53" s="32">
        <f t="shared" si="200"/>
        <v>0.84641580031845687</v>
      </c>
      <c r="FU53" s="32">
        <f t="shared" si="201"/>
        <v>0.91068422444198027</v>
      </c>
      <c r="FV53" s="32">
        <f t="shared" si="202"/>
        <v>1</v>
      </c>
      <c r="FX53" s="32">
        <f t="shared" si="252"/>
        <v>0.13471764539716055</v>
      </c>
      <c r="FY53" s="32">
        <f t="shared" si="203"/>
        <v>0.24119738245963318</v>
      </c>
      <c r="FZ53" s="32">
        <f t="shared" si="204"/>
        <v>0.33602031656502013</v>
      </c>
      <c r="GA53" s="32">
        <f t="shared" si="205"/>
        <v>0.41388053734827368</v>
      </c>
      <c r="GB53" s="32">
        <f t="shared" si="206"/>
        <v>0.48707155123647156</v>
      </c>
      <c r="GC53" s="32">
        <f t="shared" si="207"/>
        <v>0.55288464209379595</v>
      </c>
      <c r="GD53" s="32">
        <f t="shared" si="208"/>
        <v>0.62639855984139947</v>
      </c>
      <c r="GE53" s="32">
        <f t="shared" si="209"/>
        <v>0.69464678290879334</v>
      </c>
      <c r="GF53" s="32">
        <f t="shared" si="210"/>
        <v>0.75860199522979332</v>
      </c>
      <c r="GG53" s="32">
        <f t="shared" si="211"/>
        <v>0.84702651015127139</v>
      </c>
      <c r="GH53" s="32">
        <f t="shared" si="212"/>
        <v>0.90841021337237837</v>
      </c>
      <c r="GI53" s="32">
        <f t="shared" si="213"/>
        <v>1</v>
      </c>
    </row>
    <row r="54" spans="1:191">
      <c r="A54" s="724" t="s">
        <v>98</v>
      </c>
      <c r="B54" s="399">
        <v>13108.64</v>
      </c>
      <c r="C54" s="400">
        <v>11392.169999999995</v>
      </c>
      <c r="D54" s="400">
        <v>17400.449999999997</v>
      </c>
      <c r="E54" s="400">
        <v>10901.529999999997</v>
      </c>
      <c r="F54" s="400">
        <v>9626.0999999999985</v>
      </c>
      <c r="G54" s="400">
        <v>7796.3199999999979</v>
      </c>
      <c r="H54" s="400">
        <v>6848.6700000000019</v>
      </c>
      <c r="I54" s="400">
        <v>10053.350000000002</v>
      </c>
      <c r="J54" s="400">
        <v>5177.0200000000013</v>
      </c>
      <c r="K54" s="400">
        <v>5274.24</v>
      </c>
      <c r="L54" s="400">
        <v>5017.2000000000007</v>
      </c>
      <c r="M54" s="400">
        <v>5503.7900000000009</v>
      </c>
      <c r="N54" s="400">
        <f t="shared" si="142"/>
        <v>108099.48000000001</v>
      </c>
      <c r="P54" s="396" t="s">
        <v>98</v>
      </c>
      <c r="Q54" s="399">
        <v>12667.95</v>
      </c>
      <c r="R54" s="400">
        <v>11485.46</v>
      </c>
      <c r="S54" s="400">
        <v>6498.6200000000008</v>
      </c>
      <c r="T54" s="400">
        <v>6523.06</v>
      </c>
      <c r="U54" s="400">
        <v>6891.27</v>
      </c>
      <c r="V54" s="400">
        <v>7022.2199999999993</v>
      </c>
      <c r="W54" s="400">
        <v>5679.3499999999985</v>
      </c>
      <c r="X54" s="400">
        <v>6008.4100000000035</v>
      </c>
      <c r="Y54" s="400">
        <v>5969.34</v>
      </c>
      <c r="Z54" s="400">
        <v>10992.11</v>
      </c>
      <c r="AA54" s="400">
        <v>4731.79</v>
      </c>
      <c r="AB54" s="400">
        <v>5988.1800000000021</v>
      </c>
      <c r="AC54" s="400">
        <f t="shared" si="143"/>
        <v>90457.760000000009</v>
      </c>
      <c r="AE54" s="127" t="s">
        <v>98</v>
      </c>
      <c r="AF54" s="27">
        <v>6937.93</v>
      </c>
      <c r="AG54" s="27">
        <v>5425.95</v>
      </c>
      <c r="AH54" s="27">
        <v>4021.72</v>
      </c>
      <c r="AI54" s="27">
        <v>3969.57</v>
      </c>
      <c r="AJ54" s="27">
        <v>5801</v>
      </c>
      <c r="AK54" s="27">
        <v>6127.36</v>
      </c>
      <c r="AL54" s="27">
        <v>4911.25</v>
      </c>
      <c r="AM54" s="27">
        <v>2866.33</v>
      </c>
      <c r="AN54" s="27">
        <v>2648.81</v>
      </c>
      <c r="AO54" s="27">
        <v>8478.61</v>
      </c>
      <c r="AP54" s="27">
        <v>3300.27</v>
      </c>
      <c r="AQ54" s="27">
        <v>7713.62</v>
      </c>
      <c r="AR54" s="43">
        <f t="shared" si="144"/>
        <v>62202.42</v>
      </c>
      <c r="AT54" s="60" t="s">
        <v>98</v>
      </c>
      <c r="AU54" s="27">
        <v>6706.8199999999961</v>
      </c>
      <c r="AV54" s="27">
        <v>3120.5999999999985</v>
      </c>
      <c r="AW54" s="27">
        <v>4478.0600000000049</v>
      </c>
      <c r="AX54" s="27">
        <v>3202.9200000000019</v>
      </c>
      <c r="AY54" s="27">
        <v>2863.6299999999978</v>
      </c>
      <c r="AZ54" s="27">
        <v>2030.72</v>
      </c>
      <c r="BA54" s="27">
        <v>1551.5600000000006</v>
      </c>
      <c r="BB54" s="27">
        <v>1366.77</v>
      </c>
      <c r="BC54" s="27">
        <v>790.55</v>
      </c>
      <c r="BD54" s="27">
        <v>1818.12</v>
      </c>
      <c r="BE54" s="27">
        <v>821.8</v>
      </c>
      <c r="BF54" s="27">
        <v>885.06</v>
      </c>
      <c r="BG54" s="43">
        <f t="shared" si="2"/>
        <v>29636.61</v>
      </c>
      <c r="BI54" s="60" t="s">
        <v>98</v>
      </c>
      <c r="BJ54" s="27">
        <v>3899.2100000000028</v>
      </c>
      <c r="BK54" s="27">
        <v>1802.9700000000066</v>
      </c>
      <c r="BL54" s="27">
        <v>2206.09</v>
      </c>
      <c r="BM54" s="27">
        <v>940.43000000000075</v>
      </c>
      <c r="BN54" s="27">
        <v>1336.449999999998</v>
      </c>
      <c r="BO54" s="27">
        <v>1541.6299999999992</v>
      </c>
      <c r="BP54" s="27">
        <v>1652.7500000000007</v>
      </c>
      <c r="BQ54" s="27">
        <v>1185.7799999999997</v>
      </c>
      <c r="BR54" s="27">
        <v>1289.9900000000005</v>
      </c>
      <c r="BS54" s="27">
        <v>634.02999999999952</v>
      </c>
      <c r="BT54" s="27">
        <v>1554.3199999999993</v>
      </c>
      <c r="BU54" s="27">
        <v>1162.4600000000009</v>
      </c>
      <c r="BV54" s="43">
        <f t="shared" si="52"/>
        <v>19206.110000000008</v>
      </c>
      <c r="BW54" s="405"/>
      <c r="BX54" s="32">
        <f t="shared" si="214"/>
        <v>0.12126459812757655</v>
      </c>
      <c r="BY54" s="32">
        <f t="shared" si="215"/>
        <v>0.22665058148290806</v>
      </c>
      <c r="BZ54" s="32">
        <f t="shared" si="216"/>
        <v>0.38761759075991847</v>
      </c>
      <c r="CA54" s="32">
        <f t="shared" si="217"/>
        <v>0.48846479187503944</v>
      </c>
      <c r="CB54" s="32">
        <f t="shared" si="218"/>
        <v>0.57751332383837539</v>
      </c>
      <c r="CC54" s="32">
        <f t="shared" si="219"/>
        <v>0.64963503987253213</v>
      </c>
      <c r="CD54" s="32">
        <f t="shared" si="220"/>
        <v>0.71299029375534451</v>
      </c>
      <c r="CE54" s="32">
        <f t="shared" si="221"/>
        <v>0.80599120365796384</v>
      </c>
      <c r="CF54" s="32">
        <f t="shared" si="222"/>
        <v>0.85388246085920105</v>
      </c>
      <c r="CG54" s="32">
        <f t="shared" si="223"/>
        <v>0.90267307483810277</v>
      </c>
      <c r="CH54" s="32">
        <f t="shared" si="224"/>
        <v>0.94908587904400643</v>
      </c>
      <c r="CI54" s="32">
        <f t="shared" si="225"/>
        <v>1</v>
      </c>
      <c r="CJ54" s="405"/>
      <c r="CK54" s="32">
        <f t="shared" si="226"/>
        <v>0.1400427116479559</v>
      </c>
      <c r="CL54" s="32">
        <f t="shared" si="227"/>
        <v>0.26701313408600874</v>
      </c>
      <c r="CM54" s="32">
        <f t="shared" si="228"/>
        <v>0.33885462120662724</v>
      </c>
      <c r="CN54" s="32">
        <f t="shared" si="229"/>
        <v>0.41096628968039883</v>
      </c>
      <c r="CO54" s="32">
        <f t="shared" si="230"/>
        <v>0.48714847681392948</v>
      </c>
      <c r="CP54" s="32">
        <f t="shared" si="231"/>
        <v>0.56477830094399861</v>
      </c>
      <c r="CQ54" s="32">
        <f t="shared" si="232"/>
        <v>0.62756285364572362</v>
      </c>
      <c r="CR54" s="32">
        <f t="shared" si="233"/>
        <v>0.69398512631752096</v>
      </c>
      <c r="CS54" s="32">
        <f t="shared" si="234"/>
        <v>0.75997548469031295</v>
      </c>
      <c r="CT54" s="32">
        <f t="shared" si="235"/>
        <v>0.88149198034530152</v>
      </c>
      <c r="CU54" s="32">
        <f t="shared" si="236"/>
        <v>0.93380136762174959</v>
      </c>
      <c r="CV54" s="32">
        <f t="shared" si="237"/>
        <v>1</v>
      </c>
      <c r="CX54" s="32">
        <f t="shared" si="238"/>
        <v>0.11153794337905182</v>
      </c>
      <c r="CY54" s="32">
        <f t="shared" si="239"/>
        <v>0.19876847235204034</v>
      </c>
      <c r="CZ54" s="32">
        <f t="shared" si="240"/>
        <v>0.26342383463537272</v>
      </c>
      <c r="DA54" s="32">
        <f t="shared" si="241"/>
        <v>0.32724080510050901</v>
      </c>
      <c r="DB54" s="32">
        <f t="shared" si="242"/>
        <v>0.42050084225018902</v>
      </c>
      <c r="DC54" s="32">
        <f t="shared" si="243"/>
        <v>0.51900762060382866</v>
      </c>
      <c r="DD54" s="32">
        <f t="shared" si="244"/>
        <v>0.5979635519003923</v>
      </c>
      <c r="DE54" s="32">
        <f t="shared" si="245"/>
        <v>0.64404423493491092</v>
      </c>
      <c r="DF54" s="32">
        <f t="shared" si="246"/>
        <v>0.6866279479158528</v>
      </c>
      <c r="DG54" s="32">
        <f t="shared" si="247"/>
        <v>0.82293470254051204</v>
      </c>
      <c r="DH54" s="32">
        <f t="shared" si="248"/>
        <v>0.87599164148275899</v>
      </c>
      <c r="DI54" s="32">
        <f t="shared" si="249"/>
        <v>1</v>
      </c>
      <c r="DK54" s="32">
        <f t="shared" si="145"/>
        <v>0.22630186111029554</v>
      </c>
      <c r="DL54" s="32">
        <f t="shared" si="146"/>
        <v>0.33159730481995053</v>
      </c>
      <c r="DM54" s="32">
        <f t="shared" si="147"/>
        <v>0.4826962328012549</v>
      </c>
      <c r="DN54" s="32">
        <f t="shared" si="148"/>
        <v>0.59076932213232214</v>
      </c>
      <c r="DO54" s="32">
        <f t="shared" si="149"/>
        <v>0.68739407104928663</v>
      </c>
      <c r="DP54" s="32">
        <f t="shared" si="150"/>
        <v>0.75591472843891383</v>
      </c>
      <c r="DQ54" s="32">
        <f t="shared" si="151"/>
        <v>0.80826754476979656</v>
      </c>
      <c r="DR54" s="32">
        <f t="shared" si="152"/>
        <v>0.85438516753434357</v>
      </c>
      <c r="DS54" s="32">
        <f t="shared" si="153"/>
        <v>0.88105994579002123</v>
      </c>
      <c r="DT54" s="32">
        <f t="shared" si="154"/>
        <v>0.94240704318071467</v>
      </c>
      <c r="DU54" s="32">
        <f t="shared" si="155"/>
        <v>0.97013626052372381</v>
      </c>
      <c r="DV54" s="32">
        <f t="shared" si="156"/>
        <v>1</v>
      </c>
      <c r="DW54" s="39"/>
      <c r="DX54" s="32">
        <f t="shared" si="157"/>
        <v>0.2030192475207109</v>
      </c>
      <c r="DY54" s="32">
        <f t="shared" si="158"/>
        <v>0.29689406131694585</v>
      </c>
      <c r="DZ54" s="32">
        <f t="shared" si="159"/>
        <v>0.4117580290855361</v>
      </c>
      <c r="EA54" s="32">
        <f t="shared" si="160"/>
        <v>0.46072317611426811</v>
      </c>
      <c r="EB54" s="32">
        <f t="shared" si="161"/>
        <v>0.53030780308974612</v>
      </c>
      <c r="EC54" s="32">
        <f t="shared" si="162"/>
        <v>0.61057548873769873</v>
      </c>
      <c r="ED54" s="32">
        <f t="shared" si="163"/>
        <v>0.69662883322026181</v>
      </c>
      <c r="EE54" s="32">
        <f t="shared" si="164"/>
        <v>0.75836856083819171</v>
      </c>
      <c r="EF54" s="32">
        <f t="shared" si="165"/>
        <v>0.82553416595031481</v>
      </c>
      <c r="EG54" s="32">
        <f t="shared" si="166"/>
        <v>0.85854605643724846</v>
      </c>
      <c r="EH54" s="32">
        <f t="shared" si="167"/>
        <v>0.93947446932252299</v>
      </c>
      <c r="EI54" s="32">
        <f t="shared" si="168"/>
        <v>1</v>
      </c>
      <c r="EK54" s="32">
        <f t="shared" si="250"/>
        <v>0.18028635067001941</v>
      </c>
      <c r="EL54" s="32">
        <f t="shared" si="169"/>
        <v>0.27575327949631223</v>
      </c>
      <c r="EM54" s="32">
        <f t="shared" si="170"/>
        <v>0.38595936550738791</v>
      </c>
      <c r="EN54" s="32">
        <f t="shared" si="171"/>
        <v>0.45957776778236642</v>
      </c>
      <c r="EO54" s="32">
        <f t="shared" si="172"/>
        <v>0.54606757212974055</v>
      </c>
      <c r="EP54" s="32">
        <f t="shared" si="173"/>
        <v>0.62849927926014704</v>
      </c>
      <c r="EQ54" s="32">
        <f t="shared" si="174"/>
        <v>0.70095330996348348</v>
      </c>
      <c r="ER54" s="32">
        <f t="shared" si="175"/>
        <v>0.75226598776914877</v>
      </c>
      <c r="ES54" s="32">
        <f t="shared" si="176"/>
        <v>0.79774068655206298</v>
      </c>
      <c r="ET54" s="32">
        <f t="shared" si="177"/>
        <v>0.87462926738615854</v>
      </c>
      <c r="EU54" s="32">
        <f t="shared" si="178"/>
        <v>0.92853412377633526</v>
      </c>
      <c r="EV54" s="32">
        <f t="shared" si="179"/>
        <v>1</v>
      </c>
      <c r="EX54" s="32">
        <f t="shared" si="180"/>
        <v>0.17022544091450353</v>
      </c>
      <c r="EY54" s="32">
        <f t="shared" si="181"/>
        <v>0.27356824314373634</v>
      </c>
      <c r="EZ54" s="32">
        <f t="shared" si="182"/>
        <v>0.37418317943219775</v>
      </c>
      <c r="FA54" s="32">
        <f t="shared" si="183"/>
        <v>0.44742489825687459</v>
      </c>
      <c r="FB54" s="32">
        <f t="shared" si="184"/>
        <v>0.53133779830078776</v>
      </c>
      <c r="FC54" s="32">
        <f t="shared" si="185"/>
        <v>0.6125690346811099</v>
      </c>
      <c r="FD54" s="32">
        <f t="shared" si="186"/>
        <v>0.68260569588404352</v>
      </c>
      <c r="FE54" s="32">
        <f t="shared" si="187"/>
        <v>0.73769577240624173</v>
      </c>
      <c r="FF54" s="32">
        <f t="shared" si="188"/>
        <v>0.78829938608662553</v>
      </c>
      <c r="FG54" s="32">
        <f t="shared" si="189"/>
        <v>0.87634494562594412</v>
      </c>
      <c r="FH54" s="32">
        <f t="shared" si="190"/>
        <v>0.92985093473768887</v>
      </c>
      <c r="FI54" s="32">
        <f t="shared" si="191"/>
        <v>1</v>
      </c>
      <c r="FK54" s="32">
        <f t="shared" si="251"/>
        <v>0.15929417204576776</v>
      </c>
      <c r="FL54" s="32">
        <f t="shared" si="192"/>
        <v>0.2657929704193332</v>
      </c>
      <c r="FM54" s="32">
        <f t="shared" si="193"/>
        <v>0.36165822954775156</v>
      </c>
      <c r="FN54" s="32">
        <f t="shared" si="194"/>
        <v>0.4429921389710767</v>
      </c>
      <c r="FO54" s="32">
        <f t="shared" si="195"/>
        <v>0.53168113003780171</v>
      </c>
      <c r="FP54" s="32">
        <f t="shared" si="196"/>
        <v>0.61323354999558033</v>
      </c>
      <c r="FQ54" s="32">
        <f t="shared" si="197"/>
        <v>0.67793131677197083</v>
      </c>
      <c r="FR54" s="32">
        <f t="shared" si="198"/>
        <v>0.73080484292892522</v>
      </c>
      <c r="FS54" s="32">
        <f t="shared" si="199"/>
        <v>0.77588779279872899</v>
      </c>
      <c r="FT54" s="32">
        <f t="shared" si="200"/>
        <v>0.8822779086888427</v>
      </c>
      <c r="FU54" s="32">
        <f t="shared" si="201"/>
        <v>0.92664308987607757</v>
      </c>
      <c r="FV54" s="32">
        <f t="shared" si="202"/>
        <v>1</v>
      </c>
      <c r="FX54" s="32">
        <f t="shared" si="252"/>
        <v>0.1242817510515281</v>
      </c>
      <c r="FY54" s="32">
        <f t="shared" si="203"/>
        <v>0.23081072930698573</v>
      </c>
      <c r="FZ54" s="32">
        <f t="shared" si="204"/>
        <v>0.32996534886730616</v>
      </c>
      <c r="GA54" s="32">
        <f t="shared" si="205"/>
        <v>0.4088906288853158</v>
      </c>
      <c r="GB54" s="32">
        <f t="shared" si="206"/>
        <v>0.49505421430083124</v>
      </c>
      <c r="GC54" s="32">
        <f t="shared" si="207"/>
        <v>0.5778069871401198</v>
      </c>
      <c r="GD54" s="32">
        <f t="shared" si="208"/>
        <v>0.64617223310048677</v>
      </c>
      <c r="GE54" s="32">
        <f t="shared" si="209"/>
        <v>0.71467352163679854</v>
      </c>
      <c r="GF54" s="32">
        <f t="shared" si="210"/>
        <v>0.76682863115512223</v>
      </c>
      <c r="GG54" s="32">
        <f t="shared" si="211"/>
        <v>0.86903325257463881</v>
      </c>
      <c r="GH54" s="32">
        <f t="shared" si="212"/>
        <v>0.91962629604950497</v>
      </c>
      <c r="GI54" s="32">
        <f t="shared" si="213"/>
        <v>1</v>
      </c>
    </row>
    <row r="55" spans="1:191">
      <c r="A55" s="724" t="s">
        <v>99</v>
      </c>
      <c r="B55" s="399">
        <v>1409.25</v>
      </c>
      <c r="C55" s="400">
        <v>2548.5199999999986</v>
      </c>
      <c r="D55" s="400">
        <v>2223.7600000000002</v>
      </c>
      <c r="E55" s="400">
        <v>2526.4899999999998</v>
      </c>
      <c r="F55" s="400">
        <v>1816.6500000000005</v>
      </c>
      <c r="G55" s="400">
        <v>1453.2600000000002</v>
      </c>
      <c r="H55" s="400">
        <v>1959.56</v>
      </c>
      <c r="I55" s="400">
        <v>767.0300000000002</v>
      </c>
      <c r="J55" s="400">
        <v>1223.7900000000002</v>
      </c>
      <c r="K55" s="400">
        <v>922.31</v>
      </c>
      <c r="L55" s="400">
        <v>907.92999999999984</v>
      </c>
      <c r="M55" s="400">
        <v>1315.96</v>
      </c>
      <c r="N55" s="400">
        <f t="shared" si="142"/>
        <v>19074.509999999998</v>
      </c>
      <c r="P55" s="396" t="s">
        <v>99</v>
      </c>
      <c r="Q55" s="399">
        <v>882.54</v>
      </c>
      <c r="R55" s="400">
        <v>1554.56</v>
      </c>
      <c r="S55" s="400">
        <v>276.39</v>
      </c>
      <c r="T55" s="400">
        <v>0</v>
      </c>
      <c r="U55" s="400">
        <v>577.28</v>
      </c>
      <c r="V55" s="400">
        <v>501.1</v>
      </c>
      <c r="W55" s="400">
        <v>181.09000000000015</v>
      </c>
      <c r="X55" s="400">
        <v>710.5</v>
      </c>
      <c r="Y55" s="400">
        <v>761.74000000000024</v>
      </c>
      <c r="Z55" s="400">
        <v>240.49000000000024</v>
      </c>
      <c r="AA55" s="400">
        <v>1160.6400000000001</v>
      </c>
      <c r="AB55" s="400">
        <v>612.44999999999982</v>
      </c>
      <c r="AC55" s="400">
        <f t="shared" si="143"/>
        <v>7458.7799999999988</v>
      </c>
      <c r="AE55" s="127" t="s">
        <v>99</v>
      </c>
      <c r="AF55" s="27">
        <v>1942.55</v>
      </c>
      <c r="AG55" s="27">
        <v>353.15</v>
      </c>
      <c r="AH55" s="27">
        <v>511.5</v>
      </c>
      <c r="AI55" s="27">
        <v>797.28</v>
      </c>
      <c r="AJ55" s="27">
        <v>0</v>
      </c>
      <c r="AK55" s="27">
        <v>772.98</v>
      </c>
      <c r="AL55" s="27">
        <v>906.77</v>
      </c>
      <c r="AM55" s="27">
        <v>511.19</v>
      </c>
      <c r="AN55" s="27">
        <v>41.89</v>
      </c>
      <c r="AO55" s="27">
        <v>29.65</v>
      </c>
      <c r="AP55" s="27">
        <v>270.95</v>
      </c>
      <c r="AQ55" s="27">
        <v>582.05999999999995</v>
      </c>
      <c r="AR55" s="43">
        <f t="shared" si="144"/>
        <v>6719.9699999999993</v>
      </c>
      <c r="AT55" s="60" t="s">
        <v>99</v>
      </c>
      <c r="AU55" s="27">
        <v>613.28000000000065</v>
      </c>
      <c r="AV55" s="27">
        <v>770.71000000000095</v>
      </c>
      <c r="AW55" s="27">
        <v>1235.2700000000004</v>
      </c>
      <c r="AX55" s="27">
        <v>958.84000000000015</v>
      </c>
      <c r="AY55" s="27">
        <v>267.69999999999982</v>
      </c>
      <c r="AZ55" s="27">
        <v>458.16</v>
      </c>
      <c r="BA55" s="27">
        <v>1011.1700000000002</v>
      </c>
      <c r="BB55" s="27">
        <v>0</v>
      </c>
      <c r="BC55" s="27">
        <v>261.8</v>
      </c>
      <c r="BD55" s="27">
        <v>0</v>
      </c>
      <c r="BE55" s="27">
        <v>0</v>
      </c>
      <c r="BF55" s="27">
        <v>0</v>
      </c>
      <c r="BG55" s="43">
        <f t="shared" si="2"/>
        <v>5576.9300000000021</v>
      </c>
      <c r="BI55" s="60" t="s">
        <v>99</v>
      </c>
      <c r="BJ55" s="27">
        <v>1010.8200000000002</v>
      </c>
      <c r="BK55" s="27">
        <v>690.06999999999994</v>
      </c>
      <c r="BL55" s="27">
        <v>882.44000000000028</v>
      </c>
      <c r="BM55" s="27">
        <v>234.02999999999997</v>
      </c>
      <c r="BN55" s="27">
        <v>75.85000000000025</v>
      </c>
      <c r="BO55" s="27">
        <v>267.75</v>
      </c>
      <c r="BP55" s="27">
        <v>609.4699999999998</v>
      </c>
      <c r="BQ55" s="27">
        <v>195.03999999999996</v>
      </c>
      <c r="BR55" s="27">
        <v>287.77999999999997</v>
      </c>
      <c r="BS55" s="27">
        <v>443.94999999999982</v>
      </c>
      <c r="BT55" s="27">
        <v>677.63000000000011</v>
      </c>
      <c r="BU55" s="27">
        <v>556.77999999999975</v>
      </c>
      <c r="BV55" s="43">
        <f t="shared" si="52"/>
        <v>5931.6100000000006</v>
      </c>
      <c r="BW55" s="405"/>
      <c r="BX55" s="32">
        <f t="shared" si="214"/>
        <v>7.3881321197766026E-2</v>
      </c>
      <c r="BY55" s="32">
        <f t="shared" si="215"/>
        <v>0.20748999581116365</v>
      </c>
      <c r="BZ55" s="32">
        <f t="shared" si="216"/>
        <v>0.32407280711273839</v>
      </c>
      <c r="CA55" s="32">
        <f t="shared" si="217"/>
        <v>0.45652653724787684</v>
      </c>
      <c r="CB55" s="32">
        <f t="shared" si="218"/>
        <v>0.55176620526556119</v>
      </c>
      <c r="CC55" s="32">
        <f t="shared" si="219"/>
        <v>0.62795479412053046</v>
      </c>
      <c r="CD55" s="32">
        <f t="shared" si="220"/>
        <v>0.73068665984080317</v>
      </c>
      <c r="CE55" s="32">
        <f t="shared" si="221"/>
        <v>0.77089896411493664</v>
      </c>
      <c r="CF55" s="32">
        <f t="shared" si="222"/>
        <v>0.83505736189291369</v>
      </c>
      <c r="CG55" s="32">
        <f t="shared" si="223"/>
        <v>0.88341037332020589</v>
      </c>
      <c r="CH55" s="32">
        <f t="shared" si="224"/>
        <v>0.93100949906445829</v>
      </c>
      <c r="CI55" s="32">
        <f t="shared" si="225"/>
        <v>1</v>
      </c>
      <c r="CJ55" s="405"/>
      <c r="CK55" s="32">
        <f t="shared" si="226"/>
        <v>0.11832229935726755</v>
      </c>
      <c r="CL55" s="32">
        <f t="shared" si="227"/>
        <v>0.32674244313413192</v>
      </c>
      <c r="CM55" s="32">
        <f t="shared" si="228"/>
        <v>0.36379810102992716</v>
      </c>
      <c r="CN55" s="32">
        <f t="shared" si="229"/>
        <v>0.36379810102992716</v>
      </c>
      <c r="CO55" s="32">
        <f t="shared" si="230"/>
        <v>0.44119413630647369</v>
      </c>
      <c r="CP55" s="32">
        <f t="shared" si="231"/>
        <v>0.50837670503755306</v>
      </c>
      <c r="CQ55" s="32">
        <f t="shared" si="232"/>
        <v>0.53265547448778494</v>
      </c>
      <c r="CR55" s="32">
        <f t="shared" si="233"/>
        <v>0.62791233955150838</v>
      </c>
      <c r="CS55" s="32">
        <f t="shared" si="234"/>
        <v>0.73003896079519703</v>
      </c>
      <c r="CT55" s="32">
        <f t="shared" si="235"/>
        <v>0.76228149911915888</v>
      </c>
      <c r="CU55" s="32">
        <f t="shared" si="236"/>
        <v>0.91788871638525338</v>
      </c>
      <c r="CV55" s="32">
        <f t="shared" si="237"/>
        <v>1</v>
      </c>
      <c r="CX55" s="32">
        <f t="shared" si="238"/>
        <v>0.28907123097275733</v>
      </c>
      <c r="CY55" s="32">
        <f t="shared" si="239"/>
        <v>0.34162354891465291</v>
      </c>
      <c r="CZ55" s="32">
        <f t="shared" si="240"/>
        <v>0.41773996014863163</v>
      </c>
      <c r="DA55" s="32">
        <f t="shared" si="241"/>
        <v>0.53638334694946554</v>
      </c>
      <c r="DB55" s="32">
        <f t="shared" si="242"/>
        <v>0.53638334694946554</v>
      </c>
      <c r="DC55" s="32">
        <f t="shared" si="243"/>
        <v>0.65141064617847988</v>
      </c>
      <c r="DD55" s="32">
        <f t="shared" si="244"/>
        <v>0.7863472604788414</v>
      </c>
      <c r="DE55" s="32">
        <f t="shared" si="245"/>
        <v>0.86241754055449649</v>
      </c>
      <c r="DF55" s="32">
        <f t="shared" si="246"/>
        <v>0.86865119933571133</v>
      </c>
      <c r="DG55" s="32">
        <f t="shared" si="247"/>
        <v>0.87306342141408366</v>
      </c>
      <c r="DH55" s="32">
        <f t="shared" si="248"/>
        <v>0.91338354189081195</v>
      </c>
      <c r="DI55" s="32">
        <f t="shared" si="249"/>
        <v>1</v>
      </c>
      <c r="DK55" s="32">
        <f t="shared" si="145"/>
        <v>0.10996731176471651</v>
      </c>
      <c r="DL55" s="32">
        <f t="shared" si="146"/>
        <v>0.24816341607300094</v>
      </c>
      <c r="DM55" s="32">
        <f t="shared" si="147"/>
        <v>0.46965983076710682</v>
      </c>
      <c r="DN55" s="32">
        <f t="shared" si="148"/>
        <v>0.64158954837159532</v>
      </c>
      <c r="DO55" s="32">
        <f t="shared" si="149"/>
        <v>0.68959086809409487</v>
      </c>
      <c r="DP55" s="32">
        <f t="shared" si="150"/>
        <v>0.77174359369760781</v>
      </c>
      <c r="DQ55" s="32">
        <f t="shared" si="151"/>
        <v>0.95305660999869102</v>
      </c>
      <c r="DR55" s="32">
        <f t="shared" si="152"/>
        <v>0.95305660999869102</v>
      </c>
      <c r="DS55" s="32">
        <f t="shared" si="153"/>
        <v>1</v>
      </c>
      <c r="DT55" s="32">
        <f t="shared" si="154"/>
        <v>1</v>
      </c>
      <c r="DU55" s="32">
        <f t="shared" si="155"/>
        <v>1</v>
      </c>
      <c r="DV55" s="32">
        <f t="shared" si="156"/>
        <v>1</v>
      </c>
      <c r="DW55" s="39"/>
      <c r="DX55" s="32">
        <f t="shared" si="157"/>
        <v>0.17041241753925157</v>
      </c>
      <c r="DY55" s="32">
        <f t="shared" si="158"/>
        <v>0.28675014034975327</v>
      </c>
      <c r="DZ55" s="32">
        <f t="shared" si="159"/>
        <v>0.4355191929341275</v>
      </c>
      <c r="EA55" s="32">
        <f t="shared" si="160"/>
        <v>0.47497391096177938</v>
      </c>
      <c r="EB55" s="32">
        <f t="shared" si="161"/>
        <v>0.48776133292647372</v>
      </c>
      <c r="EC55" s="32">
        <f t="shared" si="162"/>
        <v>0.53290084816769823</v>
      </c>
      <c r="ED55" s="32">
        <f t="shared" si="163"/>
        <v>0.6356503546254727</v>
      </c>
      <c r="EE55" s="32">
        <f t="shared" si="164"/>
        <v>0.66853181513956583</v>
      </c>
      <c r="EF55" s="32">
        <f t="shared" si="165"/>
        <v>0.71704815387390619</v>
      </c>
      <c r="EG55" s="32">
        <f t="shared" si="166"/>
        <v>0.79189292620384688</v>
      </c>
      <c r="EH55" s="32">
        <f t="shared" si="167"/>
        <v>0.90613341065916342</v>
      </c>
      <c r="EI55" s="32">
        <f t="shared" si="168"/>
        <v>1</v>
      </c>
      <c r="EK55" s="32">
        <f t="shared" si="250"/>
        <v>0.18981698675890848</v>
      </c>
      <c r="EL55" s="32">
        <f t="shared" si="169"/>
        <v>0.29217903511246907</v>
      </c>
      <c r="EM55" s="32">
        <f t="shared" si="170"/>
        <v>0.44097299461662204</v>
      </c>
      <c r="EN55" s="32">
        <f t="shared" si="171"/>
        <v>0.5509822687609468</v>
      </c>
      <c r="EO55" s="32">
        <f t="shared" si="172"/>
        <v>0.57124518265667801</v>
      </c>
      <c r="EP55" s="32">
        <f t="shared" si="173"/>
        <v>0.65201836268126201</v>
      </c>
      <c r="EQ55" s="32">
        <f t="shared" si="174"/>
        <v>0.79168474170100167</v>
      </c>
      <c r="ER55" s="32">
        <f t="shared" si="175"/>
        <v>0.828001988564251</v>
      </c>
      <c r="ES55" s="32">
        <f t="shared" si="176"/>
        <v>0.8618997844032058</v>
      </c>
      <c r="ET55" s="32">
        <f t="shared" si="177"/>
        <v>0.88831878253931018</v>
      </c>
      <c r="EU55" s="32">
        <f t="shared" si="178"/>
        <v>0.93983898418332501</v>
      </c>
      <c r="EV55" s="32">
        <f t="shared" si="179"/>
        <v>1</v>
      </c>
      <c r="EX55" s="32">
        <f t="shared" si="180"/>
        <v>0.17194331490849826</v>
      </c>
      <c r="EY55" s="32">
        <f t="shared" si="181"/>
        <v>0.30081988711788477</v>
      </c>
      <c r="EZ55" s="32">
        <f t="shared" si="182"/>
        <v>0.42167927121994825</v>
      </c>
      <c r="FA55" s="32">
        <f t="shared" si="183"/>
        <v>0.50418622682819181</v>
      </c>
      <c r="FB55" s="32">
        <f t="shared" si="184"/>
        <v>0.53873242106912689</v>
      </c>
      <c r="FC55" s="32">
        <f t="shared" si="185"/>
        <v>0.61610794827033477</v>
      </c>
      <c r="FD55" s="32">
        <f t="shared" si="186"/>
        <v>0.72692742489769757</v>
      </c>
      <c r="FE55" s="32">
        <f t="shared" si="187"/>
        <v>0.7779795763110654</v>
      </c>
      <c r="FF55" s="32">
        <f t="shared" si="188"/>
        <v>0.82893457850120367</v>
      </c>
      <c r="FG55" s="32">
        <f t="shared" si="189"/>
        <v>0.8568094616842723</v>
      </c>
      <c r="FH55" s="32">
        <f t="shared" si="190"/>
        <v>0.93435141723380721</v>
      </c>
      <c r="FI55" s="32">
        <f t="shared" si="191"/>
        <v>1</v>
      </c>
      <c r="FK55" s="32">
        <f t="shared" si="251"/>
        <v>0.17245361403158047</v>
      </c>
      <c r="FL55" s="32">
        <f t="shared" si="192"/>
        <v>0.30550980270726191</v>
      </c>
      <c r="FM55" s="32">
        <f t="shared" si="193"/>
        <v>0.41706596398188855</v>
      </c>
      <c r="FN55" s="32">
        <f t="shared" si="194"/>
        <v>0.5139236654503293</v>
      </c>
      <c r="FO55" s="32">
        <f t="shared" si="195"/>
        <v>0.55572278378334472</v>
      </c>
      <c r="FP55" s="32">
        <f t="shared" si="196"/>
        <v>0.64384364830454688</v>
      </c>
      <c r="FQ55" s="32">
        <f t="shared" si="197"/>
        <v>0.75735311498843905</v>
      </c>
      <c r="FR55" s="32">
        <f t="shared" si="198"/>
        <v>0.81446216336823196</v>
      </c>
      <c r="FS55" s="32">
        <f t="shared" si="199"/>
        <v>0.86623005337696946</v>
      </c>
      <c r="FT55" s="32">
        <f t="shared" si="200"/>
        <v>0.87844830684441411</v>
      </c>
      <c r="FU55" s="32">
        <f t="shared" si="201"/>
        <v>0.94375741942535507</v>
      </c>
      <c r="FV55" s="32">
        <f t="shared" si="202"/>
        <v>1</v>
      </c>
      <c r="FX55" s="32">
        <f t="shared" si="252"/>
        <v>0.16042495050926364</v>
      </c>
      <c r="FY55" s="32">
        <f t="shared" si="203"/>
        <v>0.29195199595331617</v>
      </c>
      <c r="FZ55" s="32">
        <f t="shared" si="204"/>
        <v>0.36853695609709902</v>
      </c>
      <c r="GA55" s="32">
        <f t="shared" si="205"/>
        <v>0.45223599507575657</v>
      </c>
      <c r="GB55" s="32">
        <f t="shared" si="206"/>
        <v>0.50978122950716676</v>
      </c>
      <c r="GC55" s="32">
        <f t="shared" si="207"/>
        <v>0.59591404844552109</v>
      </c>
      <c r="GD55" s="32">
        <f t="shared" si="208"/>
        <v>0.68322979826914321</v>
      </c>
      <c r="GE55" s="32">
        <f t="shared" si="209"/>
        <v>0.75374294807364717</v>
      </c>
      <c r="GF55" s="32">
        <f t="shared" si="210"/>
        <v>0.81124917400794072</v>
      </c>
      <c r="GG55" s="32">
        <f t="shared" si="211"/>
        <v>0.83958509795114944</v>
      </c>
      <c r="GH55" s="32">
        <f t="shared" si="212"/>
        <v>0.9207605857801745</v>
      </c>
      <c r="GI55" s="32">
        <f t="shared" si="213"/>
        <v>1</v>
      </c>
    </row>
    <row r="56" spans="1:191">
      <c r="A56" s="724" t="s">
        <v>100</v>
      </c>
      <c r="B56" s="399">
        <v>101977.83999999997</v>
      </c>
      <c r="C56" s="400">
        <v>86079.37000000001</v>
      </c>
      <c r="D56" s="400">
        <v>93789.529999999984</v>
      </c>
      <c r="E56" s="400">
        <v>79601.69</v>
      </c>
      <c r="F56" s="400">
        <v>83206.440000000017</v>
      </c>
      <c r="G56" s="400">
        <v>68676.469999999972</v>
      </c>
      <c r="H56" s="400">
        <v>76427.3</v>
      </c>
      <c r="I56" s="400">
        <v>68674.509999999995</v>
      </c>
      <c r="J56" s="400">
        <v>54090.36</v>
      </c>
      <c r="K56" s="400">
        <v>51050.270000000004</v>
      </c>
      <c r="L56" s="400">
        <v>53782.380000000005</v>
      </c>
      <c r="M56" s="400">
        <v>85502.699999999983</v>
      </c>
      <c r="N56" s="400">
        <f t="shared" si="142"/>
        <v>902858.85999999987</v>
      </c>
      <c r="P56" s="396" t="s">
        <v>100</v>
      </c>
      <c r="Q56" s="399">
        <v>70510.399999999994</v>
      </c>
      <c r="R56" s="400">
        <v>62697.34</v>
      </c>
      <c r="S56" s="400">
        <v>45223.89</v>
      </c>
      <c r="T56" s="400">
        <v>24407.26</v>
      </c>
      <c r="U56" s="400">
        <v>25230.22</v>
      </c>
      <c r="V56" s="400">
        <v>32895.269999999997</v>
      </c>
      <c r="W56" s="400">
        <v>45953.360000000044</v>
      </c>
      <c r="X56" s="400">
        <v>46006.290000000037</v>
      </c>
      <c r="Y56" s="400">
        <v>50706.459999999977</v>
      </c>
      <c r="Z56" s="400">
        <v>106038.15</v>
      </c>
      <c r="AA56" s="400">
        <v>43655.94</v>
      </c>
      <c r="AB56" s="400">
        <v>52164.740000000005</v>
      </c>
      <c r="AC56" s="400">
        <f t="shared" si="143"/>
        <v>605489.32000000007</v>
      </c>
      <c r="AE56" s="127" t="s">
        <v>100</v>
      </c>
      <c r="AF56" s="27">
        <v>67447.42</v>
      </c>
      <c r="AG56" s="27">
        <v>56124.11</v>
      </c>
      <c r="AH56" s="27">
        <v>45599.839999999997</v>
      </c>
      <c r="AI56" s="27">
        <v>35192.03</v>
      </c>
      <c r="AJ56" s="27">
        <v>38882.03</v>
      </c>
      <c r="AK56" s="27">
        <v>34282.519999999997</v>
      </c>
      <c r="AL56" s="27">
        <v>30077.89</v>
      </c>
      <c r="AM56" s="27">
        <v>39441.25</v>
      </c>
      <c r="AN56" s="27">
        <v>27764.99</v>
      </c>
      <c r="AO56" s="27">
        <v>32444.14</v>
      </c>
      <c r="AP56" s="27">
        <v>22116.71</v>
      </c>
      <c r="AQ56" s="27">
        <v>25655.59</v>
      </c>
      <c r="AR56" s="43">
        <f t="shared" si="144"/>
        <v>455028.52000000008</v>
      </c>
      <c r="AT56" s="60" t="s">
        <v>100</v>
      </c>
      <c r="AU56" s="27">
        <v>47917.010000000053</v>
      </c>
      <c r="AV56" s="27">
        <v>39565.39</v>
      </c>
      <c r="AW56" s="27">
        <v>28656.299999999992</v>
      </c>
      <c r="AX56" s="27">
        <v>25725.500000000004</v>
      </c>
      <c r="AY56" s="27">
        <v>24481.990000000013</v>
      </c>
      <c r="AZ56" s="27">
        <v>22641.469999999998</v>
      </c>
      <c r="BA56" s="27">
        <v>16692.439999999999</v>
      </c>
      <c r="BB56" s="27">
        <v>19539.490000000002</v>
      </c>
      <c r="BC56" s="27">
        <v>9762.3700000000008</v>
      </c>
      <c r="BD56" s="27">
        <v>18166.41</v>
      </c>
      <c r="BE56" s="27">
        <v>10174.52</v>
      </c>
      <c r="BF56" s="27">
        <v>20045.98</v>
      </c>
      <c r="BG56" s="43">
        <f t="shared" si="2"/>
        <v>283368.87000000005</v>
      </c>
      <c r="BI56" s="60" t="s">
        <v>100</v>
      </c>
      <c r="BJ56" s="27">
        <v>30475.419999999984</v>
      </c>
      <c r="BK56" s="27">
        <v>39317.629999999946</v>
      </c>
      <c r="BL56" s="27">
        <v>37043.240000000013</v>
      </c>
      <c r="BM56" s="27">
        <v>21827.360000000008</v>
      </c>
      <c r="BN56" s="27">
        <v>26244.959999999999</v>
      </c>
      <c r="BO56" s="27">
        <v>26994.380000000005</v>
      </c>
      <c r="BP56" s="27">
        <v>22004.180000000004</v>
      </c>
      <c r="BQ56" s="27">
        <v>22847.360000000008</v>
      </c>
      <c r="BR56" s="27">
        <v>16615.149999999998</v>
      </c>
      <c r="BS56" s="27">
        <v>17535.250000000004</v>
      </c>
      <c r="BT56" s="27">
        <v>14456.410000000003</v>
      </c>
      <c r="BU56" s="27">
        <v>18683.160000000003</v>
      </c>
      <c r="BV56" s="43">
        <f t="shared" si="52"/>
        <v>294044.5</v>
      </c>
      <c r="BW56" s="405"/>
      <c r="BX56" s="32">
        <f t="shared" si="214"/>
        <v>0.11294992442118802</v>
      </c>
      <c r="BY56" s="32">
        <f t="shared" si="215"/>
        <v>0.20829081745955286</v>
      </c>
      <c r="BZ56" s="32">
        <f t="shared" si="216"/>
        <v>0.31217142843345413</v>
      </c>
      <c r="CA56" s="32">
        <f t="shared" si="217"/>
        <v>0.40033768954762206</v>
      </c>
      <c r="CB56" s="32">
        <f t="shared" si="218"/>
        <v>0.49249654591637942</v>
      </c>
      <c r="CC56" s="32">
        <f t="shared" si="219"/>
        <v>0.56856211169041415</v>
      </c>
      <c r="CD56" s="32">
        <f t="shared" si="220"/>
        <v>0.65321244120038868</v>
      </c>
      <c r="CE56" s="32">
        <f t="shared" si="221"/>
        <v>0.72927583609247626</v>
      </c>
      <c r="CF56" s="32">
        <f t="shared" si="222"/>
        <v>0.7891859310103021</v>
      </c>
      <c r="CG56" s="32">
        <f t="shared" si="223"/>
        <v>0.84572884404102766</v>
      </c>
      <c r="CH56" s="32">
        <f t="shared" si="224"/>
        <v>0.90529782251901481</v>
      </c>
      <c r="CI56" s="32">
        <f t="shared" si="225"/>
        <v>1</v>
      </c>
      <c r="CJ56" s="405"/>
      <c r="CK56" s="32">
        <f t="shared" si="226"/>
        <v>0.11645193015130306</v>
      </c>
      <c r="CL56" s="32">
        <f t="shared" si="227"/>
        <v>0.22000014797948869</v>
      </c>
      <c r="CM56" s="32">
        <f t="shared" si="228"/>
        <v>0.2946899707496079</v>
      </c>
      <c r="CN56" s="32">
        <f t="shared" si="229"/>
        <v>0.33499994681987122</v>
      </c>
      <c r="CO56" s="32">
        <f t="shared" si="230"/>
        <v>0.37666908806913391</v>
      </c>
      <c r="CP56" s="32">
        <f t="shared" si="231"/>
        <v>0.43099749472046833</v>
      </c>
      <c r="CQ56" s="32">
        <f t="shared" si="232"/>
        <v>0.50689207862493757</v>
      </c>
      <c r="CR56" s="32">
        <f t="shared" si="233"/>
        <v>0.58287407943050107</v>
      </c>
      <c r="CS56" s="32">
        <f t="shared" si="234"/>
        <v>0.66661867793142904</v>
      </c>
      <c r="CT56" s="32">
        <f t="shared" si="235"/>
        <v>0.84174670496252513</v>
      </c>
      <c r="CU56" s="32">
        <f t="shared" si="236"/>
        <v>0.9138469692578558</v>
      </c>
      <c r="CV56" s="32">
        <f t="shared" si="237"/>
        <v>1</v>
      </c>
      <c r="CX56" s="32">
        <f t="shared" si="238"/>
        <v>0.14822679686099674</v>
      </c>
      <c r="CY56" s="32">
        <f t="shared" si="239"/>
        <v>0.27156875793192037</v>
      </c>
      <c r="CZ56" s="32">
        <f t="shared" si="240"/>
        <v>0.37178190501114078</v>
      </c>
      <c r="DA56" s="32">
        <f t="shared" si="241"/>
        <v>0.44912217809995725</v>
      </c>
      <c r="DB56" s="32">
        <f t="shared" si="242"/>
        <v>0.53457183299191868</v>
      </c>
      <c r="DC56" s="32">
        <f t="shared" si="243"/>
        <v>0.60991330829109336</v>
      </c>
      <c r="DD56" s="32">
        <f t="shared" si="244"/>
        <v>0.67601441773364002</v>
      </c>
      <c r="DE56" s="32">
        <f t="shared" si="245"/>
        <v>0.76269305053670033</v>
      </c>
      <c r="DF56" s="32">
        <f t="shared" si="246"/>
        <v>0.82371118188372006</v>
      </c>
      <c r="DG56" s="32">
        <f t="shared" si="247"/>
        <v>0.89501251481995014</v>
      </c>
      <c r="DH56" s="32">
        <f t="shared" si="248"/>
        <v>0.94361762203388921</v>
      </c>
      <c r="DI56" s="32">
        <f t="shared" si="249"/>
        <v>1</v>
      </c>
      <c r="DK56" s="32">
        <f t="shared" si="145"/>
        <v>0.1690976499994514</v>
      </c>
      <c r="DL56" s="32">
        <f t="shared" si="146"/>
        <v>0.308722690675232</v>
      </c>
      <c r="DM56" s="32">
        <f t="shared" si="147"/>
        <v>0.40984988929800237</v>
      </c>
      <c r="DN56" s="32">
        <f t="shared" si="148"/>
        <v>0.50063438513905922</v>
      </c>
      <c r="DO56" s="32">
        <f t="shared" si="149"/>
        <v>0.58703057255371782</v>
      </c>
      <c r="DP56" s="32">
        <f t="shared" si="150"/>
        <v>0.66693162167036912</v>
      </c>
      <c r="DQ56" s="32">
        <f t="shared" si="151"/>
        <v>0.72583872745090183</v>
      </c>
      <c r="DR56" s="32">
        <f t="shared" si="152"/>
        <v>0.79479298484692418</v>
      </c>
      <c r="DS56" s="32">
        <f t="shared" si="153"/>
        <v>0.8292440873974618</v>
      </c>
      <c r="DT56" s="32">
        <f t="shared" si="154"/>
        <v>0.8933527878344576</v>
      </c>
      <c r="DU56" s="32">
        <f t="shared" si="155"/>
        <v>0.92925835501973109</v>
      </c>
      <c r="DV56" s="32">
        <f t="shared" si="156"/>
        <v>1</v>
      </c>
      <c r="DW56" s="39"/>
      <c r="DX56" s="32">
        <f t="shared" si="157"/>
        <v>0.103642203816089</v>
      </c>
      <c r="DY56" s="32">
        <f t="shared" si="158"/>
        <v>0.23735540028805141</v>
      </c>
      <c r="DZ56" s="32">
        <f t="shared" si="159"/>
        <v>0.36333374710290434</v>
      </c>
      <c r="EA56" s="32">
        <f t="shared" si="160"/>
        <v>0.43756523247331597</v>
      </c>
      <c r="EB56" s="32">
        <f t="shared" si="161"/>
        <v>0.52682029420716914</v>
      </c>
      <c r="EC56" s="32">
        <f t="shared" si="162"/>
        <v>0.61862401779322507</v>
      </c>
      <c r="ED56" s="32">
        <f t="shared" si="163"/>
        <v>0.69345684071628599</v>
      </c>
      <c r="EE56" s="32">
        <f t="shared" si="164"/>
        <v>0.77115718879285267</v>
      </c>
      <c r="EF56" s="32">
        <f t="shared" si="165"/>
        <v>0.82766275172635417</v>
      </c>
      <c r="EG56" s="32">
        <f t="shared" si="166"/>
        <v>0.88729743287155505</v>
      </c>
      <c r="EH56" s="32">
        <f t="shared" si="167"/>
        <v>0.93646145396360059</v>
      </c>
      <c r="EI56" s="32">
        <f t="shared" si="168"/>
        <v>1</v>
      </c>
      <c r="EK56" s="32">
        <f t="shared" si="250"/>
        <v>0.14032221689217905</v>
      </c>
      <c r="EL56" s="32">
        <f t="shared" si="169"/>
        <v>0.27254894963173459</v>
      </c>
      <c r="EM56" s="32">
        <f t="shared" si="170"/>
        <v>0.38165518047068248</v>
      </c>
      <c r="EN56" s="32">
        <f t="shared" si="171"/>
        <v>0.46244059857077752</v>
      </c>
      <c r="EO56" s="32">
        <f t="shared" si="172"/>
        <v>0.54947423325093514</v>
      </c>
      <c r="EP56" s="32">
        <f t="shared" si="173"/>
        <v>0.63182298258489589</v>
      </c>
      <c r="EQ56" s="32">
        <f t="shared" si="174"/>
        <v>0.69843666196694265</v>
      </c>
      <c r="ER56" s="32">
        <f t="shared" si="175"/>
        <v>0.77621440805882569</v>
      </c>
      <c r="ES56" s="32">
        <f t="shared" si="176"/>
        <v>0.8268726736691786</v>
      </c>
      <c r="ET56" s="32">
        <f t="shared" si="177"/>
        <v>0.8918875785086543</v>
      </c>
      <c r="EU56" s="32">
        <f t="shared" si="178"/>
        <v>0.93644581033907359</v>
      </c>
      <c r="EV56" s="32">
        <f t="shared" si="179"/>
        <v>1</v>
      </c>
      <c r="EX56" s="32">
        <f t="shared" si="180"/>
        <v>0.13435464520696005</v>
      </c>
      <c r="EY56" s="32">
        <f t="shared" si="181"/>
        <v>0.2594117492186731</v>
      </c>
      <c r="EZ56" s="32">
        <f t="shared" si="182"/>
        <v>0.35991387804041386</v>
      </c>
      <c r="FA56" s="32">
        <f t="shared" si="183"/>
        <v>0.43058043563305093</v>
      </c>
      <c r="FB56" s="32">
        <f t="shared" si="184"/>
        <v>0.50627294695548486</v>
      </c>
      <c r="FC56" s="32">
        <f t="shared" si="185"/>
        <v>0.58161661061878889</v>
      </c>
      <c r="FD56" s="32">
        <f t="shared" si="186"/>
        <v>0.65055051613144133</v>
      </c>
      <c r="FE56" s="32">
        <f t="shared" si="187"/>
        <v>0.72787932590174453</v>
      </c>
      <c r="FF56" s="32">
        <f t="shared" si="188"/>
        <v>0.78680917473474121</v>
      </c>
      <c r="FG56" s="32">
        <f t="shared" si="189"/>
        <v>0.87935236012212203</v>
      </c>
      <c r="FH56" s="32">
        <f t="shared" si="190"/>
        <v>0.93079610006876923</v>
      </c>
      <c r="FI56" s="32">
        <f t="shared" si="191"/>
        <v>1</v>
      </c>
      <c r="FK56" s="32">
        <f t="shared" si="251"/>
        <v>0.14459212567058374</v>
      </c>
      <c r="FL56" s="32">
        <f t="shared" si="192"/>
        <v>0.26676386552888037</v>
      </c>
      <c r="FM56" s="32">
        <f t="shared" si="193"/>
        <v>0.35877392168625039</v>
      </c>
      <c r="FN56" s="32">
        <f t="shared" si="194"/>
        <v>0.42825217001962929</v>
      </c>
      <c r="FO56" s="32">
        <f t="shared" si="195"/>
        <v>0.49942383120492345</v>
      </c>
      <c r="FP56" s="32">
        <f t="shared" si="196"/>
        <v>0.56928080822731031</v>
      </c>
      <c r="FQ56" s="32">
        <f t="shared" si="197"/>
        <v>0.63624840793649307</v>
      </c>
      <c r="FR56" s="32">
        <f t="shared" si="198"/>
        <v>0.71345337160470856</v>
      </c>
      <c r="FS56" s="32">
        <f t="shared" si="199"/>
        <v>0.77319131573753686</v>
      </c>
      <c r="FT56" s="32">
        <f t="shared" si="200"/>
        <v>0.87670400253897762</v>
      </c>
      <c r="FU56" s="32">
        <f t="shared" si="201"/>
        <v>0.92890764877049203</v>
      </c>
      <c r="FV56" s="32">
        <f t="shared" si="202"/>
        <v>1</v>
      </c>
      <c r="FX56" s="32">
        <f t="shared" si="252"/>
        <v>0.12587621714449593</v>
      </c>
      <c r="FY56" s="32">
        <f t="shared" si="203"/>
        <v>0.23328657445698731</v>
      </c>
      <c r="FZ56" s="32">
        <f t="shared" si="204"/>
        <v>0.32621443473140094</v>
      </c>
      <c r="GA56" s="32">
        <f t="shared" si="205"/>
        <v>0.39481993815581684</v>
      </c>
      <c r="GB56" s="32">
        <f t="shared" si="206"/>
        <v>0.46791248899247734</v>
      </c>
      <c r="GC56" s="32">
        <f t="shared" si="207"/>
        <v>0.53649097156732528</v>
      </c>
      <c r="GD56" s="32">
        <f t="shared" si="208"/>
        <v>0.61203964585298876</v>
      </c>
      <c r="GE56" s="32">
        <f t="shared" si="209"/>
        <v>0.69161432201989259</v>
      </c>
      <c r="GF56" s="32">
        <f t="shared" si="210"/>
        <v>0.7598385969418171</v>
      </c>
      <c r="GG56" s="32">
        <f t="shared" si="211"/>
        <v>0.86082935460783438</v>
      </c>
      <c r="GH56" s="32">
        <f t="shared" si="212"/>
        <v>0.92092080460358661</v>
      </c>
      <c r="GI56" s="32">
        <f t="shared" si="213"/>
        <v>1</v>
      </c>
    </row>
    <row r="57" spans="1:191">
      <c r="A57" s="724" t="s">
        <v>101</v>
      </c>
      <c r="B57" s="399">
        <v>672073.24999999953</v>
      </c>
      <c r="C57" s="400">
        <v>673621.28000000026</v>
      </c>
      <c r="D57" s="400">
        <v>644304.94000000018</v>
      </c>
      <c r="E57" s="400">
        <v>467526.8</v>
      </c>
      <c r="F57" s="400">
        <v>531059.68999999994</v>
      </c>
      <c r="G57" s="400">
        <v>596868.90999999992</v>
      </c>
      <c r="H57" s="400">
        <v>531505.89999999991</v>
      </c>
      <c r="I57" s="400">
        <v>587681.53999999992</v>
      </c>
      <c r="J57" s="400">
        <v>443063.39</v>
      </c>
      <c r="K57" s="400">
        <v>398515.41999999993</v>
      </c>
      <c r="L57" s="400">
        <v>400732.31000000006</v>
      </c>
      <c r="M57" s="400">
        <v>541100.69999999995</v>
      </c>
      <c r="N57" s="400">
        <f t="shared" si="142"/>
        <v>6488054.1299999999</v>
      </c>
      <c r="P57" s="396" t="s">
        <v>101</v>
      </c>
      <c r="Q57" s="399">
        <v>730883.81</v>
      </c>
      <c r="R57" s="400">
        <v>568088.93000000005</v>
      </c>
      <c r="S57" s="400">
        <v>508266.64</v>
      </c>
      <c r="T57" s="400">
        <v>297472.65000000002</v>
      </c>
      <c r="U57" s="400">
        <v>256913.27</v>
      </c>
      <c r="V57" s="400">
        <v>338366.56000000006</v>
      </c>
      <c r="W57" s="400">
        <v>431947.83999999985</v>
      </c>
      <c r="X57" s="400">
        <v>403689.95999999996</v>
      </c>
      <c r="Y57" s="400">
        <v>423091.10999999987</v>
      </c>
      <c r="Z57" s="400">
        <v>738514.14999999991</v>
      </c>
      <c r="AA57" s="400">
        <v>332512.09999999998</v>
      </c>
      <c r="AB57" s="400">
        <v>393187.60999999987</v>
      </c>
      <c r="AC57" s="400">
        <f t="shared" si="143"/>
        <v>5422934.629999999</v>
      </c>
      <c r="AE57" s="127" t="s">
        <v>101</v>
      </c>
      <c r="AF57" s="27">
        <v>446970.4</v>
      </c>
      <c r="AG57" s="27">
        <v>401185.36</v>
      </c>
      <c r="AH57" s="27">
        <v>283028.46999999997</v>
      </c>
      <c r="AI57" s="27">
        <v>310400.21000000002</v>
      </c>
      <c r="AJ57" s="27">
        <v>323673.18</v>
      </c>
      <c r="AK57" s="27">
        <v>259242.63</v>
      </c>
      <c r="AL57" s="27">
        <v>779599.34</v>
      </c>
      <c r="AM57" s="27">
        <v>754815.12</v>
      </c>
      <c r="AN57" s="27">
        <v>584074.89</v>
      </c>
      <c r="AO57" s="27">
        <v>560383.85</v>
      </c>
      <c r="AP57" s="27">
        <v>388136.63</v>
      </c>
      <c r="AQ57" s="27">
        <v>547859.35</v>
      </c>
      <c r="AR57" s="43">
        <f t="shared" si="144"/>
        <v>5639369.4299999997</v>
      </c>
      <c r="AT57" s="60" t="s">
        <v>101</v>
      </c>
      <c r="AU57" s="27">
        <v>657489.8899999999</v>
      </c>
      <c r="AV57" s="27">
        <v>377588.27</v>
      </c>
      <c r="AW57" s="27">
        <v>177877.71</v>
      </c>
      <c r="AX57" s="27">
        <v>349661.0500000001</v>
      </c>
      <c r="AY57" s="27">
        <v>198602.43</v>
      </c>
      <c r="AZ57" s="27">
        <v>191806.25</v>
      </c>
      <c r="BA57" s="27">
        <v>213242.04000000007</v>
      </c>
      <c r="BB57" s="27">
        <v>188328.82</v>
      </c>
      <c r="BC57" s="27">
        <v>154745.30000000002</v>
      </c>
      <c r="BD57" s="27">
        <v>229216.39</v>
      </c>
      <c r="BE57" s="27">
        <v>170213.44</v>
      </c>
      <c r="BF57" s="27">
        <v>256316.98000000004</v>
      </c>
      <c r="BG57" s="43">
        <f t="shared" si="2"/>
        <v>3165088.57</v>
      </c>
      <c r="BI57" s="60" t="s">
        <v>101</v>
      </c>
      <c r="BJ57" s="27">
        <v>663119.95999999938</v>
      </c>
      <c r="BK57" s="27">
        <v>205948.24</v>
      </c>
      <c r="BL57" s="27">
        <v>378341.80999999988</v>
      </c>
      <c r="BM57" s="27">
        <v>140591.06000000003</v>
      </c>
      <c r="BN57" s="27">
        <v>355687.2699999999</v>
      </c>
      <c r="BO57" s="27">
        <v>259812.96999999991</v>
      </c>
      <c r="BP57" s="27">
        <v>228125.20999999996</v>
      </c>
      <c r="BQ57" s="27">
        <v>271407.68</v>
      </c>
      <c r="BR57" s="27">
        <v>148912.01</v>
      </c>
      <c r="BS57" s="27">
        <v>375878.88</v>
      </c>
      <c r="BT57" s="27">
        <v>262653.37000000005</v>
      </c>
      <c r="BU57" s="27">
        <v>136525</v>
      </c>
      <c r="BV57" s="43">
        <f t="shared" si="52"/>
        <v>3427003.46</v>
      </c>
      <c r="BW57" s="405"/>
      <c r="BX57" s="32">
        <f t="shared" si="214"/>
        <v>0.10358625814979129</v>
      </c>
      <c r="BY57" s="32">
        <f t="shared" si="215"/>
        <v>0.20741111326085682</v>
      </c>
      <c r="BZ57" s="32">
        <f t="shared" si="216"/>
        <v>0.30671745798150424</v>
      </c>
      <c r="CA57" s="32">
        <f t="shared" si="217"/>
        <v>0.37877709105981211</v>
      </c>
      <c r="CB57" s="32">
        <f t="shared" si="218"/>
        <v>0.46062901142904</v>
      </c>
      <c r="CC57" s="32">
        <f t="shared" si="219"/>
        <v>0.55262406850480461</v>
      </c>
      <c r="CD57" s="32">
        <f t="shared" si="220"/>
        <v>0.63454476296115614</v>
      </c>
      <c r="CE57" s="32">
        <f t="shared" si="221"/>
        <v>0.72512377605579559</v>
      </c>
      <c r="CF57" s="32">
        <f t="shared" si="222"/>
        <v>0.79341287801493721</v>
      </c>
      <c r="CG57" s="32">
        <f t="shared" si="223"/>
        <v>0.85483582733302488</v>
      </c>
      <c r="CH57" s="32">
        <f t="shared" si="224"/>
        <v>0.91660046461418776</v>
      </c>
      <c r="CI57" s="32">
        <f t="shared" si="225"/>
        <v>1</v>
      </c>
      <c r="CJ57" s="405"/>
      <c r="CK57" s="32">
        <f t="shared" si="226"/>
        <v>0.13477643745818124</v>
      </c>
      <c r="CL57" s="32">
        <f t="shared" si="227"/>
        <v>0.23953317320367559</v>
      </c>
      <c r="CM57" s="32">
        <f t="shared" si="228"/>
        <v>0.33325855893638179</v>
      </c>
      <c r="CN57" s="32">
        <f t="shared" si="229"/>
        <v>0.38811311100019669</v>
      </c>
      <c r="CO57" s="32">
        <f t="shared" si="230"/>
        <v>0.43548843221073469</v>
      </c>
      <c r="CP57" s="32">
        <f t="shared" si="231"/>
        <v>0.49788390312940223</v>
      </c>
      <c r="CQ57" s="32">
        <f t="shared" si="232"/>
        <v>0.57753594938687303</v>
      </c>
      <c r="CR57" s="32">
        <f t="shared" si="233"/>
        <v>0.6519771860130279</v>
      </c>
      <c r="CS57" s="32">
        <f t="shared" si="234"/>
        <v>0.7299960335313872</v>
      </c>
      <c r="CT57" s="32">
        <f t="shared" si="235"/>
        <v>0.86617952095800954</v>
      </c>
      <c r="CU57" s="32">
        <f t="shared" si="236"/>
        <v>0.9274954177347331</v>
      </c>
      <c r="CV57" s="32">
        <f t="shared" si="237"/>
        <v>1</v>
      </c>
      <c r="CX57" s="32">
        <f t="shared" si="238"/>
        <v>7.9258932323573644E-2</v>
      </c>
      <c r="CY57" s="32">
        <f t="shared" si="239"/>
        <v>0.150399042043252</v>
      </c>
      <c r="CZ57" s="32">
        <f t="shared" si="240"/>
        <v>0.20058700605468227</v>
      </c>
      <c r="DA57" s="32">
        <f t="shared" si="241"/>
        <v>0.25562865811399771</v>
      </c>
      <c r="DB57" s="32">
        <f t="shared" si="242"/>
        <v>0.3130239367914579</v>
      </c>
      <c r="DC57" s="32">
        <f t="shared" si="243"/>
        <v>0.35899408171952307</v>
      </c>
      <c r="DD57" s="32">
        <f t="shared" si="244"/>
        <v>0.49723637098199469</v>
      </c>
      <c r="DE57" s="32">
        <f t="shared" si="245"/>
        <v>0.63108380363724459</v>
      </c>
      <c r="DF57" s="32">
        <f t="shared" si="246"/>
        <v>0.73465476086038228</v>
      </c>
      <c r="DG57" s="32">
        <f t="shared" si="247"/>
        <v>0.83402470939024831</v>
      </c>
      <c r="DH57" s="32">
        <f t="shared" si="248"/>
        <v>0.90285095580269514</v>
      </c>
      <c r="DI57" s="32">
        <f t="shared" si="249"/>
        <v>1</v>
      </c>
      <c r="DK57" s="32">
        <f t="shared" si="145"/>
        <v>0.20773190874718553</v>
      </c>
      <c r="DL57" s="32">
        <f t="shared" si="146"/>
        <v>0.32702976144519075</v>
      </c>
      <c r="DM57" s="32">
        <f t="shared" si="147"/>
        <v>0.38322967688705151</v>
      </c>
      <c r="DN57" s="32">
        <f t="shared" si="148"/>
        <v>0.49370401031147132</v>
      </c>
      <c r="DO57" s="32">
        <f t="shared" si="149"/>
        <v>0.55645183730198111</v>
      </c>
      <c r="DP57" s="32">
        <f t="shared" si="150"/>
        <v>0.61705243212198635</v>
      </c>
      <c r="DQ57" s="32">
        <f t="shared" si="151"/>
        <v>0.68442559887036603</v>
      </c>
      <c r="DR57" s="32">
        <f t="shared" si="152"/>
        <v>0.74392751037611571</v>
      </c>
      <c r="DS57" s="32">
        <f t="shared" si="153"/>
        <v>0.79281881201826843</v>
      </c>
      <c r="DT57" s="32">
        <f t="shared" si="154"/>
        <v>0.86523902552275178</v>
      </c>
      <c r="DU57" s="32">
        <f t="shared" si="155"/>
        <v>0.91901743842827122</v>
      </c>
      <c r="DV57" s="32">
        <f t="shared" si="156"/>
        <v>1</v>
      </c>
      <c r="DW57" s="39"/>
      <c r="DX57" s="32">
        <f t="shared" si="157"/>
        <v>0.1934984798643884</v>
      </c>
      <c r="DY57" s="32">
        <f t="shared" si="158"/>
        <v>0.25359419975607478</v>
      </c>
      <c r="DZ57" s="32">
        <f t="shared" si="159"/>
        <v>0.36399438301121506</v>
      </c>
      <c r="EA57" s="32">
        <f t="shared" si="160"/>
        <v>0.40501887033402628</v>
      </c>
      <c r="EB57" s="32">
        <f t="shared" si="161"/>
        <v>0.50880845623657456</v>
      </c>
      <c r="EC57" s="32">
        <f t="shared" si="162"/>
        <v>0.58462191047802425</v>
      </c>
      <c r="ED57" s="32">
        <f t="shared" si="163"/>
        <v>0.65118887274190251</v>
      </c>
      <c r="EE57" s="32">
        <f t="shared" si="164"/>
        <v>0.73038566468211263</v>
      </c>
      <c r="EF57" s="32">
        <f t="shared" si="165"/>
        <v>0.77383820616276822</v>
      </c>
      <c r="EG57" s="32">
        <f t="shared" si="166"/>
        <v>0.88351970616335473</v>
      </c>
      <c r="EH57" s="32">
        <f t="shared" si="167"/>
        <v>0.96016198944835618</v>
      </c>
      <c r="EI57" s="32">
        <f t="shared" si="168"/>
        <v>1</v>
      </c>
      <c r="EK57" s="32">
        <f t="shared" si="250"/>
        <v>0.16016310697838251</v>
      </c>
      <c r="EL57" s="32">
        <f t="shared" si="169"/>
        <v>0.24367433441483918</v>
      </c>
      <c r="EM57" s="32">
        <f t="shared" si="170"/>
        <v>0.31593702198431628</v>
      </c>
      <c r="EN57" s="32">
        <f t="shared" si="171"/>
        <v>0.38478384625316514</v>
      </c>
      <c r="EO57" s="32">
        <f t="shared" si="172"/>
        <v>0.45942807677667119</v>
      </c>
      <c r="EP57" s="32">
        <f t="shared" si="173"/>
        <v>0.52022280810651123</v>
      </c>
      <c r="EQ57" s="32">
        <f t="shared" si="174"/>
        <v>0.61095028086475445</v>
      </c>
      <c r="ER57" s="32">
        <f t="shared" si="175"/>
        <v>0.70179899289849101</v>
      </c>
      <c r="ES57" s="32">
        <f t="shared" si="176"/>
        <v>0.76710392634713964</v>
      </c>
      <c r="ET57" s="32">
        <f t="shared" si="177"/>
        <v>0.86092781369211824</v>
      </c>
      <c r="EU57" s="32">
        <f t="shared" si="178"/>
        <v>0.92734346122644096</v>
      </c>
      <c r="EV57" s="32">
        <f t="shared" si="179"/>
        <v>1</v>
      </c>
      <c r="EX57" s="32">
        <f t="shared" si="180"/>
        <v>0.15381643959833219</v>
      </c>
      <c r="EY57" s="32">
        <f t="shared" si="181"/>
        <v>0.24263904411204829</v>
      </c>
      <c r="EZ57" s="32">
        <f t="shared" si="182"/>
        <v>0.32026740622233263</v>
      </c>
      <c r="FA57" s="32">
        <f t="shared" si="183"/>
        <v>0.38561616243992303</v>
      </c>
      <c r="FB57" s="32">
        <f t="shared" si="184"/>
        <v>0.45344316563518705</v>
      </c>
      <c r="FC57" s="32">
        <f t="shared" si="185"/>
        <v>0.51463808186223403</v>
      </c>
      <c r="FD57" s="32">
        <f t="shared" si="186"/>
        <v>0.60259669799528404</v>
      </c>
      <c r="FE57" s="32">
        <f t="shared" si="187"/>
        <v>0.68934354117712515</v>
      </c>
      <c r="FF57" s="32">
        <f t="shared" si="188"/>
        <v>0.75782695314320159</v>
      </c>
      <c r="FG57" s="32">
        <f t="shared" si="189"/>
        <v>0.86224074050859101</v>
      </c>
      <c r="FH57" s="32">
        <f t="shared" si="190"/>
        <v>0.92738145035351394</v>
      </c>
      <c r="FI57" s="32">
        <f t="shared" si="191"/>
        <v>1</v>
      </c>
      <c r="FK57" s="32">
        <f t="shared" si="251"/>
        <v>0.14058909284298013</v>
      </c>
      <c r="FL57" s="32">
        <f t="shared" si="192"/>
        <v>0.23898732556403945</v>
      </c>
      <c r="FM57" s="32">
        <f t="shared" si="193"/>
        <v>0.30569174729270515</v>
      </c>
      <c r="FN57" s="32">
        <f t="shared" si="194"/>
        <v>0.37914859314188859</v>
      </c>
      <c r="FO57" s="32">
        <f t="shared" si="195"/>
        <v>0.4349880687680579</v>
      </c>
      <c r="FP57" s="32">
        <f t="shared" si="196"/>
        <v>0.4913101389903039</v>
      </c>
      <c r="FQ57" s="32">
        <f t="shared" si="197"/>
        <v>0.58639930641307791</v>
      </c>
      <c r="FR57" s="32">
        <f t="shared" si="198"/>
        <v>0.67566283334212951</v>
      </c>
      <c r="FS57" s="32">
        <f t="shared" si="199"/>
        <v>0.75248986880334601</v>
      </c>
      <c r="FT57" s="32">
        <f t="shared" si="200"/>
        <v>0.8551477519570031</v>
      </c>
      <c r="FU57" s="32">
        <f t="shared" si="201"/>
        <v>0.91645460398856649</v>
      </c>
      <c r="FV57" s="32">
        <f t="shared" si="202"/>
        <v>1</v>
      </c>
      <c r="FX57" s="32">
        <f t="shared" si="252"/>
        <v>0.10587387597718206</v>
      </c>
      <c r="FY57" s="32">
        <f t="shared" si="203"/>
        <v>0.19911444283592813</v>
      </c>
      <c r="FZ57" s="32">
        <f t="shared" si="204"/>
        <v>0.2801876743241894</v>
      </c>
      <c r="GA57" s="32">
        <f t="shared" si="205"/>
        <v>0.34083962005800217</v>
      </c>
      <c r="GB57" s="32">
        <f t="shared" si="206"/>
        <v>0.40304712681041083</v>
      </c>
      <c r="GC57" s="32">
        <f t="shared" si="207"/>
        <v>0.46983401778457662</v>
      </c>
      <c r="GD57" s="32">
        <f t="shared" si="208"/>
        <v>0.56977236111000795</v>
      </c>
      <c r="GE57" s="32">
        <f t="shared" si="209"/>
        <v>0.66939492190202277</v>
      </c>
      <c r="GF57" s="32">
        <f t="shared" si="210"/>
        <v>0.75268789080223553</v>
      </c>
      <c r="GG57" s="32">
        <f t="shared" si="211"/>
        <v>0.85168001922709424</v>
      </c>
      <c r="GH57" s="32">
        <f t="shared" si="212"/>
        <v>0.9156489460505387</v>
      </c>
      <c r="GI57" s="32">
        <f t="shared" si="213"/>
        <v>1</v>
      </c>
    </row>
    <row r="58" spans="1:191">
      <c r="A58" s="724" t="s">
        <v>102</v>
      </c>
      <c r="B58" s="399">
        <v>23868.720000000001</v>
      </c>
      <c r="C58" s="400">
        <v>25807.029999999995</v>
      </c>
      <c r="D58" s="400">
        <v>21326.2</v>
      </c>
      <c r="E58" s="400">
        <v>19710.93</v>
      </c>
      <c r="F58" s="400">
        <v>16499.879999999997</v>
      </c>
      <c r="G58" s="400">
        <v>19084.89</v>
      </c>
      <c r="H58" s="400">
        <v>19034.36</v>
      </c>
      <c r="I58" s="400">
        <v>18499.62</v>
      </c>
      <c r="J58" s="400">
        <v>13621.82</v>
      </c>
      <c r="K58" s="400">
        <v>10217.370000000001</v>
      </c>
      <c r="L58" s="400">
        <v>19182.14</v>
      </c>
      <c r="M58" s="400">
        <v>13408.37</v>
      </c>
      <c r="N58" s="400">
        <f t="shared" si="142"/>
        <v>220261.33000000002</v>
      </c>
      <c r="P58" s="396" t="s">
        <v>102</v>
      </c>
      <c r="Q58" s="399">
        <v>13424.33</v>
      </c>
      <c r="R58" s="400">
        <v>12859.37</v>
      </c>
      <c r="S58" s="400">
        <v>9146.7000000000007</v>
      </c>
      <c r="T58" s="400">
        <v>5762.02</v>
      </c>
      <c r="U58" s="400">
        <v>6031.06</v>
      </c>
      <c r="V58" s="400">
        <v>12554.27</v>
      </c>
      <c r="W58" s="400">
        <v>16496.829999999987</v>
      </c>
      <c r="X58" s="400">
        <v>18667.82</v>
      </c>
      <c r="Y58" s="400">
        <v>14380.93</v>
      </c>
      <c r="Z58" s="400">
        <v>23159.600000000002</v>
      </c>
      <c r="AA58" s="400">
        <v>14759.08</v>
      </c>
      <c r="AB58" s="400">
        <v>14639.72</v>
      </c>
      <c r="AC58" s="400">
        <f t="shared" si="143"/>
        <v>161881.72999999998</v>
      </c>
      <c r="AE58" s="127" t="s">
        <v>102</v>
      </c>
      <c r="AF58" s="27">
        <v>9041.32</v>
      </c>
      <c r="AG58" s="27">
        <v>16829.830000000002</v>
      </c>
      <c r="AH58" s="27">
        <v>14032.36</v>
      </c>
      <c r="AI58" s="27">
        <v>12503.9</v>
      </c>
      <c r="AJ58" s="27">
        <v>13172.47</v>
      </c>
      <c r="AK58" s="27">
        <v>10692.56</v>
      </c>
      <c r="AL58" s="27">
        <v>8769.8799999999992</v>
      </c>
      <c r="AM58" s="27">
        <v>7410.92</v>
      </c>
      <c r="AN58" s="27">
        <v>6540.65</v>
      </c>
      <c r="AO58" s="27">
        <v>6146.82</v>
      </c>
      <c r="AP58" s="27">
        <v>4877.3</v>
      </c>
      <c r="AQ58" s="27">
        <v>5371.79</v>
      </c>
      <c r="AR58" s="43">
        <f t="shared" si="144"/>
        <v>115389.79999999999</v>
      </c>
      <c r="AT58" s="60" t="s">
        <v>102</v>
      </c>
      <c r="AU58" s="27">
        <v>10302.539999999999</v>
      </c>
      <c r="AV58" s="27">
        <v>5259.1599999999962</v>
      </c>
      <c r="AW58" s="27">
        <v>6273.5500000000065</v>
      </c>
      <c r="AX58" s="27">
        <v>3134.2100000000019</v>
      </c>
      <c r="AY58" s="27">
        <v>3704.6099999999997</v>
      </c>
      <c r="AZ58" s="27">
        <v>4668.38</v>
      </c>
      <c r="BA58" s="27">
        <v>4530.2299999999996</v>
      </c>
      <c r="BB58" s="27">
        <v>1993.9499999999998</v>
      </c>
      <c r="BC58" s="27">
        <v>2443.5500000000002</v>
      </c>
      <c r="BD58" s="27">
        <v>2945.0099999999998</v>
      </c>
      <c r="BE58" s="27">
        <v>1494.24</v>
      </c>
      <c r="BF58" s="27">
        <v>3235.09</v>
      </c>
      <c r="BG58" s="43">
        <f t="shared" si="2"/>
        <v>49984.520000000004</v>
      </c>
      <c r="BI58" s="60" t="s">
        <v>102</v>
      </c>
      <c r="BJ58" s="27">
        <v>7139.9999999999982</v>
      </c>
      <c r="BK58" s="27">
        <v>4865.1500000000069</v>
      </c>
      <c r="BL58" s="27">
        <v>3692.71</v>
      </c>
      <c r="BM58" s="27">
        <v>2414.9900000000007</v>
      </c>
      <c r="BN58" s="27">
        <v>4631.8400000000029</v>
      </c>
      <c r="BO58" s="27">
        <v>2160.4500000000016</v>
      </c>
      <c r="BP58" s="27">
        <v>3410.5900000000011</v>
      </c>
      <c r="BQ58" s="27">
        <v>2609.67</v>
      </c>
      <c r="BR58" s="27">
        <v>2978.9700000000003</v>
      </c>
      <c r="BS58" s="27">
        <v>1989.9600000000005</v>
      </c>
      <c r="BT58" s="27">
        <v>1713.6900000000005</v>
      </c>
      <c r="BU58" s="27">
        <v>2349.19</v>
      </c>
      <c r="BV58" s="43">
        <f t="shared" si="52"/>
        <v>39957.210000000014</v>
      </c>
      <c r="BW58" s="405"/>
      <c r="BX58" s="32">
        <f t="shared" si="214"/>
        <v>0.10836545843067415</v>
      </c>
      <c r="BY58" s="32">
        <f t="shared" si="215"/>
        <v>0.2255309636058222</v>
      </c>
      <c r="BZ58" s="32">
        <f t="shared" si="216"/>
        <v>0.32235322468996258</v>
      </c>
      <c r="CA58" s="32">
        <f t="shared" si="217"/>
        <v>0.41184206051965633</v>
      </c>
      <c r="CB58" s="32">
        <f t="shared" si="218"/>
        <v>0.4867525316404836</v>
      </c>
      <c r="CC58" s="32">
        <f t="shared" si="219"/>
        <v>0.57339910732401367</v>
      </c>
      <c r="CD58" s="32">
        <f t="shared" si="220"/>
        <v>0.65981627369634066</v>
      </c>
      <c r="CE58" s="32">
        <f t="shared" si="221"/>
        <v>0.74380568754397325</v>
      </c>
      <c r="CF58" s="32">
        <f t="shared" si="222"/>
        <v>0.80564958905859685</v>
      </c>
      <c r="CG58" s="32">
        <f t="shared" si="223"/>
        <v>0.85203707795644379</v>
      </c>
      <c r="CH58" s="32">
        <f t="shared" si="224"/>
        <v>0.93912517462779332</v>
      </c>
      <c r="CI58" s="32">
        <f t="shared" si="225"/>
        <v>1</v>
      </c>
      <c r="CJ58" s="405"/>
      <c r="CK58" s="32">
        <f t="shared" si="226"/>
        <v>8.29267762334885E-2</v>
      </c>
      <c r="CL58" s="32">
        <f t="shared" si="227"/>
        <v>0.1623635971767784</v>
      </c>
      <c r="CM58" s="32">
        <f t="shared" si="228"/>
        <v>0.21886595849945517</v>
      </c>
      <c r="CN58" s="32">
        <f t="shared" si="229"/>
        <v>0.25445996901565116</v>
      </c>
      <c r="CO58" s="32">
        <f t="shared" si="230"/>
        <v>0.29171593360164855</v>
      </c>
      <c r="CP58" s="32">
        <f t="shared" si="231"/>
        <v>0.36926804525748524</v>
      </c>
      <c r="CQ58" s="32">
        <f t="shared" si="232"/>
        <v>0.47117472737658533</v>
      </c>
      <c r="CR58" s="32">
        <f t="shared" si="233"/>
        <v>0.58649237316650871</v>
      </c>
      <c r="CS58" s="32">
        <f t="shared" si="234"/>
        <v>0.67532840179061593</v>
      </c>
      <c r="CT58" s="32">
        <f t="shared" si="235"/>
        <v>0.81839334185519275</v>
      </c>
      <c r="CU58" s="32">
        <f t="shared" si="236"/>
        <v>0.90956533513695459</v>
      </c>
      <c r="CV58" s="32">
        <f t="shared" si="237"/>
        <v>1</v>
      </c>
      <c r="CX58" s="32">
        <f t="shared" si="238"/>
        <v>7.8354585933938709E-2</v>
      </c>
      <c r="CY58" s="32">
        <f t="shared" si="239"/>
        <v>0.22420655898528297</v>
      </c>
      <c r="CZ58" s="32">
        <f t="shared" si="240"/>
        <v>0.34581488138466315</v>
      </c>
      <c r="DA58" s="32">
        <f t="shared" si="241"/>
        <v>0.45417714564025596</v>
      </c>
      <c r="DB58" s="32">
        <f t="shared" si="242"/>
        <v>0.5683334228848651</v>
      </c>
      <c r="DC58" s="32">
        <f t="shared" si="243"/>
        <v>0.66099811248481244</v>
      </c>
      <c r="DD58" s="32">
        <f t="shared" si="244"/>
        <v>0.7370003241187697</v>
      </c>
      <c r="DE58" s="32">
        <f t="shared" si="245"/>
        <v>0.80122541160483873</v>
      </c>
      <c r="DF58" s="32">
        <f t="shared" si="246"/>
        <v>0.8579084979781576</v>
      </c>
      <c r="DG58" s="32">
        <f t="shared" si="247"/>
        <v>0.91117854437740597</v>
      </c>
      <c r="DH58" s="32">
        <f t="shared" si="248"/>
        <v>0.95344657846707426</v>
      </c>
      <c r="DI58" s="32">
        <f t="shared" si="249"/>
        <v>1</v>
      </c>
      <c r="DK58" s="32">
        <f t="shared" si="145"/>
        <v>0.20611461308421083</v>
      </c>
      <c r="DL58" s="32">
        <f t="shared" si="146"/>
        <v>0.31133038788809003</v>
      </c>
      <c r="DM58" s="32">
        <f t="shared" si="147"/>
        <v>0.43684024574008107</v>
      </c>
      <c r="DN58" s="32">
        <f t="shared" si="148"/>
        <v>0.49954385877867791</v>
      </c>
      <c r="DO58" s="32">
        <f t="shared" si="149"/>
        <v>0.57365900482789478</v>
      </c>
      <c r="DP58" s="32">
        <f t="shared" si="150"/>
        <v>0.66705552038911253</v>
      </c>
      <c r="DQ58" s="32">
        <f t="shared" si="151"/>
        <v>0.7576881802606088</v>
      </c>
      <c r="DR58" s="32">
        <f t="shared" si="152"/>
        <v>0.79757953062268083</v>
      </c>
      <c r="DS58" s="32">
        <f t="shared" si="153"/>
        <v>0.8464656657701225</v>
      </c>
      <c r="DT58" s="32">
        <f t="shared" si="154"/>
        <v>0.90538410691950244</v>
      </c>
      <c r="DU58" s="32">
        <f t="shared" si="155"/>
        <v>0.93527816211899206</v>
      </c>
      <c r="DV58" s="32">
        <f t="shared" si="156"/>
        <v>1</v>
      </c>
      <c r="DW58" s="39"/>
      <c r="DX58" s="32">
        <f t="shared" si="157"/>
        <v>0.17869115486291451</v>
      </c>
      <c r="DY58" s="32">
        <f t="shared" si="158"/>
        <v>0.3004501565549747</v>
      </c>
      <c r="DZ58" s="32">
        <f t="shared" si="159"/>
        <v>0.39286676922637986</v>
      </c>
      <c r="EA58" s="32">
        <f t="shared" si="160"/>
        <v>0.45330617427993597</v>
      </c>
      <c r="EB58" s="32">
        <f t="shared" si="161"/>
        <v>0.5692261797057403</v>
      </c>
      <c r="EC58" s="32">
        <f t="shared" si="162"/>
        <v>0.6232952701152058</v>
      </c>
      <c r="ED58" s="32">
        <f t="shared" si="163"/>
        <v>0.70865132976001077</v>
      </c>
      <c r="EE58" s="32">
        <f t="shared" si="164"/>
        <v>0.77396294686240596</v>
      </c>
      <c r="EF58" s="32">
        <f t="shared" si="165"/>
        <v>0.84851695100834112</v>
      </c>
      <c r="EG58" s="32">
        <f t="shared" si="166"/>
        <v>0.89831922699307576</v>
      </c>
      <c r="EH58" s="32">
        <f t="shared" si="167"/>
        <v>0.94120735656969035</v>
      </c>
      <c r="EI58" s="32">
        <f t="shared" si="168"/>
        <v>1</v>
      </c>
      <c r="EK58" s="32">
        <f t="shared" si="250"/>
        <v>0.15438678462702135</v>
      </c>
      <c r="EL58" s="32">
        <f t="shared" si="169"/>
        <v>0.27866236780944925</v>
      </c>
      <c r="EM58" s="32">
        <f t="shared" si="170"/>
        <v>0.39184063211704134</v>
      </c>
      <c r="EN58" s="32">
        <f t="shared" si="171"/>
        <v>0.46900905956628997</v>
      </c>
      <c r="EO58" s="32">
        <f t="shared" si="172"/>
        <v>0.57040620247283347</v>
      </c>
      <c r="EP58" s="32">
        <f t="shared" si="173"/>
        <v>0.65044963432971026</v>
      </c>
      <c r="EQ58" s="32">
        <f t="shared" si="174"/>
        <v>0.73444661137979639</v>
      </c>
      <c r="ER58" s="32">
        <f t="shared" si="175"/>
        <v>0.79092262969664173</v>
      </c>
      <c r="ES58" s="32">
        <f t="shared" si="176"/>
        <v>0.85096370491887374</v>
      </c>
      <c r="ET58" s="32">
        <f t="shared" si="177"/>
        <v>0.90496062609666128</v>
      </c>
      <c r="EU58" s="32">
        <f t="shared" si="178"/>
        <v>0.94331069905191889</v>
      </c>
      <c r="EV58" s="32">
        <f t="shared" si="179"/>
        <v>1</v>
      </c>
      <c r="EX58" s="32">
        <f t="shared" si="180"/>
        <v>0.13652178252863814</v>
      </c>
      <c r="EY58" s="32">
        <f t="shared" si="181"/>
        <v>0.24958767515128152</v>
      </c>
      <c r="EZ58" s="32">
        <f t="shared" si="182"/>
        <v>0.34859696371264481</v>
      </c>
      <c r="FA58" s="32">
        <f t="shared" si="183"/>
        <v>0.41537178692863019</v>
      </c>
      <c r="FB58" s="32">
        <f t="shared" si="184"/>
        <v>0.50073363525503722</v>
      </c>
      <c r="FC58" s="32">
        <f t="shared" si="185"/>
        <v>0.58015423706165403</v>
      </c>
      <c r="FD58" s="32">
        <f t="shared" si="186"/>
        <v>0.66862864037899361</v>
      </c>
      <c r="FE58" s="32">
        <f t="shared" si="187"/>
        <v>0.73981506556410859</v>
      </c>
      <c r="FF58" s="32">
        <f t="shared" si="188"/>
        <v>0.80705487913680929</v>
      </c>
      <c r="FG58" s="32">
        <f t="shared" si="189"/>
        <v>0.88331880503629412</v>
      </c>
      <c r="FH58" s="32">
        <f t="shared" si="190"/>
        <v>0.93487435807317776</v>
      </c>
      <c r="FI58" s="32">
        <f t="shared" si="191"/>
        <v>1</v>
      </c>
      <c r="FK58" s="32">
        <f t="shared" si="251"/>
        <v>0.12246532508387935</v>
      </c>
      <c r="FL58" s="32">
        <f t="shared" si="192"/>
        <v>0.23263351468338381</v>
      </c>
      <c r="FM58" s="32">
        <f t="shared" si="193"/>
        <v>0.33384036187473315</v>
      </c>
      <c r="FN58" s="32">
        <f t="shared" si="194"/>
        <v>0.40272699114486166</v>
      </c>
      <c r="FO58" s="32">
        <f t="shared" si="195"/>
        <v>0.47790278710480288</v>
      </c>
      <c r="FP58" s="32">
        <f t="shared" si="196"/>
        <v>0.56577389271047007</v>
      </c>
      <c r="FQ58" s="32">
        <f t="shared" si="197"/>
        <v>0.65528774391865463</v>
      </c>
      <c r="FR58" s="32">
        <f t="shared" si="198"/>
        <v>0.72843243846467598</v>
      </c>
      <c r="FS58" s="32">
        <f t="shared" si="199"/>
        <v>0.79323418851296534</v>
      </c>
      <c r="FT58" s="32">
        <f t="shared" si="200"/>
        <v>0.87831866438403372</v>
      </c>
      <c r="FU58" s="32">
        <f t="shared" si="201"/>
        <v>0.93276335857434034</v>
      </c>
      <c r="FV58" s="32">
        <f t="shared" si="202"/>
        <v>1</v>
      </c>
      <c r="FX58" s="32">
        <f t="shared" si="252"/>
        <v>8.9882273532700452E-2</v>
      </c>
      <c r="FY58" s="32">
        <f t="shared" si="203"/>
        <v>0.20403370658929454</v>
      </c>
      <c r="FZ58" s="32">
        <f t="shared" si="204"/>
        <v>0.29567802152469363</v>
      </c>
      <c r="GA58" s="32">
        <f t="shared" si="205"/>
        <v>0.37349305839185448</v>
      </c>
      <c r="GB58" s="32">
        <f t="shared" si="206"/>
        <v>0.44893396270899916</v>
      </c>
      <c r="GC58" s="32">
        <f t="shared" si="207"/>
        <v>0.53455508835543708</v>
      </c>
      <c r="GD58" s="32">
        <f t="shared" si="208"/>
        <v>0.62266377506389858</v>
      </c>
      <c r="GE58" s="32">
        <f t="shared" si="209"/>
        <v>0.71050782410510693</v>
      </c>
      <c r="GF58" s="32">
        <f t="shared" si="210"/>
        <v>0.77962882960912339</v>
      </c>
      <c r="GG58" s="32">
        <f t="shared" si="211"/>
        <v>0.8605363213963475</v>
      </c>
      <c r="GH58" s="32">
        <f t="shared" si="212"/>
        <v>0.93404569607727395</v>
      </c>
      <c r="GI58" s="32">
        <f t="shared" si="213"/>
        <v>1</v>
      </c>
    </row>
    <row r="59" spans="1:191">
      <c r="A59" s="724" t="s">
        <v>103</v>
      </c>
      <c r="B59" s="399">
        <v>8392.1999999999971</v>
      </c>
      <c r="C59" s="400">
        <v>11679.510000000002</v>
      </c>
      <c r="D59" s="400">
        <v>12314.789999999999</v>
      </c>
      <c r="E59" s="400">
        <v>5989.2999999999993</v>
      </c>
      <c r="F59" s="400">
        <v>7108.5600000000013</v>
      </c>
      <c r="G59" s="400">
        <v>7701.5299999999988</v>
      </c>
      <c r="H59" s="400">
        <v>7245.87</v>
      </c>
      <c r="I59" s="400">
        <v>3007.69</v>
      </c>
      <c r="J59" s="400">
        <v>5520.4</v>
      </c>
      <c r="K59" s="400">
        <v>3933.63</v>
      </c>
      <c r="L59" s="400">
        <v>3539.68</v>
      </c>
      <c r="M59" s="400">
        <v>5508.2099999999991</v>
      </c>
      <c r="N59" s="400">
        <f t="shared" si="142"/>
        <v>81941.37</v>
      </c>
      <c r="P59" s="396" t="s">
        <v>103</v>
      </c>
      <c r="Q59" s="399">
        <v>6650.03</v>
      </c>
      <c r="R59" s="400">
        <v>9749.2999999999993</v>
      </c>
      <c r="S59" s="400">
        <v>10464.39</v>
      </c>
      <c r="T59" s="400">
        <v>6468.55</v>
      </c>
      <c r="U59" s="400">
        <v>12491.73</v>
      </c>
      <c r="V59" s="400">
        <v>7977.32</v>
      </c>
      <c r="W59" s="400">
        <v>5876.0699999999961</v>
      </c>
      <c r="X59" s="400">
        <v>7044.1200000000026</v>
      </c>
      <c r="Y59" s="400">
        <v>4241.6100000000006</v>
      </c>
      <c r="Z59" s="400">
        <v>12526.27</v>
      </c>
      <c r="AA59" s="400">
        <v>3041.99</v>
      </c>
      <c r="AB59" s="400">
        <v>2882.4799999999996</v>
      </c>
      <c r="AC59" s="400">
        <f t="shared" si="143"/>
        <v>89413.860000000015</v>
      </c>
      <c r="AE59" s="127" t="s">
        <v>103</v>
      </c>
      <c r="AF59" s="27">
        <v>8761.1299999999992</v>
      </c>
      <c r="AG59" s="27">
        <v>6819.12</v>
      </c>
      <c r="AH59" s="27">
        <v>3679.21</v>
      </c>
      <c r="AI59" s="27">
        <v>6139.87</v>
      </c>
      <c r="AJ59" s="27">
        <v>9741.16</v>
      </c>
      <c r="AK59" s="27">
        <v>11093.12</v>
      </c>
      <c r="AL59" s="27">
        <v>12411.69</v>
      </c>
      <c r="AM59" s="27">
        <v>32043.65</v>
      </c>
      <c r="AN59" s="27">
        <v>6097.83</v>
      </c>
      <c r="AO59" s="27">
        <v>8461.86</v>
      </c>
      <c r="AP59" s="27">
        <v>5386.65</v>
      </c>
      <c r="AQ59" s="27">
        <v>4266.22</v>
      </c>
      <c r="AR59" s="43">
        <f t="shared" si="144"/>
        <v>114901.51000000001</v>
      </c>
      <c r="AT59" s="60" t="s">
        <v>103</v>
      </c>
      <c r="AU59" s="27">
        <v>3514.86</v>
      </c>
      <c r="AV59" s="27">
        <v>2809.6199999999985</v>
      </c>
      <c r="AW59" s="27">
        <v>2474.4600000000023</v>
      </c>
      <c r="AX59" s="27">
        <v>3661.6000000000008</v>
      </c>
      <c r="AY59" s="27">
        <v>2256.91</v>
      </c>
      <c r="AZ59" s="27">
        <v>4043.67</v>
      </c>
      <c r="BA59" s="27">
        <v>3442.8999999999996</v>
      </c>
      <c r="BB59" s="27">
        <v>3029.62</v>
      </c>
      <c r="BC59" s="27">
        <v>2505.21</v>
      </c>
      <c r="BD59" s="27">
        <v>3365.16</v>
      </c>
      <c r="BE59" s="27">
        <v>3609.36</v>
      </c>
      <c r="BF59" s="27">
        <v>3466.34</v>
      </c>
      <c r="BG59" s="43">
        <f t="shared" si="2"/>
        <v>38179.710000000006</v>
      </c>
      <c r="BI59" s="60" t="s">
        <v>103</v>
      </c>
      <c r="BJ59" s="27">
        <v>4408.8099999999986</v>
      </c>
      <c r="BK59" s="27">
        <v>3108.8999999999987</v>
      </c>
      <c r="BL59" s="27">
        <v>2397.4600000000005</v>
      </c>
      <c r="BM59" s="27">
        <v>1141.690000000001</v>
      </c>
      <c r="BN59" s="27">
        <v>1565.87</v>
      </c>
      <c r="BO59" s="27">
        <v>2051.8399999999983</v>
      </c>
      <c r="BP59" s="27">
        <v>1946.5599999999997</v>
      </c>
      <c r="BQ59" s="27">
        <v>3441.42</v>
      </c>
      <c r="BR59" s="27">
        <v>939.18000000000052</v>
      </c>
      <c r="BS59" s="27">
        <v>2342.19</v>
      </c>
      <c r="BT59" s="27">
        <v>2376.3599999999997</v>
      </c>
      <c r="BU59" s="27">
        <v>1371.3999999999999</v>
      </c>
      <c r="BV59" s="43">
        <f t="shared" si="52"/>
        <v>27091.679999999997</v>
      </c>
      <c r="BW59" s="405"/>
      <c r="BX59" s="32">
        <f t="shared" si="214"/>
        <v>0.1024171306874659</v>
      </c>
      <c r="BY59" s="32">
        <f t="shared" si="215"/>
        <v>0.24495209196526738</v>
      </c>
      <c r="BZ59" s="32">
        <f t="shared" si="216"/>
        <v>0.39523991361140293</v>
      </c>
      <c r="CA59" s="32">
        <f t="shared" si="217"/>
        <v>0.46833241865494812</v>
      </c>
      <c r="CB59" s="32">
        <f t="shared" si="218"/>
        <v>0.55508420227779942</v>
      </c>
      <c r="CC59" s="32">
        <f t="shared" si="219"/>
        <v>0.64907250147269935</v>
      </c>
      <c r="CD59" s="32">
        <f t="shared" si="220"/>
        <v>0.73749999542355715</v>
      </c>
      <c r="CE59" s="32">
        <f t="shared" si="221"/>
        <v>0.77420538611936818</v>
      </c>
      <c r="CF59" s="32">
        <f t="shared" si="222"/>
        <v>0.84157550697529238</v>
      </c>
      <c r="CG59" s="32">
        <f t="shared" si="223"/>
        <v>0.88958092841259562</v>
      </c>
      <c r="CH59" s="32">
        <f t="shared" si="224"/>
        <v>0.93277864404756727</v>
      </c>
      <c r="CI59" s="32">
        <f t="shared" si="225"/>
        <v>1</v>
      </c>
      <c r="CJ59" s="405"/>
      <c r="CK59" s="32">
        <f t="shared" si="226"/>
        <v>7.4373592639888256E-2</v>
      </c>
      <c r="CL59" s="32">
        <f t="shared" si="227"/>
        <v>0.18340926115928777</v>
      </c>
      <c r="CM59" s="32">
        <f t="shared" si="228"/>
        <v>0.30044245936815606</v>
      </c>
      <c r="CN59" s="32">
        <f t="shared" si="229"/>
        <v>0.37278638904527767</v>
      </c>
      <c r="CO59" s="32">
        <f t="shared" si="230"/>
        <v>0.51249325328310391</v>
      </c>
      <c r="CP59" s="32">
        <f t="shared" si="231"/>
        <v>0.60171118884700858</v>
      </c>
      <c r="CQ59" s="32">
        <f t="shared" si="232"/>
        <v>0.66742885275280572</v>
      </c>
      <c r="CR59" s="32">
        <f t="shared" si="233"/>
        <v>0.7462099276331432</v>
      </c>
      <c r="CS59" s="32">
        <f t="shared" si="234"/>
        <v>0.79364787517281998</v>
      </c>
      <c r="CT59" s="32">
        <f t="shared" si="235"/>
        <v>0.93374103298974009</v>
      </c>
      <c r="CU59" s="32">
        <f t="shared" si="236"/>
        <v>0.96776249230264755</v>
      </c>
      <c r="CV59" s="32">
        <f t="shared" si="237"/>
        <v>1</v>
      </c>
      <c r="CX59" s="32">
        <f t="shared" si="238"/>
        <v>7.6249041461683126E-2</v>
      </c>
      <c r="CY59" s="32">
        <f t="shared" si="239"/>
        <v>0.13559656439676032</v>
      </c>
      <c r="CZ59" s="32">
        <f t="shared" si="240"/>
        <v>0.1676171183477049</v>
      </c>
      <c r="DA59" s="32">
        <f t="shared" si="241"/>
        <v>0.22105305665695774</v>
      </c>
      <c r="DB59" s="32">
        <f t="shared" si="242"/>
        <v>0.30583140291193733</v>
      </c>
      <c r="DC59" s="32">
        <f t="shared" si="243"/>
        <v>0.40237600010652597</v>
      </c>
      <c r="DD59" s="32">
        <f t="shared" si="244"/>
        <v>0.51039625153751245</v>
      </c>
      <c r="DE59" s="32">
        <f t="shared" si="245"/>
        <v>0.78927552823283176</v>
      </c>
      <c r="DF59" s="32">
        <f t="shared" si="246"/>
        <v>0.84234558797356107</v>
      </c>
      <c r="DG59" s="32">
        <f t="shared" si="247"/>
        <v>0.91599005095755492</v>
      </c>
      <c r="DH59" s="32">
        <f t="shared" si="248"/>
        <v>0.96287063590374056</v>
      </c>
      <c r="DI59" s="32">
        <f t="shared" si="249"/>
        <v>1</v>
      </c>
      <c r="DK59" s="32">
        <f t="shared" si="145"/>
        <v>9.2060940221913676E-2</v>
      </c>
      <c r="DL59" s="32">
        <f t="shared" si="146"/>
        <v>0.16565028911953489</v>
      </c>
      <c r="DM59" s="32">
        <f t="shared" si="147"/>
        <v>0.23046115331939396</v>
      </c>
      <c r="DN59" s="32">
        <f t="shared" si="148"/>
        <v>0.32636549622823219</v>
      </c>
      <c r="DO59" s="32">
        <f t="shared" si="149"/>
        <v>0.38547830771894281</v>
      </c>
      <c r="DP59" s="32">
        <f t="shared" si="150"/>
        <v>0.49138979840339281</v>
      </c>
      <c r="DQ59" s="32">
        <f t="shared" si="151"/>
        <v>0.58156596789237003</v>
      </c>
      <c r="DR59" s="32">
        <f t="shared" si="152"/>
        <v>0.66091753970891864</v>
      </c>
      <c r="DS59" s="32">
        <f t="shared" si="153"/>
        <v>0.72653380552130953</v>
      </c>
      <c r="DT59" s="32">
        <f t="shared" si="154"/>
        <v>0.81467381496611668</v>
      </c>
      <c r="DU59" s="32">
        <f t="shared" si="155"/>
        <v>0.90920989185093326</v>
      </c>
      <c r="DV59" s="32">
        <f t="shared" si="156"/>
        <v>1</v>
      </c>
      <c r="DW59" s="39"/>
      <c r="DX59" s="32">
        <f t="shared" si="157"/>
        <v>0.16273667782876511</v>
      </c>
      <c r="DY59" s="32">
        <f t="shared" si="158"/>
        <v>0.27749146601465829</v>
      </c>
      <c r="DZ59" s="32">
        <f t="shared" si="159"/>
        <v>0.36598579342440185</v>
      </c>
      <c r="EA59" s="32">
        <f t="shared" si="160"/>
        <v>0.40812751368685884</v>
      </c>
      <c r="EB59" s="32">
        <f t="shared" si="161"/>
        <v>0.4659264394087041</v>
      </c>
      <c r="EC59" s="32">
        <f t="shared" si="162"/>
        <v>0.54166334461354926</v>
      </c>
      <c r="ED59" s="32">
        <f t="shared" si="163"/>
        <v>0.61351418590504536</v>
      </c>
      <c r="EE59" s="32">
        <f t="shared" si="164"/>
        <v>0.74054285300874656</v>
      </c>
      <c r="EF59" s="32">
        <f t="shared" si="165"/>
        <v>0.77520958464000755</v>
      </c>
      <c r="EG59" s="32">
        <f t="shared" si="166"/>
        <v>0.86166380231864537</v>
      </c>
      <c r="EH59" s="32">
        <f t="shared" si="167"/>
        <v>0.94937929283086164</v>
      </c>
      <c r="EI59" s="32">
        <f t="shared" si="168"/>
        <v>1</v>
      </c>
      <c r="EK59" s="32">
        <f t="shared" si="250"/>
        <v>0.11034888650412063</v>
      </c>
      <c r="EL59" s="32">
        <f t="shared" si="169"/>
        <v>0.19291277317698449</v>
      </c>
      <c r="EM59" s="32">
        <f t="shared" si="170"/>
        <v>0.25468802169716692</v>
      </c>
      <c r="EN59" s="32">
        <f t="shared" si="171"/>
        <v>0.31851535552401627</v>
      </c>
      <c r="EO59" s="32">
        <f t="shared" si="172"/>
        <v>0.38574538334652808</v>
      </c>
      <c r="EP59" s="32">
        <f t="shared" si="173"/>
        <v>0.47847638104115603</v>
      </c>
      <c r="EQ59" s="32">
        <f t="shared" si="174"/>
        <v>0.56849213511164265</v>
      </c>
      <c r="ER59" s="32">
        <f t="shared" si="175"/>
        <v>0.7302453069834991</v>
      </c>
      <c r="ES59" s="32">
        <f t="shared" si="176"/>
        <v>0.78136299271162601</v>
      </c>
      <c r="ET59" s="32">
        <f t="shared" si="177"/>
        <v>0.86410922274743907</v>
      </c>
      <c r="EU59" s="32">
        <f t="shared" si="178"/>
        <v>0.94048660686184515</v>
      </c>
      <c r="EV59" s="32">
        <f t="shared" si="179"/>
        <v>1</v>
      </c>
      <c r="EX59" s="32">
        <f t="shared" si="180"/>
        <v>0.10135506303806253</v>
      </c>
      <c r="EY59" s="32">
        <f t="shared" si="181"/>
        <v>0.19053689517256031</v>
      </c>
      <c r="EZ59" s="32">
        <f t="shared" si="182"/>
        <v>0.26612663111491419</v>
      </c>
      <c r="FA59" s="32">
        <f t="shared" si="183"/>
        <v>0.33208311390433159</v>
      </c>
      <c r="FB59" s="32">
        <f t="shared" si="184"/>
        <v>0.41743235083067204</v>
      </c>
      <c r="FC59" s="32">
        <f t="shared" si="185"/>
        <v>0.50928508299261921</v>
      </c>
      <c r="FD59" s="32">
        <f t="shared" si="186"/>
        <v>0.59322631452193342</v>
      </c>
      <c r="FE59" s="32">
        <f t="shared" si="187"/>
        <v>0.73423646214590998</v>
      </c>
      <c r="FF59" s="32">
        <f t="shared" si="188"/>
        <v>0.78443421332692453</v>
      </c>
      <c r="FG59" s="32">
        <f t="shared" si="189"/>
        <v>0.88151717530801432</v>
      </c>
      <c r="FH59" s="32">
        <f t="shared" si="190"/>
        <v>0.94730557822204575</v>
      </c>
      <c r="FI59" s="32">
        <f t="shared" si="191"/>
        <v>1</v>
      </c>
      <c r="FK59" s="32">
        <f t="shared" si="251"/>
        <v>8.0894524774495005E-2</v>
      </c>
      <c r="FL59" s="32">
        <f t="shared" si="192"/>
        <v>0.16155203822519434</v>
      </c>
      <c r="FM59" s="32">
        <f t="shared" si="193"/>
        <v>0.2328402436784183</v>
      </c>
      <c r="FN59" s="32">
        <f t="shared" si="194"/>
        <v>0.3067349806434892</v>
      </c>
      <c r="FO59" s="32">
        <f t="shared" si="195"/>
        <v>0.40126765463799469</v>
      </c>
      <c r="FP59" s="32">
        <f t="shared" si="196"/>
        <v>0.49849232911897579</v>
      </c>
      <c r="FQ59" s="32">
        <f t="shared" si="197"/>
        <v>0.58646369072756277</v>
      </c>
      <c r="FR59" s="32">
        <f t="shared" si="198"/>
        <v>0.7321343318582979</v>
      </c>
      <c r="FS59" s="32">
        <f t="shared" si="199"/>
        <v>0.78750908955589694</v>
      </c>
      <c r="FT59" s="32">
        <f t="shared" si="200"/>
        <v>0.88813496630447064</v>
      </c>
      <c r="FU59" s="32">
        <f t="shared" si="201"/>
        <v>0.94661434001910705</v>
      </c>
      <c r="FV59" s="32">
        <f t="shared" si="202"/>
        <v>1</v>
      </c>
      <c r="FX59" s="32">
        <f t="shared" si="252"/>
        <v>8.4346588263012431E-2</v>
      </c>
      <c r="FY59" s="32">
        <f t="shared" si="203"/>
        <v>0.18798597250710514</v>
      </c>
      <c r="FZ59" s="32">
        <f t="shared" si="204"/>
        <v>0.28776649710908792</v>
      </c>
      <c r="GA59" s="32">
        <f t="shared" si="205"/>
        <v>0.35405728811906112</v>
      </c>
      <c r="GB59" s="32">
        <f t="shared" si="206"/>
        <v>0.45780295282428024</v>
      </c>
      <c r="GC59" s="32">
        <f t="shared" si="207"/>
        <v>0.55105323014207797</v>
      </c>
      <c r="GD59" s="32">
        <f t="shared" si="208"/>
        <v>0.63844169990462507</v>
      </c>
      <c r="GE59" s="32">
        <f t="shared" si="209"/>
        <v>0.76989694732844771</v>
      </c>
      <c r="GF59" s="32">
        <f t="shared" si="210"/>
        <v>0.82585632337389114</v>
      </c>
      <c r="GG59" s="32">
        <f t="shared" si="211"/>
        <v>0.91310400411996362</v>
      </c>
      <c r="GH59" s="32">
        <f t="shared" si="212"/>
        <v>0.95447059075131835</v>
      </c>
      <c r="GI59" s="32">
        <f t="shared" si="213"/>
        <v>1</v>
      </c>
    </row>
    <row r="60" spans="1:191">
      <c r="A60" s="724" t="s">
        <v>224</v>
      </c>
      <c r="N60" s="401">
        <f>SUM(B60:M60)</f>
        <v>0</v>
      </c>
      <c r="P60" s="396" t="s">
        <v>224</v>
      </c>
      <c r="AC60" s="401">
        <f>SUM(Q60:AB60)</f>
        <v>0</v>
      </c>
      <c r="AE60" s="127" t="s">
        <v>224</v>
      </c>
      <c r="AR60" s="41">
        <f>SUM(AF60:AQ60)</f>
        <v>0</v>
      </c>
      <c r="AT60" s="118" t="s">
        <v>224</v>
      </c>
      <c r="BG60" s="41">
        <f t="shared" si="2"/>
        <v>0</v>
      </c>
      <c r="BV60" s="41">
        <f t="shared" si="52"/>
        <v>0</v>
      </c>
      <c r="BW60" s="406"/>
      <c r="BX60" s="39">
        <f>AVERAGE(BX33:BX59)</f>
        <v>0.12552780094363261</v>
      </c>
      <c r="BY60" s="39">
        <f t="shared" ref="BY60:CI60" si="253">AVERAGE(BY33:BY59)</f>
        <v>0.23848450726313739</v>
      </c>
      <c r="BZ60" s="39">
        <f t="shared" si="253"/>
        <v>0.34742000812891005</v>
      </c>
      <c r="CA60" s="39">
        <f t="shared" si="253"/>
        <v>0.4339952364906427</v>
      </c>
      <c r="CB60" s="39">
        <f t="shared" si="253"/>
        <v>0.51656583689764746</v>
      </c>
      <c r="CC60" s="39">
        <f t="shared" si="253"/>
        <v>0.60322021324874464</v>
      </c>
      <c r="CD60" s="39">
        <f t="shared" si="253"/>
        <v>0.68544074566283109</v>
      </c>
      <c r="CE60" s="39">
        <f t="shared" si="253"/>
        <v>0.7552425307179147</v>
      </c>
      <c r="CF60" s="39">
        <f t="shared" si="253"/>
        <v>0.82211196134150555</v>
      </c>
      <c r="CG60" s="39">
        <f t="shared" si="253"/>
        <v>0.87541364272439637</v>
      </c>
      <c r="CH60" s="39">
        <f t="shared" si="253"/>
        <v>0.92781885420137444</v>
      </c>
      <c r="CI60" s="39">
        <f t="shared" si="253"/>
        <v>1</v>
      </c>
      <c r="CJ60" s="406"/>
      <c r="CK60" s="39">
        <f>AVERAGE(CK33:CK59)</f>
        <v>0.12526636144928041</v>
      </c>
      <c r="CL60" s="39">
        <f t="shared" ref="CL60:CV60" si="254">AVERAGE(CL33:CL59)</f>
        <v>0.23217042866980928</v>
      </c>
      <c r="CM60" s="39">
        <f t="shared" si="254"/>
        <v>0.32325640094259006</v>
      </c>
      <c r="CN60" s="39">
        <f t="shared" si="254"/>
        <v>0.37549331967116212</v>
      </c>
      <c r="CO60" s="39">
        <f t="shared" si="254"/>
        <v>0.4294028146767957</v>
      </c>
      <c r="CP60" s="39">
        <f t="shared" si="254"/>
        <v>0.49442041178908269</v>
      </c>
      <c r="CQ60" s="39">
        <f t="shared" si="254"/>
        <v>0.56515382314599127</v>
      </c>
      <c r="CR60" s="39">
        <f t="shared" si="254"/>
        <v>0.6488409389334393</v>
      </c>
      <c r="CS60" s="39">
        <f t="shared" si="254"/>
        <v>0.72494528676159009</v>
      </c>
      <c r="CT60" s="39">
        <f t="shared" si="254"/>
        <v>0.86536201085375175</v>
      </c>
      <c r="CU60" s="39">
        <f t="shared" si="254"/>
        <v>0.92707389031192522</v>
      </c>
      <c r="CV60" s="39">
        <f t="shared" si="254"/>
        <v>1</v>
      </c>
      <c r="CX60" s="39">
        <f>AVERAGE(CX33:CX59)</f>
        <v>0.12109317869969558</v>
      </c>
      <c r="CY60" s="39">
        <f t="shared" ref="CY60:DI60" si="255">AVERAGE(CY33:CY59)</f>
        <v>0.2263424844158117</v>
      </c>
      <c r="CZ60" s="39">
        <f t="shared" si="255"/>
        <v>0.30617093035984061</v>
      </c>
      <c r="DA60" s="39">
        <f t="shared" si="255"/>
        <v>0.38885372706387317</v>
      </c>
      <c r="DB60" s="39">
        <f t="shared" si="255"/>
        <v>0.46963632611480549</v>
      </c>
      <c r="DC60" s="39">
        <f t="shared" si="255"/>
        <v>0.53975543761206191</v>
      </c>
      <c r="DD60" s="39">
        <f t="shared" si="255"/>
        <v>0.62373240065969504</v>
      </c>
      <c r="DE60" s="39">
        <f t="shared" si="255"/>
        <v>0.71093213442086722</v>
      </c>
      <c r="DF60" s="39">
        <f t="shared" si="255"/>
        <v>0.77270773976799256</v>
      </c>
      <c r="DG60" s="39">
        <f t="shared" si="255"/>
        <v>0.85120188806461783</v>
      </c>
      <c r="DH60" s="39">
        <f t="shared" si="255"/>
        <v>0.91741769828213771</v>
      </c>
      <c r="DI60" s="39">
        <f t="shared" si="255"/>
        <v>1</v>
      </c>
      <c r="DK60" s="39">
        <f>AVERAGE(DK33:DK59)</f>
        <v>0.15477168578949405</v>
      </c>
      <c r="DL60" s="39">
        <f t="shared" ref="DL60" si="256">AVERAGE(DL33:DL59)</f>
        <v>0.27014174963424864</v>
      </c>
      <c r="DM60" s="39">
        <f t="shared" ref="DM60" si="257">AVERAGE(DM33:DM59)</f>
        <v>0.37613570754962999</v>
      </c>
      <c r="DN60" s="39">
        <f t="shared" ref="DN60" si="258">AVERAGE(DN33:DN59)</f>
        <v>0.46585481669351886</v>
      </c>
      <c r="DO60" s="39">
        <f t="shared" ref="DO60" si="259">AVERAGE(DO33:DO59)</f>
        <v>0.5443232757121399</v>
      </c>
      <c r="DP60" s="39">
        <f t="shared" ref="DP60" si="260">AVERAGE(DP33:DP59)</f>
        <v>0.61257748300384796</v>
      </c>
      <c r="DQ60" s="39">
        <f t="shared" ref="DQ60" si="261">AVERAGE(DQ33:DQ59)</f>
        <v>0.69067681429619321</v>
      </c>
      <c r="DR60" s="39">
        <f t="shared" ref="DR60" si="262">AVERAGE(DR33:DR59)</f>
        <v>0.76026520920656759</v>
      </c>
      <c r="DS60" s="39">
        <f t="shared" ref="DS60" si="263">AVERAGE(DS33:DS59)</f>
        <v>0.8116873698735404</v>
      </c>
      <c r="DT60" s="39">
        <f t="shared" ref="DT60" si="264">AVERAGE(DT33:DT59)</f>
        <v>0.87605548287198065</v>
      </c>
      <c r="DU60" s="39">
        <f t="shared" ref="DU60" si="265">AVERAGE(DU33:DU59)</f>
        <v>0.93304916270667293</v>
      </c>
      <c r="DV60" s="39">
        <f t="shared" ref="DV60" si="266">AVERAGE(DV33:DV59)</f>
        <v>1</v>
      </c>
      <c r="DW60" s="39"/>
      <c r="DX60" s="39">
        <f>AVERAGE(DX33:DX59)</f>
        <v>0.13974535510826003</v>
      </c>
      <c r="DY60" s="39">
        <f t="shared" ref="DY60" si="267">AVERAGE(DY33:DY59)</f>
        <v>0.25070744318066035</v>
      </c>
      <c r="DZ60" s="39">
        <f t="shared" ref="DZ60" si="268">AVERAGE(DZ33:DZ59)</f>
        <v>0.35084318512163293</v>
      </c>
      <c r="EA60" s="39">
        <f t="shared" ref="EA60" si="269">AVERAGE(EA33:EA59)</f>
        <v>0.42009091619607336</v>
      </c>
      <c r="EB60" s="39">
        <f t="shared" ref="EB60" si="270">AVERAGE(EB33:EB59)</f>
        <v>0.50396181188894085</v>
      </c>
      <c r="EC60" s="39">
        <f t="shared" ref="EC60" si="271">AVERAGE(EC33:EC59)</f>
        <v>0.58285343055312133</v>
      </c>
      <c r="ED60" s="39">
        <f t="shared" ref="ED60" si="272">AVERAGE(ED33:ED59)</f>
        <v>0.6559626364772434</v>
      </c>
      <c r="EE60" s="39">
        <f t="shared" ref="EE60" si="273">AVERAGE(EE33:EE59)</f>
        <v>0.73425532967488494</v>
      </c>
      <c r="EF60" s="39">
        <f t="shared" ref="EF60" si="274">AVERAGE(EF33:EF59)</f>
        <v>0.80252269590159975</v>
      </c>
      <c r="EG60" s="39">
        <f t="shared" ref="EG60" si="275">AVERAGE(EG33:EG59)</f>
        <v>0.86805770672552895</v>
      </c>
      <c r="EH60" s="39">
        <f t="shared" ref="EH60" si="276">AVERAGE(EH33:EH59)</f>
        <v>0.94167847109822622</v>
      </c>
      <c r="EI60" s="39">
        <f t="shared" ref="EI60" si="277">AVERAGE(EI33:EI59)</f>
        <v>1</v>
      </c>
      <c r="EK60" s="39">
        <f>AVERAGE(EK33:EK59)</f>
        <v>0.13853673986581652</v>
      </c>
      <c r="EL60" s="39">
        <f t="shared" ref="EL60" si="278">AVERAGE(EL33:EL59)</f>
        <v>0.24906389241024024</v>
      </c>
      <c r="EM60" s="39">
        <f t="shared" ref="EM60" si="279">AVERAGE(EM33:EM59)</f>
        <v>0.34438327434370114</v>
      </c>
      <c r="EN60" s="39">
        <f t="shared" ref="EN60" si="280">AVERAGE(EN33:EN59)</f>
        <v>0.42493315331782183</v>
      </c>
      <c r="EO60" s="39">
        <f t="shared" ref="EO60" si="281">AVERAGE(EO33:EO59)</f>
        <v>0.50597380457196206</v>
      </c>
      <c r="EP60" s="39">
        <f t="shared" ref="EP60" si="282">AVERAGE(EP33:EP59)</f>
        <v>0.57839545038967732</v>
      </c>
      <c r="EQ60" s="39">
        <f t="shared" ref="EQ60" si="283">AVERAGE(EQ33:EQ59)</f>
        <v>0.65679061714437725</v>
      </c>
      <c r="ER60" s="39">
        <f t="shared" ref="ER60" si="284">AVERAGE(ER33:ER59)</f>
        <v>0.73515089110077325</v>
      </c>
      <c r="ES60" s="39">
        <f t="shared" ref="ES60" si="285">AVERAGE(ES33:ES59)</f>
        <v>0.79563926851437761</v>
      </c>
      <c r="ET60" s="39">
        <f t="shared" ref="ET60" si="286">AVERAGE(ET33:ET59)</f>
        <v>0.86510502588737581</v>
      </c>
      <c r="EU60" s="39">
        <f t="shared" ref="EU60" si="287">AVERAGE(EU33:EU59)</f>
        <v>0.93071511069567892</v>
      </c>
      <c r="EV60" s="39">
        <f t="shared" ref="EV60" si="288">AVERAGE(EV33:EV59)</f>
        <v>1</v>
      </c>
      <c r="EX60" s="32">
        <f t="shared" si="180"/>
        <v>0.13521914526168252</v>
      </c>
      <c r="EY60" s="32">
        <f t="shared" si="181"/>
        <v>0.24484052647513252</v>
      </c>
      <c r="EZ60" s="32">
        <f t="shared" si="182"/>
        <v>0.3391015559934234</v>
      </c>
      <c r="FA60" s="32">
        <f t="shared" si="183"/>
        <v>0.41257319490615685</v>
      </c>
      <c r="FB60" s="32">
        <f t="shared" si="184"/>
        <v>0.48683105709817048</v>
      </c>
      <c r="FC60" s="32">
        <f t="shared" si="185"/>
        <v>0.5574016907395285</v>
      </c>
      <c r="FD60" s="32">
        <f t="shared" si="186"/>
        <v>0.63388141864478076</v>
      </c>
      <c r="FE60" s="32">
        <f t="shared" si="187"/>
        <v>0.71357340305893979</v>
      </c>
      <c r="FF60" s="32">
        <f t="shared" si="188"/>
        <v>0.77796577307618064</v>
      </c>
      <c r="FG60" s="32">
        <f t="shared" si="189"/>
        <v>0.86516927212896988</v>
      </c>
      <c r="FH60" s="32">
        <f t="shared" si="190"/>
        <v>0.92980480559974055</v>
      </c>
      <c r="FI60" s="32">
        <f t="shared" si="191"/>
        <v>1</v>
      </c>
      <c r="FK60" s="32">
        <f t="shared" si="251"/>
        <v>0.13371040864615669</v>
      </c>
      <c r="FL60" s="32">
        <f t="shared" si="192"/>
        <v>0.24288488757328988</v>
      </c>
      <c r="FM60" s="32">
        <f t="shared" si="193"/>
        <v>0.33518767961735357</v>
      </c>
      <c r="FN60" s="32">
        <f t="shared" si="194"/>
        <v>0.41006728780951801</v>
      </c>
      <c r="FO60" s="32">
        <f t="shared" si="195"/>
        <v>0.48112080550124703</v>
      </c>
      <c r="FP60" s="32">
        <f t="shared" si="196"/>
        <v>0.54891777746833081</v>
      </c>
      <c r="FQ60" s="32">
        <f t="shared" si="197"/>
        <v>0.62652101270062655</v>
      </c>
      <c r="FR60" s="32">
        <f t="shared" si="198"/>
        <v>0.70667942752029145</v>
      </c>
      <c r="FS60" s="32">
        <f t="shared" si="199"/>
        <v>0.76978013213437435</v>
      </c>
      <c r="FT60" s="32">
        <f t="shared" si="200"/>
        <v>0.86420646059678352</v>
      </c>
      <c r="FU60" s="32">
        <f t="shared" si="201"/>
        <v>0.92584691710024536</v>
      </c>
      <c r="FV60" s="32">
        <f t="shared" si="202"/>
        <v>1</v>
      </c>
      <c r="FX60" s="32">
        <f t="shared" si="252"/>
        <v>0.12396244703086952</v>
      </c>
      <c r="FY60" s="32">
        <f t="shared" si="203"/>
        <v>0.2323324734495861</v>
      </c>
      <c r="FZ60" s="32">
        <f t="shared" si="204"/>
        <v>0.32561577981044693</v>
      </c>
      <c r="GA60" s="32">
        <f t="shared" si="205"/>
        <v>0.39944742774189268</v>
      </c>
      <c r="GB60" s="32">
        <f t="shared" si="206"/>
        <v>0.47186832589641625</v>
      </c>
      <c r="GC60" s="32">
        <f t="shared" si="207"/>
        <v>0.54579868754996308</v>
      </c>
      <c r="GD60" s="32">
        <f t="shared" si="208"/>
        <v>0.62477565648950584</v>
      </c>
      <c r="GE60" s="32">
        <f t="shared" si="209"/>
        <v>0.70500520135740707</v>
      </c>
      <c r="GF60" s="32">
        <f t="shared" si="210"/>
        <v>0.7732549959570294</v>
      </c>
      <c r="GG60" s="32">
        <f t="shared" si="211"/>
        <v>0.86399251388092202</v>
      </c>
      <c r="GH60" s="32">
        <f t="shared" si="212"/>
        <v>0.92410348093181238</v>
      </c>
      <c r="GI60" s="32">
        <f t="shared" si="213"/>
        <v>1</v>
      </c>
    </row>
    <row r="61" spans="1:191">
      <c r="B61" s="975" t="s">
        <v>568</v>
      </c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>
        <f t="shared" ref="N61" si="289">SUM(B61:M61)</f>
        <v>0</v>
      </c>
      <c r="Q61" s="975" t="s">
        <v>407</v>
      </c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>
        <f t="shared" ref="AC61" si="290">SUM(Q61:AB61)</f>
        <v>0</v>
      </c>
      <c r="AF61" s="976" t="s">
        <v>293</v>
      </c>
      <c r="AG61" s="976"/>
      <c r="AH61" s="976"/>
      <c r="AI61" s="976"/>
      <c r="AJ61" s="976"/>
      <c r="AK61" s="976"/>
      <c r="AL61" s="976"/>
      <c r="AM61" s="976"/>
      <c r="AN61" s="976"/>
      <c r="AO61" s="976"/>
      <c r="AP61" s="976"/>
      <c r="AQ61" s="976"/>
      <c r="AR61" s="976">
        <f t="shared" si="144"/>
        <v>0</v>
      </c>
      <c r="AU61" s="976" t="s">
        <v>178</v>
      </c>
      <c r="AV61" s="976"/>
      <c r="AW61" s="976"/>
      <c r="AX61" s="976"/>
      <c r="AY61" s="976"/>
      <c r="AZ61" s="976"/>
      <c r="BA61" s="976"/>
      <c r="BB61" s="976"/>
      <c r="BC61" s="976"/>
      <c r="BD61" s="976"/>
      <c r="BE61" s="976"/>
      <c r="BF61" s="976"/>
      <c r="BG61" s="976">
        <f t="shared" si="2"/>
        <v>0</v>
      </c>
      <c r="BJ61" s="976" t="s">
        <v>160</v>
      </c>
      <c r="BK61" s="976"/>
      <c r="BL61" s="976"/>
      <c r="BM61" s="976"/>
      <c r="BN61" s="976"/>
      <c r="BO61" s="976"/>
      <c r="BP61" s="976"/>
      <c r="BQ61" s="976"/>
      <c r="BR61" s="976"/>
      <c r="BS61" s="976"/>
      <c r="BT61" s="976"/>
      <c r="BU61" s="976"/>
      <c r="BV61" s="976">
        <f t="shared" si="52"/>
        <v>0</v>
      </c>
      <c r="BW61" s="403"/>
      <c r="BX61" s="973" t="s">
        <v>578</v>
      </c>
      <c r="BY61" s="973"/>
      <c r="BZ61" s="973"/>
      <c r="CA61" s="973"/>
      <c r="CB61" s="973"/>
      <c r="CC61" s="973"/>
      <c r="CD61" s="973"/>
      <c r="CE61" s="973"/>
      <c r="CF61" s="973"/>
      <c r="CG61" s="973"/>
      <c r="CH61" s="973"/>
      <c r="CI61" s="973"/>
      <c r="CJ61" s="403"/>
      <c r="CK61" s="973" t="s">
        <v>411</v>
      </c>
      <c r="CL61" s="973"/>
      <c r="CM61" s="973"/>
      <c r="CN61" s="973"/>
      <c r="CO61" s="973"/>
      <c r="CP61" s="973"/>
      <c r="CQ61" s="973"/>
      <c r="CR61" s="973"/>
      <c r="CS61" s="973"/>
      <c r="CT61" s="973"/>
      <c r="CU61" s="973"/>
      <c r="CV61" s="973"/>
      <c r="CX61" s="973" t="s">
        <v>294</v>
      </c>
      <c r="CY61" s="973"/>
      <c r="CZ61" s="973"/>
      <c r="DA61" s="973"/>
      <c r="DB61" s="973"/>
      <c r="DC61" s="973"/>
      <c r="DD61" s="973"/>
      <c r="DE61" s="973"/>
      <c r="DF61" s="973"/>
      <c r="DG61" s="973"/>
      <c r="DH61" s="973"/>
      <c r="DI61" s="973"/>
      <c r="DK61" s="973" t="s">
        <v>134</v>
      </c>
      <c r="DL61" s="973"/>
      <c r="DM61" s="973"/>
      <c r="DN61" s="973"/>
      <c r="DO61" s="973"/>
      <c r="DP61" s="973"/>
      <c r="DQ61" s="973"/>
      <c r="DR61" s="973"/>
      <c r="DS61" s="973"/>
      <c r="DT61" s="973"/>
      <c r="DU61" s="973"/>
      <c r="DV61" s="973"/>
      <c r="DW61" s="39"/>
      <c r="DX61" s="973" t="s">
        <v>135</v>
      </c>
      <c r="DY61" s="973"/>
      <c r="DZ61" s="973"/>
      <c r="EA61" s="973"/>
      <c r="EB61" s="973"/>
      <c r="EC61" s="973"/>
      <c r="ED61" s="973"/>
      <c r="EE61" s="973"/>
      <c r="EF61" s="973"/>
      <c r="EG61" s="973"/>
      <c r="EH61" s="973"/>
      <c r="EI61" s="973"/>
      <c r="EK61" s="973" t="s">
        <v>297</v>
      </c>
      <c r="EL61" s="973"/>
      <c r="EM61" s="973"/>
      <c r="EN61" s="973"/>
      <c r="EO61" s="973"/>
      <c r="EP61" s="973"/>
      <c r="EQ61" s="973"/>
      <c r="ER61" s="973"/>
      <c r="ES61" s="973"/>
      <c r="ET61" s="973"/>
      <c r="EU61" s="973"/>
      <c r="EV61" s="973"/>
      <c r="EX61" s="973" t="s">
        <v>425</v>
      </c>
      <c r="EY61" s="973"/>
      <c r="EZ61" s="973"/>
      <c r="FA61" s="973"/>
      <c r="FB61" s="973"/>
      <c r="FC61" s="973"/>
      <c r="FD61" s="973"/>
      <c r="FE61" s="973"/>
      <c r="FF61" s="973"/>
      <c r="FG61" s="973"/>
      <c r="FH61" s="973"/>
      <c r="FI61" s="973"/>
      <c r="FK61" s="973" t="s">
        <v>431</v>
      </c>
      <c r="FL61" s="973"/>
      <c r="FM61" s="973"/>
      <c r="FN61" s="973"/>
      <c r="FO61" s="973"/>
      <c r="FP61" s="973"/>
      <c r="FQ61" s="973"/>
      <c r="FR61" s="973"/>
      <c r="FS61" s="973"/>
      <c r="FT61" s="973"/>
      <c r="FU61" s="973"/>
      <c r="FV61" s="973"/>
      <c r="FX61" s="974" t="s">
        <v>582</v>
      </c>
      <c r="FY61" s="974"/>
      <c r="FZ61" s="974"/>
      <c r="GA61" s="974"/>
      <c r="GB61" s="974"/>
      <c r="GC61" s="974"/>
      <c r="GD61" s="974"/>
      <c r="GE61" s="974"/>
      <c r="GF61" s="974"/>
      <c r="GG61" s="974"/>
      <c r="GH61" s="974"/>
      <c r="GI61" s="974"/>
    </row>
    <row r="62" spans="1:191">
      <c r="B62" s="398" t="s">
        <v>120</v>
      </c>
      <c r="C62" s="398" t="s">
        <v>136</v>
      </c>
      <c r="D62" s="398" t="s">
        <v>137</v>
      </c>
      <c r="E62" s="398" t="s">
        <v>138</v>
      </c>
      <c r="F62" s="398" t="s">
        <v>139</v>
      </c>
      <c r="G62" s="398" t="s">
        <v>140</v>
      </c>
      <c r="H62" s="398" t="s">
        <v>141</v>
      </c>
      <c r="I62" s="398" t="s">
        <v>142</v>
      </c>
      <c r="J62" s="398" t="s">
        <v>143</v>
      </c>
      <c r="K62" s="398" t="s">
        <v>144</v>
      </c>
      <c r="L62" s="398" t="s">
        <v>145</v>
      </c>
      <c r="M62" s="398" t="s">
        <v>146</v>
      </c>
      <c r="N62" s="398" t="s">
        <v>118</v>
      </c>
      <c r="Q62" s="398" t="s">
        <v>120</v>
      </c>
      <c r="R62" s="398" t="s">
        <v>136</v>
      </c>
      <c r="S62" s="398" t="s">
        <v>137</v>
      </c>
      <c r="T62" s="398" t="s">
        <v>138</v>
      </c>
      <c r="U62" s="398" t="s">
        <v>139</v>
      </c>
      <c r="V62" s="398" t="s">
        <v>140</v>
      </c>
      <c r="W62" s="398" t="s">
        <v>141</v>
      </c>
      <c r="X62" s="398" t="s">
        <v>142</v>
      </c>
      <c r="Y62" s="398" t="s">
        <v>143</v>
      </c>
      <c r="Z62" s="398" t="s">
        <v>144</v>
      </c>
      <c r="AA62" s="398" t="s">
        <v>145</v>
      </c>
      <c r="AB62" s="398" t="s">
        <v>146</v>
      </c>
      <c r="AC62" s="398" t="s">
        <v>118</v>
      </c>
      <c r="AF62" s="127" t="s">
        <v>120</v>
      </c>
      <c r="AG62" s="127" t="s">
        <v>136</v>
      </c>
      <c r="AH62" s="127" t="s">
        <v>137</v>
      </c>
      <c r="AI62" s="127" t="s">
        <v>138</v>
      </c>
      <c r="AJ62" s="127" t="s">
        <v>139</v>
      </c>
      <c r="AK62" s="127" t="s">
        <v>140</v>
      </c>
      <c r="AL62" s="127" t="s">
        <v>141</v>
      </c>
      <c r="AM62" s="127" t="s">
        <v>142</v>
      </c>
      <c r="AN62" s="127" t="s">
        <v>143</v>
      </c>
      <c r="AO62" s="127" t="s">
        <v>144</v>
      </c>
      <c r="AP62" s="127" t="s">
        <v>145</v>
      </c>
      <c r="AQ62" s="127" t="s">
        <v>146</v>
      </c>
      <c r="AR62" s="127" t="s">
        <v>118</v>
      </c>
      <c r="AU62" s="60" t="s">
        <v>120</v>
      </c>
      <c r="AV62" s="60" t="s">
        <v>136</v>
      </c>
      <c r="AW62" s="60" t="s">
        <v>137</v>
      </c>
      <c r="AX62" s="60" t="s">
        <v>138</v>
      </c>
      <c r="AY62" s="60" t="s">
        <v>139</v>
      </c>
      <c r="AZ62" s="60" t="s">
        <v>140</v>
      </c>
      <c r="BA62" s="60" t="s">
        <v>141</v>
      </c>
      <c r="BB62" s="60" t="s">
        <v>142</v>
      </c>
      <c r="BC62" s="60" t="s">
        <v>143</v>
      </c>
      <c r="BD62" s="60" t="s">
        <v>144</v>
      </c>
      <c r="BE62" s="60" t="s">
        <v>145</v>
      </c>
      <c r="BF62" s="60" t="s">
        <v>146</v>
      </c>
      <c r="BG62" s="60" t="s">
        <v>118</v>
      </c>
      <c r="BJ62" s="60" t="s">
        <v>120</v>
      </c>
      <c r="BK62" s="60" t="s">
        <v>136</v>
      </c>
      <c r="BL62" s="60" t="s">
        <v>137</v>
      </c>
      <c r="BM62" s="60" t="s">
        <v>138</v>
      </c>
      <c r="BN62" s="60" t="s">
        <v>139</v>
      </c>
      <c r="BO62" s="60" t="s">
        <v>140</v>
      </c>
      <c r="BP62" s="60" t="s">
        <v>141</v>
      </c>
      <c r="BQ62" s="60" t="s">
        <v>142</v>
      </c>
      <c r="BR62" s="60" t="s">
        <v>143</v>
      </c>
      <c r="BS62" s="60" t="s">
        <v>144</v>
      </c>
      <c r="BT62" s="60" t="s">
        <v>145</v>
      </c>
      <c r="BU62" s="60" t="s">
        <v>146</v>
      </c>
      <c r="BV62" s="60">
        <f t="shared" si="52"/>
        <v>0</v>
      </c>
      <c r="BW62" s="404"/>
      <c r="BX62" s="731" t="s">
        <v>147</v>
      </c>
      <c r="BY62" s="731" t="s">
        <v>148</v>
      </c>
      <c r="BZ62" s="731" t="s">
        <v>149</v>
      </c>
      <c r="CA62" s="731" t="s">
        <v>150</v>
      </c>
      <c r="CB62" s="731" t="s">
        <v>151</v>
      </c>
      <c r="CC62" s="731" t="s">
        <v>152</v>
      </c>
      <c r="CD62" s="731" t="s">
        <v>153</v>
      </c>
      <c r="CE62" s="731" t="s">
        <v>154</v>
      </c>
      <c r="CF62" s="731" t="s">
        <v>155</v>
      </c>
      <c r="CG62" s="731" t="s">
        <v>156</v>
      </c>
      <c r="CH62" s="731" t="s">
        <v>157</v>
      </c>
      <c r="CI62" s="731" t="s">
        <v>158</v>
      </c>
      <c r="CJ62" s="404"/>
      <c r="CK62" s="396" t="s">
        <v>147</v>
      </c>
      <c r="CL62" s="396" t="s">
        <v>148</v>
      </c>
      <c r="CM62" s="396" t="s">
        <v>149</v>
      </c>
      <c r="CN62" s="396" t="s">
        <v>150</v>
      </c>
      <c r="CO62" s="396" t="s">
        <v>151</v>
      </c>
      <c r="CP62" s="396" t="s">
        <v>152</v>
      </c>
      <c r="CQ62" s="396" t="s">
        <v>153</v>
      </c>
      <c r="CR62" s="396" t="s">
        <v>154</v>
      </c>
      <c r="CS62" s="396" t="s">
        <v>155</v>
      </c>
      <c r="CT62" s="396" t="s">
        <v>156</v>
      </c>
      <c r="CU62" s="396" t="s">
        <v>157</v>
      </c>
      <c r="CV62" s="396" t="s">
        <v>158</v>
      </c>
      <c r="CX62" s="129" t="s">
        <v>147</v>
      </c>
      <c r="CY62" s="129" t="s">
        <v>148</v>
      </c>
      <c r="CZ62" s="129" t="s">
        <v>149</v>
      </c>
      <c r="DA62" s="129" t="s">
        <v>150</v>
      </c>
      <c r="DB62" s="129" t="s">
        <v>151</v>
      </c>
      <c r="DC62" s="129" t="s">
        <v>152</v>
      </c>
      <c r="DD62" s="129" t="s">
        <v>153</v>
      </c>
      <c r="DE62" s="129" t="s">
        <v>154</v>
      </c>
      <c r="DF62" s="129" t="s">
        <v>155</v>
      </c>
      <c r="DG62" s="129" t="s">
        <v>156</v>
      </c>
      <c r="DH62" s="129" t="s">
        <v>157</v>
      </c>
      <c r="DI62" s="129" t="s">
        <v>158</v>
      </c>
      <c r="DK62" s="60" t="s">
        <v>147</v>
      </c>
      <c r="DL62" s="60" t="s">
        <v>148</v>
      </c>
      <c r="DM62" s="60" t="s">
        <v>149</v>
      </c>
      <c r="DN62" s="60" t="s">
        <v>150</v>
      </c>
      <c r="DO62" s="60" t="s">
        <v>151</v>
      </c>
      <c r="DP62" s="60" t="s">
        <v>152</v>
      </c>
      <c r="DQ62" s="60" t="s">
        <v>153</v>
      </c>
      <c r="DR62" s="60" t="s">
        <v>154</v>
      </c>
      <c r="DS62" s="60" t="s">
        <v>155</v>
      </c>
      <c r="DT62" s="60" t="s">
        <v>156</v>
      </c>
      <c r="DU62" s="60" t="s">
        <v>157</v>
      </c>
      <c r="DV62" s="60" t="s">
        <v>158</v>
      </c>
      <c r="DW62" s="39"/>
      <c r="DX62" s="60" t="s">
        <v>147</v>
      </c>
      <c r="DY62" s="60" t="s">
        <v>148</v>
      </c>
      <c r="DZ62" s="60" t="s">
        <v>180</v>
      </c>
      <c r="EA62" s="60" t="s">
        <v>181</v>
      </c>
      <c r="EB62" s="60" t="s">
        <v>182</v>
      </c>
      <c r="EC62" s="60" t="s">
        <v>152</v>
      </c>
      <c r="ED62" s="60" t="s">
        <v>153</v>
      </c>
      <c r="EE62" s="60" t="s">
        <v>154</v>
      </c>
      <c r="EF62" s="60" t="s">
        <v>155</v>
      </c>
      <c r="EG62" s="60" t="s">
        <v>156</v>
      </c>
      <c r="EH62" s="60" t="s">
        <v>157</v>
      </c>
      <c r="EI62" s="60" t="s">
        <v>158</v>
      </c>
      <c r="EK62" s="60" t="s">
        <v>147</v>
      </c>
      <c r="EL62" s="60" t="s">
        <v>148</v>
      </c>
      <c r="EM62" s="60" t="s">
        <v>180</v>
      </c>
      <c r="EN62" s="60" t="s">
        <v>181</v>
      </c>
      <c r="EO62" s="60" t="s">
        <v>182</v>
      </c>
      <c r="EP62" s="60" t="s">
        <v>152</v>
      </c>
      <c r="EQ62" s="60" t="s">
        <v>153</v>
      </c>
      <c r="ER62" s="60" t="s">
        <v>154</v>
      </c>
      <c r="ES62" s="60" t="s">
        <v>155</v>
      </c>
      <c r="ET62" s="60" t="s">
        <v>156</v>
      </c>
      <c r="EU62" s="60" t="s">
        <v>157</v>
      </c>
      <c r="EV62" s="60" t="s">
        <v>158</v>
      </c>
      <c r="EX62" s="397" t="s">
        <v>147</v>
      </c>
      <c r="EY62" s="397" t="s">
        <v>148</v>
      </c>
      <c r="EZ62" s="397" t="s">
        <v>180</v>
      </c>
      <c r="FA62" s="397" t="s">
        <v>181</v>
      </c>
      <c r="FB62" s="397" t="s">
        <v>182</v>
      </c>
      <c r="FC62" s="397" t="s">
        <v>152</v>
      </c>
      <c r="FD62" s="397" t="s">
        <v>153</v>
      </c>
      <c r="FE62" s="397" t="s">
        <v>154</v>
      </c>
      <c r="FF62" s="397" t="s">
        <v>155</v>
      </c>
      <c r="FG62" s="397" t="s">
        <v>156</v>
      </c>
      <c r="FH62" s="397" t="s">
        <v>157</v>
      </c>
      <c r="FI62" s="397" t="s">
        <v>158</v>
      </c>
      <c r="FK62" s="397" t="s">
        <v>147</v>
      </c>
      <c r="FL62" s="397" t="s">
        <v>148</v>
      </c>
      <c r="FM62" s="397" t="s">
        <v>180</v>
      </c>
      <c r="FN62" s="397" t="s">
        <v>181</v>
      </c>
      <c r="FO62" s="397" t="s">
        <v>182</v>
      </c>
      <c r="FP62" s="397" t="s">
        <v>152</v>
      </c>
      <c r="FQ62" s="397" t="s">
        <v>153</v>
      </c>
      <c r="FR62" s="397" t="s">
        <v>154</v>
      </c>
      <c r="FS62" s="397" t="s">
        <v>155</v>
      </c>
      <c r="FT62" s="397" t="s">
        <v>156</v>
      </c>
      <c r="FU62" s="397" t="s">
        <v>157</v>
      </c>
      <c r="FV62" s="397" t="s">
        <v>158</v>
      </c>
      <c r="FX62" s="731" t="s">
        <v>147</v>
      </c>
      <c r="FY62" s="731" t="s">
        <v>148</v>
      </c>
      <c r="FZ62" s="731" t="s">
        <v>180</v>
      </c>
      <c r="GA62" s="731" t="s">
        <v>181</v>
      </c>
      <c r="GB62" s="731" t="s">
        <v>182</v>
      </c>
      <c r="GC62" s="731" t="s">
        <v>152</v>
      </c>
      <c r="GD62" s="731" t="s">
        <v>153</v>
      </c>
      <c r="GE62" s="731" t="s">
        <v>154</v>
      </c>
      <c r="GF62" s="731" t="s">
        <v>155</v>
      </c>
      <c r="GG62" s="731" t="s">
        <v>156</v>
      </c>
      <c r="GH62" s="731" t="s">
        <v>157</v>
      </c>
      <c r="GI62" s="731" t="s">
        <v>158</v>
      </c>
    </row>
    <row r="63" spans="1:191">
      <c r="A63" s="724" t="s">
        <v>77</v>
      </c>
      <c r="B63" s="399">
        <v>2746.81</v>
      </c>
      <c r="C63" s="400">
        <v>514.27</v>
      </c>
      <c r="D63" s="400">
        <v>2057.08</v>
      </c>
      <c r="E63" s="400">
        <v>2159.94</v>
      </c>
      <c r="F63" s="400">
        <v>2014.22</v>
      </c>
      <c r="G63" s="400">
        <v>1379.96</v>
      </c>
      <c r="H63" s="400">
        <v>778.07</v>
      </c>
      <c r="I63" s="400">
        <v>3396.31</v>
      </c>
      <c r="J63" s="400">
        <v>1576.14</v>
      </c>
      <c r="K63" s="400">
        <v>3352.28</v>
      </c>
      <c r="L63" s="400">
        <v>2331.67</v>
      </c>
      <c r="M63" s="400">
        <v>1904.7</v>
      </c>
      <c r="N63" s="400">
        <f t="shared" ref="N63:N91" si="291">SUM(B63:M63)</f>
        <v>24211.45</v>
      </c>
      <c r="P63" s="396" t="s">
        <v>77</v>
      </c>
      <c r="Q63" s="399">
        <v>3371.32</v>
      </c>
      <c r="R63" s="400">
        <v>4130.82</v>
      </c>
      <c r="S63" s="400">
        <v>2818.95</v>
      </c>
      <c r="T63" s="400">
        <v>638.07000000000005</v>
      </c>
      <c r="U63" s="400">
        <v>1399.95</v>
      </c>
      <c r="V63" s="400">
        <v>1923.7400000000002</v>
      </c>
      <c r="W63" s="400">
        <v>2190.41</v>
      </c>
      <c r="X63" s="400">
        <v>3809.43</v>
      </c>
      <c r="Y63" s="400">
        <v>1638.06</v>
      </c>
      <c r="Z63" s="400">
        <v>491.42</v>
      </c>
      <c r="AA63" s="400">
        <v>948.51</v>
      </c>
      <c r="AB63" s="400">
        <v>209.52</v>
      </c>
      <c r="AC63" s="400">
        <f t="shared" ref="AC63:AC91" si="292">SUM(Q63:AB63)</f>
        <v>23570.2</v>
      </c>
      <c r="AE63" s="127" t="s">
        <v>77</v>
      </c>
      <c r="AF63" s="27">
        <v>3095.56</v>
      </c>
      <c r="AG63" s="27">
        <v>3012.66</v>
      </c>
      <c r="AH63" s="27">
        <v>2143.58</v>
      </c>
      <c r="AI63" s="27">
        <v>2169.6799999999998</v>
      </c>
      <c r="AJ63" s="27">
        <v>3187.71</v>
      </c>
      <c r="AK63" s="27">
        <v>3989.25</v>
      </c>
      <c r="AL63" s="27">
        <v>1019.24</v>
      </c>
      <c r="AM63" s="27">
        <v>1520.17</v>
      </c>
      <c r="AN63" s="27">
        <v>684.83</v>
      </c>
      <c r="AO63" s="27">
        <v>534.37</v>
      </c>
      <c r="AP63" s="27">
        <v>1354.3</v>
      </c>
      <c r="AQ63" s="27">
        <v>1271.3900000000001</v>
      </c>
      <c r="AR63" s="43">
        <f t="shared" ref="AR63:AR66" si="293">SUM(AF63:AQ63)</f>
        <v>23982.739999999998</v>
      </c>
      <c r="AT63" s="60" t="s">
        <v>77</v>
      </c>
      <c r="AU63" s="27">
        <v>1547.96</v>
      </c>
      <c r="AV63" s="27">
        <v>2882.39</v>
      </c>
      <c r="AW63" s="27">
        <v>2188.4899999999998</v>
      </c>
      <c r="AX63" s="27">
        <v>3349.49</v>
      </c>
      <c r="AY63" s="27">
        <v>2571.0500000000002</v>
      </c>
      <c r="AZ63" s="27">
        <v>1583.57</v>
      </c>
      <c r="BA63" s="27">
        <v>1211.68</v>
      </c>
      <c r="BB63" s="27">
        <v>1254.3699999999999</v>
      </c>
      <c r="BC63" s="27">
        <v>832.71</v>
      </c>
      <c r="BD63" s="27">
        <v>1138.75</v>
      </c>
      <c r="BE63" s="27">
        <v>384.32</v>
      </c>
      <c r="BF63" s="27">
        <v>1263.27</v>
      </c>
      <c r="BG63" s="43">
        <f t="shared" si="2"/>
        <v>20208.05</v>
      </c>
      <c r="BI63" s="60" t="s">
        <v>77</v>
      </c>
      <c r="BJ63" s="27">
        <v>2530.73</v>
      </c>
      <c r="BK63" s="27">
        <v>2963.8</v>
      </c>
      <c r="BL63" s="27">
        <v>1519.52</v>
      </c>
      <c r="BM63" s="27">
        <v>1151.92</v>
      </c>
      <c r="BN63" s="27">
        <v>2460.9499999999998</v>
      </c>
      <c r="BO63" s="27">
        <v>1583.8700000000001</v>
      </c>
      <c r="BP63" s="27">
        <v>910.19</v>
      </c>
      <c r="BQ63" s="27">
        <v>1677.27</v>
      </c>
      <c r="BR63" s="27">
        <v>907.57</v>
      </c>
      <c r="BS63" s="27">
        <v>314.15999999999997</v>
      </c>
      <c r="BT63" s="27">
        <v>628.32000000000005</v>
      </c>
      <c r="BU63" s="27">
        <v>1850.06</v>
      </c>
      <c r="BV63" s="43">
        <f t="shared" si="52"/>
        <v>18498.360000000004</v>
      </c>
      <c r="BW63" s="405"/>
      <c r="BX63" s="32">
        <f>B63/$N63</f>
        <v>0.11345086725495582</v>
      </c>
      <c r="BY63" s="32">
        <f>SUM(B63:C63)/$N63</f>
        <v>0.13469164382967563</v>
      </c>
      <c r="BZ63" s="32">
        <f>SUM(B63:D63)/$N63</f>
        <v>0.21965475012855487</v>
      </c>
      <c r="CA63" s="32">
        <f>SUM(B63:E63)/$N63</f>
        <v>0.30886625955901031</v>
      </c>
      <c r="CB63" s="32">
        <f>SUM(B63:F63)/$N63</f>
        <v>0.39205912904844609</v>
      </c>
      <c r="CC63" s="32">
        <f>SUM(B63:G63)/$N63</f>
        <v>0.44905530234661695</v>
      </c>
      <c r="CD63" s="32">
        <f>SUM(B63:H63)/$N63</f>
        <v>0.48119175018431354</v>
      </c>
      <c r="CE63" s="32">
        <f>SUM(B63:I63)/$N63</f>
        <v>0.62146876787635597</v>
      </c>
      <c r="CF63" s="32">
        <f>SUM(B63:J63)/$N63</f>
        <v>0.68656771899246016</v>
      </c>
      <c r="CG63" s="32">
        <f>SUM(B63:K63)/$N63</f>
        <v>0.82502617563177738</v>
      </c>
      <c r="CH63" s="32">
        <f>SUM(B63:L63)/$N63</f>
        <v>0.92133061010389705</v>
      </c>
      <c r="CI63" s="32">
        <f>SUM(B63:M63)/$N63</f>
        <v>1</v>
      </c>
      <c r="CJ63" s="405"/>
      <c r="CK63" s="32">
        <f>Q63/$AC63</f>
        <v>0.14303315203095435</v>
      </c>
      <c r="CL63" s="32">
        <f>SUM(Q63:R63)/$AC63</f>
        <v>0.31828919567928993</v>
      </c>
      <c r="CM63" s="32">
        <f>SUM(Q63:S63)/$AC63</f>
        <v>0.43788724745653407</v>
      </c>
      <c r="CN63" s="32">
        <f>SUM(Q63:T63)/$AC63</f>
        <v>0.46495829479597117</v>
      </c>
      <c r="CO63" s="32">
        <f>SUM(Q63:U63)/$AC63</f>
        <v>0.52435320871269653</v>
      </c>
      <c r="CP63" s="32">
        <f>SUM(Q63:V63)/$AC63</f>
        <v>0.6059706748351732</v>
      </c>
      <c r="CQ63" s="32">
        <f>SUM(Q63:W63)/$AC63</f>
        <v>0.69890200337714581</v>
      </c>
      <c r="CR63" s="32">
        <f>SUM(Q63:X63)/$AC63</f>
        <v>0.86052260905719946</v>
      </c>
      <c r="CS63" s="32">
        <f>SUM(Q63:Y63)/$AC63</f>
        <v>0.93001968587453665</v>
      </c>
      <c r="CT63" s="32">
        <f>SUM(Q63:Z63)/$AC63</f>
        <v>0.95086889377264516</v>
      </c>
      <c r="CU63" s="32">
        <f>SUM(Q63:AA63)/$AC63</f>
        <v>0.99111080941188445</v>
      </c>
      <c r="CV63" s="32">
        <f>SUM(Q63:AB63)/$AC63</f>
        <v>1</v>
      </c>
      <c r="CX63" s="32">
        <f>AF63/$AR63</f>
        <v>0.12907449273936172</v>
      </c>
      <c r="CY63" s="32">
        <f>SUM(AF63:AG63)/$AR63</f>
        <v>0.2546923329027459</v>
      </c>
      <c r="CZ63" s="32">
        <f>SUM(AF63:AH63)/$AR63</f>
        <v>0.34407244543367438</v>
      </c>
      <c r="DA63" s="32">
        <f>SUM(AF63:AI63)/$AR63</f>
        <v>0.43454084062121345</v>
      </c>
      <c r="DB63" s="32">
        <f>SUM(AF63:AJ63)/$AR63</f>
        <v>0.56745767998152008</v>
      </c>
      <c r="DC63" s="32">
        <f>SUM(AF63:AK63)/$AR63</f>
        <v>0.73379605499621814</v>
      </c>
      <c r="DD63" s="32">
        <f>SUM(AF63:AL63)/$AR63</f>
        <v>0.77629495211973287</v>
      </c>
      <c r="DE63" s="32">
        <f>SUM(AF63:AM63)/$AR63</f>
        <v>0.83968095388600306</v>
      </c>
      <c r="DF63" s="32">
        <f>SUM(AF63:AN63)/$AR63</f>
        <v>0.86823607310924444</v>
      </c>
      <c r="DG63" s="32">
        <f>SUM(AF63:AO63)/$AR63</f>
        <v>0.89051751384537381</v>
      </c>
      <c r="DH63" s="32">
        <f>SUM(AF63:AP63)/$AR63</f>
        <v>0.94698729169394325</v>
      </c>
      <c r="DI63" s="32">
        <f>SUM(AF63:AQ63)/$AR63</f>
        <v>1</v>
      </c>
      <c r="DK63" s="32">
        <f t="shared" ref="DK63:DK89" si="294">AU63/BG63</f>
        <v>7.660115646982267E-2</v>
      </c>
      <c r="DL63" s="32">
        <f t="shared" ref="DL63:DL89" si="295">SUM(AU63:AV63)/$BG63</f>
        <v>0.21923688826977369</v>
      </c>
      <c r="DM63" s="32">
        <f t="shared" ref="DM63:DM89" si="296">SUM(AU63:AW63)/$BG63</f>
        <v>0.32753481904488557</v>
      </c>
      <c r="DN63" s="32">
        <f t="shared" ref="DN63:DN89" si="297">SUM(AU63:AX63)/$BG63</f>
        <v>0.49328510172926138</v>
      </c>
      <c r="DO63" s="32">
        <f t="shared" ref="DO63:DO89" si="298">SUM(AU63:AY63)/$BG63</f>
        <v>0.62051410205338964</v>
      </c>
      <c r="DP63" s="32">
        <f t="shared" ref="DP63:DP89" si="299">SUM(AU63:AZ63)/$BG63</f>
        <v>0.69887742755980919</v>
      </c>
      <c r="DQ63" s="32">
        <f t="shared" ref="DQ63:DQ89" si="300">SUM(AU63:BA63)/$BG63</f>
        <v>0.7588376909202027</v>
      </c>
      <c r="DR63" s="32">
        <f t="shared" ref="DR63:DR89" si="301">SUM(AU63:BB63)/$BG63</f>
        <v>0.82091047874485668</v>
      </c>
      <c r="DS63" s="32">
        <f t="shared" ref="DS63:DS89" si="302">SUM(AU63:BC63)/$BG63</f>
        <v>0.86211732453156042</v>
      </c>
      <c r="DT63" s="32">
        <f t="shared" ref="DT63:DT89" si="303">SUM(AU63:BD63)/$BG63</f>
        <v>0.91846863007563817</v>
      </c>
      <c r="DU63" s="32">
        <f t="shared" ref="DU63:DU89" si="304">SUM(AU63:BE63)/$BG63</f>
        <v>0.93748679362927145</v>
      </c>
      <c r="DV63" s="32">
        <f t="shared" ref="DV63:DV89" si="305">SUM(AU63:BF63)/$BG63</f>
        <v>1</v>
      </c>
      <c r="DW63" s="39"/>
      <c r="DX63" s="32">
        <f t="shared" ref="DX63:DX89" si="306">BJ63/BV63</f>
        <v>0.13680834409104373</v>
      </c>
      <c r="DY63" s="32">
        <f t="shared" ref="DY63:DY89" si="307">SUM(BJ63:BK63)/$BV63</f>
        <v>0.29702795274824362</v>
      </c>
      <c r="DZ63" s="32">
        <f t="shared" ref="DZ63:DZ89" si="308">SUM(BJ63:BL63)/$BV63</f>
        <v>0.379171450874564</v>
      </c>
      <c r="EA63" s="32">
        <f t="shared" ref="EA63:EA89" si="309">SUM(BJ63:BM63)/$BV63</f>
        <v>0.44144291710184036</v>
      </c>
      <c r="EB63" s="32">
        <f t="shared" ref="EB63:EB89" si="310">SUM(BJ63:BN63)/$BV63</f>
        <v>0.57447903489822882</v>
      </c>
      <c r="EC63" s="32">
        <f t="shared" ref="EC63:EC89" si="311">SUM(BJ63:BO63)/$BV63</f>
        <v>0.66010121978380787</v>
      </c>
      <c r="ED63" s="32">
        <f t="shared" ref="ED63:ED89" si="312">SUM(BJ63:BP63)/$BV63</f>
        <v>0.70930504109553494</v>
      </c>
      <c r="EE63" s="32">
        <f t="shared" ref="EE63:EE89" si="313">SUM(BJ63:BQ63)/$BV63</f>
        <v>0.79997632222532156</v>
      </c>
      <c r="EF63" s="32">
        <f t="shared" ref="EF63:EF89" si="314">SUM(BJ63:BR63)/$BV63</f>
        <v>0.84903850935974867</v>
      </c>
      <c r="EG63" s="32">
        <f t="shared" ref="EG63:EG89" si="315">SUM(BJ63:BS63)/$BV63</f>
        <v>0.86602163651264219</v>
      </c>
      <c r="EH63" s="32">
        <f t="shared" ref="EH63:EH89" si="316">SUM(BJ63:BT63)/$BV63</f>
        <v>0.89998789081842923</v>
      </c>
      <c r="EI63" s="32">
        <f t="shared" ref="EI63:EI89" si="317">SUM(BJ63:BU63)/$BV63</f>
        <v>1</v>
      </c>
      <c r="EK63" s="32">
        <f>(CX63+DK63+DX63)/3</f>
        <v>0.11416133110007605</v>
      </c>
      <c r="EL63" s="32">
        <f t="shared" ref="EL63:EL89" si="318">(CY63+DL63+DY63)/3</f>
        <v>0.25698572464025443</v>
      </c>
      <c r="EM63" s="32">
        <f t="shared" ref="EM63:EM89" si="319">(CZ63+DM63+DZ63)/3</f>
        <v>0.35025957178437467</v>
      </c>
      <c r="EN63" s="32">
        <f t="shared" ref="EN63:EN89" si="320">(DA63+DN63+EA63)/3</f>
        <v>0.45642295315077175</v>
      </c>
      <c r="EO63" s="32">
        <f t="shared" ref="EO63:EO89" si="321">(DB63+DO63+EB63)/3</f>
        <v>0.58748360564437963</v>
      </c>
      <c r="EP63" s="32">
        <f t="shared" ref="EP63:EP89" si="322">(DC63+DP63+EC63)/3</f>
        <v>0.69759156744661188</v>
      </c>
      <c r="EQ63" s="32">
        <f t="shared" ref="EQ63:EQ89" si="323">(DD63+DQ63+ED63)/3</f>
        <v>0.74814589471182347</v>
      </c>
      <c r="ER63" s="32">
        <f t="shared" ref="ER63:ER89" si="324">(DE63+DR63+EE63)/3</f>
        <v>0.82018925161872713</v>
      </c>
      <c r="ES63" s="32">
        <f t="shared" ref="ES63:ES89" si="325">(DF63+DS63+EF63)/3</f>
        <v>0.85979730233351781</v>
      </c>
      <c r="ET63" s="32">
        <f t="shared" ref="ET63:ET89" si="326">(DG63+DT63+EG63)/3</f>
        <v>0.89166926014455139</v>
      </c>
      <c r="EU63" s="32">
        <f t="shared" ref="EU63:EU89" si="327">(DH63+DU63+EH63)/3</f>
        <v>0.9281539920472146</v>
      </c>
      <c r="EV63" s="32">
        <f t="shared" ref="EV63:EV89" si="328">(DI63+DV63+EI63)/3</f>
        <v>1</v>
      </c>
      <c r="EX63" s="32">
        <f t="shared" ref="EX63:EX90" si="329">(DK63+DX63+CX63+CK63)/4</f>
        <v>0.12137928633279561</v>
      </c>
      <c r="EY63" s="32">
        <f t="shared" ref="EY63:EY90" si="330">(DL63+DY63+CY63+CL63)/4</f>
        <v>0.27231159240001329</v>
      </c>
      <c r="EZ63" s="32">
        <f t="shared" ref="EZ63:EZ90" si="331">(DM63+DZ63+CZ63+CM63)/4</f>
        <v>0.37216649070241448</v>
      </c>
      <c r="FA63" s="32">
        <f t="shared" ref="FA63:FA90" si="332">(DN63+EA63+DA63+CN63)/4</f>
        <v>0.4585567885620716</v>
      </c>
      <c r="FB63" s="32">
        <f t="shared" ref="FB63:FB90" si="333">(DO63+EB63+DB63+CO63)/4</f>
        <v>0.57170100641145871</v>
      </c>
      <c r="FC63" s="32">
        <f t="shared" ref="FC63:FC90" si="334">(DP63+EC63+DC63+CP63)/4</f>
        <v>0.67468634429375207</v>
      </c>
      <c r="FD63" s="32">
        <f t="shared" ref="FD63:FD90" si="335">(DQ63+ED63+DD63+CQ63)/4</f>
        <v>0.73583492187815414</v>
      </c>
      <c r="FE63" s="32">
        <f t="shared" ref="FE63:FE90" si="336">(DR63+EE63+DE63+CR63)/4</f>
        <v>0.83027259097834516</v>
      </c>
      <c r="FF63" s="32">
        <f t="shared" ref="FF63:FF90" si="337">(DS63+EF63+DF63+CS63)/4</f>
        <v>0.8773528982187726</v>
      </c>
      <c r="FG63" s="32">
        <f t="shared" ref="FG63:FG90" si="338">(DT63+EG63+DG63+CT63)/4</f>
        <v>0.90646916855157478</v>
      </c>
      <c r="FH63" s="32">
        <f t="shared" ref="FH63:FH90" si="339">(DU63+EH63+DH63+CU63)/4</f>
        <v>0.94389319638838209</v>
      </c>
      <c r="FI63" s="32">
        <f t="shared" ref="FI63:FI90" si="340">(DV63+EI63+DI63+CV63)/4</f>
        <v>1</v>
      </c>
      <c r="FK63" s="32">
        <f>(DK63+CX63+CK63)/3</f>
        <v>0.11623626708004625</v>
      </c>
      <c r="FL63" s="32">
        <f t="shared" ref="FL63:FL90" si="341">(DL63+CY63+CL63)/3</f>
        <v>0.26407280561726981</v>
      </c>
      <c r="FM63" s="32">
        <f t="shared" ref="FM63:FM90" si="342">(DM63+CZ63+CM63)/3</f>
        <v>0.36983150397836467</v>
      </c>
      <c r="FN63" s="32">
        <f t="shared" ref="FN63:FN90" si="343">(DN63+DA63+CN63)/3</f>
        <v>0.46426141238214869</v>
      </c>
      <c r="FO63" s="32">
        <f t="shared" ref="FO63:FO90" si="344">(DO63+DB63+CO63)/3</f>
        <v>0.57077499691586875</v>
      </c>
      <c r="FP63" s="32">
        <f t="shared" ref="FP63:FP90" si="345">(DP63+DC63+CP63)/3</f>
        <v>0.67954805246373351</v>
      </c>
      <c r="FQ63" s="32">
        <f t="shared" ref="FQ63:FQ90" si="346">(DQ63+DD63+CQ63)/3</f>
        <v>0.74467821547236035</v>
      </c>
      <c r="FR63" s="32">
        <f t="shared" ref="FR63:FR90" si="347">(DR63+DE63+CR63)/3</f>
        <v>0.84037134722935303</v>
      </c>
      <c r="FS63" s="32">
        <f t="shared" ref="FS63:FS90" si="348">(DS63+DF63+CS63)/3</f>
        <v>0.8867910278384471</v>
      </c>
      <c r="FT63" s="32">
        <f t="shared" ref="FT63:FT90" si="349">(DT63+DG63+CT63)/3</f>
        <v>0.91995167923121901</v>
      </c>
      <c r="FU63" s="32">
        <f t="shared" ref="FU63:FU90" si="350">(DU63+DH63+CU63)/3</f>
        <v>0.95852829824503305</v>
      </c>
      <c r="FV63" s="32">
        <f t="shared" ref="FV63:FV90" si="351">(DV63+DI63+CV63)/3</f>
        <v>1</v>
      </c>
      <c r="FX63" s="32">
        <f>(CX63+CK63+BX63)/3</f>
        <v>0.12851950400842396</v>
      </c>
      <c r="FY63" s="32">
        <f t="shared" ref="FY63:FY90" si="352">(CY63+CL63+BY63)/3</f>
        <v>0.23589105747057051</v>
      </c>
      <c r="FZ63" s="32">
        <f t="shared" ref="FZ63:FZ90" si="353">(CZ63+CM63+BZ63)/3</f>
        <v>0.33387148100625441</v>
      </c>
      <c r="GA63" s="32">
        <f t="shared" ref="GA63:GA90" si="354">(DA63+CN63+CA63)/3</f>
        <v>0.402788464992065</v>
      </c>
      <c r="GB63" s="32">
        <f t="shared" ref="GB63:GB90" si="355">(DB63+CO63+CB63)/3</f>
        <v>0.49462333924755425</v>
      </c>
      <c r="GC63" s="32">
        <f t="shared" ref="GC63:GC90" si="356">(DC63+CP63+CC63)/3</f>
        <v>0.59627401072600283</v>
      </c>
      <c r="GD63" s="32">
        <f t="shared" ref="GD63:GD90" si="357">(DD63+CQ63+CD63)/3</f>
        <v>0.65212956856039739</v>
      </c>
      <c r="GE63" s="32">
        <f t="shared" ref="GE63:GE90" si="358">(DE63+CR63+CE63)/3</f>
        <v>0.77389077693985275</v>
      </c>
      <c r="GF63" s="32">
        <f t="shared" ref="GF63:GF90" si="359">(DF63+CS63+CF63)/3</f>
        <v>0.82827449265874709</v>
      </c>
      <c r="GG63" s="32">
        <f t="shared" ref="GG63:GG90" si="360">(DG63+CT63+CG63)/3</f>
        <v>0.88880419441659875</v>
      </c>
      <c r="GH63" s="32">
        <f t="shared" ref="GH63:GH90" si="361">(DH63+CU63+CH63)/3</f>
        <v>0.95314290373657495</v>
      </c>
      <c r="GI63" s="32">
        <f t="shared" ref="GI63:GI90" si="362">(DI63+CV63+CI63)/3</f>
        <v>1</v>
      </c>
    </row>
    <row r="64" spans="1:191">
      <c r="A64" s="724" t="s">
        <v>78</v>
      </c>
      <c r="B64" s="399">
        <v>3733.59</v>
      </c>
      <c r="C64" s="400">
        <v>4081.92</v>
      </c>
      <c r="D64" s="400">
        <v>685.69</v>
      </c>
      <c r="E64" s="400">
        <v>2609.92</v>
      </c>
      <c r="F64" s="400">
        <v>1337.11</v>
      </c>
      <c r="G64" s="400">
        <v>1753.28</v>
      </c>
      <c r="H64" s="400">
        <v>871.4</v>
      </c>
      <c r="I64" s="400">
        <v>7696.85</v>
      </c>
      <c r="J64" s="400">
        <v>3758.42</v>
      </c>
      <c r="K64" s="400">
        <v>1290.6400000000001</v>
      </c>
      <c r="L64" s="400">
        <v>624</v>
      </c>
      <c r="M64" s="400">
        <v>1400.37</v>
      </c>
      <c r="N64" s="400">
        <f t="shared" si="291"/>
        <v>29843.19</v>
      </c>
      <c r="P64" s="396" t="s">
        <v>78</v>
      </c>
      <c r="Q64" s="399">
        <v>4742.71</v>
      </c>
      <c r="R64" s="400">
        <v>10599.66</v>
      </c>
      <c r="S64" s="400">
        <v>1761.84</v>
      </c>
      <c r="T64" s="400">
        <v>933.3</v>
      </c>
      <c r="U64" s="400">
        <v>1199.96</v>
      </c>
      <c r="V64" s="400">
        <v>228.56</v>
      </c>
      <c r="W64" s="400">
        <v>2990.38</v>
      </c>
      <c r="X64" s="400">
        <v>2717.4</v>
      </c>
      <c r="Y64" s="400">
        <v>2971.38</v>
      </c>
      <c r="Z64" s="400">
        <v>317.45</v>
      </c>
      <c r="AA64" s="400">
        <v>1784.06</v>
      </c>
      <c r="AB64" s="400">
        <v>1809.46</v>
      </c>
      <c r="AC64" s="400">
        <f t="shared" si="292"/>
        <v>32056.160000000003</v>
      </c>
      <c r="AE64" s="127" t="s">
        <v>78</v>
      </c>
      <c r="AF64" s="27">
        <v>5085.5600000000004</v>
      </c>
      <c r="AG64" s="27">
        <v>7773.46</v>
      </c>
      <c r="AH64" s="27">
        <v>1388.88</v>
      </c>
      <c r="AI64" s="27">
        <v>1179.28</v>
      </c>
      <c r="AJ64" s="27">
        <v>2579.6799999999998</v>
      </c>
      <c r="AK64" s="27">
        <v>2782.35</v>
      </c>
      <c r="AL64" s="27">
        <v>2985.06</v>
      </c>
      <c r="AM64" s="27">
        <v>2081</v>
      </c>
      <c r="AN64" s="27">
        <v>1814.99</v>
      </c>
      <c r="AO64" s="27">
        <v>1280.6300000000001</v>
      </c>
      <c r="AP64" s="27">
        <v>2072.92</v>
      </c>
      <c r="AQ64" s="27">
        <v>1483.32</v>
      </c>
      <c r="AR64" s="43">
        <f t="shared" si="293"/>
        <v>32507.130000000005</v>
      </c>
      <c r="AT64" s="60" t="s">
        <v>78</v>
      </c>
      <c r="AU64" s="27">
        <v>2668.89</v>
      </c>
      <c r="AV64" s="27">
        <v>7873.25</v>
      </c>
      <c r="AW64" s="27">
        <v>2953.58</v>
      </c>
      <c r="AX64" s="27">
        <v>2072.87</v>
      </c>
      <c r="AY64" s="27">
        <v>2873.53</v>
      </c>
      <c r="AZ64" s="27">
        <v>2250.79</v>
      </c>
      <c r="BA64" s="27">
        <v>1009.72</v>
      </c>
      <c r="BB64" s="27">
        <v>969.7</v>
      </c>
      <c r="BC64" s="27">
        <v>1218.79</v>
      </c>
      <c r="BD64" s="27">
        <v>493.73</v>
      </c>
      <c r="BE64" s="27">
        <v>346.96</v>
      </c>
      <c r="BF64" s="27">
        <v>1307.77</v>
      </c>
      <c r="BG64" s="43">
        <f t="shared" si="2"/>
        <v>26039.58</v>
      </c>
      <c r="BI64" s="60" t="s">
        <v>78</v>
      </c>
      <c r="BJ64" s="27">
        <v>5489.03</v>
      </c>
      <c r="BK64" s="27">
        <v>8011.12</v>
      </c>
      <c r="BL64" s="27">
        <v>2615.0700000000002</v>
      </c>
      <c r="BM64" s="27">
        <v>1083.58</v>
      </c>
      <c r="BN64" s="27">
        <v>2207.84</v>
      </c>
      <c r="BO64" s="27">
        <v>1367.17</v>
      </c>
      <c r="BP64" s="27">
        <v>523.6</v>
      </c>
      <c r="BQ64" s="27">
        <v>1762.78</v>
      </c>
      <c r="BR64" s="27">
        <v>65.45</v>
      </c>
      <c r="BS64" s="27">
        <v>104.72</v>
      </c>
      <c r="BT64" s="27">
        <v>104.72</v>
      </c>
      <c r="BU64" s="27">
        <v>261.8</v>
      </c>
      <c r="BV64" s="43">
        <f t="shared" si="52"/>
        <v>23596.879999999997</v>
      </c>
      <c r="BW64" s="405"/>
      <c r="BX64" s="32">
        <f t="shared" ref="BX64:BX89" si="363">B64/$N64</f>
        <v>0.12510693394372385</v>
      </c>
      <c r="BY64" s="32">
        <f t="shared" ref="BY64:BY89" si="364">SUM(B64:C64)/$N64</f>
        <v>0.26188587748159631</v>
      </c>
      <c r="BZ64" s="32">
        <f t="shared" ref="BZ64:BZ89" si="365">SUM(B64:D64)/$N64</f>
        <v>0.28486230862049267</v>
      </c>
      <c r="CA64" s="32">
        <f t="shared" ref="CA64:CA89" si="366">SUM(B64:E64)/$N64</f>
        <v>0.37231676640466388</v>
      </c>
      <c r="CB64" s="32">
        <f t="shared" ref="CB64:CB89" si="367">SUM(B64:F64)/$N64</f>
        <v>0.41712129299850326</v>
      </c>
      <c r="CC64" s="32">
        <f t="shared" ref="CC64:CC89" si="368">SUM(B64:G64)/$N64</f>
        <v>0.47587104461687918</v>
      </c>
      <c r="CD64" s="32">
        <f t="shared" ref="CD64:CD89" si="369">SUM(B64:H64)/$N64</f>
        <v>0.50507033597949824</v>
      </c>
      <c r="CE64" s="32">
        <f t="shared" ref="CE64:CE89" si="370">SUM(B64:I64)/$N64</f>
        <v>0.76298009696684577</v>
      </c>
      <c r="CF64" s="32">
        <f t="shared" ref="CF64:CF89" si="371">SUM(B64:J64)/$N64</f>
        <v>0.88891904652284159</v>
      </c>
      <c r="CG64" s="32">
        <f t="shared" ref="CG64:CG89" si="372">SUM(B64:K64)/$N64</f>
        <v>0.932166433950258</v>
      </c>
      <c r="CH64" s="32">
        <f t="shared" ref="CH64:CH89" si="373">SUM(B64:L64)/$N64</f>
        <v>0.95307572682410968</v>
      </c>
      <c r="CI64" s="32">
        <f t="shared" ref="CI64:CI89" si="374">SUM(B64:M64)/$N64</f>
        <v>1</v>
      </c>
      <c r="CJ64" s="405"/>
      <c r="CK64" s="32">
        <f t="shared" ref="CK64:CK89" si="375">Q64/$AC64</f>
        <v>0.14795003518824462</v>
      </c>
      <c r="CL64" s="32">
        <f t="shared" ref="CL64:CL89" si="376">SUM(Q64:R64)/$AC64</f>
        <v>0.47860910352331648</v>
      </c>
      <c r="CM64" s="32">
        <f t="shared" ref="CM64:CM89" si="377">SUM(Q64:S64)/$AC64</f>
        <v>0.53357014689220406</v>
      </c>
      <c r="CN64" s="32">
        <f t="shared" ref="CN64:CN89" si="378">SUM(Q64:T64)/$AC64</f>
        <v>0.56268467589380622</v>
      </c>
      <c r="CO64" s="32">
        <f t="shared" ref="CO64:CO89" si="379">SUM(Q64:U64)/$AC64</f>
        <v>0.60011773088230147</v>
      </c>
      <c r="CP64" s="32">
        <f t="shared" ref="CP64:CP89" si="380">SUM(Q64:V64)/$AC64</f>
        <v>0.60724771775533926</v>
      </c>
      <c r="CQ64" s="32">
        <f t="shared" ref="CQ64:CQ89" si="381">SUM(Q64:W64)/$AC64</f>
        <v>0.70053337642437519</v>
      </c>
      <c r="CR64" s="32">
        <f t="shared" ref="CR64:CR89" si="382">SUM(Q64:X64)/$AC64</f>
        <v>0.78530335511177873</v>
      </c>
      <c r="CS64" s="32">
        <f t="shared" ref="CS64:CS89" si="383">SUM(Q64:Y64)/$AC64</f>
        <v>0.87799630398650363</v>
      </c>
      <c r="CT64" s="32">
        <f t="shared" ref="CT64:CT89" si="384">SUM(Q64:Z64)/$AC64</f>
        <v>0.88789923683934691</v>
      </c>
      <c r="CU64" s="32">
        <f t="shared" ref="CU64:CU89" si="385">SUM(Q64:AA64)/$AC64</f>
        <v>0.94355343871505515</v>
      </c>
      <c r="CV64" s="32">
        <f t="shared" ref="CV64:CV89" si="386">SUM(Q64:AB64)/$AC64</f>
        <v>1</v>
      </c>
      <c r="CX64" s="32">
        <f t="shared" ref="CX64:CX89" si="387">AF64/$AR64</f>
        <v>0.15644444772577584</v>
      </c>
      <c r="CY64" s="32">
        <f t="shared" ref="CY64:CY89" si="388">SUM(AF64:AG64)/$AR64</f>
        <v>0.39557537069559812</v>
      </c>
      <c r="CZ64" s="32">
        <f t="shared" ref="CZ64:CZ89" si="389">SUM(AF64:AH64)/$AR64</f>
        <v>0.43830076663181278</v>
      </c>
      <c r="DA64" s="32">
        <f t="shared" ref="DA64:DA89" si="390">SUM(AF64:AI64)/$AR64</f>
        <v>0.47457834635047758</v>
      </c>
      <c r="DB64" s="32">
        <f t="shared" ref="DB64:DB89" si="391">SUM(AF64:AJ64)/$AR64</f>
        <v>0.55393570579746654</v>
      </c>
      <c r="DC64" s="32">
        <f t="shared" ref="DC64:DC89" si="392">SUM(AF64:AK64)/$AR64</f>
        <v>0.63952769746206439</v>
      </c>
      <c r="DD64" s="32">
        <f t="shared" ref="DD64:DD89" si="393">SUM(AF64:AL64)/$AR64</f>
        <v>0.73135555184354928</v>
      </c>
      <c r="DE64" s="32">
        <f t="shared" ref="DE64:DE89" si="394">SUM(AF64:AM64)/$AR64</f>
        <v>0.79537227678973799</v>
      </c>
      <c r="DF64" s="32">
        <f t="shared" ref="DF64:DF89" si="395">SUM(AF64:AN64)/$AR64</f>
        <v>0.85120587391135416</v>
      </c>
      <c r="DG64" s="32">
        <f t="shared" ref="DG64:DG89" si="396">SUM(AF64:AO64)/$AR64</f>
        <v>0.89060123117605272</v>
      </c>
      <c r="DH64" s="32">
        <f t="shared" ref="DH64:DH89" si="397">SUM(AF64:AP64)/$AR64</f>
        <v>0.95436939526805353</v>
      </c>
      <c r="DI64" s="32">
        <f t="shared" ref="DI64:DI89" si="398">SUM(AF64:AQ64)/$AR64</f>
        <v>1</v>
      </c>
      <c r="DK64" s="32">
        <f t="shared" si="294"/>
        <v>0.10249358860626784</v>
      </c>
      <c r="DL64" s="32">
        <f t="shared" si="295"/>
        <v>0.40485061587014837</v>
      </c>
      <c r="DM64" s="32">
        <f t="shared" si="296"/>
        <v>0.51827717651359961</v>
      </c>
      <c r="DN64" s="32">
        <f t="shared" si="297"/>
        <v>0.59788176306991125</v>
      </c>
      <c r="DO64" s="32">
        <f t="shared" si="298"/>
        <v>0.70823415738656303</v>
      </c>
      <c r="DP64" s="32">
        <f t="shared" si="299"/>
        <v>0.79467141943149611</v>
      </c>
      <c r="DQ64" s="32">
        <f t="shared" si="300"/>
        <v>0.83344777450327534</v>
      </c>
      <c r="DR64" s="32">
        <f t="shared" si="301"/>
        <v>0.87068723842704066</v>
      </c>
      <c r="DS64" s="32">
        <f t="shared" si="302"/>
        <v>0.9174925248410305</v>
      </c>
      <c r="DT64" s="32">
        <f t="shared" si="303"/>
        <v>0.93645327612810958</v>
      </c>
      <c r="DU64" s="32">
        <f t="shared" si="304"/>
        <v>0.94977760778015619</v>
      </c>
      <c r="DV64" s="32">
        <f t="shared" si="305"/>
        <v>1</v>
      </c>
      <c r="DW64" s="39"/>
      <c r="DX64" s="32">
        <f t="shared" si="306"/>
        <v>0.23261676967463496</v>
      </c>
      <c r="DY64" s="32">
        <f t="shared" si="307"/>
        <v>0.57211588989730855</v>
      </c>
      <c r="DZ64" s="32">
        <f t="shared" si="308"/>
        <v>0.68293859188163863</v>
      </c>
      <c r="EA64" s="32">
        <f t="shared" si="309"/>
        <v>0.72885906950410395</v>
      </c>
      <c r="EB64" s="32">
        <f t="shared" si="310"/>
        <v>0.82242398147551721</v>
      </c>
      <c r="EC64" s="32">
        <f t="shared" si="311"/>
        <v>0.88036257335715573</v>
      </c>
      <c r="ED64" s="32">
        <f t="shared" si="312"/>
        <v>0.90255194754560764</v>
      </c>
      <c r="EE64" s="32">
        <f t="shared" si="313"/>
        <v>0.97725589145683656</v>
      </c>
      <c r="EF64" s="32">
        <f t="shared" si="314"/>
        <v>0.98002956323039314</v>
      </c>
      <c r="EG64" s="32">
        <f t="shared" si="315"/>
        <v>0.98446743806808357</v>
      </c>
      <c r="EH64" s="32">
        <f t="shared" si="316"/>
        <v>0.98890531290577399</v>
      </c>
      <c r="EI64" s="32">
        <f t="shared" si="317"/>
        <v>1</v>
      </c>
      <c r="EK64" s="32">
        <f t="shared" ref="EK64:EK89" si="399">(CX64+DK64+DX64)/3</f>
        <v>0.16385160200222623</v>
      </c>
      <c r="EL64" s="32">
        <f t="shared" si="318"/>
        <v>0.45751395882101836</v>
      </c>
      <c r="EM64" s="32">
        <f t="shared" si="319"/>
        <v>0.54650551167568373</v>
      </c>
      <c r="EN64" s="32">
        <f t="shared" si="320"/>
        <v>0.60043972630816422</v>
      </c>
      <c r="EO64" s="32">
        <f t="shared" si="321"/>
        <v>0.69486461488651552</v>
      </c>
      <c r="EP64" s="32">
        <f t="shared" si="322"/>
        <v>0.77152056341690545</v>
      </c>
      <c r="EQ64" s="32">
        <f t="shared" si="323"/>
        <v>0.82245175796414405</v>
      </c>
      <c r="ER64" s="32">
        <f t="shared" si="324"/>
        <v>0.88110513555787173</v>
      </c>
      <c r="ES64" s="32">
        <f t="shared" si="325"/>
        <v>0.91624265399425919</v>
      </c>
      <c r="ET64" s="32">
        <f t="shared" si="326"/>
        <v>0.93717398179074862</v>
      </c>
      <c r="EU64" s="32">
        <f t="shared" si="327"/>
        <v>0.96435077198466124</v>
      </c>
      <c r="EV64" s="32">
        <f t="shared" si="328"/>
        <v>1</v>
      </c>
      <c r="EX64" s="32">
        <f t="shared" si="329"/>
        <v>0.15987621029873084</v>
      </c>
      <c r="EY64" s="32">
        <f t="shared" si="330"/>
        <v>0.46278774499659286</v>
      </c>
      <c r="EZ64" s="32">
        <f t="shared" si="331"/>
        <v>0.54327167047981373</v>
      </c>
      <c r="FA64" s="32">
        <f t="shared" si="332"/>
        <v>0.59100096370457478</v>
      </c>
      <c r="FB64" s="32">
        <f t="shared" si="333"/>
        <v>0.67117789388546201</v>
      </c>
      <c r="FC64" s="32">
        <f t="shared" si="334"/>
        <v>0.73045235200151382</v>
      </c>
      <c r="FD64" s="32">
        <f t="shared" si="335"/>
        <v>0.79197216257920189</v>
      </c>
      <c r="FE64" s="32">
        <f t="shared" si="336"/>
        <v>0.85715469044634851</v>
      </c>
      <c r="FF64" s="32">
        <f t="shared" si="337"/>
        <v>0.90668106649232028</v>
      </c>
      <c r="FG64" s="32">
        <f t="shared" si="338"/>
        <v>0.92485529555289814</v>
      </c>
      <c r="FH64" s="32">
        <f t="shared" si="339"/>
        <v>0.95915143866725971</v>
      </c>
      <c r="FI64" s="32">
        <f t="shared" si="340"/>
        <v>1</v>
      </c>
      <c r="FK64" s="32">
        <f t="shared" ref="FK64:FK90" si="400">(DK64+CX64+CK64)/3</f>
        <v>0.13562935717342944</v>
      </c>
      <c r="FL64" s="32">
        <f t="shared" si="341"/>
        <v>0.42634503002968765</v>
      </c>
      <c r="FM64" s="32">
        <f t="shared" si="342"/>
        <v>0.49671603001253883</v>
      </c>
      <c r="FN64" s="32">
        <f t="shared" si="343"/>
        <v>0.54504826177139831</v>
      </c>
      <c r="FO64" s="32">
        <f t="shared" si="344"/>
        <v>0.62076253135544368</v>
      </c>
      <c r="FP64" s="32">
        <f t="shared" si="345"/>
        <v>0.68048227821629992</v>
      </c>
      <c r="FQ64" s="32">
        <f t="shared" si="346"/>
        <v>0.75511223425706664</v>
      </c>
      <c r="FR64" s="32">
        <f t="shared" si="347"/>
        <v>0.81712095677618579</v>
      </c>
      <c r="FS64" s="32">
        <f t="shared" si="348"/>
        <v>0.88223156757962939</v>
      </c>
      <c r="FT64" s="32">
        <f t="shared" si="349"/>
        <v>0.90498458138116966</v>
      </c>
      <c r="FU64" s="32">
        <f t="shared" si="350"/>
        <v>0.94923348058775492</v>
      </c>
      <c r="FV64" s="32">
        <f t="shared" si="351"/>
        <v>1</v>
      </c>
      <c r="FX64" s="32">
        <f t="shared" ref="FX64:FX90" si="401">(CX64+CK64+BX64)/3</f>
        <v>0.14316713895258146</v>
      </c>
      <c r="FY64" s="32">
        <f t="shared" si="352"/>
        <v>0.37869011723350371</v>
      </c>
      <c r="FZ64" s="32">
        <f t="shared" si="353"/>
        <v>0.41891107404816985</v>
      </c>
      <c r="GA64" s="32">
        <f t="shared" si="354"/>
        <v>0.46985992954964922</v>
      </c>
      <c r="GB64" s="32">
        <f t="shared" si="355"/>
        <v>0.52372490989275711</v>
      </c>
      <c r="GC64" s="32">
        <f t="shared" si="356"/>
        <v>0.57421548661142763</v>
      </c>
      <c r="GD64" s="32">
        <f t="shared" si="357"/>
        <v>0.64565308808247435</v>
      </c>
      <c r="GE64" s="32">
        <f t="shared" si="358"/>
        <v>0.78121857628945424</v>
      </c>
      <c r="GF64" s="32">
        <f t="shared" si="359"/>
        <v>0.8727070748068998</v>
      </c>
      <c r="GG64" s="32">
        <f t="shared" si="360"/>
        <v>0.90355563398855254</v>
      </c>
      <c r="GH64" s="32">
        <f t="shared" si="361"/>
        <v>0.95033285360240605</v>
      </c>
      <c r="GI64" s="32">
        <f t="shared" si="362"/>
        <v>1</v>
      </c>
    </row>
    <row r="65" spans="1:191">
      <c r="A65" s="724" t="s">
        <v>79</v>
      </c>
      <c r="B65" s="399">
        <v>2771.79</v>
      </c>
      <c r="C65" s="400">
        <v>1203.1400000000001</v>
      </c>
      <c r="D65" s="400">
        <v>4993.5</v>
      </c>
      <c r="E65" s="400">
        <v>1742.8</v>
      </c>
      <c r="F65" s="400">
        <v>3273.9</v>
      </c>
      <c r="G65" s="400">
        <v>1809.48</v>
      </c>
      <c r="H65" s="400">
        <v>1842.79</v>
      </c>
      <c r="I65" s="400">
        <v>3482.2</v>
      </c>
      <c r="J65" s="400">
        <v>5086.32</v>
      </c>
      <c r="K65" s="400">
        <v>5805.08</v>
      </c>
      <c r="L65" s="400">
        <v>3241.34</v>
      </c>
      <c r="M65" s="400">
        <v>3028.5</v>
      </c>
      <c r="N65" s="400">
        <f t="shared" si="291"/>
        <v>38280.839999999997</v>
      </c>
      <c r="P65" s="396" t="s">
        <v>79</v>
      </c>
      <c r="Q65" s="399">
        <v>2990.38</v>
      </c>
      <c r="R65" s="400">
        <v>4628.43</v>
      </c>
      <c r="S65" s="400">
        <v>3295.12</v>
      </c>
      <c r="T65" s="400">
        <v>2285.64</v>
      </c>
      <c r="U65" s="400">
        <v>685.69</v>
      </c>
      <c r="V65" s="400">
        <v>3546.0299999999997</v>
      </c>
      <c r="W65" s="400">
        <v>5018.8900000000003</v>
      </c>
      <c r="X65" s="400">
        <v>7009.38</v>
      </c>
      <c r="Y65" s="400">
        <v>1809.5</v>
      </c>
      <c r="Z65" s="400">
        <v>333.31</v>
      </c>
      <c r="AA65" s="400">
        <v>2599.88</v>
      </c>
      <c r="AB65" s="400">
        <v>2580.88</v>
      </c>
      <c r="AC65" s="400">
        <f t="shared" si="292"/>
        <v>36783.129999999997</v>
      </c>
      <c r="AE65" s="127" t="s">
        <v>79</v>
      </c>
      <c r="AF65" s="27">
        <v>3528.58</v>
      </c>
      <c r="AG65" s="27">
        <v>1354.32</v>
      </c>
      <c r="AH65" s="27">
        <v>1990.03</v>
      </c>
      <c r="AI65" s="27">
        <v>3156.35</v>
      </c>
      <c r="AJ65" s="27">
        <v>5951.62</v>
      </c>
      <c r="AK65" s="27">
        <v>3198.67</v>
      </c>
      <c r="AL65" s="27">
        <v>3733.61</v>
      </c>
      <c r="AM65" s="27">
        <v>1580.35</v>
      </c>
      <c r="AN65" s="27">
        <v>2815.34</v>
      </c>
      <c r="AO65" s="27">
        <v>1667.61</v>
      </c>
      <c r="AP65" s="27">
        <v>1986.14</v>
      </c>
      <c r="AQ65" s="27">
        <v>1326.7</v>
      </c>
      <c r="AR65" s="43">
        <f t="shared" si="293"/>
        <v>32289.32</v>
      </c>
      <c r="AT65" s="60" t="s">
        <v>79</v>
      </c>
      <c r="AU65" s="27">
        <v>1583.53</v>
      </c>
      <c r="AV65" s="27">
        <v>3053.66</v>
      </c>
      <c r="AW65" s="27">
        <v>1003.81</v>
      </c>
      <c r="AX65" s="27">
        <v>5320.03</v>
      </c>
      <c r="AY65" s="27">
        <v>3101.8800000000006</v>
      </c>
      <c r="AZ65" s="27">
        <v>5574.91</v>
      </c>
      <c r="BA65" s="27">
        <v>2464.3200000000002</v>
      </c>
      <c r="BB65" s="27">
        <v>707.26</v>
      </c>
      <c r="BC65" s="27">
        <v>1430.52</v>
      </c>
      <c r="BD65" s="27">
        <v>1928.29</v>
      </c>
      <c r="BE65" s="27">
        <v>1702.26</v>
      </c>
      <c r="BF65" s="27">
        <v>696.13</v>
      </c>
      <c r="BG65" s="43">
        <f t="shared" si="2"/>
        <v>28566.6</v>
      </c>
      <c r="BI65" s="60" t="s">
        <v>79</v>
      </c>
      <c r="BJ65" s="27">
        <v>1326.45</v>
      </c>
      <c r="BK65" s="27">
        <v>2018.8700000000001</v>
      </c>
      <c r="BL65" s="27">
        <v>707.43000000000006</v>
      </c>
      <c r="BM65" s="27">
        <v>1994.92</v>
      </c>
      <c r="BN65" s="27">
        <v>2985.21</v>
      </c>
      <c r="BO65" s="27">
        <v>5981.61</v>
      </c>
      <c r="BP65" s="27">
        <v>1923.36</v>
      </c>
      <c r="BQ65" s="27">
        <v>2375.39</v>
      </c>
      <c r="BR65" s="27">
        <v>1247.9100000000001</v>
      </c>
      <c r="BS65" s="27">
        <v>1926.83</v>
      </c>
      <c r="BT65" s="27">
        <v>748.59</v>
      </c>
      <c r="BU65" s="27">
        <v>1151.8800000000001</v>
      </c>
      <c r="BV65" s="43">
        <f t="shared" si="52"/>
        <v>24388.450000000004</v>
      </c>
      <c r="BW65" s="405"/>
      <c r="BX65" s="32">
        <f t="shared" si="363"/>
        <v>7.2406718347873253E-2</v>
      </c>
      <c r="BY65" s="32">
        <f t="shared" si="364"/>
        <v>0.10383601822739523</v>
      </c>
      <c r="BZ65" s="32">
        <f t="shared" si="365"/>
        <v>0.23427986428719957</v>
      </c>
      <c r="CA65" s="32">
        <f t="shared" si="366"/>
        <v>0.27980655596899129</v>
      </c>
      <c r="CB65" s="32">
        <f t="shared" si="367"/>
        <v>0.36532975765422077</v>
      </c>
      <c r="CC65" s="32">
        <f t="shared" si="368"/>
        <v>0.41259831288968579</v>
      </c>
      <c r="CD65" s="32">
        <f t="shared" si="369"/>
        <v>0.46073701622012475</v>
      </c>
      <c r="CE65" s="32">
        <f t="shared" si="370"/>
        <v>0.55170158230592647</v>
      </c>
      <c r="CF65" s="32">
        <f t="shared" si="371"/>
        <v>0.68457014004917349</v>
      </c>
      <c r="CG65" s="32">
        <f t="shared" si="372"/>
        <v>0.83621467031548946</v>
      </c>
      <c r="CH65" s="32">
        <f t="shared" si="373"/>
        <v>0.92088731595231454</v>
      </c>
      <c r="CI65" s="32">
        <f t="shared" si="374"/>
        <v>1</v>
      </c>
      <c r="CJ65" s="405"/>
      <c r="CK65" s="32">
        <f t="shared" si="375"/>
        <v>8.1297594848508001E-2</v>
      </c>
      <c r="CL65" s="32">
        <f t="shared" si="376"/>
        <v>0.2071278327863888</v>
      </c>
      <c r="CM65" s="32">
        <f t="shared" si="377"/>
        <v>0.29671020383529084</v>
      </c>
      <c r="CN65" s="32">
        <f t="shared" si="378"/>
        <v>0.35884847211207965</v>
      </c>
      <c r="CO65" s="32">
        <f t="shared" si="379"/>
        <v>0.37748989822236445</v>
      </c>
      <c r="CP65" s="32">
        <f t="shared" si="380"/>
        <v>0.47389360285543947</v>
      </c>
      <c r="CQ65" s="32">
        <f t="shared" si="381"/>
        <v>0.6103390331382893</v>
      </c>
      <c r="CR65" s="32">
        <f t="shared" si="382"/>
        <v>0.80089867284268645</v>
      </c>
      <c r="CS65" s="32">
        <f t="shared" si="383"/>
        <v>0.85009242008496844</v>
      </c>
      <c r="CT65" s="32">
        <f t="shared" si="384"/>
        <v>0.85915391104563432</v>
      </c>
      <c r="CU65" s="32">
        <f t="shared" si="385"/>
        <v>0.92983522609413616</v>
      </c>
      <c r="CV65" s="32">
        <f t="shared" si="386"/>
        <v>1</v>
      </c>
      <c r="CX65" s="32">
        <f t="shared" si="387"/>
        <v>0.10928009632906484</v>
      </c>
      <c r="CY65" s="32">
        <f t="shared" si="388"/>
        <v>0.15122337664590024</v>
      </c>
      <c r="CZ65" s="32">
        <f t="shared" si="389"/>
        <v>0.21285459092975631</v>
      </c>
      <c r="DA65" s="32">
        <f t="shared" si="390"/>
        <v>0.3106067269301428</v>
      </c>
      <c r="DB65" s="32">
        <f t="shared" si="391"/>
        <v>0.49492835401922364</v>
      </c>
      <c r="DC65" s="32">
        <f t="shared" si="392"/>
        <v>0.59399114010452991</v>
      </c>
      <c r="DD65" s="32">
        <f t="shared" si="393"/>
        <v>0.7096210140071082</v>
      </c>
      <c r="DE65" s="32">
        <f t="shared" si="394"/>
        <v>0.75856444174110815</v>
      </c>
      <c r="DF65" s="32">
        <f t="shared" si="395"/>
        <v>0.84575550058037763</v>
      </c>
      <c r="DG65" s="32">
        <f t="shared" si="396"/>
        <v>0.89740136986471064</v>
      </c>
      <c r="DH65" s="32">
        <f t="shared" si="397"/>
        <v>0.95891211087752848</v>
      </c>
      <c r="DI65" s="32">
        <f t="shared" si="398"/>
        <v>1</v>
      </c>
      <c r="DK65" s="32">
        <f t="shared" si="294"/>
        <v>5.543291816316958E-2</v>
      </c>
      <c r="DL65" s="32">
        <f t="shared" si="295"/>
        <v>0.16232908361513096</v>
      </c>
      <c r="DM65" s="32">
        <f t="shared" si="296"/>
        <v>0.19746837215489418</v>
      </c>
      <c r="DN65" s="32">
        <f t="shared" si="297"/>
        <v>0.38370089545133124</v>
      </c>
      <c r="DO65" s="32">
        <f t="shared" si="298"/>
        <v>0.49228504617280322</v>
      </c>
      <c r="DP65" s="32">
        <f t="shared" si="299"/>
        <v>0.68743987733927037</v>
      </c>
      <c r="DQ65" s="32">
        <f t="shared" si="300"/>
        <v>0.77370565625590726</v>
      </c>
      <c r="DR65" s="32">
        <f t="shared" si="301"/>
        <v>0.79846394040592861</v>
      </c>
      <c r="DS65" s="32">
        <f t="shared" si="302"/>
        <v>0.84854060336196813</v>
      </c>
      <c r="DT65" s="32">
        <f t="shared" si="303"/>
        <v>0.91604216112523018</v>
      </c>
      <c r="DU65" s="32">
        <f t="shared" si="304"/>
        <v>0.97563133169505645</v>
      </c>
      <c r="DV65" s="32">
        <f t="shared" si="305"/>
        <v>1</v>
      </c>
      <c r="DW65" s="39"/>
      <c r="DX65" s="32">
        <f t="shared" si="306"/>
        <v>5.4388450270517391E-2</v>
      </c>
      <c r="DY65" s="32">
        <f t="shared" si="307"/>
        <v>0.13716820872175148</v>
      </c>
      <c r="DZ65" s="32">
        <f t="shared" si="308"/>
        <v>0.16617497216920302</v>
      </c>
      <c r="EA65" s="32">
        <f t="shared" si="309"/>
        <v>0.24797270839270225</v>
      </c>
      <c r="EB65" s="32">
        <f t="shared" si="310"/>
        <v>0.37037532110486726</v>
      </c>
      <c r="EC65" s="32">
        <f t="shared" si="311"/>
        <v>0.61563937027568372</v>
      </c>
      <c r="ED65" s="32">
        <f t="shared" si="312"/>
        <v>0.69450293069055224</v>
      </c>
      <c r="EE65" s="32">
        <f t="shared" si="313"/>
        <v>0.79190108432475204</v>
      </c>
      <c r="EF65" s="32">
        <f t="shared" si="314"/>
        <v>0.84306915773655144</v>
      </c>
      <c r="EG65" s="32">
        <f t="shared" si="315"/>
        <v>0.92207499861614817</v>
      </c>
      <c r="EH65" s="32">
        <f t="shared" si="316"/>
        <v>0.95276944619276749</v>
      </c>
      <c r="EI65" s="32">
        <f t="shared" si="317"/>
        <v>1</v>
      </c>
      <c r="EK65" s="32">
        <f t="shared" si="399"/>
        <v>7.3033821587583939E-2</v>
      </c>
      <c r="EL65" s="32">
        <f t="shared" si="318"/>
        <v>0.1502402229942609</v>
      </c>
      <c r="EM65" s="32">
        <f t="shared" si="319"/>
        <v>0.19216597841795116</v>
      </c>
      <c r="EN65" s="32">
        <f t="shared" si="320"/>
        <v>0.31409344359139207</v>
      </c>
      <c r="EO65" s="32">
        <f t="shared" si="321"/>
        <v>0.45252957376563135</v>
      </c>
      <c r="EP65" s="32">
        <f t="shared" si="322"/>
        <v>0.63235679590649463</v>
      </c>
      <c r="EQ65" s="32">
        <f t="shared" si="323"/>
        <v>0.72594320031785597</v>
      </c>
      <c r="ER65" s="32">
        <f t="shared" si="324"/>
        <v>0.78297648882392956</v>
      </c>
      <c r="ES65" s="32">
        <f t="shared" si="325"/>
        <v>0.84578842055963255</v>
      </c>
      <c r="ET65" s="32">
        <f t="shared" si="326"/>
        <v>0.91183950986869633</v>
      </c>
      <c r="EU65" s="32">
        <f t="shared" si="327"/>
        <v>0.9624376295884508</v>
      </c>
      <c r="EV65" s="32">
        <f t="shared" si="328"/>
        <v>1</v>
      </c>
      <c r="EX65" s="32">
        <f t="shared" si="329"/>
        <v>7.5099764902814961E-2</v>
      </c>
      <c r="EY65" s="32">
        <f t="shared" si="330"/>
        <v>0.16446212544229288</v>
      </c>
      <c r="EZ65" s="32">
        <f t="shared" si="331"/>
        <v>0.2183020347722861</v>
      </c>
      <c r="FA65" s="32">
        <f t="shared" si="332"/>
        <v>0.325282200721564</v>
      </c>
      <c r="FB65" s="32">
        <f t="shared" si="333"/>
        <v>0.43376965487981461</v>
      </c>
      <c r="FC65" s="32">
        <f t="shared" si="334"/>
        <v>0.59274099764373089</v>
      </c>
      <c r="FD65" s="32">
        <f t="shared" si="335"/>
        <v>0.69704215852296425</v>
      </c>
      <c r="FE65" s="32">
        <f t="shared" si="336"/>
        <v>0.78745703482861884</v>
      </c>
      <c r="FF65" s="32">
        <f t="shared" si="337"/>
        <v>0.84686442044096633</v>
      </c>
      <c r="FG65" s="32">
        <f t="shared" si="338"/>
        <v>0.8986681101629308</v>
      </c>
      <c r="FH65" s="32">
        <f t="shared" si="339"/>
        <v>0.95428702871487214</v>
      </c>
      <c r="FI65" s="32">
        <f t="shared" si="340"/>
        <v>1</v>
      </c>
      <c r="FK65" s="32">
        <f t="shared" si="400"/>
        <v>8.2003536446914146E-2</v>
      </c>
      <c r="FL65" s="32">
        <f t="shared" si="341"/>
        <v>0.17356009768247335</v>
      </c>
      <c r="FM65" s="32">
        <f t="shared" si="342"/>
        <v>0.2356777223066471</v>
      </c>
      <c r="FN65" s="32">
        <f t="shared" si="343"/>
        <v>0.35105203149785119</v>
      </c>
      <c r="FO65" s="32">
        <f t="shared" si="344"/>
        <v>0.45490109947146379</v>
      </c>
      <c r="FP65" s="32">
        <f t="shared" si="345"/>
        <v>0.58510820676641317</v>
      </c>
      <c r="FQ65" s="32">
        <f t="shared" si="346"/>
        <v>0.69788856780043496</v>
      </c>
      <c r="FR65" s="32">
        <f t="shared" si="347"/>
        <v>0.78597568499657433</v>
      </c>
      <c r="FS65" s="32">
        <f t="shared" si="348"/>
        <v>0.8481295080091048</v>
      </c>
      <c r="FT65" s="32">
        <f t="shared" si="349"/>
        <v>0.89086581401185827</v>
      </c>
      <c r="FU65" s="32">
        <f t="shared" si="350"/>
        <v>0.95479288955557362</v>
      </c>
      <c r="FV65" s="32">
        <f t="shared" si="351"/>
        <v>1</v>
      </c>
      <c r="FX65" s="32">
        <f t="shared" si="401"/>
        <v>8.7661469841815373E-2</v>
      </c>
      <c r="FY65" s="32">
        <f t="shared" si="352"/>
        <v>0.15406240921989475</v>
      </c>
      <c r="FZ65" s="32">
        <f t="shared" si="353"/>
        <v>0.24794821968408223</v>
      </c>
      <c r="GA65" s="32">
        <f t="shared" si="354"/>
        <v>0.31642058500373788</v>
      </c>
      <c r="GB65" s="32">
        <f t="shared" si="355"/>
        <v>0.41258266996526965</v>
      </c>
      <c r="GC65" s="32">
        <f t="shared" si="356"/>
        <v>0.49349435194988506</v>
      </c>
      <c r="GD65" s="32">
        <f t="shared" si="357"/>
        <v>0.59356568778850738</v>
      </c>
      <c r="GE65" s="32">
        <f t="shared" si="358"/>
        <v>0.70372156562990706</v>
      </c>
      <c r="GF65" s="32">
        <f t="shared" si="359"/>
        <v>0.79347268690483974</v>
      </c>
      <c r="GG65" s="32">
        <f t="shared" si="360"/>
        <v>0.86425665040861144</v>
      </c>
      <c r="GH65" s="32">
        <f t="shared" si="361"/>
        <v>0.9365448843079931</v>
      </c>
      <c r="GI65" s="32">
        <f t="shared" si="362"/>
        <v>1</v>
      </c>
    </row>
    <row r="66" spans="1:191">
      <c r="A66" s="724" t="s">
        <v>80</v>
      </c>
      <c r="B66" s="399">
        <v>3219.32</v>
      </c>
      <c r="C66" s="400">
        <v>4209.3999999999996</v>
      </c>
      <c r="D66" s="400">
        <v>3446.74</v>
      </c>
      <c r="E66" s="400">
        <v>2960.88</v>
      </c>
      <c r="F66" s="400">
        <v>2752.3</v>
      </c>
      <c r="G66" s="400">
        <v>1613.3</v>
      </c>
      <c r="H66" s="400">
        <v>1933.3</v>
      </c>
      <c r="I66" s="400">
        <v>5784.63</v>
      </c>
      <c r="J66" s="400">
        <v>4026.88</v>
      </c>
      <c r="K66" s="400">
        <v>3641.21</v>
      </c>
      <c r="L66" s="400">
        <v>3586.34</v>
      </c>
      <c r="M66" s="400">
        <v>3586.62</v>
      </c>
      <c r="N66" s="400">
        <f t="shared" si="291"/>
        <v>40760.920000000006</v>
      </c>
      <c r="P66" s="396" t="s">
        <v>80</v>
      </c>
      <c r="Q66" s="399">
        <v>8818.7800000000007</v>
      </c>
      <c r="R66" s="400">
        <v>9818.7199999999993</v>
      </c>
      <c r="S66" s="400">
        <v>6268.83</v>
      </c>
      <c r="T66" s="400">
        <v>1514.24</v>
      </c>
      <c r="U66" s="400">
        <v>228.56</v>
      </c>
      <c r="V66" s="400">
        <v>3371.31</v>
      </c>
      <c r="W66" s="400">
        <v>3933.2</v>
      </c>
      <c r="X66" s="400">
        <v>6611.22</v>
      </c>
      <c r="Y66" s="400">
        <v>2076.17</v>
      </c>
      <c r="Z66" s="400">
        <v>971.44</v>
      </c>
      <c r="AA66" s="400">
        <v>1847.6099999999997</v>
      </c>
      <c r="AB66" s="400">
        <v>1971.36</v>
      </c>
      <c r="AC66" s="400">
        <f t="shared" si="292"/>
        <v>47431.44000000001</v>
      </c>
      <c r="AE66" s="127" t="s">
        <v>80</v>
      </c>
      <c r="AF66" s="27">
        <v>5306.68</v>
      </c>
      <c r="AG66" s="27">
        <v>9798.06</v>
      </c>
      <c r="AH66" s="27">
        <v>6258.14</v>
      </c>
      <c r="AI66" s="27">
        <v>5857.99</v>
      </c>
      <c r="AJ66" s="27">
        <v>9130.17</v>
      </c>
      <c r="AK66" s="27">
        <v>7092.76</v>
      </c>
      <c r="AL66" s="27">
        <v>4479.41</v>
      </c>
      <c r="AM66" s="27">
        <v>3040.29</v>
      </c>
      <c r="AN66" s="27">
        <v>930.53</v>
      </c>
      <c r="AO66" s="27">
        <v>1243.78</v>
      </c>
      <c r="AP66" s="27">
        <v>451.44</v>
      </c>
      <c r="AQ66" s="27">
        <v>1681.36</v>
      </c>
      <c r="AR66" s="43">
        <f t="shared" si="293"/>
        <v>55270.610000000008</v>
      </c>
      <c r="AT66" s="60" t="s">
        <v>80</v>
      </c>
      <c r="AU66" s="27">
        <v>5150.9799999999996</v>
      </c>
      <c r="AV66" s="27">
        <v>4421.49</v>
      </c>
      <c r="AW66" s="27">
        <v>7868.82</v>
      </c>
      <c r="AX66" s="27">
        <v>4790.72</v>
      </c>
      <c r="AY66" s="27">
        <v>4884.1200000000008</v>
      </c>
      <c r="AZ66" s="27">
        <v>5942.71</v>
      </c>
      <c r="BA66" s="27">
        <v>3236.5200000000004</v>
      </c>
      <c r="BB66" s="27">
        <v>2889.54</v>
      </c>
      <c r="BC66" s="27">
        <v>2090.65</v>
      </c>
      <c r="BD66" s="27">
        <v>2446.4899999999998</v>
      </c>
      <c r="BE66" s="27">
        <v>661.87</v>
      </c>
      <c r="BF66" s="27">
        <v>1476.83</v>
      </c>
      <c r="BG66" s="43">
        <f t="shared" si="2"/>
        <v>45860.740000000005</v>
      </c>
      <c r="BI66" s="60" t="s">
        <v>80</v>
      </c>
      <c r="BJ66" s="27">
        <v>3780.3599999999997</v>
      </c>
      <c r="BK66" s="27">
        <v>8620.23</v>
      </c>
      <c r="BL66" s="27">
        <v>8765.0399999999991</v>
      </c>
      <c r="BM66" s="27">
        <v>4372.07</v>
      </c>
      <c r="BN66" s="27">
        <v>3672.1499999999996</v>
      </c>
      <c r="BO66" s="27">
        <v>4239.45</v>
      </c>
      <c r="BP66" s="27">
        <v>2652.91</v>
      </c>
      <c r="BQ66" s="27">
        <v>916.3</v>
      </c>
      <c r="BR66" s="27">
        <v>1169.6799999999998</v>
      </c>
      <c r="BS66" s="27">
        <v>694.64</v>
      </c>
      <c r="BT66" s="27">
        <v>506.15</v>
      </c>
      <c r="BU66" s="27">
        <v>1527.16</v>
      </c>
      <c r="BV66" s="43">
        <f t="shared" si="52"/>
        <v>40916.14</v>
      </c>
      <c r="BW66" s="405"/>
      <c r="BX66" s="32">
        <f t="shared" si="363"/>
        <v>7.8980552941395818E-2</v>
      </c>
      <c r="BY66" s="32">
        <f t="shared" si="364"/>
        <v>0.182251038494715</v>
      </c>
      <c r="BZ66" s="32">
        <f t="shared" si="365"/>
        <v>0.26681095519924469</v>
      </c>
      <c r="CA66" s="32">
        <f t="shared" si="366"/>
        <v>0.33945112131914584</v>
      </c>
      <c r="CB66" s="32">
        <f t="shared" si="367"/>
        <v>0.40697413110400837</v>
      </c>
      <c r="CC66" s="32">
        <f t="shared" si="368"/>
        <v>0.44655370879754425</v>
      </c>
      <c r="CD66" s="32">
        <f t="shared" si="369"/>
        <v>0.4939839434438672</v>
      </c>
      <c r="CE66" s="32">
        <f t="shared" si="370"/>
        <v>0.63590002384637034</v>
      </c>
      <c r="CF66" s="32">
        <f t="shared" si="371"/>
        <v>0.7346926909402437</v>
      </c>
      <c r="CG66" s="32">
        <f t="shared" si="372"/>
        <v>0.82402359907479994</v>
      </c>
      <c r="CH66" s="32">
        <f t="shared" si="373"/>
        <v>0.91200836487498316</v>
      </c>
      <c r="CI66" s="32">
        <f t="shared" si="374"/>
        <v>1</v>
      </c>
      <c r="CJ66" s="405"/>
      <c r="CK66" s="32">
        <f t="shared" si="375"/>
        <v>0.18592688731356247</v>
      </c>
      <c r="CL66" s="32">
        <f t="shared" si="376"/>
        <v>0.39293557184854594</v>
      </c>
      <c r="CM66" s="32">
        <f t="shared" si="377"/>
        <v>0.52510170469207762</v>
      </c>
      <c r="CN66" s="32">
        <f t="shared" si="378"/>
        <v>0.5570265208056091</v>
      </c>
      <c r="CO66" s="32">
        <f t="shared" si="379"/>
        <v>0.56184526550321889</v>
      </c>
      <c r="CP66" s="32">
        <f t="shared" si="380"/>
        <v>0.63292280394607459</v>
      </c>
      <c r="CQ66" s="32">
        <f t="shared" si="381"/>
        <v>0.71584670421138386</v>
      </c>
      <c r="CR66" s="32">
        <f t="shared" si="382"/>
        <v>0.85523146672333794</v>
      </c>
      <c r="CS66" s="32">
        <f t="shared" si="383"/>
        <v>0.89900348798181118</v>
      </c>
      <c r="CT66" s="32">
        <f t="shared" si="384"/>
        <v>0.91948441793038538</v>
      </c>
      <c r="CU66" s="32">
        <f t="shared" si="385"/>
        <v>0.95843769449124883</v>
      </c>
      <c r="CV66" s="32">
        <f t="shared" si="386"/>
        <v>1</v>
      </c>
      <c r="CX66" s="32">
        <f t="shared" si="387"/>
        <v>9.60126910124567E-2</v>
      </c>
      <c r="CY66" s="32">
        <f t="shared" si="388"/>
        <v>0.27328701456343613</v>
      </c>
      <c r="CZ66" s="32">
        <f t="shared" si="389"/>
        <v>0.38651427946968558</v>
      </c>
      <c r="DA66" s="32">
        <f t="shared" si="390"/>
        <v>0.49250171112640151</v>
      </c>
      <c r="DB66" s="32">
        <f t="shared" si="391"/>
        <v>0.65769203560445588</v>
      </c>
      <c r="DC66" s="32">
        <f t="shared" si="392"/>
        <v>0.78601991184826792</v>
      </c>
      <c r="DD66" s="32">
        <f t="shared" si="393"/>
        <v>0.86706497359084689</v>
      </c>
      <c r="DE66" s="32">
        <f t="shared" si="394"/>
        <v>0.92207232740872591</v>
      </c>
      <c r="DF66" s="32">
        <f t="shared" si="395"/>
        <v>0.93890821903358768</v>
      </c>
      <c r="DG66" s="32">
        <f t="shared" si="396"/>
        <v>0.9614116797335871</v>
      </c>
      <c r="DH66" s="32">
        <f t="shared" si="397"/>
        <v>0.9695794926091823</v>
      </c>
      <c r="DI66" s="32">
        <f t="shared" si="398"/>
        <v>1</v>
      </c>
      <c r="DK66" s="32">
        <f t="shared" si="294"/>
        <v>0.11231785618810336</v>
      </c>
      <c r="DL66" s="32">
        <f t="shared" si="295"/>
        <v>0.20872907851029002</v>
      </c>
      <c r="DM66" s="32">
        <f t="shared" si="296"/>
        <v>0.3803098249177837</v>
      </c>
      <c r="DN66" s="32">
        <f t="shared" si="297"/>
        <v>0.48477216023989145</v>
      </c>
      <c r="DO66" s="32">
        <f t="shared" si="298"/>
        <v>0.59127109593085503</v>
      </c>
      <c r="DP66" s="32">
        <f t="shared" si="299"/>
        <v>0.72085273809362871</v>
      </c>
      <c r="DQ66" s="32">
        <f t="shared" si="300"/>
        <v>0.79142551995454058</v>
      </c>
      <c r="DR66" s="32">
        <f t="shared" si="301"/>
        <v>0.85443235325029643</v>
      </c>
      <c r="DS66" s="32">
        <f t="shared" si="302"/>
        <v>0.90001927574653173</v>
      </c>
      <c r="DT66" s="32">
        <f t="shared" si="303"/>
        <v>0.95336534037610376</v>
      </c>
      <c r="DU66" s="32">
        <f t="shared" si="304"/>
        <v>0.96779751046319795</v>
      </c>
      <c r="DV66" s="32">
        <f t="shared" si="305"/>
        <v>1</v>
      </c>
      <c r="DW66" s="39"/>
      <c r="DX66" s="32">
        <f t="shared" si="306"/>
        <v>9.2392879680243539E-2</v>
      </c>
      <c r="DY66" s="32">
        <f t="shared" si="307"/>
        <v>0.30307331043446428</v>
      </c>
      <c r="DZ66" s="32">
        <f t="shared" si="308"/>
        <v>0.51729293134689636</v>
      </c>
      <c r="EA66" s="32">
        <f t="shared" si="309"/>
        <v>0.62414734136700079</v>
      </c>
      <c r="EB66" s="32">
        <f t="shared" si="310"/>
        <v>0.71389554342125139</v>
      </c>
      <c r="EC66" s="32">
        <f t="shared" si="311"/>
        <v>0.817508689724886</v>
      </c>
      <c r="ED66" s="32">
        <f t="shared" si="312"/>
        <v>0.88234642857317414</v>
      </c>
      <c r="EE66" s="32">
        <f t="shared" si="313"/>
        <v>0.90474101418168951</v>
      </c>
      <c r="EF66" s="32">
        <f t="shared" si="314"/>
        <v>0.93332826605833286</v>
      </c>
      <c r="EG66" s="32">
        <f t="shared" si="315"/>
        <v>0.95030542959330955</v>
      </c>
      <c r="EH66" s="32">
        <f t="shared" si="316"/>
        <v>0.96267585358736174</v>
      </c>
      <c r="EI66" s="32">
        <f t="shared" si="317"/>
        <v>1</v>
      </c>
      <c r="EK66" s="32">
        <f t="shared" si="399"/>
        <v>0.10024114229360119</v>
      </c>
      <c r="EL66" s="32">
        <f t="shared" si="318"/>
        <v>0.26169646783606348</v>
      </c>
      <c r="EM66" s="32">
        <f t="shared" si="319"/>
        <v>0.42803901191145521</v>
      </c>
      <c r="EN66" s="32">
        <f t="shared" si="320"/>
        <v>0.53380707091109791</v>
      </c>
      <c r="EO66" s="32">
        <f t="shared" si="321"/>
        <v>0.6542862249855208</v>
      </c>
      <c r="EP66" s="32">
        <f t="shared" si="322"/>
        <v>0.7747937798889275</v>
      </c>
      <c r="EQ66" s="32">
        <f t="shared" si="323"/>
        <v>0.84694564070618716</v>
      </c>
      <c r="ER66" s="32">
        <f t="shared" si="324"/>
        <v>0.89374856494690391</v>
      </c>
      <c r="ES66" s="32">
        <f t="shared" si="325"/>
        <v>0.92408525361281735</v>
      </c>
      <c r="ET66" s="32">
        <f t="shared" si="326"/>
        <v>0.9550274832343334</v>
      </c>
      <c r="EU66" s="32">
        <f t="shared" si="327"/>
        <v>0.96668428555324726</v>
      </c>
      <c r="EV66" s="32">
        <f t="shared" si="328"/>
        <v>1</v>
      </c>
      <c r="EX66" s="32">
        <f t="shared" si="329"/>
        <v>0.12166257854859153</v>
      </c>
      <c r="EY66" s="32">
        <f t="shared" si="330"/>
        <v>0.29450624383918406</v>
      </c>
      <c r="EZ66" s="32">
        <f t="shared" si="331"/>
        <v>0.45230468510661082</v>
      </c>
      <c r="FA66" s="32">
        <f t="shared" si="332"/>
        <v>0.53961193338472579</v>
      </c>
      <c r="FB66" s="32">
        <f t="shared" si="333"/>
        <v>0.63117598511494533</v>
      </c>
      <c r="FC66" s="32">
        <f t="shared" si="334"/>
        <v>0.73932603590321433</v>
      </c>
      <c r="FD66" s="32">
        <f t="shared" si="335"/>
        <v>0.81417090658248636</v>
      </c>
      <c r="FE66" s="32">
        <f t="shared" si="336"/>
        <v>0.88411929039101245</v>
      </c>
      <c r="FF66" s="32">
        <f t="shared" si="337"/>
        <v>0.91781481220506578</v>
      </c>
      <c r="FG66" s="32">
        <f t="shared" si="338"/>
        <v>0.94614171690834636</v>
      </c>
      <c r="FH66" s="32">
        <f t="shared" si="339"/>
        <v>0.96462263778774771</v>
      </c>
      <c r="FI66" s="32">
        <f t="shared" si="340"/>
        <v>1</v>
      </c>
      <c r="FK66" s="32">
        <f t="shared" si="400"/>
        <v>0.13141914483804085</v>
      </c>
      <c r="FL66" s="32">
        <f t="shared" si="341"/>
        <v>0.2916505549740907</v>
      </c>
      <c r="FM66" s="32">
        <f t="shared" si="342"/>
        <v>0.43064193635984899</v>
      </c>
      <c r="FN66" s="32">
        <f t="shared" si="343"/>
        <v>0.51143346405730072</v>
      </c>
      <c r="FO66" s="32">
        <f t="shared" si="344"/>
        <v>0.60360279901284331</v>
      </c>
      <c r="FP66" s="32">
        <f t="shared" si="345"/>
        <v>0.71326515129599033</v>
      </c>
      <c r="FQ66" s="32">
        <f t="shared" si="346"/>
        <v>0.79144573258559048</v>
      </c>
      <c r="FR66" s="32">
        <f t="shared" si="347"/>
        <v>0.87724538246078676</v>
      </c>
      <c r="FS66" s="32">
        <f t="shared" si="348"/>
        <v>0.91264366092064364</v>
      </c>
      <c r="FT66" s="32">
        <f t="shared" si="349"/>
        <v>0.94475381268002534</v>
      </c>
      <c r="FU66" s="32">
        <f t="shared" si="350"/>
        <v>0.9652715658545431</v>
      </c>
      <c r="FV66" s="32">
        <f t="shared" si="351"/>
        <v>1</v>
      </c>
      <c r="FX66" s="32">
        <f t="shared" si="401"/>
        <v>0.12030671042247167</v>
      </c>
      <c r="FY66" s="32">
        <f t="shared" si="352"/>
        <v>0.2828245416355657</v>
      </c>
      <c r="FZ66" s="32">
        <f t="shared" si="353"/>
        <v>0.39280897978700269</v>
      </c>
      <c r="GA66" s="32">
        <f t="shared" si="354"/>
        <v>0.46299311775038543</v>
      </c>
      <c r="GB66" s="32">
        <f t="shared" si="355"/>
        <v>0.54217047740389435</v>
      </c>
      <c r="GC66" s="32">
        <f t="shared" si="356"/>
        <v>0.62183214153062882</v>
      </c>
      <c r="GD66" s="32">
        <f t="shared" si="357"/>
        <v>0.69229854041536598</v>
      </c>
      <c r="GE66" s="32">
        <f t="shared" si="358"/>
        <v>0.80440127265947814</v>
      </c>
      <c r="GF66" s="32">
        <f t="shared" si="359"/>
        <v>0.85753479931854748</v>
      </c>
      <c r="GG66" s="32">
        <f t="shared" si="360"/>
        <v>0.90163989891292406</v>
      </c>
      <c r="GH66" s="32">
        <f t="shared" si="361"/>
        <v>0.94667518399180484</v>
      </c>
      <c r="GI66" s="32">
        <f t="shared" si="362"/>
        <v>1</v>
      </c>
    </row>
    <row r="67" spans="1:191">
      <c r="A67" s="724" t="s">
        <v>81</v>
      </c>
      <c r="B67" s="399">
        <v>15467.16</v>
      </c>
      <c r="C67" s="400">
        <v>12814.28</v>
      </c>
      <c r="D67" s="400">
        <v>9707.43</v>
      </c>
      <c r="E67" s="400">
        <v>4790.53</v>
      </c>
      <c r="F67" s="400">
        <v>6966.7</v>
      </c>
      <c r="G67" s="400">
        <v>7969.41</v>
      </c>
      <c r="H67" s="400">
        <v>12336.53</v>
      </c>
      <c r="I67" s="400">
        <v>44475.44</v>
      </c>
      <c r="J67" s="400">
        <v>18395.52</v>
      </c>
      <c r="K67" s="400">
        <v>24105.11</v>
      </c>
      <c r="L67" s="400">
        <v>14367.64</v>
      </c>
      <c r="M67" s="400">
        <v>18595.03</v>
      </c>
      <c r="N67" s="400">
        <f t="shared" si="291"/>
        <v>189990.78</v>
      </c>
      <c r="P67" s="396" t="s">
        <v>81</v>
      </c>
      <c r="Q67" s="399">
        <v>38551.15</v>
      </c>
      <c r="R67" s="400">
        <v>45083.07</v>
      </c>
      <c r="S67" s="400">
        <v>20054</v>
      </c>
      <c r="T67" s="400">
        <v>10899.6</v>
      </c>
      <c r="U67" s="400">
        <v>5666.44</v>
      </c>
      <c r="V67" s="400">
        <v>13878.06</v>
      </c>
      <c r="W67" s="400">
        <v>22075.47</v>
      </c>
      <c r="X67" s="400">
        <v>23211.26</v>
      </c>
      <c r="Y67" s="400">
        <v>8529.39</v>
      </c>
      <c r="Z67" s="400">
        <v>2276.17</v>
      </c>
      <c r="AA67" s="400">
        <v>7698.75</v>
      </c>
      <c r="AB67" s="400">
        <v>6151.65</v>
      </c>
      <c r="AC67" s="400">
        <f t="shared" si="292"/>
        <v>204075.01</v>
      </c>
      <c r="AE67" s="127" t="s">
        <v>81</v>
      </c>
      <c r="AF67" s="27">
        <v>26943.37</v>
      </c>
      <c r="AG67" s="27">
        <v>65301.72</v>
      </c>
      <c r="AH67" s="27">
        <v>18466.900000000001</v>
      </c>
      <c r="AI67" s="27">
        <v>22347.83</v>
      </c>
      <c r="AJ67" s="27">
        <v>19764.47</v>
      </c>
      <c r="AK67" s="27">
        <v>22638.85</v>
      </c>
      <c r="AL67" s="27">
        <v>9738.25</v>
      </c>
      <c r="AM67" s="27">
        <v>6228.02</v>
      </c>
      <c r="AN67" s="27">
        <v>7077.04</v>
      </c>
      <c r="AO67" s="27">
        <v>4523.66</v>
      </c>
      <c r="AP67" s="27">
        <v>6845.29</v>
      </c>
      <c r="AQ67" s="27">
        <v>5067.26</v>
      </c>
      <c r="AR67" s="43">
        <f t="shared" ref="AR67:AR91" si="402">SUM(AF67:AQ67)</f>
        <v>214942.66000000003</v>
      </c>
      <c r="AT67" s="60" t="s">
        <v>81</v>
      </c>
      <c r="AU67" s="27">
        <v>31234.92</v>
      </c>
      <c r="AV67" s="27">
        <v>47326.14</v>
      </c>
      <c r="AW67" s="27">
        <v>24469.39</v>
      </c>
      <c r="AX67" s="27">
        <v>15891.17</v>
      </c>
      <c r="AY67" s="27">
        <v>27695.940000000002</v>
      </c>
      <c r="AZ67" s="27">
        <v>33178.17</v>
      </c>
      <c r="BA67" s="27">
        <v>5204.3900000000012</v>
      </c>
      <c r="BB67" s="27">
        <v>7570.8</v>
      </c>
      <c r="BC67" s="27">
        <v>5462.35</v>
      </c>
      <c r="BD67" s="27">
        <v>4492.6499999999996</v>
      </c>
      <c r="BE67" s="27">
        <v>2063.91</v>
      </c>
      <c r="BF67" s="27">
        <v>1770.34</v>
      </c>
      <c r="BG67" s="43">
        <f t="shared" ref="BG67:BG130" si="403">SUM(AU67:BF67)</f>
        <v>206360.16999999998</v>
      </c>
      <c r="BI67" s="60" t="s">
        <v>81</v>
      </c>
      <c r="BJ67" s="27">
        <v>19083.32</v>
      </c>
      <c r="BK67" s="27">
        <v>51126.59</v>
      </c>
      <c r="BL67" s="27">
        <v>14530.61</v>
      </c>
      <c r="BM67" s="27">
        <v>16867.39</v>
      </c>
      <c r="BN67" s="27">
        <v>18300.309999999998</v>
      </c>
      <c r="BO67" s="27">
        <v>23559.85</v>
      </c>
      <c r="BP67" s="27">
        <v>10590.67</v>
      </c>
      <c r="BQ67" s="27">
        <v>10864.09</v>
      </c>
      <c r="BR67" s="27">
        <v>7692.9699999999993</v>
      </c>
      <c r="BS67" s="27">
        <v>6625.25</v>
      </c>
      <c r="BT67" s="27">
        <v>2579.63</v>
      </c>
      <c r="BU67" s="27">
        <v>2745.37</v>
      </c>
      <c r="BV67" s="43">
        <f t="shared" si="52"/>
        <v>184566.05000000002</v>
      </c>
      <c r="BW67" s="405"/>
      <c r="BX67" s="32">
        <f t="shared" si="363"/>
        <v>8.1410055793233752E-2</v>
      </c>
      <c r="BY67" s="32">
        <f t="shared" si="364"/>
        <v>0.14885690768783624</v>
      </c>
      <c r="BZ67" s="32">
        <f t="shared" si="365"/>
        <v>0.19995112394401457</v>
      </c>
      <c r="CA67" s="32">
        <f t="shared" si="366"/>
        <v>0.22516566330218762</v>
      </c>
      <c r="CB67" s="32">
        <f t="shared" si="367"/>
        <v>0.26183428480055715</v>
      </c>
      <c r="CC67" s="32">
        <f t="shared" si="368"/>
        <v>0.30378058345778669</v>
      </c>
      <c r="CD67" s="32">
        <f t="shared" si="369"/>
        <v>0.36871283964411322</v>
      </c>
      <c r="CE67" s="32">
        <f t="shared" si="370"/>
        <v>0.60280546245454647</v>
      </c>
      <c r="CF67" s="32">
        <f t="shared" si="371"/>
        <v>0.69962868724471783</v>
      </c>
      <c r="CG67" s="32">
        <f t="shared" si="372"/>
        <v>0.82650384402864174</v>
      </c>
      <c r="CH67" s="32">
        <f t="shared" si="373"/>
        <v>0.90212667162059124</v>
      </c>
      <c r="CI67" s="32">
        <f t="shared" si="374"/>
        <v>1</v>
      </c>
      <c r="CJ67" s="405"/>
      <c r="CK67" s="32">
        <f t="shared" si="375"/>
        <v>0.18890676521343794</v>
      </c>
      <c r="CL67" s="32">
        <f t="shared" si="376"/>
        <v>0.40982097710052789</v>
      </c>
      <c r="CM67" s="32">
        <f t="shared" si="377"/>
        <v>0.50808876598854502</v>
      </c>
      <c r="CN67" s="32">
        <f t="shared" si="378"/>
        <v>0.5614985391890952</v>
      </c>
      <c r="CO67" s="32">
        <f t="shared" si="379"/>
        <v>0.5892649962383929</v>
      </c>
      <c r="CP67" s="32">
        <f t="shared" si="380"/>
        <v>0.65726969705893923</v>
      </c>
      <c r="CQ67" s="32">
        <f t="shared" si="381"/>
        <v>0.76544301039113016</v>
      </c>
      <c r="CR67" s="32">
        <f t="shared" si="382"/>
        <v>0.87918187533103642</v>
      </c>
      <c r="CS67" s="32">
        <f t="shared" si="383"/>
        <v>0.92097724263250058</v>
      </c>
      <c r="CT67" s="32">
        <f t="shared" si="384"/>
        <v>0.93213083757781023</v>
      </c>
      <c r="CU67" s="32">
        <f t="shared" si="385"/>
        <v>0.96985593679500492</v>
      </c>
      <c r="CV67" s="32">
        <f t="shared" si="386"/>
        <v>1</v>
      </c>
      <c r="CX67" s="32">
        <f t="shared" si="387"/>
        <v>0.12535143093511542</v>
      </c>
      <c r="CY67" s="32">
        <f t="shared" si="388"/>
        <v>0.4291613865763082</v>
      </c>
      <c r="CZ67" s="32">
        <f t="shared" si="389"/>
        <v>0.5150768581723143</v>
      </c>
      <c r="DA67" s="32">
        <f t="shared" si="390"/>
        <v>0.61904798237818393</v>
      </c>
      <c r="DB67" s="32">
        <f t="shared" si="391"/>
        <v>0.71100027328218596</v>
      </c>
      <c r="DC67" s="32">
        <f t="shared" si="392"/>
        <v>0.81632533997671741</v>
      </c>
      <c r="DD67" s="32">
        <f t="shared" si="393"/>
        <v>0.86163160909984082</v>
      </c>
      <c r="DE67" s="32">
        <f t="shared" si="394"/>
        <v>0.89060687161869112</v>
      </c>
      <c r="DF67" s="32">
        <f t="shared" si="395"/>
        <v>0.92353211782156219</v>
      </c>
      <c r="DG67" s="32">
        <f t="shared" si="396"/>
        <v>0.94457800978177153</v>
      </c>
      <c r="DH67" s="32">
        <f t="shared" si="397"/>
        <v>0.976425061455925</v>
      </c>
      <c r="DI67" s="32">
        <f t="shared" si="398"/>
        <v>1</v>
      </c>
      <c r="DK67" s="32">
        <f t="shared" si="294"/>
        <v>0.15136118563965129</v>
      </c>
      <c r="DL67" s="32">
        <f t="shared" si="295"/>
        <v>0.38069875596632818</v>
      </c>
      <c r="DM67" s="32">
        <f t="shared" si="296"/>
        <v>0.49927488429574374</v>
      </c>
      <c r="DN67" s="32">
        <f t="shared" si="297"/>
        <v>0.57628184741270572</v>
      </c>
      <c r="DO67" s="32">
        <f t="shared" si="298"/>
        <v>0.71049350269482725</v>
      </c>
      <c r="DP67" s="32">
        <f t="shared" si="299"/>
        <v>0.87127147646757608</v>
      </c>
      <c r="DQ67" s="32">
        <f t="shared" si="300"/>
        <v>0.8964914111090333</v>
      </c>
      <c r="DR67" s="32">
        <f t="shared" si="301"/>
        <v>0.93317872339415109</v>
      </c>
      <c r="DS67" s="32">
        <f t="shared" si="302"/>
        <v>0.95964870546481917</v>
      </c>
      <c r="DT67" s="32">
        <f t="shared" si="303"/>
        <v>0.98141962181946252</v>
      </c>
      <c r="DU67" s="32">
        <f t="shared" si="304"/>
        <v>0.99142111580931536</v>
      </c>
      <c r="DV67" s="32">
        <f t="shared" si="305"/>
        <v>1</v>
      </c>
      <c r="DW67" s="39"/>
      <c r="DX67" s="32">
        <f t="shared" si="306"/>
        <v>0.10339561365700788</v>
      </c>
      <c r="DY67" s="32">
        <f t="shared" si="307"/>
        <v>0.38040533456721859</v>
      </c>
      <c r="DZ67" s="32">
        <f t="shared" si="308"/>
        <v>0.4591338439545084</v>
      </c>
      <c r="EA67" s="32">
        <f t="shared" si="309"/>
        <v>0.55052329504803288</v>
      </c>
      <c r="EB67" s="32">
        <f t="shared" si="310"/>
        <v>0.6496764708352375</v>
      </c>
      <c r="EC67" s="32">
        <f t="shared" si="311"/>
        <v>0.77732643679593294</v>
      </c>
      <c r="ED67" s="32">
        <f t="shared" si="312"/>
        <v>0.83470789996318395</v>
      </c>
      <c r="EE67" s="32">
        <f t="shared" si="313"/>
        <v>0.89357078400930179</v>
      </c>
      <c r="EF67" s="32">
        <f t="shared" si="314"/>
        <v>0.93525217665979199</v>
      </c>
      <c r="EG67" s="32">
        <f t="shared" si="315"/>
        <v>0.97114854004840001</v>
      </c>
      <c r="EH67" s="32">
        <f t="shared" si="316"/>
        <v>0.98512527087186408</v>
      </c>
      <c r="EI67" s="32">
        <f t="shared" si="317"/>
        <v>1</v>
      </c>
      <c r="EK67" s="32">
        <f t="shared" si="399"/>
        <v>0.12670274341059154</v>
      </c>
      <c r="EL67" s="32">
        <f t="shared" si="318"/>
        <v>0.39675515903661829</v>
      </c>
      <c r="EM67" s="32">
        <f t="shared" si="319"/>
        <v>0.49116186214085555</v>
      </c>
      <c r="EN67" s="32">
        <f t="shared" si="320"/>
        <v>0.58195104161297417</v>
      </c>
      <c r="EO67" s="32">
        <f t="shared" si="321"/>
        <v>0.69039008227075016</v>
      </c>
      <c r="EP67" s="32">
        <f t="shared" si="322"/>
        <v>0.82164108441340888</v>
      </c>
      <c r="EQ67" s="32">
        <f t="shared" si="323"/>
        <v>0.86427697339068599</v>
      </c>
      <c r="ER67" s="32">
        <f t="shared" si="324"/>
        <v>0.905785459674048</v>
      </c>
      <c r="ES67" s="32">
        <f t="shared" si="325"/>
        <v>0.93947766664872445</v>
      </c>
      <c r="ET67" s="32">
        <f t="shared" si="326"/>
        <v>0.96571539054987809</v>
      </c>
      <c r="EU67" s="32">
        <f t="shared" si="327"/>
        <v>0.98432381604570152</v>
      </c>
      <c r="EV67" s="32">
        <f t="shared" si="328"/>
        <v>1</v>
      </c>
      <c r="EX67" s="32">
        <f t="shared" si="329"/>
        <v>0.14225374886130313</v>
      </c>
      <c r="EY67" s="32">
        <f t="shared" si="330"/>
        <v>0.40002161355259569</v>
      </c>
      <c r="EZ67" s="32">
        <f t="shared" si="331"/>
        <v>0.49539358810277789</v>
      </c>
      <c r="FA67" s="32">
        <f t="shared" si="332"/>
        <v>0.57683791600700451</v>
      </c>
      <c r="FB67" s="32">
        <f t="shared" si="333"/>
        <v>0.66510881076266082</v>
      </c>
      <c r="FC67" s="32">
        <f t="shared" si="334"/>
        <v>0.78054823757479141</v>
      </c>
      <c r="FD67" s="32">
        <f t="shared" si="335"/>
        <v>0.83956848264079698</v>
      </c>
      <c r="FE67" s="32">
        <f t="shared" si="336"/>
        <v>0.89913456358829513</v>
      </c>
      <c r="FF67" s="32">
        <f t="shared" si="337"/>
        <v>0.93485256064466848</v>
      </c>
      <c r="FG67" s="32">
        <f t="shared" si="338"/>
        <v>0.9573192523068611</v>
      </c>
      <c r="FH67" s="32">
        <f t="shared" si="339"/>
        <v>0.9807068462330274</v>
      </c>
      <c r="FI67" s="32">
        <f t="shared" si="340"/>
        <v>1</v>
      </c>
      <c r="FK67" s="32">
        <f t="shared" si="400"/>
        <v>0.15520646059606821</v>
      </c>
      <c r="FL67" s="32">
        <f t="shared" si="341"/>
        <v>0.40656037321438809</v>
      </c>
      <c r="FM67" s="32">
        <f t="shared" si="342"/>
        <v>0.50748016948553432</v>
      </c>
      <c r="FN67" s="32">
        <f t="shared" si="343"/>
        <v>0.58560945632666161</v>
      </c>
      <c r="FO67" s="32">
        <f t="shared" si="344"/>
        <v>0.67025292407180215</v>
      </c>
      <c r="FP67" s="32">
        <f t="shared" si="345"/>
        <v>0.78162217116774435</v>
      </c>
      <c r="FQ67" s="32">
        <f t="shared" si="346"/>
        <v>0.84118867686666798</v>
      </c>
      <c r="FR67" s="32">
        <f t="shared" si="347"/>
        <v>0.90098915678129288</v>
      </c>
      <c r="FS67" s="32">
        <f t="shared" si="348"/>
        <v>0.93471935530629402</v>
      </c>
      <c r="FT67" s="32">
        <f t="shared" si="349"/>
        <v>0.95270948972634806</v>
      </c>
      <c r="FU67" s="32">
        <f t="shared" si="350"/>
        <v>0.9792340380200818</v>
      </c>
      <c r="FV67" s="32">
        <f t="shared" si="351"/>
        <v>1</v>
      </c>
      <c r="FX67" s="32">
        <f t="shared" si="401"/>
        <v>0.13188941731392903</v>
      </c>
      <c r="FY67" s="32">
        <f t="shared" si="352"/>
        <v>0.32927975712155744</v>
      </c>
      <c r="FZ67" s="32">
        <f t="shared" si="353"/>
        <v>0.40770558270162466</v>
      </c>
      <c r="GA67" s="32">
        <f t="shared" si="354"/>
        <v>0.46857072828982232</v>
      </c>
      <c r="GB67" s="32">
        <f t="shared" si="355"/>
        <v>0.52069985144037867</v>
      </c>
      <c r="GC67" s="32">
        <f t="shared" si="356"/>
        <v>0.59245854016448118</v>
      </c>
      <c r="GD67" s="32">
        <f t="shared" si="357"/>
        <v>0.66526248637836138</v>
      </c>
      <c r="GE67" s="32">
        <f t="shared" si="358"/>
        <v>0.7908647364680913</v>
      </c>
      <c r="GF67" s="32">
        <f t="shared" si="359"/>
        <v>0.84804601589959361</v>
      </c>
      <c r="GG67" s="32">
        <f t="shared" si="360"/>
        <v>0.90107089712940791</v>
      </c>
      <c r="GH67" s="32">
        <f t="shared" si="361"/>
        <v>0.94946922329050709</v>
      </c>
      <c r="GI67" s="32">
        <f t="shared" si="362"/>
        <v>1</v>
      </c>
    </row>
    <row r="68" spans="1:191">
      <c r="A68" s="724" t="s">
        <v>82</v>
      </c>
      <c r="B68" s="399">
        <v>9210.36</v>
      </c>
      <c r="C68" s="400">
        <v>6521.43</v>
      </c>
      <c r="D68" s="400">
        <v>4908.6899999999996</v>
      </c>
      <c r="E68" s="400">
        <v>3296.4</v>
      </c>
      <c r="F68" s="400">
        <v>4008.11</v>
      </c>
      <c r="G68" s="400">
        <v>2933.26</v>
      </c>
      <c r="H68" s="400">
        <v>4209.08</v>
      </c>
      <c r="I68" s="400">
        <v>18874.64</v>
      </c>
      <c r="J68" s="400">
        <v>8996.6200000000008</v>
      </c>
      <c r="K68" s="400">
        <v>4934.79</v>
      </c>
      <c r="L68" s="400">
        <v>6019.29</v>
      </c>
      <c r="M68" s="400">
        <v>13396.57</v>
      </c>
      <c r="N68" s="400">
        <f t="shared" si="291"/>
        <v>87309.239999999991</v>
      </c>
      <c r="P68" s="396" t="s">
        <v>82</v>
      </c>
      <c r="Q68" s="399">
        <v>24192.06</v>
      </c>
      <c r="R68" s="400">
        <v>17539.900000000001</v>
      </c>
      <c r="S68" s="400">
        <v>9894.0400000000009</v>
      </c>
      <c r="T68" s="400">
        <v>1815.79</v>
      </c>
      <c r="U68" s="400">
        <v>4130.01</v>
      </c>
      <c r="V68" s="400">
        <v>4095.06</v>
      </c>
      <c r="W68" s="400">
        <v>9756.7800000000007</v>
      </c>
      <c r="X68" s="400">
        <v>12099.64</v>
      </c>
      <c r="Y68" s="400">
        <v>5852.26</v>
      </c>
      <c r="Z68" s="400">
        <v>1023.75</v>
      </c>
      <c r="AA68" s="400">
        <v>1947.5200000000002</v>
      </c>
      <c r="AB68" s="400">
        <v>2571.3200000000002</v>
      </c>
      <c r="AC68" s="400">
        <f t="shared" si="292"/>
        <v>94918.130000000019</v>
      </c>
      <c r="AE68" s="127" t="s">
        <v>82</v>
      </c>
      <c r="AF68" s="27">
        <v>12824.47</v>
      </c>
      <c r="AG68" s="27">
        <v>20922.77</v>
      </c>
      <c r="AH68" s="27">
        <v>6854.62</v>
      </c>
      <c r="AI68" s="27">
        <v>9033.5499999999993</v>
      </c>
      <c r="AJ68" s="27">
        <v>9687.6200000000008</v>
      </c>
      <c r="AK68" s="27">
        <v>12626.61</v>
      </c>
      <c r="AL68" s="27">
        <v>1897.88</v>
      </c>
      <c r="AM68" s="27">
        <v>3270.64</v>
      </c>
      <c r="AN68" s="27">
        <v>3961.58</v>
      </c>
      <c r="AO68" s="27">
        <v>3818.85</v>
      </c>
      <c r="AP68" s="27">
        <v>2943.54</v>
      </c>
      <c r="AQ68" s="27">
        <v>3746.98</v>
      </c>
      <c r="AR68" s="43">
        <f t="shared" si="402"/>
        <v>91589.110000000015</v>
      </c>
      <c r="AT68" s="60" t="s">
        <v>82</v>
      </c>
      <c r="AU68" s="27">
        <v>14959.14</v>
      </c>
      <c r="AV68" s="27">
        <v>16687.259999999998</v>
      </c>
      <c r="AW68" s="27">
        <v>15111.92</v>
      </c>
      <c r="AX68" s="27">
        <v>7793.25</v>
      </c>
      <c r="AY68" s="27">
        <v>9284.86</v>
      </c>
      <c r="AZ68" s="27">
        <v>9382.66</v>
      </c>
      <c r="BA68" s="27">
        <v>2284.5700000000002</v>
      </c>
      <c r="BB68" s="27">
        <v>1590.66</v>
      </c>
      <c r="BC68" s="27">
        <v>1482.12</v>
      </c>
      <c r="BD68" s="27">
        <v>2193.85</v>
      </c>
      <c r="BE68" s="27">
        <v>1948.27</v>
      </c>
      <c r="BF68" s="27">
        <v>784.65</v>
      </c>
      <c r="BG68" s="43">
        <f t="shared" si="403"/>
        <v>83503.210000000006</v>
      </c>
      <c r="BI68" s="60" t="s">
        <v>82</v>
      </c>
      <c r="BJ68" s="27">
        <v>15341.420000000002</v>
      </c>
      <c r="BK68" s="27">
        <v>19949.2</v>
      </c>
      <c r="BL68" s="27">
        <v>6093.52</v>
      </c>
      <c r="BM68" s="27">
        <v>6752.4500000000007</v>
      </c>
      <c r="BN68" s="27">
        <v>7388.01</v>
      </c>
      <c r="BO68" s="27">
        <v>8597.86</v>
      </c>
      <c r="BP68" s="27">
        <v>1837.8400000000001</v>
      </c>
      <c r="BQ68" s="27">
        <v>1466.08</v>
      </c>
      <c r="BR68" s="27">
        <v>2312.56</v>
      </c>
      <c r="BS68" s="27">
        <v>1815.14</v>
      </c>
      <c r="BT68" s="27">
        <v>1125.75</v>
      </c>
      <c r="BU68" s="27">
        <v>2871.07</v>
      </c>
      <c r="BV68" s="43">
        <f t="shared" ref="BV68:BV131" si="404">SUM(BJ68:BU68)</f>
        <v>75550.900000000009</v>
      </c>
      <c r="BW68" s="405"/>
      <c r="BX68" s="32">
        <f t="shared" si="363"/>
        <v>0.10549124010242217</v>
      </c>
      <c r="BY68" s="32">
        <f t="shared" si="364"/>
        <v>0.1801847089723837</v>
      </c>
      <c r="BZ68" s="32">
        <f t="shared" si="365"/>
        <v>0.23640659339148987</v>
      </c>
      <c r="CA68" s="32">
        <f t="shared" si="366"/>
        <v>0.27416204745339673</v>
      </c>
      <c r="CB68" s="32">
        <f t="shared" si="367"/>
        <v>0.32006910150632401</v>
      </c>
      <c r="CC68" s="32">
        <f t="shared" si="368"/>
        <v>0.35366531652319966</v>
      </c>
      <c r="CD68" s="32">
        <f t="shared" si="369"/>
        <v>0.4018741888029263</v>
      </c>
      <c r="CE68" s="32">
        <f t="shared" si="370"/>
        <v>0.6180556605463523</v>
      </c>
      <c r="CF68" s="32">
        <f t="shared" si="371"/>
        <v>0.72109882069755749</v>
      </c>
      <c r="CG68" s="32">
        <f t="shared" si="372"/>
        <v>0.77761964254871552</v>
      </c>
      <c r="CH68" s="32">
        <f t="shared" si="373"/>
        <v>0.84656183011099406</v>
      </c>
      <c r="CI68" s="32">
        <f t="shared" si="374"/>
        <v>1</v>
      </c>
      <c r="CJ68" s="405"/>
      <c r="CK68" s="32">
        <f t="shared" si="375"/>
        <v>0.25487290994881584</v>
      </c>
      <c r="CL68" s="32">
        <f t="shared" si="376"/>
        <v>0.43966268614857879</v>
      </c>
      <c r="CM68" s="32">
        <f t="shared" si="377"/>
        <v>0.5439003065062491</v>
      </c>
      <c r="CN68" s="32">
        <f t="shared" si="378"/>
        <v>0.56303037154229651</v>
      </c>
      <c r="CO68" s="32">
        <f t="shared" si="379"/>
        <v>0.60654165858514064</v>
      </c>
      <c r="CP68" s="32">
        <f t="shared" si="380"/>
        <v>0.649684733569867</v>
      </c>
      <c r="CQ68" s="32">
        <f t="shared" si="381"/>
        <v>0.75247626559857428</v>
      </c>
      <c r="CR68" s="32">
        <f t="shared" si="382"/>
        <v>0.87995075334922834</v>
      </c>
      <c r="CS68" s="32">
        <f t="shared" si="383"/>
        <v>0.94160662457214428</v>
      </c>
      <c r="CT68" s="32">
        <f t="shared" si="384"/>
        <v>0.95239223528739969</v>
      </c>
      <c r="CU68" s="32">
        <f t="shared" si="385"/>
        <v>0.97291012791760645</v>
      </c>
      <c r="CV68" s="32">
        <f t="shared" si="386"/>
        <v>1</v>
      </c>
      <c r="CX68" s="32">
        <f t="shared" si="387"/>
        <v>0.14002177769824378</v>
      </c>
      <c r="CY68" s="32">
        <f t="shared" si="388"/>
        <v>0.36846345597200358</v>
      </c>
      <c r="CZ68" s="32">
        <f t="shared" si="389"/>
        <v>0.44330444962288634</v>
      </c>
      <c r="DA68" s="32">
        <f t="shared" si="390"/>
        <v>0.54193571703011412</v>
      </c>
      <c r="DB68" s="32">
        <f t="shared" si="391"/>
        <v>0.6477083356307316</v>
      </c>
      <c r="DC68" s="32">
        <f t="shared" si="392"/>
        <v>0.7855698128303682</v>
      </c>
      <c r="DD68" s="32">
        <f t="shared" si="393"/>
        <v>0.80629149033111036</v>
      </c>
      <c r="DE68" s="32">
        <f t="shared" si="394"/>
        <v>0.84200141261335548</v>
      </c>
      <c r="DF68" s="32">
        <f t="shared" si="395"/>
        <v>0.88525524486480989</v>
      </c>
      <c r="DG68" s="32">
        <f t="shared" si="396"/>
        <v>0.92695070407387969</v>
      </c>
      <c r="DH68" s="32">
        <f t="shared" si="397"/>
        <v>0.95908924106807025</v>
      </c>
      <c r="DI68" s="32">
        <f t="shared" si="398"/>
        <v>1</v>
      </c>
      <c r="DK68" s="32">
        <f t="shared" si="294"/>
        <v>0.17914449037348382</v>
      </c>
      <c r="DL68" s="32">
        <f t="shared" si="295"/>
        <v>0.37898423306121998</v>
      </c>
      <c r="DM68" s="32">
        <f t="shared" si="296"/>
        <v>0.5599583536968219</v>
      </c>
      <c r="DN68" s="32">
        <f t="shared" si="297"/>
        <v>0.65328710117850552</v>
      </c>
      <c r="DO68" s="32">
        <f t="shared" si="298"/>
        <v>0.76447875476882854</v>
      </c>
      <c r="DP68" s="32">
        <f t="shared" si="299"/>
        <v>0.87684162081912764</v>
      </c>
      <c r="DQ68" s="32">
        <f t="shared" si="300"/>
        <v>0.90420068881184323</v>
      </c>
      <c r="DR68" s="32">
        <f t="shared" si="301"/>
        <v>0.92324977686486542</v>
      </c>
      <c r="DS68" s="32">
        <f t="shared" si="302"/>
        <v>0.94099903464788959</v>
      </c>
      <c r="DT68" s="32">
        <f t="shared" si="303"/>
        <v>0.96727167734030828</v>
      </c>
      <c r="DU68" s="32">
        <f t="shared" si="304"/>
        <v>0.99060335524825938</v>
      </c>
      <c r="DV68" s="32">
        <f t="shared" si="305"/>
        <v>1</v>
      </c>
      <c r="DW68" s="39"/>
      <c r="DX68" s="32">
        <f t="shared" si="306"/>
        <v>0.20306071800600656</v>
      </c>
      <c r="DY68" s="32">
        <f t="shared" si="307"/>
        <v>0.46711051754512517</v>
      </c>
      <c r="DZ68" s="32">
        <f t="shared" si="308"/>
        <v>0.54776501669735234</v>
      </c>
      <c r="EA68" s="32">
        <f t="shared" si="309"/>
        <v>0.63714118561128974</v>
      </c>
      <c r="EB68" s="32">
        <f t="shared" si="310"/>
        <v>0.73492969640335182</v>
      </c>
      <c r="EC68" s="32">
        <f t="shared" si="311"/>
        <v>0.84873191451061458</v>
      </c>
      <c r="ED68" s="32">
        <f t="shared" si="312"/>
        <v>0.87305776635354437</v>
      </c>
      <c r="EE68" s="32">
        <f t="shared" si="313"/>
        <v>0.89246296205604425</v>
      </c>
      <c r="EF68" s="32">
        <f t="shared" si="314"/>
        <v>0.92307225989366104</v>
      </c>
      <c r="EG68" s="32">
        <f t="shared" si="315"/>
        <v>0.94709765204650098</v>
      </c>
      <c r="EH68" s="32">
        <f t="shared" si="316"/>
        <v>0.9619982025363033</v>
      </c>
      <c r="EI68" s="32">
        <f t="shared" si="317"/>
        <v>1</v>
      </c>
      <c r="EK68" s="32">
        <f t="shared" si="399"/>
        <v>0.1740756620259114</v>
      </c>
      <c r="EL68" s="32">
        <f t="shared" si="318"/>
        <v>0.40485273552611623</v>
      </c>
      <c r="EM68" s="32">
        <f t="shared" si="319"/>
        <v>0.51700927333902014</v>
      </c>
      <c r="EN68" s="32">
        <f t="shared" si="320"/>
        <v>0.61078800127330313</v>
      </c>
      <c r="EO68" s="32">
        <f t="shared" si="321"/>
        <v>0.71570559560097069</v>
      </c>
      <c r="EP68" s="32">
        <f t="shared" si="322"/>
        <v>0.83704778272003688</v>
      </c>
      <c r="EQ68" s="32">
        <f t="shared" si="323"/>
        <v>0.8611833151654994</v>
      </c>
      <c r="ER68" s="32">
        <f t="shared" si="324"/>
        <v>0.88590471717808839</v>
      </c>
      <c r="ES68" s="32">
        <f t="shared" si="325"/>
        <v>0.91644217980212017</v>
      </c>
      <c r="ET68" s="32">
        <f t="shared" si="326"/>
        <v>0.94710667782022961</v>
      </c>
      <c r="EU68" s="32">
        <f t="shared" si="327"/>
        <v>0.97056359961754435</v>
      </c>
      <c r="EV68" s="32">
        <f t="shared" si="328"/>
        <v>1</v>
      </c>
      <c r="EX68" s="32">
        <f t="shared" si="329"/>
        <v>0.19427497400663749</v>
      </c>
      <c r="EY68" s="32">
        <f t="shared" si="330"/>
        <v>0.41355522318173193</v>
      </c>
      <c r="EZ68" s="32">
        <f t="shared" si="331"/>
        <v>0.52373203163082738</v>
      </c>
      <c r="FA68" s="32">
        <f t="shared" si="332"/>
        <v>0.59884859384055145</v>
      </c>
      <c r="FB68" s="32">
        <f t="shared" si="333"/>
        <v>0.68841461134701321</v>
      </c>
      <c r="FC68" s="32">
        <f t="shared" si="334"/>
        <v>0.79020702043249424</v>
      </c>
      <c r="FD68" s="32">
        <f t="shared" si="335"/>
        <v>0.83400655277376812</v>
      </c>
      <c r="FE68" s="32">
        <f t="shared" si="336"/>
        <v>0.88441622622087346</v>
      </c>
      <c r="FF68" s="32">
        <f t="shared" si="337"/>
        <v>0.9227332909946262</v>
      </c>
      <c r="FG68" s="32">
        <f t="shared" si="338"/>
        <v>0.94842806718702222</v>
      </c>
      <c r="FH68" s="32">
        <f t="shared" si="339"/>
        <v>0.97115023169255987</v>
      </c>
      <c r="FI68" s="32">
        <f t="shared" si="340"/>
        <v>1</v>
      </c>
      <c r="FK68" s="32">
        <f t="shared" si="400"/>
        <v>0.19134639267351447</v>
      </c>
      <c r="FL68" s="32">
        <f t="shared" si="341"/>
        <v>0.39570345839393412</v>
      </c>
      <c r="FM68" s="32">
        <f t="shared" si="342"/>
        <v>0.51572103660865243</v>
      </c>
      <c r="FN68" s="32">
        <f t="shared" si="343"/>
        <v>0.58608439658363876</v>
      </c>
      <c r="FO68" s="32">
        <f t="shared" si="344"/>
        <v>0.67290958299490022</v>
      </c>
      <c r="FP68" s="32">
        <f t="shared" si="345"/>
        <v>0.77069872240645443</v>
      </c>
      <c r="FQ68" s="32">
        <f t="shared" si="346"/>
        <v>0.82098948158050933</v>
      </c>
      <c r="FR68" s="32">
        <f t="shared" si="347"/>
        <v>0.88173398094248301</v>
      </c>
      <c r="FS68" s="32">
        <f t="shared" si="348"/>
        <v>0.92262030136161455</v>
      </c>
      <c r="FT68" s="32">
        <f t="shared" si="349"/>
        <v>0.94887153890052911</v>
      </c>
      <c r="FU68" s="32">
        <f t="shared" si="350"/>
        <v>0.97420090807797877</v>
      </c>
      <c r="FV68" s="32">
        <f t="shared" si="351"/>
        <v>1</v>
      </c>
      <c r="FX68" s="32">
        <f t="shared" si="401"/>
        <v>0.16679530924982724</v>
      </c>
      <c r="FY68" s="32">
        <f t="shared" si="352"/>
        <v>0.32943695036432202</v>
      </c>
      <c r="FZ68" s="32">
        <f t="shared" si="353"/>
        <v>0.40787044984020843</v>
      </c>
      <c r="GA68" s="32">
        <f t="shared" si="354"/>
        <v>0.45970937867526912</v>
      </c>
      <c r="GB68" s="32">
        <f t="shared" si="355"/>
        <v>0.52477303190739877</v>
      </c>
      <c r="GC68" s="32">
        <f t="shared" si="356"/>
        <v>0.59630662097447829</v>
      </c>
      <c r="GD68" s="32">
        <f t="shared" si="357"/>
        <v>0.65354731491087026</v>
      </c>
      <c r="GE68" s="32">
        <f t="shared" si="358"/>
        <v>0.78000260883631201</v>
      </c>
      <c r="GF68" s="32">
        <f t="shared" si="359"/>
        <v>0.84932023004483714</v>
      </c>
      <c r="GG68" s="32">
        <f t="shared" si="360"/>
        <v>0.88565419396999834</v>
      </c>
      <c r="GH68" s="32">
        <f t="shared" si="361"/>
        <v>0.92618706636555681</v>
      </c>
      <c r="GI68" s="32">
        <f t="shared" si="362"/>
        <v>1</v>
      </c>
    </row>
    <row r="69" spans="1:191">
      <c r="A69" s="724" t="s">
        <v>83</v>
      </c>
      <c r="B69" s="399">
        <v>8602.68</v>
      </c>
      <c r="C69" s="400">
        <v>16086.69</v>
      </c>
      <c r="D69" s="400">
        <v>7961.18</v>
      </c>
      <c r="E69" s="400">
        <v>5085.8900000000003</v>
      </c>
      <c r="F69" s="400">
        <v>5246.36</v>
      </c>
      <c r="G69" s="400">
        <v>10592.38</v>
      </c>
      <c r="H69" s="400">
        <v>8014.82</v>
      </c>
      <c r="I69" s="400">
        <v>34803.620000000003</v>
      </c>
      <c r="J69" s="400">
        <v>11272.76</v>
      </c>
      <c r="K69" s="400">
        <v>12305.65</v>
      </c>
      <c r="L69" s="400">
        <v>7402.18</v>
      </c>
      <c r="M69" s="400">
        <v>11538.55</v>
      </c>
      <c r="N69" s="400">
        <f t="shared" si="291"/>
        <v>138912.75999999998</v>
      </c>
      <c r="P69" s="396" t="s">
        <v>83</v>
      </c>
      <c r="Q69" s="399">
        <v>21685.040000000001</v>
      </c>
      <c r="R69" s="400">
        <v>43003.360000000001</v>
      </c>
      <c r="S69" s="400">
        <v>12949.52</v>
      </c>
      <c r="T69" s="400">
        <v>9202.83</v>
      </c>
      <c r="U69" s="400">
        <v>5964.85</v>
      </c>
      <c r="V69" s="400">
        <v>12202.75</v>
      </c>
      <c r="W69" s="400">
        <v>11037.72</v>
      </c>
      <c r="X69" s="400">
        <v>21714.6</v>
      </c>
      <c r="Y69" s="400">
        <v>3818.95</v>
      </c>
      <c r="Z69" s="400">
        <v>5135.5600000000004</v>
      </c>
      <c r="AA69" s="400">
        <v>5830.79</v>
      </c>
      <c r="AB69" s="400">
        <v>6116.43</v>
      </c>
      <c r="AC69" s="400">
        <f t="shared" si="292"/>
        <v>158662.40000000002</v>
      </c>
      <c r="AE69" s="127" t="s">
        <v>83</v>
      </c>
      <c r="AF69" s="27">
        <v>18610.21</v>
      </c>
      <c r="AG69" s="27">
        <v>40528</v>
      </c>
      <c r="AH69" s="27">
        <v>14770.05</v>
      </c>
      <c r="AI69" s="27">
        <v>16970.54</v>
      </c>
      <c r="AJ69" s="27">
        <v>15607.03</v>
      </c>
      <c r="AK69" s="27">
        <v>26162.05</v>
      </c>
      <c r="AL69" s="27">
        <v>9237.67</v>
      </c>
      <c r="AM69" s="27">
        <v>5299.05</v>
      </c>
      <c r="AN69" s="27">
        <v>3491.75</v>
      </c>
      <c r="AO69" s="27">
        <v>3823.44</v>
      </c>
      <c r="AP69" s="27">
        <v>5214.51</v>
      </c>
      <c r="AQ69" s="27">
        <v>4247.25</v>
      </c>
      <c r="AR69" s="43">
        <f t="shared" si="402"/>
        <v>163961.54999999999</v>
      </c>
      <c r="AT69" s="60" t="s">
        <v>83</v>
      </c>
      <c r="AU69" s="27">
        <v>12597.15</v>
      </c>
      <c r="AV69" s="27">
        <v>32040.05</v>
      </c>
      <c r="AW69" s="27">
        <v>16081.57</v>
      </c>
      <c r="AX69" s="27">
        <v>17107.72</v>
      </c>
      <c r="AY69" s="27">
        <v>15112</v>
      </c>
      <c r="AZ69" s="27">
        <v>19408.919999999998</v>
      </c>
      <c r="BA69" s="27">
        <v>9781.57</v>
      </c>
      <c r="BB69" s="27">
        <v>4087.9</v>
      </c>
      <c r="BC69" s="27">
        <v>3193.77</v>
      </c>
      <c r="BD69" s="27">
        <v>2953.6</v>
      </c>
      <c r="BE69" s="27">
        <v>2473.17</v>
      </c>
      <c r="BF69" s="27">
        <v>1583.54</v>
      </c>
      <c r="BG69" s="43">
        <f t="shared" si="403"/>
        <v>136420.96</v>
      </c>
      <c r="BI69" s="60" t="s">
        <v>83</v>
      </c>
      <c r="BJ69" s="27">
        <v>7738.6900000000005</v>
      </c>
      <c r="BK69" s="27">
        <v>37788.32</v>
      </c>
      <c r="BL69" s="27">
        <v>12685.380000000001</v>
      </c>
      <c r="BM69" s="27">
        <v>13549.58</v>
      </c>
      <c r="BN69" s="27">
        <v>9271.4500000000007</v>
      </c>
      <c r="BO69" s="27">
        <v>14722.02</v>
      </c>
      <c r="BP69" s="27">
        <v>5079.4400000000005</v>
      </c>
      <c r="BQ69" s="27">
        <v>5508.68</v>
      </c>
      <c r="BR69" s="27">
        <v>5535.52</v>
      </c>
      <c r="BS69" s="27">
        <v>3831.01</v>
      </c>
      <c r="BT69" s="27">
        <v>2068.23</v>
      </c>
      <c r="BU69" s="27">
        <v>5960.33</v>
      </c>
      <c r="BV69" s="43">
        <f t="shared" si="404"/>
        <v>123738.65</v>
      </c>
      <c r="BW69" s="405"/>
      <c r="BX69" s="32">
        <f t="shared" si="363"/>
        <v>6.1928652198689316E-2</v>
      </c>
      <c r="BY69" s="32">
        <f t="shared" si="364"/>
        <v>0.17773291668814303</v>
      </c>
      <c r="BZ69" s="32">
        <f t="shared" si="365"/>
        <v>0.23504356259281009</v>
      </c>
      <c r="CA69" s="32">
        <f t="shared" si="366"/>
        <v>0.27165567799531165</v>
      </c>
      <c r="CB69" s="32">
        <f t="shared" si="367"/>
        <v>0.30942297885377851</v>
      </c>
      <c r="CC69" s="32">
        <f t="shared" si="368"/>
        <v>0.38567500926480769</v>
      </c>
      <c r="CD69" s="32">
        <f t="shared" si="369"/>
        <v>0.44337179680254002</v>
      </c>
      <c r="CE69" s="32">
        <f t="shared" si="370"/>
        <v>0.69391479947558454</v>
      </c>
      <c r="CF69" s="32">
        <f t="shared" si="371"/>
        <v>0.77506472407574367</v>
      </c>
      <c r="CG69" s="32">
        <f t="shared" si="372"/>
        <v>0.86365017871648364</v>
      </c>
      <c r="CH69" s="32">
        <f t="shared" si="373"/>
        <v>0.91693671625270434</v>
      </c>
      <c r="CI69" s="32">
        <f t="shared" si="374"/>
        <v>1</v>
      </c>
      <c r="CJ69" s="405"/>
      <c r="CK69" s="32">
        <f t="shared" si="375"/>
        <v>0.13667409543786049</v>
      </c>
      <c r="CL69" s="32">
        <f t="shared" si="376"/>
        <v>0.40771096365616549</v>
      </c>
      <c r="CM69" s="32">
        <f t="shared" si="377"/>
        <v>0.48932778024282997</v>
      </c>
      <c r="CN69" s="32">
        <f t="shared" si="378"/>
        <v>0.54733036938808433</v>
      </c>
      <c r="CO69" s="32">
        <f t="shared" si="379"/>
        <v>0.58492497277237698</v>
      </c>
      <c r="CP69" s="32">
        <f t="shared" si="380"/>
        <v>0.66183512917994425</v>
      </c>
      <c r="CQ69" s="32">
        <f t="shared" si="381"/>
        <v>0.73140246208301396</v>
      </c>
      <c r="CR69" s="32">
        <f t="shared" si="382"/>
        <v>0.86826286505183325</v>
      </c>
      <c r="CS69" s="32">
        <f t="shared" si="383"/>
        <v>0.89233252490823289</v>
      </c>
      <c r="CT69" s="32">
        <f t="shared" si="384"/>
        <v>0.92470037009398576</v>
      </c>
      <c r="CU69" s="32">
        <f t="shared" si="385"/>
        <v>0.96145003479085156</v>
      </c>
      <c r="CV69" s="32">
        <f t="shared" si="386"/>
        <v>1</v>
      </c>
      <c r="CX69" s="32">
        <f t="shared" si="387"/>
        <v>0.11350350127819601</v>
      </c>
      <c r="CY69" s="32">
        <f t="shared" si="388"/>
        <v>0.3606834041273701</v>
      </c>
      <c r="CZ69" s="32">
        <f t="shared" si="389"/>
        <v>0.45076580454380921</v>
      </c>
      <c r="DA69" s="32">
        <f t="shared" si="390"/>
        <v>0.55426897342700165</v>
      </c>
      <c r="DB69" s="32">
        <f t="shared" si="391"/>
        <v>0.64945610723977665</v>
      </c>
      <c r="DC69" s="32">
        <f t="shared" si="392"/>
        <v>0.80901821189175138</v>
      </c>
      <c r="DD69" s="32">
        <f t="shared" si="393"/>
        <v>0.86535867708008374</v>
      </c>
      <c r="DE69" s="32">
        <f t="shared" si="394"/>
        <v>0.89767753476348566</v>
      </c>
      <c r="DF69" s="32">
        <f t="shared" si="395"/>
        <v>0.91897368620874831</v>
      </c>
      <c r="DG69" s="32">
        <f t="shared" si="396"/>
        <v>0.9422928119427999</v>
      </c>
      <c r="DH69" s="32">
        <f t="shared" si="397"/>
        <v>0.9740960609362378</v>
      </c>
      <c r="DI69" s="32">
        <f t="shared" si="398"/>
        <v>1</v>
      </c>
      <c r="DK69" s="32">
        <f t="shared" si="294"/>
        <v>9.23402826075993E-2</v>
      </c>
      <c r="DL69" s="32">
        <f t="shared" si="295"/>
        <v>0.32720191970500723</v>
      </c>
      <c r="DM69" s="32">
        <f t="shared" si="296"/>
        <v>0.4450838786063373</v>
      </c>
      <c r="DN69" s="32">
        <f t="shared" si="297"/>
        <v>0.57048777548552654</v>
      </c>
      <c r="DO69" s="32">
        <f t="shared" si="298"/>
        <v>0.68126254206098535</v>
      </c>
      <c r="DP69" s="32">
        <f t="shared" si="299"/>
        <v>0.82353481459154076</v>
      </c>
      <c r="DQ69" s="32">
        <f t="shared" si="300"/>
        <v>0.8952361865801266</v>
      </c>
      <c r="DR69" s="32">
        <f t="shared" si="301"/>
        <v>0.92520152328498484</v>
      </c>
      <c r="DS69" s="32">
        <f t="shared" si="302"/>
        <v>0.94861266186662219</v>
      </c>
      <c r="DT69" s="32">
        <f t="shared" si="303"/>
        <v>0.97026329385161914</v>
      </c>
      <c r="DU69" s="32">
        <f t="shared" si="304"/>
        <v>0.98839225292066546</v>
      </c>
      <c r="DV69" s="32">
        <f t="shared" si="305"/>
        <v>1</v>
      </c>
      <c r="DW69" s="39"/>
      <c r="DX69" s="32">
        <f t="shared" si="306"/>
        <v>6.2540604734252395E-2</v>
      </c>
      <c r="DY69" s="32">
        <f t="shared" si="307"/>
        <v>0.36792877568972998</v>
      </c>
      <c r="DZ69" s="32">
        <f t="shared" si="308"/>
        <v>0.47044629951918826</v>
      </c>
      <c r="EA69" s="32">
        <f t="shared" si="309"/>
        <v>0.57994789825167803</v>
      </c>
      <c r="EB69" s="32">
        <f t="shared" si="310"/>
        <v>0.65487557848740063</v>
      </c>
      <c r="EC69" s="32">
        <f t="shared" si="311"/>
        <v>0.77385230887843048</v>
      </c>
      <c r="ED69" s="32">
        <f t="shared" si="312"/>
        <v>0.8149020536428998</v>
      </c>
      <c r="EE69" s="32">
        <f t="shared" si="313"/>
        <v>0.8594207226278936</v>
      </c>
      <c r="EF69" s="32">
        <f t="shared" si="314"/>
        <v>0.90415630039603634</v>
      </c>
      <c r="EG69" s="32">
        <f t="shared" si="315"/>
        <v>0.93511679657083702</v>
      </c>
      <c r="EH69" s="32">
        <f t="shared" si="316"/>
        <v>0.95183129927472132</v>
      </c>
      <c r="EI69" s="32">
        <f t="shared" si="317"/>
        <v>1</v>
      </c>
      <c r="EK69" s="32">
        <f t="shared" si="399"/>
        <v>8.9461462873349232E-2</v>
      </c>
      <c r="EL69" s="32">
        <f t="shared" si="318"/>
        <v>0.35193803317403577</v>
      </c>
      <c r="EM69" s="32">
        <f t="shared" si="319"/>
        <v>0.45543199422311159</v>
      </c>
      <c r="EN69" s="32">
        <f t="shared" si="320"/>
        <v>0.56823488238806874</v>
      </c>
      <c r="EO69" s="32">
        <f t="shared" si="321"/>
        <v>0.66186474259605432</v>
      </c>
      <c r="EP69" s="32">
        <f t="shared" si="322"/>
        <v>0.80213511178724095</v>
      </c>
      <c r="EQ69" s="32">
        <f t="shared" si="323"/>
        <v>0.85849897243437001</v>
      </c>
      <c r="ER69" s="32">
        <f t="shared" si="324"/>
        <v>0.89409992689212137</v>
      </c>
      <c r="ES69" s="32">
        <f t="shared" si="325"/>
        <v>0.92391421615713565</v>
      </c>
      <c r="ET69" s="32">
        <f t="shared" si="326"/>
        <v>0.94922430078841868</v>
      </c>
      <c r="EU69" s="32">
        <f t="shared" si="327"/>
        <v>0.97143987104387486</v>
      </c>
      <c r="EV69" s="32">
        <f t="shared" si="328"/>
        <v>1</v>
      </c>
      <c r="EX69" s="32">
        <f t="shared" si="329"/>
        <v>0.10126462101447706</v>
      </c>
      <c r="EY69" s="32">
        <f t="shared" si="330"/>
        <v>0.3658812657945682</v>
      </c>
      <c r="EZ69" s="32">
        <f t="shared" si="331"/>
        <v>0.4639059407280412</v>
      </c>
      <c r="FA69" s="32">
        <f t="shared" si="332"/>
        <v>0.56300875413807261</v>
      </c>
      <c r="FB69" s="32">
        <f t="shared" si="333"/>
        <v>0.64262980014013493</v>
      </c>
      <c r="FC69" s="32">
        <f t="shared" si="334"/>
        <v>0.76706011613541669</v>
      </c>
      <c r="FD69" s="32">
        <f t="shared" si="335"/>
        <v>0.82672484484653097</v>
      </c>
      <c r="FE69" s="32">
        <f t="shared" si="336"/>
        <v>0.88764066143204934</v>
      </c>
      <c r="FF69" s="32">
        <f t="shared" si="337"/>
        <v>0.91601879334490999</v>
      </c>
      <c r="FG69" s="32">
        <f t="shared" si="338"/>
        <v>0.94309331811481045</v>
      </c>
      <c r="FH69" s="32">
        <f t="shared" si="339"/>
        <v>0.96894241198061903</v>
      </c>
      <c r="FI69" s="32">
        <f t="shared" si="340"/>
        <v>1</v>
      </c>
      <c r="FK69" s="32">
        <f t="shared" si="400"/>
        <v>0.11417262644121862</v>
      </c>
      <c r="FL69" s="32">
        <f t="shared" si="341"/>
        <v>0.36519876249618094</v>
      </c>
      <c r="FM69" s="32">
        <f t="shared" si="342"/>
        <v>0.4617258211309922</v>
      </c>
      <c r="FN69" s="32">
        <f t="shared" si="343"/>
        <v>0.55736237276687073</v>
      </c>
      <c r="FO69" s="32">
        <f t="shared" si="344"/>
        <v>0.63854787402437962</v>
      </c>
      <c r="FP69" s="32">
        <f t="shared" si="345"/>
        <v>0.76479605188774558</v>
      </c>
      <c r="FQ69" s="32">
        <f t="shared" si="346"/>
        <v>0.83066577524774132</v>
      </c>
      <c r="FR69" s="32">
        <f t="shared" si="347"/>
        <v>0.89704730770010122</v>
      </c>
      <c r="FS69" s="32">
        <f t="shared" si="348"/>
        <v>0.91997295766120113</v>
      </c>
      <c r="FT69" s="32">
        <f t="shared" si="349"/>
        <v>0.94575215862946826</v>
      </c>
      <c r="FU69" s="32">
        <f t="shared" si="350"/>
        <v>0.97464611621591823</v>
      </c>
      <c r="FV69" s="32">
        <f t="shared" si="351"/>
        <v>1</v>
      </c>
      <c r="FX69" s="32">
        <f t="shared" si="401"/>
        <v>0.10403541630491527</v>
      </c>
      <c r="FY69" s="32">
        <f t="shared" si="352"/>
        <v>0.31537576149055957</v>
      </c>
      <c r="FZ69" s="32">
        <f t="shared" si="353"/>
        <v>0.39171238245981638</v>
      </c>
      <c r="GA69" s="32">
        <f t="shared" si="354"/>
        <v>0.45775167360346586</v>
      </c>
      <c r="GB69" s="32">
        <f t="shared" si="355"/>
        <v>0.51460135295531073</v>
      </c>
      <c r="GC69" s="32">
        <f t="shared" si="356"/>
        <v>0.61884278344550114</v>
      </c>
      <c r="GD69" s="32">
        <f t="shared" si="357"/>
        <v>0.68004431198854587</v>
      </c>
      <c r="GE69" s="32">
        <f t="shared" si="358"/>
        <v>0.81995173309696778</v>
      </c>
      <c r="GF69" s="32">
        <f t="shared" si="359"/>
        <v>0.86212364506424166</v>
      </c>
      <c r="GG69" s="32">
        <f t="shared" si="360"/>
        <v>0.9102144535844231</v>
      </c>
      <c r="GH69" s="32">
        <f t="shared" si="361"/>
        <v>0.9508276039932646</v>
      </c>
      <c r="GI69" s="32">
        <f t="shared" si="362"/>
        <v>1</v>
      </c>
    </row>
    <row r="70" spans="1:191">
      <c r="A70" s="724" t="s">
        <v>84</v>
      </c>
      <c r="B70" s="399">
        <v>7465.12</v>
      </c>
      <c r="C70" s="400">
        <v>16031.09</v>
      </c>
      <c r="D70" s="400">
        <v>4340.3500000000004</v>
      </c>
      <c r="E70" s="400">
        <v>5892.27</v>
      </c>
      <c r="F70" s="400">
        <v>2352.31</v>
      </c>
      <c r="G70" s="400">
        <v>3815.13</v>
      </c>
      <c r="H70" s="400">
        <v>9057.2800000000007</v>
      </c>
      <c r="I70" s="400">
        <v>37831.870000000003</v>
      </c>
      <c r="J70" s="400">
        <v>16055.5</v>
      </c>
      <c r="K70" s="400">
        <v>15863.37</v>
      </c>
      <c r="L70" s="400">
        <v>12133.97</v>
      </c>
      <c r="M70" s="400">
        <v>15612.5</v>
      </c>
      <c r="N70" s="400">
        <f t="shared" si="291"/>
        <v>146450.76</v>
      </c>
      <c r="P70" s="396" t="s">
        <v>84</v>
      </c>
      <c r="Q70" s="399">
        <v>21063.63</v>
      </c>
      <c r="R70" s="400">
        <v>57091.040000000001</v>
      </c>
      <c r="S70" s="400">
        <v>16219.25</v>
      </c>
      <c r="T70" s="400">
        <v>4161.7299999999996</v>
      </c>
      <c r="U70" s="400">
        <v>5247.41</v>
      </c>
      <c r="V70" s="400">
        <v>5268.02</v>
      </c>
      <c r="W70" s="400">
        <v>8529.9</v>
      </c>
      <c r="X70" s="400">
        <v>15110.93</v>
      </c>
      <c r="Y70" s="400">
        <v>5377.96</v>
      </c>
      <c r="Z70" s="400">
        <v>2601.83</v>
      </c>
      <c r="AA70" s="400">
        <v>4087.4900000000002</v>
      </c>
      <c r="AB70" s="400">
        <v>5252.46</v>
      </c>
      <c r="AC70" s="400">
        <f t="shared" si="292"/>
        <v>150011.64999999997</v>
      </c>
      <c r="AE70" s="127" t="s">
        <v>84</v>
      </c>
      <c r="AF70" s="27">
        <v>16408.310000000001</v>
      </c>
      <c r="AG70" s="27">
        <v>39311.89</v>
      </c>
      <c r="AH70" s="27">
        <v>13154.91</v>
      </c>
      <c r="AI70" s="27">
        <v>11689.17</v>
      </c>
      <c r="AJ70" s="27">
        <v>17428.91</v>
      </c>
      <c r="AK70" s="27">
        <v>14565.91</v>
      </c>
      <c r="AL70" s="27">
        <v>10414.52</v>
      </c>
      <c r="AM70" s="27">
        <v>8953.4500000000007</v>
      </c>
      <c r="AN70" s="27">
        <v>5168.58</v>
      </c>
      <c r="AO70" s="27">
        <v>8443.84</v>
      </c>
      <c r="AP70" s="27">
        <v>5021.2</v>
      </c>
      <c r="AQ70" s="27">
        <v>3021.88</v>
      </c>
      <c r="AR70" s="43">
        <f t="shared" si="402"/>
        <v>153582.57</v>
      </c>
      <c r="AT70" s="60" t="s">
        <v>84</v>
      </c>
      <c r="AU70" s="27">
        <v>9341.14</v>
      </c>
      <c r="AV70" s="27">
        <v>17058.71</v>
      </c>
      <c r="AW70" s="27">
        <v>13698.14</v>
      </c>
      <c r="AX70" s="27">
        <v>9628.14</v>
      </c>
      <c r="AY70" s="27">
        <v>12302.95</v>
      </c>
      <c r="AZ70" s="27">
        <v>15558.27</v>
      </c>
      <c r="BA70" s="27">
        <v>3067.05</v>
      </c>
      <c r="BB70" s="27">
        <v>9330.14</v>
      </c>
      <c r="BC70" s="27">
        <v>9866</v>
      </c>
      <c r="BD70" s="27">
        <v>4264.29</v>
      </c>
      <c r="BE70" s="27">
        <v>6658.88</v>
      </c>
      <c r="BF70" s="27">
        <v>5429.69</v>
      </c>
      <c r="BG70" s="43">
        <f t="shared" si="403"/>
        <v>116203.40000000001</v>
      </c>
      <c r="BI70" s="60" t="s">
        <v>84</v>
      </c>
      <c r="BJ70" s="27">
        <v>8126.2000000000007</v>
      </c>
      <c r="BK70" s="27">
        <v>23106.539999999997</v>
      </c>
      <c r="BL70" s="27">
        <v>7863.66</v>
      </c>
      <c r="BM70" s="27">
        <v>6202.33</v>
      </c>
      <c r="BN70" s="27">
        <v>6735.2199999999993</v>
      </c>
      <c r="BO70" s="27">
        <v>8698.18</v>
      </c>
      <c r="BP70" s="27">
        <v>4857.26</v>
      </c>
      <c r="BQ70" s="27">
        <v>4642.57</v>
      </c>
      <c r="BR70" s="27">
        <v>9058.2800000000007</v>
      </c>
      <c r="BS70" s="27">
        <v>8150.6900000000005</v>
      </c>
      <c r="BT70" s="27">
        <v>6738.7300000000005</v>
      </c>
      <c r="BU70" s="27">
        <v>3368.4399999999996</v>
      </c>
      <c r="BV70" s="43">
        <f t="shared" si="404"/>
        <v>97548.099999999991</v>
      </c>
      <c r="BW70" s="405"/>
      <c r="BX70" s="32">
        <f t="shared" si="363"/>
        <v>5.0973583202982349E-2</v>
      </c>
      <c r="BY70" s="32">
        <f t="shared" si="364"/>
        <v>0.16043761056617253</v>
      </c>
      <c r="BZ70" s="32">
        <f t="shared" si="365"/>
        <v>0.1900745342666709</v>
      </c>
      <c r="CA70" s="32">
        <f t="shared" si="366"/>
        <v>0.23030833025379999</v>
      </c>
      <c r="CB70" s="32">
        <f t="shared" si="367"/>
        <v>0.24637045243056435</v>
      </c>
      <c r="CC70" s="32">
        <f t="shared" si="368"/>
        <v>0.27242105128030741</v>
      </c>
      <c r="CD70" s="32">
        <f t="shared" si="369"/>
        <v>0.33426627488993566</v>
      </c>
      <c r="CE70" s="32">
        <f t="shared" si="370"/>
        <v>0.59259112072890574</v>
      </c>
      <c r="CF70" s="32">
        <f t="shared" si="371"/>
        <v>0.70222182527424226</v>
      </c>
      <c r="CG70" s="32">
        <f t="shared" si="372"/>
        <v>0.81054062129824378</v>
      </c>
      <c r="CH70" s="32">
        <f t="shared" si="373"/>
        <v>0.89339420293892624</v>
      </c>
      <c r="CI70" s="32">
        <f t="shared" si="374"/>
        <v>1</v>
      </c>
      <c r="CJ70" s="405"/>
      <c r="CK70" s="32">
        <f t="shared" si="375"/>
        <v>0.1404132945674553</v>
      </c>
      <c r="CL70" s="32">
        <f t="shared" si="376"/>
        <v>0.52099066972465147</v>
      </c>
      <c r="CM70" s="32">
        <f t="shared" si="377"/>
        <v>0.62911060574295408</v>
      </c>
      <c r="CN70" s="32">
        <f t="shared" si="378"/>
        <v>0.6568533177256568</v>
      </c>
      <c r="CO70" s="32">
        <f t="shared" si="379"/>
        <v>0.69183333427770455</v>
      </c>
      <c r="CP70" s="32">
        <f t="shared" si="380"/>
        <v>0.72695074015918115</v>
      </c>
      <c r="CQ70" s="32">
        <f t="shared" si="381"/>
        <v>0.78381232390950983</v>
      </c>
      <c r="CR70" s="32">
        <f t="shared" si="382"/>
        <v>0.88454403374671253</v>
      </c>
      <c r="CS70" s="32">
        <f t="shared" si="383"/>
        <v>0.92039431604145427</v>
      </c>
      <c r="CT70" s="32">
        <f t="shared" si="384"/>
        <v>0.93773850230965405</v>
      </c>
      <c r="CU70" s="32">
        <f t="shared" si="385"/>
        <v>0.96498631939586033</v>
      </c>
      <c r="CV70" s="32">
        <f t="shared" si="386"/>
        <v>1</v>
      </c>
      <c r="CX70" s="32">
        <f t="shared" si="387"/>
        <v>0.10683705839796795</v>
      </c>
      <c r="CY70" s="32">
        <f t="shared" si="388"/>
        <v>0.36280288837463781</v>
      </c>
      <c r="CZ70" s="32">
        <f t="shared" si="389"/>
        <v>0.44845655337060708</v>
      </c>
      <c r="DA70" s="32">
        <f t="shared" si="390"/>
        <v>0.52456655725972023</v>
      </c>
      <c r="DB70" s="32">
        <f t="shared" si="391"/>
        <v>0.63804890099182476</v>
      </c>
      <c r="DC70" s="32">
        <f t="shared" si="392"/>
        <v>0.73288980644092616</v>
      </c>
      <c r="DD70" s="32">
        <f t="shared" si="393"/>
        <v>0.80070036593345195</v>
      </c>
      <c r="DE70" s="32">
        <f t="shared" si="394"/>
        <v>0.85899767141544769</v>
      </c>
      <c r="DF70" s="32">
        <f t="shared" si="395"/>
        <v>0.89265109966580181</v>
      </c>
      <c r="DG70" s="32">
        <f t="shared" si="396"/>
        <v>0.94763025517804511</v>
      </c>
      <c r="DH70" s="32">
        <f t="shared" si="397"/>
        <v>0.98032406932635652</v>
      </c>
      <c r="DI70" s="32">
        <f t="shared" si="398"/>
        <v>1</v>
      </c>
      <c r="DK70" s="32">
        <f t="shared" si="294"/>
        <v>8.0386116068892982E-2</v>
      </c>
      <c r="DL70" s="32">
        <f t="shared" si="295"/>
        <v>0.22718655392183015</v>
      </c>
      <c r="DM70" s="32">
        <f t="shared" si="296"/>
        <v>0.34506726997660991</v>
      </c>
      <c r="DN70" s="32">
        <f t="shared" si="297"/>
        <v>0.42792319329727008</v>
      </c>
      <c r="DO70" s="32">
        <f t="shared" si="298"/>
        <v>0.53379746203639478</v>
      </c>
      <c r="DP70" s="32">
        <f t="shared" si="299"/>
        <v>0.6676857131546925</v>
      </c>
      <c r="DQ70" s="32">
        <f t="shared" si="300"/>
        <v>0.69407951918790678</v>
      </c>
      <c r="DR70" s="32">
        <f t="shared" si="301"/>
        <v>0.77437097365481566</v>
      </c>
      <c r="DS70" s="32">
        <f t="shared" si="302"/>
        <v>0.85927382503437932</v>
      </c>
      <c r="DT70" s="32">
        <f t="shared" si="303"/>
        <v>0.89597059982754368</v>
      </c>
      <c r="DU70" s="32">
        <f t="shared" si="304"/>
        <v>0.95327425875662841</v>
      </c>
      <c r="DV70" s="32">
        <f t="shared" si="305"/>
        <v>1</v>
      </c>
      <c r="DW70" s="39"/>
      <c r="DX70" s="32">
        <f t="shared" si="306"/>
        <v>8.3304544117209889E-2</v>
      </c>
      <c r="DY70" s="32">
        <f t="shared" si="307"/>
        <v>0.32017784047049608</v>
      </c>
      <c r="DZ70" s="32">
        <f t="shared" si="308"/>
        <v>0.4007909943914848</v>
      </c>
      <c r="EA70" s="32">
        <f t="shared" si="309"/>
        <v>0.4643732681620657</v>
      </c>
      <c r="EB70" s="32">
        <f t="shared" si="310"/>
        <v>0.53341838539141206</v>
      </c>
      <c r="EC70" s="32">
        <f t="shared" si="311"/>
        <v>0.62258649835312019</v>
      </c>
      <c r="ED70" s="32">
        <f t="shared" si="312"/>
        <v>0.67237998484850048</v>
      </c>
      <c r="EE70" s="32">
        <f t="shared" si="313"/>
        <v>0.71997260838499155</v>
      </c>
      <c r="EF70" s="32">
        <f t="shared" si="314"/>
        <v>0.81283223353402068</v>
      </c>
      <c r="EG70" s="32">
        <f t="shared" si="315"/>
        <v>0.89638783328429772</v>
      </c>
      <c r="EH70" s="32">
        <f t="shared" si="316"/>
        <v>0.96546893276240131</v>
      </c>
      <c r="EI70" s="32">
        <f t="shared" si="317"/>
        <v>1</v>
      </c>
      <c r="EK70" s="32">
        <f t="shared" si="399"/>
        <v>9.0175906194690278E-2</v>
      </c>
      <c r="EL70" s="32">
        <f t="shared" si="318"/>
        <v>0.30338909425565469</v>
      </c>
      <c r="EM70" s="32">
        <f t="shared" si="319"/>
        <v>0.39810493924623397</v>
      </c>
      <c r="EN70" s="32">
        <f t="shared" si="320"/>
        <v>0.47228767290635193</v>
      </c>
      <c r="EO70" s="32">
        <f t="shared" si="321"/>
        <v>0.56842158280654387</v>
      </c>
      <c r="EP70" s="32">
        <f t="shared" si="322"/>
        <v>0.67438733931624617</v>
      </c>
      <c r="EQ70" s="32">
        <f t="shared" si="323"/>
        <v>0.7223866233232864</v>
      </c>
      <c r="ER70" s="32">
        <f t="shared" si="324"/>
        <v>0.78444708448508493</v>
      </c>
      <c r="ES70" s="32">
        <f t="shared" si="325"/>
        <v>0.85491905274473401</v>
      </c>
      <c r="ET70" s="32">
        <f t="shared" si="326"/>
        <v>0.91332956276329558</v>
      </c>
      <c r="EU70" s="32">
        <f t="shared" si="327"/>
        <v>0.96635575361512871</v>
      </c>
      <c r="EV70" s="32">
        <f t="shared" si="328"/>
        <v>1</v>
      </c>
      <c r="EX70" s="32">
        <f t="shared" si="329"/>
        <v>0.10273525328788152</v>
      </c>
      <c r="EY70" s="32">
        <f t="shared" si="330"/>
        <v>0.3577894881229039</v>
      </c>
      <c r="EZ70" s="32">
        <f t="shared" si="331"/>
        <v>0.45585635587041395</v>
      </c>
      <c r="FA70" s="32">
        <f t="shared" si="332"/>
        <v>0.51842908411117827</v>
      </c>
      <c r="FB70" s="32">
        <f t="shared" si="333"/>
        <v>0.59927452067433407</v>
      </c>
      <c r="FC70" s="32">
        <f t="shared" si="334"/>
        <v>0.68752818952697992</v>
      </c>
      <c r="FD70" s="32">
        <f t="shared" si="335"/>
        <v>0.73774304846984218</v>
      </c>
      <c r="FE70" s="32">
        <f t="shared" si="336"/>
        <v>0.80947132180049186</v>
      </c>
      <c r="FF70" s="32">
        <f t="shared" si="337"/>
        <v>0.87128786856891405</v>
      </c>
      <c r="FG70" s="32">
        <f t="shared" si="338"/>
        <v>0.91943179764988514</v>
      </c>
      <c r="FH70" s="32">
        <f t="shared" si="339"/>
        <v>0.96601339506031159</v>
      </c>
      <c r="FI70" s="32">
        <f t="shared" si="340"/>
        <v>1</v>
      </c>
      <c r="FK70" s="32">
        <f t="shared" si="400"/>
        <v>0.10921215634477206</v>
      </c>
      <c r="FL70" s="32">
        <f t="shared" si="341"/>
        <v>0.37032670400703988</v>
      </c>
      <c r="FM70" s="32">
        <f t="shared" si="342"/>
        <v>0.47421147636339039</v>
      </c>
      <c r="FN70" s="32">
        <f t="shared" si="343"/>
        <v>0.53644768942754906</v>
      </c>
      <c r="FO70" s="32">
        <f t="shared" si="344"/>
        <v>0.62122656576864133</v>
      </c>
      <c r="FP70" s="32">
        <f t="shared" si="345"/>
        <v>0.7091754199182666</v>
      </c>
      <c r="FQ70" s="32">
        <f t="shared" si="346"/>
        <v>0.75953073634362289</v>
      </c>
      <c r="FR70" s="32">
        <f t="shared" si="347"/>
        <v>0.83930422627232526</v>
      </c>
      <c r="FS70" s="32">
        <f t="shared" si="348"/>
        <v>0.8907730802472118</v>
      </c>
      <c r="FT70" s="32">
        <f t="shared" si="349"/>
        <v>0.9271131191050811</v>
      </c>
      <c r="FU70" s="32">
        <f t="shared" si="350"/>
        <v>0.96619488249294838</v>
      </c>
      <c r="FV70" s="32">
        <f t="shared" si="351"/>
        <v>1</v>
      </c>
      <c r="FX70" s="32">
        <f t="shared" si="401"/>
        <v>9.9407978722801868E-2</v>
      </c>
      <c r="FY70" s="32">
        <f t="shared" si="352"/>
        <v>0.34807705622182056</v>
      </c>
      <c r="FZ70" s="32">
        <f t="shared" si="353"/>
        <v>0.42254723112674403</v>
      </c>
      <c r="GA70" s="32">
        <f t="shared" si="354"/>
        <v>0.47057606841305905</v>
      </c>
      <c r="GB70" s="32">
        <f t="shared" si="355"/>
        <v>0.5254175625666978</v>
      </c>
      <c r="GC70" s="32">
        <f t="shared" si="356"/>
        <v>0.57742053262680482</v>
      </c>
      <c r="GD70" s="32">
        <f t="shared" si="357"/>
        <v>0.63959298824429911</v>
      </c>
      <c r="GE70" s="32">
        <f t="shared" si="358"/>
        <v>0.77871094196368862</v>
      </c>
      <c r="GF70" s="32">
        <f t="shared" si="359"/>
        <v>0.83842241366049952</v>
      </c>
      <c r="GG70" s="32">
        <f t="shared" si="360"/>
        <v>0.89863645959531435</v>
      </c>
      <c r="GH70" s="32">
        <f t="shared" si="361"/>
        <v>0.94623486388704769</v>
      </c>
      <c r="GI70" s="32">
        <f t="shared" si="362"/>
        <v>1</v>
      </c>
    </row>
    <row r="71" spans="1:191">
      <c r="A71" s="724" t="s">
        <v>85</v>
      </c>
      <c r="B71" s="399">
        <v>8057.11</v>
      </c>
      <c r="C71" s="400">
        <v>10526.99</v>
      </c>
      <c r="D71" s="400">
        <v>9160.68</v>
      </c>
      <c r="E71" s="400">
        <v>8529.75</v>
      </c>
      <c r="F71" s="400">
        <v>5876.01</v>
      </c>
      <c r="G71" s="400">
        <v>8518.49</v>
      </c>
      <c r="H71" s="400">
        <v>8389.0499999999993</v>
      </c>
      <c r="I71" s="400">
        <v>37391.17</v>
      </c>
      <c r="J71" s="400">
        <v>11178.06</v>
      </c>
      <c r="K71" s="400">
        <v>10074.57</v>
      </c>
      <c r="L71" s="400">
        <v>11147.77</v>
      </c>
      <c r="M71" s="400">
        <v>11292.89</v>
      </c>
      <c r="N71" s="400">
        <f t="shared" si="291"/>
        <v>140142.54</v>
      </c>
      <c r="P71" s="396" t="s">
        <v>85</v>
      </c>
      <c r="Q71" s="399">
        <v>17442.310000000001</v>
      </c>
      <c r="R71" s="400">
        <v>38474.97</v>
      </c>
      <c r="S71" s="400">
        <v>17244.61</v>
      </c>
      <c r="T71" s="400">
        <v>8223.52</v>
      </c>
      <c r="U71" s="400">
        <v>10009.18</v>
      </c>
      <c r="V71" s="400">
        <v>11017.09</v>
      </c>
      <c r="W71" s="400">
        <v>14972.51</v>
      </c>
      <c r="X71" s="400">
        <v>23461.19</v>
      </c>
      <c r="Y71" s="400">
        <v>9318.83</v>
      </c>
      <c r="Z71" s="400">
        <v>4195.07</v>
      </c>
      <c r="AA71" s="400">
        <v>6880.630000000001</v>
      </c>
      <c r="AB71" s="400">
        <v>4914.12</v>
      </c>
      <c r="AC71" s="400">
        <f t="shared" si="292"/>
        <v>166154.02999999997</v>
      </c>
      <c r="AE71" s="127" t="s">
        <v>85</v>
      </c>
      <c r="AF71" s="27">
        <v>16101.98</v>
      </c>
      <c r="AG71" s="27">
        <v>37697.31</v>
      </c>
      <c r="AH71" s="27">
        <v>12441.51</v>
      </c>
      <c r="AI71" s="27">
        <v>14291.04</v>
      </c>
      <c r="AJ71" s="27">
        <v>19880.3</v>
      </c>
      <c r="AK71" s="27">
        <v>28548.58</v>
      </c>
      <c r="AL71" s="27">
        <v>8517.5400000000009</v>
      </c>
      <c r="AM71" s="27">
        <v>4301.18</v>
      </c>
      <c r="AN71" s="27">
        <v>6220.66</v>
      </c>
      <c r="AO71" s="27">
        <v>5861.4</v>
      </c>
      <c r="AP71" s="27">
        <v>4391.88</v>
      </c>
      <c r="AQ71" s="27">
        <v>3630</v>
      </c>
      <c r="AR71" s="43">
        <f t="shared" si="402"/>
        <v>161883.38</v>
      </c>
      <c r="AT71" s="60" t="s">
        <v>85</v>
      </c>
      <c r="AU71" s="27">
        <v>12561.59</v>
      </c>
      <c r="AV71" s="27">
        <v>26019.52</v>
      </c>
      <c r="AW71" s="27">
        <v>20001.97</v>
      </c>
      <c r="AX71" s="27">
        <v>14815.47</v>
      </c>
      <c r="AY71" s="27">
        <v>18147.080000000002</v>
      </c>
      <c r="AZ71" s="27">
        <v>20659.490000000002</v>
      </c>
      <c r="BA71" s="27">
        <v>6948.07</v>
      </c>
      <c r="BB71" s="27">
        <v>4059.7</v>
      </c>
      <c r="BC71" s="27">
        <v>1983.88</v>
      </c>
      <c r="BD71" s="27">
        <v>4154.5600000000004</v>
      </c>
      <c r="BE71" s="27">
        <v>5742.6</v>
      </c>
      <c r="BF71" s="27">
        <v>5186.57</v>
      </c>
      <c r="BG71" s="43">
        <f t="shared" si="403"/>
        <v>140280.5</v>
      </c>
      <c r="BI71" s="60" t="s">
        <v>85</v>
      </c>
      <c r="BJ71" s="27">
        <v>10687.47</v>
      </c>
      <c r="BK71" s="27">
        <v>42059.1</v>
      </c>
      <c r="BL71" s="27">
        <v>10780.37</v>
      </c>
      <c r="BM71" s="27">
        <v>8245.15</v>
      </c>
      <c r="BN71" s="27">
        <v>13248.39</v>
      </c>
      <c r="BO71" s="27">
        <v>16063.779999999999</v>
      </c>
      <c r="BP71" s="27">
        <v>7785.93</v>
      </c>
      <c r="BQ71" s="27">
        <v>4649.5599999999995</v>
      </c>
      <c r="BR71" s="27">
        <v>4497.67</v>
      </c>
      <c r="BS71" s="27">
        <v>2933.2000000000003</v>
      </c>
      <c r="BT71" s="27">
        <v>1939.79</v>
      </c>
      <c r="BU71" s="27">
        <v>2569.12</v>
      </c>
      <c r="BV71" s="43">
        <f t="shared" si="404"/>
        <v>125459.52999999998</v>
      </c>
      <c r="BW71" s="405"/>
      <c r="BX71" s="32">
        <f t="shared" si="363"/>
        <v>5.7492250390209845E-2</v>
      </c>
      <c r="BY71" s="32">
        <f t="shared" si="364"/>
        <v>0.13260855697349283</v>
      </c>
      <c r="BZ71" s="32">
        <f t="shared" si="365"/>
        <v>0.19797543272727894</v>
      </c>
      <c r="CA71" s="32">
        <f t="shared" si="366"/>
        <v>0.25884024936325539</v>
      </c>
      <c r="CB71" s="32">
        <f t="shared" si="367"/>
        <v>0.30076905984435559</v>
      </c>
      <c r="CC71" s="32">
        <f t="shared" si="368"/>
        <v>0.36155352971339033</v>
      </c>
      <c r="CD71" s="32">
        <f t="shared" si="369"/>
        <v>0.42141436854219994</v>
      </c>
      <c r="CE71" s="32">
        <f t="shared" si="370"/>
        <v>0.68822250545765762</v>
      </c>
      <c r="CF71" s="32">
        <f t="shared" si="371"/>
        <v>0.76798458198345765</v>
      </c>
      <c r="CG71" s="32">
        <f t="shared" si="372"/>
        <v>0.83987260399304875</v>
      </c>
      <c r="CH71" s="32">
        <f t="shared" si="373"/>
        <v>0.91941854343442042</v>
      </c>
      <c r="CI71" s="32">
        <f t="shared" si="374"/>
        <v>1</v>
      </c>
      <c r="CJ71" s="405"/>
      <c r="CK71" s="32">
        <f t="shared" si="375"/>
        <v>0.10497674958591137</v>
      </c>
      <c r="CL71" s="32">
        <f t="shared" si="376"/>
        <v>0.33653881281122106</v>
      </c>
      <c r="CM71" s="32">
        <f t="shared" si="377"/>
        <v>0.44032570260257914</v>
      </c>
      <c r="CN71" s="32">
        <f t="shared" si="378"/>
        <v>0.48981905524650843</v>
      </c>
      <c r="CO71" s="32">
        <f t="shared" si="379"/>
        <v>0.55005942377684136</v>
      </c>
      <c r="CP71" s="32">
        <f t="shared" si="380"/>
        <v>0.6163659105951268</v>
      </c>
      <c r="CQ71" s="32">
        <f t="shared" si="381"/>
        <v>0.70647813959131778</v>
      </c>
      <c r="CR71" s="32">
        <f t="shared" si="382"/>
        <v>0.84767958983600944</v>
      </c>
      <c r="CS71" s="32">
        <f t="shared" si="383"/>
        <v>0.9037650787043805</v>
      </c>
      <c r="CT71" s="32">
        <f t="shared" si="384"/>
        <v>0.92901315724933065</v>
      </c>
      <c r="CU71" s="32">
        <f t="shared" si="385"/>
        <v>0.97042431050273048</v>
      </c>
      <c r="CV71" s="32">
        <f t="shared" si="386"/>
        <v>1</v>
      </c>
      <c r="CX71" s="32">
        <f t="shared" si="387"/>
        <v>9.946654190195435E-2</v>
      </c>
      <c r="CY71" s="32">
        <f t="shared" si="388"/>
        <v>0.33233362189497151</v>
      </c>
      <c r="CZ71" s="32">
        <f t="shared" si="389"/>
        <v>0.40918839228585407</v>
      </c>
      <c r="DA71" s="32">
        <f t="shared" si="390"/>
        <v>0.49746823917316274</v>
      </c>
      <c r="DB71" s="32">
        <f t="shared" si="391"/>
        <v>0.62027454578722041</v>
      </c>
      <c r="DC71" s="32">
        <f t="shared" si="392"/>
        <v>0.79662730046778119</v>
      </c>
      <c r="DD71" s="32">
        <f t="shared" si="393"/>
        <v>0.84924258438389422</v>
      </c>
      <c r="DE71" s="32">
        <f t="shared" si="394"/>
        <v>0.87581220505773971</v>
      </c>
      <c r="DF71" s="32">
        <f t="shared" si="395"/>
        <v>0.91423900341097397</v>
      </c>
      <c r="DG71" s="32">
        <f t="shared" si="396"/>
        <v>0.95044654985582833</v>
      </c>
      <c r="DH71" s="32">
        <f t="shared" si="397"/>
        <v>0.97757645040522378</v>
      </c>
      <c r="DI71" s="32">
        <f t="shared" si="398"/>
        <v>1</v>
      </c>
      <c r="DK71" s="32">
        <f t="shared" si="294"/>
        <v>8.9546230588000472E-2</v>
      </c>
      <c r="DL71" s="32">
        <f t="shared" si="295"/>
        <v>0.2750283182623387</v>
      </c>
      <c r="DM71" s="32">
        <f t="shared" si="296"/>
        <v>0.41761385224603564</v>
      </c>
      <c r="DN71" s="32">
        <f t="shared" si="297"/>
        <v>0.52322703440606499</v>
      </c>
      <c r="DO71" s="32">
        <f t="shared" si="298"/>
        <v>0.65258984677129039</v>
      </c>
      <c r="DP71" s="32">
        <f t="shared" si="299"/>
        <v>0.79986256108297316</v>
      </c>
      <c r="DQ71" s="32">
        <f t="shared" si="300"/>
        <v>0.84939239594954397</v>
      </c>
      <c r="DR71" s="32">
        <f t="shared" si="301"/>
        <v>0.87833226998763192</v>
      </c>
      <c r="DS71" s="32">
        <f t="shared" si="302"/>
        <v>0.89247450643532067</v>
      </c>
      <c r="DT71" s="32">
        <f t="shared" si="303"/>
        <v>0.92209059705376017</v>
      </c>
      <c r="DU71" s="32">
        <f t="shared" si="304"/>
        <v>0.96302714917611498</v>
      </c>
      <c r="DV71" s="32">
        <f t="shared" si="305"/>
        <v>1</v>
      </c>
      <c r="DW71" s="39"/>
      <c r="DX71" s="32">
        <f t="shared" si="306"/>
        <v>8.5186593637007896E-2</v>
      </c>
      <c r="DY71" s="32">
        <f t="shared" si="307"/>
        <v>0.42042696955743425</v>
      </c>
      <c r="DZ71" s="32">
        <f t="shared" si="308"/>
        <v>0.50635404102023984</v>
      </c>
      <c r="EA71" s="32">
        <f t="shared" si="309"/>
        <v>0.57207364000168026</v>
      </c>
      <c r="EB71" s="32">
        <f t="shared" si="310"/>
        <v>0.67767255305356244</v>
      </c>
      <c r="EC71" s="32">
        <f t="shared" si="311"/>
        <v>0.8057120889899716</v>
      </c>
      <c r="ED71" s="32">
        <f t="shared" si="312"/>
        <v>0.86777138412681776</v>
      </c>
      <c r="EE71" s="32">
        <f t="shared" si="313"/>
        <v>0.90483162179867893</v>
      </c>
      <c r="EF71" s="32">
        <f t="shared" si="314"/>
        <v>0.94068119018140761</v>
      </c>
      <c r="EG71" s="32">
        <f t="shared" si="315"/>
        <v>0.96406084097397793</v>
      </c>
      <c r="EH71" s="32">
        <f t="shared" si="316"/>
        <v>0.97952232086315005</v>
      </c>
      <c r="EI71" s="32">
        <f t="shared" si="317"/>
        <v>1</v>
      </c>
      <c r="EK71" s="32">
        <f t="shared" si="399"/>
        <v>9.1399788708987573E-2</v>
      </c>
      <c r="EL71" s="32">
        <f t="shared" si="318"/>
        <v>0.34259630323824819</v>
      </c>
      <c r="EM71" s="32">
        <f t="shared" si="319"/>
        <v>0.4443854285173765</v>
      </c>
      <c r="EN71" s="32">
        <f t="shared" si="320"/>
        <v>0.53092297119363596</v>
      </c>
      <c r="EO71" s="32">
        <f t="shared" si="321"/>
        <v>0.65017898187069101</v>
      </c>
      <c r="EP71" s="32">
        <f t="shared" si="322"/>
        <v>0.80073398351357528</v>
      </c>
      <c r="EQ71" s="32">
        <f t="shared" si="323"/>
        <v>0.85546878815341865</v>
      </c>
      <c r="ER71" s="32">
        <f t="shared" si="324"/>
        <v>0.88632536561468356</v>
      </c>
      <c r="ES71" s="32">
        <f t="shared" si="325"/>
        <v>0.91579823334256749</v>
      </c>
      <c r="ET71" s="32">
        <f t="shared" si="326"/>
        <v>0.9455326626278554</v>
      </c>
      <c r="EU71" s="32">
        <f t="shared" si="327"/>
        <v>0.97337530681482953</v>
      </c>
      <c r="EV71" s="32">
        <f t="shared" si="328"/>
        <v>1</v>
      </c>
      <c r="EX71" s="32">
        <f t="shared" si="329"/>
        <v>9.4794028928218518E-2</v>
      </c>
      <c r="EY71" s="32">
        <f t="shared" si="330"/>
        <v>0.34108193063149139</v>
      </c>
      <c r="EZ71" s="32">
        <f t="shared" si="331"/>
        <v>0.44337049703867715</v>
      </c>
      <c r="FA71" s="32">
        <f t="shared" si="332"/>
        <v>0.52064699220685406</v>
      </c>
      <c r="FB71" s="32">
        <f t="shared" si="333"/>
        <v>0.6251490923472286</v>
      </c>
      <c r="FC71" s="32">
        <f t="shared" si="334"/>
        <v>0.75464196528396321</v>
      </c>
      <c r="FD71" s="32">
        <f t="shared" si="335"/>
        <v>0.81822112601289343</v>
      </c>
      <c r="FE71" s="32">
        <f t="shared" si="336"/>
        <v>0.87666392167001495</v>
      </c>
      <c r="FF71" s="32">
        <f t="shared" si="337"/>
        <v>0.91278994468302077</v>
      </c>
      <c r="FG71" s="32">
        <f t="shared" si="338"/>
        <v>0.94140278628322427</v>
      </c>
      <c r="FH71" s="32">
        <f t="shared" si="339"/>
        <v>0.97263755773680483</v>
      </c>
      <c r="FI71" s="32">
        <f t="shared" si="340"/>
        <v>1</v>
      </c>
      <c r="FK71" s="32">
        <f t="shared" si="400"/>
        <v>9.7996507358622073E-2</v>
      </c>
      <c r="FL71" s="32">
        <f t="shared" si="341"/>
        <v>0.31463358432284377</v>
      </c>
      <c r="FM71" s="32">
        <f t="shared" si="342"/>
        <v>0.42237598237815627</v>
      </c>
      <c r="FN71" s="32">
        <f t="shared" si="343"/>
        <v>0.50350477627524537</v>
      </c>
      <c r="FO71" s="32">
        <f t="shared" si="344"/>
        <v>0.60764127211178398</v>
      </c>
      <c r="FP71" s="32">
        <f t="shared" si="345"/>
        <v>0.73761859071529379</v>
      </c>
      <c r="FQ71" s="32">
        <f t="shared" si="346"/>
        <v>0.80170437330825195</v>
      </c>
      <c r="FR71" s="32">
        <f t="shared" si="347"/>
        <v>0.86727468829379362</v>
      </c>
      <c r="FS71" s="32">
        <f t="shared" si="348"/>
        <v>0.90349286285022501</v>
      </c>
      <c r="FT71" s="32">
        <f t="shared" si="349"/>
        <v>0.93385010138630642</v>
      </c>
      <c r="FU71" s="32">
        <f t="shared" si="350"/>
        <v>0.97034263669468979</v>
      </c>
      <c r="FV71" s="32">
        <f t="shared" si="351"/>
        <v>1</v>
      </c>
      <c r="FX71" s="32">
        <f t="shared" si="401"/>
        <v>8.7311847292691855E-2</v>
      </c>
      <c r="FY71" s="32">
        <f t="shared" si="352"/>
        <v>0.26716033055989513</v>
      </c>
      <c r="FZ71" s="32">
        <f t="shared" si="353"/>
        <v>0.34916317587190404</v>
      </c>
      <c r="GA71" s="32">
        <f t="shared" si="354"/>
        <v>0.41537584792764215</v>
      </c>
      <c r="GB71" s="32">
        <f t="shared" si="355"/>
        <v>0.49036767646947244</v>
      </c>
      <c r="GC71" s="32">
        <f t="shared" si="356"/>
        <v>0.59151558025876605</v>
      </c>
      <c r="GD71" s="32">
        <f t="shared" si="357"/>
        <v>0.65904503083913735</v>
      </c>
      <c r="GE71" s="32">
        <f t="shared" si="358"/>
        <v>0.80390476678380229</v>
      </c>
      <c r="GF71" s="32">
        <f t="shared" si="359"/>
        <v>0.86199622136627063</v>
      </c>
      <c r="GG71" s="32">
        <f t="shared" si="360"/>
        <v>0.90644410369940254</v>
      </c>
      <c r="GH71" s="32">
        <f t="shared" si="361"/>
        <v>0.95580643478079164</v>
      </c>
      <c r="GI71" s="32">
        <f t="shared" si="362"/>
        <v>1</v>
      </c>
    </row>
    <row r="72" spans="1:191">
      <c r="A72" s="724" t="s">
        <v>86</v>
      </c>
      <c r="B72" s="399">
        <v>5598.69</v>
      </c>
      <c r="C72" s="400">
        <v>3433.75</v>
      </c>
      <c r="D72" s="400">
        <v>3609.41</v>
      </c>
      <c r="E72" s="400">
        <v>1528.52</v>
      </c>
      <c r="F72" s="400">
        <v>1142.83</v>
      </c>
      <c r="G72" s="400">
        <v>1304.73</v>
      </c>
      <c r="H72" s="400">
        <v>2114.2399999999998</v>
      </c>
      <c r="I72" s="400">
        <v>8022.17</v>
      </c>
      <c r="J72" s="400">
        <v>2695.28</v>
      </c>
      <c r="K72" s="400">
        <v>3392.32</v>
      </c>
      <c r="L72" s="400">
        <v>3092.91</v>
      </c>
      <c r="M72" s="400">
        <v>3116.99</v>
      </c>
      <c r="N72" s="400">
        <f t="shared" si="291"/>
        <v>39051.839999999989</v>
      </c>
      <c r="P72" s="396" t="s">
        <v>86</v>
      </c>
      <c r="Q72" s="399">
        <v>7714.05</v>
      </c>
      <c r="R72" s="400">
        <v>8402.11</v>
      </c>
      <c r="S72" s="400">
        <v>2314.1999999999998</v>
      </c>
      <c r="T72" s="400">
        <v>399.98</v>
      </c>
      <c r="U72" s="400">
        <v>857.11</v>
      </c>
      <c r="V72" s="400">
        <v>2638</v>
      </c>
      <c r="W72" s="400">
        <v>3799.87</v>
      </c>
      <c r="X72" s="400">
        <v>5723.67</v>
      </c>
      <c r="Y72" s="400">
        <v>2680.88</v>
      </c>
      <c r="Z72" s="400">
        <v>1228.56</v>
      </c>
      <c r="AA72" s="400">
        <v>1533.31</v>
      </c>
      <c r="AB72" s="400">
        <v>2099.92</v>
      </c>
      <c r="AC72" s="400">
        <f t="shared" si="292"/>
        <v>39391.659999999989</v>
      </c>
      <c r="AE72" s="127" t="s">
        <v>86</v>
      </c>
      <c r="AF72" s="27">
        <v>4988.84</v>
      </c>
      <c r="AG72" s="27">
        <v>11306.66</v>
      </c>
      <c r="AH72" s="27">
        <v>3924.8</v>
      </c>
      <c r="AI72" s="27">
        <v>5030.3599999999997</v>
      </c>
      <c r="AJ72" s="27">
        <v>5057.99</v>
      </c>
      <c r="AK72" s="27">
        <v>5435.72</v>
      </c>
      <c r="AL72" s="27">
        <v>1824.19</v>
      </c>
      <c r="AM72" s="27">
        <v>3040.31</v>
      </c>
      <c r="AN72" s="27">
        <v>1722.85</v>
      </c>
      <c r="AO72" s="27">
        <v>1418.86</v>
      </c>
      <c r="AP72" s="27">
        <v>1474.09</v>
      </c>
      <c r="AQ72" s="27">
        <v>1584.67</v>
      </c>
      <c r="AR72" s="43">
        <f t="shared" si="402"/>
        <v>46809.34</v>
      </c>
      <c r="AT72" s="60" t="s">
        <v>86</v>
      </c>
      <c r="AU72" s="27">
        <v>4950.79</v>
      </c>
      <c r="AV72" s="27">
        <v>8055.64</v>
      </c>
      <c r="AW72" s="27">
        <v>5217.68</v>
      </c>
      <c r="AX72" s="27">
        <v>5324.46</v>
      </c>
      <c r="AY72" s="27">
        <v>6013.92</v>
      </c>
      <c r="AZ72" s="27">
        <v>3576.34</v>
      </c>
      <c r="BA72" s="27">
        <v>1485.71</v>
      </c>
      <c r="BB72" s="27">
        <v>1636.92</v>
      </c>
      <c r="BC72" s="27">
        <v>2019.46</v>
      </c>
      <c r="BD72" s="27">
        <v>1565.76</v>
      </c>
      <c r="BE72" s="27">
        <v>685.01</v>
      </c>
      <c r="BF72" s="27">
        <v>1174.3399999999999</v>
      </c>
      <c r="BG72" s="43">
        <f t="shared" si="403"/>
        <v>41706.03</v>
      </c>
      <c r="BI72" s="60" t="s">
        <v>86</v>
      </c>
      <c r="BJ72" s="27">
        <v>8452.6299999999992</v>
      </c>
      <c r="BK72" s="27">
        <v>7927.32</v>
      </c>
      <c r="BL72" s="27">
        <v>6726.71</v>
      </c>
      <c r="BM72" s="27">
        <v>1728.33</v>
      </c>
      <c r="BN72" s="27">
        <v>3574.4100000000003</v>
      </c>
      <c r="BO72" s="27">
        <v>4671.26</v>
      </c>
      <c r="BP72" s="27">
        <v>2042.0400000000002</v>
      </c>
      <c r="BQ72" s="27">
        <v>1469.3</v>
      </c>
      <c r="BR72" s="27">
        <v>2387.11</v>
      </c>
      <c r="BS72" s="27">
        <v>1610.46</v>
      </c>
      <c r="BT72" s="27">
        <v>790.13</v>
      </c>
      <c r="BU72" s="27">
        <v>366.51</v>
      </c>
      <c r="BV72" s="43">
        <f t="shared" si="404"/>
        <v>41746.21</v>
      </c>
      <c r="BW72" s="405"/>
      <c r="BX72" s="32">
        <f t="shared" si="363"/>
        <v>0.14336558789547435</v>
      </c>
      <c r="BY72" s="32">
        <f t="shared" si="364"/>
        <v>0.23129358309365194</v>
      </c>
      <c r="BZ72" s="32">
        <f t="shared" si="365"/>
        <v>0.3237197018117457</v>
      </c>
      <c r="CA72" s="32">
        <f t="shared" si="366"/>
        <v>0.36286049517769209</v>
      </c>
      <c r="CB72" s="32">
        <f t="shared" si="367"/>
        <v>0.3921249293247131</v>
      </c>
      <c r="CC72" s="32">
        <f t="shared" si="368"/>
        <v>0.42553513483615635</v>
      </c>
      <c r="CD72" s="32">
        <f t="shared" si="369"/>
        <v>0.47967445323959135</v>
      </c>
      <c r="CE72" s="32">
        <f t="shared" si="370"/>
        <v>0.68509806452141575</v>
      </c>
      <c r="CF72" s="32">
        <f t="shared" si="371"/>
        <v>0.75411606725829061</v>
      </c>
      <c r="CG72" s="32">
        <f t="shared" si="372"/>
        <v>0.84098316494178005</v>
      </c>
      <c r="CH72" s="32">
        <f t="shared" si="373"/>
        <v>0.92018327433483293</v>
      </c>
      <c r="CI72" s="32">
        <f t="shared" si="374"/>
        <v>1</v>
      </c>
      <c r="CJ72" s="405"/>
      <c r="CK72" s="32">
        <f t="shared" si="375"/>
        <v>0.19582952330518699</v>
      </c>
      <c r="CL72" s="32">
        <f t="shared" si="376"/>
        <v>0.4091261957480341</v>
      </c>
      <c r="CM72" s="32">
        <f t="shared" si="377"/>
        <v>0.46787467194832627</v>
      </c>
      <c r="CN72" s="32">
        <f t="shared" si="378"/>
        <v>0.47802859793164354</v>
      </c>
      <c r="CO72" s="32">
        <f t="shared" si="379"/>
        <v>0.49978726461388034</v>
      </c>
      <c r="CP72" s="32">
        <f t="shared" si="380"/>
        <v>0.56675575489837204</v>
      </c>
      <c r="CQ72" s="32">
        <f t="shared" si="381"/>
        <v>0.66321957490494199</v>
      </c>
      <c r="CR72" s="32">
        <f t="shared" si="382"/>
        <v>0.8085211438157216</v>
      </c>
      <c r="CS72" s="32">
        <f t="shared" si="383"/>
        <v>0.8765781893933895</v>
      </c>
      <c r="CT72" s="32">
        <f t="shared" si="384"/>
        <v>0.90776651707493416</v>
      </c>
      <c r="CU72" s="32">
        <f t="shared" si="385"/>
        <v>0.94669125393547771</v>
      </c>
      <c r="CV72" s="32">
        <f t="shared" si="386"/>
        <v>1</v>
      </c>
      <c r="CX72" s="32">
        <f t="shared" si="387"/>
        <v>0.10657787527019182</v>
      </c>
      <c r="CY72" s="32">
        <f t="shared" si="388"/>
        <v>0.348124968222154</v>
      </c>
      <c r="CZ72" s="32">
        <f t="shared" si="389"/>
        <v>0.43197148261436713</v>
      </c>
      <c r="DA72" s="32">
        <f t="shared" si="390"/>
        <v>0.53943636035030618</v>
      </c>
      <c r="DB72" s="32">
        <f t="shared" si="391"/>
        <v>0.64749150490051777</v>
      </c>
      <c r="DC72" s="32">
        <f t="shared" si="392"/>
        <v>0.76361619283672888</v>
      </c>
      <c r="DD72" s="32">
        <f t="shared" si="393"/>
        <v>0.80258683416600207</v>
      </c>
      <c r="DE72" s="32">
        <f t="shared" si="394"/>
        <v>0.86753776062640497</v>
      </c>
      <c r="DF72" s="32">
        <f t="shared" si="395"/>
        <v>0.90434344940561018</v>
      </c>
      <c r="DG72" s="32">
        <f t="shared" si="396"/>
        <v>0.93465492143234674</v>
      </c>
      <c r="DH72" s="32">
        <f t="shared" si="397"/>
        <v>0.96614628618989296</v>
      </c>
      <c r="DI72" s="32">
        <f t="shared" si="398"/>
        <v>1</v>
      </c>
      <c r="DK72" s="32">
        <f t="shared" si="294"/>
        <v>0.1187068152974522</v>
      </c>
      <c r="DL72" s="32">
        <f t="shared" si="295"/>
        <v>0.3118596999043064</v>
      </c>
      <c r="DM72" s="32">
        <f t="shared" si="296"/>
        <v>0.43696582964142117</v>
      </c>
      <c r="DN72" s="32">
        <f t="shared" si="297"/>
        <v>0.56463226061075578</v>
      </c>
      <c r="DO72" s="32">
        <f t="shared" si="298"/>
        <v>0.70883011401468798</v>
      </c>
      <c r="DP72" s="32">
        <f t="shared" si="299"/>
        <v>0.7945812631890401</v>
      </c>
      <c r="DQ72" s="32">
        <f t="shared" si="300"/>
        <v>0.83020464906393632</v>
      </c>
      <c r="DR72" s="32">
        <f t="shared" si="301"/>
        <v>0.86945364974801009</v>
      </c>
      <c r="DS72" s="32">
        <f t="shared" si="302"/>
        <v>0.9178749451817878</v>
      </c>
      <c r="DT72" s="32">
        <f t="shared" si="303"/>
        <v>0.95541771777366491</v>
      </c>
      <c r="DU72" s="32">
        <f t="shared" si="304"/>
        <v>0.97184244100912998</v>
      </c>
      <c r="DV72" s="32">
        <f t="shared" si="305"/>
        <v>1</v>
      </c>
      <c r="DW72" s="39"/>
      <c r="DX72" s="32">
        <f t="shared" si="306"/>
        <v>0.20247658410188613</v>
      </c>
      <c r="DY72" s="32">
        <f t="shared" si="307"/>
        <v>0.39236975045159789</v>
      </c>
      <c r="DZ72" s="32">
        <f t="shared" si="308"/>
        <v>0.55350318028870171</v>
      </c>
      <c r="EA72" s="32">
        <f t="shared" si="309"/>
        <v>0.59490406434500276</v>
      </c>
      <c r="EB72" s="32">
        <f t="shared" si="310"/>
        <v>0.68052644779011073</v>
      </c>
      <c r="EC72" s="32">
        <f t="shared" si="311"/>
        <v>0.79242307265737411</v>
      </c>
      <c r="ED72" s="32">
        <f t="shared" si="312"/>
        <v>0.84133865086195847</v>
      </c>
      <c r="EE72" s="32">
        <f t="shared" si="313"/>
        <v>0.8765346602721541</v>
      </c>
      <c r="EF72" s="32">
        <f t="shared" si="314"/>
        <v>0.93371613854287616</v>
      </c>
      <c r="EG72" s="32">
        <f t="shared" si="315"/>
        <v>0.97229353275423092</v>
      </c>
      <c r="EH72" s="32">
        <f t="shared" si="316"/>
        <v>0.99122052037777797</v>
      </c>
      <c r="EI72" s="32">
        <f t="shared" si="317"/>
        <v>1</v>
      </c>
      <c r="EK72" s="32">
        <f t="shared" si="399"/>
        <v>0.14258709155651003</v>
      </c>
      <c r="EL72" s="32">
        <f t="shared" si="318"/>
        <v>0.35078480619268609</v>
      </c>
      <c r="EM72" s="32">
        <f t="shared" si="319"/>
        <v>0.47414683084816334</v>
      </c>
      <c r="EN72" s="32">
        <f t="shared" si="320"/>
        <v>0.5663242284353549</v>
      </c>
      <c r="EO72" s="32">
        <f t="shared" si="321"/>
        <v>0.67894935556843883</v>
      </c>
      <c r="EP72" s="32">
        <f t="shared" si="322"/>
        <v>0.78354017622771444</v>
      </c>
      <c r="EQ72" s="32">
        <f t="shared" si="323"/>
        <v>0.82471004469729892</v>
      </c>
      <c r="ER72" s="32">
        <f t="shared" si="324"/>
        <v>0.87117535688218972</v>
      </c>
      <c r="ES72" s="32">
        <f t="shared" si="325"/>
        <v>0.91864484437675797</v>
      </c>
      <c r="ET72" s="32">
        <f t="shared" si="326"/>
        <v>0.95412205732008093</v>
      </c>
      <c r="EU72" s="32">
        <f t="shared" si="327"/>
        <v>0.97640308252560037</v>
      </c>
      <c r="EV72" s="32">
        <f t="shared" si="328"/>
        <v>1</v>
      </c>
      <c r="EX72" s="32">
        <f t="shared" si="329"/>
        <v>0.15589769949367926</v>
      </c>
      <c r="EY72" s="32">
        <f t="shared" si="330"/>
        <v>0.36537015358152308</v>
      </c>
      <c r="EZ72" s="32">
        <f t="shared" si="331"/>
        <v>0.47257879112320406</v>
      </c>
      <c r="FA72" s="32">
        <f t="shared" si="332"/>
        <v>0.54425032080942704</v>
      </c>
      <c r="FB72" s="32">
        <f t="shared" si="333"/>
        <v>0.63415883282979912</v>
      </c>
      <c r="FC72" s="32">
        <f t="shared" si="334"/>
        <v>0.72934407089537867</v>
      </c>
      <c r="FD72" s="32">
        <f t="shared" si="335"/>
        <v>0.78433742724920974</v>
      </c>
      <c r="FE72" s="32">
        <f t="shared" si="336"/>
        <v>0.85551180361557266</v>
      </c>
      <c r="FF72" s="32">
        <f t="shared" si="337"/>
        <v>0.90812818063091583</v>
      </c>
      <c r="FG72" s="32">
        <f t="shared" si="338"/>
        <v>0.94253317225879407</v>
      </c>
      <c r="FH72" s="32">
        <f t="shared" si="339"/>
        <v>0.96897512537806962</v>
      </c>
      <c r="FI72" s="32">
        <f t="shared" si="340"/>
        <v>1</v>
      </c>
      <c r="FK72" s="32">
        <f t="shared" si="400"/>
        <v>0.140371404624277</v>
      </c>
      <c r="FL72" s="32">
        <f t="shared" si="341"/>
        <v>0.35637028795816478</v>
      </c>
      <c r="FM72" s="32">
        <f t="shared" si="342"/>
        <v>0.44560399473470486</v>
      </c>
      <c r="FN72" s="32">
        <f t="shared" si="343"/>
        <v>0.52736573963090183</v>
      </c>
      <c r="FO72" s="32">
        <f t="shared" si="344"/>
        <v>0.61870296117636203</v>
      </c>
      <c r="FP72" s="32">
        <f t="shared" si="345"/>
        <v>0.70831773697471367</v>
      </c>
      <c r="FQ72" s="32">
        <f t="shared" si="346"/>
        <v>0.76533701937829346</v>
      </c>
      <c r="FR72" s="32">
        <f t="shared" si="347"/>
        <v>0.84850418473004563</v>
      </c>
      <c r="FS72" s="32">
        <f t="shared" si="348"/>
        <v>0.89959886132692912</v>
      </c>
      <c r="FT72" s="32">
        <f t="shared" si="349"/>
        <v>0.93261305209364853</v>
      </c>
      <c r="FU72" s="32">
        <f t="shared" si="350"/>
        <v>0.96155999371150036</v>
      </c>
      <c r="FV72" s="32">
        <f t="shared" si="351"/>
        <v>1</v>
      </c>
      <c r="FX72" s="32">
        <f t="shared" si="401"/>
        <v>0.1485909954902844</v>
      </c>
      <c r="FY72" s="32">
        <f t="shared" si="352"/>
        <v>0.32951491568794666</v>
      </c>
      <c r="FZ72" s="32">
        <f t="shared" si="353"/>
        <v>0.40785528545814637</v>
      </c>
      <c r="GA72" s="32">
        <f t="shared" si="354"/>
        <v>0.46010848448654729</v>
      </c>
      <c r="GB72" s="32">
        <f t="shared" si="355"/>
        <v>0.51313456627970366</v>
      </c>
      <c r="GC72" s="32">
        <f t="shared" si="356"/>
        <v>0.58530236085708587</v>
      </c>
      <c r="GD72" s="32">
        <f t="shared" si="357"/>
        <v>0.64849362077017847</v>
      </c>
      <c r="GE72" s="32">
        <f t="shared" si="358"/>
        <v>0.78705232298784755</v>
      </c>
      <c r="GF72" s="32">
        <f t="shared" si="359"/>
        <v>0.84501256868576347</v>
      </c>
      <c r="GG72" s="32">
        <f t="shared" si="360"/>
        <v>0.89446820114968695</v>
      </c>
      <c r="GH72" s="32">
        <f t="shared" si="361"/>
        <v>0.94434027148673449</v>
      </c>
      <c r="GI72" s="32">
        <f t="shared" si="362"/>
        <v>1</v>
      </c>
    </row>
    <row r="73" spans="1:191">
      <c r="A73" s="724" t="s">
        <v>87</v>
      </c>
      <c r="B73" s="399">
        <v>7734.3</v>
      </c>
      <c r="C73" s="400">
        <v>8646.6299999999992</v>
      </c>
      <c r="D73" s="400">
        <v>6390.55</v>
      </c>
      <c r="E73" s="400">
        <v>6386.4</v>
      </c>
      <c r="F73" s="400">
        <v>5491.73</v>
      </c>
      <c r="G73" s="400">
        <v>6208.37</v>
      </c>
      <c r="H73" s="400">
        <v>7143.6</v>
      </c>
      <c r="I73" s="400">
        <v>25938.98</v>
      </c>
      <c r="J73" s="400">
        <v>15351.29</v>
      </c>
      <c r="K73" s="400">
        <v>10861.92</v>
      </c>
      <c r="L73" s="400">
        <v>8313.99</v>
      </c>
      <c r="M73" s="400">
        <v>19264.07</v>
      </c>
      <c r="N73" s="400">
        <f t="shared" si="291"/>
        <v>127731.83000000002</v>
      </c>
      <c r="P73" s="396" t="s">
        <v>87</v>
      </c>
      <c r="Q73" s="399">
        <v>17462.93</v>
      </c>
      <c r="R73" s="400">
        <v>33703.269999999997</v>
      </c>
      <c r="S73" s="400">
        <v>10772.16</v>
      </c>
      <c r="T73" s="400">
        <v>7835.4</v>
      </c>
      <c r="U73" s="400">
        <v>5731.53</v>
      </c>
      <c r="V73" s="400">
        <v>6933.06</v>
      </c>
      <c r="W73" s="400">
        <v>6386.77</v>
      </c>
      <c r="X73" s="400">
        <v>22307.83</v>
      </c>
      <c r="Y73" s="400">
        <v>4390.42</v>
      </c>
      <c r="Z73" s="400">
        <v>2114.21</v>
      </c>
      <c r="AA73" s="400">
        <v>2752.2900000000004</v>
      </c>
      <c r="AB73" s="400">
        <v>3206.98</v>
      </c>
      <c r="AC73" s="400">
        <f t="shared" si="292"/>
        <v>123596.84999999999</v>
      </c>
      <c r="AE73" s="127" t="s">
        <v>87</v>
      </c>
      <c r="AF73" s="27">
        <v>12363.83</v>
      </c>
      <c r="AG73" s="27">
        <v>19986.55</v>
      </c>
      <c r="AH73" s="27">
        <v>9319.41</v>
      </c>
      <c r="AI73" s="27">
        <v>11057.45</v>
      </c>
      <c r="AJ73" s="27">
        <v>9584.09</v>
      </c>
      <c r="AK73" s="27">
        <v>10429.75</v>
      </c>
      <c r="AL73" s="27">
        <v>4617.62</v>
      </c>
      <c r="AM73" s="27">
        <v>3926.3</v>
      </c>
      <c r="AN73" s="27">
        <v>4146.8900000000003</v>
      </c>
      <c r="AO73" s="27">
        <v>4960.6899999999996</v>
      </c>
      <c r="AP73" s="27">
        <v>3777.79</v>
      </c>
      <c r="AQ73" s="27">
        <v>3364.89</v>
      </c>
      <c r="AR73" s="43">
        <f t="shared" si="402"/>
        <v>97535.25999999998</v>
      </c>
      <c r="AT73" s="60" t="s">
        <v>87</v>
      </c>
      <c r="AU73" s="27">
        <v>10497.66</v>
      </c>
      <c r="AV73" s="27">
        <v>15432.49</v>
      </c>
      <c r="AW73" s="27">
        <v>15472.38</v>
      </c>
      <c r="AX73" s="27">
        <v>9173.61</v>
      </c>
      <c r="AY73" s="27">
        <v>10865.020000000002</v>
      </c>
      <c r="AZ73" s="27">
        <v>12588.37</v>
      </c>
      <c r="BA73" s="27">
        <v>3106.6200000000003</v>
      </c>
      <c r="BB73" s="27">
        <v>3414.43</v>
      </c>
      <c r="BC73" s="27">
        <v>5111.8599999999997</v>
      </c>
      <c r="BD73" s="27">
        <v>3416.24</v>
      </c>
      <c r="BE73" s="27">
        <v>1799.28</v>
      </c>
      <c r="BF73" s="27">
        <v>1876.1</v>
      </c>
      <c r="BG73" s="43">
        <f t="shared" si="403"/>
        <v>92754.06</v>
      </c>
      <c r="BI73" s="60" t="s">
        <v>87</v>
      </c>
      <c r="BJ73" s="27">
        <v>7971.72</v>
      </c>
      <c r="BK73" s="27">
        <v>16915.84</v>
      </c>
      <c r="BL73" s="27">
        <v>11551.61</v>
      </c>
      <c r="BM73" s="27">
        <v>7325.09</v>
      </c>
      <c r="BN73" s="27">
        <v>11655.099999999999</v>
      </c>
      <c r="BO73" s="27">
        <v>10958.039999999999</v>
      </c>
      <c r="BP73" s="27">
        <v>4707.17</v>
      </c>
      <c r="BQ73" s="27">
        <v>3435.24</v>
      </c>
      <c r="BR73" s="27">
        <v>3875.21</v>
      </c>
      <c r="BS73" s="27">
        <v>3179.24</v>
      </c>
      <c r="BT73" s="27">
        <v>951.22</v>
      </c>
      <c r="BU73" s="27">
        <v>994.82</v>
      </c>
      <c r="BV73" s="43">
        <f t="shared" si="404"/>
        <v>83520.300000000017</v>
      </c>
      <c r="BW73" s="405"/>
      <c r="BX73" s="32">
        <f t="shared" si="363"/>
        <v>6.0551077988939793E-2</v>
      </c>
      <c r="BY73" s="32">
        <f t="shared" si="364"/>
        <v>0.12824469828702836</v>
      </c>
      <c r="BZ73" s="32">
        <f t="shared" si="365"/>
        <v>0.17827568899623528</v>
      </c>
      <c r="CA73" s="32">
        <f t="shared" si="366"/>
        <v>0.22827418976147132</v>
      </c>
      <c r="CB73" s="32">
        <f t="shared" si="367"/>
        <v>0.27126840662973351</v>
      </c>
      <c r="CC73" s="32">
        <f t="shared" si="368"/>
        <v>0.31987312794312894</v>
      </c>
      <c r="CD73" s="32">
        <f t="shared" si="369"/>
        <v>0.37579967342517517</v>
      </c>
      <c r="CE73" s="32">
        <f t="shared" si="370"/>
        <v>0.57887341001847381</v>
      </c>
      <c r="CF73" s="32">
        <f t="shared" si="371"/>
        <v>0.69905715748376884</v>
      </c>
      <c r="CG73" s="32">
        <f t="shared" si="372"/>
        <v>0.78409406645156488</v>
      </c>
      <c r="CH73" s="32">
        <f t="shared" si="373"/>
        <v>0.84918348073459837</v>
      </c>
      <c r="CI73" s="32">
        <f t="shared" si="374"/>
        <v>1</v>
      </c>
      <c r="CJ73" s="405"/>
      <c r="CK73" s="32">
        <f t="shared" si="375"/>
        <v>0.14128944224711229</v>
      </c>
      <c r="CL73" s="32">
        <f t="shared" si="376"/>
        <v>0.41397656979122044</v>
      </c>
      <c r="CM73" s="32">
        <f t="shared" si="377"/>
        <v>0.50113218904850731</v>
      </c>
      <c r="CN73" s="32">
        <f t="shared" si="378"/>
        <v>0.56452700857667493</v>
      </c>
      <c r="CO73" s="32">
        <f t="shared" si="379"/>
        <v>0.61089979234907688</v>
      </c>
      <c r="CP73" s="32">
        <f t="shared" si="380"/>
        <v>0.66699394037954851</v>
      </c>
      <c r="CQ73" s="32">
        <f t="shared" si="381"/>
        <v>0.71866815375958204</v>
      </c>
      <c r="CR73" s="32">
        <f t="shared" si="382"/>
        <v>0.89915681508064327</v>
      </c>
      <c r="CS73" s="32">
        <f t="shared" si="383"/>
        <v>0.93467891778795331</v>
      </c>
      <c r="CT73" s="32">
        <f t="shared" si="384"/>
        <v>0.95178461263373626</v>
      </c>
      <c r="CU73" s="32">
        <f t="shared" si="385"/>
        <v>0.97405289859733479</v>
      </c>
      <c r="CV73" s="32">
        <f t="shared" si="386"/>
        <v>1</v>
      </c>
      <c r="CX73" s="32">
        <f t="shared" si="387"/>
        <v>0.12676267023843482</v>
      </c>
      <c r="CY73" s="32">
        <f t="shared" si="388"/>
        <v>0.33167882056191783</v>
      </c>
      <c r="CZ73" s="32">
        <f t="shared" si="389"/>
        <v>0.42722795838140998</v>
      </c>
      <c r="DA73" s="32">
        <f t="shared" si="390"/>
        <v>0.54059670318200825</v>
      </c>
      <c r="DB73" s="32">
        <f t="shared" si="391"/>
        <v>0.63885952628823672</v>
      </c>
      <c r="DC73" s="32">
        <f t="shared" si="392"/>
        <v>0.7457926497555859</v>
      </c>
      <c r="DD73" s="32">
        <f t="shared" si="393"/>
        <v>0.79313573368236268</v>
      </c>
      <c r="DE73" s="32">
        <f t="shared" si="394"/>
        <v>0.83339091934547571</v>
      </c>
      <c r="DF73" s="32">
        <f t="shared" si="395"/>
        <v>0.87590774864392629</v>
      </c>
      <c r="DG73" s="32">
        <f t="shared" si="396"/>
        <v>0.92676822720316743</v>
      </c>
      <c r="DH73" s="32">
        <f t="shared" si="397"/>
        <v>0.96550078402415695</v>
      </c>
      <c r="DI73" s="32">
        <f t="shared" si="398"/>
        <v>1</v>
      </c>
      <c r="DK73" s="32">
        <f t="shared" si="294"/>
        <v>0.11317736388035197</v>
      </c>
      <c r="DL73" s="32">
        <f t="shared" si="295"/>
        <v>0.27955811314351092</v>
      </c>
      <c r="DM73" s="32">
        <f t="shared" si="296"/>
        <v>0.44636892444384646</v>
      </c>
      <c r="DN73" s="32">
        <f t="shared" si="297"/>
        <v>0.54527144148730522</v>
      </c>
      <c r="DO73" s="32">
        <f t="shared" si="298"/>
        <v>0.66240938671579452</v>
      </c>
      <c r="DP73" s="32">
        <f t="shared" si="299"/>
        <v>0.79812711163263361</v>
      </c>
      <c r="DQ73" s="32">
        <f t="shared" si="300"/>
        <v>0.83162020077611698</v>
      </c>
      <c r="DR73" s="32">
        <f t="shared" si="301"/>
        <v>0.8684318508537523</v>
      </c>
      <c r="DS73" s="32">
        <f t="shared" si="302"/>
        <v>0.92354383193576639</v>
      </c>
      <c r="DT73" s="32">
        <f t="shared" si="303"/>
        <v>0.96037499598400322</v>
      </c>
      <c r="DU73" s="32">
        <f t="shared" si="304"/>
        <v>0.9797733921296814</v>
      </c>
      <c r="DV73" s="32">
        <f t="shared" si="305"/>
        <v>1</v>
      </c>
      <c r="DW73" s="39"/>
      <c r="DX73" s="32">
        <f t="shared" si="306"/>
        <v>9.5446496241033602E-2</v>
      </c>
      <c r="DY73" s="32">
        <f t="shared" si="307"/>
        <v>0.29798216720964837</v>
      </c>
      <c r="DZ73" s="32">
        <f t="shared" si="308"/>
        <v>0.43629117711502463</v>
      </c>
      <c r="EA73" s="32">
        <f t="shared" si="309"/>
        <v>0.52399548373269711</v>
      </c>
      <c r="EB73" s="32">
        <f t="shared" si="310"/>
        <v>0.66354359359341364</v>
      </c>
      <c r="EC73" s="32">
        <f t="shared" si="311"/>
        <v>0.79474570852834558</v>
      </c>
      <c r="ED73" s="32">
        <f t="shared" si="312"/>
        <v>0.85110530014858632</v>
      </c>
      <c r="EE73" s="32">
        <f t="shared" si="313"/>
        <v>0.89223589953580129</v>
      </c>
      <c r="EF73" s="32">
        <f t="shared" si="314"/>
        <v>0.93863432003955904</v>
      </c>
      <c r="EG73" s="32">
        <f t="shared" si="315"/>
        <v>0.97669979633693838</v>
      </c>
      <c r="EH73" s="32">
        <f t="shared" si="316"/>
        <v>0.98808888378035031</v>
      </c>
      <c r="EI73" s="32">
        <f t="shared" si="317"/>
        <v>1</v>
      </c>
      <c r="EK73" s="32">
        <f t="shared" si="399"/>
        <v>0.11179551011994011</v>
      </c>
      <c r="EL73" s="32">
        <f t="shared" si="318"/>
        <v>0.30307303363835908</v>
      </c>
      <c r="EM73" s="32">
        <f t="shared" si="319"/>
        <v>0.43662935331342706</v>
      </c>
      <c r="EN73" s="32">
        <f t="shared" si="320"/>
        <v>0.53662120946733693</v>
      </c>
      <c r="EO73" s="32">
        <f t="shared" si="321"/>
        <v>0.65493750219914837</v>
      </c>
      <c r="EP73" s="32">
        <f t="shared" si="322"/>
        <v>0.779555156638855</v>
      </c>
      <c r="EQ73" s="32">
        <f t="shared" si="323"/>
        <v>0.82528707820235525</v>
      </c>
      <c r="ER73" s="32">
        <f t="shared" si="324"/>
        <v>0.86468622324500977</v>
      </c>
      <c r="ES73" s="32">
        <f t="shared" si="325"/>
        <v>0.91269530020641731</v>
      </c>
      <c r="ET73" s="32">
        <f t="shared" si="326"/>
        <v>0.95461433984136956</v>
      </c>
      <c r="EU73" s="32">
        <f t="shared" si="327"/>
        <v>0.97778768664472959</v>
      </c>
      <c r="EV73" s="32">
        <f t="shared" si="328"/>
        <v>1</v>
      </c>
      <c r="EX73" s="32">
        <f t="shared" si="329"/>
        <v>0.11916899315173315</v>
      </c>
      <c r="EY73" s="32">
        <f t="shared" si="330"/>
        <v>0.33079891767657443</v>
      </c>
      <c r="EZ73" s="32">
        <f t="shared" si="331"/>
        <v>0.45275506224719708</v>
      </c>
      <c r="FA73" s="32">
        <f t="shared" si="332"/>
        <v>0.54359765924467141</v>
      </c>
      <c r="FB73" s="32">
        <f t="shared" si="333"/>
        <v>0.64392807473663038</v>
      </c>
      <c r="FC73" s="32">
        <f t="shared" si="334"/>
        <v>0.7514148525740284</v>
      </c>
      <c r="FD73" s="32">
        <f t="shared" si="335"/>
        <v>0.79863234709166198</v>
      </c>
      <c r="FE73" s="32">
        <f t="shared" si="336"/>
        <v>0.87330387120391806</v>
      </c>
      <c r="FF73" s="32">
        <f t="shared" si="337"/>
        <v>0.91819120460180126</v>
      </c>
      <c r="FG73" s="32">
        <f t="shared" si="338"/>
        <v>0.95390690803946132</v>
      </c>
      <c r="FH73" s="32">
        <f t="shared" si="339"/>
        <v>0.97685398963288084</v>
      </c>
      <c r="FI73" s="32">
        <f t="shared" si="340"/>
        <v>1</v>
      </c>
      <c r="FK73" s="32">
        <f t="shared" si="400"/>
        <v>0.12707649212196637</v>
      </c>
      <c r="FL73" s="32">
        <f t="shared" si="341"/>
        <v>0.34173783449888306</v>
      </c>
      <c r="FM73" s="32">
        <f t="shared" si="342"/>
        <v>0.45824302395792121</v>
      </c>
      <c r="FN73" s="32">
        <f t="shared" si="343"/>
        <v>0.55013171774866276</v>
      </c>
      <c r="FO73" s="32">
        <f t="shared" si="344"/>
        <v>0.63738956845103611</v>
      </c>
      <c r="FP73" s="32">
        <f t="shared" si="345"/>
        <v>0.73697123392258934</v>
      </c>
      <c r="FQ73" s="32">
        <f t="shared" si="346"/>
        <v>0.78114136273935397</v>
      </c>
      <c r="FR73" s="32">
        <f t="shared" si="347"/>
        <v>0.86699319509329043</v>
      </c>
      <c r="FS73" s="32">
        <f t="shared" si="348"/>
        <v>0.91137683278921544</v>
      </c>
      <c r="FT73" s="32">
        <f t="shared" si="349"/>
        <v>0.9463092786069689</v>
      </c>
      <c r="FU73" s="32">
        <f t="shared" si="350"/>
        <v>0.97310902491705775</v>
      </c>
      <c r="FV73" s="32">
        <f t="shared" si="351"/>
        <v>1</v>
      </c>
      <c r="FX73" s="32">
        <f t="shared" si="401"/>
        <v>0.10953439682482896</v>
      </c>
      <c r="FY73" s="32">
        <f t="shared" si="352"/>
        <v>0.29130002954672218</v>
      </c>
      <c r="FZ73" s="32">
        <f t="shared" si="353"/>
        <v>0.36887861214205087</v>
      </c>
      <c r="GA73" s="32">
        <f t="shared" si="354"/>
        <v>0.44446596717338482</v>
      </c>
      <c r="GB73" s="32">
        <f t="shared" si="355"/>
        <v>0.50700924175568229</v>
      </c>
      <c r="GC73" s="32">
        <f t="shared" si="356"/>
        <v>0.57755323935942116</v>
      </c>
      <c r="GD73" s="32">
        <f t="shared" si="357"/>
        <v>0.6292011869557067</v>
      </c>
      <c r="GE73" s="32">
        <f t="shared" si="358"/>
        <v>0.77047371481486415</v>
      </c>
      <c r="GF73" s="32">
        <f t="shared" si="359"/>
        <v>0.83654794130521626</v>
      </c>
      <c r="GG73" s="32">
        <f t="shared" si="360"/>
        <v>0.88754896876282274</v>
      </c>
      <c r="GH73" s="32">
        <f t="shared" si="361"/>
        <v>0.92957905445203004</v>
      </c>
      <c r="GI73" s="32">
        <f t="shared" si="362"/>
        <v>1</v>
      </c>
    </row>
    <row r="74" spans="1:191">
      <c r="A74" s="724" t="s">
        <v>88</v>
      </c>
      <c r="B74" s="399">
        <v>9577.74</v>
      </c>
      <c r="C74" s="400">
        <v>10357.200000000001</v>
      </c>
      <c r="D74" s="400">
        <v>4459.88</v>
      </c>
      <c r="E74" s="400">
        <v>2614.33</v>
      </c>
      <c r="F74" s="400">
        <v>2900.55</v>
      </c>
      <c r="G74" s="400">
        <v>4752.92</v>
      </c>
      <c r="H74" s="400">
        <v>3922.75</v>
      </c>
      <c r="I74" s="400">
        <v>29765.96</v>
      </c>
      <c r="J74" s="400">
        <v>9428.56</v>
      </c>
      <c r="K74" s="400">
        <v>10832.78</v>
      </c>
      <c r="L74" s="400">
        <v>7827.45</v>
      </c>
      <c r="M74" s="400">
        <v>7523.09</v>
      </c>
      <c r="N74" s="400">
        <f t="shared" si="291"/>
        <v>103963.20999999999</v>
      </c>
      <c r="P74" s="396" t="s">
        <v>88</v>
      </c>
      <c r="Q74" s="399">
        <v>27089.62</v>
      </c>
      <c r="R74" s="400">
        <v>21271.93</v>
      </c>
      <c r="S74" s="400">
        <v>14233.21</v>
      </c>
      <c r="T74" s="400">
        <v>6992.99</v>
      </c>
      <c r="U74" s="400">
        <v>9040.56</v>
      </c>
      <c r="V74" s="400">
        <v>6550.5600000000013</v>
      </c>
      <c r="W74" s="400">
        <v>15136.04</v>
      </c>
      <c r="X74" s="400">
        <v>13635.32</v>
      </c>
      <c r="Y74" s="400">
        <v>8371.25</v>
      </c>
      <c r="Z74" s="400">
        <v>3876.09</v>
      </c>
      <c r="AA74" s="400">
        <v>4714.1499999999996</v>
      </c>
      <c r="AB74" s="400">
        <v>3685.58</v>
      </c>
      <c r="AC74" s="400">
        <f t="shared" si="292"/>
        <v>134597.29999999999</v>
      </c>
      <c r="AE74" s="127" t="s">
        <v>88</v>
      </c>
      <c r="AF74" s="27">
        <v>23506.92</v>
      </c>
      <c r="AG74" s="27">
        <v>26574.97</v>
      </c>
      <c r="AH74" s="27">
        <v>8205.44</v>
      </c>
      <c r="AI74" s="27">
        <v>15794.33</v>
      </c>
      <c r="AJ74" s="27">
        <v>21957.74</v>
      </c>
      <c r="AK74" s="27">
        <v>15109.5</v>
      </c>
      <c r="AL74" s="27">
        <v>7085.79</v>
      </c>
      <c r="AM74" s="27">
        <v>3888.82</v>
      </c>
      <c r="AN74" s="27">
        <v>4307.09</v>
      </c>
      <c r="AO74" s="27">
        <v>4584.42</v>
      </c>
      <c r="AP74" s="27">
        <v>4166.12</v>
      </c>
      <c r="AQ74" s="27">
        <v>3060.62</v>
      </c>
      <c r="AR74" s="43">
        <f t="shared" si="402"/>
        <v>138241.76</v>
      </c>
      <c r="AT74" s="60" t="s">
        <v>88</v>
      </c>
      <c r="AU74" s="27">
        <v>13010.83</v>
      </c>
      <c r="AV74" s="27">
        <v>25777.1</v>
      </c>
      <c r="AW74" s="27">
        <v>17883.91</v>
      </c>
      <c r="AX74" s="27">
        <v>13512.93</v>
      </c>
      <c r="AY74" s="27">
        <v>11389.64</v>
      </c>
      <c r="AZ74" s="27">
        <v>14786.48</v>
      </c>
      <c r="BA74" s="27">
        <v>5457.92</v>
      </c>
      <c r="BB74" s="27">
        <v>5755.97</v>
      </c>
      <c r="BC74" s="27">
        <v>2753.68</v>
      </c>
      <c r="BD74" s="27">
        <v>3282.78</v>
      </c>
      <c r="BE74" s="27">
        <v>4298.63</v>
      </c>
      <c r="BF74" s="27">
        <v>2837.97</v>
      </c>
      <c r="BG74" s="43">
        <f t="shared" si="403"/>
        <v>120747.83999999998</v>
      </c>
      <c r="BI74" s="60" t="s">
        <v>88</v>
      </c>
      <c r="BJ74" s="27">
        <v>17793.670000000002</v>
      </c>
      <c r="BK74" s="27">
        <v>26223.61</v>
      </c>
      <c r="BL74" s="27">
        <v>12611.77</v>
      </c>
      <c r="BM74" s="27">
        <v>8479.7100000000009</v>
      </c>
      <c r="BN74" s="27">
        <v>18583.870000000003</v>
      </c>
      <c r="BO74" s="27">
        <v>13927.81</v>
      </c>
      <c r="BP74" s="27">
        <v>3993.33</v>
      </c>
      <c r="BQ74" s="27">
        <v>5813.73</v>
      </c>
      <c r="BR74" s="27">
        <v>2734.91</v>
      </c>
      <c r="BS74" s="27">
        <v>3541.26</v>
      </c>
      <c r="BT74" s="27">
        <v>2178.1699999999996</v>
      </c>
      <c r="BU74" s="27">
        <v>2911.28</v>
      </c>
      <c r="BV74" s="43">
        <f t="shared" si="404"/>
        <v>118793.12</v>
      </c>
      <c r="BW74" s="405"/>
      <c r="BX74" s="32">
        <f t="shared" si="363"/>
        <v>9.2126243504793676E-2</v>
      </c>
      <c r="BY74" s="32">
        <f t="shared" si="364"/>
        <v>0.19174994692834132</v>
      </c>
      <c r="BZ74" s="32">
        <f t="shared" si="365"/>
        <v>0.23464858385961732</v>
      </c>
      <c r="CA74" s="32">
        <f t="shared" si="366"/>
        <v>0.2597952679606565</v>
      </c>
      <c r="CB74" s="32">
        <f t="shared" si="367"/>
        <v>0.28769504135164742</v>
      </c>
      <c r="CC74" s="32">
        <f t="shared" si="368"/>
        <v>0.33341236770199772</v>
      </c>
      <c r="CD74" s="32">
        <f t="shared" si="369"/>
        <v>0.37114446543156954</v>
      </c>
      <c r="CE74" s="32">
        <f t="shared" si="370"/>
        <v>0.65745690230226639</v>
      </c>
      <c r="CF74" s="32">
        <f t="shared" si="371"/>
        <v>0.74814821512340768</v>
      </c>
      <c r="CG74" s="32">
        <f t="shared" si="372"/>
        <v>0.85234642139272154</v>
      </c>
      <c r="CH74" s="32">
        <f t="shared" si="373"/>
        <v>0.92763699774179731</v>
      </c>
      <c r="CI74" s="32">
        <f t="shared" si="374"/>
        <v>1</v>
      </c>
      <c r="CJ74" s="405"/>
      <c r="CK74" s="32">
        <f t="shared" si="375"/>
        <v>0.20126421555261512</v>
      </c>
      <c r="CL74" s="32">
        <f t="shared" si="376"/>
        <v>0.35930549869871092</v>
      </c>
      <c r="CM74" s="32">
        <f t="shared" si="377"/>
        <v>0.46505212214509511</v>
      </c>
      <c r="CN74" s="32">
        <f t="shared" si="378"/>
        <v>0.5170070276298262</v>
      </c>
      <c r="CO74" s="32">
        <f t="shared" si="379"/>
        <v>0.58417449681382916</v>
      </c>
      <c r="CP74" s="32">
        <f t="shared" si="380"/>
        <v>0.63284233784778743</v>
      </c>
      <c r="CQ74" s="32">
        <f t="shared" si="381"/>
        <v>0.74529659956031813</v>
      </c>
      <c r="CR74" s="32">
        <f t="shared" si="382"/>
        <v>0.84660115767552557</v>
      </c>
      <c r="CS74" s="32">
        <f t="shared" si="383"/>
        <v>0.90879594167193567</v>
      </c>
      <c r="CT74" s="32">
        <f t="shared" si="384"/>
        <v>0.93759362186314299</v>
      </c>
      <c r="CU74" s="32">
        <f t="shared" si="385"/>
        <v>0.97261772710150951</v>
      </c>
      <c r="CV74" s="32">
        <f t="shared" si="386"/>
        <v>1</v>
      </c>
      <c r="CX74" s="32">
        <f t="shared" si="387"/>
        <v>0.17004210594541039</v>
      </c>
      <c r="CY74" s="32">
        <f t="shared" si="388"/>
        <v>0.36227757806324223</v>
      </c>
      <c r="CZ74" s="32">
        <f t="shared" si="389"/>
        <v>0.42163330385839992</v>
      </c>
      <c r="DA74" s="32">
        <f t="shared" si="390"/>
        <v>0.53588481512388153</v>
      </c>
      <c r="DB74" s="32">
        <f t="shared" si="391"/>
        <v>0.69472061119592232</v>
      </c>
      <c r="DC74" s="32">
        <f t="shared" si="392"/>
        <v>0.80401826481375815</v>
      </c>
      <c r="DD74" s="32">
        <f t="shared" si="393"/>
        <v>0.85527477370079774</v>
      </c>
      <c r="DE74" s="32">
        <f t="shared" si="394"/>
        <v>0.88340534726988429</v>
      </c>
      <c r="DF74" s="32">
        <f t="shared" si="395"/>
        <v>0.91456156229492447</v>
      </c>
      <c r="DG74" s="32">
        <f t="shared" si="396"/>
        <v>0.94772390050589628</v>
      </c>
      <c r="DH74" s="32">
        <f t="shared" si="397"/>
        <v>0.9778603802497885</v>
      </c>
      <c r="DI74" s="32">
        <f t="shared" si="398"/>
        <v>1</v>
      </c>
      <c r="DK74" s="32">
        <f t="shared" si="294"/>
        <v>0.10775207241802422</v>
      </c>
      <c r="DL74" s="32">
        <f t="shared" si="295"/>
        <v>0.32123083940880437</v>
      </c>
      <c r="DM74" s="32">
        <f t="shared" si="296"/>
        <v>0.46934040393600418</v>
      </c>
      <c r="DN74" s="32">
        <f t="shared" si="297"/>
        <v>0.58125072879150463</v>
      </c>
      <c r="DO74" s="32">
        <f t="shared" si="298"/>
        <v>0.67557655689741536</v>
      </c>
      <c r="DP74" s="32">
        <f t="shared" si="299"/>
        <v>0.79803406835269264</v>
      </c>
      <c r="DQ74" s="32">
        <f t="shared" si="300"/>
        <v>0.84323504254817305</v>
      </c>
      <c r="DR74" s="32">
        <f t="shared" si="301"/>
        <v>0.89090438387966198</v>
      </c>
      <c r="DS74" s="32">
        <f t="shared" si="302"/>
        <v>0.91370959513644301</v>
      </c>
      <c r="DT74" s="32">
        <f t="shared" si="303"/>
        <v>0.94089666531508964</v>
      </c>
      <c r="DU74" s="32">
        <f t="shared" si="304"/>
        <v>0.97649672242584218</v>
      </c>
      <c r="DV74" s="32">
        <f t="shared" si="305"/>
        <v>1</v>
      </c>
      <c r="DW74" s="39"/>
      <c r="DX74" s="32">
        <f t="shared" si="306"/>
        <v>0.14978704153910599</v>
      </c>
      <c r="DY74" s="32">
        <f t="shared" si="307"/>
        <v>0.37053728364066874</v>
      </c>
      <c r="DZ74" s="32">
        <f t="shared" si="308"/>
        <v>0.47670311209942129</v>
      </c>
      <c r="EA74" s="32">
        <f t="shared" si="309"/>
        <v>0.5480852763190327</v>
      </c>
      <c r="EB74" s="32">
        <f t="shared" si="310"/>
        <v>0.70452421823755451</v>
      </c>
      <c r="EC74" s="32">
        <f t="shared" si="311"/>
        <v>0.82176846605257958</v>
      </c>
      <c r="ED74" s="32">
        <f t="shared" si="312"/>
        <v>0.85538430171713653</v>
      </c>
      <c r="EE74" s="32">
        <f t="shared" si="313"/>
        <v>0.90432425716236764</v>
      </c>
      <c r="EF74" s="32">
        <f t="shared" si="314"/>
        <v>0.92734671839581284</v>
      </c>
      <c r="EG74" s="32">
        <f t="shared" si="315"/>
        <v>0.95715703064285207</v>
      </c>
      <c r="EH74" s="32">
        <f t="shared" si="316"/>
        <v>0.97549285682537845</v>
      </c>
      <c r="EI74" s="32">
        <f t="shared" si="317"/>
        <v>1</v>
      </c>
      <c r="EK74" s="32">
        <f t="shared" si="399"/>
        <v>0.14252707330084688</v>
      </c>
      <c r="EL74" s="32">
        <f t="shared" si="318"/>
        <v>0.35134856703757178</v>
      </c>
      <c r="EM74" s="32">
        <f t="shared" si="319"/>
        <v>0.4558922732979418</v>
      </c>
      <c r="EN74" s="32">
        <f t="shared" si="320"/>
        <v>0.55507360674480632</v>
      </c>
      <c r="EO74" s="32">
        <f t="shared" si="321"/>
        <v>0.69160712877696406</v>
      </c>
      <c r="EP74" s="32">
        <f t="shared" si="322"/>
        <v>0.80794026640634353</v>
      </c>
      <c r="EQ74" s="32">
        <f t="shared" si="323"/>
        <v>0.85129803932203574</v>
      </c>
      <c r="ER74" s="32">
        <f t="shared" si="324"/>
        <v>0.89287799610397134</v>
      </c>
      <c r="ES74" s="32">
        <f t="shared" si="325"/>
        <v>0.91853929194239348</v>
      </c>
      <c r="ET74" s="32">
        <f t="shared" si="326"/>
        <v>0.94859253215461281</v>
      </c>
      <c r="EU74" s="32">
        <f t="shared" si="327"/>
        <v>0.97661665316700308</v>
      </c>
      <c r="EV74" s="32">
        <f t="shared" si="328"/>
        <v>1</v>
      </c>
      <c r="EX74" s="32">
        <f t="shared" si="329"/>
        <v>0.15721135886378892</v>
      </c>
      <c r="EY74" s="32">
        <f t="shared" si="330"/>
        <v>0.35333779995285658</v>
      </c>
      <c r="EZ74" s="32">
        <f t="shared" si="331"/>
        <v>0.45818223550973014</v>
      </c>
      <c r="FA74" s="32">
        <f t="shared" si="332"/>
        <v>0.54555696196606118</v>
      </c>
      <c r="FB74" s="32">
        <f t="shared" si="333"/>
        <v>0.66474897078618034</v>
      </c>
      <c r="FC74" s="32">
        <f t="shared" si="334"/>
        <v>0.76416578426670445</v>
      </c>
      <c r="FD74" s="32">
        <f t="shared" si="335"/>
        <v>0.82479767938160631</v>
      </c>
      <c r="FE74" s="32">
        <f t="shared" si="336"/>
        <v>0.88130878649685984</v>
      </c>
      <c r="FF74" s="32">
        <f t="shared" si="337"/>
        <v>0.91610345437477891</v>
      </c>
      <c r="FG74" s="32">
        <f t="shared" si="338"/>
        <v>0.94584280458174519</v>
      </c>
      <c r="FH74" s="32">
        <f t="shared" si="339"/>
        <v>0.97561692165062963</v>
      </c>
      <c r="FI74" s="32">
        <f t="shared" si="340"/>
        <v>1</v>
      </c>
      <c r="FK74" s="32">
        <f t="shared" si="400"/>
        <v>0.15968613130534992</v>
      </c>
      <c r="FL74" s="32">
        <f t="shared" si="341"/>
        <v>0.34760463872358582</v>
      </c>
      <c r="FM74" s="32">
        <f t="shared" si="342"/>
        <v>0.45200860997983305</v>
      </c>
      <c r="FN74" s="32">
        <f t="shared" si="343"/>
        <v>0.54471419051507086</v>
      </c>
      <c r="FO74" s="32">
        <f t="shared" si="344"/>
        <v>0.65149055496905561</v>
      </c>
      <c r="FP74" s="32">
        <f t="shared" si="345"/>
        <v>0.74496489033807956</v>
      </c>
      <c r="FQ74" s="32">
        <f t="shared" si="346"/>
        <v>0.81460213860309627</v>
      </c>
      <c r="FR74" s="32">
        <f t="shared" si="347"/>
        <v>0.87363696294169069</v>
      </c>
      <c r="FS74" s="32">
        <f t="shared" si="348"/>
        <v>0.91235569970110098</v>
      </c>
      <c r="FT74" s="32">
        <f t="shared" si="349"/>
        <v>0.94207139589470967</v>
      </c>
      <c r="FU74" s="32">
        <f t="shared" si="350"/>
        <v>0.97565827659237991</v>
      </c>
      <c r="FV74" s="32">
        <f t="shared" si="351"/>
        <v>1</v>
      </c>
      <c r="FX74" s="32">
        <f t="shared" si="401"/>
        <v>0.15447752166760639</v>
      </c>
      <c r="FY74" s="32">
        <f t="shared" si="352"/>
        <v>0.30444434123009817</v>
      </c>
      <c r="FZ74" s="32">
        <f t="shared" si="353"/>
        <v>0.37377800328770411</v>
      </c>
      <c r="GA74" s="32">
        <f t="shared" si="354"/>
        <v>0.43756237023812145</v>
      </c>
      <c r="GB74" s="32">
        <f t="shared" si="355"/>
        <v>0.52219671645379961</v>
      </c>
      <c r="GC74" s="32">
        <f t="shared" si="356"/>
        <v>0.59009099012118116</v>
      </c>
      <c r="GD74" s="32">
        <f t="shared" si="357"/>
        <v>0.65723861289756169</v>
      </c>
      <c r="GE74" s="32">
        <f t="shared" si="358"/>
        <v>0.79582113574922542</v>
      </c>
      <c r="GF74" s="32">
        <f t="shared" si="359"/>
        <v>0.85716857303008931</v>
      </c>
      <c r="GG74" s="32">
        <f t="shared" si="360"/>
        <v>0.91255464792058694</v>
      </c>
      <c r="GH74" s="32">
        <f t="shared" si="361"/>
        <v>0.95937170169769848</v>
      </c>
      <c r="GI74" s="32">
        <f t="shared" si="362"/>
        <v>1</v>
      </c>
    </row>
    <row r="75" spans="1:191">
      <c r="A75" s="724" t="s">
        <v>89</v>
      </c>
      <c r="B75" s="399">
        <v>42901.33</v>
      </c>
      <c r="C75" s="400">
        <v>36893.79</v>
      </c>
      <c r="D75" s="400">
        <v>25419.47</v>
      </c>
      <c r="E75" s="400">
        <v>24854.62</v>
      </c>
      <c r="F75" s="400">
        <v>19901.8</v>
      </c>
      <c r="G75" s="400">
        <v>28319.52</v>
      </c>
      <c r="H75" s="400">
        <v>31224.49</v>
      </c>
      <c r="I75" s="400">
        <v>127331.98</v>
      </c>
      <c r="J75" s="400">
        <v>35751.019999999997</v>
      </c>
      <c r="K75" s="400">
        <v>29803.56</v>
      </c>
      <c r="L75" s="400">
        <v>27143.759999999998</v>
      </c>
      <c r="M75" s="400">
        <v>38113.370000000003</v>
      </c>
      <c r="N75" s="400">
        <f t="shared" si="291"/>
        <v>467658.70999999996</v>
      </c>
      <c r="P75" s="396" t="s">
        <v>89</v>
      </c>
      <c r="Q75" s="399">
        <v>105568.12</v>
      </c>
      <c r="R75" s="400">
        <v>118377.08</v>
      </c>
      <c r="S75" s="400">
        <v>58428.82</v>
      </c>
      <c r="T75" s="400">
        <v>17695.310000000001</v>
      </c>
      <c r="U75" s="400">
        <v>20248.439999999999</v>
      </c>
      <c r="V75" s="400">
        <v>32205.120000000003</v>
      </c>
      <c r="W75" s="400">
        <v>51198.29</v>
      </c>
      <c r="X75" s="400">
        <v>53233.72</v>
      </c>
      <c r="Y75" s="400">
        <v>15221.02</v>
      </c>
      <c r="Z75" s="400">
        <v>6689.31</v>
      </c>
      <c r="AA75" s="400">
        <v>11540.549999999997</v>
      </c>
      <c r="AB75" s="400">
        <v>17922.419999999998</v>
      </c>
      <c r="AC75" s="400">
        <f t="shared" si="292"/>
        <v>508328.2</v>
      </c>
      <c r="AE75" s="127" t="s">
        <v>89</v>
      </c>
      <c r="AF75" s="27">
        <v>85869.61</v>
      </c>
      <c r="AG75" s="27">
        <v>119100</v>
      </c>
      <c r="AH75" s="27">
        <v>45143.91</v>
      </c>
      <c r="AI75" s="27">
        <v>40575.129999999997</v>
      </c>
      <c r="AJ75" s="27">
        <v>68978.600000000006</v>
      </c>
      <c r="AK75" s="27">
        <v>51422.48</v>
      </c>
      <c r="AL75" s="27">
        <v>19890.189999999999</v>
      </c>
      <c r="AM75" s="27">
        <v>11223.34</v>
      </c>
      <c r="AN75" s="27">
        <v>17085.88</v>
      </c>
      <c r="AO75" s="27">
        <v>23171.69</v>
      </c>
      <c r="AP75" s="27">
        <v>16730.27</v>
      </c>
      <c r="AQ75" s="27">
        <v>21694.54</v>
      </c>
      <c r="AR75" s="43">
        <f t="shared" si="402"/>
        <v>520885.64</v>
      </c>
      <c r="AT75" s="60" t="s">
        <v>89</v>
      </c>
      <c r="AU75" s="27">
        <v>67318.34</v>
      </c>
      <c r="AV75" s="27">
        <v>106195.41</v>
      </c>
      <c r="AW75" s="27">
        <v>50423.25</v>
      </c>
      <c r="AX75" s="27">
        <v>33295.199999999997</v>
      </c>
      <c r="AY75" s="27">
        <v>47818.470000000008</v>
      </c>
      <c r="AZ75" s="27">
        <v>56628.4</v>
      </c>
      <c r="BA75" s="27">
        <v>12405.030000000002</v>
      </c>
      <c r="BB75" s="27">
        <v>11169.35</v>
      </c>
      <c r="BC75" s="27">
        <v>6500.61</v>
      </c>
      <c r="BD75" s="27">
        <v>17959.11</v>
      </c>
      <c r="BE75" s="27">
        <v>10257.59</v>
      </c>
      <c r="BF75" s="27">
        <v>7638.45</v>
      </c>
      <c r="BG75" s="43">
        <f t="shared" si="403"/>
        <v>427609.21000000008</v>
      </c>
      <c r="BI75" s="60" t="s">
        <v>89</v>
      </c>
      <c r="BJ75" s="27">
        <v>169527.77000000002</v>
      </c>
      <c r="BK75" s="27">
        <v>37580.47</v>
      </c>
      <c r="BL75" s="27">
        <v>51354.91</v>
      </c>
      <c r="BM75" s="27">
        <v>12797.39</v>
      </c>
      <c r="BN75" s="27">
        <v>62949.75</v>
      </c>
      <c r="BO75" s="27">
        <v>28211.32</v>
      </c>
      <c r="BP75" s="27">
        <v>12360.48</v>
      </c>
      <c r="BQ75" s="27">
        <v>11648.35</v>
      </c>
      <c r="BR75" s="27">
        <v>8611.6</v>
      </c>
      <c r="BS75" s="27">
        <v>10068.469999999999</v>
      </c>
      <c r="BT75" s="27">
        <v>7859.0300000000007</v>
      </c>
      <c r="BU75" s="27">
        <v>7295.48</v>
      </c>
      <c r="BV75" s="43">
        <f t="shared" si="404"/>
        <v>420265.01999999996</v>
      </c>
      <c r="BW75" s="405"/>
      <c r="BX75" s="32">
        <f t="shared" si="363"/>
        <v>9.1736407518209176E-2</v>
      </c>
      <c r="BY75" s="32">
        <f t="shared" si="364"/>
        <v>0.1706268231377536</v>
      </c>
      <c r="BZ75" s="32">
        <f t="shared" si="365"/>
        <v>0.22498156828940491</v>
      </c>
      <c r="CA75" s="32">
        <f t="shared" si="366"/>
        <v>0.27812848818746477</v>
      </c>
      <c r="CB75" s="32">
        <f t="shared" si="367"/>
        <v>0.32068473609739889</v>
      </c>
      <c r="CC75" s="32">
        <f t="shared" si="368"/>
        <v>0.38124069152908535</v>
      </c>
      <c r="CD75" s="32">
        <f t="shared" si="369"/>
        <v>0.44800837773341157</v>
      </c>
      <c r="CE75" s="32">
        <f t="shared" si="370"/>
        <v>0.72028381552008292</v>
      </c>
      <c r="CF75" s="32">
        <f t="shared" si="371"/>
        <v>0.79673063290107438</v>
      </c>
      <c r="CG75" s="32">
        <f t="shared" si="372"/>
        <v>0.8604599281386206</v>
      </c>
      <c r="CH75" s="32">
        <f t="shared" si="373"/>
        <v>0.91850174243520455</v>
      </c>
      <c r="CI75" s="32">
        <f t="shared" si="374"/>
        <v>1</v>
      </c>
      <c r="CJ75" s="405"/>
      <c r="CK75" s="32">
        <f t="shared" si="375"/>
        <v>0.20767708736206253</v>
      </c>
      <c r="CL75" s="32">
        <f t="shared" si="376"/>
        <v>0.44055238328308366</v>
      </c>
      <c r="CM75" s="32">
        <f t="shared" si="377"/>
        <v>0.55549548500358625</v>
      </c>
      <c r="CN75" s="32">
        <f t="shared" si="378"/>
        <v>0.59030628243721284</v>
      </c>
      <c r="CO75" s="32">
        <f t="shared" si="379"/>
        <v>0.63013968141055332</v>
      </c>
      <c r="CP75" s="32">
        <f t="shared" si="380"/>
        <v>0.6934946556181617</v>
      </c>
      <c r="CQ75" s="32">
        <f t="shared" si="381"/>
        <v>0.79421362025557496</v>
      </c>
      <c r="CR75" s="32">
        <f t="shared" si="382"/>
        <v>0.89893674991865491</v>
      </c>
      <c r="CS75" s="32">
        <f t="shared" si="383"/>
        <v>0.92888004246075673</v>
      </c>
      <c r="CT75" s="32">
        <f t="shared" si="384"/>
        <v>0.94203947371009522</v>
      </c>
      <c r="CU75" s="32">
        <f t="shared" si="385"/>
        <v>0.96474242428415347</v>
      </c>
      <c r="CV75" s="32">
        <f t="shared" si="386"/>
        <v>1</v>
      </c>
      <c r="CX75" s="32">
        <f t="shared" si="387"/>
        <v>0.16485309520147262</v>
      </c>
      <c r="CY75" s="32">
        <f t="shared" si="388"/>
        <v>0.39350213225306035</v>
      </c>
      <c r="CZ75" s="32">
        <f t="shared" si="389"/>
        <v>0.48016973552966441</v>
      </c>
      <c r="DA75" s="32">
        <f t="shared" si="390"/>
        <v>0.55806616208502113</v>
      </c>
      <c r="DB75" s="32">
        <f t="shared" si="391"/>
        <v>0.69049177473965295</v>
      </c>
      <c r="DC75" s="32">
        <f t="shared" si="392"/>
        <v>0.78921302188326781</v>
      </c>
      <c r="DD75" s="32">
        <f t="shared" si="393"/>
        <v>0.82739835177640908</v>
      </c>
      <c r="DE75" s="32">
        <f t="shared" si="394"/>
        <v>0.84894500067231649</v>
      </c>
      <c r="DF75" s="32">
        <f t="shared" si="395"/>
        <v>0.88174659604745487</v>
      </c>
      <c r="DG75" s="32">
        <f t="shared" si="396"/>
        <v>0.92623177325449013</v>
      </c>
      <c r="DH75" s="32">
        <f t="shared" si="397"/>
        <v>0.95835066599263519</v>
      </c>
      <c r="DI75" s="32">
        <f t="shared" si="398"/>
        <v>1</v>
      </c>
      <c r="DK75" s="32">
        <f t="shared" si="294"/>
        <v>0.15742958389507089</v>
      </c>
      <c r="DL75" s="32">
        <f t="shared" si="295"/>
        <v>0.4057764564986801</v>
      </c>
      <c r="DM75" s="32">
        <f t="shared" si="296"/>
        <v>0.52369545548375807</v>
      </c>
      <c r="DN75" s="32">
        <f t="shared" si="297"/>
        <v>0.6015590730611251</v>
      </c>
      <c r="DO75" s="32">
        <f t="shared" si="298"/>
        <v>0.71338657556042817</v>
      </c>
      <c r="DP75" s="32">
        <f t="shared" si="299"/>
        <v>0.84581683822946652</v>
      </c>
      <c r="DQ75" s="32">
        <f t="shared" si="300"/>
        <v>0.874827041260407</v>
      </c>
      <c r="DR75" s="32">
        <f t="shared" si="301"/>
        <v>0.900947502978245</v>
      </c>
      <c r="DS75" s="32">
        <f t="shared" si="302"/>
        <v>0.91614972465162758</v>
      </c>
      <c r="DT75" s="32">
        <f t="shared" si="303"/>
        <v>0.95814860956806791</v>
      </c>
      <c r="DU75" s="32">
        <f t="shared" si="304"/>
        <v>0.98213684405908841</v>
      </c>
      <c r="DV75" s="32">
        <f t="shared" si="305"/>
        <v>1</v>
      </c>
      <c r="DW75" s="39"/>
      <c r="DX75" s="32">
        <f t="shared" si="306"/>
        <v>0.40338301293788392</v>
      </c>
      <c r="DY75" s="32">
        <f t="shared" si="307"/>
        <v>0.49280389788329287</v>
      </c>
      <c r="DZ75" s="32">
        <f t="shared" si="308"/>
        <v>0.61500038713666927</v>
      </c>
      <c r="EA75" s="32">
        <f t="shared" si="309"/>
        <v>0.64545114889647504</v>
      </c>
      <c r="EB75" s="32">
        <f t="shared" si="310"/>
        <v>0.79523699117285584</v>
      </c>
      <c r="EC75" s="32">
        <f t="shared" si="311"/>
        <v>0.86236444327438933</v>
      </c>
      <c r="ED75" s="32">
        <f t="shared" si="312"/>
        <v>0.89177559912076443</v>
      </c>
      <c r="EE75" s="32">
        <f t="shared" si="313"/>
        <v>0.91949227656396437</v>
      </c>
      <c r="EF75" s="32">
        <f t="shared" si="314"/>
        <v>0.93998315634263352</v>
      </c>
      <c r="EG75" s="32">
        <f t="shared" si="315"/>
        <v>0.96394058682304795</v>
      </c>
      <c r="EH75" s="32">
        <f t="shared" si="316"/>
        <v>0.98264076320222893</v>
      </c>
      <c r="EI75" s="32">
        <f t="shared" si="317"/>
        <v>1</v>
      </c>
      <c r="EK75" s="32">
        <f t="shared" si="399"/>
        <v>0.24188856401147582</v>
      </c>
      <c r="EL75" s="32">
        <f t="shared" si="318"/>
        <v>0.43069416221167778</v>
      </c>
      <c r="EM75" s="32">
        <f t="shared" si="319"/>
        <v>0.53962185938336393</v>
      </c>
      <c r="EN75" s="32">
        <f t="shared" si="320"/>
        <v>0.60169212801420713</v>
      </c>
      <c r="EO75" s="32">
        <f t="shared" si="321"/>
        <v>0.73303844715764566</v>
      </c>
      <c r="EP75" s="32">
        <f t="shared" si="322"/>
        <v>0.83246476779570777</v>
      </c>
      <c r="EQ75" s="32">
        <f t="shared" si="323"/>
        <v>0.86466699738586017</v>
      </c>
      <c r="ER75" s="32">
        <f t="shared" si="324"/>
        <v>0.88979492673817528</v>
      </c>
      <c r="ES75" s="32">
        <f t="shared" si="325"/>
        <v>0.91262649234723858</v>
      </c>
      <c r="ET75" s="32">
        <f t="shared" si="326"/>
        <v>0.94944032321520189</v>
      </c>
      <c r="EU75" s="32">
        <f t="shared" si="327"/>
        <v>0.97437609108465084</v>
      </c>
      <c r="EV75" s="32">
        <f t="shared" si="328"/>
        <v>1</v>
      </c>
      <c r="EX75" s="32">
        <f t="shared" si="329"/>
        <v>0.23333569484912248</v>
      </c>
      <c r="EY75" s="32">
        <f t="shared" si="330"/>
        <v>0.43315871747952928</v>
      </c>
      <c r="EZ75" s="32">
        <f t="shared" si="331"/>
        <v>0.54359026578841951</v>
      </c>
      <c r="FA75" s="32">
        <f t="shared" si="332"/>
        <v>0.59884566661995853</v>
      </c>
      <c r="FB75" s="32">
        <f t="shared" si="333"/>
        <v>0.70731375572087263</v>
      </c>
      <c r="FC75" s="32">
        <f t="shared" si="334"/>
        <v>0.79772223975132139</v>
      </c>
      <c r="FD75" s="32">
        <f t="shared" si="335"/>
        <v>0.84705365310328884</v>
      </c>
      <c r="FE75" s="32">
        <f t="shared" si="336"/>
        <v>0.89208038253329525</v>
      </c>
      <c r="FF75" s="32">
        <f t="shared" si="337"/>
        <v>0.91668987987561812</v>
      </c>
      <c r="FG75" s="32">
        <f t="shared" si="338"/>
        <v>0.9475901108389253</v>
      </c>
      <c r="FH75" s="32">
        <f t="shared" si="339"/>
        <v>0.97196767438452647</v>
      </c>
      <c r="FI75" s="32">
        <f t="shared" si="340"/>
        <v>1</v>
      </c>
      <c r="FK75" s="32">
        <f t="shared" si="400"/>
        <v>0.176653255486202</v>
      </c>
      <c r="FL75" s="32">
        <f t="shared" si="341"/>
        <v>0.41327699067827472</v>
      </c>
      <c r="FM75" s="32">
        <f t="shared" si="342"/>
        <v>0.51978689200566952</v>
      </c>
      <c r="FN75" s="32">
        <f t="shared" si="343"/>
        <v>0.58331050586111965</v>
      </c>
      <c r="FO75" s="32">
        <f t="shared" si="344"/>
        <v>0.67800601057021159</v>
      </c>
      <c r="FP75" s="32">
        <f t="shared" si="345"/>
        <v>0.77617483857696534</v>
      </c>
      <c r="FQ75" s="32">
        <f t="shared" si="346"/>
        <v>0.83214633776413027</v>
      </c>
      <c r="FR75" s="32">
        <f t="shared" si="347"/>
        <v>0.88294308452307213</v>
      </c>
      <c r="FS75" s="32">
        <f t="shared" si="348"/>
        <v>0.9089254543866131</v>
      </c>
      <c r="FT75" s="32">
        <f t="shared" si="349"/>
        <v>0.94213995217755109</v>
      </c>
      <c r="FU75" s="32">
        <f t="shared" si="350"/>
        <v>0.96840997811195895</v>
      </c>
      <c r="FV75" s="32">
        <f t="shared" si="351"/>
        <v>1</v>
      </c>
      <c r="FX75" s="32">
        <f t="shared" si="401"/>
        <v>0.15475553002724809</v>
      </c>
      <c r="FY75" s="32">
        <f t="shared" si="352"/>
        <v>0.3348937795579659</v>
      </c>
      <c r="FZ75" s="32">
        <f t="shared" si="353"/>
        <v>0.42021559627421851</v>
      </c>
      <c r="GA75" s="32">
        <f t="shared" si="354"/>
        <v>0.47550031090323291</v>
      </c>
      <c r="GB75" s="32">
        <f t="shared" si="355"/>
        <v>0.54710539741586839</v>
      </c>
      <c r="GC75" s="32">
        <f t="shared" si="356"/>
        <v>0.62131612301017169</v>
      </c>
      <c r="GD75" s="32">
        <f t="shared" si="357"/>
        <v>0.68987344992179844</v>
      </c>
      <c r="GE75" s="32">
        <f t="shared" si="358"/>
        <v>0.82272185537035147</v>
      </c>
      <c r="GF75" s="32">
        <f t="shared" si="359"/>
        <v>0.86911909046976199</v>
      </c>
      <c r="GG75" s="32">
        <f t="shared" si="360"/>
        <v>0.90957705836773528</v>
      </c>
      <c r="GH75" s="32">
        <f t="shared" si="361"/>
        <v>0.94719827757066444</v>
      </c>
      <c r="GI75" s="32">
        <f t="shared" si="362"/>
        <v>1</v>
      </c>
    </row>
    <row r="76" spans="1:191">
      <c r="A76" s="724" t="s">
        <v>90</v>
      </c>
      <c r="B76" s="399">
        <v>5026.0600000000004</v>
      </c>
      <c r="C76" s="400">
        <v>4376.0600000000004</v>
      </c>
      <c r="D76" s="400">
        <v>2960.81</v>
      </c>
      <c r="E76" s="400">
        <v>2989.59</v>
      </c>
      <c r="F76" s="400">
        <v>6735.03</v>
      </c>
      <c r="G76" s="400">
        <v>4550.67</v>
      </c>
      <c r="H76" s="400">
        <v>6173.45</v>
      </c>
      <c r="I76" s="400">
        <v>14409.23</v>
      </c>
      <c r="J76" s="400">
        <v>6842.27</v>
      </c>
      <c r="K76" s="400">
        <v>6041.1</v>
      </c>
      <c r="L76" s="400">
        <v>4409.42</v>
      </c>
      <c r="M76" s="400">
        <v>5997.92</v>
      </c>
      <c r="N76" s="400">
        <f t="shared" si="291"/>
        <v>70511.61</v>
      </c>
      <c r="P76" s="396" t="s">
        <v>90</v>
      </c>
      <c r="Q76" s="399">
        <v>9171.1299999999992</v>
      </c>
      <c r="R76" s="400">
        <v>11513.9</v>
      </c>
      <c r="S76" s="400">
        <v>9261.56</v>
      </c>
      <c r="T76" s="400">
        <v>1771.37</v>
      </c>
      <c r="U76" s="400">
        <v>1914.22</v>
      </c>
      <c r="V76" s="400">
        <v>5523.6</v>
      </c>
      <c r="W76" s="400">
        <v>7733.07</v>
      </c>
      <c r="X76" s="400">
        <v>11293.51</v>
      </c>
      <c r="Y76" s="400">
        <v>2954.72</v>
      </c>
      <c r="Z76" s="400">
        <v>1358.06</v>
      </c>
      <c r="AA76" s="400">
        <v>2072.3100000000004</v>
      </c>
      <c r="AB76" s="400">
        <v>579.51</v>
      </c>
      <c r="AC76" s="400">
        <f t="shared" si="292"/>
        <v>65146.959999999992</v>
      </c>
      <c r="AE76" s="127" t="s">
        <v>90</v>
      </c>
      <c r="AF76" s="27">
        <v>9507.81</v>
      </c>
      <c r="AG76" s="27">
        <v>7713.64</v>
      </c>
      <c r="AH76" s="27">
        <v>5887.34</v>
      </c>
      <c r="AI76" s="27">
        <v>7036.51</v>
      </c>
      <c r="AJ76" s="27">
        <v>7591.61</v>
      </c>
      <c r="AK76" s="27">
        <v>7342.85</v>
      </c>
      <c r="AL76" s="27">
        <v>4362.95</v>
      </c>
      <c r="AM76" s="27">
        <v>875.25</v>
      </c>
      <c r="AN76" s="27">
        <v>948.96</v>
      </c>
      <c r="AO76" s="27">
        <v>3691.31</v>
      </c>
      <c r="AP76" s="27">
        <v>1206.9100000000001</v>
      </c>
      <c r="AQ76" s="27">
        <v>1888.69</v>
      </c>
      <c r="AR76" s="43">
        <f t="shared" si="402"/>
        <v>58053.83</v>
      </c>
      <c r="AT76" s="60" t="s">
        <v>90</v>
      </c>
      <c r="AU76" s="27">
        <v>3149.29</v>
      </c>
      <c r="AV76" s="27">
        <v>7125.97</v>
      </c>
      <c r="AW76" s="27">
        <v>6118.43</v>
      </c>
      <c r="AX76" s="27">
        <v>5368.96</v>
      </c>
      <c r="AY76" s="27">
        <v>6347.5600000000013</v>
      </c>
      <c r="AZ76" s="27">
        <v>8249.1299999999992</v>
      </c>
      <c r="BA76" s="27">
        <v>2953.59</v>
      </c>
      <c r="BB76" s="27">
        <v>3269.43</v>
      </c>
      <c r="BC76" s="27">
        <v>2571.06</v>
      </c>
      <c r="BD76" s="27">
        <v>2072.86</v>
      </c>
      <c r="BE76" s="27">
        <v>2464.2199999999998</v>
      </c>
      <c r="BF76" s="27">
        <v>1031.97</v>
      </c>
      <c r="BG76" s="43">
        <f t="shared" si="403"/>
        <v>50722.470000000008</v>
      </c>
      <c r="BI76" s="60" t="s">
        <v>90</v>
      </c>
      <c r="BJ76" s="27">
        <v>6709.03</v>
      </c>
      <c r="BK76" s="27">
        <v>8265.9399999999987</v>
      </c>
      <c r="BL76" s="27">
        <v>8309.5300000000007</v>
      </c>
      <c r="BM76" s="27">
        <v>2528.9700000000003</v>
      </c>
      <c r="BN76" s="27">
        <v>7684.7199999999993</v>
      </c>
      <c r="BO76" s="27">
        <v>2780.87</v>
      </c>
      <c r="BP76" s="27">
        <v>3306.83</v>
      </c>
      <c r="BQ76" s="27">
        <v>3312.64</v>
      </c>
      <c r="BR76" s="27">
        <v>3474.96</v>
      </c>
      <c r="BS76" s="27">
        <v>933.75</v>
      </c>
      <c r="BT76" s="27">
        <v>1143.2</v>
      </c>
      <c r="BU76" s="27">
        <v>575.95000000000005</v>
      </c>
      <c r="BV76" s="43">
        <f t="shared" si="404"/>
        <v>49026.39</v>
      </c>
      <c r="BW76" s="405"/>
      <c r="BX76" s="32">
        <f t="shared" si="363"/>
        <v>7.1279892772268288E-2</v>
      </c>
      <c r="BY76" s="32">
        <f t="shared" si="364"/>
        <v>0.13334144547259666</v>
      </c>
      <c r="BZ76" s="32">
        <f t="shared" si="365"/>
        <v>0.17533183542398195</v>
      </c>
      <c r="CA76" s="32">
        <f t="shared" si="366"/>
        <v>0.21773038510962947</v>
      </c>
      <c r="CB76" s="32">
        <f t="shared" si="367"/>
        <v>0.31324699577842569</v>
      </c>
      <c r="CC76" s="32">
        <f t="shared" si="368"/>
        <v>0.37778487826331014</v>
      </c>
      <c r="CD76" s="32">
        <f t="shared" si="369"/>
        <v>0.46533712675118322</v>
      </c>
      <c r="CE76" s="32">
        <f t="shared" si="370"/>
        <v>0.66968971492779694</v>
      </c>
      <c r="CF76" s="32">
        <f t="shared" si="371"/>
        <v>0.76672720988784682</v>
      </c>
      <c r="CG76" s="32">
        <f t="shared" si="372"/>
        <v>0.85240246251645646</v>
      </c>
      <c r="CH76" s="32">
        <f t="shared" si="373"/>
        <v>0.91493712879340006</v>
      </c>
      <c r="CI76" s="32">
        <f t="shared" si="374"/>
        <v>1</v>
      </c>
      <c r="CJ76" s="405"/>
      <c r="CK76" s="32">
        <f t="shared" si="375"/>
        <v>0.14077602393112434</v>
      </c>
      <c r="CL76" s="32">
        <f t="shared" si="376"/>
        <v>0.31751335749204568</v>
      </c>
      <c r="CM76" s="32">
        <f t="shared" si="377"/>
        <v>0.45967747382226276</v>
      </c>
      <c r="CN76" s="32">
        <f t="shared" si="378"/>
        <v>0.4868678446392587</v>
      </c>
      <c r="CO76" s="32">
        <f t="shared" si="379"/>
        <v>0.51625095015945488</v>
      </c>
      <c r="CP76" s="32">
        <f t="shared" si="380"/>
        <v>0.60103771534389316</v>
      </c>
      <c r="CQ76" s="32">
        <f t="shared" si="381"/>
        <v>0.71973964709941951</v>
      </c>
      <c r="CR76" s="32">
        <f t="shared" si="382"/>
        <v>0.89309401390333487</v>
      </c>
      <c r="CS76" s="32">
        <f t="shared" si="383"/>
        <v>0.93844870121337975</v>
      </c>
      <c r="CT76" s="32">
        <f t="shared" si="384"/>
        <v>0.95929480055554395</v>
      </c>
      <c r="CU76" s="32">
        <f t="shared" si="385"/>
        <v>0.9911045734137095</v>
      </c>
      <c r="CV76" s="32">
        <f t="shared" si="386"/>
        <v>1</v>
      </c>
      <c r="CX76" s="32">
        <f t="shared" si="387"/>
        <v>0.16377575777515452</v>
      </c>
      <c r="CY76" s="32">
        <f t="shared" si="388"/>
        <v>0.29664623333206441</v>
      </c>
      <c r="CZ76" s="32">
        <f t="shared" si="389"/>
        <v>0.3980579748140648</v>
      </c>
      <c r="DA76" s="32">
        <f t="shared" si="390"/>
        <v>0.51926462043934052</v>
      </c>
      <c r="DB76" s="32">
        <f t="shared" si="391"/>
        <v>0.65003308136603566</v>
      </c>
      <c r="DC76" s="32">
        <f t="shared" si="392"/>
        <v>0.77651655368818906</v>
      </c>
      <c r="DD76" s="32">
        <f t="shared" si="393"/>
        <v>0.85167007930398386</v>
      </c>
      <c r="DE76" s="32">
        <f t="shared" si="394"/>
        <v>0.86674660397083181</v>
      </c>
      <c r="DF76" s="32">
        <f t="shared" si="395"/>
        <v>0.88309281230885195</v>
      </c>
      <c r="DG76" s="32">
        <f t="shared" si="396"/>
        <v>0.94667707539709256</v>
      </c>
      <c r="DH76" s="32">
        <f t="shared" si="397"/>
        <v>0.96746657369548228</v>
      </c>
      <c r="DI76" s="32">
        <f t="shared" si="398"/>
        <v>1</v>
      </c>
      <c r="DK76" s="32">
        <f t="shared" si="294"/>
        <v>6.2088656171515294E-2</v>
      </c>
      <c r="DL76" s="32">
        <f t="shared" si="295"/>
        <v>0.20257806845762832</v>
      </c>
      <c r="DM76" s="32">
        <f t="shared" si="296"/>
        <v>0.32320370045070757</v>
      </c>
      <c r="DN76" s="32">
        <f t="shared" si="297"/>
        <v>0.42905343529209045</v>
      </c>
      <c r="DO76" s="32">
        <f t="shared" si="298"/>
        <v>0.55419639461564074</v>
      </c>
      <c r="DP76" s="32">
        <f t="shared" si="299"/>
        <v>0.71682905032030175</v>
      </c>
      <c r="DQ76" s="32">
        <f t="shared" si="300"/>
        <v>0.77505945589794822</v>
      </c>
      <c r="DR76" s="32">
        <f t="shared" si="301"/>
        <v>0.83951668757456022</v>
      </c>
      <c r="DS76" s="32">
        <f t="shared" si="302"/>
        <v>0.89020546515183507</v>
      </c>
      <c r="DT76" s="32">
        <f t="shared" si="303"/>
        <v>0.93107216584681307</v>
      </c>
      <c r="DU76" s="32">
        <f t="shared" si="304"/>
        <v>0.9796545791243999</v>
      </c>
      <c r="DV76" s="32">
        <f t="shared" si="305"/>
        <v>1</v>
      </c>
      <c r="DW76" s="39"/>
      <c r="DX76" s="32">
        <f t="shared" si="306"/>
        <v>0.13684527863462922</v>
      </c>
      <c r="DY76" s="32">
        <f t="shared" si="307"/>
        <v>0.30544712755721964</v>
      </c>
      <c r="DZ76" s="32">
        <f t="shared" si="308"/>
        <v>0.47493808946569388</v>
      </c>
      <c r="EA76" s="32">
        <f t="shared" si="309"/>
        <v>0.52652194053039603</v>
      </c>
      <c r="EB76" s="32">
        <f t="shared" si="310"/>
        <v>0.68326854169764495</v>
      </c>
      <c r="EC76" s="32">
        <f t="shared" si="311"/>
        <v>0.73999044188242302</v>
      </c>
      <c r="ED76" s="32">
        <f t="shared" si="312"/>
        <v>0.80744044177023855</v>
      </c>
      <c r="EE76" s="32">
        <f t="shared" si="313"/>
        <v>0.87500894926181605</v>
      </c>
      <c r="EF76" s="32">
        <f t="shared" si="314"/>
        <v>0.94588832667467471</v>
      </c>
      <c r="EG76" s="32">
        <f t="shared" si="315"/>
        <v>0.96493419156499194</v>
      </c>
      <c r="EH76" s="32">
        <f t="shared" si="316"/>
        <v>0.98825224537233936</v>
      </c>
      <c r="EI76" s="32">
        <f t="shared" si="317"/>
        <v>1</v>
      </c>
      <c r="EK76" s="32">
        <f t="shared" si="399"/>
        <v>0.12090323086043302</v>
      </c>
      <c r="EL76" s="32">
        <f t="shared" si="318"/>
        <v>0.26822380978230415</v>
      </c>
      <c r="EM76" s="32">
        <f t="shared" si="319"/>
        <v>0.39873325491015543</v>
      </c>
      <c r="EN76" s="32">
        <f t="shared" si="320"/>
        <v>0.4916133320872757</v>
      </c>
      <c r="EO76" s="32">
        <f t="shared" si="321"/>
        <v>0.62916600589310712</v>
      </c>
      <c r="EP76" s="32">
        <f t="shared" si="322"/>
        <v>0.74444534863030454</v>
      </c>
      <c r="EQ76" s="32">
        <f t="shared" si="323"/>
        <v>0.81138999232405684</v>
      </c>
      <c r="ER76" s="32">
        <f t="shared" si="324"/>
        <v>0.86042408026906936</v>
      </c>
      <c r="ES76" s="32">
        <f t="shared" si="325"/>
        <v>0.90639553471178724</v>
      </c>
      <c r="ET76" s="32">
        <f t="shared" si="326"/>
        <v>0.94756114426963256</v>
      </c>
      <c r="EU76" s="32">
        <f t="shared" si="327"/>
        <v>0.97845779939740718</v>
      </c>
      <c r="EV76" s="32">
        <f t="shared" si="328"/>
        <v>1</v>
      </c>
      <c r="EX76" s="32">
        <f t="shared" si="329"/>
        <v>0.12587142912810584</v>
      </c>
      <c r="EY76" s="32">
        <f t="shared" si="330"/>
        <v>0.28054619670973951</v>
      </c>
      <c r="EZ76" s="32">
        <f t="shared" si="331"/>
        <v>0.41396930963818224</v>
      </c>
      <c r="FA76" s="32">
        <f t="shared" si="332"/>
        <v>0.49042696022527144</v>
      </c>
      <c r="FB76" s="32">
        <f t="shared" si="333"/>
        <v>0.60093724195969411</v>
      </c>
      <c r="FC76" s="32">
        <f t="shared" si="334"/>
        <v>0.70859344030870175</v>
      </c>
      <c r="FD76" s="32">
        <f t="shared" si="335"/>
        <v>0.78847740601789751</v>
      </c>
      <c r="FE76" s="32">
        <f t="shared" si="336"/>
        <v>0.86859156367763579</v>
      </c>
      <c r="FF76" s="32">
        <f t="shared" si="337"/>
        <v>0.91440882633718545</v>
      </c>
      <c r="FG76" s="32">
        <f t="shared" si="338"/>
        <v>0.9504945583411103</v>
      </c>
      <c r="FH76" s="32">
        <f t="shared" si="339"/>
        <v>0.98161949290148276</v>
      </c>
      <c r="FI76" s="32">
        <f t="shared" si="340"/>
        <v>1</v>
      </c>
      <c r="FK76" s="32">
        <f t="shared" si="400"/>
        <v>0.12221347929259806</v>
      </c>
      <c r="FL76" s="32">
        <f t="shared" si="341"/>
        <v>0.27224588642724612</v>
      </c>
      <c r="FM76" s="32">
        <f t="shared" si="342"/>
        <v>0.39364638302901173</v>
      </c>
      <c r="FN76" s="32">
        <f t="shared" si="343"/>
        <v>0.47839530012356324</v>
      </c>
      <c r="FO76" s="32">
        <f t="shared" si="344"/>
        <v>0.5734934753803772</v>
      </c>
      <c r="FP76" s="32">
        <f t="shared" si="345"/>
        <v>0.69812777311746144</v>
      </c>
      <c r="FQ76" s="32">
        <f t="shared" si="346"/>
        <v>0.78215639410045057</v>
      </c>
      <c r="FR76" s="32">
        <f t="shared" si="347"/>
        <v>0.86645243514957571</v>
      </c>
      <c r="FS76" s="32">
        <f t="shared" si="348"/>
        <v>0.90391565955802233</v>
      </c>
      <c r="FT76" s="32">
        <f t="shared" si="349"/>
        <v>0.94568134726648323</v>
      </c>
      <c r="FU76" s="32">
        <f t="shared" si="350"/>
        <v>0.97940857541119719</v>
      </c>
      <c r="FV76" s="32">
        <f t="shared" si="351"/>
        <v>1</v>
      </c>
      <c r="FX76" s="32">
        <f t="shared" si="401"/>
        <v>0.12527722482618239</v>
      </c>
      <c r="FY76" s="32">
        <f t="shared" si="352"/>
        <v>0.24916701209890224</v>
      </c>
      <c r="FZ76" s="32">
        <f t="shared" si="353"/>
        <v>0.34435576135343648</v>
      </c>
      <c r="GA76" s="32">
        <f t="shared" si="354"/>
        <v>0.40795428339607626</v>
      </c>
      <c r="GB76" s="32">
        <f t="shared" si="355"/>
        <v>0.49317700910130541</v>
      </c>
      <c r="GC76" s="32">
        <f t="shared" si="356"/>
        <v>0.58511304909846418</v>
      </c>
      <c r="GD76" s="32">
        <f t="shared" si="357"/>
        <v>0.67891561771819553</v>
      </c>
      <c r="GE76" s="32">
        <f t="shared" si="358"/>
        <v>0.80984344426732113</v>
      </c>
      <c r="GF76" s="32">
        <f t="shared" si="359"/>
        <v>0.86275624113669291</v>
      </c>
      <c r="GG76" s="32">
        <f t="shared" si="360"/>
        <v>0.91945811282303103</v>
      </c>
      <c r="GH76" s="32">
        <f t="shared" si="361"/>
        <v>0.9578360919675305</v>
      </c>
      <c r="GI76" s="32">
        <f t="shared" si="362"/>
        <v>1</v>
      </c>
    </row>
    <row r="77" spans="1:191">
      <c r="A77" s="724" t="s">
        <v>91</v>
      </c>
      <c r="B77" s="399">
        <v>5421.67</v>
      </c>
      <c r="C77" s="400">
        <v>3436.16</v>
      </c>
      <c r="D77" s="400">
        <v>3629.9</v>
      </c>
      <c r="E77" s="400">
        <v>2507.0700000000002</v>
      </c>
      <c r="F77" s="400">
        <v>2485.94</v>
      </c>
      <c r="G77" s="400">
        <v>2849.75</v>
      </c>
      <c r="H77" s="400">
        <v>3679.89</v>
      </c>
      <c r="I77" s="400">
        <v>8529.5300000000007</v>
      </c>
      <c r="J77" s="400">
        <v>6143.08</v>
      </c>
      <c r="K77" s="400">
        <v>3751.52</v>
      </c>
      <c r="L77" s="400">
        <v>6306.23</v>
      </c>
      <c r="M77" s="400">
        <v>8394.91</v>
      </c>
      <c r="N77" s="400">
        <f t="shared" si="291"/>
        <v>57135.649999999994</v>
      </c>
      <c r="P77" s="396" t="s">
        <v>91</v>
      </c>
      <c r="Q77" s="399">
        <v>7971.18</v>
      </c>
      <c r="R77" s="400">
        <v>13637.67</v>
      </c>
      <c r="S77" s="400">
        <v>8240.18</v>
      </c>
      <c r="T77" s="400">
        <v>2577.6799999999998</v>
      </c>
      <c r="U77" s="400">
        <v>2838</v>
      </c>
      <c r="V77" s="400">
        <v>4418.8999999999996</v>
      </c>
      <c r="W77" s="400">
        <v>5279.24</v>
      </c>
      <c r="X77" s="400">
        <v>7756.93</v>
      </c>
      <c r="Y77" s="400">
        <v>1619.01</v>
      </c>
      <c r="Z77" s="400">
        <v>1142.81</v>
      </c>
      <c r="AA77" s="400">
        <v>1809.4499999999994</v>
      </c>
      <c r="AB77" s="400">
        <v>4809.32</v>
      </c>
      <c r="AC77" s="400">
        <f t="shared" si="292"/>
        <v>62100.369999999995</v>
      </c>
      <c r="AE77" s="127" t="s">
        <v>91</v>
      </c>
      <c r="AF77" s="27">
        <v>6757.74</v>
      </c>
      <c r="AG77" s="27">
        <v>14531.2</v>
      </c>
      <c r="AH77" s="27">
        <v>7454.92</v>
      </c>
      <c r="AI77" s="27">
        <v>7917.86</v>
      </c>
      <c r="AJ77" s="27">
        <v>12938.18</v>
      </c>
      <c r="AK77" s="27">
        <v>12597.28</v>
      </c>
      <c r="AL77" s="27">
        <v>3408.86</v>
      </c>
      <c r="AM77" s="27">
        <v>2542.84</v>
      </c>
      <c r="AN77" s="27">
        <v>4726.3</v>
      </c>
      <c r="AO77" s="27">
        <v>4261.08</v>
      </c>
      <c r="AP77" s="27">
        <v>3224.57</v>
      </c>
      <c r="AQ77" s="27">
        <v>1943.99</v>
      </c>
      <c r="AR77" s="43">
        <f t="shared" si="402"/>
        <v>82304.820000000007</v>
      </c>
      <c r="AT77" s="60" t="s">
        <v>91</v>
      </c>
      <c r="AU77" s="27">
        <v>9928.2800000000007</v>
      </c>
      <c r="AV77" s="27">
        <v>18308.62</v>
      </c>
      <c r="AW77" s="27">
        <v>4539.37</v>
      </c>
      <c r="AX77" s="27">
        <v>6714.56</v>
      </c>
      <c r="AY77" s="27">
        <v>5700.36</v>
      </c>
      <c r="AZ77" s="27">
        <v>10264.120000000001</v>
      </c>
      <c r="BA77" s="27">
        <v>5204.41</v>
      </c>
      <c r="BB77" s="27">
        <v>4955.28</v>
      </c>
      <c r="BC77" s="27">
        <v>1749.62</v>
      </c>
      <c r="BD77" s="27">
        <v>6073.28</v>
      </c>
      <c r="BE77" s="27">
        <v>1165.42</v>
      </c>
      <c r="BF77" s="27">
        <v>1343.35</v>
      </c>
      <c r="BG77" s="43">
        <f t="shared" si="403"/>
        <v>75946.67</v>
      </c>
      <c r="BI77" s="60" t="s">
        <v>91</v>
      </c>
      <c r="BJ77" s="27">
        <v>4895.66</v>
      </c>
      <c r="BK77" s="27">
        <v>13788.14</v>
      </c>
      <c r="BL77" s="27">
        <v>4783.5200000000004</v>
      </c>
      <c r="BM77" s="27">
        <v>3181.89</v>
      </c>
      <c r="BN77" s="27">
        <v>7985.61</v>
      </c>
      <c r="BO77" s="27">
        <v>6610.88</v>
      </c>
      <c r="BP77" s="27">
        <v>3373.73</v>
      </c>
      <c r="BQ77" s="27">
        <v>4761.2800000000007</v>
      </c>
      <c r="BR77" s="27">
        <v>2937.39</v>
      </c>
      <c r="BS77" s="27">
        <v>2862.3199999999997</v>
      </c>
      <c r="BT77" s="27">
        <v>2940.89</v>
      </c>
      <c r="BU77" s="27">
        <v>2007.1100000000001</v>
      </c>
      <c r="BV77" s="43">
        <f t="shared" si="404"/>
        <v>60128.42</v>
      </c>
      <c r="BW77" s="405"/>
      <c r="BX77" s="32">
        <f t="shared" si="363"/>
        <v>9.4891193151736275E-2</v>
      </c>
      <c r="BY77" s="32">
        <f t="shared" si="364"/>
        <v>0.15503157835782039</v>
      </c>
      <c r="BZ77" s="32">
        <f t="shared" si="365"/>
        <v>0.21856284123835121</v>
      </c>
      <c r="CA77" s="32">
        <f t="shared" si="366"/>
        <v>0.26244210050992683</v>
      </c>
      <c r="CB77" s="32">
        <f t="shared" si="367"/>
        <v>0.30595153813774761</v>
      </c>
      <c r="CC77" s="32">
        <f t="shared" si="368"/>
        <v>0.35582845386374357</v>
      </c>
      <c r="CD77" s="32">
        <f t="shared" si="369"/>
        <v>0.42023465209549554</v>
      </c>
      <c r="CE77" s="32">
        <f t="shared" si="370"/>
        <v>0.56952025574225551</v>
      </c>
      <c r="CF77" s="32">
        <f t="shared" si="371"/>
        <v>0.67703771638197874</v>
      </c>
      <c r="CG77" s="32">
        <f t="shared" si="372"/>
        <v>0.74269759773451427</v>
      </c>
      <c r="CH77" s="32">
        <f t="shared" si="373"/>
        <v>0.85307054352230172</v>
      </c>
      <c r="CI77" s="32">
        <f t="shared" si="374"/>
        <v>1</v>
      </c>
      <c r="CJ77" s="405"/>
      <c r="CK77" s="32">
        <f t="shared" si="375"/>
        <v>0.12835962168985468</v>
      </c>
      <c r="CL77" s="32">
        <f t="shared" si="376"/>
        <v>0.34796652580330845</v>
      </c>
      <c r="CM77" s="32">
        <f t="shared" si="377"/>
        <v>0.4806578447117143</v>
      </c>
      <c r="CN77" s="32">
        <f t="shared" si="378"/>
        <v>0.52216613202143569</v>
      </c>
      <c r="CO77" s="32">
        <f t="shared" si="379"/>
        <v>0.56786634282533266</v>
      </c>
      <c r="CP77" s="32">
        <f t="shared" si="380"/>
        <v>0.63902372884412773</v>
      </c>
      <c r="CQ77" s="32">
        <f t="shared" si="381"/>
        <v>0.72403513859901325</v>
      </c>
      <c r="CR77" s="32">
        <f t="shared" si="382"/>
        <v>0.84894470032948277</v>
      </c>
      <c r="CS77" s="32">
        <f t="shared" si="383"/>
        <v>0.87501555948861509</v>
      </c>
      <c r="CT77" s="32">
        <f t="shared" si="384"/>
        <v>0.89341818736345702</v>
      </c>
      <c r="CU77" s="32">
        <f t="shared" si="385"/>
        <v>0.92255569491775979</v>
      </c>
      <c r="CV77" s="32">
        <f t="shared" si="386"/>
        <v>1</v>
      </c>
      <c r="CX77" s="32">
        <f t="shared" si="387"/>
        <v>8.2106248455436751E-2</v>
      </c>
      <c r="CY77" s="32">
        <f t="shared" si="388"/>
        <v>0.25865969939549105</v>
      </c>
      <c r="CZ77" s="32">
        <f t="shared" si="389"/>
        <v>0.34923665466979936</v>
      </c>
      <c r="DA77" s="32">
        <f t="shared" si="390"/>
        <v>0.44543831090329822</v>
      </c>
      <c r="DB77" s="32">
        <f t="shared" si="391"/>
        <v>0.60263663780565946</v>
      </c>
      <c r="DC77" s="32">
        <f t="shared" si="392"/>
        <v>0.75569304446568253</v>
      </c>
      <c r="DD77" s="32">
        <f t="shared" si="393"/>
        <v>0.79711054589512487</v>
      </c>
      <c r="DE77" s="32">
        <f t="shared" si="394"/>
        <v>0.82800594181482912</v>
      </c>
      <c r="DF77" s="32">
        <f t="shared" si="395"/>
        <v>0.88543028221190434</v>
      </c>
      <c r="DG77" s="32">
        <f t="shared" si="396"/>
        <v>0.93720221974849094</v>
      </c>
      <c r="DH77" s="32">
        <f t="shared" si="397"/>
        <v>0.97638060565590201</v>
      </c>
      <c r="DI77" s="32">
        <f t="shared" si="398"/>
        <v>1</v>
      </c>
      <c r="DK77" s="32">
        <f t="shared" si="294"/>
        <v>0.1307269956668278</v>
      </c>
      <c r="DL77" s="32">
        <f t="shared" si="295"/>
        <v>0.37179905320404438</v>
      </c>
      <c r="DM77" s="32">
        <f t="shared" si="296"/>
        <v>0.43156954742057824</v>
      </c>
      <c r="DN77" s="32">
        <f t="shared" si="297"/>
        <v>0.51998106039408976</v>
      </c>
      <c r="DO77" s="32">
        <f t="shared" si="298"/>
        <v>0.59503846580765163</v>
      </c>
      <c r="DP77" s="32">
        <f t="shared" si="299"/>
        <v>0.73018751184219144</v>
      </c>
      <c r="DQ77" s="32">
        <f t="shared" si="300"/>
        <v>0.7987146770227056</v>
      </c>
      <c r="DR77" s="32">
        <f t="shared" si="301"/>
        <v>0.86396151404663302</v>
      </c>
      <c r="DS77" s="32">
        <f t="shared" si="302"/>
        <v>0.8869989954793277</v>
      </c>
      <c r="DT77" s="32">
        <f t="shared" si="303"/>
        <v>0.96696668859872326</v>
      </c>
      <c r="DU77" s="32">
        <f t="shared" si="304"/>
        <v>0.98231193020049457</v>
      </c>
      <c r="DV77" s="32">
        <f t="shared" si="305"/>
        <v>1</v>
      </c>
      <c r="DW77" s="39"/>
      <c r="DX77" s="32">
        <f t="shared" si="306"/>
        <v>8.142006724939721E-2</v>
      </c>
      <c r="DY77" s="32">
        <f t="shared" si="307"/>
        <v>0.31073159747087981</v>
      </c>
      <c r="DZ77" s="32">
        <f t="shared" si="308"/>
        <v>0.39028665645962424</v>
      </c>
      <c r="EA77" s="32">
        <f t="shared" si="309"/>
        <v>0.44320489379231981</v>
      </c>
      <c r="EB77" s="32">
        <f t="shared" si="310"/>
        <v>0.57601413774052268</v>
      </c>
      <c r="EC77" s="32">
        <f t="shared" si="311"/>
        <v>0.68596014995903765</v>
      </c>
      <c r="ED77" s="32">
        <f t="shared" si="312"/>
        <v>0.74206889188174252</v>
      </c>
      <c r="EE77" s="32">
        <f t="shared" si="313"/>
        <v>0.82125407585963506</v>
      </c>
      <c r="EF77" s="32">
        <f t="shared" si="314"/>
        <v>0.87010601642284968</v>
      </c>
      <c r="EG77" s="32">
        <f t="shared" si="315"/>
        <v>0.91770946251373309</v>
      </c>
      <c r="EH77" s="32">
        <f t="shared" si="316"/>
        <v>0.96661961182415901</v>
      </c>
      <c r="EI77" s="32">
        <f t="shared" si="317"/>
        <v>1</v>
      </c>
      <c r="EK77" s="32">
        <f t="shared" si="399"/>
        <v>9.8084437123887258E-2</v>
      </c>
      <c r="EL77" s="32">
        <f t="shared" si="318"/>
        <v>0.31373011669013845</v>
      </c>
      <c r="EM77" s="32">
        <f t="shared" si="319"/>
        <v>0.39036428618333402</v>
      </c>
      <c r="EN77" s="32">
        <f t="shared" si="320"/>
        <v>0.46954142169656926</v>
      </c>
      <c r="EO77" s="32">
        <f t="shared" si="321"/>
        <v>0.59122974711794463</v>
      </c>
      <c r="EP77" s="32">
        <f t="shared" si="322"/>
        <v>0.7239469020889705</v>
      </c>
      <c r="EQ77" s="32">
        <f t="shared" si="323"/>
        <v>0.77929803826652433</v>
      </c>
      <c r="ER77" s="32">
        <f t="shared" si="324"/>
        <v>0.83774051057369903</v>
      </c>
      <c r="ES77" s="32">
        <f t="shared" si="325"/>
        <v>0.88084509803802724</v>
      </c>
      <c r="ET77" s="32">
        <f t="shared" si="326"/>
        <v>0.94062612362031572</v>
      </c>
      <c r="EU77" s="32">
        <f t="shared" si="327"/>
        <v>0.9751040492268519</v>
      </c>
      <c r="EV77" s="32">
        <f t="shared" si="328"/>
        <v>1</v>
      </c>
      <c r="EX77" s="32">
        <f t="shared" si="329"/>
        <v>0.10565323326537912</v>
      </c>
      <c r="EY77" s="32">
        <f t="shared" si="330"/>
        <v>0.32228921896843093</v>
      </c>
      <c r="EZ77" s="32">
        <f t="shared" si="331"/>
        <v>0.41293767581542901</v>
      </c>
      <c r="FA77" s="32">
        <f t="shared" si="332"/>
        <v>0.48269759927778588</v>
      </c>
      <c r="FB77" s="32">
        <f t="shared" si="333"/>
        <v>0.58538889604479161</v>
      </c>
      <c r="FC77" s="32">
        <f t="shared" si="334"/>
        <v>0.70271610877775981</v>
      </c>
      <c r="FD77" s="32">
        <f t="shared" si="335"/>
        <v>0.76548231334964656</v>
      </c>
      <c r="FE77" s="32">
        <f t="shared" si="336"/>
        <v>0.84054155801264496</v>
      </c>
      <c r="FF77" s="32">
        <f t="shared" si="337"/>
        <v>0.87938771340067423</v>
      </c>
      <c r="FG77" s="32">
        <f t="shared" si="338"/>
        <v>0.92882413955610099</v>
      </c>
      <c r="FH77" s="32">
        <f t="shared" si="339"/>
        <v>0.96196696064957887</v>
      </c>
      <c r="FI77" s="32">
        <f t="shared" si="340"/>
        <v>1</v>
      </c>
      <c r="FK77" s="32">
        <f t="shared" si="400"/>
        <v>0.11373095527070642</v>
      </c>
      <c r="FL77" s="32">
        <f t="shared" si="341"/>
        <v>0.32614175946761464</v>
      </c>
      <c r="FM77" s="32">
        <f t="shared" si="342"/>
        <v>0.42048801560069732</v>
      </c>
      <c r="FN77" s="32">
        <f t="shared" si="343"/>
        <v>0.49586183443960791</v>
      </c>
      <c r="FO77" s="32">
        <f t="shared" si="344"/>
        <v>0.58851381547954784</v>
      </c>
      <c r="FP77" s="32">
        <f t="shared" si="345"/>
        <v>0.70830142838400045</v>
      </c>
      <c r="FQ77" s="32">
        <f t="shared" si="346"/>
        <v>0.77328678717228128</v>
      </c>
      <c r="FR77" s="32">
        <f t="shared" si="347"/>
        <v>0.84697071873031504</v>
      </c>
      <c r="FS77" s="32">
        <f t="shared" si="348"/>
        <v>0.88248161239328249</v>
      </c>
      <c r="FT77" s="32">
        <f t="shared" si="349"/>
        <v>0.93252903190355718</v>
      </c>
      <c r="FU77" s="32">
        <f t="shared" si="350"/>
        <v>0.96041607692471886</v>
      </c>
      <c r="FV77" s="32">
        <f t="shared" si="351"/>
        <v>1</v>
      </c>
      <c r="FX77" s="32">
        <f t="shared" si="401"/>
        <v>0.10178568776567591</v>
      </c>
      <c r="FY77" s="32">
        <f t="shared" si="352"/>
        <v>0.25388593451887331</v>
      </c>
      <c r="FZ77" s="32">
        <f t="shared" si="353"/>
        <v>0.34948578020662158</v>
      </c>
      <c r="GA77" s="32">
        <f t="shared" si="354"/>
        <v>0.41001551447822027</v>
      </c>
      <c r="GB77" s="32">
        <f t="shared" si="355"/>
        <v>0.49215150625624654</v>
      </c>
      <c r="GC77" s="32">
        <f t="shared" si="356"/>
        <v>0.58351507572451788</v>
      </c>
      <c r="GD77" s="32">
        <f t="shared" si="357"/>
        <v>0.64712677886321124</v>
      </c>
      <c r="GE77" s="32">
        <f t="shared" si="358"/>
        <v>0.74882363262885576</v>
      </c>
      <c r="GF77" s="32">
        <f t="shared" si="359"/>
        <v>0.81249451936083261</v>
      </c>
      <c r="GG77" s="32">
        <f t="shared" si="360"/>
        <v>0.85777266828215415</v>
      </c>
      <c r="GH77" s="32">
        <f t="shared" si="361"/>
        <v>0.91733561469865454</v>
      </c>
      <c r="GI77" s="32">
        <f t="shared" si="362"/>
        <v>1</v>
      </c>
    </row>
    <row r="78" spans="1:191">
      <c r="A78" s="724" t="s">
        <v>92</v>
      </c>
      <c r="B78" s="399">
        <v>51955.71</v>
      </c>
      <c r="C78" s="400">
        <v>42632.62</v>
      </c>
      <c r="D78" s="400">
        <v>33847.79</v>
      </c>
      <c r="E78" s="400">
        <v>31954.44</v>
      </c>
      <c r="F78" s="400">
        <v>18269.22</v>
      </c>
      <c r="G78" s="400">
        <v>32585.59</v>
      </c>
      <c r="H78" s="400">
        <v>42464.1</v>
      </c>
      <c r="I78" s="400">
        <v>151817.37</v>
      </c>
      <c r="J78" s="400">
        <v>59350.26</v>
      </c>
      <c r="K78" s="400">
        <v>52330.19</v>
      </c>
      <c r="L78" s="400">
        <v>48829.98</v>
      </c>
      <c r="M78" s="400">
        <v>48972.429999999993</v>
      </c>
      <c r="N78" s="400">
        <f t="shared" si="291"/>
        <v>615009.69999999995</v>
      </c>
      <c r="P78" s="396" t="s">
        <v>92</v>
      </c>
      <c r="Q78" s="399">
        <v>133286.20000000001</v>
      </c>
      <c r="R78" s="400">
        <v>133014.57999999999</v>
      </c>
      <c r="S78" s="400">
        <v>98394.38</v>
      </c>
      <c r="T78" s="400">
        <v>40591.22</v>
      </c>
      <c r="U78" s="400">
        <v>37608.050000000003</v>
      </c>
      <c r="V78" s="400">
        <v>60663.600000000006</v>
      </c>
      <c r="W78" s="400">
        <v>70851.199999999997</v>
      </c>
      <c r="X78" s="400">
        <v>76218.86</v>
      </c>
      <c r="Y78" s="400">
        <v>28092.67</v>
      </c>
      <c r="Z78" s="400">
        <v>11284.81</v>
      </c>
      <c r="AA78" s="400">
        <v>19986.049999999996</v>
      </c>
      <c r="AB78" s="400">
        <v>17074.080000000002</v>
      </c>
      <c r="AC78" s="400">
        <f t="shared" si="292"/>
        <v>727065.70000000007</v>
      </c>
      <c r="AE78" s="127" t="s">
        <v>92</v>
      </c>
      <c r="AF78" s="27">
        <v>110267.96</v>
      </c>
      <c r="AG78" s="27">
        <v>140810.76</v>
      </c>
      <c r="AH78" s="27">
        <v>56786.73</v>
      </c>
      <c r="AI78" s="27">
        <v>70168.63</v>
      </c>
      <c r="AJ78" s="27">
        <v>96813.3</v>
      </c>
      <c r="AK78" s="27">
        <v>81842.98</v>
      </c>
      <c r="AL78" s="27">
        <v>31224.43</v>
      </c>
      <c r="AM78" s="27">
        <v>19456.150000000001</v>
      </c>
      <c r="AN78" s="27">
        <v>22727.89</v>
      </c>
      <c r="AO78" s="27">
        <v>30007.05</v>
      </c>
      <c r="AP78" s="27">
        <v>17811.669999999998</v>
      </c>
      <c r="AQ78" s="27">
        <v>32912.050000000003</v>
      </c>
      <c r="AR78" s="43">
        <f t="shared" si="402"/>
        <v>710829.60000000021</v>
      </c>
      <c r="AT78" s="60" t="s">
        <v>92</v>
      </c>
      <c r="AU78" s="27">
        <v>83954.55</v>
      </c>
      <c r="AV78" s="27">
        <v>95070.8</v>
      </c>
      <c r="AW78" s="27">
        <v>63509.81</v>
      </c>
      <c r="AX78" s="27">
        <v>55363.37</v>
      </c>
      <c r="AY78" s="27">
        <v>67107.009999999995</v>
      </c>
      <c r="AZ78" s="27">
        <v>88088.15</v>
      </c>
      <c r="BA78" s="27">
        <v>34578.660000000003</v>
      </c>
      <c r="BB78" s="27">
        <v>21034.080000000002</v>
      </c>
      <c r="BC78" s="27">
        <v>19381.650000000001</v>
      </c>
      <c r="BD78" s="27">
        <v>21653.65</v>
      </c>
      <c r="BE78" s="27">
        <v>14707.82</v>
      </c>
      <c r="BF78" s="27">
        <v>25732.73</v>
      </c>
      <c r="BG78" s="43">
        <f t="shared" si="403"/>
        <v>590182.28</v>
      </c>
      <c r="BI78" s="60" t="s">
        <v>92</v>
      </c>
      <c r="BJ78" s="27">
        <v>79831.540000000008</v>
      </c>
      <c r="BK78" s="27">
        <v>106357.46</v>
      </c>
      <c r="BL78" s="27">
        <v>47207.72</v>
      </c>
      <c r="BM78" s="27">
        <v>37224.980000000003</v>
      </c>
      <c r="BN78" s="27">
        <v>65792.61</v>
      </c>
      <c r="BO78" s="27">
        <v>54148.72</v>
      </c>
      <c r="BP78" s="27">
        <v>26373.78</v>
      </c>
      <c r="BQ78" s="27">
        <v>22877.43</v>
      </c>
      <c r="BR78" s="27">
        <v>11358.56</v>
      </c>
      <c r="BS78" s="27">
        <v>17948.990000000002</v>
      </c>
      <c r="BT78" s="27">
        <v>12590.97</v>
      </c>
      <c r="BU78" s="27">
        <v>11059.57</v>
      </c>
      <c r="BV78" s="43">
        <f t="shared" si="404"/>
        <v>492772.33</v>
      </c>
      <c r="BW78" s="405"/>
      <c r="BX78" s="32">
        <f t="shared" si="363"/>
        <v>8.4479496827448416E-2</v>
      </c>
      <c r="BY78" s="32">
        <f t="shared" si="364"/>
        <v>0.15379973681715917</v>
      </c>
      <c r="BZ78" s="32">
        <f t="shared" si="365"/>
        <v>0.2088359256772698</v>
      </c>
      <c r="CA78" s="32">
        <f t="shared" si="366"/>
        <v>0.26079354520749837</v>
      </c>
      <c r="CB78" s="32">
        <f t="shared" si="367"/>
        <v>0.29049912546094803</v>
      </c>
      <c r="CC78" s="32">
        <f t="shared" si="368"/>
        <v>0.34348298896749108</v>
      </c>
      <c r="CD78" s="32">
        <f t="shared" si="369"/>
        <v>0.41252921701885353</v>
      </c>
      <c r="CE78" s="32">
        <f t="shared" si="370"/>
        <v>0.65938283575039547</v>
      </c>
      <c r="CF78" s="32">
        <f t="shared" si="371"/>
        <v>0.75588580147597673</v>
      </c>
      <c r="CG78" s="32">
        <f t="shared" si="372"/>
        <v>0.84097419926872696</v>
      </c>
      <c r="CH78" s="32">
        <f t="shared" si="373"/>
        <v>0.92037128845284888</v>
      </c>
      <c r="CI78" s="32">
        <f t="shared" si="374"/>
        <v>1</v>
      </c>
      <c r="CJ78" s="405"/>
      <c r="CK78" s="32">
        <f t="shared" si="375"/>
        <v>0.183320709531477</v>
      </c>
      <c r="CL78" s="32">
        <f t="shared" si="376"/>
        <v>0.36626783521764267</v>
      </c>
      <c r="CM78" s="32">
        <f t="shared" si="377"/>
        <v>0.50159863132038829</v>
      </c>
      <c r="CN78" s="32">
        <f t="shared" si="378"/>
        <v>0.5574274511918248</v>
      </c>
      <c r="CO78" s="32">
        <f t="shared" si="379"/>
        <v>0.60915324433541551</v>
      </c>
      <c r="CP78" s="32">
        <f t="shared" si="380"/>
        <v>0.69258944549302759</v>
      </c>
      <c r="CQ78" s="32">
        <f t="shared" si="381"/>
        <v>0.79003758532413226</v>
      </c>
      <c r="CR78" s="32">
        <f t="shared" si="382"/>
        <v>0.89486835921430474</v>
      </c>
      <c r="CS78" s="32">
        <f t="shared" si="383"/>
        <v>0.9335067793735834</v>
      </c>
      <c r="CT78" s="32">
        <f t="shared" si="384"/>
        <v>0.94902781137935677</v>
      </c>
      <c r="CU78" s="32">
        <f t="shared" si="385"/>
        <v>0.9765164551154043</v>
      </c>
      <c r="CV78" s="32">
        <f t="shared" si="386"/>
        <v>1</v>
      </c>
      <c r="CX78" s="32">
        <f t="shared" si="387"/>
        <v>0.15512572914802644</v>
      </c>
      <c r="CY78" s="32">
        <f t="shared" si="388"/>
        <v>0.35321928068274022</v>
      </c>
      <c r="CZ78" s="32">
        <f t="shared" si="389"/>
        <v>0.43310724539326995</v>
      </c>
      <c r="DA78" s="32">
        <f t="shared" si="390"/>
        <v>0.5318209596223904</v>
      </c>
      <c r="DB78" s="32">
        <f t="shared" si="391"/>
        <v>0.66801857998034953</v>
      </c>
      <c r="DC78" s="32">
        <f t="shared" si="392"/>
        <v>0.78315585057234505</v>
      </c>
      <c r="DD78" s="32">
        <f t="shared" si="393"/>
        <v>0.82708259475970025</v>
      </c>
      <c r="DE78" s="32">
        <f t="shared" si="394"/>
        <v>0.85445364121021394</v>
      </c>
      <c r="DF78" s="32">
        <f t="shared" si="395"/>
        <v>0.88642739413215188</v>
      </c>
      <c r="DG78" s="32">
        <f t="shared" si="396"/>
        <v>0.92864151971161568</v>
      </c>
      <c r="DH78" s="32">
        <f t="shared" si="397"/>
        <v>0.95369910031883864</v>
      </c>
      <c r="DI78" s="32">
        <f t="shared" si="398"/>
        <v>1</v>
      </c>
      <c r="DK78" s="32">
        <f t="shared" si="294"/>
        <v>0.14225189885402861</v>
      </c>
      <c r="DL78" s="32">
        <f t="shared" si="295"/>
        <v>0.30333908025839068</v>
      </c>
      <c r="DM78" s="32">
        <f t="shared" si="296"/>
        <v>0.41094957984844954</v>
      </c>
      <c r="DN78" s="32">
        <f t="shared" si="297"/>
        <v>0.50475681852054255</v>
      </c>
      <c r="DO78" s="32">
        <f t="shared" si="298"/>
        <v>0.61846238419764143</v>
      </c>
      <c r="DP78" s="32">
        <f t="shared" si="299"/>
        <v>0.76771822088592701</v>
      </c>
      <c r="DQ78" s="32">
        <f t="shared" si="300"/>
        <v>0.82630801792286968</v>
      </c>
      <c r="DR78" s="32">
        <f t="shared" si="301"/>
        <v>0.86194799003453659</v>
      </c>
      <c r="DS78" s="32">
        <f t="shared" si="302"/>
        <v>0.89478809834819173</v>
      </c>
      <c r="DT78" s="32">
        <f t="shared" si="303"/>
        <v>0.93147786477086381</v>
      </c>
      <c r="DU78" s="32">
        <f t="shared" si="304"/>
        <v>0.9563986739825534</v>
      </c>
      <c r="DV78" s="32">
        <f t="shared" si="305"/>
        <v>1</v>
      </c>
      <c r="DW78" s="39"/>
      <c r="DX78" s="32">
        <f t="shared" si="306"/>
        <v>0.16200491614454085</v>
      </c>
      <c r="DY78" s="32">
        <f t="shared" si="307"/>
        <v>0.37783980281522705</v>
      </c>
      <c r="DZ78" s="32">
        <f t="shared" si="308"/>
        <v>0.47364006822379817</v>
      </c>
      <c r="EA78" s="32">
        <f t="shared" si="309"/>
        <v>0.54918201271568967</v>
      </c>
      <c r="EB78" s="32">
        <f t="shared" si="310"/>
        <v>0.68269724073184057</v>
      </c>
      <c r="EC78" s="32">
        <f t="shared" si="311"/>
        <v>0.79258311845553509</v>
      </c>
      <c r="ED78" s="32">
        <f t="shared" si="312"/>
        <v>0.84610434599686235</v>
      </c>
      <c r="EE78" s="32">
        <f t="shared" si="313"/>
        <v>0.89253030907802811</v>
      </c>
      <c r="EF78" s="32">
        <f t="shared" si="314"/>
        <v>0.91558062929385675</v>
      </c>
      <c r="EG78" s="32">
        <f t="shared" si="315"/>
        <v>0.95200513795082609</v>
      </c>
      <c r="EH78" s="32">
        <f t="shared" si="316"/>
        <v>0.9775564305731208</v>
      </c>
      <c r="EI78" s="32">
        <f t="shared" si="317"/>
        <v>1</v>
      </c>
      <c r="EK78" s="32">
        <f t="shared" si="399"/>
        <v>0.15312751471553196</v>
      </c>
      <c r="EL78" s="32">
        <f t="shared" si="318"/>
        <v>0.344799387918786</v>
      </c>
      <c r="EM78" s="32">
        <f t="shared" si="319"/>
        <v>0.43923229782183926</v>
      </c>
      <c r="EN78" s="32">
        <f t="shared" si="320"/>
        <v>0.52858659695287424</v>
      </c>
      <c r="EO78" s="32">
        <f t="shared" si="321"/>
        <v>0.65639273496994377</v>
      </c>
      <c r="EP78" s="32">
        <f t="shared" si="322"/>
        <v>0.78115239663793579</v>
      </c>
      <c r="EQ78" s="32">
        <f t="shared" si="323"/>
        <v>0.83316498622647739</v>
      </c>
      <c r="ER78" s="32">
        <f t="shared" si="324"/>
        <v>0.86964398010759292</v>
      </c>
      <c r="ES78" s="32">
        <f t="shared" si="325"/>
        <v>0.89893204059140019</v>
      </c>
      <c r="ET78" s="32">
        <f t="shared" si="326"/>
        <v>0.93737484081110178</v>
      </c>
      <c r="EU78" s="32">
        <f t="shared" si="327"/>
        <v>0.96255140162483765</v>
      </c>
      <c r="EV78" s="32">
        <f t="shared" si="328"/>
        <v>1</v>
      </c>
      <c r="EX78" s="32">
        <f t="shared" si="329"/>
        <v>0.16067581341951825</v>
      </c>
      <c r="EY78" s="32">
        <f t="shared" si="330"/>
        <v>0.35016649974350017</v>
      </c>
      <c r="EZ78" s="32">
        <f t="shared" si="331"/>
        <v>0.45482388119647654</v>
      </c>
      <c r="FA78" s="32">
        <f t="shared" si="332"/>
        <v>0.53579681051261185</v>
      </c>
      <c r="FB78" s="32">
        <f t="shared" si="333"/>
        <v>0.64458286231131179</v>
      </c>
      <c r="FC78" s="32">
        <f t="shared" si="334"/>
        <v>0.75901165885170874</v>
      </c>
      <c r="FD78" s="32">
        <f t="shared" si="335"/>
        <v>0.82238313600089108</v>
      </c>
      <c r="FE78" s="32">
        <f t="shared" si="336"/>
        <v>0.8759500748842709</v>
      </c>
      <c r="FF78" s="32">
        <f t="shared" si="337"/>
        <v>0.90757572528694597</v>
      </c>
      <c r="FG78" s="32">
        <f t="shared" si="338"/>
        <v>0.94028808345316561</v>
      </c>
      <c r="FH78" s="32">
        <f t="shared" si="339"/>
        <v>0.96604266499747926</v>
      </c>
      <c r="FI78" s="32">
        <f t="shared" si="340"/>
        <v>1</v>
      </c>
      <c r="FK78" s="32">
        <f t="shared" si="400"/>
        <v>0.16023277917784401</v>
      </c>
      <c r="FL78" s="32">
        <f t="shared" si="341"/>
        <v>0.34094206538625788</v>
      </c>
      <c r="FM78" s="32">
        <f t="shared" si="342"/>
        <v>0.448551818854036</v>
      </c>
      <c r="FN78" s="32">
        <f t="shared" si="343"/>
        <v>0.53133507644491929</v>
      </c>
      <c r="FO78" s="32">
        <f t="shared" si="344"/>
        <v>0.63187806950446879</v>
      </c>
      <c r="FP78" s="32">
        <f t="shared" si="345"/>
        <v>0.74782117231709988</v>
      </c>
      <c r="FQ78" s="32">
        <f t="shared" si="346"/>
        <v>0.81447606600223399</v>
      </c>
      <c r="FR78" s="32">
        <f t="shared" si="347"/>
        <v>0.87042333015301843</v>
      </c>
      <c r="FS78" s="32">
        <f t="shared" si="348"/>
        <v>0.90490742395130896</v>
      </c>
      <c r="FT78" s="32">
        <f t="shared" si="349"/>
        <v>0.93638239862061212</v>
      </c>
      <c r="FU78" s="32">
        <f t="shared" si="350"/>
        <v>0.96220474313893212</v>
      </c>
      <c r="FV78" s="32">
        <f t="shared" si="351"/>
        <v>1</v>
      </c>
      <c r="FX78" s="32">
        <f t="shared" si="401"/>
        <v>0.14097531183565062</v>
      </c>
      <c r="FY78" s="32">
        <f t="shared" si="352"/>
        <v>0.29109561757251401</v>
      </c>
      <c r="FZ78" s="32">
        <f t="shared" si="353"/>
        <v>0.38118060079697602</v>
      </c>
      <c r="GA78" s="32">
        <f t="shared" si="354"/>
        <v>0.45001398534057113</v>
      </c>
      <c r="GB78" s="32">
        <f t="shared" si="355"/>
        <v>0.52255698325890432</v>
      </c>
      <c r="GC78" s="32">
        <f t="shared" si="356"/>
        <v>0.6064094283442879</v>
      </c>
      <c r="GD78" s="32">
        <f t="shared" si="357"/>
        <v>0.67654979903422874</v>
      </c>
      <c r="GE78" s="32">
        <f t="shared" si="358"/>
        <v>0.80290161205830479</v>
      </c>
      <c r="GF78" s="32">
        <f t="shared" si="359"/>
        <v>0.85860665832723726</v>
      </c>
      <c r="GG78" s="32">
        <f t="shared" si="360"/>
        <v>0.90621451011989984</v>
      </c>
      <c r="GH78" s="32">
        <f t="shared" si="361"/>
        <v>0.95019561462903068</v>
      </c>
      <c r="GI78" s="32">
        <f t="shared" si="362"/>
        <v>1</v>
      </c>
    </row>
    <row r="79" spans="1:191">
      <c r="A79" s="724" t="s">
        <v>93</v>
      </c>
      <c r="B79" s="399">
        <v>9145</v>
      </c>
      <c r="C79" s="400">
        <v>16317.47</v>
      </c>
      <c r="D79" s="400">
        <v>6508.69</v>
      </c>
      <c r="E79" s="400">
        <v>7493.52</v>
      </c>
      <c r="F79" s="400">
        <v>3450.37</v>
      </c>
      <c r="G79" s="400">
        <v>4546.5200000000004</v>
      </c>
      <c r="H79" s="400">
        <v>7997.13</v>
      </c>
      <c r="I79" s="400">
        <v>21002.1</v>
      </c>
      <c r="J79" s="400">
        <v>11292.64</v>
      </c>
      <c r="K79" s="400">
        <v>11174.92</v>
      </c>
      <c r="L79" s="400">
        <v>10298.68</v>
      </c>
      <c r="M79" s="400">
        <v>13078.56</v>
      </c>
      <c r="N79" s="400">
        <f t="shared" si="291"/>
        <v>122305.60000000001</v>
      </c>
      <c r="P79" s="396" t="s">
        <v>93</v>
      </c>
      <c r="Q79" s="399">
        <v>27727.71</v>
      </c>
      <c r="R79" s="400">
        <v>35710.720000000001</v>
      </c>
      <c r="S79" s="400">
        <v>13660.19</v>
      </c>
      <c r="T79" s="400">
        <v>6837.82</v>
      </c>
      <c r="U79" s="400">
        <v>5904.52</v>
      </c>
      <c r="V79" s="400">
        <v>7104.4800000000005</v>
      </c>
      <c r="W79" s="400">
        <v>9452.0400000000009</v>
      </c>
      <c r="X79" s="400">
        <v>17988.310000000001</v>
      </c>
      <c r="Y79" s="400">
        <v>7207.83</v>
      </c>
      <c r="Z79" s="400">
        <v>1542.79</v>
      </c>
      <c r="AA79" s="400">
        <v>3714.1299999999992</v>
      </c>
      <c r="AB79" s="400">
        <v>4942.67</v>
      </c>
      <c r="AC79" s="400">
        <f t="shared" si="292"/>
        <v>141793.21000000002</v>
      </c>
      <c r="AE79" s="127" t="s">
        <v>93</v>
      </c>
      <c r="AF79" s="27">
        <v>29481.54</v>
      </c>
      <c r="AG79" s="27">
        <v>36829.03</v>
      </c>
      <c r="AH79" s="27">
        <v>15856.48</v>
      </c>
      <c r="AI79" s="27">
        <v>17529.689999999999</v>
      </c>
      <c r="AJ79" s="27">
        <v>21000.54</v>
      </c>
      <c r="AK79" s="27">
        <v>21012.639999999999</v>
      </c>
      <c r="AL79" s="27">
        <v>5252.04</v>
      </c>
      <c r="AM79" s="27">
        <v>6269.78</v>
      </c>
      <c r="AN79" s="27">
        <v>4156.91</v>
      </c>
      <c r="AO79" s="27">
        <v>5668.46</v>
      </c>
      <c r="AP79" s="27">
        <v>3582.35</v>
      </c>
      <c r="AQ79" s="27">
        <v>2810.04</v>
      </c>
      <c r="AR79" s="43">
        <f t="shared" si="402"/>
        <v>169449.5</v>
      </c>
      <c r="AT79" s="60" t="s">
        <v>93</v>
      </c>
      <c r="AU79" s="27">
        <v>14812.37</v>
      </c>
      <c r="AV79" s="27">
        <v>30836.87</v>
      </c>
      <c r="AW79" s="27">
        <v>20218.46</v>
      </c>
      <c r="AX79" s="27">
        <v>12213.27</v>
      </c>
      <c r="AY79" s="27">
        <v>13719.760000000002</v>
      </c>
      <c r="AZ79" s="27">
        <v>15166.9</v>
      </c>
      <c r="BA79" s="27">
        <v>2820.1500000000005</v>
      </c>
      <c r="BB79" s="27">
        <v>4590.51</v>
      </c>
      <c r="BC79" s="27">
        <v>5100.58</v>
      </c>
      <c r="BD79" s="27">
        <v>3190.82</v>
      </c>
      <c r="BE79" s="27">
        <v>4602.3599999999997</v>
      </c>
      <c r="BF79" s="27">
        <v>1405.61</v>
      </c>
      <c r="BG79" s="43">
        <f t="shared" si="403"/>
        <v>128677.66</v>
      </c>
      <c r="BI79" s="60" t="s">
        <v>93</v>
      </c>
      <c r="BJ79" s="27">
        <v>20714.349999999999</v>
      </c>
      <c r="BK79" s="27">
        <v>38213.75</v>
      </c>
      <c r="BL79" s="27">
        <v>15240.64</v>
      </c>
      <c r="BM79" s="27">
        <v>11284.650000000001</v>
      </c>
      <c r="BN79" s="27">
        <v>13137.09</v>
      </c>
      <c r="BO79" s="27">
        <v>14304.77</v>
      </c>
      <c r="BP79" s="27">
        <v>4128.6000000000004</v>
      </c>
      <c r="BQ79" s="27">
        <v>2029.8100000000002</v>
      </c>
      <c r="BR79" s="27">
        <v>2199.11</v>
      </c>
      <c r="BS79" s="27">
        <v>2460.92</v>
      </c>
      <c r="BT79" s="27">
        <v>1588.26</v>
      </c>
      <c r="BU79" s="27">
        <v>2696.54</v>
      </c>
      <c r="BV79" s="43">
        <f t="shared" si="404"/>
        <v>127998.48999999998</v>
      </c>
      <c r="BW79" s="405"/>
      <c r="BX79" s="32">
        <f t="shared" si="363"/>
        <v>7.4771719365262099E-2</v>
      </c>
      <c r="BY79" s="32">
        <f t="shared" si="364"/>
        <v>0.20818727842388246</v>
      </c>
      <c r="BZ79" s="32">
        <f t="shared" si="365"/>
        <v>0.26140389319867607</v>
      </c>
      <c r="CA79" s="32">
        <f t="shared" si="366"/>
        <v>0.32267271490430527</v>
      </c>
      <c r="CB79" s="32">
        <f t="shared" si="367"/>
        <v>0.35088376983555947</v>
      </c>
      <c r="CC79" s="32">
        <f t="shared" si="368"/>
        <v>0.38805721079002109</v>
      </c>
      <c r="CD79" s="32">
        <f t="shared" si="369"/>
        <v>0.45344366897345667</v>
      </c>
      <c r="CE79" s="32">
        <f t="shared" si="370"/>
        <v>0.62516188956188434</v>
      </c>
      <c r="CF79" s="32">
        <f t="shared" si="371"/>
        <v>0.71749323007286669</v>
      </c>
      <c r="CG79" s="32">
        <f t="shared" si="372"/>
        <v>0.80886206355228207</v>
      </c>
      <c r="CH79" s="32">
        <f t="shared" si="373"/>
        <v>0.89306654805667118</v>
      </c>
      <c r="CI79" s="32">
        <f t="shared" si="374"/>
        <v>1</v>
      </c>
      <c r="CJ79" s="405"/>
      <c r="CK79" s="32">
        <f t="shared" si="375"/>
        <v>0.19555033700132746</v>
      </c>
      <c r="CL79" s="32">
        <f t="shared" si="376"/>
        <v>0.44740104268744596</v>
      </c>
      <c r="CM79" s="32">
        <f t="shared" si="377"/>
        <v>0.54373985891143861</v>
      </c>
      <c r="CN79" s="32">
        <f t="shared" si="378"/>
        <v>0.5919637477704327</v>
      </c>
      <c r="CO79" s="32">
        <f t="shared" si="379"/>
        <v>0.6336055160892401</v>
      </c>
      <c r="CP79" s="32">
        <f t="shared" si="380"/>
        <v>0.68371003096692706</v>
      </c>
      <c r="CQ79" s="32">
        <f t="shared" si="381"/>
        <v>0.75037076881184928</v>
      </c>
      <c r="CR79" s="32">
        <f t="shared" si="382"/>
        <v>0.87723375470517939</v>
      </c>
      <c r="CS79" s="32">
        <f t="shared" si="383"/>
        <v>0.9280671479261946</v>
      </c>
      <c r="CT79" s="32">
        <f t="shared" si="384"/>
        <v>0.93894771124795029</v>
      </c>
      <c r="CU79" s="32">
        <f t="shared" si="385"/>
        <v>0.96514170177824443</v>
      </c>
      <c r="CV79" s="32">
        <f t="shared" si="386"/>
        <v>1</v>
      </c>
      <c r="CX79" s="32">
        <f t="shared" si="387"/>
        <v>0.17398422538868513</v>
      </c>
      <c r="CY79" s="32">
        <f t="shared" si="388"/>
        <v>0.39132939312302489</v>
      </c>
      <c r="CZ79" s="32">
        <f t="shared" si="389"/>
        <v>0.48490582739990384</v>
      </c>
      <c r="DA79" s="32">
        <f t="shared" si="390"/>
        <v>0.58835664903112728</v>
      </c>
      <c r="DB79" s="32">
        <f t="shared" si="391"/>
        <v>0.71229056444545424</v>
      </c>
      <c r="DC79" s="32">
        <f t="shared" si="392"/>
        <v>0.83629588756532169</v>
      </c>
      <c r="DD79" s="32">
        <f t="shared" si="393"/>
        <v>0.86729060870642871</v>
      </c>
      <c r="DE79" s="32">
        <f t="shared" si="394"/>
        <v>0.90429148507372392</v>
      </c>
      <c r="DF79" s="32">
        <f t="shared" si="395"/>
        <v>0.92882333674634621</v>
      </c>
      <c r="DG79" s="32">
        <f t="shared" si="396"/>
        <v>0.96227554522143754</v>
      </c>
      <c r="DH79" s="32">
        <f t="shared" si="397"/>
        <v>0.98341665215890273</v>
      </c>
      <c r="DI79" s="32">
        <f t="shared" si="398"/>
        <v>1</v>
      </c>
      <c r="DK79" s="32">
        <f t="shared" si="294"/>
        <v>0.11511221139706769</v>
      </c>
      <c r="DL79" s="32">
        <f t="shared" si="295"/>
        <v>0.35475652883336545</v>
      </c>
      <c r="DM79" s="32">
        <f t="shared" si="296"/>
        <v>0.51188139417518153</v>
      </c>
      <c r="DN79" s="32">
        <f t="shared" si="297"/>
        <v>0.60679507227594909</v>
      </c>
      <c r="DO79" s="32">
        <f t="shared" si="298"/>
        <v>0.71341622158811413</v>
      </c>
      <c r="DP79" s="32">
        <f t="shared" si="299"/>
        <v>0.83128361208930912</v>
      </c>
      <c r="DQ79" s="32">
        <f t="shared" si="300"/>
        <v>0.853200003792422</v>
      </c>
      <c r="DR79" s="32">
        <f t="shared" si="301"/>
        <v>0.88887449460924295</v>
      </c>
      <c r="DS79" s="32">
        <f t="shared" si="302"/>
        <v>0.9285129213571337</v>
      </c>
      <c r="DT79" s="32">
        <f t="shared" si="303"/>
        <v>0.95330992186211649</v>
      </c>
      <c r="DU79" s="32">
        <f t="shared" si="304"/>
        <v>0.98907650325627616</v>
      </c>
      <c r="DV79" s="32">
        <f t="shared" si="305"/>
        <v>1</v>
      </c>
      <c r="DW79" s="39"/>
      <c r="DX79" s="32">
        <f t="shared" si="306"/>
        <v>0.16183276849594086</v>
      </c>
      <c r="DY79" s="32">
        <f t="shared" si="307"/>
        <v>0.46038121230961404</v>
      </c>
      <c r="DZ79" s="32">
        <f t="shared" si="308"/>
        <v>0.57945011695059845</v>
      </c>
      <c r="EA79" s="32">
        <f t="shared" si="309"/>
        <v>0.66761248511603533</v>
      </c>
      <c r="EB79" s="32">
        <f t="shared" si="310"/>
        <v>0.77024721151007325</v>
      </c>
      <c r="EC79" s="32">
        <f t="shared" si="311"/>
        <v>0.88200454552237306</v>
      </c>
      <c r="ED79" s="32">
        <f t="shared" si="312"/>
        <v>0.91425961353137852</v>
      </c>
      <c r="EE79" s="32">
        <f t="shared" si="313"/>
        <v>0.93011769123213883</v>
      </c>
      <c r="EF79" s="32">
        <f t="shared" si="314"/>
        <v>0.94729844078629377</v>
      </c>
      <c r="EG79" s="32">
        <f t="shared" si="315"/>
        <v>0.96652460509495086</v>
      </c>
      <c r="EH79" s="32">
        <f t="shared" si="316"/>
        <v>0.97893303272562049</v>
      </c>
      <c r="EI79" s="32">
        <f t="shared" si="317"/>
        <v>1</v>
      </c>
      <c r="EK79" s="32">
        <f t="shared" si="399"/>
        <v>0.15030973509389789</v>
      </c>
      <c r="EL79" s="32">
        <f t="shared" si="318"/>
        <v>0.40215571142200152</v>
      </c>
      <c r="EM79" s="32">
        <f t="shared" si="319"/>
        <v>0.52541244617522798</v>
      </c>
      <c r="EN79" s="32">
        <f t="shared" si="320"/>
        <v>0.6209214021410373</v>
      </c>
      <c r="EO79" s="32">
        <f t="shared" si="321"/>
        <v>0.73198466584788058</v>
      </c>
      <c r="EP79" s="32">
        <f t="shared" si="322"/>
        <v>0.84986134839233463</v>
      </c>
      <c r="EQ79" s="32">
        <f t="shared" si="323"/>
        <v>0.87825007534340971</v>
      </c>
      <c r="ER79" s="32">
        <f t="shared" si="324"/>
        <v>0.90776122363836853</v>
      </c>
      <c r="ES79" s="32">
        <f t="shared" si="325"/>
        <v>0.93487823296325789</v>
      </c>
      <c r="ET79" s="32">
        <f t="shared" si="326"/>
        <v>0.96070335739283497</v>
      </c>
      <c r="EU79" s="32">
        <f t="shared" si="327"/>
        <v>0.98380872938026653</v>
      </c>
      <c r="EV79" s="32">
        <f t="shared" si="328"/>
        <v>1</v>
      </c>
      <c r="EX79" s="32">
        <f t="shared" si="329"/>
        <v>0.1616198855707553</v>
      </c>
      <c r="EY79" s="32">
        <f t="shared" si="330"/>
        <v>0.41346704423836256</v>
      </c>
      <c r="EZ79" s="32">
        <f t="shared" si="331"/>
        <v>0.52999429935928055</v>
      </c>
      <c r="FA79" s="32">
        <f t="shared" si="332"/>
        <v>0.61368198854838618</v>
      </c>
      <c r="FB79" s="32">
        <f t="shared" si="333"/>
        <v>0.70738987840822043</v>
      </c>
      <c r="FC79" s="32">
        <f t="shared" si="334"/>
        <v>0.80832351903598276</v>
      </c>
      <c r="FD79" s="32">
        <f t="shared" si="335"/>
        <v>0.84628024871051966</v>
      </c>
      <c r="FE79" s="32">
        <f t="shared" si="336"/>
        <v>0.90012935640507119</v>
      </c>
      <c r="FF79" s="32">
        <f t="shared" si="337"/>
        <v>0.93317546170399202</v>
      </c>
      <c r="FG79" s="32">
        <f t="shared" si="338"/>
        <v>0.95526444585661374</v>
      </c>
      <c r="FH79" s="32">
        <f t="shared" si="339"/>
        <v>0.97914197247976098</v>
      </c>
      <c r="FI79" s="32">
        <f t="shared" si="340"/>
        <v>1</v>
      </c>
      <c r="FK79" s="32">
        <f t="shared" si="400"/>
        <v>0.16154892459569342</v>
      </c>
      <c r="FL79" s="32">
        <f t="shared" si="341"/>
        <v>0.39782898821461216</v>
      </c>
      <c r="FM79" s="32">
        <f t="shared" si="342"/>
        <v>0.51350902682884136</v>
      </c>
      <c r="FN79" s="32">
        <f t="shared" si="343"/>
        <v>0.59570515635916965</v>
      </c>
      <c r="FO79" s="32">
        <f t="shared" si="344"/>
        <v>0.68643743404093616</v>
      </c>
      <c r="FP79" s="32">
        <f t="shared" si="345"/>
        <v>0.78376317687385255</v>
      </c>
      <c r="FQ79" s="32">
        <f t="shared" si="346"/>
        <v>0.82362046043689985</v>
      </c>
      <c r="FR79" s="32">
        <f t="shared" si="347"/>
        <v>0.89013324479604883</v>
      </c>
      <c r="FS79" s="32">
        <f t="shared" si="348"/>
        <v>0.92846780200989143</v>
      </c>
      <c r="FT79" s="32">
        <f t="shared" si="349"/>
        <v>0.95151105944383474</v>
      </c>
      <c r="FU79" s="32">
        <f t="shared" si="350"/>
        <v>0.97921161906447451</v>
      </c>
      <c r="FV79" s="32">
        <f t="shared" si="351"/>
        <v>1</v>
      </c>
      <c r="FX79" s="32">
        <f t="shared" si="401"/>
        <v>0.14810209391842491</v>
      </c>
      <c r="FY79" s="32">
        <f t="shared" si="352"/>
        <v>0.3489725714114511</v>
      </c>
      <c r="FZ79" s="32">
        <f t="shared" si="353"/>
        <v>0.43001652650333949</v>
      </c>
      <c r="GA79" s="32">
        <f t="shared" si="354"/>
        <v>0.50099770390195519</v>
      </c>
      <c r="GB79" s="32">
        <f t="shared" si="355"/>
        <v>0.56559328345675119</v>
      </c>
      <c r="GC79" s="32">
        <f t="shared" si="356"/>
        <v>0.63602104310742325</v>
      </c>
      <c r="GD79" s="32">
        <f t="shared" si="357"/>
        <v>0.69036834883057818</v>
      </c>
      <c r="GE79" s="32">
        <f t="shared" si="358"/>
        <v>0.80222904311359589</v>
      </c>
      <c r="GF79" s="32">
        <f t="shared" si="359"/>
        <v>0.8581279049151358</v>
      </c>
      <c r="GG79" s="32">
        <f t="shared" si="360"/>
        <v>0.90336177334055667</v>
      </c>
      <c r="GH79" s="32">
        <f t="shared" si="361"/>
        <v>0.94720830066460604</v>
      </c>
      <c r="GI79" s="32">
        <f t="shared" si="362"/>
        <v>1</v>
      </c>
    </row>
    <row r="80" spans="1:191">
      <c r="A80" s="724" t="s">
        <v>94</v>
      </c>
      <c r="B80" s="399">
        <v>8423.06</v>
      </c>
      <c r="C80" s="400">
        <v>3796.45</v>
      </c>
      <c r="D80" s="400">
        <v>2047.38</v>
      </c>
      <c r="E80" s="400">
        <v>2640.13</v>
      </c>
      <c r="F80" s="400">
        <v>3458.67</v>
      </c>
      <c r="G80" s="400">
        <v>1542.06</v>
      </c>
      <c r="H80" s="400">
        <v>4147.88</v>
      </c>
      <c r="I80" s="400">
        <v>9814.85</v>
      </c>
      <c r="J80" s="400">
        <v>6279.68</v>
      </c>
      <c r="K80" s="400">
        <v>5805.59</v>
      </c>
      <c r="L80" s="400">
        <v>3843.92</v>
      </c>
      <c r="M80" s="400">
        <v>3820.23</v>
      </c>
      <c r="N80" s="400">
        <f t="shared" si="291"/>
        <v>55619.9</v>
      </c>
      <c r="P80" s="396" t="s">
        <v>94</v>
      </c>
      <c r="Q80" s="399">
        <v>10556.81</v>
      </c>
      <c r="R80" s="400">
        <v>10011.15</v>
      </c>
      <c r="S80" s="400">
        <v>4503.82</v>
      </c>
      <c r="T80" s="400">
        <v>1142.81</v>
      </c>
      <c r="U80" s="400">
        <v>1280.9000000000001</v>
      </c>
      <c r="V80" s="400">
        <v>2473.4299999999998</v>
      </c>
      <c r="W80" s="400">
        <v>7001.36</v>
      </c>
      <c r="X80" s="400">
        <v>7094.21</v>
      </c>
      <c r="Y80" s="400">
        <v>1967.09</v>
      </c>
      <c r="Z80" s="400">
        <v>1781.85</v>
      </c>
      <c r="AA80" s="400">
        <v>2200.88</v>
      </c>
      <c r="AB80" s="400">
        <v>2574.64</v>
      </c>
      <c r="AC80" s="400">
        <f t="shared" si="292"/>
        <v>52588.94999999999</v>
      </c>
      <c r="AE80" s="127" t="s">
        <v>94</v>
      </c>
      <c r="AF80" s="27">
        <v>5988.45</v>
      </c>
      <c r="AG80" s="27">
        <v>9768.6200000000008</v>
      </c>
      <c r="AH80" s="27">
        <v>3207.13</v>
      </c>
      <c r="AI80" s="27">
        <v>7472.7</v>
      </c>
      <c r="AJ80" s="27">
        <v>5852.63</v>
      </c>
      <c r="AK80" s="27">
        <v>7456.63</v>
      </c>
      <c r="AL80" s="27">
        <v>3211.69</v>
      </c>
      <c r="AM80" s="27">
        <v>2828.41</v>
      </c>
      <c r="AN80" s="27">
        <v>1577.24</v>
      </c>
      <c r="AO80" s="27">
        <v>2642.72</v>
      </c>
      <c r="AP80" s="27">
        <v>1277.54</v>
      </c>
      <c r="AQ80" s="27">
        <v>433.02</v>
      </c>
      <c r="AR80" s="43">
        <f t="shared" si="402"/>
        <v>51716.780000000006</v>
      </c>
      <c r="AT80" s="60" t="s">
        <v>94</v>
      </c>
      <c r="AU80" s="27">
        <v>5462.34</v>
      </c>
      <c r="AV80" s="27">
        <v>9345.59</v>
      </c>
      <c r="AW80" s="27">
        <v>7550.04</v>
      </c>
      <c r="AX80" s="27">
        <v>4501.58</v>
      </c>
      <c r="AY80" s="27">
        <v>4117.55</v>
      </c>
      <c r="AZ80" s="27">
        <v>6798.42</v>
      </c>
      <c r="BA80" s="27">
        <v>2256.6999999999998</v>
      </c>
      <c r="BB80" s="27">
        <v>3126.15</v>
      </c>
      <c r="BC80" s="27">
        <v>2452.2600000000002</v>
      </c>
      <c r="BD80" s="27">
        <v>1218.81</v>
      </c>
      <c r="BE80" s="27">
        <v>707.46</v>
      </c>
      <c r="BF80" s="27">
        <v>835.02</v>
      </c>
      <c r="BG80" s="43">
        <f t="shared" si="403"/>
        <v>48371.92</v>
      </c>
      <c r="BI80" s="60" t="s">
        <v>94</v>
      </c>
      <c r="BJ80" s="27">
        <v>8702.2000000000007</v>
      </c>
      <c r="BK80" s="27">
        <v>7794.6799999999994</v>
      </c>
      <c r="BL80" s="27">
        <v>3246.24</v>
      </c>
      <c r="BM80" s="27">
        <v>4392.99</v>
      </c>
      <c r="BN80" s="27">
        <v>4257.7300000000005</v>
      </c>
      <c r="BO80" s="27">
        <v>5078.93</v>
      </c>
      <c r="BP80" s="27">
        <v>2678.2200000000003</v>
      </c>
      <c r="BQ80" s="27">
        <v>2548.2200000000003</v>
      </c>
      <c r="BR80" s="27">
        <v>1611.85</v>
      </c>
      <c r="BS80" s="27">
        <v>901.05000000000007</v>
      </c>
      <c r="BT80" s="27">
        <v>479.97</v>
      </c>
      <c r="BU80" s="27">
        <v>977.39</v>
      </c>
      <c r="BV80" s="43">
        <f t="shared" si="404"/>
        <v>42669.470000000008</v>
      </c>
      <c r="BW80" s="405"/>
      <c r="BX80" s="32">
        <f t="shared" si="363"/>
        <v>0.15143968255965939</v>
      </c>
      <c r="BY80" s="32">
        <f t="shared" si="364"/>
        <v>0.21969672725049844</v>
      </c>
      <c r="BZ80" s="32">
        <f t="shared" si="365"/>
        <v>0.25650693366942406</v>
      </c>
      <c r="CA80" s="32">
        <f t="shared" si="366"/>
        <v>0.30397429696925021</v>
      </c>
      <c r="CB80" s="32">
        <f t="shared" si="367"/>
        <v>0.3661583354159213</v>
      </c>
      <c r="CC80" s="32">
        <f t="shared" si="368"/>
        <v>0.39388330435689389</v>
      </c>
      <c r="CD80" s="32">
        <f t="shared" si="369"/>
        <v>0.46845877105136835</v>
      </c>
      <c r="CE80" s="32">
        <f t="shared" si="370"/>
        <v>0.6449216916966769</v>
      </c>
      <c r="CF80" s="32">
        <f t="shared" si="371"/>
        <v>0.75782516689170609</v>
      </c>
      <c r="CG80" s="32">
        <f t="shared" si="372"/>
        <v>0.86220489429143166</v>
      </c>
      <c r="CH80" s="32">
        <f t="shared" si="373"/>
        <v>0.93131541049156863</v>
      </c>
      <c r="CI80" s="32">
        <f t="shared" si="374"/>
        <v>1</v>
      </c>
      <c r="CJ80" s="405"/>
      <c r="CK80" s="32">
        <f t="shared" si="375"/>
        <v>0.20074198096748463</v>
      </c>
      <c r="CL80" s="32">
        <f t="shared" si="376"/>
        <v>0.39110801793912986</v>
      </c>
      <c r="CM80" s="32">
        <f t="shared" si="377"/>
        <v>0.47674996363304467</v>
      </c>
      <c r="CN80" s="32">
        <f t="shared" si="378"/>
        <v>0.49848095464921821</v>
      </c>
      <c r="CO80" s="32">
        <f t="shared" si="379"/>
        <v>0.52283778246190515</v>
      </c>
      <c r="CP80" s="32">
        <f t="shared" si="380"/>
        <v>0.56987104705456204</v>
      </c>
      <c r="CQ80" s="32">
        <f t="shared" si="381"/>
        <v>0.70300471867188841</v>
      </c>
      <c r="CR80" s="32">
        <f t="shared" si="382"/>
        <v>0.83790397032076147</v>
      </c>
      <c r="CS80" s="32">
        <f t="shared" si="383"/>
        <v>0.87530897650552075</v>
      </c>
      <c r="CT80" s="32">
        <f t="shared" si="384"/>
        <v>0.90919156971188819</v>
      </c>
      <c r="CU80" s="32">
        <f t="shared" si="385"/>
        <v>0.95104218661905215</v>
      </c>
      <c r="CV80" s="32">
        <f t="shared" si="386"/>
        <v>1</v>
      </c>
      <c r="CX80" s="32">
        <f t="shared" si="387"/>
        <v>0.1157931719646892</v>
      </c>
      <c r="CY80" s="32">
        <f t="shared" si="388"/>
        <v>0.30468002841630892</v>
      </c>
      <c r="CZ80" s="32">
        <f t="shared" si="389"/>
        <v>0.3666933633532482</v>
      </c>
      <c r="DA80" s="32">
        <f t="shared" si="390"/>
        <v>0.51118611792922908</v>
      </c>
      <c r="DB80" s="32">
        <f t="shared" si="391"/>
        <v>0.6243530629710512</v>
      </c>
      <c r="DC80" s="32">
        <f t="shared" si="392"/>
        <v>0.76853508667786352</v>
      </c>
      <c r="DD80" s="32">
        <f t="shared" si="393"/>
        <v>0.83063659415764091</v>
      </c>
      <c r="DE80" s="32">
        <f t="shared" si="394"/>
        <v>0.88532696737886629</v>
      </c>
      <c r="DF80" s="32">
        <f t="shared" si="395"/>
        <v>0.91582461243720126</v>
      </c>
      <c r="DG80" s="32">
        <f t="shared" si="396"/>
        <v>0.96692446822868716</v>
      </c>
      <c r="DH80" s="32">
        <f t="shared" si="397"/>
        <v>0.99162708892549001</v>
      </c>
      <c r="DI80" s="32">
        <f t="shared" si="398"/>
        <v>1</v>
      </c>
      <c r="DK80" s="32">
        <f t="shared" si="294"/>
        <v>0.11292377891967076</v>
      </c>
      <c r="DL80" s="32">
        <f t="shared" si="295"/>
        <v>0.3061265709527346</v>
      </c>
      <c r="DM80" s="32">
        <f t="shared" si="296"/>
        <v>0.46220968694234177</v>
      </c>
      <c r="DN80" s="32">
        <f t="shared" si="297"/>
        <v>0.55527152943277847</v>
      </c>
      <c r="DO80" s="32">
        <f t="shared" si="298"/>
        <v>0.64039426179485959</v>
      </c>
      <c r="DP80" s="32">
        <f t="shared" si="299"/>
        <v>0.78093902412804794</v>
      </c>
      <c r="DQ80" s="32">
        <f t="shared" si="300"/>
        <v>0.82759212369490409</v>
      </c>
      <c r="DR80" s="32">
        <f t="shared" si="301"/>
        <v>0.89221949428511427</v>
      </c>
      <c r="DS80" s="32">
        <f t="shared" si="302"/>
        <v>0.94291543523597998</v>
      </c>
      <c r="DT80" s="32">
        <f t="shared" si="303"/>
        <v>0.96811207824704915</v>
      </c>
      <c r="DU80" s="32">
        <f t="shared" si="304"/>
        <v>0.98273750556107764</v>
      </c>
      <c r="DV80" s="32">
        <f t="shared" si="305"/>
        <v>1</v>
      </c>
      <c r="DW80" s="39"/>
      <c r="DX80" s="32">
        <f t="shared" si="306"/>
        <v>0.20394441271475833</v>
      </c>
      <c r="DY80" s="32">
        <f t="shared" si="307"/>
        <v>0.38662022284317094</v>
      </c>
      <c r="DZ80" s="32">
        <f t="shared" si="308"/>
        <v>0.46269897423145867</v>
      </c>
      <c r="EA80" s="32">
        <f t="shared" si="309"/>
        <v>0.56565291296095299</v>
      </c>
      <c r="EB80" s="32">
        <f t="shared" si="310"/>
        <v>0.66543690371593545</v>
      </c>
      <c r="EC80" s="32">
        <f t="shared" si="311"/>
        <v>0.78446650497416526</v>
      </c>
      <c r="ED80" s="32">
        <f t="shared" si="312"/>
        <v>0.84723316225863599</v>
      </c>
      <c r="EE80" s="32">
        <f t="shared" si="313"/>
        <v>0.90695314471916333</v>
      </c>
      <c r="EF80" s="32">
        <f t="shared" si="314"/>
        <v>0.9447283971420315</v>
      </c>
      <c r="EG80" s="32">
        <f t="shared" si="315"/>
        <v>0.96584536906598562</v>
      </c>
      <c r="EH80" s="32">
        <f t="shared" si="316"/>
        <v>0.97709392687558572</v>
      </c>
      <c r="EI80" s="32">
        <f t="shared" si="317"/>
        <v>1</v>
      </c>
      <c r="EK80" s="32">
        <f t="shared" si="399"/>
        <v>0.14422045453303942</v>
      </c>
      <c r="EL80" s="32">
        <f t="shared" si="318"/>
        <v>0.3324756074040715</v>
      </c>
      <c r="EM80" s="32">
        <f t="shared" si="319"/>
        <v>0.43053400817568283</v>
      </c>
      <c r="EN80" s="32">
        <f t="shared" si="320"/>
        <v>0.54403685344098685</v>
      </c>
      <c r="EO80" s="32">
        <f t="shared" si="321"/>
        <v>0.64339474282728215</v>
      </c>
      <c r="EP80" s="32">
        <f t="shared" si="322"/>
        <v>0.77798020526002565</v>
      </c>
      <c r="EQ80" s="32">
        <f t="shared" si="323"/>
        <v>0.83515396003706022</v>
      </c>
      <c r="ER80" s="32">
        <f t="shared" si="324"/>
        <v>0.89483320212771467</v>
      </c>
      <c r="ES80" s="32">
        <f t="shared" si="325"/>
        <v>0.93448948160507095</v>
      </c>
      <c r="ET80" s="32">
        <f t="shared" si="326"/>
        <v>0.96696063851390734</v>
      </c>
      <c r="EU80" s="32">
        <f t="shared" si="327"/>
        <v>0.98381950712071775</v>
      </c>
      <c r="EV80" s="32">
        <f t="shared" si="328"/>
        <v>1</v>
      </c>
      <c r="EX80" s="32">
        <f t="shared" si="329"/>
        <v>0.15835083614165074</v>
      </c>
      <c r="EY80" s="32">
        <f t="shared" si="330"/>
        <v>0.34713371003783611</v>
      </c>
      <c r="EZ80" s="32">
        <f t="shared" si="331"/>
        <v>0.44208799704002333</v>
      </c>
      <c r="FA80" s="32">
        <f t="shared" si="332"/>
        <v>0.53264787874304464</v>
      </c>
      <c r="FB80" s="32">
        <f t="shared" si="333"/>
        <v>0.61325550273593787</v>
      </c>
      <c r="FC80" s="32">
        <f t="shared" si="334"/>
        <v>0.72595291570865972</v>
      </c>
      <c r="FD80" s="32">
        <f t="shared" si="335"/>
        <v>0.80211664969576746</v>
      </c>
      <c r="FE80" s="32">
        <f t="shared" si="336"/>
        <v>0.88060089417597631</v>
      </c>
      <c r="FF80" s="32">
        <f t="shared" si="337"/>
        <v>0.9196943553301834</v>
      </c>
      <c r="FG80" s="32">
        <f t="shared" si="338"/>
        <v>0.95251837131340256</v>
      </c>
      <c r="FH80" s="32">
        <f t="shared" si="339"/>
        <v>0.97562517699530127</v>
      </c>
      <c r="FI80" s="32">
        <f t="shared" si="340"/>
        <v>1</v>
      </c>
      <c r="FK80" s="32">
        <f t="shared" si="400"/>
        <v>0.14315297728394819</v>
      </c>
      <c r="FL80" s="32">
        <f t="shared" si="341"/>
        <v>0.33397153910272442</v>
      </c>
      <c r="FM80" s="32">
        <f t="shared" si="342"/>
        <v>0.43521767130954486</v>
      </c>
      <c r="FN80" s="32">
        <f t="shared" si="343"/>
        <v>0.52164620067040857</v>
      </c>
      <c r="FO80" s="32">
        <f t="shared" si="344"/>
        <v>0.59586170240927194</v>
      </c>
      <c r="FP80" s="32">
        <f t="shared" si="345"/>
        <v>0.70644838595349124</v>
      </c>
      <c r="FQ80" s="32">
        <f t="shared" si="346"/>
        <v>0.7870778121748111</v>
      </c>
      <c r="FR80" s="32">
        <f t="shared" si="347"/>
        <v>0.87181681066158057</v>
      </c>
      <c r="FS80" s="32">
        <f t="shared" si="348"/>
        <v>0.91134967472623396</v>
      </c>
      <c r="FT80" s="32">
        <f t="shared" si="349"/>
        <v>0.9480760387292082</v>
      </c>
      <c r="FU80" s="32">
        <f t="shared" si="350"/>
        <v>0.9751355937018733</v>
      </c>
      <c r="FV80" s="32">
        <f t="shared" si="351"/>
        <v>1</v>
      </c>
      <c r="FX80" s="32">
        <f t="shared" si="401"/>
        <v>0.15599161183061108</v>
      </c>
      <c r="FY80" s="32">
        <f t="shared" si="352"/>
        <v>0.30516159120197911</v>
      </c>
      <c r="FZ80" s="32">
        <f t="shared" si="353"/>
        <v>0.36665008688523898</v>
      </c>
      <c r="GA80" s="32">
        <f t="shared" si="354"/>
        <v>0.43788045651589919</v>
      </c>
      <c r="GB80" s="32">
        <f t="shared" si="355"/>
        <v>0.50444972694962587</v>
      </c>
      <c r="GC80" s="32">
        <f t="shared" si="356"/>
        <v>0.57742981269643978</v>
      </c>
      <c r="GD80" s="32">
        <f t="shared" si="357"/>
        <v>0.66736669462696574</v>
      </c>
      <c r="GE80" s="32">
        <f t="shared" si="358"/>
        <v>0.78938420979876822</v>
      </c>
      <c r="GF80" s="32">
        <f t="shared" si="359"/>
        <v>0.84965291861147607</v>
      </c>
      <c r="GG80" s="32">
        <f t="shared" si="360"/>
        <v>0.91277364407733563</v>
      </c>
      <c r="GH80" s="32">
        <f t="shared" si="361"/>
        <v>0.95799489534537019</v>
      </c>
      <c r="GI80" s="32">
        <f t="shared" si="362"/>
        <v>1</v>
      </c>
    </row>
    <row r="81" spans="1:191">
      <c r="A81" s="724" t="s">
        <v>95</v>
      </c>
      <c r="B81" s="399">
        <v>73082.64</v>
      </c>
      <c r="C81" s="400">
        <v>76554.75</v>
      </c>
      <c r="D81" s="400">
        <v>33033.14</v>
      </c>
      <c r="E81" s="400">
        <v>27392.1</v>
      </c>
      <c r="F81" s="400">
        <v>29044.080000000002</v>
      </c>
      <c r="G81" s="400">
        <v>36570.480000000003</v>
      </c>
      <c r="H81" s="400">
        <v>40760.85</v>
      </c>
      <c r="I81" s="400">
        <v>162117.07</v>
      </c>
      <c r="J81" s="400">
        <v>54987.92</v>
      </c>
      <c r="K81" s="400">
        <v>44084.97</v>
      </c>
      <c r="L81" s="400">
        <v>52748.87</v>
      </c>
      <c r="M81" s="400">
        <v>65053.33</v>
      </c>
      <c r="N81" s="400">
        <f t="shared" si="291"/>
        <v>695430.2</v>
      </c>
      <c r="P81" s="396" t="s">
        <v>95</v>
      </c>
      <c r="Q81" s="399">
        <v>157263.64000000001</v>
      </c>
      <c r="R81" s="400">
        <v>179472.72</v>
      </c>
      <c r="S81" s="400">
        <v>94844.22</v>
      </c>
      <c r="T81" s="400">
        <v>29171.06</v>
      </c>
      <c r="U81" s="400">
        <v>19920.62</v>
      </c>
      <c r="V81" s="400">
        <v>42933.279999999999</v>
      </c>
      <c r="W81" s="400">
        <v>51402.93</v>
      </c>
      <c r="X81" s="400">
        <v>71468.41</v>
      </c>
      <c r="Y81" s="400">
        <v>18506.310000000001</v>
      </c>
      <c r="Z81" s="400">
        <v>10175.49</v>
      </c>
      <c r="AA81" s="400">
        <v>16720.440000000002</v>
      </c>
      <c r="AB81" s="400">
        <v>19538.75</v>
      </c>
      <c r="AC81" s="400">
        <f t="shared" si="292"/>
        <v>711417.87000000011</v>
      </c>
      <c r="AE81" s="127" t="s">
        <v>95</v>
      </c>
      <c r="AF81" s="27">
        <v>144814.26</v>
      </c>
      <c r="AG81" s="27">
        <v>182828.88</v>
      </c>
      <c r="AH81" s="27">
        <v>56500.32</v>
      </c>
      <c r="AI81" s="27">
        <v>69768.55</v>
      </c>
      <c r="AJ81" s="27">
        <v>82391.61</v>
      </c>
      <c r="AK81" s="27">
        <v>85648.2</v>
      </c>
      <c r="AL81" s="27">
        <v>99984.22</v>
      </c>
      <c r="AM81" s="27">
        <v>56414.74</v>
      </c>
      <c r="AN81" s="27">
        <v>34458.11</v>
      </c>
      <c r="AO81" s="27">
        <v>35010.11</v>
      </c>
      <c r="AP81" s="27">
        <v>23281.53</v>
      </c>
      <c r="AQ81" s="27">
        <v>21108.720000000001</v>
      </c>
      <c r="AR81" s="43">
        <f t="shared" si="402"/>
        <v>892209.24999999988</v>
      </c>
      <c r="AT81" s="60" t="s">
        <v>95</v>
      </c>
      <c r="AU81" s="27">
        <v>129250.09</v>
      </c>
      <c r="AV81" s="27">
        <v>154788.04</v>
      </c>
      <c r="AW81" s="27">
        <v>87708.800000000003</v>
      </c>
      <c r="AX81" s="27">
        <v>66696.899999999994</v>
      </c>
      <c r="AY81" s="27">
        <v>80007.94</v>
      </c>
      <c r="AZ81" s="27">
        <v>76457.929999999993</v>
      </c>
      <c r="BA81" s="27">
        <v>22016.14</v>
      </c>
      <c r="BB81" s="27">
        <v>34284.82</v>
      </c>
      <c r="BC81" s="27">
        <v>26261.61</v>
      </c>
      <c r="BD81" s="27">
        <v>21462.080000000002</v>
      </c>
      <c r="BE81" s="27">
        <v>22792.38</v>
      </c>
      <c r="BF81" s="27">
        <v>14181.73</v>
      </c>
      <c r="BG81" s="43">
        <f t="shared" si="403"/>
        <v>735908.45999999985</v>
      </c>
      <c r="BI81" s="60" t="s">
        <v>95</v>
      </c>
      <c r="BJ81" s="27">
        <v>135948.36000000002</v>
      </c>
      <c r="BK81" s="27">
        <v>155312.91</v>
      </c>
      <c r="BL81" s="27">
        <v>62656.729999999996</v>
      </c>
      <c r="BM81" s="27">
        <v>46739.92</v>
      </c>
      <c r="BN81" s="27">
        <v>70393.88</v>
      </c>
      <c r="BO81" s="27">
        <v>104140.7</v>
      </c>
      <c r="BP81" s="27">
        <v>25894.33</v>
      </c>
      <c r="BQ81" s="27">
        <v>37514.92</v>
      </c>
      <c r="BR81" s="27">
        <v>30510.16</v>
      </c>
      <c r="BS81" s="27">
        <v>33117.22</v>
      </c>
      <c r="BT81" s="27">
        <v>21500.010000000002</v>
      </c>
      <c r="BU81" s="27">
        <v>16711.36</v>
      </c>
      <c r="BV81" s="43">
        <f t="shared" si="404"/>
        <v>740440.5</v>
      </c>
      <c r="BW81" s="405"/>
      <c r="BX81" s="32">
        <f t="shared" si="363"/>
        <v>0.10508982785044424</v>
      </c>
      <c r="BY81" s="32">
        <f t="shared" si="364"/>
        <v>0.21517240695040282</v>
      </c>
      <c r="BZ81" s="32">
        <f t="shared" si="365"/>
        <v>0.26267270245094337</v>
      </c>
      <c r="CA81" s="32">
        <f t="shared" si="366"/>
        <v>0.30206141464664615</v>
      </c>
      <c r="CB81" s="32">
        <f t="shared" si="367"/>
        <v>0.34382560607807949</v>
      </c>
      <c r="CC81" s="32">
        <f t="shared" si="368"/>
        <v>0.39641245088292115</v>
      </c>
      <c r="CD81" s="32">
        <f t="shared" si="369"/>
        <v>0.45502487524988128</v>
      </c>
      <c r="CE81" s="32">
        <f t="shared" si="370"/>
        <v>0.68814254831038402</v>
      </c>
      <c r="CF81" s="32">
        <f t="shared" si="371"/>
        <v>0.76721291367559252</v>
      </c>
      <c r="CG81" s="32">
        <f t="shared" si="372"/>
        <v>0.83060528576412129</v>
      </c>
      <c r="CH81" s="32">
        <f t="shared" si="373"/>
        <v>0.90645598940051786</v>
      </c>
      <c r="CI81" s="32">
        <f t="shared" si="374"/>
        <v>1</v>
      </c>
      <c r="CJ81" s="405"/>
      <c r="CK81" s="32">
        <f t="shared" si="375"/>
        <v>0.2210566344081292</v>
      </c>
      <c r="CL81" s="32">
        <f t="shared" si="376"/>
        <v>0.47333132073277823</v>
      </c>
      <c r="CM81" s="32">
        <f t="shared" si="377"/>
        <v>0.60664849478689631</v>
      </c>
      <c r="CN81" s="32">
        <f t="shared" si="378"/>
        <v>0.64765260956967508</v>
      </c>
      <c r="CO81" s="32">
        <f t="shared" si="379"/>
        <v>0.67565390225578659</v>
      </c>
      <c r="CP81" s="32">
        <f t="shared" si="380"/>
        <v>0.736002793969738</v>
      </c>
      <c r="CQ81" s="32">
        <f t="shared" si="381"/>
        <v>0.80825699528745309</v>
      </c>
      <c r="CR81" s="32">
        <f t="shared" si="382"/>
        <v>0.90871611082808468</v>
      </c>
      <c r="CS81" s="32">
        <f t="shared" si="383"/>
        <v>0.93472938766635139</v>
      </c>
      <c r="CT81" s="32">
        <f t="shared" si="384"/>
        <v>0.94903250040654719</v>
      </c>
      <c r="CU81" s="32">
        <f t="shared" si="385"/>
        <v>0.97253548044836158</v>
      </c>
      <c r="CV81" s="32">
        <f t="shared" si="386"/>
        <v>1</v>
      </c>
      <c r="CX81" s="32">
        <f t="shared" si="387"/>
        <v>0.1623097496467337</v>
      </c>
      <c r="CY81" s="32">
        <f t="shared" si="388"/>
        <v>0.36722679124880186</v>
      </c>
      <c r="CZ81" s="32">
        <f t="shared" si="389"/>
        <v>0.43055310175275596</v>
      </c>
      <c r="DA81" s="32">
        <f t="shared" si="390"/>
        <v>0.50875062100062296</v>
      </c>
      <c r="DB81" s="32">
        <f t="shared" si="391"/>
        <v>0.6010962338711463</v>
      </c>
      <c r="DC81" s="32">
        <f t="shared" si="392"/>
        <v>0.6970918761490088</v>
      </c>
      <c r="DD81" s="32">
        <f t="shared" si="393"/>
        <v>0.8091555204118317</v>
      </c>
      <c r="DE81" s="32">
        <f t="shared" si="394"/>
        <v>0.87238591171297541</v>
      </c>
      <c r="DF81" s="32">
        <f t="shared" si="395"/>
        <v>0.91100701993394484</v>
      </c>
      <c r="DG81" s="32">
        <f t="shared" si="396"/>
        <v>0.95024681710036074</v>
      </c>
      <c r="DH81" s="32">
        <f t="shared" si="397"/>
        <v>0.97634106573093704</v>
      </c>
      <c r="DI81" s="32">
        <f t="shared" si="398"/>
        <v>1</v>
      </c>
      <c r="DK81" s="32">
        <f t="shared" si="294"/>
        <v>0.17563337972769061</v>
      </c>
      <c r="DL81" s="32">
        <f t="shared" si="295"/>
        <v>0.38596937722390101</v>
      </c>
      <c r="DM81" s="32">
        <f t="shared" si="296"/>
        <v>0.50515376599964634</v>
      </c>
      <c r="DN81" s="32">
        <f t="shared" si="297"/>
        <v>0.59578582640563749</v>
      </c>
      <c r="DO81" s="32">
        <f t="shared" si="298"/>
        <v>0.70450578866833524</v>
      </c>
      <c r="DP81" s="32">
        <f t="shared" si="299"/>
        <v>0.80840176779595674</v>
      </c>
      <c r="DQ81" s="32">
        <f t="shared" si="300"/>
        <v>0.83831872241283933</v>
      </c>
      <c r="DR81" s="32">
        <f t="shared" si="301"/>
        <v>0.8849071527184238</v>
      </c>
      <c r="DS81" s="32">
        <f t="shared" si="302"/>
        <v>0.92059312648749825</v>
      </c>
      <c r="DT81" s="32">
        <f t="shared" si="303"/>
        <v>0.94975718855032598</v>
      </c>
      <c r="DU81" s="32">
        <f t="shared" si="304"/>
        <v>0.98072894827163692</v>
      </c>
      <c r="DV81" s="32">
        <f t="shared" si="305"/>
        <v>1</v>
      </c>
      <c r="DW81" s="39"/>
      <c r="DX81" s="32">
        <f t="shared" si="306"/>
        <v>0.18360470557728814</v>
      </c>
      <c r="DY81" s="32">
        <f t="shared" si="307"/>
        <v>0.39336215401507618</v>
      </c>
      <c r="DZ81" s="32">
        <f t="shared" si="308"/>
        <v>0.4779830384750699</v>
      </c>
      <c r="EA81" s="32">
        <f t="shared" si="309"/>
        <v>0.5411075164040865</v>
      </c>
      <c r="EB81" s="32">
        <f t="shared" si="310"/>
        <v>0.63617778876223008</v>
      </c>
      <c r="EC81" s="32">
        <f t="shared" si="311"/>
        <v>0.7768247414883438</v>
      </c>
      <c r="ED81" s="32">
        <f t="shared" si="312"/>
        <v>0.81179626181982212</v>
      </c>
      <c r="EE81" s="32">
        <f t="shared" si="313"/>
        <v>0.86246193988578423</v>
      </c>
      <c r="EF81" s="32">
        <f t="shared" si="314"/>
        <v>0.90366735747166727</v>
      </c>
      <c r="EG81" s="32">
        <f t="shared" si="315"/>
        <v>0.94839373318990516</v>
      </c>
      <c r="EH81" s="32">
        <f t="shared" si="316"/>
        <v>0.9774305160239074</v>
      </c>
      <c r="EI81" s="32">
        <f t="shared" si="317"/>
        <v>1</v>
      </c>
      <c r="EK81" s="32">
        <f t="shared" si="399"/>
        <v>0.17384927831723748</v>
      </c>
      <c r="EL81" s="32">
        <f t="shared" si="318"/>
        <v>0.38218610749592635</v>
      </c>
      <c r="EM81" s="32">
        <f t="shared" si="319"/>
        <v>0.47122996874249073</v>
      </c>
      <c r="EN81" s="32">
        <f t="shared" si="320"/>
        <v>0.54854798793678228</v>
      </c>
      <c r="EO81" s="32">
        <f t="shared" si="321"/>
        <v>0.6472599371005705</v>
      </c>
      <c r="EP81" s="32">
        <f t="shared" si="322"/>
        <v>0.76077279514443641</v>
      </c>
      <c r="EQ81" s="32">
        <f t="shared" si="323"/>
        <v>0.81975683488149764</v>
      </c>
      <c r="ER81" s="32">
        <f t="shared" si="324"/>
        <v>0.87325166810572785</v>
      </c>
      <c r="ES81" s="32">
        <f t="shared" si="325"/>
        <v>0.91175583463103671</v>
      </c>
      <c r="ET81" s="32">
        <f t="shared" si="326"/>
        <v>0.94946591294686389</v>
      </c>
      <c r="EU81" s="32">
        <f t="shared" si="327"/>
        <v>0.97816684334216042</v>
      </c>
      <c r="EV81" s="32">
        <f t="shared" si="328"/>
        <v>1</v>
      </c>
      <c r="EX81" s="32">
        <f t="shared" si="329"/>
        <v>0.1856511173399604</v>
      </c>
      <c r="EY81" s="32">
        <f t="shared" si="330"/>
        <v>0.40497241080513935</v>
      </c>
      <c r="EZ81" s="32">
        <f t="shared" si="331"/>
        <v>0.50508460025359214</v>
      </c>
      <c r="FA81" s="32">
        <f t="shared" si="332"/>
        <v>0.57332414334500548</v>
      </c>
      <c r="FB81" s="32">
        <f t="shared" si="333"/>
        <v>0.65435842838937464</v>
      </c>
      <c r="FC81" s="32">
        <f t="shared" si="334"/>
        <v>0.75458029485076183</v>
      </c>
      <c r="FD81" s="32">
        <f t="shared" si="335"/>
        <v>0.81688187498298659</v>
      </c>
      <c r="FE81" s="32">
        <f t="shared" si="336"/>
        <v>0.88211777878631703</v>
      </c>
      <c r="FF81" s="32">
        <f t="shared" si="337"/>
        <v>0.91749922288986541</v>
      </c>
      <c r="FG81" s="32">
        <f t="shared" si="338"/>
        <v>0.94935755981178471</v>
      </c>
      <c r="FH81" s="32">
        <f t="shared" si="339"/>
        <v>0.97675900261871074</v>
      </c>
      <c r="FI81" s="32">
        <f t="shared" si="340"/>
        <v>1</v>
      </c>
      <c r="FK81" s="32">
        <f t="shared" si="400"/>
        <v>0.18633325459418448</v>
      </c>
      <c r="FL81" s="32">
        <f t="shared" si="341"/>
        <v>0.40884249640182707</v>
      </c>
      <c r="FM81" s="32">
        <f t="shared" si="342"/>
        <v>0.5141184541797662</v>
      </c>
      <c r="FN81" s="32">
        <f t="shared" si="343"/>
        <v>0.58406301899197854</v>
      </c>
      <c r="FO81" s="32">
        <f t="shared" si="344"/>
        <v>0.66041864159842267</v>
      </c>
      <c r="FP81" s="32">
        <f t="shared" si="345"/>
        <v>0.74716547930490107</v>
      </c>
      <c r="FQ81" s="32">
        <f t="shared" si="346"/>
        <v>0.81857707937070801</v>
      </c>
      <c r="FR81" s="32">
        <f t="shared" si="347"/>
        <v>0.88866972508649456</v>
      </c>
      <c r="FS81" s="32">
        <f t="shared" si="348"/>
        <v>0.92210984469593138</v>
      </c>
      <c r="FT81" s="32">
        <f t="shared" si="349"/>
        <v>0.94967883535241127</v>
      </c>
      <c r="FU81" s="32">
        <f t="shared" si="350"/>
        <v>0.97653516481697855</v>
      </c>
      <c r="FV81" s="32">
        <f t="shared" si="351"/>
        <v>1</v>
      </c>
      <c r="FX81" s="32">
        <f t="shared" si="401"/>
        <v>0.16281873730176905</v>
      </c>
      <c r="FY81" s="32">
        <f t="shared" si="352"/>
        <v>0.35191017297732768</v>
      </c>
      <c r="FZ81" s="32">
        <f t="shared" si="353"/>
        <v>0.43329143299686529</v>
      </c>
      <c r="GA81" s="32">
        <f t="shared" si="354"/>
        <v>0.48615488173898136</v>
      </c>
      <c r="GB81" s="32">
        <f t="shared" si="355"/>
        <v>0.54019191406833744</v>
      </c>
      <c r="GC81" s="32">
        <f t="shared" si="356"/>
        <v>0.609835707000556</v>
      </c>
      <c r="GD81" s="32">
        <f t="shared" si="357"/>
        <v>0.69081246364972204</v>
      </c>
      <c r="GE81" s="32">
        <f t="shared" si="358"/>
        <v>0.82308152361714804</v>
      </c>
      <c r="GF81" s="32">
        <f t="shared" si="359"/>
        <v>0.87098310709196303</v>
      </c>
      <c r="GG81" s="32">
        <f t="shared" si="360"/>
        <v>0.90996153442367633</v>
      </c>
      <c r="GH81" s="32">
        <f t="shared" si="361"/>
        <v>0.95177751185993875</v>
      </c>
      <c r="GI81" s="32">
        <f t="shared" si="362"/>
        <v>1</v>
      </c>
    </row>
    <row r="82" spans="1:191">
      <c r="A82" s="724" t="s">
        <v>96</v>
      </c>
      <c r="B82" s="399">
        <v>2083.8200000000002</v>
      </c>
      <c r="C82" s="400">
        <v>3069.5</v>
      </c>
      <c r="D82" s="400">
        <v>723.79</v>
      </c>
      <c r="E82" s="400">
        <v>1542.81</v>
      </c>
      <c r="F82" s="400">
        <v>128.57</v>
      </c>
      <c r="G82" s="400">
        <v>1581.93</v>
      </c>
      <c r="H82" s="400">
        <v>4648.5</v>
      </c>
      <c r="I82" s="400">
        <v>13534.52</v>
      </c>
      <c r="J82" s="400">
        <v>3515</v>
      </c>
      <c r="K82" s="400">
        <v>2317.1</v>
      </c>
      <c r="L82" s="400">
        <v>3336.13</v>
      </c>
      <c r="M82" s="400">
        <v>3378.9</v>
      </c>
      <c r="N82" s="400">
        <f t="shared" si="291"/>
        <v>39860.57</v>
      </c>
      <c r="P82" s="396" t="s">
        <v>96</v>
      </c>
      <c r="Q82" s="399">
        <v>6256.94</v>
      </c>
      <c r="R82" s="400">
        <v>11561.52</v>
      </c>
      <c r="S82" s="400">
        <v>6876.73</v>
      </c>
      <c r="T82" s="400">
        <v>2415.79</v>
      </c>
      <c r="U82" s="400">
        <v>3514.16</v>
      </c>
      <c r="V82" s="400">
        <v>2809.42</v>
      </c>
      <c r="W82" s="400">
        <v>2868.17</v>
      </c>
      <c r="X82" s="400">
        <v>9140.98</v>
      </c>
      <c r="Y82" s="400">
        <v>1920.61</v>
      </c>
      <c r="Z82" s="400">
        <v>749.19</v>
      </c>
      <c r="AA82" s="400">
        <v>749.19</v>
      </c>
      <c r="AB82" s="400">
        <v>1561.82</v>
      </c>
      <c r="AC82" s="400">
        <f t="shared" si="292"/>
        <v>50424.52</v>
      </c>
      <c r="AE82" s="127" t="s">
        <v>96</v>
      </c>
      <c r="AF82" s="27">
        <v>4201.12</v>
      </c>
      <c r="AG82" s="27">
        <v>11780</v>
      </c>
      <c r="AH82" s="27">
        <v>5813.47</v>
      </c>
      <c r="AI82" s="27">
        <v>5127.87</v>
      </c>
      <c r="AJ82" s="27">
        <v>8188.13</v>
      </c>
      <c r="AK82" s="27">
        <v>9167.02</v>
      </c>
      <c r="AL82" s="27">
        <v>1999.26</v>
      </c>
      <c r="AM82" s="27">
        <v>1686.03</v>
      </c>
      <c r="AN82" s="27">
        <v>2634.95</v>
      </c>
      <c r="AO82" s="27">
        <v>2266.42</v>
      </c>
      <c r="AP82" s="27">
        <v>1423.45</v>
      </c>
      <c r="AQ82" s="27">
        <v>1612.28</v>
      </c>
      <c r="AR82" s="43">
        <f t="shared" si="402"/>
        <v>55899.999999999993</v>
      </c>
      <c r="AT82" s="60" t="s">
        <v>96</v>
      </c>
      <c r="AU82" s="27">
        <v>2241.87</v>
      </c>
      <c r="AV82" s="27">
        <v>6676.68</v>
      </c>
      <c r="AW82" s="27">
        <v>10865.37</v>
      </c>
      <c r="AX82" s="27">
        <v>5898.31</v>
      </c>
      <c r="AY82" s="27">
        <v>5213.2700000000013</v>
      </c>
      <c r="AZ82" s="27">
        <v>5970.43</v>
      </c>
      <c r="BA82" s="27">
        <v>2491.0100000000002</v>
      </c>
      <c r="BB82" s="27">
        <v>4477.83</v>
      </c>
      <c r="BC82" s="27">
        <v>2677.76</v>
      </c>
      <c r="BD82" s="27">
        <v>1761.44</v>
      </c>
      <c r="BE82" s="27">
        <v>1856.37</v>
      </c>
      <c r="BF82" s="27">
        <v>702.8</v>
      </c>
      <c r="BG82" s="43">
        <f t="shared" si="403"/>
        <v>50833.140000000014</v>
      </c>
      <c r="BI82" s="60" t="s">
        <v>96</v>
      </c>
      <c r="BJ82" s="27">
        <v>2680.8</v>
      </c>
      <c r="BK82" s="27">
        <v>12784.52</v>
      </c>
      <c r="BL82" s="27">
        <v>5503.92</v>
      </c>
      <c r="BM82" s="27">
        <v>4702.6099999999997</v>
      </c>
      <c r="BN82" s="27">
        <v>6363.46</v>
      </c>
      <c r="BO82" s="27">
        <v>9562.85</v>
      </c>
      <c r="BP82" s="27">
        <v>3463.88</v>
      </c>
      <c r="BQ82" s="27">
        <v>3584.92</v>
      </c>
      <c r="BR82" s="27">
        <v>1790.7200000000003</v>
      </c>
      <c r="BS82" s="27">
        <v>1491.98</v>
      </c>
      <c r="BT82" s="27">
        <v>1117.04</v>
      </c>
      <c r="BU82" s="27">
        <v>698.12</v>
      </c>
      <c r="BV82" s="43">
        <f t="shared" si="404"/>
        <v>53744.82</v>
      </c>
      <c r="BW82" s="405"/>
      <c r="BX82" s="32">
        <f t="shared" si="363"/>
        <v>5.2277727087194192E-2</v>
      </c>
      <c r="BY82" s="32">
        <f t="shared" si="364"/>
        <v>0.12928365048467697</v>
      </c>
      <c r="BZ82" s="32">
        <f t="shared" si="365"/>
        <v>0.14744169488795569</v>
      </c>
      <c r="CA82" s="32">
        <f t="shared" si="366"/>
        <v>0.18614686142220244</v>
      </c>
      <c r="CB82" s="32">
        <f t="shared" si="367"/>
        <v>0.18937235468534444</v>
      </c>
      <c r="CC82" s="32">
        <f t="shared" si="368"/>
        <v>0.22905894220780085</v>
      </c>
      <c r="CD82" s="32">
        <f t="shared" si="369"/>
        <v>0.34567794690341858</v>
      </c>
      <c r="CE82" s="32">
        <f t="shared" si="370"/>
        <v>0.68522452137538425</v>
      </c>
      <c r="CF82" s="32">
        <f t="shared" si="371"/>
        <v>0.77340690311252458</v>
      </c>
      <c r="CG82" s="32">
        <f t="shared" si="372"/>
        <v>0.83153703020303027</v>
      </c>
      <c r="CH82" s="32">
        <f t="shared" si="373"/>
        <v>0.91523202001376291</v>
      </c>
      <c r="CI82" s="32">
        <f t="shared" si="374"/>
        <v>1</v>
      </c>
      <c r="CJ82" s="405"/>
      <c r="CK82" s="32">
        <f t="shared" si="375"/>
        <v>0.12408526645370149</v>
      </c>
      <c r="CL82" s="32">
        <f t="shared" si="376"/>
        <v>0.35336895621415931</v>
      </c>
      <c r="CM82" s="32">
        <f t="shared" si="377"/>
        <v>0.48974566341930476</v>
      </c>
      <c r="CN82" s="32">
        <f t="shared" si="378"/>
        <v>0.53765469656429055</v>
      </c>
      <c r="CO82" s="32">
        <f t="shared" si="379"/>
        <v>0.60734618792603279</v>
      </c>
      <c r="CP82" s="32">
        <f t="shared" si="380"/>
        <v>0.6630615422814139</v>
      </c>
      <c r="CQ82" s="32">
        <f t="shared" si="381"/>
        <v>0.71994200440579303</v>
      </c>
      <c r="CR82" s="32">
        <f t="shared" si="382"/>
        <v>0.90122246081866508</v>
      </c>
      <c r="CS82" s="32">
        <f t="shared" si="383"/>
        <v>0.93931127157977901</v>
      </c>
      <c r="CT82" s="32">
        <f t="shared" si="384"/>
        <v>0.95416892416625876</v>
      </c>
      <c r="CU82" s="32">
        <f t="shared" si="385"/>
        <v>0.96902657675273851</v>
      </c>
      <c r="CV82" s="32">
        <f t="shared" si="386"/>
        <v>1</v>
      </c>
      <c r="CX82" s="32">
        <f t="shared" si="387"/>
        <v>7.5154203935599295E-2</v>
      </c>
      <c r="CY82" s="32">
        <f t="shared" si="388"/>
        <v>0.28588765652951703</v>
      </c>
      <c r="CZ82" s="32">
        <f t="shared" si="389"/>
        <v>0.38988533094812172</v>
      </c>
      <c r="DA82" s="32">
        <f t="shared" si="390"/>
        <v>0.48161824686940968</v>
      </c>
      <c r="DB82" s="32">
        <f t="shared" si="391"/>
        <v>0.62809642218246875</v>
      </c>
      <c r="DC82" s="32">
        <f t="shared" si="392"/>
        <v>0.79208604651162806</v>
      </c>
      <c r="DD82" s="32">
        <f t="shared" si="393"/>
        <v>0.82785098389982126</v>
      </c>
      <c r="DE82" s="32">
        <f t="shared" si="394"/>
        <v>0.85801252236135972</v>
      </c>
      <c r="DF82" s="32">
        <f t="shared" si="395"/>
        <v>0.90514937388193206</v>
      </c>
      <c r="DG82" s="32">
        <f t="shared" si="396"/>
        <v>0.94569355992844373</v>
      </c>
      <c r="DH82" s="32">
        <f t="shared" si="397"/>
        <v>0.97115778175313061</v>
      </c>
      <c r="DI82" s="32">
        <f t="shared" si="398"/>
        <v>1</v>
      </c>
      <c r="DK82" s="32">
        <f t="shared" si="294"/>
        <v>4.4102528389944023E-2</v>
      </c>
      <c r="DL82" s="32">
        <f t="shared" si="295"/>
        <v>0.17544755252183902</v>
      </c>
      <c r="DM82" s="32">
        <f t="shared" si="296"/>
        <v>0.38919334906322911</v>
      </c>
      <c r="DN82" s="32">
        <f t="shared" si="297"/>
        <v>0.50522611823703967</v>
      </c>
      <c r="DO82" s="32">
        <f t="shared" si="298"/>
        <v>0.60778263943561206</v>
      </c>
      <c r="DP82" s="32">
        <f t="shared" si="299"/>
        <v>0.7252341681037211</v>
      </c>
      <c r="DQ82" s="32">
        <f t="shared" si="300"/>
        <v>0.77423782988813972</v>
      </c>
      <c r="DR82" s="32">
        <f t="shared" si="301"/>
        <v>0.86232662393076631</v>
      </c>
      <c r="DS82" s="32">
        <f t="shared" si="302"/>
        <v>0.91500407017941432</v>
      </c>
      <c r="DT82" s="32">
        <f t="shared" si="303"/>
        <v>0.94965548065690997</v>
      </c>
      <c r="DU82" s="32">
        <f t="shared" si="304"/>
        <v>0.98617437364679805</v>
      </c>
      <c r="DV82" s="32">
        <f t="shared" si="305"/>
        <v>1</v>
      </c>
      <c r="DW82" s="39"/>
      <c r="DX82" s="32">
        <f t="shared" si="306"/>
        <v>4.9880155892232964E-2</v>
      </c>
      <c r="DY82" s="32">
        <f t="shared" si="307"/>
        <v>0.28775461523547757</v>
      </c>
      <c r="DZ82" s="32">
        <f t="shared" si="308"/>
        <v>0.39016299617339861</v>
      </c>
      <c r="EA82" s="32">
        <f t="shared" si="309"/>
        <v>0.47766184722546284</v>
      </c>
      <c r="EB82" s="32">
        <f t="shared" si="310"/>
        <v>0.59606321130110762</v>
      </c>
      <c r="EC82" s="32">
        <f t="shared" si="311"/>
        <v>0.77399384722099718</v>
      </c>
      <c r="ED82" s="32">
        <f t="shared" si="312"/>
        <v>0.83844433751941105</v>
      </c>
      <c r="EE82" s="32">
        <f t="shared" si="313"/>
        <v>0.90514695183647453</v>
      </c>
      <c r="EF82" s="32">
        <f t="shared" si="314"/>
        <v>0.93846588378191598</v>
      </c>
      <c r="EG82" s="32">
        <f t="shared" si="315"/>
        <v>0.96622632655574991</v>
      </c>
      <c r="EH82" s="32">
        <f t="shared" si="316"/>
        <v>0.98701046910195245</v>
      </c>
      <c r="EI82" s="32">
        <f t="shared" si="317"/>
        <v>1</v>
      </c>
      <c r="EK82" s="32">
        <f t="shared" si="399"/>
        <v>5.6378962739258763E-2</v>
      </c>
      <c r="EL82" s="32">
        <f t="shared" si="318"/>
        <v>0.2496966080956112</v>
      </c>
      <c r="EM82" s="32">
        <f t="shared" si="319"/>
        <v>0.38974722539491652</v>
      </c>
      <c r="EN82" s="32">
        <f t="shared" si="320"/>
        <v>0.48816873744397071</v>
      </c>
      <c r="EO82" s="32">
        <f t="shared" si="321"/>
        <v>0.61064742430639607</v>
      </c>
      <c r="EP82" s="32">
        <f t="shared" si="322"/>
        <v>0.76377135394544882</v>
      </c>
      <c r="EQ82" s="32">
        <f t="shared" si="323"/>
        <v>0.81351105043579075</v>
      </c>
      <c r="ER82" s="32">
        <f t="shared" si="324"/>
        <v>0.87516203270953363</v>
      </c>
      <c r="ES82" s="32">
        <f t="shared" si="325"/>
        <v>0.91953977594775405</v>
      </c>
      <c r="ET82" s="32">
        <f t="shared" si="326"/>
        <v>0.9538584557137012</v>
      </c>
      <c r="EU82" s="32">
        <f t="shared" si="327"/>
        <v>0.98144754150062707</v>
      </c>
      <c r="EV82" s="32">
        <f t="shared" si="328"/>
        <v>1</v>
      </c>
      <c r="EX82" s="32">
        <f t="shared" si="329"/>
        <v>7.3305538667869444E-2</v>
      </c>
      <c r="EY82" s="32">
        <f t="shared" si="330"/>
        <v>0.27561469512524822</v>
      </c>
      <c r="EZ82" s="32">
        <f t="shared" si="331"/>
        <v>0.41474683490101355</v>
      </c>
      <c r="FA82" s="32">
        <f t="shared" si="332"/>
        <v>0.50054022722405067</v>
      </c>
      <c r="FB82" s="32">
        <f t="shared" si="333"/>
        <v>0.60982211521130525</v>
      </c>
      <c r="FC82" s="32">
        <f t="shared" si="334"/>
        <v>0.73859390102944011</v>
      </c>
      <c r="FD82" s="32">
        <f t="shared" si="335"/>
        <v>0.79011878892829135</v>
      </c>
      <c r="FE82" s="32">
        <f t="shared" si="336"/>
        <v>0.8816771397368165</v>
      </c>
      <c r="FF82" s="32">
        <f t="shared" si="337"/>
        <v>0.92448264985576034</v>
      </c>
      <c r="FG82" s="32">
        <f t="shared" si="338"/>
        <v>0.95393607282684056</v>
      </c>
      <c r="FH82" s="32">
        <f t="shared" si="339"/>
        <v>0.97834230031365488</v>
      </c>
      <c r="FI82" s="32">
        <f t="shared" si="340"/>
        <v>1</v>
      </c>
      <c r="FK82" s="32">
        <f t="shared" si="400"/>
        <v>8.1113999593081604E-2</v>
      </c>
      <c r="FL82" s="32">
        <f t="shared" si="341"/>
        <v>0.27156805508850512</v>
      </c>
      <c r="FM82" s="32">
        <f t="shared" si="342"/>
        <v>0.42294144781021853</v>
      </c>
      <c r="FN82" s="32">
        <f t="shared" si="343"/>
        <v>0.50816635389024667</v>
      </c>
      <c r="FO82" s="32">
        <f t="shared" si="344"/>
        <v>0.61440841651470457</v>
      </c>
      <c r="FP82" s="32">
        <f t="shared" si="345"/>
        <v>0.72679391896558776</v>
      </c>
      <c r="FQ82" s="32">
        <f t="shared" si="346"/>
        <v>0.77401027273125134</v>
      </c>
      <c r="FR82" s="32">
        <f t="shared" si="347"/>
        <v>0.87385386903693041</v>
      </c>
      <c r="FS82" s="32">
        <f t="shared" si="348"/>
        <v>0.91982157188037517</v>
      </c>
      <c r="FT82" s="32">
        <f t="shared" si="349"/>
        <v>0.94983932158387085</v>
      </c>
      <c r="FU82" s="32">
        <f t="shared" si="350"/>
        <v>0.97545291071755569</v>
      </c>
      <c r="FV82" s="32">
        <f t="shared" si="351"/>
        <v>1</v>
      </c>
      <c r="FX82" s="32">
        <f t="shared" si="401"/>
        <v>8.3839065825498327E-2</v>
      </c>
      <c r="FY82" s="32">
        <f t="shared" si="352"/>
        <v>0.25618008774278439</v>
      </c>
      <c r="FZ82" s="32">
        <f t="shared" si="353"/>
        <v>0.34235756308512744</v>
      </c>
      <c r="GA82" s="32">
        <f t="shared" si="354"/>
        <v>0.40180660161863418</v>
      </c>
      <c r="GB82" s="32">
        <f t="shared" si="355"/>
        <v>0.47493832159794863</v>
      </c>
      <c r="GC82" s="32">
        <f t="shared" si="356"/>
        <v>0.56140217700028094</v>
      </c>
      <c r="GD82" s="32">
        <f t="shared" si="357"/>
        <v>0.63115697840301099</v>
      </c>
      <c r="GE82" s="32">
        <f t="shared" si="358"/>
        <v>0.81481983485180309</v>
      </c>
      <c r="GF82" s="32">
        <f t="shared" si="359"/>
        <v>0.87262251619141173</v>
      </c>
      <c r="GG82" s="32">
        <f t="shared" si="360"/>
        <v>0.91046650476591096</v>
      </c>
      <c r="GH82" s="32">
        <f t="shared" si="361"/>
        <v>0.95180545950654405</v>
      </c>
      <c r="GI82" s="32">
        <f t="shared" si="362"/>
        <v>1</v>
      </c>
    </row>
    <row r="83" spans="1:191">
      <c r="A83" s="724" t="s">
        <v>97</v>
      </c>
      <c r="B83" s="399">
        <v>50357.17</v>
      </c>
      <c r="C83" s="400">
        <v>39450.51</v>
      </c>
      <c r="D83" s="400">
        <v>27595.68</v>
      </c>
      <c r="E83" s="400">
        <v>20188.349999999999</v>
      </c>
      <c r="F83" s="400">
        <v>25483.17</v>
      </c>
      <c r="G83" s="400">
        <v>26837.01</v>
      </c>
      <c r="H83" s="400">
        <v>39286.86</v>
      </c>
      <c r="I83" s="400">
        <v>169104.66</v>
      </c>
      <c r="J83" s="400">
        <v>60658.8</v>
      </c>
      <c r="K83" s="400">
        <v>51061.74</v>
      </c>
      <c r="L83" s="400">
        <v>49363.23</v>
      </c>
      <c r="M83" s="400">
        <v>54172.88</v>
      </c>
      <c r="N83" s="400">
        <f t="shared" si="291"/>
        <v>613560.06000000006</v>
      </c>
      <c r="P83" s="396" t="s">
        <v>97</v>
      </c>
      <c r="Q83" s="399">
        <v>123105.61</v>
      </c>
      <c r="R83" s="400">
        <v>145536.43</v>
      </c>
      <c r="S83" s="400">
        <v>78575.929999999993</v>
      </c>
      <c r="T83" s="400">
        <v>35259.71</v>
      </c>
      <c r="U83" s="400">
        <v>31288.45</v>
      </c>
      <c r="V83" s="400">
        <v>46533.96</v>
      </c>
      <c r="W83" s="400">
        <v>54994.92</v>
      </c>
      <c r="X83" s="400">
        <v>83177.81</v>
      </c>
      <c r="Y83" s="400">
        <v>29222.75</v>
      </c>
      <c r="Z83" s="400">
        <v>16067.07</v>
      </c>
      <c r="AA83" s="400">
        <v>27983.119999999995</v>
      </c>
      <c r="AB83" s="400">
        <v>23591.43</v>
      </c>
      <c r="AC83" s="400">
        <f t="shared" si="292"/>
        <v>695337.19000000006</v>
      </c>
      <c r="AE83" s="127" t="s">
        <v>97</v>
      </c>
      <c r="AF83" s="27">
        <v>109646.09</v>
      </c>
      <c r="AG83" s="27">
        <v>154692.45000000001</v>
      </c>
      <c r="AH83" s="27">
        <v>53408.800000000003</v>
      </c>
      <c r="AI83" s="27">
        <v>81635.929999999993</v>
      </c>
      <c r="AJ83" s="27">
        <v>79660.899999999994</v>
      </c>
      <c r="AK83" s="27">
        <v>86423.19</v>
      </c>
      <c r="AL83" s="27">
        <v>28098.36</v>
      </c>
      <c r="AM83" s="27">
        <v>24213.8</v>
      </c>
      <c r="AN83" s="27">
        <v>21981.74</v>
      </c>
      <c r="AO83" s="27">
        <v>30440.93</v>
      </c>
      <c r="AP83" s="27">
        <v>21236.55</v>
      </c>
      <c r="AQ83" s="27">
        <v>23351.14</v>
      </c>
      <c r="AR83" s="43">
        <f t="shared" si="402"/>
        <v>714789.88000000024</v>
      </c>
      <c r="AT83" s="60" t="s">
        <v>97</v>
      </c>
      <c r="AU83" s="27">
        <v>97565.85</v>
      </c>
      <c r="AV83" s="27">
        <v>118881.62</v>
      </c>
      <c r="AW83" s="27">
        <v>82919.28</v>
      </c>
      <c r="AX83" s="27">
        <v>57330.96</v>
      </c>
      <c r="AY83" s="27">
        <v>77333.460000000021</v>
      </c>
      <c r="AZ83" s="27">
        <v>88122.75</v>
      </c>
      <c r="BA83" s="27">
        <v>33238.320000000007</v>
      </c>
      <c r="BB83" s="27">
        <v>24451.29</v>
      </c>
      <c r="BC83" s="27">
        <v>19061.599999999999</v>
      </c>
      <c r="BD83" s="27">
        <v>17561.18</v>
      </c>
      <c r="BE83" s="27">
        <v>13763.11</v>
      </c>
      <c r="BF83" s="27">
        <v>18114.599999999999</v>
      </c>
      <c r="BG83" s="43">
        <f t="shared" si="403"/>
        <v>648344.02</v>
      </c>
      <c r="BI83" s="60" t="s">
        <v>97</v>
      </c>
      <c r="BJ83" s="27">
        <v>71916.45</v>
      </c>
      <c r="BK83" s="27">
        <v>156093.79999999999</v>
      </c>
      <c r="BL83" s="27">
        <v>55904.31</v>
      </c>
      <c r="BM83" s="27">
        <v>41037.54</v>
      </c>
      <c r="BN83" s="27">
        <v>69912.41</v>
      </c>
      <c r="BO83" s="27">
        <v>78989.27</v>
      </c>
      <c r="BP83" s="27">
        <v>29616.929999999997</v>
      </c>
      <c r="BQ83" s="27">
        <v>24972.65</v>
      </c>
      <c r="BR83" s="27">
        <v>16512.54</v>
      </c>
      <c r="BS83" s="27">
        <v>20798.22</v>
      </c>
      <c r="BT83" s="27">
        <v>11562.33</v>
      </c>
      <c r="BU83" s="27">
        <v>12022.67</v>
      </c>
      <c r="BV83" s="43">
        <f t="shared" si="404"/>
        <v>589339.12</v>
      </c>
      <c r="BW83" s="405"/>
      <c r="BX83" s="32">
        <f t="shared" si="363"/>
        <v>8.2073741892521479E-2</v>
      </c>
      <c r="BY83" s="32">
        <f t="shared" si="364"/>
        <v>0.1463714570990817</v>
      </c>
      <c r="BZ83" s="32">
        <f t="shared" si="365"/>
        <v>0.19134778753362788</v>
      </c>
      <c r="CA83" s="32">
        <f t="shared" si="366"/>
        <v>0.22425141232302503</v>
      </c>
      <c r="CB83" s="32">
        <f t="shared" si="367"/>
        <v>0.26578470573850582</v>
      </c>
      <c r="CC83" s="32">
        <f t="shared" si="368"/>
        <v>0.3095245313066825</v>
      </c>
      <c r="CD83" s="32">
        <f t="shared" si="369"/>
        <v>0.37355552445835538</v>
      </c>
      <c r="CE83" s="32">
        <f t="shared" si="370"/>
        <v>0.6491677603656274</v>
      </c>
      <c r="CF83" s="32">
        <f t="shared" si="371"/>
        <v>0.74803143151136664</v>
      </c>
      <c r="CG83" s="32">
        <f t="shared" si="372"/>
        <v>0.8312535043431607</v>
      </c>
      <c r="CH83" s="32">
        <f t="shared" si="373"/>
        <v>0.91170729072554035</v>
      </c>
      <c r="CI83" s="32">
        <f t="shared" si="374"/>
        <v>1</v>
      </c>
      <c r="CJ83" s="405"/>
      <c r="CK83" s="32">
        <f t="shared" si="375"/>
        <v>0.17704447823364661</v>
      </c>
      <c r="CL83" s="32">
        <f t="shared" si="376"/>
        <v>0.38634786670909971</v>
      </c>
      <c r="CM83" s="32">
        <f t="shared" si="377"/>
        <v>0.49935193312470449</v>
      </c>
      <c r="CN83" s="32">
        <f t="shared" si="378"/>
        <v>0.55006072665263306</v>
      </c>
      <c r="CO83" s="32">
        <f t="shared" si="379"/>
        <v>0.59505824792716744</v>
      </c>
      <c r="CP83" s="32">
        <f t="shared" si="380"/>
        <v>0.66198111739140542</v>
      </c>
      <c r="CQ83" s="32">
        <f t="shared" si="381"/>
        <v>0.74107212645996967</v>
      </c>
      <c r="CR83" s="32">
        <f t="shared" si="382"/>
        <v>0.86069439202583142</v>
      </c>
      <c r="CS83" s="32">
        <f t="shared" si="383"/>
        <v>0.90272112440872032</v>
      </c>
      <c r="CT83" s="32">
        <f t="shared" si="384"/>
        <v>0.92582800008151434</v>
      </c>
      <c r="CU83" s="32">
        <f t="shared" si="385"/>
        <v>0.96607195711766825</v>
      </c>
      <c r="CV83" s="32">
        <f t="shared" si="386"/>
        <v>1</v>
      </c>
      <c r="CX83" s="32">
        <f t="shared" si="387"/>
        <v>0.15339625401523585</v>
      </c>
      <c r="CY83" s="32">
        <f t="shared" si="388"/>
        <v>0.36981293019985112</v>
      </c>
      <c r="CZ83" s="32">
        <f t="shared" si="389"/>
        <v>0.44453251072888711</v>
      </c>
      <c r="DA83" s="32">
        <f t="shared" si="390"/>
        <v>0.55874219987557727</v>
      </c>
      <c r="DB83" s="32">
        <f t="shared" si="391"/>
        <v>0.67018879730082337</v>
      </c>
      <c r="DC83" s="32">
        <f t="shared" si="392"/>
        <v>0.79109592318234823</v>
      </c>
      <c r="DD83" s="32">
        <f t="shared" si="393"/>
        <v>0.8304058809562328</v>
      </c>
      <c r="DE83" s="32">
        <f t="shared" si="394"/>
        <v>0.86428129060808745</v>
      </c>
      <c r="DF83" s="32">
        <f t="shared" si="395"/>
        <v>0.89503402034735002</v>
      </c>
      <c r="DG83" s="32">
        <f t="shared" si="396"/>
        <v>0.93762126290875847</v>
      </c>
      <c r="DH83" s="32">
        <f t="shared" si="397"/>
        <v>0.96733146249916124</v>
      </c>
      <c r="DI83" s="32">
        <f t="shared" si="398"/>
        <v>1</v>
      </c>
      <c r="DK83" s="32">
        <f t="shared" si="294"/>
        <v>0.15048469175361562</v>
      </c>
      <c r="DL83" s="32">
        <f t="shared" si="295"/>
        <v>0.33384663592640212</v>
      </c>
      <c r="DM83" s="32">
        <f t="shared" si="296"/>
        <v>0.46174058950987162</v>
      </c>
      <c r="DN83" s="32">
        <f t="shared" si="297"/>
        <v>0.55016734788422972</v>
      </c>
      <c r="DO83" s="32">
        <f t="shared" si="298"/>
        <v>0.66944578281141554</v>
      </c>
      <c r="DP83" s="32">
        <f t="shared" si="299"/>
        <v>0.80536552184132126</v>
      </c>
      <c r="DQ83" s="32">
        <f t="shared" si="300"/>
        <v>0.85663200842046783</v>
      </c>
      <c r="DR83" s="32">
        <f t="shared" si="301"/>
        <v>0.89434545875814508</v>
      </c>
      <c r="DS83" s="32">
        <f t="shared" si="302"/>
        <v>0.92374589959200981</v>
      </c>
      <c r="DT83" s="32">
        <f t="shared" si="303"/>
        <v>0.95083210607849833</v>
      </c>
      <c r="DU83" s="32">
        <f t="shared" si="304"/>
        <v>0.9720602034703737</v>
      </c>
      <c r="DV83" s="32">
        <f t="shared" si="305"/>
        <v>1</v>
      </c>
      <c r="DW83" s="39"/>
      <c r="DX83" s="32">
        <f t="shared" si="306"/>
        <v>0.12202897713628784</v>
      </c>
      <c r="DY83" s="32">
        <f t="shared" si="307"/>
        <v>0.38689142169961499</v>
      </c>
      <c r="DZ83" s="32">
        <f t="shared" si="308"/>
        <v>0.4817507448003791</v>
      </c>
      <c r="EA83" s="32">
        <f t="shared" si="309"/>
        <v>0.55138389591378212</v>
      </c>
      <c r="EB83" s="32">
        <f t="shared" si="310"/>
        <v>0.67001238607747604</v>
      </c>
      <c r="EC83" s="32">
        <f t="shared" si="311"/>
        <v>0.80404263677591947</v>
      </c>
      <c r="ED83" s="32">
        <f t="shared" si="312"/>
        <v>0.85429711504642691</v>
      </c>
      <c r="EE83" s="32">
        <f t="shared" si="313"/>
        <v>0.89667110508462422</v>
      </c>
      <c r="EF83" s="32">
        <f t="shared" si="314"/>
        <v>0.92468984580558644</v>
      </c>
      <c r="EG83" s="32">
        <f t="shared" si="315"/>
        <v>0.95998059657061285</v>
      </c>
      <c r="EH83" s="32">
        <f t="shared" si="316"/>
        <v>0.97959974216542756</v>
      </c>
      <c r="EI83" s="32">
        <f t="shared" si="317"/>
        <v>1</v>
      </c>
      <c r="EK83" s="32">
        <f t="shared" si="399"/>
        <v>0.14196997430171313</v>
      </c>
      <c r="EL83" s="32">
        <f t="shared" si="318"/>
        <v>0.36351699594195602</v>
      </c>
      <c r="EM83" s="32">
        <f t="shared" si="319"/>
        <v>0.46267461501304591</v>
      </c>
      <c r="EN83" s="32">
        <f t="shared" si="320"/>
        <v>0.55343114789119641</v>
      </c>
      <c r="EO83" s="32">
        <f t="shared" si="321"/>
        <v>0.66988232206323828</v>
      </c>
      <c r="EP83" s="32">
        <f t="shared" si="322"/>
        <v>0.80016802726652969</v>
      </c>
      <c r="EQ83" s="32">
        <f t="shared" si="323"/>
        <v>0.84711166814104255</v>
      </c>
      <c r="ER83" s="32">
        <f t="shared" si="324"/>
        <v>0.88509928481695221</v>
      </c>
      <c r="ES83" s="32">
        <f t="shared" si="325"/>
        <v>0.91448992191498213</v>
      </c>
      <c r="ET83" s="32">
        <f t="shared" si="326"/>
        <v>0.94947798851928988</v>
      </c>
      <c r="EU83" s="32">
        <f t="shared" si="327"/>
        <v>0.9729971360449875</v>
      </c>
      <c r="EV83" s="32">
        <f t="shared" si="328"/>
        <v>1</v>
      </c>
      <c r="EX83" s="32">
        <f t="shared" si="329"/>
        <v>0.15073860028469649</v>
      </c>
      <c r="EY83" s="32">
        <f t="shared" si="330"/>
        <v>0.36922471363374199</v>
      </c>
      <c r="EZ83" s="32">
        <f t="shared" si="331"/>
        <v>0.47184394454096057</v>
      </c>
      <c r="FA83" s="32">
        <f t="shared" si="332"/>
        <v>0.55258854258155554</v>
      </c>
      <c r="FB83" s="32">
        <f t="shared" si="333"/>
        <v>0.65117630352922062</v>
      </c>
      <c r="FC83" s="32">
        <f t="shared" si="334"/>
        <v>0.76562129979774862</v>
      </c>
      <c r="FD83" s="32">
        <f t="shared" si="335"/>
        <v>0.82060178272077422</v>
      </c>
      <c r="FE83" s="32">
        <f t="shared" si="336"/>
        <v>0.87899806161917204</v>
      </c>
      <c r="FF83" s="32">
        <f t="shared" si="337"/>
        <v>0.91154772253841665</v>
      </c>
      <c r="FG83" s="32">
        <f t="shared" si="338"/>
        <v>0.94356549140984602</v>
      </c>
      <c r="FH83" s="32">
        <f t="shared" si="339"/>
        <v>0.97126584131315763</v>
      </c>
      <c r="FI83" s="32">
        <f t="shared" si="340"/>
        <v>1</v>
      </c>
      <c r="FK83" s="32">
        <f t="shared" si="400"/>
        <v>0.16030847466749937</v>
      </c>
      <c r="FL83" s="32">
        <f t="shared" si="341"/>
        <v>0.36333581094511763</v>
      </c>
      <c r="FM83" s="32">
        <f t="shared" si="342"/>
        <v>0.46854167778782108</v>
      </c>
      <c r="FN83" s="32">
        <f t="shared" si="343"/>
        <v>0.55299009147081335</v>
      </c>
      <c r="FO83" s="32">
        <f t="shared" si="344"/>
        <v>0.64489760934646878</v>
      </c>
      <c r="FP83" s="32">
        <f t="shared" si="345"/>
        <v>0.75281418747169171</v>
      </c>
      <c r="FQ83" s="32">
        <f t="shared" si="346"/>
        <v>0.80937000527889014</v>
      </c>
      <c r="FR83" s="32">
        <f t="shared" si="347"/>
        <v>0.87310704713068799</v>
      </c>
      <c r="FS83" s="32">
        <f t="shared" si="348"/>
        <v>0.90716701478269346</v>
      </c>
      <c r="FT83" s="32">
        <f t="shared" si="349"/>
        <v>0.93809378968959045</v>
      </c>
      <c r="FU83" s="32">
        <f t="shared" si="350"/>
        <v>0.96848787436240114</v>
      </c>
      <c r="FV83" s="32">
        <f t="shared" si="351"/>
        <v>1</v>
      </c>
      <c r="FX83" s="32">
        <f t="shared" si="401"/>
        <v>0.13750482471380132</v>
      </c>
      <c r="FY83" s="32">
        <f t="shared" si="352"/>
        <v>0.30084408466934415</v>
      </c>
      <c r="FZ83" s="32">
        <f t="shared" si="353"/>
        <v>0.3784107437957398</v>
      </c>
      <c r="GA83" s="32">
        <f t="shared" si="354"/>
        <v>0.44435144628374518</v>
      </c>
      <c r="GB83" s="32">
        <f t="shared" si="355"/>
        <v>0.51034391698883219</v>
      </c>
      <c r="GC83" s="32">
        <f t="shared" si="356"/>
        <v>0.58753385729347873</v>
      </c>
      <c r="GD83" s="32">
        <f t="shared" si="357"/>
        <v>0.64834451062485254</v>
      </c>
      <c r="GE83" s="32">
        <f t="shared" si="358"/>
        <v>0.79138114766651546</v>
      </c>
      <c r="GF83" s="32">
        <f t="shared" si="359"/>
        <v>0.84859552542247896</v>
      </c>
      <c r="GG83" s="32">
        <f t="shared" si="360"/>
        <v>0.89823425577781124</v>
      </c>
      <c r="GH83" s="32">
        <f t="shared" si="361"/>
        <v>0.94837023678078991</v>
      </c>
      <c r="GI83" s="32">
        <f t="shared" si="362"/>
        <v>1</v>
      </c>
    </row>
    <row r="84" spans="1:191">
      <c r="A84" s="724" t="s">
        <v>98</v>
      </c>
      <c r="B84" s="399">
        <v>4815.6099999999997</v>
      </c>
      <c r="C84" s="400">
        <v>1896.85</v>
      </c>
      <c r="D84" s="400">
        <v>2795.73</v>
      </c>
      <c r="E84" s="400">
        <v>704.74</v>
      </c>
      <c r="F84" s="400">
        <v>985.69</v>
      </c>
      <c r="G84" s="400">
        <v>3064.97</v>
      </c>
      <c r="H84" s="400">
        <v>1071.3900000000001</v>
      </c>
      <c r="I84" s="400">
        <v>6917.24</v>
      </c>
      <c r="J84" s="400">
        <v>2107.87</v>
      </c>
      <c r="K84" s="400">
        <v>2879.3</v>
      </c>
      <c r="L84" s="400">
        <v>3023.09</v>
      </c>
      <c r="M84" s="400">
        <v>3092.37</v>
      </c>
      <c r="N84" s="400">
        <f t="shared" si="291"/>
        <v>33354.85</v>
      </c>
      <c r="P84" s="396" t="s">
        <v>98</v>
      </c>
      <c r="Q84" s="399">
        <v>6953.74</v>
      </c>
      <c r="R84" s="400">
        <v>3695.11</v>
      </c>
      <c r="S84" s="400">
        <v>6104.54</v>
      </c>
      <c r="T84" s="400">
        <v>2790.37</v>
      </c>
      <c r="U84" s="400">
        <v>2618.96</v>
      </c>
      <c r="V84" s="400">
        <v>3457.0200000000004</v>
      </c>
      <c r="W84" s="400">
        <v>2666.59</v>
      </c>
      <c r="X84" s="400">
        <v>4287.2</v>
      </c>
      <c r="Y84" s="400">
        <v>1896.79</v>
      </c>
      <c r="Z84" s="400">
        <v>403.18</v>
      </c>
      <c r="AA84" s="400">
        <v>1165.0500000000002</v>
      </c>
      <c r="AB84" s="400">
        <v>1085.68</v>
      </c>
      <c r="AC84" s="400">
        <f t="shared" si="292"/>
        <v>37124.230000000003</v>
      </c>
      <c r="AE84" s="127" t="s">
        <v>98</v>
      </c>
      <c r="AF84" s="27">
        <v>5085.5600000000004</v>
      </c>
      <c r="AG84" s="27">
        <v>7227.58</v>
      </c>
      <c r="AH84" s="27">
        <v>3239.91</v>
      </c>
      <c r="AI84" s="27">
        <v>4574.26</v>
      </c>
      <c r="AJ84" s="27">
        <v>2178.88</v>
      </c>
      <c r="AK84" s="27">
        <v>6292.51</v>
      </c>
      <c r="AL84" s="27">
        <v>2846.84</v>
      </c>
      <c r="AM84" s="27">
        <v>1197.7</v>
      </c>
      <c r="AN84" s="27">
        <v>2478.33</v>
      </c>
      <c r="AO84" s="27">
        <v>1493.99</v>
      </c>
      <c r="AP84" s="27">
        <v>985.82</v>
      </c>
      <c r="AQ84" s="27">
        <v>635.71</v>
      </c>
      <c r="AR84" s="43">
        <f t="shared" si="402"/>
        <v>38237.089999999997</v>
      </c>
      <c r="AT84" s="60" t="s">
        <v>98</v>
      </c>
      <c r="AU84" s="27">
        <v>2989.16</v>
      </c>
      <c r="AV84" s="27">
        <v>8263.2000000000007</v>
      </c>
      <c r="AW84" s="27">
        <v>2615.5300000000002</v>
      </c>
      <c r="AX84" s="27">
        <v>1788.17</v>
      </c>
      <c r="AY84" s="27">
        <v>2241.88</v>
      </c>
      <c r="AZ84" s="27">
        <v>4857.45</v>
      </c>
      <c r="BA84" s="27">
        <v>2232.98</v>
      </c>
      <c r="BB84" s="27">
        <v>3069.24</v>
      </c>
      <c r="BC84" s="27">
        <v>1441.21</v>
      </c>
      <c r="BD84" s="27">
        <v>1156.51</v>
      </c>
      <c r="BE84" s="27">
        <v>809.55</v>
      </c>
      <c r="BF84" s="27">
        <v>1058.67</v>
      </c>
      <c r="BG84" s="43">
        <f t="shared" si="403"/>
        <v>32523.549999999996</v>
      </c>
      <c r="BI84" s="60" t="s">
        <v>98</v>
      </c>
      <c r="BJ84" s="27">
        <v>3120.6400000000003</v>
      </c>
      <c r="BK84" s="27">
        <v>5475.13</v>
      </c>
      <c r="BL84" s="27">
        <v>603.89</v>
      </c>
      <c r="BM84" s="27">
        <v>1367.47</v>
      </c>
      <c r="BN84" s="27">
        <v>2036.79</v>
      </c>
      <c r="BO84" s="27">
        <v>3139.31</v>
      </c>
      <c r="BP84" s="27">
        <v>849.4</v>
      </c>
      <c r="BQ84" s="27">
        <v>2063</v>
      </c>
      <c r="BR84" s="27">
        <v>799.36</v>
      </c>
      <c r="BS84" s="27">
        <v>1525.4099999999999</v>
      </c>
      <c r="BT84" s="27">
        <v>1501.02</v>
      </c>
      <c r="BU84" s="27">
        <v>305.43</v>
      </c>
      <c r="BV84" s="43">
        <f t="shared" si="404"/>
        <v>22786.85</v>
      </c>
      <c r="BW84" s="405"/>
      <c r="BX84" s="32">
        <f t="shared" si="363"/>
        <v>0.14437510586916144</v>
      </c>
      <c r="BY84" s="32">
        <f t="shared" si="364"/>
        <v>0.20124389706444487</v>
      </c>
      <c r="BZ84" s="32">
        <f t="shared" si="365"/>
        <v>0.28506169267737674</v>
      </c>
      <c r="CA84" s="32">
        <f t="shared" si="366"/>
        <v>0.30619025419091972</v>
      </c>
      <c r="CB84" s="32">
        <f t="shared" si="367"/>
        <v>0.3357418786173525</v>
      </c>
      <c r="CC84" s="32">
        <f t="shared" si="368"/>
        <v>0.42763166376104222</v>
      </c>
      <c r="CD84" s="32">
        <f t="shared" si="369"/>
        <v>0.4597526296775431</v>
      </c>
      <c r="CE84" s="32">
        <f t="shared" si="370"/>
        <v>0.66713596373540873</v>
      </c>
      <c r="CF84" s="32">
        <f t="shared" si="371"/>
        <v>0.73033127116446328</v>
      </c>
      <c r="CG84" s="32">
        <f t="shared" si="372"/>
        <v>0.81665454948830518</v>
      </c>
      <c r="CH84" s="32">
        <f t="shared" si="373"/>
        <v>0.90728874511502822</v>
      </c>
      <c r="CI84" s="32">
        <f t="shared" si="374"/>
        <v>1</v>
      </c>
      <c r="CJ84" s="405"/>
      <c r="CK84" s="32">
        <f t="shared" si="375"/>
        <v>0.18731001289454352</v>
      </c>
      <c r="CL84" s="32">
        <f t="shared" si="376"/>
        <v>0.28684365978769122</v>
      </c>
      <c r="CM84" s="32">
        <f t="shared" si="377"/>
        <v>0.45127912417308041</v>
      </c>
      <c r="CN84" s="32">
        <f t="shared" si="378"/>
        <v>0.52644216459169646</v>
      </c>
      <c r="CO84" s="32">
        <f t="shared" si="379"/>
        <v>0.59698800486905712</v>
      </c>
      <c r="CP84" s="32">
        <f t="shared" si="380"/>
        <v>0.69010832009175671</v>
      </c>
      <c r="CQ84" s="32">
        <f t="shared" si="381"/>
        <v>0.76193714994223438</v>
      </c>
      <c r="CR84" s="32">
        <f t="shared" si="382"/>
        <v>0.87741967981558122</v>
      </c>
      <c r="CS84" s="32">
        <f t="shared" si="383"/>
        <v>0.92851272605519353</v>
      </c>
      <c r="CT84" s="32">
        <f t="shared" si="384"/>
        <v>0.93937301864577383</v>
      </c>
      <c r="CU84" s="32">
        <f t="shared" si="385"/>
        <v>0.97075548772324705</v>
      </c>
      <c r="CV84" s="32">
        <f t="shared" si="386"/>
        <v>1</v>
      </c>
      <c r="CX84" s="32">
        <f t="shared" si="387"/>
        <v>0.13300070690525875</v>
      </c>
      <c r="CY84" s="32">
        <f t="shared" si="388"/>
        <v>0.32202084415942744</v>
      </c>
      <c r="CZ84" s="32">
        <f t="shared" si="389"/>
        <v>0.40675297204886673</v>
      </c>
      <c r="DA84" s="32">
        <f t="shared" si="390"/>
        <v>0.52638184548039613</v>
      </c>
      <c r="DB84" s="32">
        <f t="shared" si="391"/>
        <v>0.58336526132087985</v>
      </c>
      <c r="DC84" s="32">
        <f t="shared" si="392"/>
        <v>0.74793087026235516</v>
      </c>
      <c r="DD84" s="32">
        <f t="shared" si="393"/>
        <v>0.82238318867884563</v>
      </c>
      <c r="DE84" s="32">
        <f t="shared" si="394"/>
        <v>0.85370617900054635</v>
      </c>
      <c r="DF84" s="32">
        <f t="shared" si="395"/>
        <v>0.91852099623689987</v>
      </c>
      <c r="DG84" s="32">
        <f t="shared" si="396"/>
        <v>0.95759274568226826</v>
      </c>
      <c r="DH84" s="32">
        <f t="shared" si="397"/>
        <v>0.98337451934757591</v>
      </c>
      <c r="DI84" s="32">
        <f t="shared" si="398"/>
        <v>1</v>
      </c>
      <c r="DK84" s="32">
        <f t="shared" si="294"/>
        <v>9.1907556216956648E-2</v>
      </c>
      <c r="DL84" s="32">
        <f t="shared" si="295"/>
        <v>0.34597576217848303</v>
      </c>
      <c r="DM84" s="32">
        <f t="shared" si="296"/>
        <v>0.42639533507258598</v>
      </c>
      <c r="DN84" s="32">
        <f t="shared" si="297"/>
        <v>0.48137611054143853</v>
      </c>
      <c r="DO84" s="32">
        <f t="shared" si="298"/>
        <v>0.55030708517366667</v>
      </c>
      <c r="DP84" s="32">
        <f t="shared" si="299"/>
        <v>0.69965886257803978</v>
      </c>
      <c r="DQ84" s="32">
        <f t="shared" si="300"/>
        <v>0.7683161893458742</v>
      </c>
      <c r="DR84" s="32">
        <f t="shared" si="301"/>
        <v>0.86268596140335252</v>
      </c>
      <c r="DS84" s="32">
        <f t="shared" si="302"/>
        <v>0.90699877473400059</v>
      </c>
      <c r="DT84" s="32">
        <f t="shared" si="303"/>
        <v>0.94255793109915742</v>
      </c>
      <c r="DU84" s="32">
        <f t="shared" si="304"/>
        <v>0.96744912532610994</v>
      </c>
      <c r="DV84" s="32">
        <f t="shared" si="305"/>
        <v>1</v>
      </c>
      <c r="DW84" s="39"/>
      <c r="DX84" s="32">
        <f t="shared" si="306"/>
        <v>0.13694916146812747</v>
      </c>
      <c r="DY84" s="32">
        <f t="shared" si="307"/>
        <v>0.37722502232647342</v>
      </c>
      <c r="DZ84" s="32">
        <f t="shared" si="308"/>
        <v>0.40372671080030809</v>
      </c>
      <c r="EA84" s="32">
        <f t="shared" si="309"/>
        <v>0.46373807700493924</v>
      </c>
      <c r="EB84" s="32">
        <f t="shared" si="310"/>
        <v>0.55312252461397693</v>
      </c>
      <c r="EC84" s="32">
        <f t="shared" si="311"/>
        <v>0.69089101828466848</v>
      </c>
      <c r="ED84" s="32">
        <f t="shared" si="312"/>
        <v>0.72816690327974243</v>
      </c>
      <c r="EE84" s="32">
        <f t="shared" si="313"/>
        <v>0.81870157568948754</v>
      </c>
      <c r="EF84" s="32">
        <f t="shared" si="314"/>
        <v>0.85378145728786559</v>
      </c>
      <c r="EG84" s="32">
        <f t="shared" si="315"/>
        <v>0.92072401406951809</v>
      </c>
      <c r="EH84" s="32">
        <f t="shared" si="316"/>
        <v>0.98659621667760133</v>
      </c>
      <c r="EI84" s="32">
        <f t="shared" si="317"/>
        <v>1</v>
      </c>
      <c r="EK84" s="32">
        <f t="shared" si="399"/>
        <v>0.12061914153011428</v>
      </c>
      <c r="EL84" s="32">
        <f t="shared" si="318"/>
        <v>0.34840720955479459</v>
      </c>
      <c r="EM84" s="32">
        <f t="shared" si="319"/>
        <v>0.41229167264058697</v>
      </c>
      <c r="EN84" s="32">
        <f t="shared" si="320"/>
        <v>0.4904986776755913</v>
      </c>
      <c r="EO84" s="32">
        <f t="shared" si="321"/>
        <v>0.56226495703617452</v>
      </c>
      <c r="EP84" s="32">
        <f t="shared" si="322"/>
        <v>0.71282691704168777</v>
      </c>
      <c r="EQ84" s="32">
        <f t="shared" si="323"/>
        <v>0.77295542710148746</v>
      </c>
      <c r="ER84" s="32">
        <f t="shared" si="324"/>
        <v>0.84503123869779539</v>
      </c>
      <c r="ES84" s="32">
        <f t="shared" si="325"/>
        <v>0.89310040941958857</v>
      </c>
      <c r="ET84" s="32">
        <f t="shared" si="326"/>
        <v>0.94029156361698119</v>
      </c>
      <c r="EU84" s="32">
        <f t="shared" si="327"/>
        <v>0.97913995378376228</v>
      </c>
      <c r="EV84" s="32">
        <f t="shared" si="328"/>
        <v>1</v>
      </c>
      <c r="EX84" s="32">
        <f t="shared" si="329"/>
        <v>0.1372918593712216</v>
      </c>
      <c r="EY84" s="32">
        <f t="shared" si="330"/>
        <v>0.33301632211301879</v>
      </c>
      <c r="EZ84" s="32">
        <f t="shared" si="331"/>
        <v>0.42203853552371035</v>
      </c>
      <c r="FA84" s="32">
        <f t="shared" si="332"/>
        <v>0.49948454940461762</v>
      </c>
      <c r="FB84" s="32">
        <f t="shared" si="333"/>
        <v>0.57094571899439517</v>
      </c>
      <c r="FC84" s="32">
        <f t="shared" si="334"/>
        <v>0.707147267804205</v>
      </c>
      <c r="FD84" s="32">
        <f t="shared" si="335"/>
        <v>0.77020085781167413</v>
      </c>
      <c r="FE84" s="32">
        <f t="shared" si="336"/>
        <v>0.85312834897724188</v>
      </c>
      <c r="FF84" s="32">
        <f t="shared" si="337"/>
        <v>0.90195348857848989</v>
      </c>
      <c r="FG84" s="32">
        <f t="shared" si="338"/>
        <v>0.94006192737417948</v>
      </c>
      <c r="FH84" s="32">
        <f t="shared" si="339"/>
        <v>0.97704383726863364</v>
      </c>
      <c r="FI84" s="32">
        <f t="shared" si="340"/>
        <v>1</v>
      </c>
      <c r="FK84" s="32">
        <f t="shared" si="400"/>
        <v>0.13740609200558632</v>
      </c>
      <c r="FL84" s="32">
        <f t="shared" si="341"/>
        <v>0.31828008870853391</v>
      </c>
      <c r="FM84" s="32">
        <f t="shared" si="342"/>
        <v>0.42814247709817771</v>
      </c>
      <c r="FN84" s="32">
        <f t="shared" si="343"/>
        <v>0.51140004020451035</v>
      </c>
      <c r="FO84" s="32">
        <f t="shared" si="344"/>
        <v>0.57688678378786795</v>
      </c>
      <c r="FP84" s="32">
        <f t="shared" si="345"/>
        <v>0.71256601764405048</v>
      </c>
      <c r="FQ84" s="32">
        <f t="shared" si="346"/>
        <v>0.78421217598898474</v>
      </c>
      <c r="FR84" s="32">
        <f t="shared" si="347"/>
        <v>0.86460394007315999</v>
      </c>
      <c r="FS84" s="32">
        <f t="shared" si="348"/>
        <v>0.91801083234203118</v>
      </c>
      <c r="FT84" s="32">
        <f t="shared" si="349"/>
        <v>0.94650789847573302</v>
      </c>
      <c r="FU84" s="32">
        <f t="shared" si="350"/>
        <v>0.9738597107989776</v>
      </c>
      <c r="FV84" s="32">
        <f t="shared" si="351"/>
        <v>1</v>
      </c>
      <c r="FX84" s="32">
        <f t="shared" si="401"/>
        <v>0.15489527522298793</v>
      </c>
      <c r="FY84" s="32">
        <f t="shared" si="352"/>
        <v>0.27003613367052121</v>
      </c>
      <c r="FZ84" s="32">
        <f t="shared" si="353"/>
        <v>0.38103126296644135</v>
      </c>
      <c r="GA84" s="32">
        <f t="shared" si="354"/>
        <v>0.45300475475433749</v>
      </c>
      <c r="GB84" s="32">
        <f t="shared" si="355"/>
        <v>0.50536504826909645</v>
      </c>
      <c r="GC84" s="32">
        <f t="shared" si="356"/>
        <v>0.62189028470505137</v>
      </c>
      <c r="GD84" s="32">
        <f t="shared" si="357"/>
        <v>0.68135765609954102</v>
      </c>
      <c r="GE84" s="32">
        <f t="shared" si="358"/>
        <v>0.79942060751717881</v>
      </c>
      <c r="GF84" s="32">
        <f t="shared" si="359"/>
        <v>0.85912166448551897</v>
      </c>
      <c r="GG84" s="32">
        <f t="shared" si="360"/>
        <v>0.90454010460544909</v>
      </c>
      <c r="GH84" s="32">
        <f t="shared" si="361"/>
        <v>0.95380625072861702</v>
      </c>
      <c r="GI84" s="32">
        <f t="shared" si="362"/>
        <v>1</v>
      </c>
    </row>
    <row r="85" spans="1:191">
      <c r="A85" s="724" t="s">
        <v>99</v>
      </c>
      <c r="B85" s="399">
        <v>1082.02</v>
      </c>
      <c r="C85" s="400">
        <v>0</v>
      </c>
      <c r="D85" s="400">
        <v>2910.54</v>
      </c>
      <c r="E85" s="400">
        <v>51.43</v>
      </c>
      <c r="F85" s="400">
        <v>0</v>
      </c>
      <c r="G85" s="400">
        <v>0</v>
      </c>
      <c r="H85" s="400">
        <v>0</v>
      </c>
      <c r="I85" s="400">
        <v>2248.86</v>
      </c>
      <c r="J85" s="400">
        <v>486.08</v>
      </c>
      <c r="K85" s="400">
        <v>95.24</v>
      </c>
      <c r="L85" s="400">
        <v>380.96</v>
      </c>
      <c r="M85" s="400">
        <v>125.38999999999999</v>
      </c>
      <c r="N85" s="400">
        <f t="shared" si="291"/>
        <v>7380.52</v>
      </c>
      <c r="P85" s="396" t="s">
        <v>99</v>
      </c>
      <c r="Q85" s="399">
        <v>3199.9</v>
      </c>
      <c r="R85" s="400">
        <v>1257.0999999999999</v>
      </c>
      <c r="S85" s="400">
        <v>1876.14</v>
      </c>
      <c r="T85" s="400">
        <v>0</v>
      </c>
      <c r="U85" s="400">
        <v>0</v>
      </c>
      <c r="V85" s="400">
        <v>114.28000000000003</v>
      </c>
      <c r="W85" s="400">
        <v>685.69</v>
      </c>
      <c r="X85" s="400">
        <v>228.57</v>
      </c>
      <c r="Y85" s="400">
        <v>563.79999999999995</v>
      </c>
      <c r="Z85" s="400">
        <v>190.47</v>
      </c>
      <c r="AA85" s="400">
        <v>285.70999999999998</v>
      </c>
      <c r="AB85" s="400">
        <v>274.27999999999997</v>
      </c>
      <c r="AC85" s="400">
        <f t="shared" si="292"/>
        <v>8675.94</v>
      </c>
      <c r="AE85" s="127" t="s">
        <v>99</v>
      </c>
      <c r="AF85" s="27">
        <v>1105.56</v>
      </c>
      <c r="AG85" s="27">
        <v>963.92</v>
      </c>
      <c r="AH85" s="27">
        <v>543.58000000000004</v>
      </c>
      <c r="AI85" s="27">
        <v>512.87</v>
      </c>
      <c r="AJ85" s="27">
        <v>374.67</v>
      </c>
      <c r="AK85" s="27">
        <v>221.12</v>
      </c>
      <c r="AL85" s="27">
        <v>921.31</v>
      </c>
      <c r="AM85" s="27">
        <v>230.33</v>
      </c>
      <c r="AN85" s="27">
        <v>1041.07</v>
      </c>
      <c r="AO85" s="27">
        <v>0</v>
      </c>
      <c r="AP85" s="27">
        <v>276.39</v>
      </c>
      <c r="AQ85" s="27">
        <v>414.59</v>
      </c>
      <c r="AR85" s="43">
        <f t="shared" si="402"/>
        <v>6605.41</v>
      </c>
      <c r="AT85" s="60" t="s">
        <v>99</v>
      </c>
      <c r="AU85" s="27">
        <v>2402</v>
      </c>
      <c r="AV85" s="27">
        <v>106.76</v>
      </c>
      <c r="AW85" s="27">
        <v>551.58000000000004</v>
      </c>
      <c r="AX85" s="27">
        <v>106.76</v>
      </c>
      <c r="AY85" s="27">
        <v>106.76000000000002</v>
      </c>
      <c r="AZ85" s="27">
        <v>106.76</v>
      </c>
      <c r="BA85" s="27">
        <v>533.79</v>
      </c>
      <c r="BB85" s="27">
        <v>533.78</v>
      </c>
      <c r="BC85" s="27">
        <v>222.41</v>
      </c>
      <c r="BD85" s="27">
        <v>0</v>
      </c>
      <c r="BE85" s="27">
        <v>355.85</v>
      </c>
      <c r="BF85" s="27">
        <v>266.89</v>
      </c>
      <c r="BG85" s="43">
        <f t="shared" si="403"/>
        <v>5293.3400000000011</v>
      </c>
      <c r="BI85" s="60" t="s">
        <v>99</v>
      </c>
      <c r="BJ85" s="27">
        <v>1612.6799999999998</v>
      </c>
      <c r="BK85" s="27">
        <v>1319.48</v>
      </c>
      <c r="BL85" s="27">
        <v>0</v>
      </c>
      <c r="BM85" s="27">
        <v>261.8</v>
      </c>
      <c r="BN85" s="27">
        <v>523.6</v>
      </c>
      <c r="BO85" s="27">
        <v>471.24</v>
      </c>
      <c r="BP85" s="27">
        <v>0</v>
      </c>
      <c r="BQ85" s="27">
        <v>785.40000000000009</v>
      </c>
      <c r="BR85" s="27">
        <v>0</v>
      </c>
      <c r="BS85" s="27">
        <v>0</v>
      </c>
      <c r="BT85" s="27">
        <v>0</v>
      </c>
      <c r="BU85" s="27">
        <v>0</v>
      </c>
      <c r="BV85" s="43">
        <f t="shared" si="404"/>
        <v>4974.2000000000007</v>
      </c>
      <c r="BW85" s="405"/>
      <c r="BX85" s="32">
        <f t="shared" si="363"/>
        <v>0.14660484627099443</v>
      </c>
      <c r="BY85" s="32">
        <f t="shared" si="364"/>
        <v>0.14660484627099443</v>
      </c>
      <c r="BZ85" s="32">
        <f t="shared" si="365"/>
        <v>0.54095917360836365</v>
      </c>
      <c r="CA85" s="32">
        <f t="shared" si="366"/>
        <v>0.54792751730230382</v>
      </c>
      <c r="CB85" s="32">
        <f t="shared" si="367"/>
        <v>0.54792751730230382</v>
      </c>
      <c r="CC85" s="32">
        <f t="shared" si="368"/>
        <v>0.54792751730230382</v>
      </c>
      <c r="CD85" s="32">
        <f t="shared" si="369"/>
        <v>0.54792751730230382</v>
      </c>
      <c r="CE85" s="32">
        <f t="shared" si="370"/>
        <v>0.85262962501287176</v>
      </c>
      <c r="CF85" s="32">
        <f t="shared" si="371"/>
        <v>0.91848948312585021</v>
      </c>
      <c r="CG85" s="32">
        <f t="shared" si="372"/>
        <v>0.93139372293551126</v>
      </c>
      <c r="CH85" s="32">
        <f t="shared" si="373"/>
        <v>0.98301068217415566</v>
      </c>
      <c r="CI85" s="32">
        <f t="shared" si="374"/>
        <v>1</v>
      </c>
      <c r="CJ85" s="405"/>
      <c r="CK85" s="32">
        <f t="shared" si="375"/>
        <v>0.36882458845957899</v>
      </c>
      <c r="CL85" s="32">
        <f t="shared" si="376"/>
        <v>0.51371955084982146</v>
      </c>
      <c r="CM85" s="32">
        <f t="shared" si="377"/>
        <v>0.72996585960714344</v>
      </c>
      <c r="CN85" s="32">
        <f t="shared" si="378"/>
        <v>0.72996585960714344</v>
      </c>
      <c r="CO85" s="32">
        <f t="shared" si="379"/>
        <v>0.72996585960714344</v>
      </c>
      <c r="CP85" s="32">
        <f t="shared" si="380"/>
        <v>0.74313791934937301</v>
      </c>
      <c r="CQ85" s="32">
        <f t="shared" si="381"/>
        <v>0.82217143041560914</v>
      </c>
      <c r="CR85" s="32">
        <f t="shared" si="382"/>
        <v>0.84851670251292655</v>
      </c>
      <c r="CS85" s="32">
        <f t="shared" si="383"/>
        <v>0.91350101545192797</v>
      </c>
      <c r="CT85" s="32">
        <f t="shared" si="384"/>
        <v>0.93545483255993012</v>
      </c>
      <c r="CU85" s="32">
        <f t="shared" si="385"/>
        <v>0.96838613452836231</v>
      </c>
      <c r="CV85" s="32">
        <f t="shared" si="386"/>
        <v>1</v>
      </c>
      <c r="CX85" s="32">
        <f t="shared" si="387"/>
        <v>0.16737189667257596</v>
      </c>
      <c r="CY85" s="32">
        <f t="shared" si="388"/>
        <v>0.31330076407066332</v>
      </c>
      <c r="CZ85" s="32">
        <f t="shared" si="389"/>
        <v>0.39559391468508387</v>
      </c>
      <c r="DA85" s="32">
        <f t="shared" si="390"/>
        <v>0.47323784594748847</v>
      </c>
      <c r="DB85" s="32">
        <f t="shared" si="391"/>
        <v>0.52995953317053746</v>
      </c>
      <c r="DC85" s="32">
        <f t="shared" si="392"/>
        <v>0.56343512363350645</v>
      </c>
      <c r="DD85" s="32">
        <f t="shared" si="393"/>
        <v>0.70291321810455365</v>
      </c>
      <c r="DE85" s="32">
        <f t="shared" si="394"/>
        <v>0.73778312019995729</v>
      </c>
      <c r="DF85" s="32">
        <f t="shared" si="395"/>
        <v>0.89539180762435633</v>
      </c>
      <c r="DG85" s="32">
        <f t="shared" si="396"/>
        <v>0.89539180762435633</v>
      </c>
      <c r="DH85" s="32">
        <f t="shared" si="397"/>
        <v>0.93723478179250042</v>
      </c>
      <c r="DI85" s="32">
        <f t="shared" si="398"/>
        <v>1</v>
      </c>
      <c r="DK85" s="32">
        <f t="shared" si="294"/>
        <v>0.4537777660229646</v>
      </c>
      <c r="DL85" s="32">
        <f t="shared" si="295"/>
        <v>0.47394650636460151</v>
      </c>
      <c r="DM85" s="32">
        <f t="shared" si="296"/>
        <v>0.57814914590787658</v>
      </c>
      <c r="DN85" s="32">
        <f t="shared" si="297"/>
        <v>0.59831788624951354</v>
      </c>
      <c r="DO85" s="32">
        <f t="shared" si="298"/>
        <v>0.61848662659115039</v>
      </c>
      <c r="DP85" s="32">
        <f t="shared" si="299"/>
        <v>0.63865536693278724</v>
      </c>
      <c r="DQ85" s="32">
        <f t="shared" si="300"/>
        <v>0.73949717947458504</v>
      </c>
      <c r="DR85" s="32">
        <f t="shared" si="301"/>
        <v>0.8403371028499963</v>
      </c>
      <c r="DS85" s="32">
        <f t="shared" si="302"/>
        <v>0.88235405245081544</v>
      </c>
      <c r="DT85" s="32">
        <f t="shared" si="303"/>
        <v>0.88235405245081544</v>
      </c>
      <c r="DU85" s="32">
        <f t="shared" si="304"/>
        <v>0.94958003831229432</v>
      </c>
      <c r="DV85" s="32">
        <f t="shared" si="305"/>
        <v>1</v>
      </c>
      <c r="DW85" s="39"/>
      <c r="DX85" s="32">
        <f t="shared" si="306"/>
        <v>0.3242089180169675</v>
      </c>
      <c r="DY85" s="32">
        <f t="shared" si="307"/>
        <v>0.58947368421052615</v>
      </c>
      <c r="DZ85" s="32">
        <f t="shared" si="308"/>
        <v>0.58947368421052615</v>
      </c>
      <c r="EA85" s="32">
        <f t="shared" si="309"/>
        <v>0.64210526315789462</v>
      </c>
      <c r="EB85" s="32">
        <f t="shared" si="310"/>
        <v>0.74736842105263146</v>
      </c>
      <c r="EC85" s="32">
        <f t="shared" si="311"/>
        <v>0.84210526315789469</v>
      </c>
      <c r="ED85" s="32">
        <f t="shared" si="312"/>
        <v>0.84210526315789469</v>
      </c>
      <c r="EE85" s="32">
        <f t="shared" si="313"/>
        <v>1</v>
      </c>
      <c r="EF85" s="32">
        <f t="shared" si="314"/>
        <v>1</v>
      </c>
      <c r="EG85" s="32">
        <f t="shared" si="315"/>
        <v>1</v>
      </c>
      <c r="EH85" s="32">
        <f t="shared" si="316"/>
        <v>1</v>
      </c>
      <c r="EI85" s="32">
        <f t="shared" si="317"/>
        <v>1</v>
      </c>
      <c r="EK85" s="32">
        <f t="shared" si="399"/>
        <v>0.31511952690416939</v>
      </c>
      <c r="EL85" s="32">
        <f t="shared" si="318"/>
        <v>0.45890698488193032</v>
      </c>
      <c r="EM85" s="32">
        <f t="shared" si="319"/>
        <v>0.52107224826782883</v>
      </c>
      <c r="EN85" s="32">
        <f t="shared" si="320"/>
        <v>0.57122033178496556</v>
      </c>
      <c r="EO85" s="32">
        <f t="shared" si="321"/>
        <v>0.6319381936047731</v>
      </c>
      <c r="EP85" s="32">
        <f t="shared" si="322"/>
        <v>0.68139858457472935</v>
      </c>
      <c r="EQ85" s="32">
        <f t="shared" si="323"/>
        <v>0.76150522024567779</v>
      </c>
      <c r="ER85" s="32">
        <f t="shared" si="324"/>
        <v>0.85937340768331794</v>
      </c>
      <c r="ES85" s="32">
        <f t="shared" si="325"/>
        <v>0.92591528669172396</v>
      </c>
      <c r="ET85" s="32">
        <f t="shared" si="326"/>
        <v>0.92591528669172396</v>
      </c>
      <c r="EU85" s="32">
        <f t="shared" si="327"/>
        <v>0.96227160670159828</v>
      </c>
      <c r="EV85" s="32">
        <f t="shared" si="328"/>
        <v>1</v>
      </c>
      <c r="EX85" s="32">
        <f t="shared" si="329"/>
        <v>0.32854579229302172</v>
      </c>
      <c r="EY85" s="32">
        <f t="shared" si="330"/>
        <v>0.47261012637390309</v>
      </c>
      <c r="EZ85" s="32">
        <f t="shared" si="331"/>
        <v>0.57329565110265746</v>
      </c>
      <c r="FA85" s="32">
        <f t="shared" si="332"/>
        <v>0.61090671374050998</v>
      </c>
      <c r="FB85" s="32">
        <f t="shared" si="333"/>
        <v>0.65644511010536566</v>
      </c>
      <c r="FC85" s="32">
        <f t="shared" si="334"/>
        <v>0.69683341826839029</v>
      </c>
      <c r="FD85" s="32">
        <f t="shared" si="335"/>
        <v>0.77667177278816069</v>
      </c>
      <c r="FE85" s="32">
        <f t="shared" si="336"/>
        <v>0.85665923139072009</v>
      </c>
      <c r="FF85" s="32">
        <f t="shared" si="337"/>
        <v>0.92281171888177493</v>
      </c>
      <c r="FG85" s="32">
        <f t="shared" si="338"/>
        <v>0.92830017315877544</v>
      </c>
      <c r="FH85" s="32">
        <f t="shared" si="339"/>
        <v>0.96380023865828934</v>
      </c>
      <c r="FI85" s="32">
        <f t="shared" si="340"/>
        <v>1</v>
      </c>
      <c r="FK85" s="32">
        <f t="shared" si="400"/>
        <v>0.32999141705170654</v>
      </c>
      <c r="FL85" s="32">
        <f t="shared" si="341"/>
        <v>0.43365560709502882</v>
      </c>
      <c r="FM85" s="32">
        <f t="shared" si="342"/>
        <v>0.56790297340003459</v>
      </c>
      <c r="FN85" s="32">
        <f t="shared" si="343"/>
        <v>0.60050719726804846</v>
      </c>
      <c r="FO85" s="32">
        <f t="shared" si="344"/>
        <v>0.62613733978961039</v>
      </c>
      <c r="FP85" s="32">
        <f t="shared" si="345"/>
        <v>0.64840946997188886</v>
      </c>
      <c r="FQ85" s="32">
        <f t="shared" si="346"/>
        <v>0.75486060933158272</v>
      </c>
      <c r="FR85" s="32">
        <f t="shared" si="347"/>
        <v>0.80887897518762664</v>
      </c>
      <c r="FS85" s="32">
        <f t="shared" si="348"/>
        <v>0.89708229184236654</v>
      </c>
      <c r="FT85" s="32">
        <f t="shared" si="349"/>
        <v>0.90440023087836729</v>
      </c>
      <c r="FU85" s="32">
        <f t="shared" si="350"/>
        <v>0.95173365154438561</v>
      </c>
      <c r="FV85" s="32">
        <f t="shared" si="351"/>
        <v>1</v>
      </c>
      <c r="FX85" s="32">
        <f t="shared" si="401"/>
        <v>0.22760044380104982</v>
      </c>
      <c r="FY85" s="32">
        <f t="shared" si="352"/>
        <v>0.32454172039715973</v>
      </c>
      <c r="FZ85" s="32">
        <f t="shared" si="353"/>
        <v>0.55550631596686362</v>
      </c>
      <c r="GA85" s="32">
        <f t="shared" si="354"/>
        <v>0.58371040761897852</v>
      </c>
      <c r="GB85" s="32">
        <f t="shared" si="355"/>
        <v>0.60261763669332824</v>
      </c>
      <c r="GC85" s="32">
        <f t="shared" si="356"/>
        <v>0.6181668534283945</v>
      </c>
      <c r="GD85" s="32">
        <f t="shared" si="357"/>
        <v>0.69100405527415554</v>
      </c>
      <c r="GE85" s="32">
        <f t="shared" si="358"/>
        <v>0.81297648257525201</v>
      </c>
      <c r="GF85" s="32">
        <f t="shared" si="359"/>
        <v>0.90912743540071139</v>
      </c>
      <c r="GG85" s="32">
        <f t="shared" si="360"/>
        <v>0.92074678770659923</v>
      </c>
      <c r="GH85" s="32">
        <f t="shared" si="361"/>
        <v>0.96287719949833939</v>
      </c>
      <c r="GI85" s="32">
        <f t="shared" si="362"/>
        <v>1</v>
      </c>
    </row>
    <row r="86" spans="1:191">
      <c r="A86" s="724" t="s">
        <v>100</v>
      </c>
      <c r="B86" s="399">
        <v>29904.47</v>
      </c>
      <c r="C86" s="400">
        <v>33918.5</v>
      </c>
      <c r="D86" s="400">
        <v>16702.939999999999</v>
      </c>
      <c r="E86" s="400">
        <v>11427.9</v>
      </c>
      <c r="F86" s="400">
        <v>14991.24</v>
      </c>
      <c r="G86" s="400">
        <v>22681.46</v>
      </c>
      <c r="H86" s="400">
        <v>22030.43</v>
      </c>
      <c r="I86" s="400">
        <v>114890.89</v>
      </c>
      <c r="J86" s="400">
        <v>35403.22</v>
      </c>
      <c r="K86" s="400">
        <v>36913.839999999997</v>
      </c>
      <c r="L86" s="400">
        <v>22587.39</v>
      </c>
      <c r="M86" s="400">
        <v>30111.38</v>
      </c>
      <c r="N86" s="400">
        <f t="shared" si="291"/>
        <v>391563.66000000003</v>
      </c>
      <c r="P86" s="396" t="s">
        <v>100</v>
      </c>
      <c r="Q86" s="399">
        <v>72039.41</v>
      </c>
      <c r="R86" s="400">
        <v>111932.04</v>
      </c>
      <c r="S86" s="400">
        <v>50845.74</v>
      </c>
      <c r="T86" s="400">
        <v>25943.05</v>
      </c>
      <c r="U86" s="400">
        <v>18225.080000000002</v>
      </c>
      <c r="V86" s="400">
        <v>36112.959999999999</v>
      </c>
      <c r="W86" s="400">
        <v>33790.19</v>
      </c>
      <c r="X86" s="400">
        <v>54798.66</v>
      </c>
      <c r="Y86" s="400">
        <v>13034.99</v>
      </c>
      <c r="Z86" s="400">
        <v>6312.79</v>
      </c>
      <c r="AA86" s="400">
        <v>6665.17</v>
      </c>
      <c r="AB86" s="400">
        <v>11103.36</v>
      </c>
      <c r="AC86" s="400">
        <f t="shared" si="292"/>
        <v>440803.43999999994</v>
      </c>
      <c r="AE86" s="127" t="s">
        <v>100</v>
      </c>
      <c r="AF86" s="27">
        <v>55342.41</v>
      </c>
      <c r="AG86" s="27">
        <v>107875.12</v>
      </c>
      <c r="AH86" s="27">
        <v>39001.22</v>
      </c>
      <c r="AI86" s="27">
        <v>40257.620000000003</v>
      </c>
      <c r="AJ86" s="27">
        <v>50090.81</v>
      </c>
      <c r="AK86" s="27">
        <v>49629.26</v>
      </c>
      <c r="AL86" s="27">
        <v>12943.8</v>
      </c>
      <c r="AM86" s="27">
        <v>14063.83</v>
      </c>
      <c r="AN86" s="27">
        <v>13606.89</v>
      </c>
      <c r="AO86" s="27">
        <v>13495.54</v>
      </c>
      <c r="AP86" s="27">
        <v>9286.48</v>
      </c>
      <c r="AQ86" s="27">
        <v>10663.55</v>
      </c>
      <c r="AR86" s="43">
        <f t="shared" si="402"/>
        <v>416256.52999999997</v>
      </c>
      <c r="AT86" s="60" t="s">
        <v>100</v>
      </c>
      <c r="AU86" s="27">
        <v>52599.040000000001</v>
      </c>
      <c r="AV86" s="27">
        <v>101006.68</v>
      </c>
      <c r="AW86" s="27">
        <v>44291.58</v>
      </c>
      <c r="AX86" s="27">
        <v>37365.19</v>
      </c>
      <c r="AY86" s="27">
        <v>41225.57</v>
      </c>
      <c r="AZ86" s="27">
        <v>49564.01</v>
      </c>
      <c r="BA86" s="27">
        <v>15049.68</v>
      </c>
      <c r="BB86" s="27">
        <v>16696.189999999999</v>
      </c>
      <c r="BC86" s="27">
        <v>10900.17</v>
      </c>
      <c r="BD86" s="27">
        <v>8400.33</v>
      </c>
      <c r="BE86" s="27">
        <v>8017.78</v>
      </c>
      <c r="BF86" s="27">
        <v>7309.77</v>
      </c>
      <c r="BG86" s="43">
        <f t="shared" si="403"/>
        <v>392425.99000000005</v>
      </c>
      <c r="BI86" s="60" t="s">
        <v>100</v>
      </c>
      <c r="BJ86" s="27">
        <v>41117.9</v>
      </c>
      <c r="BK86" s="27">
        <v>116277.06999999999</v>
      </c>
      <c r="BL86" s="27">
        <v>39875.520000000004</v>
      </c>
      <c r="BM86" s="27">
        <v>31984.79</v>
      </c>
      <c r="BN86" s="27">
        <v>45387.25</v>
      </c>
      <c r="BO86" s="27">
        <v>48505.25</v>
      </c>
      <c r="BP86" s="27">
        <v>13173.220000000001</v>
      </c>
      <c r="BQ86" s="27">
        <v>9729.67</v>
      </c>
      <c r="BR86" s="27">
        <v>5021.2</v>
      </c>
      <c r="BS86" s="27">
        <v>10239.42</v>
      </c>
      <c r="BT86" s="27">
        <v>6706.5</v>
      </c>
      <c r="BU86" s="27">
        <v>3161.9399999999996</v>
      </c>
      <c r="BV86" s="43">
        <f t="shared" si="404"/>
        <v>371179.73</v>
      </c>
      <c r="BW86" s="405"/>
      <c r="BX86" s="32">
        <f t="shared" si="363"/>
        <v>7.6371923788841889E-2</v>
      </c>
      <c r="BY86" s="32">
        <f t="shared" si="364"/>
        <v>0.16299513085560594</v>
      </c>
      <c r="BZ86" s="32">
        <f t="shared" si="365"/>
        <v>0.20565215372642087</v>
      </c>
      <c r="CA86" s="32">
        <f t="shared" si="366"/>
        <v>0.23483744635546616</v>
      </c>
      <c r="CB86" s="32">
        <f t="shared" si="367"/>
        <v>0.27312302168183838</v>
      </c>
      <c r="CC86" s="32">
        <f t="shared" si="368"/>
        <v>0.33104836643931668</v>
      </c>
      <c r="CD86" s="32">
        <f t="shared" si="369"/>
        <v>0.38731106967383028</v>
      </c>
      <c r="CE86" s="32">
        <f t="shared" si="370"/>
        <v>0.68072667928377217</v>
      </c>
      <c r="CF86" s="32">
        <f t="shared" si="371"/>
        <v>0.77114165803844004</v>
      </c>
      <c r="CG86" s="32">
        <f t="shared" si="372"/>
        <v>0.86541455353645425</v>
      </c>
      <c r="CH86" s="32">
        <f t="shared" si="373"/>
        <v>0.92309965638792935</v>
      </c>
      <c r="CI86" s="32">
        <f t="shared" si="374"/>
        <v>1</v>
      </c>
      <c r="CJ86" s="405"/>
      <c r="CK86" s="32">
        <f t="shared" si="375"/>
        <v>0.16342751317911677</v>
      </c>
      <c r="CL86" s="32">
        <f t="shared" si="376"/>
        <v>0.41735484187691463</v>
      </c>
      <c r="CM86" s="32">
        <f t="shared" si="377"/>
        <v>0.53270271665756519</v>
      </c>
      <c r="CN86" s="32">
        <f t="shared" si="378"/>
        <v>0.59155672650830493</v>
      </c>
      <c r="CO86" s="32">
        <f t="shared" si="379"/>
        <v>0.63290186664604986</v>
      </c>
      <c r="CP86" s="32">
        <f t="shared" si="380"/>
        <v>0.71482718011456547</v>
      </c>
      <c r="CQ86" s="32">
        <f t="shared" si="381"/>
        <v>0.79148309278167173</v>
      </c>
      <c r="CR86" s="32">
        <f t="shared" si="382"/>
        <v>0.91579850193546597</v>
      </c>
      <c r="CS86" s="32">
        <f t="shared" si="383"/>
        <v>0.94536948259750431</v>
      </c>
      <c r="CT86" s="32">
        <f t="shared" si="384"/>
        <v>0.95969058226950321</v>
      </c>
      <c r="CU86" s="32">
        <f t="shared" si="385"/>
        <v>0.97481108586629905</v>
      </c>
      <c r="CV86" s="32">
        <f t="shared" si="386"/>
        <v>1</v>
      </c>
      <c r="CX86" s="32">
        <f t="shared" si="387"/>
        <v>0.13295265301904094</v>
      </c>
      <c r="CY86" s="32">
        <f t="shared" si="388"/>
        <v>0.39210803491779461</v>
      </c>
      <c r="CZ86" s="32">
        <f t="shared" si="389"/>
        <v>0.48580318968209341</v>
      </c>
      <c r="DA86" s="32">
        <f t="shared" si="390"/>
        <v>0.5825166754741361</v>
      </c>
      <c r="DB86" s="32">
        <f t="shared" si="391"/>
        <v>0.70285306995664432</v>
      </c>
      <c r="DC86" s="32">
        <f t="shared" si="392"/>
        <v>0.82208065300501121</v>
      </c>
      <c r="DD86" s="32">
        <f t="shared" si="393"/>
        <v>0.85317638140115182</v>
      </c>
      <c r="DE86" s="32">
        <f t="shared" si="394"/>
        <v>0.88696283034887169</v>
      </c>
      <c r="DF86" s="32">
        <f t="shared" si="395"/>
        <v>0.91965154276378569</v>
      </c>
      <c r="DG86" s="32">
        <f t="shared" si="396"/>
        <v>0.95207275186770046</v>
      </c>
      <c r="DH86" s="32">
        <f t="shared" si="397"/>
        <v>0.97438226374490755</v>
      </c>
      <c r="DI86" s="32">
        <f t="shared" si="398"/>
        <v>1</v>
      </c>
      <c r="DK86" s="32">
        <f t="shared" si="294"/>
        <v>0.13403556680840634</v>
      </c>
      <c r="DL86" s="32">
        <f t="shared" si="295"/>
        <v>0.39142596034477734</v>
      </c>
      <c r="DM86" s="32">
        <f t="shared" si="296"/>
        <v>0.50429203223772201</v>
      </c>
      <c r="DN86" s="32">
        <f t="shared" si="297"/>
        <v>0.59950792250023999</v>
      </c>
      <c r="DO86" s="32">
        <f t="shared" si="298"/>
        <v>0.70456103073091558</v>
      </c>
      <c r="DP86" s="32">
        <f t="shared" si="299"/>
        <v>0.83086257869923441</v>
      </c>
      <c r="DQ86" s="32">
        <f t="shared" si="300"/>
        <v>0.8692129438215852</v>
      </c>
      <c r="DR86" s="32">
        <f t="shared" si="301"/>
        <v>0.91175903002754721</v>
      </c>
      <c r="DS86" s="32">
        <f t="shared" si="302"/>
        <v>0.93953540131223201</v>
      </c>
      <c r="DT86" s="32">
        <f t="shared" si="303"/>
        <v>0.96094155231665457</v>
      </c>
      <c r="DU86" s="32">
        <f t="shared" si="304"/>
        <v>0.9813728698244476</v>
      </c>
      <c r="DV86" s="32">
        <f t="shared" si="305"/>
        <v>1</v>
      </c>
      <c r="DW86" s="39"/>
      <c r="DX86" s="32">
        <f t="shared" si="306"/>
        <v>0.11077625386494032</v>
      </c>
      <c r="DY86" s="32">
        <f t="shared" si="307"/>
        <v>0.4240397771720994</v>
      </c>
      <c r="DZ86" s="32">
        <f t="shared" si="308"/>
        <v>0.53146891938307084</v>
      </c>
      <c r="EA86" s="32">
        <f t="shared" si="309"/>
        <v>0.61763954621121153</v>
      </c>
      <c r="EB86" s="32">
        <f t="shared" si="310"/>
        <v>0.73991790984922601</v>
      </c>
      <c r="EC86" s="32">
        <f t="shared" si="311"/>
        <v>0.87059651667939963</v>
      </c>
      <c r="ED86" s="32">
        <f t="shared" si="312"/>
        <v>0.90608665510910313</v>
      </c>
      <c r="EE86" s="32">
        <f t="shared" si="313"/>
        <v>0.93229948197871693</v>
      </c>
      <c r="EF86" s="32">
        <f t="shared" si="314"/>
        <v>0.94582716033550651</v>
      </c>
      <c r="EG86" s="32">
        <f t="shared" si="315"/>
        <v>0.97341331112019502</v>
      </c>
      <c r="EH86" s="32">
        <f t="shared" si="316"/>
        <v>0.99148137749871201</v>
      </c>
      <c r="EI86" s="32">
        <f t="shared" si="317"/>
        <v>1</v>
      </c>
      <c r="EK86" s="32">
        <f t="shared" si="399"/>
        <v>0.12592149123079585</v>
      </c>
      <c r="EL86" s="32">
        <f t="shared" si="318"/>
        <v>0.40252459081155711</v>
      </c>
      <c r="EM86" s="32">
        <f t="shared" si="319"/>
        <v>0.5071880471009621</v>
      </c>
      <c r="EN86" s="32">
        <f t="shared" si="320"/>
        <v>0.59988804806186247</v>
      </c>
      <c r="EO86" s="32">
        <f t="shared" si="321"/>
        <v>0.71577733684559519</v>
      </c>
      <c r="EP86" s="32">
        <f t="shared" si="322"/>
        <v>0.84117991612788179</v>
      </c>
      <c r="EQ86" s="32">
        <f t="shared" si="323"/>
        <v>0.87615866011061339</v>
      </c>
      <c r="ER86" s="32">
        <f t="shared" si="324"/>
        <v>0.91034044745171194</v>
      </c>
      <c r="ES86" s="32">
        <f t="shared" si="325"/>
        <v>0.93500470147050807</v>
      </c>
      <c r="ET86" s="32">
        <f t="shared" si="326"/>
        <v>0.96214253843484998</v>
      </c>
      <c r="EU86" s="32">
        <f t="shared" si="327"/>
        <v>0.98241217035602235</v>
      </c>
      <c r="EV86" s="32">
        <f t="shared" si="328"/>
        <v>1</v>
      </c>
      <c r="EX86" s="32">
        <f t="shared" si="329"/>
        <v>0.1352979967178761</v>
      </c>
      <c r="EY86" s="32">
        <f t="shared" si="330"/>
        <v>0.40623215357789649</v>
      </c>
      <c r="EZ86" s="32">
        <f t="shared" si="331"/>
        <v>0.51356671449011282</v>
      </c>
      <c r="FA86" s="32">
        <f t="shared" si="332"/>
        <v>0.59780521767347317</v>
      </c>
      <c r="FB86" s="32">
        <f t="shared" si="333"/>
        <v>0.69505846929570891</v>
      </c>
      <c r="FC86" s="32">
        <f t="shared" si="334"/>
        <v>0.80959173212455271</v>
      </c>
      <c r="FD86" s="32">
        <f t="shared" si="335"/>
        <v>0.85498976827837792</v>
      </c>
      <c r="FE86" s="32">
        <f t="shared" si="336"/>
        <v>0.91170496107265042</v>
      </c>
      <c r="FF86" s="32">
        <f t="shared" si="337"/>
        <v>0.93759589675225707</v>
      </c>
      <c r="FG86" s="32">
        <f t="shared" si="338"/>
        <v>0.96152954939351321</v>
      </c>
      <c r="FH86" s="32">
        <f t="shared" si="339"/>
        <v>0.9805118992335915</v>
      </c>
      <c r="FI86" s="32">
        <f t="shared" si="340"/>
        <v>1</v>
      </c>
      <c r="FK86" s="32">
        <f t="shared" si="400"/>
        <v>0.14347191100218801</v>
      </c>
      <c r="FL86" s="32">
        <f t="shared" si="341"/>
        <v>0.40029627904649551</v>
      </c>
      <c r="FM86" s="32">
        <f t="shared" si="342"/>
        <v>0.50759931285912685</v>
      </c>
      <c r="FN86" s="32">
        <f t="shared" si="343"/>
        <v>0.5911937748275603</v>
      </c>
      <c r="FO86" s="32">
        <f t="shared" si="344"/>
        <v>0.68010532244453659</v>
      </c>
      <c r="FP86" s="32">
        <f t="shared" si="345"/>
        <v>0.78925680393960373</v>
      </c>
      <c r="FQ86" s="32">
        <f t="shared" si="346"/>
        <v>0.83795747266813614</v>
      </c>
      <c r="FR86" s="32">
        <f t="shared" si="347"/>
        <v>0.90484012077062825</v>
      </c>
      <c r="FS86" s="32">
        <f t="shared" si="348"/>
        <v>0.93485214222450741</v>
      </c>
      <c r="FT86" s="32">
        <f t="shared" si="349"/>
        <v>0.95756829548461952</v>
      </c>
      <c r="FU86" s="32">
        <f t="shared" si="350"/>
        <v>0.9768554064785514</v>
      </c>
      <c r="FV86" s="32">
        <f t="shared" si="351"/>
        <v>1</v>
      </c>
      <c r="FX86" s="32">
        <f t="shared" si="401"/>
        <v>0.1242506966623332</v>
      </c>
      <c r="FY86" s="32">
        <f t="shared" si="352"/>
        <v>0.32415266921677172</v>
      </c>
      <c r="FZ86" s="32">
        <f t="shared" si="353"/>
        <v>0.40805268668869316</v>
      </c>
      <c r="GA86" s="32">
        <f t="shared" si="354"/>
        <v>0.46963694944596907</v>
      </c>
      <c r="GB86" s="32">
        <f t="shared" si="355"/>
        <v>0.53629265276151084</v>
      </c>
      <c r="GC86" s="32">
        <f t="shared" si="356"/>
        <v>0.62265206651963112</v>
      </c>
      <c r="GD86" s="32">
        <f t="shared" si="357"/>
        <v>0.67732351461888463</v>
      </c>
      <c r="GE86" s="32">
        <f t="shared" si="358"/>
        <v>0.82782933718937002</v>
      </c>
      <c r="GF86" s="32">
        <f t="shared" si="359"/>
        <v>0.87872089446657675</v>
      </c>
      <c r="GG86" s="32">
        <f t="shared" si="360"/>
        <v>0.92572596255788608</v>
      </c>
      <c r="GH86" s="32">
        <f t="shared" si="361"/>
        <v>0.95743100199971198</v>
      </c>
      <c r="GI86" s="32">
        <f t="shared" si="362"/>
        <v>1</v>
      </c>
    </row>
    <row r="87" spans="1:191">
      <c r="A87" s="724" t="s">
        <v>101</v>
      </c>
      <c r="B87" s="399">
        <v>214468.8</v>
      </c>
      <c r="C87" s="400">
        <v>209177.48</v>
      </c>
      <c r="D87" s="400">
        <v>126634.34</v>
      </c>
      <c r="E87" s="400">
        <v>82324.289999999994</v>
      </c>
      <c r="F87" s="400">
        <v>59158.44</v>
      </c>
      <c r="G87" s="400">
        <v>87333.86</v>
      </c>
      <c r="H87" s="400">
        <v>87798.89</v>
      </c>
      <c r="I87" s="400">
        <v>456952.04</v>
      </c>
      <c r="J87" s="400">
        <v>167557.42000000001</v>
      </c>
      <c r="K87" s="400">
        <v>142863.1</v>
      </c>
      <c r="L87" s="400">
        <v>119868.8</v>
      </c>
      <c r="M87" s="400">
        <v>141570.89000000001</v>
      </c>
      <c r="N87" s="400">
        <f t="shared" si="291"/>
        <v>1895708.35</v>
      </c>
      <c r="P87" s="396" t="s">
        <v>101</v>
      </c>
      <c r="Q87" s="399">
        <v>482384.71</v>
      </c>
      <c r="R87" s="400">
        <v>584771.14</v>
      </c>
      <c r="S87" s="400">
        <v>277033.82</v>
      </c>
      <c r="T87" s="400">
        <v>119736.69</v>
      </c>
      <c r="U87" s="400">
        <v>91210.09</v>
      </c>
      <c r="V87" s="400">
        <v>129332.43</v>
      </c>
      <c r="W87" s="400">
        <v>130577.87</v>
      </c>
      <c r="X87" s="400">
        <v>176421.03</v>
      </c>
      <c r="Y87" s="400">
        <v>67582.66</v>
      </c>
      <c r="Z87" s="400">
        <v>26438.28</v>
      </c>
      <c r="AA87" s="400">
        <v>49389.730000000018</v>
      </c>
      <c r="AB87" s="400">
        <v>53788.47</v>
      </c>
      <c r="AC87" s="400">
        <f t="shared" si="292"/>
        <v>2188666.9200000004</v>
      </c>
      <c r="AE87" s="127" t="s">
        <v>101</v>
      </c>
      <c r="AF87" s="27">
        <v>381981.82</v>
      </c>
      <c r="AG87" s="27">
        <v>550940.01</v>
      </c>
      <c r="AH87" s="27">
        <v>181502.59</v>
      </c>
      <c r="AI87" s="27">
        <v>181374.41</v>
      </c>
      <c r="AJ87" s="27">
        <v>216593.09</v>
      </c>
      <c r="AK87" s="27">
        <v>195518.32</v>
      </c>
      <c r="AL87" s="27">
        <v>107339.87</v>
      </c>
      <c r="AM87" s="27">
        <v>88291.97</v>
      </c>
      <c r="AN87" s="27">
        <v>80649</v>
      </c>
      <c r="AO87" s="27">
        <v>68860.05</v>
      </c>
      <c r="AP87" s="27">
        <v>91131.86</v>
      </c>
      <c r="AQ87" s="27">
        <v>91036.67</v>
      </c>
      <c r="AR87" s="43">
        <f t="shared" si="402"/>
        <v>2235219.66</v>
      </c>
      <c r="AT87" s="60" t="s">
        <v>101</v>
      </c>
      <c r="AU87" s="27">
        <v>638293.59</v>
      </c>
      <c r="AV87" s="27">
        <v>360292.5</v>
      </c>
      <c r="AW87" s="27">
        <v>62830.879999999997</v>
      </c>
      <c r="AX87" s="27">
        <v>259789.19</v>
      </c>
      <c r="AY87" s="27">
        <v>200999.32</v>
      </c>
      <c r="AZ87" s="27">
        <v>140171.41</v>
      </c>
      <c r="BA87" s="27">
        <v>55942.98000000001</v>
      </c>
      <c r="BB87" s="27">
        <v>45717.05</v>
      </c>
      <c r="BC87" s="27">
        <v>32526.18</v>
      </c>
      <c r="BD87" s="27">
        <v>43150.18</v>
      </c>
      <c r="BE87" s="27">
        <v>35850.69</v>
      </c>
      <c r="BF87" s="27">
        <v>30694.080000000002</v>
      </c>
      <c r="BG87" s="43">
        <f t="shared" si="403"/>
        <v>1906258.0499999998</v>
      </c>
      <c r="BI87" s="60" t="s">
        <v>101</v>
      </c>
      <c r="BJ87" s="27">
        <v>725175.12</v>
      </c>
      <c r="BK87" s="27">
        <v>182746.23999999999</v>
      </c>
      <c r="BL87" s="27">
        <v>241990.71</v>
      </c>
      <c r="BM87" s="27">
        <v>70264.639999999999</v>
      </c>
      <c r="BN87" s="27">
        <v>261352.52000000002</v>
      </c>
      <c r="BO87" s="27">
        <v>85195.14</v>
      </c>
      <c r="BP87" s="27">
        <v>60087.920000000006</v>
      </c>
      <c r="BQ87" s="27">
        <v>54276.75</v>
      </c>
      <c r="BR87" s="27">
        <v>21822.36</v>
      </c>
      <c r="BS87" s="27">
        <v>53651.39</v>
      </c>
      <c r="BT87" s="27">
        <v>29994.26</v>
      </c>
      <c r="BU87" s="27">
        <v>16822.509999999998</v>
      </c>
      <c r="BV87" s="43">
        <f t="shared" si="404"/>
        <v>1803379.5599999998</v>
      </c>
      <c r="BW87" s="405"/>
      <c r="BX87" s="32">
        <f t="shared" si="363"/>
        <v>0.11313385838069447</v>
      </c>
      <c r="BY87" s="32">
        <f t="shared" si="364"/>
        <v>0.22347650681604056</v>
      </c>
      <c r="BZ87" s="32">
        <f t="shared" si="365"/>
        <v>0.29027704604455634</v>
      </c>
      <c r="CA87" s="32">
        <f t="shared" si="366"/>
        <v>0.33370371027800771</v>
      </c>
      <c r="CB87" s="32">
        <f t="shared" si="367"/>
        <v>0.36491021944382956</v>
      </c>
      <c r="CC87" s="32">
        <f t="shared" si="368"/>
        <v>0.41097946843985789</v>
      </c>
      <c r="CD87" s="32">
        <f t="shared" si="369"/>
        <v>0.45729402415724973</v>
      </c>
      <c r="CE87" s="32">
        <f t="shared" si="370"/>
        <v>0.69833956262312191</v>
      </c>
      <c r="CF87" s="32">
        <f t="shared" si="371"/>
        <v>0.78672732543484336</v>
      </c>
      <c r="CG87" s="32">
        <f t="shared" si="372"/>
        <v>0.86208865409069912</v>
      </c>
      <c r="CH87" s="32">
        <f t="shared" si="373"/>
        <v>0.92532032155684718</v>
      </c>
      <c r="CI87" s="32">
        <f t="shared" si="374"/>
        <v>1</v>
      </c>
      <c r="CJ87" s="405"/>
      <c r="CK87" s="32">
        <f t="shared" si="375"/>
        <v>0.22040115176593428</v>
      </c>
      <c r="CL87" s="32">
        <f t="shared" si="376"/>
        <v>0.48758257377965941</v>
      </c>
      <c r="CM87" s="32">
        <f t="shared" si="377"/>
        <v>0.61415908364896377</v>
      </c>
      <c r="CN87" s="32">
        <f t="shared" si="378"/>
        <v>0.66886667250400977</v>
      </c>
      <c r="CO87" s="32">
        <f t="shared" si="379"/>
        <v>0.71054048278849113</v>
      </c>
      <c r="CP87" s="32">
        <f t="shared" si="380"/>
        <v>0.76963235685035158</v>
      </c>
      <c r="CQ87" s="32">
        <f t="shared" si="381"/>
        <v>0.82929327135807385</v>
      </c>
      <c r="CR87" s="32">
        <f t="shared" si="382"/>
        <v>0.90989988554311396</v>
      </c>
      <c r="CS87" s="32">
        <f t="shared" si="383"/>
        <v>0.94077834374176939</v>
      </c>
      <c r="CT87" s="32">
        <f t="shared" si="384"/>
        <v>0.95285797073224809</v>
      </c>
      <c r="CU87" s="32">
        <f t="shared" si="385"/>
        <v>0.97542409513824047</v>
      </c>
      <c r="CV87" s="32">
        <f t="shared" si="386"/>
        <v>1</v>
      </c>
      <c r="CX87" s="32">
        <f t="shared" si="387"/>
        <v>0.17089229610659382</v>
      </c>
      <c r="CY87" s="32">
        <f t="shared" si="388"/>
        <v>0.4173736687695383</v>
      </c>
      <c r="CZ87" s="32">
        <f t="shared" si="389"/>
        <v>0.49857490068783666</v>
      </c>
      <c r="DA87" s="32">
        <f t="shared" si="390"/>
        <v>0.57971878701174273</v>
      </c>
      <c r="DB87" s="32">
        <f t="shared" si="391"/>
        <v>0.6766189234394977</v>
      </c>
      <c r="DC87" s="32">
        <f t="shared" si="392"/>
        <v>0.76409055922494884</v>
      </c>
      <c r="DD87" s="32">
        <f t="shared" si="393"/>
        <v>0.81211262699792119</v>
      </c>
      <c r="DE87" s="32">
        <f t="shared" si="394"/>
        <v>0.85161298196527146</v>
      </c>
      <c r="DF87" s="32">
        <f t="shared" si="395"/>
        <v>0.88769399961344297</v>
      </c>
      <c r="DG87" s="32">
        <f t="shared" si="396"/>
        <v>0.91850083763132262</v>
      </c>
      <c r="DH87" s="32">
        <f t="shared" si="397"/>
        <v>0.95927171202493811</v>
      </c>
      <c r="DI87" s="32">
        <f t="shared" si="398"/>
        <v>1</v>
      </c>
      <c r="DK87" s="32">
        <f t="shared" si="294"/>
        <v>0.33484112499879021</v>
      </c>
      <c r="DL87" s="32">
        <f t="shared" si="295"/>
        <v>0.52384622847887785</v>
      </c>
      <c r="DM87" s="32">
        <f t="shared" si="296"/>
        <v>0.55680655092840137</v>
      </c>
      <c r="DN87" s="32">
        <f t="shared" si="297"/>
        <v>0.69308882918553449</v>
      </c>
      <c r="DO87" s="32">
        <f t="shared" si="298"/>
        <v>0.79853065013941849</v>
      </c>
      <c r="DP87" s="32">
        <f t="shared" si="299"/>
        <v>0.87206288256723696</v>
      </c>
      <c r="DQ87" s="32">
        <f t="shared" si="300"/>
        <v>0.90140989568542418</v>
      </c>
      <c r="DR87" s="32">
        <f t="shared" si="301"/>
        <v>0.92539250916212534</v>
      </c>
      <c r="DS87" s="32">
        <f t="shared" si="302"/>
        <v>0.94245535120494317</v>
      </c>
      <c r="DT87" s="32">
        <f t="shared" si="303"/>
        <v>0.96509141561395639</v>
      </c>
      <c r="DU87" s="32">
        <f t="shared" si="304"/>
        <v>0.98389825553785859</v>
      </c>
      <c r="DV87" s="32">
        <f t="shared" si="305"/>
        <v>1</v>
      </c>
      <c r="DW87" s="39"/>
      <c r="DX87" s="32">
        <f t="shared" si="306"/>
        <v>0.40212007282593359</v>
      </c>
      <c r="DY87" s="32">
        <f t="shared" si="307"/>
        <v>0.50345550107044579</v>
      </c>
      <c r="DZ87" s="32">
        <f t="shared" si="308"/>
        <v>0.63764284319602704</v>
      </c>
      <c r="EA87" s="32">
        <f t="shared" si="309"/>
        <v>0.67660560043166962</v>
      </c>
      <c r="EB87" s="32">
        <f t="shared" si="310"/>
        <v>0.82152934571355574</v>
      </c>
      <c r="EC87" s="32">
        <f t="shared" si="311"/>
        <v>0.86877128073914733</v>
      </c>
      <c r="ED87" s="32">
        <f t="shared" si="312"/>
        <v>0.90209089982144408</v>
      </c>
      <c r="EE87" s="32">
        <f t="shared" si="313"/>
        <v>0.93218814124742544</v>
      </c>
      <c r="EF87" s="32">
        <f t="shared" si="314"/>
        <v>0.94428895489976616</v>
      </c>
      <c r="EG87" s="32">
        <f t="shared" si="315"/>
        <v>0.97403942517791431</v>
      </c>
      <c r="EH87" s="32">
        <f t="shared" si="316"/>
        <v>0.99067167535158263</v>
      </c>
      <c r="EI87" s="32">
        <f t="shared" si="317"/>
        <v>1</v>
      </c>
      <c r="EK87" s="32">
        <f t="shared" si="399"/>
        <v>0.30261783131043923</v>
      </c>
      <c r="EL87" s="32">
        <f t="shared" si="318"/>
        <v>0.48155846610628733</v>
      </c>
      <c r="EM87" s="32">
        <f t="shared" si="319"/>
        <v>0.56434143160408834</v>
      </c>
      <c r="EN87" s="32">
        <f t="shared" si="320"/>
        <v>0.64980440554298224</v>
      </c>
      <c r="EO87" s="32">
        <f t="shared" si="321"/>
        <v>0.76555963976415731</v>
      </c>
      <c r="EP87" s="32">
        <f t="shared" si="322"/>
        <v>0.83497490751044434</v>
      </c>
      <c r="EQ87" s="32">
        <f t="shared" si="323"/>
        <v>0.87187114083492967</v>
      </c>
      <c r="ER87" s="32">
        <f t="shared" si="324"/>
        <v>0.90306454412494075</v>
      </c>
      <c r="ES87" s="32">
        <f t="shared" si="325"/>
        <v>0.92481276857271733</v>
      </c>
      <c r="ET87" s="32">
        <f t="shared" si="326"/>
        <v>0.95254389280773122</v>
      </c>
      <c r="EU87" s="32">
        <f t="shared" si="327"/>
        <v>0.97794721430479303</v>
      </c>
      <c r="EV87" s="32">
        <f t="shared" si="328"/>
        <v>1</v>
      </c>
      <c r="EX87" s="32">
        <f t="shared" si="329"/>
        <v>0.28206366142431299</v>
      </c>
      <c r="EY87" s="32">
        <f t="shared" si="330"/>
        <v>0.48306449302463039</v>
      </c>
      <c r="EZ87" s="32">
        <f t="shared" si="331"/>
        <v>0.5767958446153072</v>
      </c>
      <c r="FA87" s="32">
        <f t="shared" si="332"/>
        <v>0.6545699722832391</v>
      </c>
      <c r="FB87" s="32">
        <f t="shared" si="333"/>
        <v>0.75180485052024082</v>
      </c>
      <c r="FC87" s="32">
        <f t="shared" si="334"/>
        <v>0.81863926984542124</v>
      </c>
      <c r="FD87" s="32">
        <f t="shared" si="335"/>
        <v>0.86122667346571591</v>
      </c>
      <c r="FE87" s="32">
        <f t="shared" si="336"/>
        <v>0.90477337947948411</v>
      </c>
      <c r="FF87" s="32">
        <f t="shared" si="337"/>
        <v>0.92880416236498031</v>
      </c>
      <c r="FG87" s="32">
        <f t="shared" si="338"/>
        <v>0.95262241228886047</v>
      </c>
      <c r="FH87" s="32">
        <f t="shared" si="339"/>
        <v>0.97731643451315509</v>
      </c>
      <c r="FI87" s="32">
        <f t="shared" si="340"/>
        <v>1</v>
      </c>
      <c r="FK87" s="32">
        <f t="shared" si="400"/>
        <v>0.24204485762377273</v>
      </c>
      <c r="FL87" s="32">
        <f t="shared" si="341"/>
        <v>0.47626749034269183</v>
      </c>
      <c r="FM87" s="32">
        <f t="shared" si="342"/>
        <v>0.55651351175506736</v>
      </c>
      <c r="FN87" s="32">
        <f t="shared" si="343"/>
        <v>0.64722476290042896</v>
      </c>
      <c r="FO87" s="32">
        <f t="shared" si="344"/>
        <v>0.72856335212246914</v>
      </c>
      <c r="FP87" s="32">
        <f t="shared" si="345"/>
        <v>0.80192859954751239</v>
      </c>
      <c r="FQ87" s="32">
        <f t="shared" si="346"/>
        <v>0.84760526468047315</v>
      </c>
      <c r="FR87" s="32">
        <f t="shared" si="347"/>
        <v>0.895635125556837</v>
      </c>
      <c r="FS87" s="32">
        <f t="shared" si="348"/>
        <v>0.92364256485338514</v>
      </c>
      <c r="FT87" s="32">
        <f t="shared" si="349"/>
        <v>0.94548340799250907</v>
      </c>
      <c r="FU87" s="32">
        <f t="shared" si="350"/>
        <v>0.97286468756701228</v>
      </c>
      <c r="FV87" s="32">
        <f t="shared" si="351"/>
        <v>1</v>
      </c>
      <c r="FX87" s="32">
        <f t="shared" si="401"/>
        <v>0.16814243541774085</v>
      </c>
      <c r="FY87" s="32">
        <f t="shared" si="352"/>
        <v>0.37614424978841271</v>
      </c>
      <c r="FZ87" s="32">
        <f t="shared" si="353"/>
        <v>0.46767034346045228</v>
      </c>
      <c r="GA87" s="32">
        <f t="shared" si="354"/>
        <v>0.5274297232645867</v>
      </c>
      <c r="GB87" s="32">
        <f t="shared" si="355"/>
        <v>0.58402320855727285</v>
      </c>
      <c r="GC87" s="32">
        <f t="shared" si="356"/>
        <v>0.64823412817171944</v>
      </c>
      <c r="GD87" s="32">
        <f t="shared" si="357"/>
        <v>0.69956664083774822</v>
      </c>
      <c r="GE87" s="32">
        <f t="shared" si="358"/>
        <v>0.81995081004383563</v>
      </c>
      <c r="GF87" s="32">
        <f t="shared" si="359"/>
        <v>0.87173322293001865</v>
      </c>
      <c r="GG87" s="32">
        <f t="shared" si="360"/>
        <v>0.91114915415142317</v>
      </c>
      <c r="GH87" s="32">
        <f t="shared" si="361"/>
        <v>0.95333870957334188</v>
      </c>
      <c r="GI87" s="32">
        <f t="shared" si="362"/>
        <v>1</v>
      </c>
    </row>
    <row r="88" spans="1:191">
      <c r="A88" s="724" t="s">
        <v>102</v>
      </c>
      <c r="B88" s="399">
        <v>2651.57</v>
      </c>
      <c r="C88" s="400">
        <v>3199.66</v>
      </c>
      <c r="D88" s="400">
        <v>2496.77</v>
      </c>
      <c r="E88" s="400">
        <v>2188.5100000000002</v>
      </c>
      <c r="F88" s="400">
        <v>1177.47</v>
      </c>
      <c r="G88" s="400">
        <v>1725.54</v>
      </c>
      <c r="H88" s="400">
        <v>2111.0700000000002</v>
      </c>
      <c r="I88" s="400">
        <v>6138.65</v>
      </c>
      <c r="J88" s="400">
        <v>4509.0600000000004</v>
      </c>
      <c r="K88" s="400">
        <v>4079.54</v>
      </c>
      <c r="L88" s="400">
        <v>2714.11</v>
      </c>
      <c r="M88" s="400">
        <v>3436.6</v>
      </c>
      <c r="N88" s="400">
        <f t="shared" si="291"/>
        <v>36428.549999999996</v>
      </c>
      <c r="P88" s="396" t="s">
        <v>102</v>
      </c>
      <c r="Q88" s="399">
        <v>9092.57</v>
      </c>
      <c r="R88" s="400">
        <v>7437.85</v>
      </c>
      <c r="S88" s="400">
        <v>6247.39</v>
      </c>
      <c r="T88" s="400">
        <v>1209.48</v>
      </c>
      <c r="U88" s="400">
        <v>1257.0899999999999</v>
      </c>
      <c r="V88" s="400">
        <v>1447.57</v>
      </c>
      <c r="W88" s="400">
        <v>2971.35</v>
      </c>
      <c r="X88" s="400">
        <v>3658.96</v>
      </c>
      <c r="Y88" s="400">
        <v>1297.1300000000001</v>
      </c>
      <c r="Z88" s="400">
        <v>457.12</v>
      </c>
      <c r="AA88" s="400">
        <v>897.1</v>
      </c>
      <c r="AB88" s="400">
        <v>1390.44</v>
      </c>
      <c r="AC88" s="400">
        <f t="shared" si="292"/>
        <v>37364.049999999996</v>
      </c>
      <c r="AE88" s="127" t="s">
        <v>102</v>
      </c>
      <c r="AF88" s="27">
        <v>8402.24</v>
      </c>
      <c r="AG88" s="27">
        <v>9766.9500000000007</v>
      </c>
      <c r="AH88" s="27">
        <v>2594.27</v>
      </c>
      <c r="AI88" s="27">
        <v>4095.15</v>
      </c>
      <c r="AJ88" s="27">
        <v>2776.23</v>
      </c>
      <c r="AK88" s="27">
        <v>5818.09</v>
      </c>
      <c r="AL88" s="27">
        <v>1750.48</v>
      </c>
      <c r="AM88" s="27">
        <v>1377.36</v>
      </c>
      <c r="AN88" s="27">
        <v>1151.6400000000001</v>
      </c>
      <c r="AO88" s="27">
        <v>1386.59</v>
      </c>
      <c r="AP88" s="27">
        <v>1861.05</v>
      </c>
      <c r="AQ88" s="27">
        <v>626.51</v>
      </c>
      <c r="AR88" s="43">
        <f t="shared" si="402"/>
        <v>41606.560000000012</v>
      </c>
      <c r="AT88" s="60" t="s">
        <v>102</v>
      </c>
      <c r="AU88" s="27">
        <v>7810.96</v>
      </c>
      <c r="AV88" s="27">
        <v>4127.92</v>
      </c>
      <c r="AW88" s="27">
        <v>6759.03</v>
      </c>
      <c r="AX88" s="27">
        <v>2794.21</v>
      </c>
      <c r="AY88" s="27">
        <v>3959.61</v>
      </c>
      <c r="AZ88" s="27">
        <v>2611.8200000000002</v>
      </c>
      <c r="BA88" s="27">
        <v>943.0200000000001</v>
      </c>
      <c r="BB88" s="27">
        <v>1690.3</v>
      </c>
      <c r="BC88" s="27">
        <v>427.01</v>
      </c>
      <c r="BD88" s="27">
        <v>1156.54</v>
      </c>
      <c r="BE88" s="27">
        <v>1588</v>
      </c>
      <c r="BF88" s="27">
        <v>320.29000000000002</v>
      </c>
      <c r="BG88" s="43">
        <f t="shared" si="403"/>
        <v>34188.71</v>
      </c>
      <c r="BI88" s="60" t="s">
        <v>102</v>
      </c>
      <c r="BJ88" s="27">
        <v>3473.16</v>
      </c>
      <c r="BK88" s="27">
        <v>8342.74</v>
      </c>
      <c r="BL88" s="27">
        <v>4180.05</v>
      </c>
      <c r="BM88" s="27">
        <v>5227.26</v>
      </c>
      <c r="BN88" s="27">
        <v>2527.2400000000002</v>
      </c>
      <c r="BO88" s="27">
        <v>3241.67</v>
      </c>
      <c r="BP88" s="27">
        <v>267.62</v>
      </c>
      <c r="BQ88" s="27">
        <v>1255.49</v>
      </c>
      <c r="BR88" s="27">
        <v>1666.7900000000002</v>
      </c>
      <c r="BS88" s="27">
        <v>488.69000000000005</v>
      </c>
      <c r="BT88" s="27">
        <v>802.90000000000009</v>
      </c>
      <c r="BU88" s="27">
        <v>279.25</v>
      </c>
      <c r="BV88" s="43">
        <f t="shared" si="404"/>
        <v>31752.860000000004</v>
      </c>
      <c r="BW88" s="405"/>
      <c r="BX88" s="32">
        <f t="shared" si="363"/>
        <v>7.2788238895042504E-2</v>
      </c>
      <c r="BY88" s="32">
        <f t="shared" si="364"/>
        <v>0.160622094483585</v>
      </c>
      <c r="BZ88" s="32">
        <f t="shared" si="365"/>
        <v>0.22916091911426617</v>
      </c>
      <c r="CA88" s="32">
        <f t="shared" si="366"/>
        <v>0.28923769955158801</v>
      </c>
      <c r="CB88" s="32">
        <f t="shared" si="367"/>
        <v>0.32156042444730853</v>
      </c>
      <c r="CC88" s="32">
        <f t="shared" si="368"/>
        <v>0.36892821701659828</v>
      </c>
      <c r="CD88" s="32">
        <f t="shared" si="369"/>
        <v>0.42687919228187787</v>
      </c>
      <c r="CE88" s="32">
        <f t="shared" si="370"/>
        <v>0.5953912521909327</v>
      </c>
      <c r="CF88" s="32">
        <f t="shared" si="371"/>
        <v>0.71916944264869187</v>
      </c>
      <c r="CG88" s="32">
        <f t="shared" si="372"/>
        <v>0.83115688107267527</v>
      </c>
      <c r="CH88" s="32">
        <f t="shared" si="373"/>
        <v>0.90566190529131685</v>
      </c>
      <c r="CI88" s="32">
        <f t="shared" si="374"/>
        <v>1</v>
      </c>
      <c r="CJ88" s="405"/>
      <c r="CK88" s="32">
        <f t="shared" si="375"/>
        <v>0.24335076095872907</v>
      </c>
      <c r="CL88" s="32">
        <f t="shared" si="376"/>
        <v>0.44241510221723823</v>
      </c>
      <c r="CM88" s="32">
        <f t="shared" si="377"/>
        <v>0.60961833634201856</v>
      </c>
      <c r="CN88" s="32">
        <f t="shared" si="378"/>
        <v>0.64198848893521987</v>
      </c>
      <c r="CO88" s="32">
        <f t="shared" si="379"/>
        <v>0.67563286099874076</v>
      </c>
      <c r="CP88" s="32">
        <f t="shared" si="380"/>
        <v>0.71437518149129975</v>
      </c>
      <c r="CQ88" s="32">
        <f t="shared" si="381"/>
        <v>0.79389948359452467</v>
      </c>
      <c r="CR88" s="32">
        <f t="shared" si="382"/>
        <v>0.89182676931435423</v>
      </c>
      <c r="CS88" s="32">
        <f t="shared" si="383"/>
        <v>0.92654275968477706</v>
      </c>
      <c r="CT88" s="32">
        <f t="shared" si="384"/>
        <v>0.93877697947626126</v>
      </c>
      <c r="CU88" s="32">
        <f t="shared" si="385"/>
        <v>0.96278668934443667</v>
      </c>
      <c r="CV88" s="32">
        <f t="shared" si="386"/>
        <v>1</v>
      </c>
      <c r="CX88" s="32">
        <f t="shared" si="387"/>
        <v>0.20194507789156319</v>
      </c>
      <c r="CY88" s="32">
        <f t="shared" si="388"/>
        <v>0.43669051226537348</v>
      </c>
      <c r="CZ88" s="32">
        <f t="shared" si="389"/>
        <v>0.49904293938263572</v>
      </c>
      <c r="DA88" s="32">
        <f t="shared" si="390"/>
        <v>0.59746852419426155</v>
      </c>
      <c r="DB88" s="32">
        <f t="shared" si="391"/>
        <v>0.66419430012959479</v>
      </c>
      <c r="DC88" s="32">
        <f t="shared" si="392"/>
        <v>0.80403018177902708</v>
      </c>
      <c r="DD88" s="32">
        <f t="shared" si="393"/>
        <v>0.84610239346872229</v>
      </c>
      <c r="DE88" s="32">
        <f t="shared" si="394"/>
        <v>0.87920678854488332</v>
      </c>
      <c r="DF88" s="32">
        <f t="shared" si="395"/>
        <v>0.90688607758007389</v>
      </c>
      <c r="DG88" s="32">
        <f t="shared" si="396"/>
        <v>0.94021231267377059</v>
      </c>
      <c r="DH88" s="32">
        <f t="shared" si="397"/>
        <v>0.98494203798631752</v>
      </c>
      <c r="DI88" s="32">
        <f t="shared" si="398"/>
        <v>1</v>
      </c>
      <c r="DK88" s="32">
        <f t="shared" si="294"/>
        <v>0.2284660637970839</v>
      </c>
      <c r="DL88" s="32">
        <f t="shared" si="295"/>
        <v>0.34920533708349927</v>
      </c>
      <c r="DM88" s="32">
        <f t="shared" si="296"/>
        <v>0.54690305659382876</v>
      </c>
      <c r="DN88" s="32">
        <f t="shared" si="297"/>
        <v>0.6286320835152891</v>
      </c>
      <c r="DO88" s="32">
        <f t="shared" si="298"/>
        <v>0.74444838661651758</v>
      </c>
      <c r="DP88" s="32">
        <f t="shared" si="299"/>
        <v>0.82084261149367732</v>
      </c>
      <c r="DQ88" s="32">
        <f t="shared" si="300"/>
        <v>0.84842540125088084</v>
      </c>
      <c r="DR88" s="32">
        <f t="shared" si="301"/>
        <v>0.89786569893979618</v>
      </c>
      <c r="DS88" s="32">
        <f t="shared" si="302"/>
        <v>0.91035549454776143</v>
      </c>
      <c r="DT88" s="32">
        <f t="shared" si="303"/>
        <v>0.94418362085027485</v>
      </c>
      <c r="DU88" s="32">
        <f t="shared" si="304"/>
        <v>0.99063170268781708</v>
      </c>
      <c r="DV88" s="32">
        <f t="shared" si="305"/>
        <v>1</v>
      </c>
      <c r="DW88" s="39"/>
      <c r="DX88" s="32">
        <f t="shared" si="306"/>
        <v>0.10938101323786265</v>
      </c>
      <c r="DY88" s="32">
        <f t="shared" si="307"/>
        <v>0.37212081053486201</v>
      </c>
      <c r="DZ88" s="32">
        <f t="shared" si="308"/>
        <v>0.5037640703861006</v>
      </c>
      <c r="EA88" s="32">
        <f t="shared" si="309"/>
        <v>0.66838735156455187</v>
      </c>
      <c r="EB88" s="32">
        <f t="shared" si="310"/>
        <v>0.74797829234909852</v>
      </c>
      <c r="EC88" s="32">
        <f t="shared" si="311"/>
        <v>0.85006893867198097</v>
      </c>
      <c r="ED88" s="32">
        <f t="shared" si="312"/>
        <v>0.85849715584674891</v>
      </c>
      <c r="EE88" s="32">
        <f t="shared" si="313"/>
        <v>0.89803658631065042</v>
      </c>
      <c r="EF88" s="32">
        <f t="shared" si="314"/>
        <v>0.95052918067852787</v>
      </c>
      <c r="EG88" s="32">
        <f t="shared" si="315"/>
        <v>0.96591960535208476</v>
      </c>
      <c r="EH88" s="32">
        <f t="shared" si="316"/>
        <v>0.99120551660543332</v>
      </c>
      <c r="EI88" s="32">
        <f t="shared" si="317"/>
        <v>1</v>
      </c>
      <c r="EK88" s="32">
        <f t="shared" si="399"/>
        <v>0.17993071830883656</v>
      </c>
      <c r="EL88" s="32">
        <f t="shared" si="318"/>
        <v>0.38600555329457825</v>
      </c>
      <c r="EM88" s="32">
        <f t="shared" si="319"/>
        <v>0.51657002212085501</v>
      </c>
      <c r="EN88" s="32">
        <f t="shared" si="320"/>
        <v>0.63149598642470084</v>
      </c>
      <c r="EO88" s="32">
        <f t="shared" si="321"/>
        <v>0.71887365969840367</v>
      </c>
      <c r="EP88" s="32">
        <f t="shared" si="322"/>
        <v>0.82498057731489505</v>
      </c>
      <c r="EQ88" s="32">
        <f t="shared" si="323"/>
        <v>0.85100831685545064</v>
      </c>
      <c r="ER88" s="32">
        <f t="shared" si="324"/>
        <v>0.89170302459844331</v>
      </c>
      <c r="ES88" s="32">
        <f t="shared" si="325"/>
        <v>0.92259025093545455</v>
      </c>
      <c r="ET88" s="32">
        <f t="shared" si="326"/>
        <v>0.95010517962537666</v>
      </c>
      <c r="EU88" s="32">
        <f t="shared" si="327"/>
        <v>0.98892641909318935</v>
      </c>
      <c r="EV88" s="32">
        <f t="shared" si="328"/>
        <v>1</v>
      </c>
      <c r="EX88" s="32">
        <f t="shared" si="329"/>
        <v>0.19578572897130969</v>
      </c>
      <c r="EY88" s="32">
        <f t="shared" si="330"/>
        <v>0.40010794052524323</v>
      </c>
      <c r="EZ88" s="32">
        <f t="shared" si="331"/>
        <v>0.53983210067614595</v>
      </c>
      <c r="FA88" s="32">
        <f t="shared" si="332"/>
        <v>0.63411911205233062</v>
      </c>
      <c r="FB88" s="32">
        <f t="shared" si="333"/>
        <v>0.70806346002348786</v>
      </c>
      <c r="FC88" s="32">
        <f t="shared" si="334"/>
        <v>0.79732922835899622</v>
      </c>
      <c r="FD88" s="32">
        <f t="shared" si="335"/>
        <v>0.83673110854021915</v>
      </c>
      <c r="FE88" s="32">
        <f t="shared" si="336"/>
        <v>0.89173396077742106</v>
      </c>
      <c r="FF88" s="32">
        <f t="shared" si="337"/>
        <v>0.92357837812278509</v>
      </c>
      <c r="FG88" s="32">
        <f t="shared" si="338"/>
        <v>0.94727312958809784</v>
      </c>
      <c r="FH88" s="32">
        <f t="shared" si="339"/>
        <v>0.98239148665600107</v>
      </c>
      <c r="FI88" s="32">
        <f t="shared" si="340"/>
        <v>1</v>
      </c>
      <c r="FK88" s="32">
        <f t="shared" si="400"/>
        <v>0.22458730088245871</v>
      </c>
      <c r="FL88" s="32">
        <f t="shared" si="341"/>
        <v>0.40943698385537036</v>
      </c>
      <c r="FM88" s="32">
        <f t="shared" si="342"/>
        <v>0.55185477743949429</v>
      </c>
      <c r="FN88" s="32">
        <f t="shared" si="343"/>
        <v>0.6226963655482568</v>
      </c>
      <c r="FO88" s="32">
        <f t="shared" si="344"/>
        <v>0.69475851591495097</v>
      </c>
      <c r="FP88" s="32">
        <f t="shared" si="345"/>
        <v>0.77974932492133464</v>
      </c>
      <c r="FQ88" s="32">
        <f t="shared" si="346"/>
        <v>0.82947575943804264</v>
      </c>
      <c r="FR88" s="32">
        <f t="shared" si="347"/>
        <v>0.88963308559967791</v>
      </c>
      <c r="FS88" s="32">
        <f t="shared" si="348"/>
        <v>0.91459477727087091</v>
      </c>
      <c r="FT88" s="32">
        <f t="shared" si="349"/>
        <v>0.94105763766676898</v>
      </c>
      <c r="FU88" s="32">
        <f t="shared" si="350"/>
        <v>0.97945347667285709</v>
      </c>
      <c r="FV88" s="32">
        <f t="shared" si="351"/>
        <v>1</v>
      </c>
      <c r="FX88" s="32">
        <f t="shared" si="401"/>
        <v>0.17269469258177825</v>
      </c>
      <c r="FY88" s="32">
        <f t="shared" si="352"/>
        <v>0.34657590298873225</v>
      </c>
      <c r="FZ88" s="32">
        <f t="shared" si="353"/>
        <v>0.44594073161297354</v>
      </c>
      <c r="GA88" s="32">
        <f t="shared" si="354"/>
        <v>0.50956490422702305</v>
      </c>
      <c r="GB88" s="32">
        <f t="shared" si="355"/>
        <v>0.55379586185854801</v>
      </c>
      <c r="GC88" s="32">
        <f t="shared" si="356"/>
        <v>0.62911119342897504</v>
      </c>
      <c r="GD88" s="32">
        <f t="shared" si="357"/>
        <v>0.68896035644837494</v>
      </c>
      <c r="GE88" s="32">
        <f t="shared" si="358"/>
        <v>0.78880827001672349</v>
      </c>
      <c r="GF88" s="32">
        <f t="shared" si="359"/>
        <v>0.85086609330451424</v>
      </c>
      <c r="GG88" s="32">
        <f t="shared" si="360"/>
        <v>0.90338205774090241</v>
      </c>
      <c r="GH88" s="32">
        <f t="shared" si="361"/>
        <v>0.95113021087402372</v>
      </c>
      <c r="GI88" s="32">
        <f t="shared" si="362"/>
        <v>1</v>
      </c>
    </row>
    <row r="89" spans="1:191">
      <c r="A89" s="724" t="s">
        <v>103</v>
      </c>
      <c r="B89" s="399">
        <v>3807.04</v>
      </c>
      <c r="C89" s="400">
        <v>3163.79</v>
      </c>
      <c r="D89" s="400">
        <v>514.27</v>
      </c>
      <c r="E89" s="400">
        <v>0</v>
      </c>
      <c r="F89" s="400">
        <v>1199.97</v>
      </c>
      <c r="G89" s="400">
        <v>1439.63</v>
      </c>
      <c r="H89" s="400">
        <v>697.13</v>
      </c>
      <c r="I89" s="400">
        <v>4681.78</v>
      </c>
      <c r="J89" s="400">
        <v>3845.93</v>
      </c>
      <c r="K89" s="400">
        <v>1699.94</v>
      </c>
      <c r="L89" s="400">
        <v>1883.76</v>
      </c>
      <c r="M89" s="400">
        <v>2787.3</v>
      </c>
      <c r="N89" s="400">
        <f t="shared" si="291"/>
        <v>25720.539999999997</v>
      </c>
      <c r="P89" s="396" t="s">
        <v>103</v>
      </c>
      <c r="Q89" s="399">
        <v>3733.21</v>
      </c>
      <c r="R89" s="400">
        <v>4533.18</v>
      </c>
      <c r="S89" s="400">
        <v>4214.1400000000003</v>
      </c>
      <c r="T89" s="400">
        <v>1295.2</v>
      </c>
      <c r="U89" s="400">
        <v>876.16</v>
      </c>
      <c r="V89" s="400">
        <v>2561.8100000000004</v>
      </c>
      <c r="W89" s="400">
        <v>2961.81</v>
      </c>
      <c r="X89" s="400">
        <v>4904.63</v>
      </c>
      <c r="Y89" s="400">
        <v>1126.94</v>
      </c>
      <c r="Z89" s="400">
        <v>1057.0999999999999</v>
      </c>
      <c r="AA89" s="400">
        <v>2542.7400000000002</v>
      </c>
      <c r="AB89" s="400">
        <v>1399.94</v>
      </c>
      <c r="AC89" s="400">
        <f t="shared" si="292"/>
        <v>31206.86</v>
      </c>
      <c r="AE89" s="127" t="s">
        <v>103</v>
      </c>
      <c r="AF89" s="27">
        <v>3703.62</v>
      </c>
      <c r="AG89" s="27">
        <v>4528.2</v>
      </c>
      <c r="AH89" s="27">
        <v>2388.4899999999998</v>
      </c>
      <c r="AI89" s="27">
        <v>3217.68</v>
      </c>
      <c r="AJ89" s="27">
        <v>3226.89</v>
      </c>
      <c r="AK89" s="27">
        <v>7471.83</v>
      </c>
      <c r="AL89" s="27">
        <v>3473.36</v>
      </c>
      <c r="AM89" s="27">
        <v>2881.39</v>
      </c>
      <c r="AN89" s="27">
        <v>2763.89</v>
      </c>
      <c r="AO89" s="27">
        <v>2886.06</v>
      </c>
      <c r="AP89" s="27">
        <v>1087.1500000000001</v>
      </c>
      <c r="AQ89" s="27">
        <v>1888.7</v>
      </c>
      <c r="AR89" s="43">
        <f t="shared" si="402"/>
        <v>39517.259999999995</v>
      </c>
      <c r="AT89" s="60" t="s">
        <v>103</v>
      </c>
      <c r="AU89" s="27">
        <v>1547.95</v>
      </c>
      <c r="AV89" s="27">
        <v>3803.18</v>
      </c>
      <c r="AW89" s="27">
        <v>2766.75</v>
      </c>
      <c r="AX89" s="27">
        <v>1316.7</v>
      </c>
      <c r="AY89" s="27">
        <v>1997.23</v>
      </c>
      <c r="AZ89" s="27">
        <v>5675.91</v>
      </c>
      <c r="BA89" s="27">
        <v>2464.3000000000002</v>
      </c>
      <c r="BB89" s="27">
        <v>2050.59</v>
      </c>
      <c r="BC89" s="27">
        <v>729.51</v>
      </c>
      <c r="BD89" s="27">
        <v>2028.38</v>
      </c>
      <c r="BE89" s="27">
        <v>1227.7</v>
      </c>
      <c r="BF89" s="27">
        <v>1094.21</v>
      </c>
      <c r="BG89" s="43">
        <f t="shared" si="403"/>
        <v>26702.41</v>
      </c>
      <c r="BI89" s="60" t="s">
        <v>103</v>
      </c>
      <c r="BJ89" s="27">
        <v>3769.92</v>
      </c>
      <c r="BK89" s="27">
        <v>3560.49</v>
      </c>
      <c r="BL89" s="27">
        <v>2199.59</v>
      </c>
      <c r="BM89" s="27">
        <v>1021.02</v>
      </c>
      <c r="BN89" s="27">
        <v>2357.96</v>
      </c>
      <c r="BO89" s="27">
        <v>2997.62</v>
      </c>
      <c r="BP89" s="27">
        <v>2188.66</v>
      </c>
      <c r="BQ89" s="27">
        <v>750.49</v>
      </c>
      <c r="BR89" s="27">
        <v>1500.98</v>
      </c>
      <c r="BS89" s="27">
        <v>733.01</v>
      </c>
      <c r="BT89" s="27">
        <v>846.49</v>
      </c>
      <c r="BU89" s="27">
        <v>1108.28</v>
      </c>
      <c r="BV89" s="43">
        <f t="shared" si="404"/>
        <v>23034.51</v>
      </c>
      <c r="BW89" s="405"/>
      <c r="BX89" s="32">
        <f t="shared" si="363"/>
        <v>0.14801555488337337</v>
      </c>
      <c r="BY89" s="32">
        <f t="shared" si="364"/>
        <v>0.27102191478094939</v>
      </c>
      <c r="BZ89" s="32">
        <f t="shared" si="365"/>
        <v>0.29101644055684683</v>
      </c>
      <c r="CA89" s="32">
        <f t="shared" si="366"/>
        <v>0.29101644055684683</v>
      </c>
      <c r="CB89" s="32">
        <f t="shared" si="367"/>
        <v>0.33767059323015769</v>
      </c>
      <c r="CC89" s="32">
        <f t="shared" si="368"/>
        <v>0.39364259070766017</v>
      </c>
      <c r="CD89" s="32">
        <f t="shared" si="369"/>
        <v>0.42074660951908477</v>
      </c>
      <c r="CE89" s="32">
        <f t="shared" si="370"/>
        <v>0.60277155922853887</v>
      </c>
      <c r="CF89" s="32">
        <f t="shared" si="371"/>
        <v>0.75229913524366143</v>
      </c>
      <c r="CG89" s="32">
        <f t="shared" si="372"/>
        <v>0.81839183780744895</v>
      </c>
      <c r="CH89" s="32">
        <f t="shared" si="373"/>
        <v>0.89163135766200863</v>
      </c>
      <c r="CI89" s="32">
        <f t="shared" si="374"/>
        <v>1</v>
      </c>
      <c r="CJ89" s="405"/>
      <c r="CK89" s="32">
        <f t="shared" si="375"/>
        <v>0.11962786387352012</v>
      </c>
      <c r="CL89" s="32">
        <f t="shared" si="376"/>
        <v>0.26489015556195011</v>
      </c>
      <c r="CM89" s="32">
        <f t="shared" si="377"/>
        <v>0.39992905406054946</v>
      </c>
      <c r="CN89" s="32">
        <f t="shared" si="378"/>
        <v>0.44143274908145191</v>
      </c>
      <c r="CO89" s="32">
        <f t="shared" si="379"/>
        <v>0.46950862726977333</v>
      </c>
      <c r="CP89" s="32">
        <f t="shared" si="380"/>
        <v>0.55159987259211596</v>
      </c>
      <c r="CQ89" s="32">
        <f t="shared" si="381"/>
        <v>0.64650881248545999</v>
      </c>
      <c r="CR89" s="32">
        <f t="shared" si="382"/>
        <v>0.80367393579488622</v>
      </c>
      <c r="CS89" s="32">
        <f t="shared" si="383"/>
        <v>0.83978586759449692</v>
      </c>
      <c r="CT89" s="32">
        <f t="shared" si="384"/>
        <v>0.87365982992201074</v>
      </c>
      <c r="CU89" s="32">
        <f t="shared" si="385"/>
        <v>0.95513999165568086</v>
      </c>
      <c r="CV89" s="32">
        <f t="shared" si="386"/>
        <v>1</v>
      </c>
      <c r="CX89" s="32">
        <f t="shared" si="387"/>
        <v>9.3721578874648714E-2</v>
      </c>
      <c r="CY89" s="32">
        <f t="shared" si="388"/>
        <v>0.20830948299553159</v>
      </c>
      <c r="CZ89" s="32">
        <f t="shared" si="389"/>
        <v>0.26875117353784145</v>
      </c>
      <c r="DA89" s="32">
        <f t="shared" si="390"/>
        <v>0.35017584721207901</v>
      </c>
      <c r="DB89" s="32">
        <f t="shared" si="391"/>
        <v>0.43183358360372159</v>
      </c>
      <c r="DC89" s="32">
        <f t="shared" si="392"/>
        <v>0.62091121702263774</v>
      </c>
      <c r="DD89" s="32">
        <f t="shared" si="393"/>
        <v>0.70880597490817943</v>
      </c>
      <c r="DE89" s="32">
        <f t="shared" si="394"/>
        <v>0.78172069622235962</v>
      </c>
      <c r="DF89" s="32">
        <f t="shared" si="395"/>
        <v>0.85166203324825662</v>
      </c>
      <c r="DG89" s="32">
        <f t="shared" si="396"/>
        <v>0.92469493077202214</v>
      </c>
      <c r="DH89" s="32">
        <f t="shared" si="397"/>
        <v>0.95220569442314584</v>
      </c>
      <c r="DI89" s="32">
        <f t="shared" si="398"/>
        <v>1</v>
      </c>
      <c r="DK89" s="32">
        <f t="shared" si="294"/>
        <v>5.7970422894412905E-2</v>
      </c>
      <c r="DL89" s="32">
        <f t="shared" si="295"/>
        <v>0.20039876550468666</v>
      </c>
      <c r="DM89" s="32">
        <f t="shared" si="296"/>
        <v>0.30401300856364649</v>
      </c>
      <c r="DN89" s="32">
        <f t="shared" si="297"/>
        <v>0.35332316446343232</v>
      </c>
      <c r="DO89" s="32">
        <f t="shared" si="298"/>
        <v>0.42811903494853082</v>
      </c>
      <c r="DP89" s="32">
        <f t="shared" si="299"/>
        <v>0.64068074754301207</v>
      </c>
      <c r="DQ89" s="32">
        <f t="shared" si="300"/>
        <v>0.73296829761808013</v>
      </c>
      <c r="DR89" s="32">
        <f t="shared" si="301"/>
        <v>0.80976248960299846</v>
      </c>
      <c r="DS89" s="32">
        <f t="shared" si="302"/>
        <v>0.83708249555002712</v>
      </c>
      <c r="DT89" s="32">
        <f t="shared" si="303"/>
        <v>0.91304492740542897</v>
      </c>
      <c r="DU89" s="32">
        <f t="shared" si="304"/>
        <v>0.95902205081863401</v>
      </c>
      <c r="DV89" s="32">
        <f t="shared" si="305"/>
        <v>1</v>
      </c>
      <c r="DW89" s="39"/>
      <c r="DX89" s="32">
        <f t="shared" si="306"/>
        <v>0.16366399806203824</v>
      </c>
      <c r="DY89" s="32">
        <f t="shared" si="307"/>
        <v>0.31823598591851965</v>
      </c>
      <c r="DZ89" s="32">
        <f t="shared" si="308"/>
        <v>0.41372705562219475</v>
      </c>
      <c r="EA89" s="32">
        <f t="shared" si="309"/>
        <v>0.45805272176399675</v>
      </c>
      <c r="EB89" s="32">
        <f t="shared" si="310"/>
        <v>0.5604191276480377</v>
      </c>
      <c r="EC89" s="32">
        <f t="shared" si="311"/>
        <v>0.69055517134942312</v>
      </c>
      <c r="ED89" s="32">
        <f t="shared" si="312"/>
        <v>0.78557173562624083</v>
      </c>
      <c r="EE89" s="32">
        <f t="shared" si="313"/>
        <v>0.81815284978929448</v>
      </c>
      <c r="EF89" s="32">
        <f t="shared" si="314"/>
        <v>0.88331507811540166</v>
      </c>
      <c r="EG89" s="32">
        <f t="shared" si="315"/>
        <v>0.9151373309004619</v>
      </c>
      <c r="EH89" s="32">
        <f t="shared" si="316"/>
        <v>0.95188610480535518</v>
      </c>
      <c r="EI89" s="32">
        <f t="shared" si="317"/>
        <v>1</v>
      </c>
      <c r="EK89" s="32">
        <f t="shared" si="399"/>
        <v>0.10511866661036662</v>
      </c>
      <c r="EL89" s="32">
        <f t="shared" si="318"/>
        <v>0.24231474480624596</v>
      </c>
      <c r="EM89" s="32">
        <f t="shared" si="319"/>
        <v>0.32883041257456092</v>
      </c>
      <c r="EN89" s="32">
        <f t="shared" si="320"/>
        <v>0.38718391114650269</v>
      </c>
      <c r="EO89" s="32">
        <f t="shared" si="321"/>
        <v>0.47345724873343004</v>
      </c>
      <c r="EP89" s="32">
        <f t="shared" si="322"/>
        <v>0.65071571197169098</v>
      </c>
      <c r="EQ89" s="32">
        <f t="shared" si="323"/>
        <v>0.74244866938416676</v>
      </c>
      <c r="ER89" s="32">
        <f t="shared" si="324"/>
        <v>0.80321201187155078</v>
      </c>
      <c r="ES89" s="32">
        <f t="shared" si="325"/>
        <v>0.8573532023045618</v>
      </c>
      <c r="ET89" s="32">
        <f t="shared" si="326"/>
        <v>0.91762572969263767</v>
      </c>
      <c r="EU89" s="32">
        <f t="shared" si="327"/>
        <v>0.95437128334904509</v>
      </c>
      <c r="EV89" s="32">
        <f t="shared" si="328"/>
        <v>1</v>
      </c>
      <c r="EX89" s="32">
        <f t="shared" si="329"/>
        <v>0.10874596592615499</v>
      </c>
      <c r="EY89" s="32">
        <f t="shared" si="330"/>
        <v>0.24795859749517202</v>
      </c>
      <c r="EZ89" s="32">
        <f t="shared" si="331"/>
        <v>0.34660507294605802</v>
      </c>
      <c r="FA89" s="32">
        <f t="shared" si="332"/>
        <v>0.40074612063023995</v>
      </c>
      <c r="FB89" s="32">
        <f t="shared" si="333"/>
        <v>0.47247009336751589</v>
      </c>
      <c r="FC89" s="32">
        <f t="shared" si="334"/>
        <v>0.62593675212679722</v>
      </c>
      <c r="FD89" s="32">
        <f t="shared" si="335"/>
        <v>0.7184637051594901</v>
      </c>
      <c r="FE89" s="32">
        <f t="shared" si="336"/>
        <v>0.80332749285238469</v>
      </c>
      <c r="FF89" s="32">
        <f t="shared" si="337"/>
        <v>0.85296136862704564</v>
      </c>
      <c r="FG89" s="32">
        <f t="shared" si="338"/>
        <v>0.90663425474998094</v>
      </c>
      <c r="FH89" s="32">
        <f t="shared" si="339"/>
        <v>0.95456346042570406</v>
      </c>
      <c r="FI89" s="32">
        <f t="shared" si="340"/>
        <v>1</v>
      </c>
      <c r="FK89" s="32">
        <f t="shared" si="400"/>
        <v>9.0439955214193901E-2</v>
      </c>
      <c r="FL89" s="32">
        <f t="shared" si="341"/>
        <v>0.22453280135405609</v>
      </c>
      <c r="FM89" s="32">
        <f t="shared" si="342"/>
        <v>0.32423107872067913</v>
      </c>
      <c r="FN89" s="32">
        <f t="shared" si="343"/>
        <v>0.38164392025232113</v>
      </c>
      <c r="FO89" s="32">
        <f t="shared" si="344"/>
        <v>0.44315374860734186</v>
      </c>
      <c r="FP89" s="32">
        <f t="shared" si="345"/>
        <v>0.60439727905258855</v>
      </c>
      <c r="FQ89" s="32">
        <f t="shared" si="346"/>
        <v>0.69609436167057315</v>
      </c>
      <c r="FR89" s="32">
        <f t="shared" si="347"/>
        <v>0.79838570720674806</v>
      </c>
      <c r="FS89" s="32">
        <f t="shared" si="348"/>
        <v>0.84284346546426026</v>
      </c>
      <c r="FT89" s="32">
        <f t="shared" si="349"/>
        <v>0.90379989603315403</v>
      </c>
      <c r="FU89" s="32">
        <f t="shared" si="350"/>
        <v>0.95545591229915361</v>
      </c>
      <c r="FV89" s="32">
        <f t="shared" si="351"/>
        <v>1</v>
      </c>
      <c r="FX89" s="32">
        <f t="shared" si="401"/>
        <v>0.12045499921051406</v>
      </c>
      <c r="FY89" s="32">
        <f t="shared" si="352"/>
        <v>0.24807385111281036</v>
      </c>
      <c r="FZ89" s="32">
        <f t="shared" si="353"/>
        <v>0.31989888938507927</v>
      </c>
      <c r="GA89" s="32">
        <f t="shared" si="354"/>
        <v>0.3608750122834592</v>
      </c>
      <c r="GB89" s="32">
        <f t="shared" si="355"/>
        <v>0.41300426803455093</v>
      </c>
      <c r="GC89" s="32">
        <f t="shared" si="356"/>
        <v>0.52205122677413796</v>
      </c>
      <c r="GD89" s="32">
        <f t="shared" si="357"/>
        <v>0.59202046563757482</v>
      </c>
      <c r="GE89" s="32">
        <f t="shared" si="358"/>
        <v>0.72938873041526164</v>
      </c>
      <c r="GF89" s="32">
        <f t="shared" si="359"/>
        <v>0.81458234536213825</v>
      </c>
      <c r="GG89" s="32">
        <f t="shared" si="360"/>
        <v>0.87224886616716057</v>
      </c>
      <c r="GH89" s="32">
        <f t="shared" si="361"/>
        <v>0.93299234791361174</v>
      </c>
      <c r="GI89" s="32">
        <f t="shared" si="362"/>
        <v>1</v>
      </c>
    </row>
    <row r="90" spans="1:191">
      <c r="A90" s="724" t="s">
        <v>224</v>
      </c>
      <c r="N90" s="401">
        <f t="shared" si="291"/>
        <v>0</v>
      </c>
      <c r="P90" s="396" t="s">
        <v>224</v>
      </c>
      <c r="AC90" s="401">
        <f t="shared" si="292"/>
        <v>0</v>
      </c>
      <c r="AE90" s="127" t="s">
        <v>224</v>
      </c>
      <c r="AR90" s="41">
        <f t="shared" si="402"/>
        <v>0</v>
      </c>
      <c r="AT90" s="118" t="s">
        <v>224</v>
      </c>
      <c r="BG90" s="41">
        <f t="shared" si="403"/>
        <v>0</v>
      </c>
      <c r="BV90" s="41">
        <f t="shared" si="404"/>
        <v>0</v>
      </c>
      <c r="BW90" s="406"/>
      <c r="BX90" s="39">
        <f>AVERAGE(BX63:BX89)</f>
        <v>9.4541221506575762E-2</v>
      </c>
      <c r="BY90" s="39">
        <f t="shared" ref="BY90:CI90" si="405">AVERAGE(BY63:BY89)</f>
        <v>0.17523144449984901</v>
      </c>
      <c r="BZ90" s="39">
        <f t="shared" si="405"/>
        <v>0.24410798918232665</v>
      </c>
      <c r="CA90" s="39">
        <f t="shared" si="405"/>
        <v>0.28787470044572827</v>
      </c>
      <c r="CB90" s="39">
        <f t="shared" si="405"/>
        <v>0.32956960694435461</v>
      </c>
      <c r="CC90" s="39">
        <f t="shared" si="405"/>
        <v>0.37760836167430484</v>
      </c>
      <c r="CD90" s="39">
        <f t="shared" si="405"/>
        <v>0.43257119664641369</v>
      </c>
      <c r="CE90" s="39">
        <f t="shared" si="405"/>
        <v>0.65546511377132721</v>
      </c>
      <c r="CF90" s="39">
        <f t="shared" si="405"/>
        <v>0.7518732961930662</v>
      </c>
      <c r="CG90" s="39">
        <f t="shared" si="405"/>
        <v>0.83700513285507272</v>
      </c>
      <c r="CH90" s="39">
        <f t="shared" si="405"/>
        <v>0.91049682833345458</v>
      </c>
      <c r="CI90" s="39">
        <f t="shared" si="405"/>
        <v>1</v>
      </c>
      <c r="CJ90" s="406"/>
      <c r="CK90" s="39">
        <f>AVERAGE(CK63:CK89)</f>
        <v>0.1779255072574035</v>
      </c>
      <c r="CL90" s="39">
        <f t="shared" ref="CL90:CV90" si="406">AVERAGE(CL63:CL89)</f>
        <v>0.3937317506543932</v>
      </c>
      <c r="CM90" s="39">
        <f t="shared" si="406"/>
        <v>0.5107185544564391</v>
      </c>
      <c r="CN90" s="39">
        <f t="shared" si="406"/>
        <v>0.55201649472448377</v>
      </c>
      <c r="CO90" s="39">
        <f t="shared" si="406"/>
        <v>0.59091635556733213</v>
      </c>
      <c r="CP90" s="39">
        <f t="shared" si="406"/>
        <v>0.65271059076050031</v>
      </c>
      <c r="CQ90" s="39">
        <f t="shared" si="406"/>
        <v>0.74031049972008345</v>
      </c>
      <c r="CR90" s="39">
        <f t="shared" si="406"/>
        <v>0.86609645646675348</v>
      </c>
      <c r="CS90" s="39">
        <f t="shared" si="406"/>
        <v>0.91135999701438453</v>
      </c>
      <c r="CT90" s="39">
        <f t="shared" si="406"/>
        <v>0.93004772244097567</v>
      </c>
      <c r="CU90" s="39">
        <f t="shared" si="406"/>
        <v>0.9645172708315578</v>
      </c>
      <c r="CV90" s="39">
        <f t="shared" si="406"/>
        <v>1</v>
      </c>
      <c r="CX90" s="39">
        <f>AVERAGE(CX63:CX89)</f>
        <v>0.13428730868418104</v>
      </c>
      <c r="CY90" s="39">
        <f t="shared" ref="CY90:DI90" si="407">AVERAGE(CY63:CY89)</f>
        <v>0.33633598781331386</v>
      </c>
      <c r="CZ90" s="39">
        <f t="shared" si="407"/>
        <v>0.41707510073809817</v>
      </c>
      <c r="DA90" s="39">
        <f t="shared" si="407"/>
        <v>0.51400653281587905</v>
      </c>
      <c r="DB90" s="39">
        <f t="shared" si="407"/>
        <v>0.62805938544454076</v>
      </c>
      <c r="DC90" s="39">
        <f t="shared" si="407"/>
        <v>0.75256867700177188</v>
      </c>
      <c r="DD90" s="39">
        <f t="shared" si="407"/>
        <v>0.81232050012464185</v>
      </c>
      <c r="DE90" s="39">
        <f t="shared" si="407"/>
        <v>0.85328006235633891</v>
      </c>
      <c r="DF90" s="39">
        <f t="shared" si="407"/>
        <v>0.89651524015055084</v>
      </c>
      <c r="DG90" s="39">
        <f t="shared" si="407"/>
        <v>0.93522062230904757</v>
      </c>
      <c r="DH90" s="39">
        <f t="shared" si="407"/>
        <v>0.96829809741311934</v>
      </c>
      <c r="DI90" s="39">
        <f t="shared" si="407"/>
        <v>1</v>
      </c>
      <c r="DK90" s="39">
        <f>AVERAGE(DK63:DK89)</f>
        <v>0.13596341858573577</v>
      </c>
      <c r="DL90" s="39">
        <f t="shared" ref="DL90" si="408">AVERAGE(DL63:DL89)</f>
        <v>0.31930859198039258</v>
      </c>
      <c r="DM90" s="39">
        <f t="shared" ref="DM90" si="409">AVERAGE(DM63:DM89)</f>
        <v>0.44368221435821509</v>
      </c>
      <c r="DN90" s="39">
        <f t="shared" ref="DN90" si="410">AVERAGE(DN63:DN89)</f>
        <v>0.54166087337477642</v>
      </c>
      <c r="DO90" s="39">
        <f t="shared" ref="DO90" si="411">AVERAGE(DO63:DO89)</f>
        <v>0.64677125541421243</v>
      </c>
      <c r="DP90" s="39">
        <f t="shared" ref="DP90" si="412">AVERAGE(DP63:DP89)</f>
        <v>0.77208588358387831</v>
      </c>
      <c r="DQ90" s="39">
        <f t="shared" ref="DQ90" si="413">AVERAGE(DQ63:DQ89)</f>
        <v>0.82172579715443483</v>
      </c>
      <c r="DR90" s="39">
        <f t="shared" ref="DR90" si="414">AVERAGE(DR63:DR89)</f>
        <v>0.87201729160805497</v>
      </c>
      <c r="DS90" s="39">
        <f t="shared" ref="DS90" si="415">AVERAGE(DS63:DS89)</f>
        <v>0.90822230149877481</v>
      </c>
      <c r="DT90" s="39">
        <f t="shared" ref="DT90" si="416">AVERAGE(DT63:DT89)</f>
        <v>0.9439088955772662</v>
      </c>
      <c r="DU90" s="39">
        <f t="shared" ref="DU90" si="417">AVERAGE(DU63:DU89)</f>
        <v>0.97365768648604378</v>
      </c>
      <c r="DV90" s="39">
        <f t="shared" ref="DV90" si="418">AVERAGE(DV63:DV89)</f>
        <v>1</v>
      </c>
      <c r="DW90" s="39"/>
      <c r="DX90" s="39">
        <f>AVERAGE(DX63:DX89)</f>
        <v>0.15753512414847323</v>
      </c>
      <c r="DY90" s="39">
        <f t="shared" ref="DY90" si="419">AVERAGE(DY63:DY89)</f>
        <v>0.38195210496282173</v>
      </c>
      <c r="DZ90" s="39">
        <f t="shared" ref="DZ90" si="420">AVERAGE(DZ63:DZ89)</f>
        <v>0.48230666543974604</v>
      </c>
      <c r="EA90" s="39">
        <f t="shared" ref="EA90" si="421">AVERAGE(EA63:EA89)</f>
        <v>0.5558434578343181</v>
      </c>
      <c r="EB90" s="39">
        <f t="shared" ref="EB90" si="422">AVERAGE(EB63:EB89)</f>
        <v>0.66762336513437492</v>
      </c>
      <c r="EC90" s="39">
        <f t="shared" ref="EC90" si="423">AVERAGE(EC63:EC89)</f>
        <v>0.78244359134605912</v>
      </c>
      <c r="ED90" s="39">
        <f t="shared" ref="ED90" si="424">AVERAGE(ED63:ED89)</f>
        <v>0.82871452116125754</v>
      </c>
      <c r="EE90" s="39">
        <f t="shared" ref="EE90" si="425">AVERAGE(EE63:EE89)</f>
        <v>0.88245344098418654</v>
      </c>
      <c r="EF90" s="39">
        <f t="shared" ref="EF90" si="426">AVERAGE(EF63:EF89)</f>
        <v>0.91960395255802874</v>
      </c>
      <c r="EG90" s="39">
        <f t="shared" ref="EG90" si="427">AVERAGE(EG63:EG89)</f>
        <v>0.9517638970888217</v>
      </c>
      <c r="EH90" s="39">
        <f t="shared" ref="EH90" si="428">AVERAGE(EH63:EH89)</f>
        <v>0.9751875710962703</v>
      </c>
      <c r="EI90" s="39">
        <f t="shared" ref="EI90" si="429">AVERAGE(EI63:EI89)</f>
        <v>1</v>
      </c>
      <c r="EK90" s="39">
        <f>AVERAGE(EK63:EK89)</f>
        <v>0.14259528380613004</v>
      </c>
      <c r="EL90" s="39">
        <f t="shared" ref="EL90" si="430">AVERAGE(EL63:EL89)</f>
        <v>0.34586556158550946</v>
      </c>
      <c r="EM90" s="39">
        <f t="shared" ref="EM90" si="431">AVERAGE(EM63:EM89)</f>
        <v>0.44768799351201982</v>
      </c>
      <c r="EN90" s="39">
        <f t="shared" ref="EN90" si="432">AVERAGE(EN63:EN89)</f>
        <v>0.53717028800832456</v>
      </c>
      <c r="EO90" s="39">
        <f t="shared" ref="EO90" si="433">AVERAGE(EO63:EO89)</f>
        <v>0.64748466866437582</v>
      </c>
      <c r="EP90" s="39">
        <f t="shared" ref="EP90" si="434">AVERAGE(EP63:EP89)</f>
        <v>0.76903271731056988</v>
      </c>
      <c r="EQ90" s="39">
        <f t="shared" ref="EQ90" si="435">AVERAGE(EQ63:EQ89)</f>
        <v>0.82092027281344471</v>
      </c>
      <c r="ER90" s="39">
        <f t="shared" ref="ER90" si="436">AVERAGE(ER63:ER89)</f>
        <v>0.86925026498286018</v>
      </c>
      <c r="ES90" s="39">
        <f t="shared" ref="ES90" si="437">AVERAGE(ES63:ES89)</f>
        <v>0.90811383140245117</v>
      </c>
      <c r="ET90" s="39">
        <f t="shared" ref="ET90" si="438">AVERAGE(ET63:ET89)</f>
        <v>0.9436311383250453</v>
      </c>
      <c r="EU90" s="39">
        <f t="shared" ref="EU90" si="439">AVERAGE(EU63:EU89)</f>
        <v>0.97238111833181118</v>
      </c>
      <c r="EV90" s="39">
        <f t="shared" ref="EV90" si="440">AVERAGE(EV63:EV89)</f>
        <v>1</v>
      </c>
      <c r="EX90" s="32">
        <f t="shared" si="329"/>
        <v>0.15142783966894838</v>
      </c>
      <c r="EY90" s="32">
        <f t="shared" si="330"/>
        <v>0.35783210885273031</v>
      </c>
      <c r="EZ90" s="32">
        <f t="shared" si="331"/>
        <v>0.46344563374812464</v>
      </c>
      <c r="FA90" s="32">
        <f t="shared" si="332"/>
        <v>0.54088183968736436</v>
      </c>
      <c r="FB90" s="32">
        <f t="shared" si="333"/>
        <v>0.63334259039011498</v>
      </c>
      <c r="FC90" s="32">
        <f t="shared" si="334"/>
        <v>0.73995218567305243</v>
      </c>
      <c r="FD90" s="32">
        <f t="shared" si="335"/>
        <v>0.8007678295401045</v>
      </c>
      <c r="FE90" s="32">
        <f t="shared" si="336"/>
        <v>0.8684618128538335</v>
      </c>
      <c r="FF90" s="32">
        <f t="shared" si="337"/>
        <v>0.90892537280543473</v>
      </c>
      <c r="FG90" s="32">
        <f t="shared" si="338"/>
        <v>0.94023528435402781</v>
      </c>
      <c r="FH90" s="32">
        <f t="shared" si="339"/>
        <v>0.97041515645674781</v>
      </c>
      <c r="FI90" s="32">
        <f t="shared" si="340"/>
        <v>1</v>
      </c>
      <c r="FK90" s="32">
        <f t="shared" si="400"/>
        <v>0.14939207817577346</v>
      </c>
      <c r="FL90" s="32">
        <f t="shared" si="341"/>
        <v>0.34979211014936656</v>
      </c>
      <c r="FM90" s="32">
        <f t="shared" si="342"/>
        <v>0.45715862318425077</v>
      </c>
      <c r="FN90" s="32">
        <f t="shared" si="343"/>
        <v>0.53589463363837975</v>
      </c>
      <c r="FO90" s="32">
        <f t="shared" si="344"/>
        <v>0.62191566547536181</v>
      </c>
      <c r="FP90" s="32">
        <f t="shared" si="345"/>
        <v>0.72578838378205024</v>
      </c>
      <c r="FQ90" s="32">
        <f t="shared" si="346"/>
        <v>0.79145226566638671</v>
      </c>
      <c r="FR90" s="32">
        <f t="shared" si="347"/>
        <v>0.86379793681038242</v>
      </c>
      <c r="FS90" s="32">
        <f t="shared" si="348"/>
        <v>0.90536584622123673</v>
      </c>
      <c r="FT90" s="32">
        <f t="shared" si="349"/>
        <v>0.93639241344242974</v>
      </c>
      <c r="FU90" s="32">
        <f t="shared" si="350"/>
        <v>0.96882435157690694</v>
      </c>
      <c r="FV90" s="32">
        <f t="shared" si="351"/>
        <v>1</v>
      </c>
      <c r="FX90" s="32">
        <f t="shared" si="401"/>
        <v>0.13558467914938677</v>
      </c>
      <c r="FY90" s="32">
        <f t="shared" si="352"/>
        <v>0.30176639432251867</v>
      </c>
      <c r="FZ90" s="32">
        <f t="shared" si="353"/>
        <v>0.39063388145895467</v>
      </c>
      <c r="GA90" s="32">
        <f t="shared" si="354"/>
        <v>0.45129924266203036</v>
      </c>
      <c r="GB90" s="32">
        <f t="shared" si="355"/>
        <v>0.51618178265207582</v>
      </c>
      <c r="GC90" s="32">
        <f t="shared" si="356"/>
        <v>0.59429587647885895</v>
      </c>
      <c r="GD90" s="32">
        <f t="shared" si="357"/>
        <v>0.66173406549704639</v>
      </c>
      <c r="GE90" s="32">
        <f t="shared" si="358"/>
        <v>0.79161387753147316</v>
      </c>
      <c r="GF90" s="32">
        <f t="shared" si="359"/>
        <v>0.85324951111933389</v>
      </c>
      <c r="GG90" s="32">
        <f t="shared" si="360"/>
        <v>0.90075782586836528</v>
      </c>
      <c r="GH90" s="32">
        <f t="shared" si="361"/>
        <v>0.94777073219271057</v>
      </c>
      <c r="GI90" s="32">
        <f t="shared" si="362"/>
        <v>1</v>
      </c>
    </row>
    <row r="91" spans="1:191">
      <c r="B91" s="975" t="s">
        <v>569</v>
      </c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>
        <f t="shared" si="291"/>
        <v>0</v>
      </c>
      <c r="Q91" s="975" t="s">
        <v>408</v>
      </c>
      <c r="R91" s="975"/>
      <c r="S91" s="975"/>
      <c r="T91" s="975"/>
      <c r="U91" s="975"/>
      <c r="V91" s="975"/>
      <c r="W91" s="975"/>
      <c r="X91" s="975"/>
      <c r="Y91" s="975"/>
      <c r="Z91" s="975"/>
      <c r="AA91" s="975"/>
      <c r="AB91" s="975"/>
      <c r="AC91" s="975">
        <f t="shared" si="292"/>
        <v>0</v>
      </c>
      <c r="AF91" s="976" t="s">
        <v>276</v>
      </c>
      <c r="AG91" s="976"/>
      <c r="AH91" s="976"/>
      <c r="AI91" s="976"/>
      <c r="AJ91" s="976"/>
      <c r="AK91" s="976"/>
      <c r="AL91" s="976"/>
      <c r="AM91" s="976"/>
      <c r="AN91" s="976"/>
      <c r="AO91" s="976"/>
      <c r="AP91" s="976"/>
      <c r="AQ91" s="976"/>
      <c r="AR91" s="976">
        <f t="shared" si="402"/>
        <v>0</v>
      </c>
      <c r="AU91" s="976" t="s">
        <v>179</v>
      </c>
      <c r="AV91" s="976"/>
      <c r="AW91" s="976"/>
      <c r="AX91" s="976"/>
      <c r="AY91" s="976"/>
      <c r="AZ91" s="976"/>
      <c r="BA91" s="976"/>
      <c r="BB91" s="976"/>
      <c r="BC91" s="976"/>
      <c r="BD91" s="976"/>
      <c r="BE91" s="976"/>
      <c r="BF91" s="976"/>
      <c r="BG91" s="976">
        <f t="shared" si="403"/>
        <v>0</v>
      </c>
      <c r="BJ91" s="976" t="s">
        <v>161</v>
      </c>
      <c r="BK91" s="976"/>
      <c r="BL91" s="976"/>
      <c r="BM91" s="976"/>
      <c r="BN91" s="976"/>
      <c r="BO91" s="976"/>
      <c r="BP91" s="976"/>
      <c r="BQ91" s="976"/>
      <c r="BR91" s="976"/>
      <c r="BS91" s="976"/>
      <c r="BT91" s="976"/>
      <c r="BU91" s="976"/>
      <c r="BV91" s="976">
        <f t="shared" si="404"/>
        <v>0</v>
      </c>
      <c r="BW91" s="403"/>
      <c r="BX91" s="973" t="s">
        <v>578</v>
      </c>
      <c r="BY91" s="973"/>
      <c r="BZ91" s="973"/>
      <c r="CA91" s="973"/>
      <c r="CB91" s="973"/>
      <c r="CC91" s="973"/>
      <c r="CD91" s="973"/>
      <c r="CE91" s="973"/>
      <c r="CF91" s="973"/>
      <c r="CG91" s="973"/>
      <c r="CH91" s="973"/>
      <c r="CI91" s="973"/>
      <c r="CJ91" s="403"/>
      <c r="CK91" s="973" t="s">
        <v>411</v>
      </c>
      <c r="CL91" s="973"/>
      <c r="CM91" s="973"/>
      <c r="CN91" s="973"/>
      <c r="CO91" s="973"/>
      <c r="CP91" s="973"/>
      <c r="CQ91" s="973"/>
      <c r="CR91" s="973"/>
      <c r="CS91" s="973"/>
      <c r="CT91" s="973"/>
      <c r="CU91" s="973"/>
      <c r="CV91" s="973"/>
      <c r="CX91" s="973" t="s">
        <v>294</v>
      </c>
      <c r="CY91" s="973"/>
      <c r="CZ91" s="973"/>
      <c r="DA91" s="973"/>
      <c r="DB91" s="973"/>
      <c r="DC91" s="973"/>
      <c r="DD91" s="973"/>
      <c r="DE91" s="973"/>
      <c r="DF91" s="973"/>
      <c r="DG91" s="973"/>
      <c r="DH91" s="973"/>
      <c r="DI91" s="973"/>
      <c r="DK91" s="973" t="s">
        <v>134</v>
      </c>
      <c r="DL91" s="973"/>
      <c r="DM91" s="973"/>
      <c r="DN91" s="973"/>
      <c r="DO91" s="973"/>
      <c r="DP91" s="973"/>
      <c r="DQ91" s="973"/>
      <c r="DR91" s="973"/>
      <c r="DS91" s="973"/>
      <c r="DT91" s="973"/>
      <c r="DU91" s="973"/>
      <c r="DV91" s="973"/>
      <c r="DW91" s="39"/>
      <c r="DX91" s="973" t="s">
        <v>135</v>
      </c>
      <c r="DY91" s="973"/>
      <c r="DZ91" s="973"/>
      <c r="EA91" s="973"/>
      <c r="EB91" s="973"/>
      <c r="EC91" s="973"/>
      <c r="ED91" s="973"/>
      <c r="EE91" s="973"/>
      <c r="EF91" s="973"/>
      <c r="EG91" s="973"/>
      <c r="EH91" s="973"/>
      <c r="EI91" s="973"/>
      <c r="EK91" s="973" t="s">
        <v>298</v>
      </c>
      <c r="EL91" s="973"/>
      <c r="EM91" s="973"/>
      <c r="EN91" s="973"/>
      <c r="EO91" s="973"/>
      <c r="EP91" s="973"/>
      <c r="EQ91" s="973"/>
      <c r="ER91" s="973"/>
      <c r="ES91" s="973"/>
      <c r="ET91" s="973"/>
      <c r="EU91" s="973"/>
      <c r="EV91" s="973"/>
      <c r="EX91" s="973" t="s">
        <v>426</v>
      </c>
      <c r="EY91" s="973"/>
      <c r="EZ91" s="973"/>
      <c r="FA91" s="973"/>
      <c r="FB91" s="973"/>
      <c r="FC91" s="973"/>
      <c r="FD91" s="973"/>
      <c r="FE91" s="973"/>
      <c r="FF91" s="973"/>
      <c r="FG91" s="973"/>
      <c r="FH91" s="973"/>
      <c r="FI91" s="973"/>
      <c r="FK91" s="973" t="s">
        <v>432</v>
      </c>
      <c r="FL91" s="973"/>
      <c r="FM91" s="973"/>
      <c r="FN91" s="973"/>
      <c r="FO91" s="973"/>
      <c r="FP91" s="973"/>
      <c r="FQ91" s="973"/>
      <c r="FR91" s="973"/>
      <c r="FS91" s="973"/>
      <c r="FT91" s="973"/>
      <c r="FU91" s="973"/>
      <c r="FV91" s="973"/>
      <c r="FX91" s="974" t="s">
        <v>581</v>
      </c>
      <c r="FY91" s="974"/>
      <c r="FZ91" s="974"/>
      <c r="GA91" s="974"/>
      <c r="GB91" s="974"/>
      <c r="GC91" s="974"/>
      <c r="GD91" s="974"/>
      <c r="GE91" s="974"/>
      <c r="GF91" s="974"/>
      <c r="GG91" s="974"/>
      <c r="GH91" s="974"/>
      <c r="GI91" s="974"/>
    </row>
    <row r="92" spans="1:191">
      <c r="B92" s="398" t="s">
        <v>120</v>
      </c>
      <c r="C92" s="398" t="s">
        <v>136</v>
      </c>
      <c r="D92" s="398" t="s">
        <v>137</v>
      </c>
      <c r="E92" s="398" t="s">
        <v>138</v>
      </c>
      <c r="F92" s="398" t="s">
        <v>139</v>
      </c>
      <c r="G92" s="398" t="s">
        <v>140</v>
      </c>
      <c r="H92" s="398" t="s">
        <v>141</v>
      </c>
      <c r="I92" s="398" t="s">
        <v>142</v>
      </c>
      <c r="J92" s="398" t="s">
        <v>143</v>
      </c>
      <c r="K92" s="398" t="s">
        <v>144</v>
      </c>
      <c r="L92" s="398" t="s">
        <v>145</v>
      </c>
      <c r="M92" s="398" t="s">
        <v>146</v>
      </c>
      <c r="N92" s="398" t="s">
        <v>118</v>
      </c>
      <c r="Q92" s="398" t="s">
        <v>120</v>
      </c>
      <c r="R92" s="398" t="s">
        <v>136</v>
      </c>
      <c r="S92" s="398" t="s">
        <v>137</v>
      </c>
      <c r="T92" s="398" t="s">
        <v>138</v>
      </c>
      <c r="U92" s="398" t="s">
        <v>139</v>
      </c>
      <c r="V92" s="398" t="s">
        <v>140</v>
      </c>
      <c r="W92" s="398" t="s">
        <v>141</v>
      </c>
      <c r="X92" s="398" t="s">
        <v>142</v>
      </c>
      <c r="Y92" s="398" t="s">
        <v>143</v>
      </c>
      <c r="Z92" s="398" t="s">
        <v>144</v>
      </c>
      <c r="AA92" s="398" t="s">
        <v>145</v>
      </c>
      <c r="AB92" s="398" t="s">
        <v>146</v>
      </c>
      <c r="AC92" s="398" t="s">
        <v>118</v>
      </c>
      <c r="AF92" s="127" t="s">
        <v>120</v>
      </c>
      <c r="AG92" s="127" t="s">
        <v>136</v>
      </c>
      <c r="AH92" s="127" t="s">
        <v>137</v>
      </c>
      <c r="AI92" s="127" t="s">
        <v>138</v>
      </c>
      <c r="AJ92" s="127" t="s">
        <v>139</v>
      </c>
      <c r="AK92" s="127" t="s">
        <v>140</v>
      </c>
      <c r="AL92" s="127" t="s">
        <v>141</v>
      </c>
      <c r="AM92" s="127" t="s">
        <v>142</v>
      </c>
      <c r="AN92" s="127" t="s">
        <v>143</v>
      </c>
      <c r="AO92" s="127" t="s">
        <v>144</v>
      </c>
      <c r="AP92" s="127" t="s">
        <v>145</v>
      </c>
      <c r="AQ92" s="127" t="s">
        <v>146</v>
      </c>
      <c r="AR92" s="127" t="s">
        <v>118</v>
      </c>
      <c r="AU92" s="60" t="s">
        <v>120</v>
      </c>
      <c r="AV92" s="60" t="s">
        <v>136</v>
      </c>
      <c r="AW92" s="60" t="s">
        <v>137</v>
      </c>
      <c r="AX92" s="60" t="s">
        <v>138</v>
      </c>
      <c r="AY92" s="60" t="s">
        <v>139</v>
      </c>
      <c r="AZ92" s="60" t="s">
        <v>140</v>
      </c>
      <c r="BA92" s="60" t="s">
        <v>141</v>
      </c>
      <c r="BB92" s="60" t="s">
        <v>142</v>
      </c>
      <c r="BC92" s="60" t="s">
        <v>143</v>
      </c>
      <c r="BD92" s="60" t="s">
        <v>144</v>
      </c>
      <c r="BE92" s="60" t="s">
        <v>145</v>
      </c>
      <c r="BF92" s="60" t="s">
        <v>146</v>
      </c>
      <c r="BG92" s="60" t="s">
        <v>118</v>
      </c>
      <c r="BJ92" s="60" t="s">
        <v>120</v>
      </c>
      <c r="BK92" s="60" t="s">
        <v>136</v>
      </c>
      <c r="BL92" s="60" t="s">
        <v>137</v>
      </c>
      <c r="BM92" s="60" t="s">
        <v>138</v>
      </c>
      <c r="BN92" s="60" t="s">
        <v>139</v>
      </c>
      <c r="BO92" s="60" t="s">
        <v>140</v>
      </c>
      <c r="BP92" s="60" t="s">
        <v>141</v>
      </c>
      <c r="BQ92" s="60" t="s">
        <v>142</v>
      </c>
      <c r="BR92" s="60" t="s">
        <v>143</v>
      </c>
      <c r="BS92" s="60" t="s">
        <v>144</v>
      </c>
      <c r="BT92" s="60" t="s">
        <v>145</v>
      </c>
      <c r="BU92" s="60" t="s">
        <v>146</v>
      </c>
      <c r="BV92" s="60">
        <f t="shared" si="404"/>
        <v>0</v>
      </c>
      <c r="BW92" s="404"/>
      <c r="BX92" s="731" t="s">
        <v>147</v>
      </c>
      <c r="BY92" s="731" t="s">
        <v>148</v>
      </c>
      <c r="BZ92" s="731" t="s">
        <v>149</v>
      </c>
      <c r="CA92" s="731" t="s">
        <v>150</v>
      </c>
      <c r="CB92" s="731" t="s">
        <v>151</v>
      </c>
      <c r="CC92" s="731" t="s">
        <v>152</v>
      </c>
      <c r="CD92" s="731" t="s">
        <v>153</v>
      </c>
      <c r="CE92" s="731" t="s">
        <v>154</v>
      </c>
      <c r="CF92" s="731" t="s">
        <v>155</v>
      </c>
      <c r="CG92" s="731" t="s">
        <v>156</v>
      </c>
      <c r="CH92" s="731" t="s">
        <v>157</v>
      </c>
      <c r="CI92" s="731" t="s">
        <v>158</v>
      </c>
      <c r="CJ92" s="404"/>
      <c r="CK92" s="396" t="s">
        <v>147</v>
      </c>
      <c r="CL92" s="396" t="s">
        <v>148</v>
      </c>
      <c r="CM92" s="396" t="s">
        <v>149</v>
      </c>
      <c r="CN92" s="396" t="s">
        <v>150</v>
      </c>
      <c r="CO92" s="396" t="s">
        <v>151</v>
      </c>
      <c r="CP92" s="396" t="s">
        <v>152</v>
      </c>
      <c r="CQ92" s="396" t="s">
        <v>153</v>
      </c>
      <c r="CR92" s="396" t="s">
        <v>154</v>
      </c>
      <c r="CS92" s="396" t="s">
        <v>155</v>
      </c>
      <c r="CT92" s="396" t="s">
        <v>156</v>
      </c>
      <c r="CU92" s="396" t="s">
        <v>157</v>
      </c>
      <c r="CV92" s="396" t="s">
        <v>158</v>
      </c>
      <c r="CX92" s="129" t="s">
        <v>147</v>
      </c>
      <c r="CY92" s="129" t="s">
        <v>148</v>
      </c>
      <c r="CZ92" s="129" t="s">
        <v>149</v>
      </c>
      <c r="DA92" s="129" t="s">
        <v>150</v>
      </c>
      <c r="DB92" s="129" t="s">
        <v>151</v>
      </c>
      <c r="DC92" s="129" t="s">
        <v>152</v>
      </c>
      <c r="DD92" s="129" t="s">
        <v>153</v>
      </c>
      <c r="DE92" s="129" t="s">
        <v>154</v>
      </c>
      <c r="DF92" s="129" t="s">
        <v>155</v>
      </c>
      <c r="DG92" s="129" t="s">
        <v>156</v>
      </c>
      <c r="DH92" s="129" t="s">
        <v>157</v>
      </c>
      <c r="DI92" s="129" t="s">
        <v>158</v>
      </c>
      <c r="DK92" s="60" t="s">
        <v>147</v>
      </c>
      <c r="DL92" s="60" t="s">
        <v>148</v>
      </c>
      <c r="DM92" s="60" t="s">
        <v>149</v>
      </c>
      <c r="DN92" s="60" t="s">
        <v>150</v>
      </c>
      <c r="DO92" s="60" t="s">
        <v>151</v>
      </c>
      <c r="DP92" s="60" t="s">
        <v>152</v>
      </c>
      <c r="DQ92" s="60" t="s">
        <v>153</v>
      </c>
      <c r="DR92" s="60" t="s">
        <v>154</v>
      </c>
      <c r="DS92" s="60" t="s">
        <v>155</v>
      </c>
      <c r="DT92" s="60" t="s">
        <v>156</v>
      </c>
      <c r="DU92" s="60" t="s">
        <v>157</v>
      </c>
      <c r="DV92" s="60" t="s">
        <v>158</v>
      </c>
      <c r="DW92" s="39"/>
      <c r="DX92" s="60" t="s">
        <v>147</v>
      </c>
      <c r="DY92" s="60" t="s">
        <v>148</v>
      </c>
      <c r="DZ92" s="60" t="s">
        <v>180</v>
      </c>
      <c r="EA92" s="60" t="s">
        <v>181</v>
      </c>
      <c r="EB92" s="60" t="s">
        <v>182</v>
      </c>
      <c r="EC92" s="60" t="s">
        <v>152</v>
      </c>
      <c r="ED92" s="60" t="s">
        <v>153</v>
      </c>
      <c r="EE92" s="60" t="s">
        <v>154</v>
      </c>
      <c r="EF92" s="60" t="s">
        <v>155</v>
      </c>
      <c r="EG92" s="60" t="s">
        <v>156</v>
      </c>
      <c r="EH92" s="60" t="s">
        <v>157</v>
      </c>
      <c r="EI92" s="60" t="s">
        <v>158</v>
      </c>
      <c r="EK92" s="60" t="s">
        <v>147</v>
      </c>
      <c r="EL92" s="60" t="s">
        <v>148</v>
      </c>
      <c r="EM92" s="60" t="s">
        <v>180</v>
      </c>
      <c r="EN92" s="60" t="s">
        <v>181</v>
      </c>
      <c r="EO92" s="60" t="s">
        <v>182</v>
      </c>
      <c r="EP92" s="60" t="s">
        <v>152</v>
      </c>
      <c r="EQ92" s="60" t="s">
        <v>153</v>
      </c>
      <c r="ER92" s="60" t="s">
        <v>154</v>
      </c>
      <c r="ES92" s="60" t="s">
        <v>155</v>
      </c>
      <c r="ET92" s="60" t="s">
        <v>156</v>
      </c>
      <c r="EU92" s="60" t="s">
        <v>157</v>
      </c>
      <c r="EV92" s="60" t="s">
        <v>158</v>
      </c>
      <c r="EX92" s="397" t="s">
        <v>147</v>
      </c>
      <c r="EY92" s="397" t="s">
        <v>148</v>
      </c>
      <c r="EZ92" s="397" t="s">
        <v>180</v>
      </c>
      <c r="FA92" s="397" t="s">
        <v>181</v>
      </c>
      <c r="FB92" s="397" t="s">
        <v>182</v>
      </c>
      <c r="FC92" s="397" t="s">
        <v>152</v>
      </c>
      <c r="FD92" s="397" t="s">
        <v>153</v>
      </c>
      <c r="FE92" s="397" t="s">
        <v>154</v>
      </c>
      <c r="FF92" s="397" t="s">
        <v>155</v>
      </c>
      <c r="FG92" s="397" t="s">
        <v>156</v>
      </c>
      <c r="FH92" s="397" t="s">
        <v>157</v>
      </c>
      <c r="FI92" s="397" t="s">
        <v>158</v>
      </c>
      <c r="FK92" s="397" t="s">
        <v>147</v>
      </c>
      <c r="FL92" s="397" t="s">
        <v>148</v>
      </c>
      <c r="FM92" s="397" t="s">
        <v>180</v>
      </c>
      <c r="FN92" s="397" t="s">
        <v>181</v>
      </c>
      <c r="FO92" s="397" t="s">
        <v>182</v>
      </c>
      <c r="FP92" s="397" t="s">
        <v>152</v>
      </c>
      <c r="FQ92" s="397" t="s">
        <v>153</v>
      </c>
      <c r="FR92" s="397" t="s">
        <v>154</v>
      </c>
      <c r="FS92" s="397" t="s">
        <v>155</v>
      </c>
      <c r="FT92" s="397" t="s">
        <v>156</v>
      </c>
      <c r="FU92" s="397" t="s">
        <v>157</v>
      </c>
      <c r="FV92" s="397" t="s">
        <v>158</v>
      </c>
      <c r="FX92" s="731" t="s">
        <v>147</v>
      </c>
      <c r="FY92" s="731" t="s">
        <v>148</v>
      </c>
      <c r="FZ92" s="731" t="s">
        <v>180</v>
      </c>
      <c r="GA92" s="731" t="s">
        <v>181</v>
      </c>
      <c r="GB92" s="731" t="s">
        <v>182</v>
      </c>
      <c r="GC92" s="731" t="s">
        <v>152</v>
      </c>
      <c r="GD92" s="731" t="s">
        <v>153</v>
      </c>
      <c r="GE92" s="731" t="s">
        <v>154</v>
      </c>
      <c r="GF92" s="731" t="s">
        <v>155</v>
      </c>
      <c r="GG92" s="731" t="s">
        <v>156</v>
      </c>
      <c r="GH92" s="731" t="s">
        <v>157</v>
      </c>
      <c r="GI92" s="731" t="s">
        <v>158</v>
      </c>
    </row>
    <row r="93" spans="1:191">
      <c r="A93" s="724" t="s">
        <v>77</v>
      </c>
      <c r="B93" s="399">
        <v>392.84999999999991</v>
      </c>
      <c r="C93" s="400">
        <v>0</v>
      </c>
      <c r="D93" s="400">
        <v>1490.96</v>
      </c>
      <c r="E93" s="400">
        <v>1589.0099999999998</v>
      </c>
      <c r="F93" s="400">
        <v>528.51999999999975</v>
      </c>
      <c r="G93" s="400">
        <v>1287.77</v>
      </c>
      <c r="H93" s="400">
        <v>239.08999999999992</v>
      </c>
      <c r="I93" s="400">
        <v>1187.8200000000002</v>
      </c>
      <c r="J93" s="400">
        <v>886.37000000000012</v>
      </c>
      <c r="K93" s="400">
        <v>296.48</v>
      </c>
      <c r="L93" s="400">
        <v>331.40999999999985</v>
      </c>
      <c r="M93" s="400">
        <v>234.87</v>
      </c>
      <c r="N93" s="400">
        <f t="shared" ref="N93:N121" si="441">SUM(B93:M93)</f>
        <v>8465.15</v>
      </c>
      <c r="P93" s="396" t="s">
        <v>77</v>
      </c>
      <c r="Q93" s="399">
        <v>525.66</v>
      </c>
      <c r="R93" s="400">
        <v>867.36</v>
      </c>
      <c r="S93" s="400">
        <v>369.94</v>
      </c>
      <c r="T93" s="400">
        <v>230.73</v>
      </c>
      <c r="U93" s="400">
        <v>549</v>
      </c>
      <c r="V93" s="400">
        <v>369.37</v>
      </c>
      <c r="W93" s="400">
        <v>0</v>
      </c>
      <c r="X93" s="400">
        <v>0</v>
      </c>
      <c r="Y93" s="400">
        <v>659.56</v>
      </c>
      <c r="Z93" s="400">
        <v>2196.48</v>
      </c>
      <c r="AA93" s="400">
        <v>710.75</v>
      </c>
      <c r="AB93" s="400">
        <v>0</v>
      </c>
      <c r="AC93" s="400">
        <f t="shared" ref="AC93:AC121" si="442">SUM(Q93:AB93)</f>
        <v>6478.85</v>
      </c>
      <c r="AE93" s="127" t="s">
        <v>77</v>
      </c>
      <c r="AF93" s="27">
        <v>449.44</v>
      </c>
      <c r="AG93" s="27">
        <v>266.89</v>
      </c>
      <c r="AH93" s="27">
        <v>404.97</v>
      </c>
      <c r="AI93" s="27">
        <v>493.91</v>
      </c>
      <c r="AJ93" s="27">
        <v>919.63</v>
      </c>
      <c r="AK93" s="27">
        <v>272.82</v>
      </c>
      <c r="AL93" s="27">
        <v>626.45000000000005</v>
      </c>
      <c r="AM93" s="27">
        <v>270.57</v>
      </c>
      <c r="AN93" s="27">
        <v>92.65</v>
      </c>
      <c r="AO93" s="27">
        <v>475.05</v>
      </c>
      <c r="AP93" s="27">
        <v>320.25</v>
      </c>
      <c r="AQ93" s="27">
        <v>0</v>
      </c>
      <c r="AR93" s="43">
        <f t="shared" ref="AR93:AR121" si="443">SUM(AF93:AQ93)</f>
        <v>4592.630000000001</v>
      </c>
      <c r="AT93" s="60" t="s">
        <v>77</v>
      </c>
      <c r="AU93" s="27">
        <v>0</v>
      </c>
      <c r="AV93" s="27">
        <v>333.78999999999996</v>
      </c>
      <c r="AW93" s="27">
        <v>1119.19</v>
      </c>
      <c r="AX93" s="27">
        <v>595.59000000000015</v>
      </c>
      <c r="AY93" s="27">
        <v>71.989999999999782</v>
      </c>
      <c r="AZ93" s="27">
        <v>333.8</v>
      </c>
      <c r="BA93" s="27">
        <v>0</v>
      </c>
      <c r="BB93" s="27">
        <v>0</v>
      </c>
      <c r="BC93" s="27">
        <v>0</v>
      </c>
      <c r="BD93" s="27">
        <v>395.82</v>
      </c>
      <c r="BE93" s="27">
        <v>186.38</v>
      </c>
      <c r="BF93" s="27">
        <v>0</v>
      </c>
      <c r="BG93" s="43">
        <f t="shared" si="403"/>
        <v>3036.5600000000004</v>
      </c>
      <c r="BI93" s="60" t="s">
        <v>77</v>
      </c>
      <c r="BJ93" s="27">
        <v>40.629999999999939</v>
      </c>
      <c r="BK93" s="27">
        <v>278.08000000000015</v>
      </c>
      <c r="BL93" s="27">
        <v>258.5299999999998</v>
      </c>
      <c r="BM93" s="27">
        <v>165.82999999999998</v>
      </c>
      <c r="BN93" s="27">
        <v>92.700000000000045</v>
      </c>
      <c r="BO93" s="27">
        <v>571.77</v>
      </c>
      <c r="BP93" s="27">
        <v>0</v>
      </c>
      <c r="BQ93" s="27">
        <v>0</v>
      </c>
      <c r="BR93" s="27">
        <v>0</v>
      </c>
      <c r="BS93" s="27">
        <v>0</v>
      </c>
      <c r="BT93" s="27">
        <v>0</v>
      </c>
      <c r="BU93" s="27">
        <v>219.38999999999987</v>
      </c>
      <c r="BV93" s="43">
        <f t="shared" si="404"/>
        <v>1626.9299999999998</v>
      </c>
      <c r="BW93" s="405"/>
      <c r="BX93" s="32">
        <f>B93/$N93</f>
        <v>4.6407919528891978E-2</v>
      </c>
      <c r="BY93" s="32">
        <f>SUM(B93:C93)/$N93</f>
        <v>4.6407919528891978E-2</v>
      </c>
      <c r="BZ93" s="32">
        <f>SUM(B93:D93)/$N93</f>
        <v>0.2225371080252565</v>
      </c>
      <c r="CA93" s="32">
        <f>SUM(B93:E93)/$N93</f>
        <v>0.41024908005174154</v>
      </c>
      <c r="CB93" s="32">
        <f>SUM(B93:F93)/$N93</f>
        <v>0.47268388628671665</v>
      </c>
      <c r="CC93" s="32">
        <f>SUM(B93:G93)/$N93</f>
        <v>0.62480995611418566</v>
      </c>
      <c r="CD93" s="32">
        <f>SUM(B93:H93)/$N93</f>
        <v>0.65305399195525171</v>
      </c>
      <c r="CE93" s="32">
        <f>SUM(B93:I93)/$N93</f>
        <v>0.79337282859724856</v>
      </c>
      <c r="CF93" s="32">
        <f>SUM(B93:J93)/$N93</f>
        <v>0.89808095544674327</v>
      </c>
      <c r="CG93" s="32">
        <f>SUM(B93:K93)/$N93</f>
        <v>0.9331045521934046</v>
      </c>
      <c r="CH93" s="32">
        <f>SUM(B93:L93)/$N93</f>
        <v>0.97225447865660963</v>
      </c>
      <c r="CI93" s="32">
        <f>SUM(B93:M93)/$N93</f>
        <v>1</v>
      </c>
      <c r="CJ93" s="405"/>
      <c r="CK93" s="32">
        <f>Q93/$AC93</f>
        <v>8.1134769287759395E-2</v>
      </c>
      <c r="CL93" s="32">
        <f>SUM(Q93:R93)/$AC93</f>
        <v>0.21501037992853669</v>
      </c>
      <c r="CM93" s="32">
        <f>SUM(Q93:S93)/$AC93</f>
        <v>0.27211001952507002</v>
      </c>
      <c r="CN93" s="32">
        <f>SUM(Q93:T93)/$AC93</f>
        <v>0.30772282117968464</v>
      </c>
      <c r="CO93" s="32">
        <f>SUM(Q93:U93)/$AC93</f>
        <v>0.39246008165029284</v>
      </c>
      <c r="CP93" s="32">
        <f>SUM(Q93:V93)/$AC93</f>
        <v>0.44947174267038126</v>
      </c>
      <c r="CQ93" s="32">
        <f>SUM(Q93:W93)/$AC93</f>
        <v>0.44947174267038126</v>
      </c>
      <c r="CR93" s="32">
        <f>SUM(Q93:X93)/$AC93</f>
        <v>0.44947174267038126</v>
      </c>
      <c r="CS93" s="32">
        <f>SUM(Q93:Y93)/$AC93</f>
        <v>0.55127376000370432</v>
      </c>
      <c r="CT93" s="32">
        <f>SUM(Q93:Z93)/$AC93</f>
        <v>0.89029688910840654</v>
      </c>
      <c r="CU93" s="32">
        <f>SUM(Q93:AA93)/$AC93</f>
        <v>1</v>
      </c>
      <c r="CV93" s="32">
        <f>SUM(Q93:AB93)/$AC93</f>
        <v>1</v>
      </c>
      <c r="CX93" s="32">
        <f>AF93/$AR93</f>
        <v>9.7861138389114713E-2</v>
      </c>
      <c r="CY93" s="32">
        <f>SUM(AF93:AG93)/$AR93</f>
        <v>0.15597381021331999</v>
      </c>
      <c r="CZ93" s="32">
        <f>SUM(AF93:AH93)/$AR93</f>
        <v>0.24415204360028997</v>
      </c>
      <c r="DA93" s="32">
        <f>SUM(AF93:AI93)/$AR93</f>
        <v>0.35169608699154942</v>
      </c>
      <c r="DB93" s="32">
        <f>SUM(AF93:AJ93)/$AR93</f>
        <v>0.55193647213034791</v>
      </c>
      <c r="DC93" s="32">
        <f>SUM(AF93:AK93)/$AR93</f>
        <v>0.61134034311494712</v>
      </c>
      <c r="DD93" s="32">
        <f>SUM(AF93:AL93)/$AR93</f>
        <v>0.74774366757173993</v>
      </c>
      <c r="DE93" s="32">
        <f>SUM(AF93:AM93)/$AR93</f>
        <v>0.80665762319194012</v>
      </c>
      <c r="DF93" s="32">
        <f>SUM(AF93:AN93)/$AR93</f>
        <v>0.82683124919708317</v>
      </c>
      <c r="DG93" s="32">
        <f>SUM(AF93:AO93)/$AR93</f>
        <v>0.93026871313386883</v>
      </c>
      <c r="DH93" s="32">
        <f>SUM(AF93:AP93)/$AR93</f>
        <v>1</v>
      </c>
      <c r="DI93" s="32">
        <f>SUM(AF93:AQ93)/$AR93</f>
        <v>1</v>
      </c>
      <c r="DK93" s="32">
        <f t="shared" ref="DK93:DK119" si="444">AU93/BG93</f>
        <v>0</v>
      </c>
      <c r="DL93" s="32">
        <f t="shared" ref="DL93:DL119" si="445">SUM(AU93:AV93)/$BG93</f>
        <v>0.10992372948336272</v>
      </c>
      <c r="DM93" s="32">
        <f t="shared" ref="DM93:DM119" si="446">SUM(AU93:AW93)/$BG93</f>
        <v>0.47849540269252044</v>
      </c>
      <c r="DN93" s="32">
        <f t="shared" ref="DN93:DN119" si="447">SUM(AU93:AX93)/$BG93</f>
        <v>0.6746351134178149</v>
      </c>
      <c r="DO93" s="32">
        <f t="shared" ref="DO93:DO119" si="448">SUM(AU93:AY93)/$BG93</f>
        <v>0.69834286165924586</v>
      </c>
      <c r="DP93" s="32">
        <f t="shared" ref="DP93:DP119" si="449">SUM(AU93:AZ93)/$BG93</f>
        <v>0.80826988434280889</v>
      </c>
      <c r="DQ93" s="32">
        <f t="shared" ref="DQ93:DQ119" si="450">SUM(AU93:BA93)/$BG93</f>
        <v>0.80826988434280889</v>
      </c>
      <c r="DR93" s="32">
        <f t="shared" ref="DR93:DR119" si="451">SUM(AU93:BB93)/$BG93</f>
        <v>0.80826988434280889</v>
      </c>
      <c r="DS93" s="32">
        <f t="shared" ref="DS93:DS119" si="452">SUM(AU93:BC93)/$BG93</f>
        <v>0.80826988434280889</v>
      </c>
      <c r="DT93" s="32">
        <f t="shared" ref="DT93:DT119" si="453">SUM(AU93:BD93)/$BG93</f>
        <v>0.9386213346681771</v>
      </c>
      <c r="DU93" s="32">
        <f t="shared" ref="DU93:DU119" si="454">SUM(AU93:BE93)/$BG93</f>
        <v>1</v>
      </c>
      <c r="DV93" s="32">
        <f t="shared" ref="DV93:DV119" si="455">SUM(AU93:BF93)/$BG93</f>
        <v>1</v>
      </c>
      <c r="DW93" s="39"/>
      <c r="DX93" s="32">
        <f t="shared" ref="DX93:DX119" si="456">BJ93/BV93</f>
        <v>2.4973416188772683E-2</v>
      </c>
      <c r="DY93" s="32">
        <f t="shared" ref="DY93:DY119" si="457">SUM(BJ93:BK93)/$BV93</f>
        <v>0.19589656592477864</v>
      </c>
      <c r="DZ93" s="32">
        <f t="shared" ref="DZ93:DZ119" si="458">SUM(BJ93:BL93)/$BV93</f>
        <v>0.35480321833145861</v>
      </c>
      <c r="EA93" s="32">
        <f t="shared" ref="EA93:EA119" si="459">SUM(BJ93:BM93)/$BV93</f>
        <v>0.45673138979550443</v>
      </c>
      <c r="EB93" s="32">
        <f t="shared" ref="EB93:EB119" si="460">SUM(BJ93:BN93)/$BV93</f>
        <v>0.51370987073813879</v>
      </c>
      <c r="EC93" s="32">
        <f t="shared" ref="EC93:EC119" si="461">SUM(BJ93:BO93)/$BV93</f>
        <v>0.86515092843576558</v>
      </c>
      <c r="ED93" s="32">
        <f t="shared" ref="ED93:ED119" si="462">SUM(BJ93:BP93)/$BV93</f>
        <v>0.86515092843576558</v>
      </c>
      <c r="EE93" s="32">
        <f t="shared" ref="EE93:EE119" si="463">SUM(BJ93:BQ93)/$BV93</f>
        <v>0.86515092843576558</v>
      </c>
      <c r="EF93" s="32">
        <f t="shared" ref="EF93:EF119" si="464">SUM(BJ93:BR93)/$BV93</f>
        <v>0.86515092843576558</v>
      </c>
      <c r="EG93" s="32">
        <f t="shared" ref="EG93:EG119" si="465">SUM(BJ93:BS93)/$BV93</f>
        <v>0.86515092843576558</v>
      </c>
      <c r="EH93" s="32">
        <f t="shared" ref="EH93:EH119" si="466">SUM(BJ93:BT93)/$BV93</f>
        <v>0.86515092843576558</v>
      </c>
      <c r="EI93" s="32">
        <f t="shared" ref="EI93:EI119" si="467">SUM(BJ93:BU93)/$BV93</f>
        <v>1</v>
      </c>
      <c r="EK93" s="32">
        <f>(CX93+DK93+DX93)/3</f>
        <v>4.0944851525962465E-2</v>
      </c>
      <c r="EL93" s="32">
        <f t="shared" ref="EL93:EL119" si="468">(CY93+DL93+DY93)/3</f>
        <v>0.15393136854048714</v>
      </c>
      <c r="EM93" s="32">
        <f t="shared" ref="EM93:EM119" si="469">(CZ93+DM93+DZ93)/3</f>
        <v>0.35915022154142301</v>
      </c>
      <c r="EN93" s="32">
        <f t="shared" ref="EN93:EN119" si="470">(DA93+DN93+EA93)/3</f>
        <v>0.49435419673495629</v>
      </c>
      <c r="EO93" s="32">
        <f t="shared" ref="EO93:EO119" si="471">(DB93+DO93+EB93)/3</f>
        <v>0.58799640150924415</v>
      </c>
      <c r="EP93" s="32">
        <f t="shared" ref="EP93:EP119" si="472">(DC93+DP93+EC93)/3</f>
        <v>0.76158705196450727</v>
      </c>
      <c r="EQ93" s="32">
        <f t="shared" ref="EQ93:EQ119" si="473">(DD93+DQ93+ED93)/3</f>
        <v>0.8070548267834381</v>
      </c>
      <c r="ER93" s="32">
        <f t="shared" ref="ER93:ER119" si="474">(DE93+DR93+EE93)/3</f>
        <v>0.82669281199017153</v>
      </c>
      <c r="ES93" s="32">
        <f t="shared" ref="ES93:ES119" si="475">(DF93+DS93+EF93)/3</f>
        <v>0.83341735399188588</v>
      </c>
      <c r="ET93" s="32">
        <f t="shared" ref="ET93:ET119" si="476">(DG93+DT93+EG93)/3</f>
        <v>0.91134699207927039</v>
      </c>
      <c r="EU93" s="32">
        <f t="shared" ref="EU93:EU119" si="477">(DH93+DU93+EH93)/3</f>
        <v>0.95505030947858849</v>
      </c>
      <c r="EV93" s="32">
        <f t="shared" ref="EV93:EV119" si="478">(DI93+DV93+EI93)/3</f>
        <v>1</v>
      </c>
      <c r="EX93" s="32">
        <f t="shared" ref="EX93:EX120" si="479">(DK93+DX93+CX93+CK93)/4</f>
        <v>5.0992330966411696E-2</v>
      </c>
      <c r="EY93" s="32">
        <f t="shared" ref="EY93:EY120" si="480">(DL93+DY93+CY93+CL93)/4</f>
        <v>0.16920112138749951</v>
      </c>
      <c r="EZ93" s="32">
        <f t="shared" ref="EZ93:EZ120" si="481">(DM93+DZ93+CZ93+CM93)/4</f>
        <v>0.33739017103733476</v>
      </c>
      <c r="FA93" s="32">
        <f t="shared" ref="FA93:FA120" si="482">(DN93+EA93+DA93+CN93)/4</f>
        <v>0.4476963528461384</v>
      </c>
      <c r="FB93" s="32">
        <f t="shared" ref="FB93:FB120" si="483">(DO93+EB93+DB93+CO93)/4</f>
        <v>0.53911232154450639</v>
      </c>
      <c r="FC93" s="32">
        <f t="shared" ref="FC93:FC120" si="484">(DP93+EC93+DC93+CP93)/4</f>
        <v>0.68355822464097571</v>
      </c>
      <c r="FD93" s="32">
        <f t="shared" ref="FD93:FD120" si="485">(DQ93+ED93+DD93+CQ93)/4</f>
        <v>0.71765905575517386</v>
      </c>
      <c r="FE93" s="32">
        <f t="shared" ref="FE93:FE120" si="486">(DR93+EE93+DE93+CR93)/4</f>
        <v>0.73238754466022393</v>
      </c>
      <c r="FF93" s="32">
        <f t="shared" ref="FF93:FF120" si="487">(DS93+EF93+DF93+CS93)/4</f>
        <v>0.76288145549484043</v>
      </c>
      <c r="FG93" s="32">
        <f t="shared" ref="FG93:FG120" si="488">(DT93+EG93+DG93+CT93)/4</f>
        <v>0.90608446633655448</v>
      </c>
      <c r="FH93" s="32">
        <f t="shared" ref="FH93:FH120" si="489">(DU93+EH93+DH93+CU93)/4</f>
        <v>0.96628773210894137</v>
      </c>
      <c r="FI93" s="32">
        <f t="shared" ref="FI93:FI120" si="490">(DV93+EI93+DI93+CV93)/4</f>
        <v>1</v>
      </c>
      <c r="FK93" s="32">
        <f>(DK93+CX93+CK93)/3</f>
        <v>5.9665302558958043E-2</v>
      </c>
      <c r="FL93" s="32">
        <f t="shared" ref="FL93:FL120" si="491">(DL93+CY93+CL93)/3</f>
        <v>0.16030263987507312</v>
      </c>
      <c r="FM93" s="32">
        <f t="shared" ref="FM93:FM120" si="492">(DM93+CZ93+CM93)/3</f>
        <v>0.33158582193929348</v>
      </c>
      <c r="FN93" s="32">
        <f t="shared" ref="FN93:FN120" si="493">(DN93+DA93+CN93)/3</f>
        <v>0.4446846738630163</v>
      </c>
      <c r="FO93" s="32">
        <f t="shared" ref="FO93:FO120" si="494">(DO93+DB93+CO93)/3</f>
        <v>0.54757980514662885</v>
      </c>
      <c r="FP93" s="32">
        <f t="shared" ref="FP93:FP120" si="495">(DP93+DC93+CP93)/3</f>
        <v>0.62302732337604583</v>
      </c>
      <c r="FQ93" s="32">
        <f t="shared" ref="FQ93:FQ120" si="496">(DQ93+DD93+CQ93)/3</f>
        <v>0.66849509819497666</v>
      </c>
      <c r="FR93" s="32">
        <f t="shared" ref="FR93:FR120" si="497">(DR93+DE93+CR93)/3</f>
        <v>0.68813308340171009</v>
      </c>
      <c r="FS93" s="32">
        <f t="shared" ref="FS93:FS120" si="498">(DS93+DF93+CS93)/3</f>
        <v>0.72879163118119872</v>
      </c>
      <c r="FT93" s="32">
        <f t="shared" ref="FT93:FT120" si="499">(DT93+DG93+CT93)/3</f>
        <v>0.91972897897015082</v>
      </c>
      <c r="FU93" s="32">
        <f t="shared" ref="FU93:FU120" si="500">(DU93+DH93+CU93)/3</f>
        <v>1</v>
      </c>
      <c r="FV93" s="32">
        <f t="shared" ref="FV93:FV120" si="501">(DV93+DI93+CV93)/3</f>
        <v>1</v>
      </c>
      <c r="FX93" s="32">
        <f t="shared" ref="FX93:FX120" si="502">(CX93+CK93+BX93)/3</f>
        <v>7.5134609068588695E-2</v>
      </c>
      <c r="FY93" s="32">
        <f t="shared" ref="FY93:FY120" si="503">(CY93+CL93+BY93)/3</f>
        <v>0.1391307032235829</v>
      </c>
      <c r="FZ93" s="32">
        <f t="shared" ref="FZ93:FZ120" si="504">(CZ93+CM93+BZ93)/3</f>
        <v>0.24626639038353884</v>
      </c>
      <c r="GA93" s="32">
        <f t="shared" ref="GA93:GA120" si="505">(DA93+CN93+CA93)/3</f>
        <v>0.3565559960743252</v>
      </c>
      <c r="GB93" s="32">
        <f t="shared" ref="GB93:GB120" si="506">(DB93+CO93+CB93)/3</f>
        <v>0.47236014668911913</v>
      </c>
      <c r="GC93" s="32">
        <f t="shared" ref="GC93:GC120" si="507">(DC93+CP93+CC93)/3</f>
        <v>0.56187401396650472</v>
      </c>
      <c r="GD93" s="32">
        <f t="shared" ref="GD93:GD120" si="508">(DD93+CQ93+CD93)/3</f>
        <v>0.61675646739912426</v>
      </c>
      <c r="GE93" s="32">
        <f t="shared" ref="GE93:GE120" si="509">(DE93+CR93+CE93)/3</f>
        <v>0.68316739815318994</v>
      </c>
      <c r="GF93" s="32">
        <f t="shared" ref="GF93:GF120" si="510">(DF93+CS93+CF93)/3</f>
        <v>0.75872865488251018</v>
      </c>
      <c r="GG93" s="32">
        <f t="shared" ref="GG93:GG120" si="511">(DG93+CT93+CG93)/3</f>
        <v>0.91789005147855995</v>
      </c>
      <c r="GH93" s="32">
        <f t="shared" ref="GH93:GH120" si="512">(DH93+CU93+CH93)/3</f>
        <v>0.99075149288553666</v>
      </c>
      <c r="GI93" s="32">
        <f t="shared" ref="GI93:GI120" si="513">(DI93+CV93+CI93)/3</f>
        <v>1</v>
      </c>
    </row>
    <row r="94" spans="1:191">
      <c r="A94" s="724" t="s">
        <v>78</v>
      </c>
      <c r="B94" s="399">
        <v>2200.1899999999996</v>
      </c>
      <c r="C94" s="400">
        <v>1614.93</v>
      </c>
      <c r="D94" s="400">
        <v>1254.2</v>
      </c>
      <c r="E94" s="400">
        <v>1280.27</v>
      </c>
      <c r="F94" s="400">
        <v>1572.16</v>
      </c>
      <c r="G94" s="400">
        <v>112.17000000000007</v>
      </c>
      <c r="H94" s="400">
        <v>561.78000000000009</v>
      </c>
      <c r="I94" s="400">
        <v>2407.1299999999992</v>
      </c>
      <c r="J94" s="400">
        <v>546.21</v>
      </c>
      <c r="K94" s="400">
        <v>546.20999999999981</v>
      </c>
      <c r="L94" s="400">
        <v>416.59999999999991</v>
      </c>
      <c r="M94" s="400">
        <v>224.34</v>
      </c>
      <c r="N94" s="400">
        <f t="shared" si="441"/>
        <v>12736.19</v>
      </c>
      <c r="P94" s="396" t="s">
        <v>78</v>
      </c>
      <c r="Q94" s="399">
        <v>1414.8</v>
      </c>
      <c r="R94" s="400">
        <v>710</v>
      </c>
      <c r="S94" s="400">
        <v>406.29</v>
      </c>
      <c r="T94" s="400">
        <v>633.16</v>
      </c>
      <c r="U94" s="400">
        <v>292.26</v>
      </c>
      <c r="V94" s="400">
        <v>371.8</v>
      </c>
      <c r="W94" s="400">
        <v>317.67999999999984</v>
      </c>
      <c r="X94" s="400">
        <v>80.309999999999945</v>
      </c>
      <c r="Y94" s="400">
        <v>419.15999999999985</v>
      </c>
      <c r="Z94" s="400">
        <v>419.14000000000004</v>
      </c>
      <c r="AA94" s="400">
        <v>736.85</v>
      </c>
      <c r="AB94" s="400">
        <v>950.75999999999976</v>
      </c>
      <c r="AC94" s="400">
        <f t="shared" si="442"/>
        <v>6752.2099999999991</v>
      </c>
      <c r="AE94" s="127" t="s">
        <v>78</v>
      </c>
      <c r="AF94" s="27">
        <v>213.52</v>
      </c>
      <c r="AG94" s="27">
        <v>892.37</v>
      </c>
      <c r="AH94" s="27">
        <v>0</v>
      </c>
      <c r="AI94" s="27">
        <v>88.95</v>
      </c>
      <c r="AJ94" s="27">
        <v>305.2</v>
      </c>
      <c r="AK94" s="27">
        <v>331.88</v>
      </c>
      <c r="AL94" s="27">
        <v>1030.8399999999999</v>
      </c>
      <c r="AM94" s="27">
        <v>358.11</v>
      </c>
      <c r="AN94" s="27">
        <v>684.2</v>
      </c>
      <c r="AO94" s="27">
        <v>1394.66</v>
      </c>
      <c r="AP94" s="27">
        <v>473.76</v>
      </c>
      <c r="AQ94" s="27">
        <v>195.98</v>
      </c>
      <c r="AR94" s="43">
        <f t="shared" si="443"/>
        <v>5969.47</v>
      </c>
      <c r="AT94" s="60" t="s">
        <v>78</v>
      </c>
      <c r="AU94" s="27">
        <v>703.84999999999991</v>
      </c>
      <c r="AV94" s="27">
        <v>759.21999999999935</v>
      </c>
      <c r="AW94" s="27">
        <v>523.59999999999991</v>
      </c>
      <c r="AX94" s="27">
        <v>1396.27</v>
      </c>
      <c r="AY94" s="27">
        <v>523.59999999999991</v>
      </c>
      <c r="AZ94" s="27">
        <v>1256.6500000000001</v>
      </c>
      <c r="BA94" s="27">
        <v>0</v>
      </c>
      <c r="BB94" s="27">
        <v>0</v>
      </c>
      <c r="BC94" s="27">
        <v>1001.53</v>
      </c>
      <c r="BD94" s="27">
        <v>0</v>
      </c>
      <c r="BE94" s="27">
        <v>0</v>
      </c>
      <c r="BF94" s="27">
        <v>0</v>
      </c>
      <c r="BG94" s="43">
        <f t="shared" si="403"/>
        <v>6164.7199999999984</v>
      </c>
      <c r="BI94" s="60" t="s">
        <v>78</v>
      </c>
      <c r="BJ94" s="27">
        <v>568.83999999999992</v>
      </c>
      <c r="BK94" s="27">
        <v>406.32000000000039</v>
      </c>
      <c r="BL94" s="27">
        <v>376.80999999999995</v>
      </c>
      <c r="BM94" s="27">
        <v>279.3</v>
      </c>
      <c r="BN94" s="27">
        <v>121.88999999999999</v>
      </c>
      <c r="BO94" s="27">
        <v>0</v>
      </c>
      <c r="BP94" s="27">
        <v>163.41999999999996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43">
        <f t="shared" si="404"/>
        <v>1916.5800000000004</v>
      </c>
      <c r="BW94" s="405"/>
      <c r="BX94" s="32">
        <f t="shared" ref="BX94:BX119" si="514">B94/$N94</f>
        <v>0.17275103465007977</v>
      </c>
      <c r="BY94" s="32">
        <f t="shared" ref="BY94:BY119" si="515">SUM(B94:C94)/$N94</f>
        <v>0.29954955131793731</v>
      </c>
      <c r="BZ94" s="32">
        <f t="shared" ref="BZ94:BZ119" si="516">SUM(B94:D94)/$N94</f>
        <v>0.39802484102388547</v>
      </c>
      <c r="CA94" s="32">
        <f t="shared" ref="CA94:CA119" si="517">SUM(B94:E94)/$N94</f>
        <v>0.49854705371072511</v>
      </c>
      <c r="CB94" s="32">
        <f t="shared" ref="CB94:CB119" si="518">SUM(B94:F94)/$N94</f>
        <v>0.62198742324038814</v>
      </c>
      <c r="CC94" s="32">
        <f t="shared" ref="CC94:CC119" si="519">SUM(B94:G94)/$N94</f>
        <v>0.63079460969096723</v>
      </c>
      <c r="CD94" s="32">
        <f t="shared" ref="CD94:CD119" si="520">SUM(B94:H94)/$N94</f>
        <v>0.67490356221130499</v>
      </c>
      <c r="CE94" s="32">
        <f t="shared" ref="CE94:CE119" si="521">SUM(B94:I94)/$N94</f>
        <v>0.86390278411361632</v>
      </c>
      <c r="CF94" s="32">
        <f t="shared" ref="CF94:CF119" si="522">SUM(B94:J94)/$N94</f>
        <v>0.90678923602741479</v>
      </c>
      <c r="CG94" s="32">
        <f t="shared" ref="CG94:CG119" si="523">SUM(B94:K94)/$N94</f>
        <v>0.94967568794121315</v>
      </c>
      <c r="CH94" s="32">
        <f t="shared" ref="CH94:CH119" si="524">SUM(B94:L94)/$N94</f>
        <v>0.98238562709884192</v>
      </c>
      <c r="CI94" s="32">
        <f t="shared" ref="CI94:CI119" si="525">SUM(B94:M94)/$N94</f>
        <v>1</v>
      </c>
      <c r="CJ94" s="405"/>
      <c r="CK94" s="32">
        <f t="shared" ref="CK94:CK119" si="526">Q94/$AC94</f>
        <v>0.20953139786825353</v>
      </c>
      <c r="CL94" s="32">
        <f t="shared" ref="CL94:CL119" si="527">SUM(Q94:R94)/$AC94</f>
        <v>0.31468215591635929</v>
      </c>
      <c r="CM94" s="32">
        <f t="shared" ref="CM94:CM119" si="528">SUM(Q94:S94)/$AC94</f>
        <v>0.37485356646194362</v>
      </c>
      <c r="CN94" s="32">
        <f t="shared" ref="CN94:CN119" si="529">SUM(Q94:T94)/$AC94</f>
        <v>0.46862434669537834</v>
      </c>
      <c r="CO94" s="32">
        <f t="shared" ref="CO94:CO119" si="530">SUM(Q94:U94)/$AC94</f>
        <v>0.51190795309979997</v>
      </c>
      <c r="CP94" s="32">
        <f t="shared" ref="CP94:CP119" si="531">SUM(Q94:V94)/$AC94</f>
        <v>0.56697140639879406</v>
      </c>
      <c r="CQ94" s="32">
        <f t="shared" ref="CQ94:CQ119" si="532">SUM(Q94:W94)/$AC94</f>
        <v>0.61401970614065626</v>
      </c>
      <c r="CR94" s="32">
        <f t="shared" ref="CR94:CR119" si="533">SUM(Q94:X94)/$AC94</f>
        <v>0.62591358977282996</v>
      </c>
      <c r="CS94" s="32">
        <f t="shared" ref="CS94:CS119" si="534">SUM(Q94:Y94)/$AC94</f>
        <v>0.68799104293261015</v>
      </c>
      <c r="CT94" s="32">
        <f t="shared" ref="CT94:CT119" si="535">SUM(Q94:Z94)/$AC94</f>
        <v>0.75006553409920607</v>
      </c>
      <c r="CU94" s="32">
        <f t="shared" ref="CU94:CU119" si="536">SUM(Q94:AA94)/$AC94</f>
        <v>0.85919276799744093</v>
      </c>
      <c r="CV94" s="32">
        <f t="shared" ref="CV94:CV119" si="537">SUM(Q94:AB94)/$AC94</f>
        <v>1</v>
      </c>
      <c r="CX94" s="32">
        <f t="shared" ref="CX94:CX119" si="538">AF94/$AR94</f>
        <v>3.576866958038151E-2</v>
      </c>
      <c r="CY94" s="32">
        <f t="shared" ref="CY94:CY119" si="539">SUM(AF94:AG94)/$AR94</f>
        <v>0.18525765268943475</v>
      </c>
      <c r="CZ94" s="32">
        <f t="shared" ref="CZ94:CZ119" si="540">SUM(AF94:AH94)/$AR94</f>
        <v>0.18525765268943475</v>
      </c>
      <c r="DA94" s="32">
        <f t="shared" ref="DA94:DA119" si="541">SUM(AF94:AI94)/$AR94</f>
        <v>0.20015847303026904</v>
      </c>
      <c r="DB94" s="32">
        <f t="shared" ref="DB94:DB119" si="542">SUM(AF94:AJ94)/$AR94</f>
        <v>0.25128528998386795</v>
      </c>
      <c r="DC94" s="32">
        <f t="shared" ref="DC94:DC119" si="543">SUM(AF94:AK94)/$AR94</f>
        <v>0.30688151544441966</v>
      </c>
      <c r="DD94" s="32">
        <f t="shared" ref="DD94:DD119" si="544">SUM(AF94:AL94)/$AR94</f>
        <v>0.47956686271980598</v>
      </c>
      <c r="DE94" s="32">
        <f t="shared" ref="DE94:DE119" si="545">SUM(AF94:AM94)/$AR94</f>
        <v>0.53955711311054422</v>
      </c>
      <c r="DF94" s="32">
        <f t="shared" ref="DF94:DF119" si="546">SUM(AF94:AN94)/$AR94</f>
        <v>0.65417365360743929</v>
      </c>
      <c r="DG94" s="32">
        <f t="shared" ref="DG94:DG119" si="547">SUM(AF94:AO94)/$AR94</f>
        <v>0.88780578510320018</v>
      </c>
      <c r="DH94" s="32">
        <f t="shared" ref="DH94:DH119" si="548">SUM(AF94:AP94)/$AR94</f>
        <v>0.96716961472291518</v>
      </c>
      <c r="DI94" s="32">
        <f t="shared" ref="DI94:DI119" si="549">SUM(AF94:AQ94)/$AR94</f>
        <v>1</v>
      </c>
      <c r="DK94" s="32">
        <f t="shared" si="444"/>
        <v>0.11417387975447386</v>
      </c>
      <c r="DL94" s="32">
        <f t="shared" si="445"/>
        <v>0.23732951374920511</v>
      </c>
      <c r="DM94" s="32">
        <f t="shared" si="446"/>
        <v>0.32226443374557151</v>
      </c>
      <c r="DN94" s="32">
        <f t="shared" si="447"/>
        <v>0.54875809444711199</v>
      </c>
      <c r="DO94" s="32">
        <f t="shared" si="448"/>
        <v>0.63369301444347836</v>
      </c>
      <c r="DP94" s="32">
        <f t="shared" si="449"/>
        <v>0.8375384445684475</v>
      </c>
      <c r="DQ94" s="32">
        <f t="shared" si="450"/>
        <v>0.8375384445684475</v>
      </c>
      <c r="DR94" s="32">
        <f t="shared" si="451"/>
        <v>0.8375384445684475</v>
      </c>
      <c r="DS94" s="32">
        <f t="shared" si="452"/>
        <v>1</v>
      </c>
      <c r="DT94" s="32">
        <f t="shared" si="453"/>
        <v>1</v>
      </c>
      <c r="DU94" s="32">
        <f t="shared" si="454"/>
        <v>1</v>
      </c>
      <c r="DV94" s="32">
        <f t="shared" si="455"/>
        <v>1</v>
      </c>
      <c r="DW94" s="39"/>
      <c r="DX94" s="32">
        <f t="shared" si="456"/>
        <v>0.29679950745598921</v>
      </c>
      <c r="DY94" s="32">
        <f t="shared" si="457"/>
        <v>0.50880213714011424</v>
      </c>
      <c r="DZ94" s="32">
        <f t="shared" si="458"/>
        <v>0.70540754886307899</v>
      </c>
      <c r="EA94" s="32">
        <f t="shared" si="459"/>
        <v>0.85113587744837149</v>
      </c>
      <c r="EB94" s="32">
        <f t="shared" si="460"/>
        <v>0.9147335357772699</v>
      </c>
      <c r="EC94" s="32">
        <f t="shared" si="461"/>
        <v>0.9147335357772699</v>
      </c>
      <c r="ED94" s="32">
        <f t="shared" si="462"/>
        <v>1</v>
      </c>
      <c r="EE94" s="32">
        <f t="shared" si="463"/>
        <v>1</v>
      </c>
      <c r="EF94" s="32">
        <f t="shared" si="464"/>
        <v>1</v>
      </c>
      <c r="EG94" s="32">
        <f t="shared" si="465"/>
        <v>1</v>
      </c>
      <c r="EH94" s="32">
        <f t="shared" si="466"/>
        <v>1</v>
      </c>
      <c r="EI94" s="32">
        <f t="shared" si="467"/>
        <v>1</v>
      </c>
      <c r="EK94" s="32">
        <f t="shared" ref="EK94:EK119" si="550">(CX94+DK94+DX94)/3</f>
        <v>0.14891401893028153</v>
      </c>
      <c r="EL94" s="32">
        <f t="shared" si="468"/>
        <v>0.31046310119291803</v>
      </c>
      <c r="EM94" s="32">
        <f t="shared" si="469"/>
        <v>0.40430987843269506</v>
      </c>
      <c r="EN94" s="32">
        <f t="shared" si="470"/>
        <v>0.53335081497525083</v>
      </c>
      <c r="EO94" s="32">
        <f t="shared" si="471"/>
        <v>0.59990394673487202</v>
      </c>
      <c r="EP94" s="32">
        <f t="shared" si="472"/>
        <v>0.68638449859671236</v>
      </c>
      <c r="EQ94" s="32">
        <f t="shared" si="473"/>
        <v>0.77236843576275105</v>
      </c>
      <c r="ER94" s="32">
        <f t="shared" si="474"/>
        <v>0.7923651858929972</v>
      </c>
      <c r="ES94" s="32">
        <f t="shared" si="475"/>
        <v>0.88472455120247984</v>
      </c>
      <c r="ET94" s="32">
        <f t="shared" si="476"/>
        <v>0.96260192836773351</v>
      </c>
      <c r="EU94" s="32">
        <f t="shared" si="477"/>
        <v>0.98905653824097184</v>
      </c>
      <c r="EV94" s="32">
        <f t="shared" si="478"/>
        <v>1</v>
      </c>
      <c r="EX94" s="32">
        <f t="shared" si="479"/>
        <v>0.16406836366477451</v>
      </c>
      <c r="EY94" s="32">
        <f t="shared" si="480"/>
        <v>0.31151786487377831</v>
      </c>
      <c r="EZ94" s="32">
        <f t="shared" si="481"/>
        <v>0.39694580044000721</v>
      </c>
      <c r="FA94" s="32">
        <f t="shared" si="482"/>
        <v>0.51716919790528271</v>
      </c>
      <c r="FB94" s="32">
        <f t="shared" si="483"/>
        <v>0.57790494832610406</v>
      </c>
      <c r="FC94" s="32">
        <f t="shared" si="484"/>
        <v>0.65653122554723287</v>
      </c>
      <c r="FD94" s="32">
        <f t="shared" si="485"/>
        <v>0.73278125335722732</v>
      </c>
      <c r="FE94" s="32">
        <f t="shared" si="486"/>
        <v>0.75075228686295536</v>
      </c>
      <c r="FF94" s="32">
        <f t="shared" si="487"/>
        <v>0.83554117413501239</v>
      </c>
      <c r="FG94" s="32">
        <f t="shared" si="488"/>
        <v>0.90946782980060159</v>
      </c>
      <c r="FH94" s="32">
        <f t="shared" si="489"/>
        <v>0.95659059568008908</v>
      </c>
      <c r="FI94" s="32">
        <f t="shared" si="490"/>
        <v>1</v>
      </c>
      <c r="FK94" s="32">
        <f t="shared" ref="FK94:FK120" si="551">(DK94+CX94+CK94)/3</f>
        <v>0.11982464906770296</v>
      </c>
      <c r="FL94" s="32">
        <f t="shared" si="491"/>
        <v>0.2457564407849997</v>
      </c>
      <c r="FM94" s="32">
        <f t="shared" si="492"/>
        <v>0.29412521763231664</v>
      </c>
      <c r="FN94" s="32">
        <f t="shared" si="493"/>
        <v>0.4058469713909198</v>
      </c>
      <c r="FO94" s="32">
        <f t="shared" si="494"/>
        <v>0.46562875250904873</v>
      </c>
      <c r="FP94" s="32">
        <f t="shared" si="495"/>
        <v>0.57046378880388704</v>
      </c>
      <c r="FQ94" s="32">
        <f t="shared" si="496"/>
        <v>0.64370833780963654</v>
      </c>
      <c r="FR94" s="32">
        <f t="shared" si="497"/>
        <v>0.66766971581727386</v>
      </c>
      <c r="FS94" s="32">
        <f t="shared" si="498"/>
        <v>0.78072156551334981</v>
      </c>
      <c r="FT94" s="32">
        <f t="shared" si="499"/>
        <v>0.87929043973413545</v>
      </c>
      <c r="FU94" s="32">
        <f t="shared" si="500"/>
        <v>0.94212079424011874</v>
      </c>
      <c r="FV94" s="32">
        <f t="shared" si="501"/>
        <v>1</v>
      </c>
      <c r="FX94" s="32">
        <f t="shared" si="502"/>
        <v>0.13935036736623826</v>
      </c>
      <c r="FY94" s="32">
        <f t="shared" si="503"/>
        <v>0.26649645330791044</v>
      </c>
      <c r="FZ94" s="32">
        <f t="shared" si="504"/>
        <v>0.31937868672508796</v>
      </c>
      <c r="GA94" s="32">
        <f t="shared" si="505"/>
        <v>0.38910995781212415</v>
      </c>
      <c r="GB94" s="32">
        <f t="shared" si="506"/>
        <v>0.46172688877468532</v>
      </c>
      <c r="GC94" s="32">
        <f t="shared" si="507"/>
        <v>0.50154917717806036</v>
      </c>
      <c r="GD94" s="32">
        <f t="shared" si="508"/>
        <v>0.5894967103572557</v>
      </c>
      <c r="GE94" s="32">
        <f t="shared" si="509"/>
        <v>0.67645782899899676</v>
      </c>
      <c r="GF94" s="32">
        <f t="shared" si="510"/>
        <v>0.74965131085582148</v>
      </c>
      <c r="GG94" s="32">
        <f t="shared" si="511"/>
        <v>0.86251566904787325</v>
      </c>
      <c r="GH94" s="32">
        <f t="shared" si="512"/>
        <v>0.93624933660639931</v>
      </c>
      <c r="GI94" s="32">
        <f t="shared" si="513"/>
        <v>1</v>
      </c>
    </row>
    <row r="95" spans="1:191">
      <c r="A95" s="724" t="s">
        <v>79</v>
      </c>
      <c r="B95" s="399">
        <v>1554.4499999999998</v>
      </c>
      <c r="C95" s="400">
        <v>1354.6499999999999</v>
      </c>
      <c r="D95" s="400">
        <v>1840.32</v>
      </c>
      <c r="E95" s="400">
        <v>1478.4299999999998</v>
      </c>
      <c r="F95" s="400">
        <v>2127.7400000000002</v>
      </c>
      <c r="G95" s="400">
        <v>0</v>
      </c>
      <c r="H95" s="400">
        <v>461.06999999999982</v>
      </c>
      <c r="I95" s="400">
        <v>668.77000000000021</v>
      </c>
      <c r="J95" s="400">
        <v>2646.0000000000005</v>
      </c>
      <c r="K95" s="400">
        <v>571.6</v>
      </c>
      <c r="L95" s="400">
        <v>649.88999999999987</v>
      </c>
      <c r="M95" s="400">
        <v>0</v>
      </c>
      <c r="N95" s="400">
        <f t="shared" si="441"/>
        <v>13352.919999999998</v>
      </c>
      <c r="P95" s="396" t="s">
        <v>79</v>
      </c>
      <c r="Q95" s="399">
        <v>3800.83</v>
      </c>
      <c r="R95" s="400">
        <v>992.44</v>
      </c>
      <c r="S95" s="400">
        <v>1743.7</v>
      </c>
      <c r="T95" s="400">
        <v>1089.3900000000001</v>
      </c>
      <c r="U95" s="400">
        <v>389.46</v>
      </c>
      <c r="V95" s="400">
        <v>544.54</v>
      </c>
      <c r="W95" s="400">
        <v>1532.4899999999998</v>
      </c>
      <c r="X95" s="400">
        <v>823.96999999999935</v>
      </c>
      <c r="Y95" s="400">
        <v>639.52</v>
      </c>
      <c r="Z95" s="400">
        <v>1527.39</v>
      </c>
      <c r="AA95" s="400">
        <v>302.52</v>
      </c>
      <c r="AB95" s="400">
        <v>412.53999999999996</v>
      </c>
      <c r="AC95" s="400">
        <f t="shared" si="442"/>
        <v>13798.79</v>
      </c>
      <c r="AE95" s="127" t="s">
        <v>79</v>
      </c>
      <c r="AF95" s="27">
        <v>814.38</v>
      </c>
      <c r="AG95" s="27">
        <v>434.99</v>
      </c>
      <c r="AH95" s="27">
        <v>1207.67</v>
      </c>
      <c r="AI95" s="27">
        <v>86.25</v>
      </c>
      <c r="AJ95" s="27">
        <v>813.06</v>
      </c>
      <c r="AK95" s="27">
        <v>1536.5</v>
      </c>
      <c r="AL95" s="27">
        <v>2830.65</v>
      </c>
      <c r="AM95" s="27">
        <v>373.75</v>
      </c>
      <c r="AN95" s="27">
        <v>193.02</v>
      </c>
      <c r="AO95" s="27">
        <v>467.9</v>
      </c>
      <c r="AP95" s="27">
        <v>147.15</v>
      </c>
      <c r="AQ95" s="27">
        <v>1544.95</v>
      </c>
      <c r="AR95" s="43">
        <f t="shared" si="443"/>
        <v>10450.27</v>
      </c>
      <c r="AT95" s="60" t="s">
        <v>79</v>
      </c>
      <c r="AU95" s="27">
        <v>1151.9100000000001</v>
      </c>
      <c r="AV95" s="27">
        <v>523.60000000000036</v>
      </c>
      <c r="AW95" s="27">
        <v>759.22</v>
      </c>
      <c r="AX95" s="27">
        <v>733.15999999999985</v>
      </c>
      <c r="AY95" s="27">
        <v>894.69</v>
      </c>
      <c r="AZ95" s="27">
        <v>272.54000000000002</v>
      </c>
      <c r="BA95" s="27">
        <v>0</v>
      </c>
      <c r="BB95" s="27">
        <v>0</v>
      </c>
      <c r="BC95" s="27">
        <v>0</v>
      </c>
      <c r="BD95" s="27">
        <v>540</v>
      </c>
      <c r="BE95" s="27">
        <v>603.36</v>
      </c>
      <c r="BF95" s="27">
        <v>262.02</v>
      </c>
      <c r="BG95" s="43">
        <f t="shared" si="403"/>
        <v>5740.5</v>
      </c>
      <c r="BI95" s="60" t="s">
        <v>79</v>
      </c>
      <c r="BJ95" s="27">
        <v>495.85000000000008</v>
      </c>
      <c r="BK95" s="27">
        <v>231.74999999999983</v>
      </c>
      <c r="BL95" s="27">
        <v>73.139999999999986</v>
      </c>
      <c r="BM95" s="27">
        <v>357.5499999999999</v>
      </c>
      <c r="BN95" s="27">
        <v>73.129999999999768</v>
      </c>
      <c r="BO95" s="27">
        <v>658.22</v>
      </c>
      <c r="BP95" s="27">
        <v>251.92000000000019</v>
      </c>
      <c r="BQ95" s="27">
        <v>162.5300000000002</v>
      </c>
      <c r="BR95" s="27">
        <v>481.12999999999994</v>
      </c>
      <c r="BS95" s="27">
        <v>65.009999999999991</v>
      </c>
      <c r="BT95" s="27">
        <v>137.12999999999994</v>
      </c>
      <c r="BU95" s="27">
        <v>156.08999999999992</v>
      </c>
      <c r="BV95" s="43">
        <f t="shared" si="404"/>
        <v>3143.4500000000007</v>
      </c>
      <c r="BW95" s="405"/>
      <c r="BX95" s="32">
        <f t="shared" si="514"/>
        <v>0.11641273968540214</v>
      </c>
      <c r="BY95" s="32">
        <f t="shared" si="515"/>
        <v>0.21786246004619214</v>
      </c>
      <c r="BZ95" s="32">
        <f t="shared" si="516"/>
        <v>0.35568400020370072</v>
      </c>
      <c r="CA95" s="32">
        <f t="shared" si="517"/>
        <v>0.46640360310703571</v>
      </c>
      <c r="CB95" s="32">
        <f t="shared" si="518"/>
        <v>0.62575002321589579</v>
      </c>
      <c r="CC95" s="32">
        <f t="shared" si="519"/>
        <v>0.62575002321589579</v>
      </c>
      <c r="CD95" s="32">
        <f t="shared" si="520"/>
        <v>0.66027954934201649</v>
      </c>
      <c r="CE95" s="32">
        <f t="shared" si="521"/>
        <v>0.71036372568696582</v>
      </c>
      <c r="CF95" s="32">
        <f t="shared" si="522"/>
        <v>0.90852263025615376</v>
      </c>
      <c r="CG95" s="32">
        <f t="shared" si="523"/>
        <v>0.95132974660224134</v>
      </c>
      <c r="CH95" s="32">
        <f t="shared" si="524"/>
        <v>1</v>
      </c>
      <c r="CI95" s="32">
        <f t="shared" si="525"/>
        <v>1</v>
      </c>
      <c r="CJ95" s="405"/>
      <c r="CK95" s="32">
        <f t="shared" si="526"/>
        <v>0.27544661524669917</v>
      </c>
      <c r="CL95" s="32">
        <f t="shared" si="527"/>
        <v>0.3473688635017998</v>
      </c>
      <c r="CM95" s="32">
        <f t="shared" si="528"/>
        <v>0.47373501589632133</v>
      </c>
      <c r="CN95" s="32">
        <f t="shared" si="529"/>
        <v>0.55268324251619161</v>
      </c>
      <c r="CO95" s="32">
        <f t="shared" si="530"/>
        <v>0.58090745637842156</v>
      </c>
      <c r="CP95" s="32">
        <f t="shared" si="531"/>
        <v>0.6203703368193878</v>
      </c>
      <c r="CQ95" s="32">
        <f t="shared" si="532"/>
        <v>0.7314300746659671</v>
      </c>
      <c r="CR95" s="32">
        <f t="shared" si="533"/>
        <v>0.79114328140365919</v>
      </c>
      <c r="CS95" s="32">
        <f t="shared" si="534"/>
        <v>0.83748937406830593</v>
      </c>
      <c r="CT95" s="32">
        <f t="shared" si="535"/>
        <v>0.94817951429074565</v>
      </c>
      <c r="CU95" s="32">
        <f t="shared" si="536"/>
        <v>0.97010317571323279</v>
      </c>
      <c r="CV95" s="32">
        <f t="shared" si="537"/>
        <v>1</v>
      </c>
      <c r="CX95" s="32">
        <f t="shared" si="538"/>
        <v>7.7929086999666039E-2</v>
      </c>
      <c r="CY95" s="32">
        <f t="shared" si="539"/>
        <v>0.11955384884792448</v>
      </c>
      <c r="CZ95" s="32">
        <f t="shared" si="540"/>
        <v>0.23511737017321083</v>
      </c>
      <c r="DA95" s="32">
        <f t="shared" si="541"/>
        <v>0.24337074544485451</v>
      </c>
      <c r="DB95" s="32">
        <f t="shared" si="542"/>
        <v>0.32117351991862408</v>
      </c>
      <c r="DC95" s="32">
        <f t="shared" si="543"/>
        <v>0.46820321388825364</v>
      </c>
      <c r="DD95" s="32">
        <f t="shared" si="544"/>
        <v>0.73907181345553752</v>
      </c>
      <c r="DE95" s="32">
        <f t="shared" si="545"/>
        <v>0.77483643963266013</v>
      </c>
      <c r="DF95" s="32">
        <f t="shared" si="546"/>
        <v>0.79330677580579256</v>
      </c>
      <c r="DG95" s="32">
        <f t="shared" si="547"/>
        <v>0.83808073858378773</v>
      </c>
      <c r="DH95" s="32">
        <f t="shared" si="548"/>
        <v>0.85216171448201805</v>
      </c>
      <c r="DI95" s="32">
        <f t="shared" si="549"/>
        <v>1</v>
      </c>
      <c r="DK95" s="32">
        <f t="shared" si="444"/>
        <v>0.20066370525215574</v>
      </c>
      <c r="DL95" s="32">
        <f t="shared" si="445"/>
        <v>0.2918752721888338</v>
      </c>
      <c r="DM95" s="32">
        <f t="shared" si="446"/>
        <v>0.42413204424701689</v>
      </c>
      <c r="DN95" s="32">
        <f t="shared" si="447"/>
        <v>0.55184914206079616</v>
      </c>
      <c r="DO95" s="32">
        <f t="shared" si="448"/>
        <v>0.7077049037540285</v>
      </c>
      <c r="DP95" s="32">
        <f t="shared" si="449"/>
        <v>0.7551816043898617</v>
      </c>
      <c r="DQ95" s="32">
        <f t="shared" si="450"/>
        <v>0.7551816043898617</v>
      </c>
      <c r="DR95" s="32">
        <f t="shared" si="451"/>
        <v>0.7551816043898617</v>
      </c>
      <c r="DS95" s="32">
        <f t="shared" si="452"/>
        <v>0.7551816043898617</v>
      </c>
      <c r="DT95" s="32">
        <f t="shared" si="453"/>
        <v>0.84925006532532021</v>
      </c>
      <c r="DU95" s="32">
        <f t="shared" si="454"/>
        <v>0.95435589234387252</v>
      </c>
      <c r="DV95" s="32">
        <f t="shared" si="455"/>
        <v>1</v>
      </c>
      <c r="DW95" s="39"/>
      <c r="DX95" s="32">
        <f t="shared" si="456"/>
        <v>0.157740698913614</v>
      </c>
      <c r="DY95" s="32">
        <f t="shared" si="457"/>
        <v>0.23146542811242415</v>
      </c>
      <c r="DZ95" s="32">
        <f t="shared" si="458"/>
        <v>0.25473285721102601</v>
      </c>
      <c r="EA95" s="32">
        <f t="shared" si="459"/>
        <v>0.3684773099619843</v>
      </c>
      <c r="EB95" s="32">
        <f t="shared" si="460"/>
        <v>0.3917415578424977</v>
      </c>
      <c r="EC95" s="32">
        <f t="shared" si="461"/>
        <v>0.60113569485756069</v>
      </c>
      <c r="ED95" s="32">
        <f t="shared" si="462"/>
        <v>0.68127694094068603</v>
      </c>
      <c r="EE95" s="32">
        <f t="shared" si="463"/>
        <v>0.7329812785315496</v>
      </c>
      <c r="EF95" s="32">
        <f t="shared" si="464"/>
        <v>0.88603922441902994</v>
      </c>
      <c r="EG95" s="32">
        <f t="shared" si="465"/>
        <v>0.90672032321175777</v>
      </c>
      <c r="EH95" s="32">
        <f t="shared" si="466"/>
        <v>0.95034436685806989</v>
      </c>
      <c r="EI95" s="32">
        <f t="shared" si="467"/>
        <v>1</v>
      </c>
      <c r="EK95" s="32">
        <f t="shared" si="550"/>
        <v>0.14544449705514526</v>
      </c>
      <c r="EL95" s="32">
        <f t="shared" si="468"/>
        <v>0.21429818304972748</v>
      </c>
      <c r="EM95" s="32">
        <f t="shared" si="469"/>
        <v>0.30466075721041791</v>
      </c>
      <c r="EN95" s="32">
        <f t="shared" si="470"/>
        <v>0.38789906582254496</v>
      </c>
      <c r="EO95" s="32">
        <f t="shared" si="471"/>
        <v>0.47353999383838347</v>
      </c>
      <c r="EP95" s="32">
        <f t="shared" si="472"/>
        <v>0.60817350437855866</v>
      </c>
      <c r="EQ95" s="32">
        <f t="shared" si="473"/>
        <v>0.72517678626202853</v>
      </c>
      <c r="ER95" s="32">
        <f t="shared" si="474"/>
        <v>0.75433310751802374</v>
      </c>
      <c r="ES95" s="32">
        <f t="shared" si="475"/>
        <v>0.81150920153822803</v>
      </c>
      <c r="ET95" s="32">
        <f t="shared" si="476"/>
        <v>0.86468370904028857</v>
      </c>
      <c r="EU95" s="32">
        <f t="shared" si="477"/>
        <v>0.91895399122798682</v>
      </c>
      <c r="EV95" s="32">
        <f t="shared" si="478"/>
        <v>1</v>
      </c>
      <c r="EX95" s="32">
        <f t="shared" si="479"/>
        <v>0.17794502660303374</v>
      </c>
      <c r="EY95" s="32">
        <f t="shared" si="480"/>
        <v>0.2475658531627456</v>
      </c>
      <c r="EZ95" s="32">
        <f t="shared" si="481"/>
        <v>0.34692932188189379</v>
      </c>
      <c r="FA95" s="32">
        <f t="shared" si="482"/>
        <v>0.42909510999595668</v>
      </c>
      <c r="FB95" s="32">
        <f t="shared" si="483"/>
        <v>0.50038185947339298</v>
      </c>
      <c r="FC95" s="32">
        <f t="shared" si="484"/>
        <v>0.61122271248876592</v>
      </c>
      <c r="FD95" s="32">
        <f t="shared" si="485"/>
        <v>0.72674010836301317</v>
      </c>
      <c r="FE95" s="32">
        <f t="shared" si="486"/>
        <v>0.76353565098943266</v>
      </c>
      <c r="FF95" s="32">
        <f t="shared" si="487"/>
        <v>0.8180042446707475</v>
      </c>
      <c r="FG95" s="32">
        <f t="shared" si="488"/>
        <v>0.88555766035290284</v>
      </c>
      <c r="FH95" s="32">
        <f t="shared" si="489"/>
        <v>0.93174128734929829</v>
      </c>
      <c r="FI95" s="32">
        <f t="shared" si="490"/>
        <v>1</v>
      </c>
      <c r="FK95" s="32">
        <f t="shared" si="551"/>
        <v>0.18467980249950697</v>
      </c>
      <c r="FL95" s="32">
        <f t="shared" si="491"/>
        <v>0.25293266151285271</v>
      </c>
      <c r="FM95" s="32">
        <f t="shared" si="492"/>
        <v>0.37766147677218304</v>
      </c>
      <c r="FN95" s="32">
        <f t="shared" si="493"/>
        <v>0.4493010433406141</v>
      </c>
      <c r="FO95" s="32">
        <f t="shared" si="494"/>
        <v>0.53659529335035805</v>
      </c>
      <c r="FP95" s="32">
        <f t="shared" si="495"/>
        <v>0.61458505169916766</v>
      </c>
      <c r="FQ95" s="32">
        <f t="shared" si="496"/>
        <v>0.74189449750378877</v>
      </c>
      <c r="FR95" s="32">
        <f t="shared" si="497"/>
        <v>0.77372044180872701</v>
      </c>
      <c r="FS95" s="32">
        <f t="shared" si="498"/>
        <v>0.79532591808798669</v>
      </c>
      <c r="FT95" s="32">
        <f t="shared" si="499"/>
        <v>0.87850343939995124</v>
      </c>
      <c r="FU95" s="32">
        <f t="shared" si="500"/>
        <v>0.92554026084637453</v>
      </c>
      <c r="FV95" s="32">
        <f t="shared" si="501"/>
        <v>1</v>
      </c>
      <c r="FX95" s="32">
        <f t="shared" si="502"/>
        <v>0.15659614731058913</v>
      </c>
      <c r="FY95" s="32">
        <f t="shared" si="503"/>
        <v>0.22826172413197213</v>
      </c>
      <c r="FZ95" s="32">
        <f t="shared" si="504"/>
        <v>0.35484546209107765</v>
      </c>
      <c r="GA95" s="32">
        <f t="shared" si="505"/>
        <v>0.42081919702269394</v>
      </c>
      <c r="GB95" s="32">
        <f t="shared" si="506"/>
        <v>0.50927699983764718</v>
      </c>
      <c r="GC95" s="32">
        <f t="shared" si="507"/>
        <v>0.57144119130784576</v>
      </c>
      <c r="GD95" s="32">
        <f t="shared" si="508"/>
        <v>0.71026047915450707</v>
      </c>
      <c r="GE95" s="32">
        <f t="shared" si="509"/>
        <v>0.75878114890776172</v>
      </c>
      <c r="GF95" s="32">
        <f t="shared" si="510"/>
        <v>0.8464395933767509</v>
      </c>
      <c r="GG95" s="32">
        <f t="shared" si="511"/>
        <v>0.91252999982559146</v>
      </c>
      <c r="GH95" s="32">
        <f t="shared" si="512"/>
        <v>0.94075496339841702</v>
      </c>
      <c r="GI95" s="32">
        <f t="shared" si="513"/>
        <v>1</v>
      </c>
    </row>
    <row r="96" spans="1:191">
      <c r="A96" s="724" t="s">
        <v>80</v>
      </c>
      <c r="B96" s="399">
        <v>2119.23</v>
      </c>
      <c r="C96" s="400">
        <v>797.5600000000004</v>
      </c>
      <c r="D96" s="400">
        <v>2450.5100000000002</v>
      </c>
      <c r="E96" s="400">
        <v>1263.96</v>
      </c>
      <c r="F96" s="400">
        <v>871.88999999999987</v>
      </c>
      <c r="G96" s="400">
        <v>677.87999999999988</v>
      </c>
      <c r="H96" s="400">
        <v>2522.41</v>
      </c>
      <c r="I96" s="400">
        <v>2358.7399999999998</v>
      </c>
      <c r="J96" s="400">
        <v>679.79</v>
      </c>
      <c r="K96" s="400">
        <v>808.39999999999964</v>
      </c>
      <c r="L96" s="400">
        <v>1533.0999999999997</v>
      </c>
      <c r="M96" s="400">
        <v>3494.2599999999998</v>
      </c>
      <c r="N96" s="400">
        <f t="shared" si="441"/>
        <v>19577.73</v>
      </c>
      <c r="P96" s="396" t="s">
        <v>80</v>
      </c>
      <c r="Q96" s="399">
        <v>1904.97</v>
      </c>
      <c r="R96" s="400">
        <v>2940.54</v>
      </c>
      <c r="S96" s="400">
        <v>5863.03</v>
      </c>
      <c r="T96" s="400">
        <v>1030.3</v>
      </c>
      <c r="U96" s="400">
        <v>1001.72</v>
      </c>
      <c r="V96" s="400">
        <v>0</v>
      </c>
      <c r="W96" s="400">
        <v>2176.59</v>
      </c>
      <c r="X96" s="400">
        <v>515.25999999999931</v>
      </c>
      <c r="Y96" s="400">
        <v>953.69999999999982</v>
      </c>
      <c r="Z96" s="400">
        <v>1853.9099999999999</v>
      </c>
      <c r="AA96" s="400">
        <v>2243.8200000000002</v>
      </c>
      <c r="AB96" s="400">
        <v>2310.5200000000004</v>
      </c>
      <c r="AC96" s="400">
        <f t="shared" si="442"/>
        <v>22794.36</v>
      </c>
      <c r="AE96" s="127" t="s">
        <v>80</v>
      </c>
      <c r="AF96" s="27">
        <v>3309</v>
      </c>
      <c r="AG96" s="27">
        <v>1139.6400000000001</v>
      </c>
      <c r="AH96" s="27">
        <v>1603.08</v>
      </c>
      <c r="AI96" s="27">
        <v>2599.14</v>
      </c>
      <c r="AJ96" s="27">
        <v>502.08</v>
      </c>
      <c r="AK96" s="27">
        <v>262.54000000000002</v>
      </c>
      <c r="AL96" s="27">
        <v>342.7</v>
      </c>
      <c r="AM96" s="27">
        <v>1008.0600000000001</v>
      </c>
      <c r="AN96" s="27">
        <v>1594.37</v>
      </c>
      <c r="AO96" s="27">
        <v>1653.61</v>
      </c>
      <c r="AP96" s="27">
        <v>979.92</v>
      </c>
      <c r="AQ96" s="27">
        <v>748.33</v>
      </c>
      <c r="AR96" s="43">
        <f t="shared" si="443"/>
        <v>15742.470000000001</v>
      </c>
      <c r="AT96" s="60" t="s">
        <v>80</v>
      </c>
      <c r="AU96" s="27">
        <v>2573.0200000000004</v>
      </c>
      <c r="AV96" s="27">
        <v>2121.4700000000003</v>
      </c>
      <c r="AW96" s="27">
        <v>3382.59</v>
      </c>
      <c r="AX96" s="27">
        <v>1613.3499999999995</v>
      </c>
      <c r="AY96" s="27">
        <v>1551.88</v>
      </c>
      <c r="AZ96" s="27">
        <v>2929.96</v>
      </c>
      <c r="BA96" s="27">
        <v>1288.98</v>
      </c>
      <c r="BB96" s="27">
        <v>936.78</v>
      </c>
      <c r="BC96" s="27">
        <v>810.02</v>
      </c>
      <c r="BD96" s="27">
        <v>725.83</v>
      </c>
      <c r="BE96" s="27">
        <v>374.03</v>
      </c>
      <c r="BF96" s="27">
        <v>3668.49</v>
      </c>
      <c r="BG96" s="43">
        <f t="shared" si="403"/>
        <v>21976.400000000001</v>
      </c>
      <c r="BI96" s="60" t="s">
        <v>80</v>
      </c>
      <c r="BJ96" s="27">
        <v>3263.19</v>
      </c>
      <c r="BK96" s="27">
        <v>2585.71</v>
      </c>
      <c r="BL96" s="27">
        <v>3208.86</v>
      </c>
      <c r="BM96" s="27">
        <v>3547.8700000000003</v>
      </c>
      <c r="BN96" s="27">
        <v>3504.45</v>
      </c>
      <c r="BO96" s="27">
        <v>2647.3300000000004</v>
      </c>
      <c r="BP96" s="27">
        <v>597.29999999999995</v>
      </c>
      <c r="BQ96" s="27">
        <v>3665.1499999999996</v>
      </c>
      <c r="BR96" s="27">
        <v>461.40999999999997</v>
      </c>
      <c r="BS96" s="27">
        <v>286.33000000000004</v>
      </c>
      <c r="BT96" s="27">
        <v>2014.5</v>
      </c>
      <c r="BU96" s="27">
        <v>779.2399999999999</v>
      </c>
      <c r="BV96" s="43">
        <f t="shared" si="404"/>
        <v>26561.340000000004</v>
      </c>
      <c r="BW96" s="405"/>
      <c r="BX96" s="32">
        <f t="shared" si="514"/>
        <v>0.10824697245288396</v>
      </c>
      <c r="BY96" s="32">
        <f t="shared" si="515"/>
        <v>0.14898509684217734</v>
      </c>
      <c r="BZ96" s="32">
        <f t="shared" si="516"/>
        <v>0.27415333646954992</v>
      </c>
      <c r="CA96" s="32">
        <f t="shared" si="517"/>
        <v>0.33871444748701718</v>
      </c>
      <c r="CB96" s="32">
        <f t="shared" si="518"/>
        <v>0.38324923267406391</v>
      </c>
      <c r="CC96" s="32">
        <f t="shared" si="519"/>
        <v>0.41787428879650512</v>
      </c>
      <c r="CD96" s="32">
        <f t="shared" si="520"/>
        <v>0.54671506860090535</v>
      </c>
      <c r="CE96" s="32">
        <f t="shared" si="521"/>
        <v>0.66719583935420512</v>
      </c>
      <c r="CF96" s="32">
        <f t="shared" si="522"/>
        <v>0.70191845530610553</v>
      </c>
      <c r="CG96" s="32">
        <f t="shared" si="523"/>
        <v>0.74321027003641393</v>
      </c>
      <c r="CH96" s="32">
        <f t="shared" si="524"/>
        <v>0.82151863367203459</v>
      </c>
      <c r="CI96" s="32">
        <f t="shared" si="525"/>
        <v>1</v>
      </c>
      <c r="CJ96" s="405"/>
      <c r="CK96" s="32">
        <f t="shared" si="526"/>
        <v>8.3571988860402305E-2</v>
      </c>
      <c r="CL96" s="32">
        <f t="shared" si="527"/>
        <v>0.21257495275147009</v>
      </c>
      <c r="CM96" s="32">
        <f t="shared" si="528"/>
        <v>0.46978901798515071</v>
      </c>
      <c r="CN96" s="32">
        <f t="shared" si="529"/>
        <v>0.51498879547396814</v>
      </c>
      <c r="CO96" s="32">
        <f t="shared" si="530"/>
        <v>0.55893475403564741</v>
      </c>
      <c r="CP96" s="32">
        <f t="shared" si="531"/>
        <v>0.55893475403564741</v>
      </c>
      <c r="CQ96" s="32">
        <f t="shared" si="532"/>
        <v>0.65442284845900478</v>
      </c>
      <c r="CR96" s="32">
        <f t="shared" si="533"/>
        <v>0.67702756295855637</v>
      </c>
      <c r="CS96" s="32">
        <f t="shared" si="534"/>
        <v>0.7188668600478364</v>
      </c>
      <c r="CT96" s="32">
        <f t="shared" si="535"/>
        <v>0.80019882111188911</v>
      </c>
      <c r="CU96" s="32">
        <f t="shared" si="536"/>
        <v>0.89863632933760806</v>
      </c>
      <c r="CV96" s="32">
        <f t="shared" si="537"/>
        <v>1</v>
      </c>
      <c r="CX96" s="32">
        <f t="shared" si="538"/>
        <v>0.21019573167361918</v>
      </c>
      <c r="CY96" s="32">
        <f t="shared" si="539"/>
        <v>0.28258843751965224</v>
      </c>
      <c r="CZ96" s="32">
        <f t="shared" si="540"/>
        <v>0.38441997983797965</v>
      </c>
      <c r="DA96" s="32">
        <f t="shared" si="541"/>
        <v>0.54952367703416305</v>
      </c>
      <c r="DB96" s="32">
        <f t="shared" si="542"/>
        <v>0.58141702032781384</v>
      </c>
      <c r="DC96" s="32">
        <f t="shared" si="543"/>
        <v>0.59809419995718593</v>
      </c>
      <c r="DD96" s="32">
        <f t="shared" si="544"/>
        <v>0.61986333783707392</v>
      </c>
      <c r="DE96" s="32">
        <f t="shared" si="545"/>
        <v>0.68389776191410878</v>
      </c>
      <c r="DF96" s="32">
        <f t="shared" si="546"/>
        <v>0.78517602383869878</v>
      </c>
      <c r="DG96" s="32">
        <f t="shared" si="547"/>
        <v>0.8902173547099026</v>
      </c>
      <c r="DH96" s="32">
        <f t="shared" si="548"/>
        <v>0.95246425751486263</v>
      </c>
      <c r="DI96" s="32">
        <f t="shared" si="549"/>
        <v>1</v>
      </c>
      <c r="DK96" s="32">
        <f t="shared" si="444"/>
        <v>0.11708105058153292</v>
      </c>
      <c r="DL96" s="32">
        <f t="shared" si="445"/>
        <v>0.21361505979141263</v>
      </c>
      <c r="DM96" s="32">
        <f t="shared" si="446"/>
        <v>0.36753426402868533</v>
      </c>
      <c r="DN96" s="32">
        <f t="shared" si="447"/>
        <v>0.44094710689648897</v>
      </c>
      <c r="DO96" s="32">
        <f t="shared" si="448"/>
        <v>0.51156285833894544</v>
      </c>
      <c r="DP96" s="32">
        <f t="shared" si="449"/>
        <v>0.64488587757776517</v>
      </c>
      <c r="DQ96" s="32">
        <f t="shared" si="450"/>
        <v>0.70353879616315684</v>
      </c>
      <c r="DR96" s="32">
        <f t="shared" si="451"/>
        <v>0.74616543200888219</v>
      </c>
      <c r="DS96" s="32">
        <f t="shared" si="452"/>
        <v>0.78302406217578846</v>
      </c>
      <c r="DT96" s="32">
        <f t="shared" si="453"/>
        <v>0.81605176462022899</v>
      </c>
      <c r="DU96" s="32">
        <f t="shared" si="454"/>
        <v>0.83307138566826222</v>
      </c>
      <c r="DV96" s="32">
        <f t="shared" si="455"/>
        <v>1</v>
      </c>
      <c r="DW96" s="39"/>
      <c r="DX96" s="32">
        <f t="shared" si="456"/>
        <v>0.12285487102683824</v>
      </c>
      <c r="DY96" s="32">
        <f t="shared" si="457"/>
        <v>0.22020349876926384</v>
      </c>
      <c r="DZ96" s="32">
        <f t="shared" si="458"/>
        <v>0.34101291576403897</v>
      </c>
      <c r="EA96" s="32">
        <f t="shared" si="459"/>
        <v>0.47458561955082085</v>
      </c>
      <c r="EB96" s="32">
        <f t="shared" si="460"/>
        <v>0.60652361665488264</v>
      </c>
      <c r="EC96" s="32">
        <f t="shared" si="461"/>
        <v>0.7061921574739829</v>
      </c>
      <c r="ED96" s="32">
        <f t="shared" si="462"/>
        <v>0.72867972775469914</v>
      </c>
      <c r="EE96" s="32">
        <f t="shared" si="463"/>
        <v>0.86666787142516144</v>
      </c>
      <c r="EF96" s="32">
        <f t="shared" si="464"/>
        <v>0.8840393594600271</v>
      </c>
      <c r="EG96" s="32">
        <f t="shared" si="465"/>
        <v>0.89481931257986225</v>
      </c>
      <c r="EH96" s="32">
        <f t="shared" si="466"/>
        <v>0.97066262470191633</v>
      </c>
      <c r="EI96" s="32">
        <f t="shared" si="467"/>
        <v>1</v>
      </c>
      <c r="EK96" s="32">
        <f t="shared" si="550"/>
        <v>0.1500438844273301</v>
      </c>
      <c r="EL96" s="32">
        <f t="shared" si="468"/>
        <v>0.23880233202677623</v>
      </c>
      <c r="EM96" s="32">
        <f t="shared" si="469"/>
        <v>0.36432238654356802</v>
      </c>
      <c r="EN96" s="32">
        <f t="shared" si="470"/>
        <v>0.48835213449382425</v>
      </c>
      <c r="EO96" s="32">
        <f t="shared" si="471"/>
        <v>0.56650116510721393</v>
      </c>
      <c r="EP96" s="32">
        <f t="shared" si="472"/>
        <v>0.64972407833631129</v>
      </c>
      <c r="EQ96" s="32">
        <f t="shared" si="473"/>
        <v>0.6840272872516433</v>
      </c>
      <c r="ER96" s="32">
        <f t="shared" si="474"/>
        <v>0.76557702178271747</v>
      </c>
      <c r="ES96" s="32">
        <f t="shared" si="475"/>
        <v>0.8174131484915047</v>
      </c>
      <c r="ET96" s="32">
        <f t="shared" si="476"/>
        <v>0.86702947730333124</v>
      </c>
      <c r="EU96" s="32">
        <f t="shared" si="477"/>
        <v>0.91873275596168036</v>
      </c>
      <c r="EV96" s="32">
        <f t="shared" si="478"/>
        <v>1</v>
      </c>
      <c r="EX96" s="32">
        <f t="shared" si="479"/>
        <v>0.13342591053559816</v>
      </c>
      <c r="EY96" s="32">
        <f t="shared" si="480"/>
        <v>0.23224548720794971</v>
      </c>
      <c r="EZ96" s="32">
        <f t="shared" si="481"/>
        <v>0.39068904440396368</v>
      </c>
      <c r="FA96" s="32">
        <f t="shared" si="482"/>
        <v>0.49501129973886027</v>
      </c>
      <c r="FB96" s="32">
        <f t="shared" si="483"/>
        <v>0.56460956233932236</v>
      </c>
      <c r="FC96" s="32">
        <f t="shared" si="484"/>
        <v>0.62702674726114538</v>
      </c>
      <c r="FD96" s="32">
        <f t="shared" si="485"/>
        <v>0.67662617755348364</v>
      </c>
      <c r="FE96" s="32">
        <f t="shared" si="486"/>
        <v>0.74343965707667725</v>
      </c>
      <c r="FF96" s="32">
        <f t="shared" si="487"/>
        <v>0.79277657638058763</v>
      </c>
      <c r="FG96" s="32">
        <f t="shared" si="488"/>
        <v>0.85032181325547074</v>
      </c>
      <c r="FH96" s="32">
        <f t="shared" si="489"/>
        <v>0.91370864930566231</v>
      </c>
      <c r="FI96" s="32">
        <f t="shared" si="490"/>
        <v>1</v>
      </c>
      <c r="FK96" s="32">
        <f t="shared" si="551"/>
        <v>0.13694959037185148</v>
      </c>
      <c r="FL96" s="32">
        <f t="shared" si="491"/>
        <v>0.23625948335417832</v>
      </c>
      <c r="FM96" s="32">
        <f t="shared" si="492"/>
        <v>0.40724775395060525</v>
      </c>
      <c r="FN96" s="32">
        <f t="shared" si="493"/>
        <v>0.50181985980154009</v>
      </c>
      <c r="FO96" s="32">
        <f t="shared" si="494"/>
        <v>0.55063821090080223</v>
      </c>
      <c r="FP96" s="32">
        <f t="shared" si="495"/>
        <v>0.60063827719019958</v>
      </c>
      <c r="FQ96" s="32">
        <f t="shared" si="496"/>
        <v>0.65927499415307844</v>
      </c>
      <c r="FR96" s="32">
        <f t="shared" si="497"/>
        <v>0.70236358562718249</v>
      </c>
      <c r="FS96" s="32">
        <f t="shared" si="498"/>
        <v>0.7623556486874411</v>
      </c>
      <c r="FT96" s="32">
        <f t="shared" si="499"/>
        <v>0.83548931348067368</v>
      </c>
      <c r="FU96" s="32">
        <f t="shared" si="500"/>
        <v>0.89472399084024434</v>
      </c>
      <c r="FV96" s="32">
        <f t="shared" si="501"/>
        <v>1</v>
      </c>
      <c r="FX96" s="32">
        <f t="shared" si="502"/>
        <v>0.13400489766230181</v>
      </c>
      <c r="FY96" s="32">
        <f t="shared" si="503"/>
        <v>0.21471616237109989</v>
      </c>
      <c r="FZ96" s="32">
        <f t="shared" si="504"/>
        <v>0.37612077809756012</v>
      </c>
      <c r="GA96" s="32">
        <f t="shared" si="505"/>
        <v>0.46774230666504946</v>
      </c>
      <c r="GB96" s="32">
        <f t="shared" si="506"/>
        <v>0.5078670023458417</v>
      </c>
      <c r="GC96" s="32">
        <f t="shared" si="507"/>
        <v>0.52496774759644615</v>
      </c>
      <c r="GD96" s="32">
        <f t="shared" si="508"/>
        <v>0.60700041829899465</v>
      </c>
      <c r="GE96" s="32">
        <f t="shared" si="509"/>
        <v>0.6760403880756235</v>
      </c>
      <c r="GF96" s="32">
        <f t="shared" si="510"/>
        <v>0.73532044639754679</v>
      </c>
      <c r="GG96" s="32">
        <f t="shared" si="511"/>
        <v>0.81120881528606859</v>
      </c>
      <c r="GH96" s="32">
        <f t="shared" si="512"/>
        <v>0.89087307350816847</v>
      </c>
      <c r="GI96" s="32">
        <f t="shared" si="513"/>
        <v>1</v>
      </c>
    </row>
    <row r="97" spans="1:191">
      <c r="A97" s="724" t="s">
        <v>81</v>
      </c>
      <c r="B97" s="399">
        <v>9379.6500000000015</v>
      </c>
      <c r="C97" s="400">
        <v>6755.1999999999989</v>
      </c>
      <c r="D97" s="400">
        <v>5530.1299999999992</v>
      </c>
      <c r="E97" s="400">
        <v>6670.8</v>
      </c>
      <c r="F97" s="400">
        <v>1963.670000000001</v>
      </c>
      <c r="G97" s="400">
        <v>2669.0599999999995</v>
      </c>
      <c r="H97" s="400">
        <v>3750.2699999999986</v>
      </c>
      <c r="I97" s="400">
        <v>9093.4700000000012</v>
      </c>
      <c r="J97" s="400">
        <v>4945.68</v>
      </c>
      <c r="K97" s="400">
        <v>5069.619999999999</v>
      </c>
      <c r="L97" s="400">
        <v>7022.02</v>
      </c>
      <c r="M97" s="400">
        <v>16912.05</v>
      </c>
      <c r="N97" s="400">
        <f t="shared" si="441"/>
        <v>79761.62000000001</v>
      </c>
      <c r="P97" s="396" t="s">
        <v>81</v>
      </c>
      <c r="Q97" s="399">
        <v>4508.05</v>
      </c>
      <c r="R97" s="400">
        <v>3387.54</v>
      </c>
      <c r="S97" s="400">
        <v>4595.76</v>
      </c>
      <c r="T97" s="400">
        <v>1868.49</v>
      </c>
      <c r="U97" s="400">
        <v>2399.1799999999998</v>
      </c>
      <c r="V97" s="400">
        <v>1811.93</v>
      </c>
      <c r="W97" s="400">
        <v>2498.5399999999972</v>
      </c>
      <c r="X97" s="400">
        <v>6038.8600000000006</v>
      </c>
      <c r="Y97" s="400">
        <v>1612.9899999999998</v>
      </c>
      <c r="Z97" s="400">
        <v>5287.38</v>
      </c>
      <c r="AA97" s="400">
        <v>3845.11</v>
      </c>
      <c r="AB97" s="400">
        <v>3859.1400000000012</v>
      </c>
      <c r="AC97" s="400">
        <f t="shared" si="442"/>
        <v>41712.969999999994</v>
      </c>
      <c r="AE97" s="127" t="s">
        <v>81</v>
      </c>
      <c r="AF97" s="27">
        <v>2815.51</v>
      </c>
      <c r="AG97" s="27">
        <v>4584.57</v>
      </c>
      <c r="AH97" s="27">
        <v>7779.46</v>
      </c>
      <c r="AI97" s="27">
        <v>3005.1</v>
      </c>
      <c r="AJ97" s="27">
        <v>6898.49</v>
      </c>
      <c r="AK97" s="27">
        <v>4161.9399999999996</v>
      </c>
      <c r="AL97" s="27">
        <v>9680.2800000000007</v>
      </c>
      <c r="AM97" s="27">
        <v>4399.97</v>
      </c>
      <c r="AN97" s="27">
        <v>3907.35</v>
      </c>
      <c r="AO97" s="27">
        <v>3204.58</v>
      </c>
      <c r="AP97" s="27">
        <v>3874.49</v>
      </c>
      <c r="AQ97" s="27">
        <v>2067.71</v>
      </c>
      <c r="AR97" s="43">
        <f t="shared" si="443"/>
        <v>56379.45</v>
      </c>
      <c r="AT97" s="60" t="s">
        <v>81</v>
      </c>
      <c r="AU97" s="27">
        <v>4167.29</v>
      </c>
      <c r="AV97" s="27">
        <v>6240.630000000001</v>
      </c>
      <c r="AW97" s="27">
        <v>3113.48</v>
      </c>
      <c r="AX97" s="27">
        <v>2672.57</v>
      </c>
      <c r="AY97" s="27">
        <v>7408.0700000000006</v>
      </c>
      <c r="AZ97" s="27">
        <v>8761.0400000000009</v>
      </c>
      <c r="BA97" s="27">
        <v>3660.4299999999994</v>
      </c>
      <c r="BB97" s="27">
        <v>4804.63</v>
      </c>
      <c r="BC97" s="27">
        <v>2169.67</v>
      </c>
      <c r="BD97" s="27">
        <v>1607.29</v>
      </c>
      <c r="BE97" s="27">
        <v>1257.58</v>
      </c>
      <c r="BF97" s="27">
        <v>1653.88</v>
      </c>
      <c r="BG97" s="43">
        <f t="shared" si="403"/>
        <v>47516.56</v>
      </c>
      <c r="BI97" s="60" t="s">
        <v>81</v>
      </c>
      <c r="BJ97" s="27">
        <v>6527.3700000000017</v>
      </c>
      <c r="BK97" s="27">
        <v>7348.0700000000033</v>
      </c>
      <c r="BL97" s="27">
        <v>3359.1799999999989</v>
      </c>
      <c r="BM97" s="27">
        <v>1616.1300000000006</v>
      </c>
      <c r="BN97" s="27">
        <v>3418.76</v>
      </c>
      <c r="BO97" s="27">
        <v>1135.0999999999985</v>
      </c>
      <c r="BP97" s="27">
        <v>3106.3299999999995</v>
      </c>
      <c r="BQ97" s="27">
        <v>2240.5300000000002</v>
      </c>
      <c r="BR97" s="27">
        <v>2718.09</v>
      </c>
      <c r="BS97" s="27">
        <v>2200.12</v>
      </c>
      <c r="BT97" s="27">
        <v>1419.3799999999999</v>
      </c>
      <c r="BU97" s="27">
        <v>913.04000000000019</v>
      </c>
      <c r="BV97" s="43">
        <f t="shared" si="404"/>
        <v>36002.100000000006</v>
      </c>
      <c r="BW97" s="405"/>
      <c r="BX97" s="32">
        <f t="shared" si="514"/>
        <v>0.11759603177568359</v>
      </c>
      <c r="BY97" s="32">
        <f t="shared" si="515"/>
        <v>0.20228839384154934</v>
      </c>
      <c r="BZ97" s="32">
        <f t="shared" si="516"/>
        <v>0.27162161450582367</v>
      </c>
      <c r="CA97" s="32">
        <f t="shared" si="517"/>
        <v>0.35525582354019386</v>
      </c>
      <c r="CB97" s="32">
        <f t="shared" si="518"/>
        <v>0.37987505770319102</v>
      </c>
      <c r="CC97" s="32">
        <f t="shared" si="519"/>
        <v>0.41333801896200201</v>
      </c>
      <c r="CD97" s="32">
        <f t="shared" si="520"/>
        <v>0.46035649727274841</v>
      </c>
      <c r="CE97" s="32">
        <f t="shared" si="521"/>
        <v>0.57436458788073752</v>
      </c>
      <c r="CF97" s="32">
        <f t="shared" si="522"/>
        <v>0.63637034954906879</v>
      </c>
      <c r="CG97" s="32">
        <f t="shared" si="523"/>
        <v>0.69992999139184986</v>
      </c>
      <c r="CH97" s="32">
        <f t="shared" si="524"/>
        <v>0.7879675713707921</v>
      </c>
      <c r="CI97" s="32">
        <f t="shared" si="525"/>
        <v>1</v>
      </c>
      <c r="CJ97" s="405"/>
      <c r="CK97" s="32">
        <f t="shared" si="526"/>
        <v>0.10807310052484877</v>
      </c>
      <c r="CL97" s="32">
        <f t="shared" si="527"/>
        <v>0.18928381268463984</v>
      </c>
      <c r="CM97" s="32">
        <f t="shared" si="528"/>
        <v>0.29945961651735664</v>
      </c>
      <c r="CN97" s="32">
        <f t="shared" si="529"/>
        <v>0.34425359786176823</v>
      </c>
      <c r="CO97" s="32">
        <f t="shared" si="530"/>
        <v>0.40177000103325183</v>
      </c>
      <c r="CP97" s="32">
        <f t="shared" si="531"/>
        <v>0.44520804919908613</v>
      </c>
      <c r="CQ97" s="32">
        <f t="shared" si="532"/>
        <v>0.50510644530945659</v>
      </c>
      <c r="CR97" s="32">
        <f t="shared" si="533"/>
        <v>0.64987820335018109</v>
      </c>
      <c r="CS97" s="32">
        <f t="shared" si="534"/>
        <v>0.68854699149928666</v>
      </c>
      <c r="CT97" s="32">
        <f t="shared" si="535"/>
        <v>0.81530324980455715</v>
      </c>
      <c r="CU97" s="32">
        <f t="shared" si="536"/>
        <v>0.90748345178969514</v>
      </c>
      <c r="CV97" s="32">
        <f t="shared" si="537"/>
        <v>1</v>
      </c>
      <c r="CX97" s="32">
        <f t="shared" si="538"/>
        <v>4.9938585779038293E-2</v>
      </c>
      <c r="CY97" s="32">
        <f t="shared" si="539"/>
        <v>0.13125491646335677</v>
      </c>
      <c r="CZ97" s="32">
        <f t="shared" si="540"/>
        <v>0.26923888047861416</v>
      </c>
      <c r="DA97" s="32">
        <f t="shared" si="541"/>
        <v>0.32254021633769042</v>
      </c>
      <c r="DB97" s="32">
        <f t="shared" si="542"/>
        <v>0.4448984514747838</v>
      </c>
      <c r="DC97" s="32">
        <f t="shared" si="543"/>
        <v>0.51871861112515283</v>
      </c>
      <c r="DD97" s="32">
        <f t="shared" si="544"/>
        <v>0.69041734177967329</v>
      </c>
      <c r="DE97" s="32">
        <f t="shared" si="545"/>
        <v>0.76845942980997517</v>
      </c>
      <c r="DF97" s="32">
        <f t="shared" si="546"/>
        <v>0.83776393703734253</v>
      </c>
      <c r="DG97" s="32">
        <f t="shared" si="547"/>
        <v>0.89460344150217863</v>
      </c>
      <c r="DH97" s="32">
        <f t="shared" si="548"/>
        <v>0.96332511225278006</v>
      </c>
      <c r="DI97" s="32">
        <f t="shared" si="549"/>
        <v>1</v>
      </c>
      <c r="DK97" s="32">
        <f t="shared" si="444"/>
        <v>8.770184541978629E-2</v>
      </c>
      <c r="DL97" s="32">
        <f t="shared" si="445"/>
        <v>0.21903774178938884</v>
      </c>
      <c r="DM97" s="32">
        <f t="shared" si="446"/>
        <v>0.28456184538611384</v>
      </c>
      <c r="DN97" s="32">
        <f t="shared" si="447"/>
        <v>0.34080686817395878</v>
      </c>
      <c r="DO97" s="32">
        <f t="shared" si="448"/>
        <v>0.49671188318346282</v>
      </c>
      <c r="DP97" s="32">
        <f t="shared" si="449"/>
        <v>0.68109055032603383</v>
      </c>
      <c r="DQ97" s="32">
        <f t="shared" si="450"/>
        <v>0.75812537776303679</v>
      </c>
      <c r="DR97" s="32">
        <f t="shared" si="451"/>
        <v>0.85924023119518755</v>
      </c>
      <c r="DS97" s="32">
        <f t="shared" si="452"/>
        <v>0.9049015753665669</v>
      </c>
      <c r="DT97" s="32">
        <f t="shared" si="453"/>
        <v>0.93872746680315244</v>
      </c>
      <c r="DU97" s="32">
        <f t="shared" si="454"/>
        <v>0.96519360829150935</v>
      </c>
      <c r="DV97" s="32">
        <f t="shared" si="455"/>
        <v>1</v>
      </c>
      <c r="DW97" s="39"/>
      <c r="DX97" s="32">
        <f t="shared" si="456"/>
        <v>0.1813052571933304</v>
      </c>
      <c r="DY97" s="32">
        <f t="shared" si="457"/>
        <v>0.38540640684848948</v>
      </c>
      <c r="DZ97" s="32">
        <f t="shared" si="458"/>
        <v>0.47871151960580088</v>
      </c>
      <c r="EA97" s="32">
        <f t="shared" si="459"/>
        <v>0.52360140102938446</v>
      </c>
      <c r="EB97" s="32">
        <f t="shared" si="460"/>
        <v>0.61856141725066049</v>
      </c>
      <c r="EC97" s="32">
        <f t="shared" si="461"/>
        <v>0.6500901336310938</v>
      </c>
      <c r="ED97" s="32">
        <f t="shared" si="462"/>
        <v>0.73637204496404385</v>
      </c>
      <c r="EE97" s="32">
        <f t="shared" si="463"/>
        <v>0.7986053591318284</v>
      </c>
      <c r="EF97" s="32">
        <f t="shared" si="464"/>
        <v>0.87410345507623166</v>
      </c>
      <c r="EG97" s="32">
        <f t="shared" si="465"/>
        <v>0.93521433471936366</v>
      </c>
      <c r="EH97" s="32">
        <f t="shared" si="466"/>
        <v>0.97463925715444377</v>
      </c>
      <c r="EI97" s="32">
        <f t="shared" si="467"/>
        <v>1</v>
      </c>
      <c r="EK97" s="32">
        <f t="shared" si="550"/>
        <v>0.10631522946405166</v>
      </c>
      <c r="EL97" s="32">
        <f t="shared" si="468"/>
        <v>0.2452330217004117</v>
      </c>
      <c r="EM97" s="32">
        <f t="shared" si="469"/>
        <v>0.34417074849017631</v>
      </c>
      <c r="EN97" s="32">
        <f t="shared" si="470"/>
        <v>0.39564949518034459</v>
      </c>
      <c r="EO97" s="32">
        <f t="shared" si="471"/>
        <v>0.52005725063630237</v>
      </c>
      <c r="EP97" s="32">
        <f t="shared" si="472"/>
        <v>0.61663309836076019</v>
      </c>
      <c r="EQ97" s="32">
        <f t="shared" si="473"/>
        <v>0.72830492150225135</v>
      </c>
      <c r="ER97" s="32">
        <f t="shared" si="474"/>
        <v>0.80876834004566378</v>
      </c>
      <c r="ES97" s="32">
        <f t="shared" si="475"/>
        <v>0.87225632249338025</v>
      </c>
      <c r="ET97" s="32">
        <f t="shared" si="476"/>
        <v>0.92284841434156484</v>
      </c>
      <c r="EU97" s="32">
        <f t="shared" si="477"/>
        <v>0.96771932589957776</v>
      </c>
      <c r="EV97" s="32">
        <f t="shared" si="478"/>
        <v>1</v>
      </c>
      <c r="EX97" s="32">
        <f t="shared" si="479"/>
        <v>0.10675469722925093</v>
      </c>
      <c r="EY97" s="32">
        <f t="shared" si="480"/>
        <v>0.23124571944646871</v>
      </c>
      <c r="EZ97" s="32">
        <f t="shared" si="481"/>
        <v>0.33299296549697138</v>
      </c>
      <c r="FA97" s="32">
        <f t="shared" si="482"/>
        <v>0.38280052085070049</v>
      </c>
      <c r="FB97" s="32">
        <f t="shared" si="483"/>
        <v>0.49048543823553975</v>
      </c>
      <c r="FC97" s="32">
        <f t="shared" si="484"/>
        <v>0.57377683607034169</v>
      </c>
      <c r="FD97" s="32">
        <f t="shared" si="485"/>
        <v>0.6725053024540526</v>
      </c>
      <c r="FE97" s="32">
        <f t="shared" si="486"/>
        <v>0.76904580587179305</v>
      </c>
      <c r="FF97" s="32">
        <f t="shared" si="487"/>
        <v>0.82632898974485702</v>
      </c>
      <c r="FG97" s="32">
        <f t="shared" si="488"/>
        <v>0.89596212320731305</v>
      </c>
      <c r="FH97" s="32">
        <f t="shared" si="489"/>
        <v>0.95266035737210708</v>
      </c>
      <c r="FI97" s="32">
        <f t="shared" si="490"/>
        <v>1</v>
      </c>
      <c r="FK97" s="32">
        <f t="shared" si="551"/>
        <v>8.1904510574557776E-2</v>
      </c>
      <c r="FL97" s="32">
        <f t="shared" si="491"/>
        <v>0.17985882364579511</v>
      </c>
      <c r="FM97" s="32">
        <f t="shared" si="492"/>
        <v>0.28442011412736151</v>
      </c>
      <c r="FN97" s="32">
        <f t="shared" si="493"/>
        <v>0.33586689412447246</v>
      </c>
      <c r="FO97" s="32">
        <f t="shared" si="494"/>
        <v>0.44779344523049947</v>
      </c>
      <c r="FP97" s="32">
        <f t="shared" si="495"/>
        <v>0.54833907021675765</v>
      </c>
      <c r="FQ97" s="32">
        <f t="shared" si="496"/>
        <v>0.65121638828405548</v>
      </c>
      <c r="FR97" s="32">
        <f t="shared" si="497"/>
        <v>0.75919262145178124</v>
      </c>
      <c r="FS97" s="32">
        <f t="shared" si="498"/>
        <v>0.81040416796773196</v>
      </c>
      <c r="FT97" s="32">
        <f t="shared" si="499"/>
        <v>0.88287805270329611</v>
      </c>
      <c r="FU97" s="32">
        <f t="shared" si="500"/>
        <v>0.94533405744466148</v>
      </c>
      <c r="FV97" s="32">
        <f t="shared" si="501"/>
        <v>1</v>
      </c>
      <c r="FX97" s="32">
        <f t="shared" si="502"/>
        <v>9.1869239359856872E-2</v>
      </c>
      <c r="FY97" s="32">
        <f t="shared" si="503"/>
        <v>0.17427570766318201</v>
      </c>
      <c r="FZ97" s="32">
        <f t="shared" si="504"/>
        <v>0.28010670383393149</v>
      </c>
      <c r="GA97" s="32">
        <f t="shared" si="505"/>
        <v>0.34068321257988421</v>
      </c>
      <c r="GB97" s="32">
        <f t="shared" si="506"/>
        <v>0.40884783673707559</v>
      </c>
      <c r="GC97" s="32">
        <f t="shared" si="507"/>
        <v>0.45908822642874697</v>
      </c>
      <c r="GD97" s="32">
        <f t="shared" si="508"/>
        <v>0.5519600947872928</v>
      </c>
      <c r="GE97" s="32">
        <f t="shared" si="509"/>
        <v>0.66423407368029797</v>
      </c>
      <c r="GF97" s="32">
        <f t="shared" si="510"/>
        <v>0.72089375936189937</v>
      </c>
      <c r="GG97" s="32">
        <f t="shared" si="511"/>
        <v>0.80327889423286181</v>
      </c>
      <c r="GH97" s="32">
        <f t="shared" si="512"/>
        <v>0.88625871180442239</v>
      </c>
      <c r="GI97" s="32">
        <f t="shared" si="513"/>
        <v>1</v>
      </c>
    </row>
    <row r="98" spans="1:191">
      <c r="A98" s="724" t="s">
        <v>82</v>
      </c>
      <c r="B98" s="399">
        <v>3668.5599999999995</v>
      </c>
      <c r="C98" s="400">
        <v>3743.6999999999989</v>
      </c>
      <c r="D98" s="400">
        <v>4052.2300000000005</v>
      </c>
      <c r="E98" s="400">
        <v>1482.4999999999995</v>
      </c>
      <c r="F98" s="400">
        <v>936.36000000000013</v>
      </c>
      <c r="G98" s="400">
        <v>1401.2600000000002</v>
      </c>
      <c r="H98" s="400">
        <v>2765.6000000000004</v>
      </c>
      <c r="I98" s="400">
        <v>2936.8899999999994</v>
      </c>
      <c r="J98" s="400">
        <v>3339.7999999999993</v>
      </c>
      <c r="K98" s="400">
        <v>1756.8999999999996</v>
      </c>
      <c r="L98" s="400">
        <v>913.26000000000022</v>
      </c>
      <c r="M98" s="400">
        <v>12223.83</v>
      </c>
      <c r="N98" s="400">
        <f t="shared" si="441"/>
        <v>39220.89</v>
      </c>
      <c r="P98" s="396" t="s">
        <v>82</v>
      </c>
      <c r="Q98" s="399">
        <v>1763.26</v>
      </c>
      <c r="R98" s="400">
        <v>1000.92</v>
      </c>
      <c r="S98" s="400">
        <v>819.98</v>
      </c>
      <c r="T98" s="400">
        <v>110.56</v>
      </c>
      <c r="U98" s="400">
        <v>1576.73</v>
      </c>
      <c r="V98" s="400">
        <v>847.6</v>
      </c>
      <c r="W98" s="400">
        <v>0</v>
      </c>
      <c r="X98" s="400">
        <v>45.860000000000582</v>
      </c>
      <c r="Y98" s="400">
        <v>985.59000000000015</v>
      </c>
      <c r="Z98" s="400">
        <v>1199.4000000000001</v>
      </c>
      <c r="AA98" s="400">
        <v>334.05</v>
      </c>
      <c r="AB98" s="400">
        <v>868.58999999999969</v>
      </c>
      <c r="AC98" s="400">
        <f t="shared" si="442"/>
        <v>9552.5400000000009</v>
      </c>
      <c r="AE98" s="127" t="s">
        <v>82</v>
      </c>
      <c r="AF98" s="27">
        <v>2807.96</v>
      </c>
      <c r="AG98" s="27">
        <v>3050.89</v>
      </c>
      <c r="AH98" s="27">
        <v>1351.83</v>
      </c>
      <c r="AI98" s="27">
        <v>938.22</v>
      </c>
      <c r="AJ98" s="27">
        <v>851.71</v>
      </c>
      <c r="AK98" s="27">
        <v>1117.6400000000001</v>
      </c>
      <c r="AL98" s="27">
        <v>1768.34</v>
      </c>
      <c r="AM98" s="27">
        <v>2122.08</v>
      </c>
      <c r="AN98" s="27">
        <v>1793.27</v>
      </c>
      <c r="AO98" s="27">
        <v>2506.2399999999998</v>
      </c>
      <c r="AP98" s="27">
        <v>2003.5</v>
      </c>
      <c r="AQ98" s="27">
        <v>948.23</v>
      </c>
      <c r="AR98" s="43">
        <f t="shared" si="443"/>
        <v>21259.91</v>
      </c>
      <c r="AT98" s="60" t="s">
        <v>82</v>
      </c>
      <c r="AU98" s="27">
        <v>1585.4399999999989</v>
      </c>
      <c r="AV98" s="27">
        <v>1605.3800000000024</v>
      </c>
      <c r="AW98" s="27">
        <v>2290.2800000000016</v>
      </c>
      <c r="AX98" s="27">
        <v>2880.97</v>
      </c>
      <c r="AY98" s="27">
        <v>1891.3899999999994</v>
      </c>
      <c r="AZ98" s="27">
        <v>854.69</v>
      </c>
      <c r="BA98" s="27">
        <v>1277.1599999999999</v>
      </c>
      <c r="BB98" s="27">
        <v>1378.77</v>
      </c>
      <c r="BC98" s="27">
        <v>1957.81</v>
      </c>
      <c r="BD98" s="27">
        <v>2670.7</v>
      </c>
      <c r="BE98" s="27">
        <v>2554.86</v>
      </c>
      <c r="BF98" s="27">
        <v>794.91</v>
      </c>
      <c r="BG98" s="43">
        <f t="shared" si="403"/>
        <v>21742.360000000004</v>
      </c>
      <c r="BI98" s="60" t="s">
        <v>82</v>
      </c>
      <c r="BJ98" s="27">
        <v>688.06999999999925</v>
      </c>
      <c r="BK98" s="27">
        <v>1710.4300000000021</v>
      </c>
      <c r="BL98" s="27">
        <v>5471.48</v>
      </c>
      <c r="BM98" s="27">
        <v>2612.1299999999992</v>
      </c>
      <c r="BN98" s="27">
        <v>1824.3899999999999</v>
      </c>
      <c r="BO98" s="27">
        <v>2320.2700000000009</v>
      </c>
      <c r="BP98" s="27">
        <v>923.94999999999982</v>
      </c>
      <c r="BQ98" s="27">
        <v>1130.9099999999999</v>
      </c>
      <c r="BR98" s="27">
        <v>164.76000000000002</v>
      </c>
      <c r="BS98" s="27">
        <v>301.41999999999996</v>
      </c>
      <c r="BT98" s="27">
        <v>359.79999999999995</v>
      </c>
      <c r="BU98" s="27">
        <v>1302.1699999999996</v>
      </c>
      <c r="BV98" s="43">
        <f t="shared" si="404"/>
        <v>18809.779999999995</v>
      </c>
      <c r="BW98" s="405"/>
      <c r="BX98" s="32">
        <f t="shared" si="514"/>
        <v>9.3535868257961494E-2</v>
      </c>
      <c r="BY98" s="32">
        <f t="shared" si="515"/>
        <v>0.18898755229674793</v>
      </c>
      <c r="BZ98" s="32">
        <f t="shared" si="516"/>
        <v>0.29230570749414403</v>
      </c>
      <c r="CA98" s="32">
        <f t="shared" si="517"/>
        <v>0.33010444179109649</v>
      </c>
      <c r="CB98" s="32">
        <f t="shared" si="518"/>
        <v>0.35397845382906912</v>
      </c>
      <c r="CC98" s="32">
        <f t="shared" si="519"/>
        <v>0.3897058429831653</v>
      </c>
      <c r="CD98" s="32">
        <f t="shared" si="520"/>
        <v>0.46021928620181746</v>
      </c>
      <c r="CE98" s="32">
        <f t="shared" si="521"/>
        <v>0.53510004489954199</v>
      </c>
      <c r="CF98" s="32">
        <f t="shared" si="522"/>
        <v>0.62025364544251793</v>
      </c>
      <c r="CG98" s="32">
        <f t="shared" si="523"/>
        <v>0.66504865136920643</v>
      </c>
      <c r="CH98" s="32">
        <f t="shared" si="524"/>
        <v>0.68833369156079827</v>
      </c>
      <c r="CI98" s="32">
        <f t="shared" si="525"/>
        <v>1</v>
      </c>
      <c r="CJ98" s="405"/>
      <c r="CK98" s="32">
        <f t="shared" si="526"/>
        <v>0.18458546103968157</v>
      </c>
      <c r="CL98" s="32">
        <f t="shared" si="527"/>
        <v>0.28936596967926853</v>
      </c>
      <c r="CM98" s="32">
        <f t="shared" si="528"/>
        <v>0.37520491931988764</v>
      </c>
      <c r="CN98" s="32">
        <f t="shared" si="529"/>
        <v>0.38677880438082429</v>
      </c>
      <c r="CO98" s="32">
        <f t="shared" si="530"/>
        <v>0.55183752174814227</v>
      </c>
      <c r="CP98" s="32">
        <f t="shared" si="531"/>
        <v>0.64056784897001218</v>
      </c>
      <c r="CQ98" s="32">
        <f t="shared" si="532"/>
        <v>0.64056784897001218</v>
      </c>
      <c r="CR98" s="32">
        <f t="shared" si="533"/>
        <v>0.64536866634423939</v>
      </c>
      <c r="CS98" s="32">
        <f t="shared" si="534"/>
        <v>0.74854436621045295</v>
      </c>
      <c r="CT98" s="32">
        <f t="shared" si="535"/>
        <v>0.87410259470256091</v>
      </c>
      <c r="CU98" s="32">
        <f t="shared" si="536"/>
        <v>0.90907235143741871</v>
      </c>
      <c r="CV98" s="32">
        <f t="shared" si="537"/>
        <v>1</v>
      </c>
      <c r="CX98" s="32">
        <f t="shared" si="538"/>
        <v>0.13207769929411742</v>
      </c>
      <c r="CY98" s="32">
        <f t="shared" si="539"/>
        <v>0.27558206972654165</v>
      </c>
      <c r="CZ98" s="32">
        <f t="shared" si="540"/>
        <v>0.3391679456780391</v>
      </c>
      <c r="DA98" s="32">
        <f t="shared" si="541"/>
        <v>0.38329889449202753</v>
      </c>
      <c r="DB98" s="32">
        <f t="shared" si="542"/>
        <v>0.42336068214776079</v>
      </c>
      <c r="DC98" s="32">
        <f t="shared" si="543"/>
        <v>0.47593098935978562</v>
      </c>
      <c r="DD98" s="32">
        <f t="shared" si="544"/>
        <v>0.55910819942323364</v>
      </c>
      <c r="DE98" s="32">
        <f t="shared" si="545"/>
        <v>0.65892423815528856</v>
      </c>
      <c r="DF98" s="32">
        <f t="shared" si="546"/>
        <v>0.74327407783005672</v>
      </c>
      <c r="DG98" s="32">
        <f t="shared" si="547"/>
        <v>0.86115980735572262</v>
      </c>
      <c r="DH98" s="32">
        <f t="shared" si="548"/>
        <v>0.9553982119397495</v>
      </c>
      <c r="DI98" s="32">
        <f t="shared" si="549"/>
        <v>1</v>
      </c>
      <c r="DK98" s="32">
        <f t="shared" si="444"/>
        <v>7.2919407092882221E-2</v>
      </c>
      <c r="DL98" s="32">
        <f t="shared" si="445"/>
        <v>0.14675591794083076</v>
      </c>
      <c r="DM98" s="32">
        <f t="shared" si="446"/>
        <v>0.25209314904177843</v>
      </c>
      <c r="DN98" s="32">
        <f t="shared" si="447"/>
        <v>0.38459808410862489</v>
      </c>
      <c r="DO98" s="32">
        <f t="shared" si="448"/>
        <v>0.4715891007231966</v>
      </c>
      <c r="DP98" s="32">
        <f t="shared" si="449"/>
        <v>0.51089900084443463</v>
      </c>
      <c r="DQ98" s="32">
        <f t="shared" si="450"/>
        <v>0.56963963433592313</v>
      </c>
      <c r="DR98" s="32">
        <f t="shared" si="451"/>
        <v>0.63305363355219957</v>
      </c>
      <c r="DS98" s="32">
        <f t="shared" si="452"/>
        <v>0.72309951633585312</v>
      </c>
      <c r="DT98" s="32">
        <f t="shared" si="453"/>
        <v>0.84593346812397552</v>
      </c>
      <c r="DU98" s="32">
        <f t="shared" si="454"/>
        <v>0.96343957141727021</v>
      </c>
      <c r="DV98" s="32">
        <f t="shared" si="455"/>
        <v>1</v>
      </c>
      <c r="DW98" s="39"/>
      <c r="DX98" s="32">
        <f t="shared" si="456"/>
        <v>3.6580438474027845E-2</v>
      </c>
      <c r="DY98" s="32">
        <f t="shared" si="457"/>
        <v>0.1275134531079046</v>
      </c>
      <c r="DZ98" s="32">
        <f t="shared" si="458"/>
        <v>0.41839830130921274</v>
      </c>
      <c r="EA98" s="32">
        <f t="shared" si="459"/>
        <v>0.55726914403039285</v>
      </c>
      <c r="EB98" s="32">
        <f t="shared" si="460"/>
        <v>0.65426070905667177</v>
      </c>
      <c r="EC98" s="32">
        <f t="shared" si="461"/>
        <v>0.77761515552016047</v>
      </c>
      <c r="ED98" s="32">
        <f t="shared" si="462"/>
        <v>0.82673587888853595</v>
      </c>
      <c r="EE98" s="32">
        <f t="shared" si="463"/>
        <v>0.88685938910502971</v>
      </c>
      <c r="EF98" s="32">
        <f t="shared" si="464"/>
        <v>0.89561866220657571</v>
      </c>
      <c r="EG98" s="32">
        <f t="shared" si="465"/>
        <v>0.91164330470638155</v>
      </c>
      <c r="EH98" s="32">
        <f t="shared" si="466"/>
        <v>0.93077165176838861</v>
      </c>
      <c r="EI98" s="32">
        <f t="shared" si="467"/>
        <v>1</v>
      </c>
      <c r="EK98" s="32">
        <f t="shared" si="550"/>
        <v>8.0525848287009164E-2</v>
      </c>
      <c r="EL98" s="32">
        <f t="shared" si="468"/>
        <v>0.18328381359175902</v>
      </c>
      <c r="EM98" s="32">
        <f t="shared" si="469"/>
        <v>0.33655313200967679</v>
      </c>
      <c r="EN98" s="32">
        <f t="shared" si="470"/>
        <v>0.44172204087701505</v>
      </c>
      <c r="EO98" s="32">
        <f t="shared" si="471"/>
        <v>0.51640349730920976</v>
      </c>
      <c r="EP98" s="32">
        <f t="shared" si="472"/>
        <v>0.5881483819081269</v>
      </c>
      <c r="EQ98" s="32">
        <f t="shared" si="473"/>
        <v>0.65182790421589754</v>
      </c>
      <c r="ER98" s="32">
        <f t="shared" si="474"/>
        <v>0.72627908693750598</v>
      </c>
      <c r="ES98" s="32">
        <f t="shared" si="475"/>
        <v>0.78733075212416181</v>
      </c>
      <c r="ET98" s="32">
        <f t="shared" si="476"/>
        <v>0.87291219339535997</v>
      </c>
      <c r="EU98" s="32">
        <f t="shared" si="477"/>
        <v>0.9498698117084694</v>
      </c>
      <c r="EV98" s="32">
        <f t="shared" si="478"/>
        <v>1</v>
      </c>
      <c r="EX98" s="32">
        <f t="shared" si="479"/>
        <v>0.10654075147517726</v>
      </c>
      <c r="EY98" s="32">
        <f t="shared" si="480"/>
        <v>0.20980435261363639</v>
      </c>
      <c r="EZ98" s="32">
        <f t="shared" si="481"/>
        <v>0.34621607883722944</v>
      </c>
      <c r="FA98" s="32">
        <f t="shared" si="482"/>
        <v>0.42798623175296735</v>
      </c>
      <c r="FB98" s="32">
        <f t="shared" si="483"/>
        <v>0.52526200341894291</v>
      </c>
      <c r="FC98" s="32">
        <f t="shared" si="484"/>
        <v>0.6012532486735982</v>
      </c>
      <c r="FD98" s="32">
        <f t="shared" si="485"/>
        <v>0.64901289040442622</v>
      </c>
      <c r="FE98" s="32">
        <f t="shared" si="486"/>
        <v>0.70605148178918931</v>
      </c>
      <c r="FF98" s="32">
        <f t="shared" si="487"/>
        <v>0.77763415564573457</v>
      </c>
      <c r="FG98" s="32">
        <f t="shared" si="488"/>
        <v>0.87320979372216012</v>
      </c>
      <c r="FH98" s="32">
        <f t="shared" si="489"/>
        <v>0.93967044664070676</v>
      </c>
      <c r="FI98" s="32">
        <f t="shared" si="490"/>
        <v>1</v>
      </c>
      <c r="FK98" s="32">
        <f t="shared" si="551"/>
        <v>0.12986085580889373</v>
      </c>
      <c r="FL98" s="32">
        <f t="shared" si="491"/>
        <v>0.23723465244888031</v>
      </c>
      <c r="FM98" s="32">
        <f t="shared" si="492"/>
        <v>0.32215533801323509</v>
      </c>
      <c r="FN98" s="32">
        <f t="shared" si="493"/>
        <v>0.38489192766049224</v>
      </c>
      <c r="FO98" s="32">
        <f t="shared" si="494"/>
        <v>0.48226243487303327</v>
      </c>
      <c r="FP98" s="32">
        <f t="shared" si="495"/>
        <v>0.54246594639141088</v>
      </c>
      <c r="FQ98" s="32">
        <f t="shared" si="496"/>
        <v>0.58977189424305632</v>
      </c>
      <c r="FR98" s="32">
        <f t="shared" si="497"/>
        <v>0.6457821793505758</v>
      </c>
      <c r="FS98" s="32">
        <f t="shared" si="498"/>
        <v>0.73830598679212089</v>
      </c>
      <c r="FT98" s="32">
        <f t="shared" si="499"/>
        <v>0.86039862339408624</v>
      </c>
      <c r="FU98" s="32">
        <f t="shared" si="500"/>
        <v>0.9426367115981461</v>
      </c>
      <c r="FV98" s="32">
        <f t="shared" si="501"/>
        <v>1</v>
      </c>
      <c r="FX98" s="32">
        <f t="shared" si="502"/>
        <v>0.13673300953058684</v>
      </c>
      <c r="FY98" s="32">
        <f t="shared" si="503"/>
        <v>0.25131186390085269</v>
      </c>
      <c r="FZ98" s="32">
        <f t="shared" si="504"/>
        <v>0.33555952416402363</v>
      </c>
      <c r="GA98" s="32">
        <f t="shared" si="505"/>
        <v>0.36672738022131607</v>
      </c>
      <c r="GB98" s="32">
        <f t="shared" si="506"/>
        <v>0.44305888590832404</v>
      </c>
      <c r="GC98" s="32">
        <f t="shared" si="507"/>
        <v>0.50206822710432097</v>
      </c>
      <c r="GD98" s="32">
        <f t="shared" si="508"/>
        <v>0.55329844486502111</v>
      </c>
      <c r="GE98" s="32">
        <f t="shared" si="509"/>
        <v>0.61313098313302328</v>
      </c>
      <c r="GF98" s="32">
        <f t="shared" si="510"/>
        <v>0.70402402982767587</v>
      </c>
      <c r="GG98" s="32">
        <f t="shared" si="511"/>
        <v>0.80010368447583013</v>
      </c>
      <c r="GH98" s="32">
        <f t="shared" si="512"/>
        <v>0.85093475164598897</v>
      </c>
      <c r="GI98" s="32">
        <f t="shared" si="513"/>
        <v>1</v>
      </c>
    </row>
    <row r="99" spans="1:191">
      <c r="A99" s="724" t="s">
        <v>83</v>
      </c>
      <c r="B99" s="399">
        <v>3417.3899999999994</v>
      </c>
      <c r="C99" s="400">
        <v>8145.0399999999991</v>
      </c>
      <c r="D99" s="400">
        <v>3268.3500000000004</v>
      </c>
      <c r="E99" s="400">
        <v>4821.329999999999</v>
      </c>
      <c r="F99" s="400">
        <v>2099.6000000000004</v>
      </c>
      <c r="G99" s="400">
        <v>3416.0200000000004</v>
      </c>
      <c r="H99" s="400">
        <v>3926.9600000000009</v>
      </c>
      <c r="I99" s="400">
        <v>5863.4699999999939</v>
      </c>
      <c r="J99" s="400">
        <v>1969.5699999999997</v>
      </c>
      <c r="K99" s="400">
        <v>827.59000000000015</v>
      </c>
      <c r="L99" s="400">
        <v>1218.3899999999994</v>
      </c>
      <c r="M99" s="400">
        <v>4535.54</v>
      </c>
      <c r="N99" s="400">
        <f t="shared" si="441"/>
        <v>43509.249999999993</v>
      </c>
      <c r="P99" s="396" t="s">
        <v>83</v>
      </c>
      <c r="Q99" s="399">
        <v>9273.9699999999993</v>
      </c>
      <c r="R99" s="400">
        <v>4543.8900000000003</v>
      </c>
      <c r="S99" s="400">
        <v>1402.5</v>
      </c>
      <c r="T99" s="400">
        <v>1372.52</v>
      </c>
      <c r="U99" s="400">
        <v>773.92</v>
      </c>
      <c r="V99" s="400">
        <v>3116.63</v>
      </c>
      <c r="W99" s="400">
        <v>442.23999999999978</v>
      </c>
      <c r="X99" s="400">
        <v>6007.6200000000026</v>
      </c>
      <c r="Y99" s="400">
        <v>2203.46</v>
      </c>
      <c r="Z99" s="400">
        <v>1202.6899999999996</v>
      </c>
      <c r="AA99" s="400">
        <v>1062.96</v>
      </c>
      <c r="AB99" s="400">
        <v>2945.34</v>
      </c>
      <c r="AC99" s="400">
        <f t="shared" si="442"/>
        <v>34347.74</v>
      </c>
      <c r="AE99" s="127" t="s">
        <v>83</v>
      </c>
      <c r="AF99" s="27">
        <v>3741.6</v>
      </c>
      <c r="AG99" s="27">
        <v>6786.46</v>
      </c>
      <c r="AH99" s="27">
        <v>8697.48</v>
      </c>
      <c r="AI99" s="27">
        <v>8819.2900000000009</v>
      </c>
      <c r="AJ99" s="27">
        <v>8817.0300000000007</v>
      </c>
      <c r="AK99" s="27">
        <v>6565.9</v>
      </c>
      <c r="AL99" s="27">
        <v>8968.92</v>
      </c>
      <c r="AM99" s="27">
        <v>3362.55</v>
      </c>
      <c r="AN99" s="27">
        <v>5912.58</v>
      </c>
      <c r="AO99" s="27">
        <v>3855.38</v>
      </c>
      <c r="AP99" s="27">
        <v>4103.41</v>
      </c>
      <c r="AQ99" s="27">
        <v>6781.32</v>
      </c>
      <c r="AR99" s="43">
        <f t="shared" si="443"/>
        <v>76411.920000000013</v>
      </c>
      <c r="AT99" s="60" t="s">
        <v>83</v>
      </c>
      <c r="AU99" s="27">
        <v>7338.9299999999994</v>
      </c>
      <c r="AV99" s="27">
        <v>2279.0900000000038</v>
      </c>
      <c r="AW99" s="27">
        <v>3110.119999999999</v>
      </c>
      <c r="AX99" s="27">
        <v>3230.8899999999985</v>
      </c>
      <c r="AY99" s="27">
        <v>3119.5200000000013</v>
      </c>
      <c r="AZ99" s="27">
        <v>4198.95</v>
      </c>
      <c r="BA99" s="27">
        <v>3405.2500000000005</v>
      </c>
      <c r="BB99" s="27">
        <v>428.40000000000003</v>
      </c>
      <c r="BC99" s="27">
        <v>1534.78</v>
      </c>
      <c r="BD99" s="27">
        <v>1913.46</v>
      </c>
      <c r="BE99" s="27">
        <v>2613.8000000000002</v>
      </c>
      <c r="BF99" s="27">
        <v>732.16</v>
      </c>
      <c r="BG99" s="43">
        <f t="shared" si="403"/>
        <v>33905.350000000006</v>
      </c>
      <c r="BI99" s="60" t="s">
        <v>83</v>
      </c>
      <c r="BJ99" s="27">
        <v>1554.85</v>
      </c>
      <c r="BK99" s="27">
        <v>1360.2899999999991</v>
      </c>
      <c r="BL99" s="27">
        <v>870.56999999999971</v>
      </c>
      <c r="BM99" s="27">
        <v>2848.1200000000003</v>
      </c>
      <c r="BN99" s="27">
        <v>2872.7</v>
      </c>
      <c r="BO99" s="27">
        <v>859.95999999999958</v>
      </c>
      <c r="BP99" s="27">
        <v>2176.6999999999994</v>
      </c>
      <c r="BQ99" s="27">
        <v>2153.14</v>
      </c>
      <c r="BR99" s="27">
        <v>2744.5</v>
      </c>
      <c r="BS99" s="27">
        <v>3174.21</v>
      </c>
      <c r="BT99" s="27">
        <v>593.86999999999989</v>
      </c>
      <c r="BU99" s="27">
        <v>1531.49</v>
      </c>
      <c r="BV99" s="43">
        <f t="shared" si="404"/>
        <v>22740.399999999994</v>
      </c>
      <c r="BW99" s="405"/>
      <c r="BX99" s="32">
        <f t="shared" si="514"/>
        <v>7.8543987772714999E-2</v>
      </c>
      <c r="BY99" s="32">
        <f t="shared" si="515"/>
        <v>0.26574647919695238</v>
      </c>
      <c r="BZ99" s="32">
        <f t="shared" si="516"/>
        <v>0.34086498847946128</v>
      </c>
      <c r="CA99" s="32">
        <f t="shared" si="517"/>
        <v>0.45167659750512823</v>
      </c>
      <c r="CB99" s="32">
        <f t="shared" si="518"/>
        <v>0.49993300275228836</v>
      </c>
      <c r="CC99" s="32">
        <f t="shared" si="519"/>
        <v>0.57844550296775976</v>
      </c>
      <c r="CD99" s="32">
        <f t="shared" si="520"/>
        <v>0.66870125318179485</v>
      </c>
      <c r="CE99" s="32">
        <f t="shared" si="521"/>
        <v>0.80346501031389883</v>
      </c>
      <c r="CF99" s="32">
        <f t="shared" si="522"/>
        <v>0.84873285565713041</v>
      </c>
      <c r="CG99" s="32">
        <f t="shared" si="523"/>
        <v>0.86775386843027624</v>
      </c>
      <c r="CH99" s="32">
        <f t="shared" si="524"/>
        <v>0.89575687928429004</v>
      </c>
      <c r="CI99" s="32">
        <f t="shared" si="525"/>
        <v>1</v>
      </c>
      <c r="CJ99" s="405"/>
      <c r="CK99" s="32">
        <f t="shared" si="526"/>
        <v>0.27000233494256098</v>
      </c>
      <c r="CL99" s="32">
        <f t="shared" si="527"/>
        <v>0.40229313486127477</v>
      </c>
      <c r="CM99" s="32">
        <f t="shared" si="528"/>
        <v>0.44312551568167224</v>
      </c>
      <c r="CN99" s="32">
        <f t="shared" si="529"/>
        <v>0.48308505887141345</v>
      </c>
      <c r="CO99" s="32">
        <f t="shared" si="530"/>
        <v>0.50561696344504758</v>
      </c>
      <c r="CP99" s="32">
        <f t="shared" si="531"/>
        <v>0.59635451997715139</v>
      </c>
      <c r="CQ99" s="32">
        <f t="shared" si="532"/>
        <v>0.609229894019228</v>
      </c>
      <c r="CR99" s="32">
        <f t="shared" si="533"/>
        <v>0.78413572479586724</v>
      </c>
      <c r="CS99" s="32">
        <f t="shared" si="534"/>
        <v>0.84828725266931682</v>
      </c>
      <c r="CT99" s="32">
        <f t="shared" si="535"/>
        <v>0.88330236574516985</v>
      </c>
      <c r="CU99" s="32">
        <f t="shared" si="536"/>
        <v>0.9142493800174335</v>
      </c>
      <c r="CV99" s="32">
        <f t="shared" si="537"/>
        <v>1</v>
      </c>
      <c r="CX99" s="32">
        <f t="shared" si="538"/>
        <v>4.8966182239629619E-2</v>
      </c>
      <c r="CY99" s="32">
        <f t="shared" si="539"/>
        <v>0.1377803358428894</v>
      </c>
      <c r="CZ99" s="32">
        <f t="shared" si="540"/>
        <v>0.25160393823372057</v>
      </c>
      <c r="DA99" s="32">
        <f t="shared" si="541"/>
        <v>0.36702166363572591</v>
      </c>
      <c r="DB99" s="32">
        <f t="shared" si="542"/>
        <v>0.48240981250045795</v>
      </c>
      <c r="DC99" s="32">
        <f t="shared" si="543"/>
        <v>0.56833750545726369</v>
      </c>
      <c r="DD99" s="32">
        <f t="shared" si="544"/>
        <v>0.68571343319209876</v>
      </c>
      <c r="DE99" s="32">
        <f t="shared" si="545"/>
        <v>0.72971900195676265</v>
      </c>
      <c r="DF99" s="32">
        <f t="shared" si="546"/>
        <v>0.80709671998819021</v>
      </c>
      <c r="DG99" s="32">
        <f t="shared" si="547"/>
        <v>0.85755193692293019</v>
      </c>
      <c r="DH99" s="32">
        <f t="shared" si="548"/>
        <v>0.91125311338859161</v>
      </c>
      <c r="DI99" s="32">
        <f t="shared" si="549"/>
        <v>1</v>
      </c>
      <c r="DK99" s="32">
        <f t="shared" si="444"/>
        <v>0.21645345056163698</v>
      </c>
      <c r="DL99" s="32">
        <f t="shared" si="445"/>
        <v>0.28367263573447854</v>
      </c>
      <c r="DM99" s="32">
        <f t="shared" si="446"/>
        <v>0.375402112056062</v>
      </c>
      <c r="DN99" s="32">
        <f t="shared" si="447"/>
        <v>0.47069356311024663</v>
      </c>
      <c r="DO99" s="32">
        <f t="shared" si="448"/>
        <v>0.56270028181393206</v>
      </c>
      <c r="DP99" s="32">
        <f t="shared" si="449"/>
        <v>0.68654356908275538</v>
      </c>
      <c r="DQ99" s="32">
        <f t="shared" si="450"/>
        <v>0.78697757138622659</v>
      </c>
      <c r="DR99" s="32">
        <f t="shared" si="451"/>
        <v>0.79961274548117034</v>
      </c>
      <c r="DS99" s="32">
        <f t="shared" si="452"/>
        <v>0.84487934794951236</v>
      </c>
      <c r="DT99" s="32">
        <f t="shared" si="453"/>
        <v>0.90131468927470137</v>
      </c>
      <c r="DU99" s="32">
        <f t="shared" si="454"/>
        <v>0.9784057678213024</v>
      </c>
      <c r="DV99" s="32">
        <f t="shared" si="455"/>
        <v>1</v>
      </c>
      <c r="DW99" s="39"/>
      <c r="DX99" s="32">
        <f t="shared" si="456"/>
        <v>6.8373907231183279E-2</v>
      </c>
      <c r="DY99" s="32">
        <f t="shared" si="457"/>
        <v>0.12819211623366342</v>
      </c>
      <c r="DZ99" s="32">
        <f t="shared" si="458"/>
        <v>0.1664750839914865</v>
      </c>
      <c r="EA99" s="32">
        <f t="shared" si="459"/>
        <v>0.29172002251499535</v>
      </c>
      <c r="EB99" s="32">
        <f t="shared" si="460"/>
        <v>0.41804585671316252</v>
      </c>
      <c r="EC99" s="32">
        <f t="shared" si="461"/>
        <v>0.4558622539621115</v>
      </c>
      <c r="ED99" s="32">
        <f t="shared" si="462"/>
        <v>0.55158176637174372</v>
      </c>
      <c r="EE99" s="32">
        <f t="shared" si="463"/>
        <v>0.64626523719899387</v>
      </c>
      <c r="EF99" s="32">
        <f t="shared" si="464"/>
        <v>0.76695352764243363</v>
      </c>
      <c r="EG99" s="32">
        <f t="shared" si="465"/>
        <v>0.90653814356827489</v>
      </c>
      <c r="EH99" s="32">
        <f t="shared" si="466"/>
        <v>0.93265333943114448</v>
      </c>
      <c r="EI99" s="32">
        <f t="shared" si="467"/>
        <v>1</v>
      </c>
      <c r="EK99" s="32">
        <f t="shared" si="550"/>
        <v>0.11126451334414995</v>
      </c>
      <c r="EL99" s="32">
        <f t="shared" si="468"/>
        <v>0.1832150292703438</v>
      </c>
      <c r="EM99" s="32">
        <f t="shared" si="469"/>
        <v>0.26449371142708966</v>
      </c>
      <c r="EN99" s="32">
        <f t="shared" si="470"/>
        <v>0.37647841642032259</v>
      </c>
      <c r="EO99" s="32">
        <f t="shared" si="471"/>
        <v>0.48771865034251755</v>
      </c>
      <c r="EP99" s="32">
        <f t="shared" si="472"/>
        <v>0.57024777616737687</v>
      </c>
      <c r="EQ99" s="32">
        <f t="shared" si="473"/>
        <v>0.67475759031668969</v>
      </c>
      <c r="ER99" s="32">
        <f t="shared" si="474"/>
        <v>0.72519899487897554</v>
      </c>
      <c r="ES99" s="32">
        <f t="shared" si="475"/>
        <v>0.80630986519337877</v>
      </c>
      <c r="ET99" s="32">
        <f t="shared" si="476"/>
        <v>0.8884682565886356</v>
      </c>
      <c r="EU99" s="32">
        <f t="shared" si="477"/>
        <v>0.94077074021367946</v>
      </c>
      <c r="EV99" s="32">
        <f t="shared" si="478"/>
        <v>1</v>
      </c>
      <c r="EX99" s="32">
        <f t="shared" si="479"/>
        <v>0.15094896874375272</v>
      </c>
      <c r="EY99" s="32">
        <f t="shared" si="480"/>
        <v>0.23798455566807653</v>
      </c>
      <c r="EZ99" s="32">
        <f t="shared" si="481"/>
        <v>0.30915166249073533</v>
      </c>
      <c r="FA99" s="32">
        <f t="shared" si="482"/>
        <v>0.40313007703309534</v>
      </c>
      <c r="FB99" s="32">
        <f t="shared" si="483"/>
        <v>0.49219322861815001</v>
      </c>
      <c r="FC99" s="32">
        <f t="shared" si="484"/>
        <v>0.57677446211982053</v>
      </c>
      <c r="FD99" s="32">
        <f t="shared" si="485"/>
        <v>0.65837566624232424</v>
      </c>
      <c r="FE99" s="32">
        <f t="shared" si="486"/>
        <v>0.73993317735819852</v>
      </c>
      <c r="FF99" s="32">
        <f t="shared" si="487"/>
        <v>0.81680421206236331</v>
      </c>
      <c r="FG99" s="32">
        <f t="shared" si="488"/>
        <v>0.8871767838777691</v>
      </c>
      <c r="FH99" s="32">
        <f t="shared" si="489"/>
        <v>0.93414040016461797</v>
      </c>
      <c r="FI99" s="32">
        <f t="shared" si="490"/>
        <v>1</v>
      </c>
      <c r="FK99" s="32">
        <f t="shared" si="551"/>
        <v>0.17847398924794253</v>
      </c>
      <c r="FL99" s="32">
        <f t="shared" si="491"/>
        <v>0.27458203547954757</v>
      </c>
      <c r="FM99" s="32">
        <f t="shared" si="492"/>
        <v>0.35671052199048492</v>
      </c>
      <c r="FN99" s="32">
        <f t="shared" si="493"/>
        <v>0.440266761872462</v>
      </c>
      <c r="FO99" s="32">
        <f t="shared" si="494"/>
        <v>0.51690901925314592</v>
      </c>
      <c r="FP99" s="32">
        <f t="shared" si="495"/>
        <v>0.61707853150572356</v>
      </c>
      <c r="FQ99" s="32">
        <f t="shared" si="496"/>
        <v>0.69397363286585112</v>
      </c>
      <c r="FR99" s="32">
        <f t="shared" si="497"/>
        <v>0.77115582407793337</v>
      </c>
      <c r="FS99" s="32">
        <f t="shared" si="498"/>
        <v>0.8334211068690065</v>
      </c>
      <c r="FT99" s="32">
        <f t="shared" si="499"/>
        <v>0.88072299731426718</v>
      </c>
      <c r="FU99" s="32">
        <f t="shared" si="500"/>
        <v>0.93463608707577583</v>
      </c>
      <c r="FV99" s="32">
        <f t="shared" si="501"/>
        <v>1</v>
      </c>
      <c r="FX99" s="32">
        <f t="shared" si="502"/>
        <v>0.13250416831830186</v>
      </c>
      <c r="FY99" s="32">
        <f t="shared" si="503"/>
        <v>0.26860664996703881</v>
      </c>
      <c r="FZ99" s="32">
        <f t="shared" si="504"/>
        <v>0.34519814746495131</v>
      </c>
      <c r="GA99" s="32">
        <f t="shared" si="505"/>
        <v>0.43392777333742255</v>
      </c>
      <c r="GB99" s="32">
        <f t="shared" si="506"/>
        <v>0.49598659289926461</v>
      </c>
      <c r="GC99" s="32">
        <f t="shared" si="507"/>
        <v>0.58104584280072491</v>
      </c>
      <c r="GD99" s="32">
        <f t="shared" si="508"/>
        <v>0.65454819346437387</v>
      </c>
      <c r="GE99" s="32">
        <f t="shared" si="509"/>
        <v>0.77243991235550957</v>
      </c>
      <c r="GF99" s="32">
        <f t="shared" si="510"/>
        <v>0.83470560943821248</v>
      </c>
      <c r="GG99" s="32">
        <f t="shared" si="511"/>
        <v>0.86953605703279202</v>
      </c>
      <c r="GH99" s="32">
        <f t="shared" si="512"/>
        <v>0.90708645756343831</v>
      </c>
      <c r="GI99" s="32">
        <f t="shared" si="513"/>
        <v>1</v>
      </c>
    </row>
    <row r="100" spans="1:191">
      <c r="A100" s="724" t="s">
        <v>84</v>
      </c>
      <c r="B100" s="399">
        <v>2788.8599999999997</v>
      </c>
      <c r="C100" s="400">
        <v>3095.12</v>
      </c>
      <c r="D100" s="400">
        <v>3034.9699999999993</v>
      </c>
      <c r="E100" s="400">
        <v>2485.13</v>
      </c>
      <c r="F100" s="400">
        <v>1462.83</v>
      </c>
      <c r="G100" s="400">
        <v>3755.69</v>
      </c>
      <c r="H100" s="400">
        <v>2303.54</v>
      </c>
      <c r="I100" s="400">
        <v>1795.8199999999952</v>
      </c>
      <c r="J100" s="400">
        <v>4643.09</v>
      </c>
      <c r="K100" s="400">
        <v>5965.5999999999985</v>
      </c>
      <c r="L100" s="400">
        <v>3507.8700000000003</v>
      </c>
      <c r="M100" s="400">
        <v>5600.2299999999987</v>
      </c>
      <c r="N100" s="400">
        <f t="shared" si="441"/>
        <v>40438.749999999993</v>
      </c>
      <c r="P100" s="396" t="s">
        <v>84</v>
      </c>
      <c r="Q100" s="399">
        <v>4209.8999999999996</v>
      </c>
      <c r="R100" s="400">
        <v>3637.99</v>
      </c>
      <c r="S100" s="400">
        <v>3755.58</v>
      </c>
      <c r="T100" s="400">
        <v>1879.25</v>
      </c>
      <c r="U100" s="400">
        <v>1272.99</v>
      </c>
      <c r="V100" s="400">
        <v>649.4</v>
      </c>
      <c r="W100" s="400">
        <v>3650.9699999999993</v>
      </c>
      <c r="X100" s="400">
        <v>3462.7900000000009</v>
      </c>
      <c r="Y100" s="400">
        <v>2182.0300000000007</v>
      </c>
      <c r="Z100" s="400">
        <v>4002.4800000000005</v>
      </c>
      <c r="AA100" s="400">
        <v>2240.48</v>
      </c>
      <c r="AB100" s="400">
        <v>2179.1399999999994</v>
      </c>
      <c r="AC100" s="400">
        <f t="shared" si="442"/>
        <v>33123</v>
      </c>
      <c r="AE100" s="127" t="s">
        <v>84</v>
      </c>
      <c r="AF100" s="27">
        <v>5543.74</v>
      </c>
      <c r="AG100" s="27">
        <v>4473.16</v>
      </c>
      <c r="AH100" s="27">
        <v>3177.33</v>
      </c>
      <c r="AI100" s="27">
        <v>2794.69</v>
      </c>
      <c r="AJ100" s="27">
        <v>2542.89</v>
      </c>
      <c r="AK100" s="27">
        <v>2387.7600000000002</v>
      </c>
      <c r="AL100" s="27">
        <v>3980.56</v>
      </c>
      <c r="AM100" s="27">
        <v>4370.28</v>
      </c>
      <c r="AN100" s="27">
        <v>4658.13</v>
      </c>
      <c r="AO100" s="27">
        <v>4687.09</v>
      </c>
      <c r="AP100" s="27">
        <v>1760.59</v>
      </c>
      <c r="AQ100" s="27">
        <v>3876.81</v>
      </c>
      <c r="AR100" s="43">
        <f t="shared" si="443"/>
        <v>44253.03</v>
      </c>
      <c r="AT100" s="60" t="s">
        <v>84</v>
      </c>
      <c r="AU100" s="27">
        <v>4108.2800000000007</v>
      </c>
      <c r="AV100" s="27">
        <v>2879.7800000000025</v>
      </c>
      <c r="AW100" s="27">
        <v>1172.1100000000006</v>
      </c>
      <c r="AX100" s="27">
        <v>1979.4600000000009</v>
      </c>
      <c r="AY100" s="27">
        <v>654.5</v>
      </c>
      <c r="AZ100" s="27">
        <v>1802.89</v>
      </c>
      <c r="BA100" s="27">
        <v>1570.8099999999995</v>
      </c>
      <c r="BB100" s="27">
        <v>3645.75</v>
      </c>
      <c r="BC100" s="27">
        <v>2673.8799999999997</v>
      </c>
      <c r="BD100" s="27">
        <v>3042.6</v>
      </c>
      <c r="BE100" s="27">
        <v>3406.92</v>
      </c>
      <c r="BF100" s="27">
        <v>4779.04</v>
      </c>
      <c r="BG100" s="43">
        <f t="shared" si="403"/>
        <v>31716.020000000004</v>
      </c>
      <c r="BI100" s="60" t="s">
        <v>84</v>
      </c>
      <c r="BJ100" s="27">
        <v>3074.4199999999996</v>
      </c>
      <c r="BK100" s="27">
        <v>560.70000000000346</v>
      </c>
      <c r="BL100" s="27">
        <v>1213.5800000000004</v>
      </c>
      <c r="BM100" s="27">
        <v>390.05000000000018</v>
      </c>
      <c r="BN100" s="27">
        <v>753.8299999999997</v>
      </c>
      <c r="BO100" s="27">
        <v>1297.6999999999994</v>
      </c>
      <c r="BP100" s="27">
        <v>2375.4499999999998</v>
      </c>
      <c r="BQ100" s="27">
        <v>1973.4400000000005</v>
      </c>
      <c r="BR100" s="27">
        <v>4634.7899999999991</v>
      </c>
      <c r="BS100" s="27">
        <v>4471.2999999999993</v>
      </c>
      <c r="BT100" s="27">
        <v>5392.57</v>
      </c>
      <c r="BU100" s="27">
        <v>2999.94</v>
      </c>
      <c r="BV100" s="43">
        <f t="shared" si="404"/>
        <v>29137.77</v>
      </c>
      <c r="BW100" s="405"/>
      <c r="BX100" s="32">
        <f t="shared" si="514"/>
        <v>6.8965039720565058E-2</v>
      </c>
      <c r="BY100" s="32">
        <f t="shared" si="515"/>
        <v>0.14550350839232173</v>
      </c>
      <c r="BZ100" s="32">
        <f t="shared" si="516"/>
        <v>0.2205545423634509</v>
      </c>
      <c r="CA100" s="32">
        <f t="shared" si="517"/>
        <v>0.28200871688664958</v>
      </c>
      <c r="CB100" s="32">
        <f t="shared" si="518"/>
        <v>0.31818268368829405</v>
      </c>
      <c r="CC100" s="32">
        <f t="shared" si="519"/>
        <v>0.41105622700998429</v>
      </c>
      <c r="CD100" s="32">
        <f t="shared" si="520"/>
        <v>0.46801990664894444</v>
      </c>
      <c r="CE100" s="32">
        <f t="shared" si="521"/>
        <v>0.51242830206176004</v>
      </c>
      <c r="CF100" s="32">
        <f t="shared" si="522"/>
        <v>0.62724614385954069</v>
      </c>
      <c r="CG100" s="32">
        <f t="shared" si="523"/>
        <v>0.77476801335352852</v>
      </c>
      <c r="CH100" s="32">
        <f t="shared" si="524"/>
        <v>0.86151327625112062</v>
      </c>
      <c r="CI100" s="32">
        <f t="shared" si="525"/>
        <v>1</v>
      </c>
      <c r="CJ100" s="405"/>
      <c r="CK100" s="32">
        <f t="shared" si="526"/>
        <v>0.12709899465628113</v>
      </c>
      <c r="CL100" s="32">
        <f t="shared" si="527"/>
        <v>0.23693173927482411</v>
      </c>
      <c r="CM100" s="32">
        <f t="shared" si="528"/>
        <v>0.35031458503154905</v>
      </c>
      <c r="CN100" s="32">
        <f t="shared" si="529"/>
        <v>0.40705008604293086</v>
      </c>
      <c r="CO100" s="32">
        <f t="shared" si="530"/>
        <v>0.44548229327053707</v>
      </c>
      <c r="CP100" s="32">
        <f t="shared" si="531"/>
        <v>0.46508800531352834</v>
      </c>
      <c r="CQ100" s="32">
        <f t="shared" si="532"/>
        <v>0.57531262264891458</v>
      </c>
      <c r="CR100" s="32">
        <f t="shared" si="533"/>
        <v>0.67985599130513541</v>
      </c>
      <c r="CS100" s="32">
        <f t="shared" si="534"/>
        <v>0.74573257253268121</v>
      </c>
      <c r="CT100" s="32">
        <f t="shared" si="535"/>
        <v>0.86656945325000756</v>
      </c>
      <c r="CU100" s="32">
        <f t="shared" si="536"/>
        <v>0.93421066932343089</v>
      </c>
      <c r="CV100" s="32">
        <f t="shared" si="537"/>
        <v>1</v>
      </c>
      <c r="CX100" s="32">
        <f t="shared" si="538"/>
        <v>0.12527368182472476</v>
      </c>
      <c r="CY100" s="32">
        <f t="shared" si="539"/>
        <v>0.22635512189786777</v>
      </c>
      <c r="CZ100" s="32">
        <f t="shared" si="540"/>
        <v>0.29815427327801058</v>
      </c>
      <c r="DA100" s="32">
        <f t="shared" si="541"/>
        <v>0.36130678509471553</v>
      </c>
      <c r="DB100" s="32">
        <f t="shared" si="542"/>
        <v>0.41876929105193478</v>
      </c>
      <c r="DC100" s="32">
        <f t="shared" si="543"/>
        <v>0.47272627433646919</v>
      </c>
      <c r="DD100" s="32">
        <f t="shared" si="544"/>
        <v>0.56267627324049907</v>
      </c>
      <c r="DE100" s="32">
        <f t="shared" si="545"/>
        <v>0.6614329007527846</v>
      </c>
      <c r="DF100" s="32">
        <f t="shared" si="546"/>
        <v>0.76669416760841014</v>
      </c>
      <c r="DG100" s="32">
        <f t="shared" si="547"/>
        <v>0.87260985292984472</v>
      </c>
      <c r="DH100" s="32">
        <f t="shared" si="548"/>
        <v>0.91239447332758916</v>
      </c>
      <c r="DI100" s="32">
        <f t="shared" si="549"/>
        <v>1</v>
      </c>
      <c r="DK100" s="32">
        <f t="shared" si="444"/>
        <v>0.12953327687395833</v>
      </c>
      <c r="DL100" s="32">
        <f t="shared" si="445"/>
        <v>0.22033218543814773</v>
      </c>
      <c r="DM100" s="32">
        <f t="shared" si="446"/>
        <v>0.25728858791235476</v>
      </c>
      <c r="DN100" s="32">
        <f t="shared" si="447"/>
        <v>0.31970058033763388</v>
      </c>
      <c r="DO100" s="32">
        <f t="shared" si="448"/>
        <v>0.34033683923771024</v>
      </c>
      <c r="DP100" s="32">
        <f t="shared" si="449"/>
        <v>0.39718161358203213</v>
      </c>
      <c r="DQ100" s="32">
        <f t="shared" si="450"/>
        <v>0.44670895024028873</v>
      </c>
      <c r="DR100" s="32">
        <f t="shared" si="451"/>
        <v>0.56165874532807081</v>
      </c>
      <c r="DS100" s="32">
        <f t="shared" si="452"/>
        <v>0.64596566656219789</v>
      </c>
      <c r="DT100" s="32">
        <f t="shared" si="453"/>
        <v>0.74189825835650247</v>
      </c>
      <c r="DU100" s="32">
        <f t="shared" si="454"/>
        <v>0.84931778955871506</v>
      </c>
      <c r="DV100" s="32">
        <f t="shared" si="455"/>
        <v>1</v>
      </c>
      <c r="DW100" s="39"/>
      <c r="DX100" s="32">
        <f t="shared" si="456"/>
        <v>0.10551322218550011</v>
      </c>
      <c r="DY100" s="32">
        <f t="shared" si="457"/>
        <v>0.1247562871146283</v>
      </c>
      <c r="DZ100" s="32">
        <f t="shared" si="458"/>
        <v>0.1664060084213721</v>
      </c>
      <c r="EA100" s="32">
        <f t="shared" si="459"/>
        <v>0.17979241376399099</v>
      </c>
      <c r="EB100" s="32">
        <f t="shared" si="460"/>
        <v>0.20566364550204094</v>
      </c>
      <c r="EC100" s="32">
        <f t="shared" si="461"/>
        <v>0.2502003413438984</v>
      </c>
      <c r="ED100" s="32">
        <f t="shared" si="462"/>
        <v>0.33172511142753902</v>
      </c>
      <c r="EE100" s="32">
        <f t="shared" si="463"/>
        <v>0.39945301236161873</v>
      </c>
      <c r="EF100" s="32">
        <f t="shared" si="464"/>
        <v>0.55851769026936526</v>
      </c>
      <c r="EG100" s="32">
        <f t="shared" si="465"/>
        <v>0.71197143775930694</v>
      </c>
      <c r="EH100" s="32">
        <f t="shared" si="466"/>
        <v>0.89704291028448646</v>
      </c>
      <c r="EI100" s="32">
        <f t="shared" si="467"/>
        <v>1</v>
      </c>
      <c r="EK100" s="32">
        <f t="shared" si="550"/>
        <v>0.12010672696139439</v>
      </c>
      <c r="EL100" s="32">
        <f t="shared" si="468"/>
        <v>0.19048119815021458</v>
      </c>
      <c r="EM100" s="32">
        <f t="shared" si="469"/>
        <v>0.24061628987057915</v>
      </c>
      <c r="EN100" s="32">
        <f t="shared" si="470"/>
        <v>0.28693325973211348</v>
      </c>
      <c r="EO100" s="32">
        <f t="shared" si="471"/>
        <v>0.32158992526389535</v>
      </c>
      <c r="EP100" s="32">
        <f t="shared" si="472"/>
        <v>0.3733694097541333</v>
      </c>
      <c r="EQ100" s="32">
        <f t="shared" si="473"/>
        <v>0.44703677830277561</v>
      </c>
      <c r="ER100" s="32">
        <f t="shared" si="474"/>
        <v>0.54084821948082473</v>
      </c>
      <c r="ES100" s="32">
        <f t="shared" si="475"/>
        <v>0.65705917481332443</v>
      </c>
      <c r="ET100" s="32">
        <f t="shared" si="476"/>
        <v>0.77549318301521808</v>
      </c>
      <c r="EU100" s="32">
        <f t="shared" si="477"/>
        <v>0.88625172439026356</v>
      </c>
      <c r="EV100" s="32">
        <f t="shared" si="478"/>
        <v>1</v>
      </c>
      <c r="EX100" s="32">
        <f t="shared" si="479"/>
        <v>0.12185479388511608</v>
      </c>
      <c r="EY100" s="32">
        <f t="shared" si="480"/>
        <v>0.20209383343136697</v>
      </c>
      <c r="EZ100" s="32">
        <f t="shared" si="481"/>
        <v>0.26804086366082164</v>
      </c>
      <c r="FA100" s="32">
        <f t="shared" si="482"/>
        <v>0.31696246630981784</v>
      </c>
      <c r="FB100" s="32">
        <f t="shared" si="483"/>
        <v>0.35256301726555578</v>
      </c>
      <c r="FC100" s="32">
        <f t="shared" si="484"/>
        <v>0.39629905864398207</v>
      </c>
      <c r="FD100" s="32">
        <f t="shared" si="485"/>
        <v>0.47910573938931034</v>
      </c>
      <c r="FE100" s="32">
        <f t="shared" si="486"/>
        <v>0.57560016243690237</v>
      </c>
      <c r="FF100" s="32">
        <f t="shared" si="487"/>
        <v>0.67922752424316357</v>
      </c>
      <c r="FG100" s="32">
        <f t="shared" si="488"/>
        <v>0.79826225057391542</v>
      </c>
      <c r="FH100" s="32">
        <f t="shared" si="489"/>
        <v>0.89824146062355537</v>
      </c>
      <c r="FI100" s="32">
        <f t="shared" si="490"/>
        <v>1</v>
      </c>
      <c r="FK100" s="32">
        <f t="shared" si="551"/>
        <v>0.12730198445165475</v>
      </c>
      <c r="FL100" s="32">
        <f t="shared" si="491"/>
        <v>0.22787301553694653</v>
      </c>
      <c r="FM100" s="32">
        <f t="shared" si="492"/>
        <v>0.30191914874063813</v>
      </c>
      <c r="FN100" s="32">
        <f t="shared" si="493"/>
        <v>0.36268581715842679</v>
      </c>
      <c r="FO100" s="32">
        <f t="shared" si="494"/>
        <v>0.40152947452006066</v>
      </c>
      <c r="FP100" s="32">
        <f t="shared" si="495"/>
        <v>0.44499863107734328</v>
      </c>
      <c r="FQ100" s="32">
        <f t="shared" si="496"/>
        <v>0.52823261537656752</v>
      </c>
      <c r="FR100" s="32">
        <f t="shared" si="497"/>
        <v>0.63431587912866361</v>
      </c>
      <c r="FS100" s="32">
        <f t="shared" si="498"/>
        <v>0.71946413556776312</v>
      </c>
      <c r="FT100" s="32">
        <f t="shared" si="499"/>
        <v>0.82702585484545155</v>
      </c>
      <c r="FU100" s="32">
        <f t="shared" si="500"/>
        <v>0.898640977403245</v>
      </c>
      <c r="FV100" s="32">
        <f t="shared" si="501"/>
        <v>1</v>
      </c>
      <c r="FX100" s="32">
        <f t="shared" si="502"/>
        <v>0.10711257206719033</v>
      </c>
      <c r="FY100" s="32">
        <f t="shared" si="503"/>
        <v>0.20293012318833789</v>
      </c>
      <c r="FZ100" s="32">
        <f t="shared" si="504"/>
        <v>0.28967446689100357</v>
      </c>
      <c r="GA100" s="32">
        <f t="shared" si="505"/>
        <v>0.35012186267476531</v>
      </c>
      <c r="GB100" s="32">
        <f t="shared" si="506"/>
        <v>0.39414475600358861</v>
      </c>
      <c r="GC100" s="32">
        <f t="shared" si="507"/>
        <v>0.44962350221999392</v>
      </c>
      <c r="GD100" s="32">
        <f t="shared" si="508"/>
        <v>0.53533626751278607</v>
      </c>
      <c r="GE100" s="32">
        <f t="shared" si="509"/>
        <v>0.61790573137322669</v>
      </c>
      <c r="GF100" s="32">
        <f t="shared" si="510"/>
        <v>0.71322429466687731</v>
      </c>
      <c r="GG100" s="32">
        <f t="shared" si="511"/>
        <v>0.83798243984446019</v>
      </c>
      <c r="GH100" s="32">
        <f t="shared" si="512"/>
        <v>0.90270613963404689</v>
      </c>
      <c r="GI100" s="32">
        <f t="shared" si="513"/>
        <v>1</v>
      </c>
    </row>
    <row r="101" spans="1:191">
      <c r="A101" s="724" t="s">
        <v>85</v>
      </c>
      <c r="B101" s="399">
        <v>5079.0800000000008</v>
      </c>
      <c r="C101" s="400">
        <v>5024.26</v>
      </c>
      <c r="D101" s="400">
        <v>8160.119999999999</v>
      </c>
      <c r="E101" s="400">
        <v>2255.75</v>
      </c>
      <c r="F101" s="400">
        <v>3361.7199999999993</v>
      </c>
      <c r="G101" s="400">
        <v>6993.57</v>
      </c>
      <c r="H101" s="400">
        <v>2374.4500000000007</v>
      </c>
      <c r="I101" s="400">
        <v>2068.8400000000038</v>
      </c>
      <c r="J101" s="400">
        <v>5483.7899999999991</v>
      </c>
      <c r="K101" s="400">
        <v>4407.07</v>
      </c>
      <c r="L101" s="400">
        <v>3966.4799999999996</v>
      </c>
      <c r="M101" s="400">
        <v>3487.5299999999997</v>
      </c>
      <c r="N101" s="400">
        <f t="shared" si="441"/>
        <v>52662.66</v>
      </c>
      <c r="P101" s="396" t="s">
        <v>85</v>
      </c>
      <c r="Q101" s="399">
        <v>6187.43</v>
      </c>
      <c r="R101" s="400">
        <v>8065.94</v>
      </c>
      <c r="S101" s="400">
        <v>4128.79</v>
      </c>
      <c r="T101" s="400">
        <v>4864.29</v>
      </c>
      <c r="U101" s="400">
        <v>2642.5</v>
      </c>
      <c r="V101" s="400">
        <v>2265.9899999999998</v>
      </c>
      <c r="W101" s="400">
        <v>5333.7100000000009</v>
      </c>
      <c r="X101" s="400">
        <v>2221.4000000000015</v>
      </c>
      <c r="Y101" s="400">
        <v>1179.0499999999993</v>
      </c>
      <c r="Z101" s="400">
        <v>2285.3200000000006</v>
      </c>
      <c r="AA101" s="400">
        <v>2683.31</v>
      </c>
      <c r="AB101" s="400">
        <v>1033.6999999999998</v>
      </c>
      <c r="AC101" s="400">
        <f t="shared" si="442"/>
        <v>42891.43</v>
      </c>
      <c r="AE101" s="127" t="s">
        <v>85</v>
      </c>
      <c r="AF101" s="27">
        <v>4161.8100000000004</v>
      </c>
      <c r="AG101" s="27">
        <v>7274.69</v>
      </c>
      <c r="AH101" s="27">
        <v>1957.71</v>
      </c>
      <c r="AI101" s="27">
        <v>2842.94</v>
      </c>
      <c r="AJ101" s="27">
        <v>4635.93</v>
      </c>
      <c r="AK101" s="27">
        <v>3286.64</v>
      </c>
      <c r="AL101" s="27">
        <v>2657.33</v>
      </c>
      <c r="AM101" s="27">
        <v>1980.79</v>
      </c>
      <c r="AN101" s="27">
        <v>2327.81</v>
      </c>
      <c r="AO101" s="27">
        <v>2320.2399999999998</v>
      </c>
      <c r="AP101" s="27">
        <v>2169.3000000000002</v>
      </c>
      <c r="AQ101" s="27">
        <v>1187.02</v>
      </c>
      <c r="AR101" s="43">
        <f t="shared" si="443"/>
        <v>36802.210000000006</v>
      </c>
      <c r="AT101" s="60" t="s">
        <v>85</v>
      </c>
      <c r="AU101" s="27">
        <v>3484.2299999999996</v>
      </c>
      <c r="AV101" s="27">
        <v>5436.24</v>
      </c>
      <c r="AW101" s="27">
        <v>2276.8599999999992</v>
      </c>
      <c r="AX101" s="27">
        <v>2453.0400000000013</v>
      </c>
      <c r="AY101" s="27">
        <v>2159.7999999999993</v>
      </c>
      <c r="AZ101" s="27">
        <v>1638.53</v>
      </c>
      <c r="BA101" s="27">
        <v>1398.4600000000009</v>
      </c>
      <c r="BB101" s="27">
        <v>3622.1</v>
      </c>
      <c r="BC101" s="27">
        <v>1719.55</v>
      </c>
      <c r="BD101" s="27">
        <v>1385.92</v>
      </c>
      <c r="BE101" s="27">
        <v>1346.63</v>
      </c>
      <c r="BF101" s="27">
        <v>5432.07</v>
      </c>
      <c r="BG101" s="43">
        <f t="shared" si="403"/>
        <v>32353.429999999997</v>
      </c>
      <c r="BI101" s="60" t="s">
        <v>85</v>
      </c>
      <c r="BJ101" s="27">
        <v>2030.5300000000007</v>
      </c>
      <c r="BK101" s="27">
        <v>2860.4000000000033</v>
      </c>
      <c r="BL101" s="27">
        <v>1802.29</v>
      </c>
      <c r="BM101" s="27">
        <v>2079.4800000000005</v>
      </c>
      <c r="BN101" s="27">
        <v>1715.7099999999996</v>
      </c>
      <c r="BO101" s="27">
        <v>2698.0599999999995</v>
      </c>
      <c r="BP101" s="27">
        <v>2636.7799999999997</v>
      </c>
      <c r="BQ101" s="27">
        <v>2369.4300000000007</v>
      </c>
      <c r="BR101" s="27">
        <v>1715.16</v>
      </c>
      <c r="BS101" s="27">
        <v>1867.76</v>
      </c>
      <c r="BT101" s="27">
        <v>1013.38</v>
      </c>
      <c r="BU101" s="27">
        <v>693.19</v>
      </c>
      <c r="BV101" s="43">
        <f t="shared" si="404"/>
        <v>23482.170000000002</v>
      </c>
      <c r="BW101" s="405"/>
      <c r="BX101" s="32">
        <f t="shared" si="514"/>
        <v>9.6445565036023639E-2</v>
      </c>
      <c r="BY101" s="32">
        <f t="shared" si="515"/>
        <v>0.19185016480367684</v>
      </c>
      <c r="BZ101" s="32">
        <f t="shared" si="516"/>
        <v>0.34680094017279034</v>
      </c>
      <c r="CA101" s="32">
        <f t="shared" si="517"/>
        <v>0.38963489500910126</v>
      </c>
      <c r="CB101" s="32">
        <f t="shared" si="518"/>
        <v>0.4534698778983059</v>
      </c>
      <c r="CC101" s="32">
        <f t="shared" si="519"/>
        <v>0.58626928453670968</v>
      </c>
      <c r="CD101" s="32">
        <f t="shared" si="520"/>
        <v>0.63135720831420206</v>
      </c>
      <c r="CE101" s="32">
        <f t="shared" si="521"/>
        <v>0.67064196909157259</v>
      </c>
      <c r="CF101" s="32">
        <f t="shared" si="522"/>
        <v>0.77477248585620251</v>
      </c>
      <c r="CG101" s="32">
        <f t="shared" si="523"/>
        <v>0.85845739656903008</v>
      </c>
      <c r="CH101" s="32">
        <f t="shared" si="524"/>
        <v>0.93377603789857944</v>
      </c>
      <c r="CI101" s="32">
        <f t="shared" si="525"/>
        <v>1</v>
      </c>
      <c r="CJ101" s="405"/>
      <c r="CK101" s="32">
        <f t="shared" si="526"/>
        <v>0.14425795549367321</v>
      </c>
      <c r="CL101" s="32">
        <f t="shared" si="527"/>
        <v>0.33231277203861004</v>
      </c>
      <c r="CM101" s="32">
        <f t="shared" si="528"/>
        <v>0.42857419302643907</v>
      </c>
      <c r="CN101" s="32">
        <f t="shared" si="529"/>
        <v>0.54198356175114704</v>
      </c>
      <c r="CO101" s="32">
        <f t="shared" si="530"/>
        <v>0.60359260579561003</v>
      </c>
      <c r="CP101" s="32">
        <f t="shared" si="531"/>
        <v>0.65642343936772451</v>
      </c>
      <c r="CQ101" s="32">
        <f t="shared" si="532"/>
        <v>0.78077718555898001</v>
      </c>
      <c r="CR101" s="32">
        <f t="shared" si="533"/>
        <v>0.83256841751370847</v>
      </c>
      <c r="CS101" s="32">
        <f t="shared" si="534"/>
        <v>0.86005759192454079</v>
      </c>
      <c r="CT101" s="32">
        <f t="shared" si="535"/>
        <v>0.91333909827674209</v>
      </c>
      <c r="CU101" s="32">
        <f t="shared" si="536"/>
        <v>0.97589961444512352</v>
      </c>
      <c r="CV101" s="32">
        <f t="shared" si="537"/>
        <v>1</v>
      </c>
      <c r="CX101" s="32">
        <f t="shared" si="538"/>
        <v>0.11308587174520225</v>
      </c>
      <c r="CY101" s="32">
        <f t="shared" si="539"/>
        <v>0.31075579428518008</v>
      </c>
      <c r="CZ101" s="32">
        <f t="shared" si="540"/>
        <v>0.36395124097166981</v>
      </c>
      <c r="DA101" s="32">
        <f t="shared" si="541"/>
        <v>0.44120040617125972</v>
      </c>
      <c r="DB101" s="32">
        <f t="shared" si="542"/>
        <v>0.5671691998931585</v>
      </c>
      <c r="DC101" s="32">
        <f t="shared" si="543"/>
        <v>0.65647470627443294</v>
      </c>
      <c r="DD101" s="32">
        <f t="shared" si="544"/>
        <v>0.7286804243549504</v>
      </c>
      <c r="DE101" s="32">
        <f t="shared" si="545"/>
        <v>0.78250300729222511</v>
      </c>
      <c r="DF101" s="32">
        <f t="shared" si="546"/>
        <v>0.8457549152618824</v>
      </c>
      <c r="DG101" s="32">
        <f t="shared" si="547"/>
        <v>0.90880112906262966</v>
      </c>
      <c r="DH101" s="32">
        <f t="shared" si="548"/>
        <v>0.9677459587345435</v>
      </c>
      <c r="DI101" s="32">
        <f t="shared" si="549"/>
        <v>1</v>
      </c>
      <c r="DK101" s="32">
        <f t="shared" si="444"/>
        <v>0.10769275467856113</v>
      </c>
      <c r="DL101" s="32">
        <f t="shared" si="445"/>
        <v>0.27571945231154782</v>
      </c>
      <c r="DM101" s="32">
        <f t="shared" si="446"/>
        <v>0.34609406174244894</v>
      </c>
      <c r="DN101" s="32">
        <f t="shared" si="447"/>
        <v>0.42191415253344083</v>
      </c>
      <c r="DO101" s="32">
        <f t="shared" si="448"/>
        <v>0.48867059844968525</v>
      </c>
      <c r="DP101" s="32">
        <f t="shared" si="449"/>
        <v>0.53931530598146782</v>
      </c>
      <c r="DQ101" s="32">
        <f t="shared" si="450"/>
        <v>0.58253978017168495</v>
      </c>
      <c r="DR101" s="32">
        <f t="shared" si="451"/>
        <v>0.69449390682842582</v>
      </c>
      <c r="DS101" s="32">
        <f t="shared" si="452"/>
        <v>0.74764283106922502</v>
      </c>
      <c r="DT101" s="32">
        <f t="shared" si="453"/>
        <v>0.79047971111563742</v>
      </c>
      <c r="DU101" s="32">
        <f t="shared" si="454"/>
        <v>0.83210219132870922</v>
      </c>
      <c r="DV101" s="32">
        <f t="shared" si="455"/>
        <v>1</v>
      </c>
      <c r="DW101" s="39"/>
      <c r="DX101" s="32">
        <f t="shared" si="456"/>
        <v>8.6471139592294938E-2</v>
      </c>
      <c r="DY101" s="32">
        <f t="shared" si="457"/>
        <v>0.20828270981770439</v>
      </c>
      <c r="DZ101" s="32">
        <f t="shared" si="458"/>
        <v>0.2850341344092136</v>
      </c>
      <c r="EA101" s="32">
        <f t="shared" si="459"/>
        <v>0.37358983432962128</v>
      </c>
      <c r="EB101" s="32">
        <f t="shared" si="460"/>
        <v>0.4466542061487504</v>
      </c>
      <c r="EC101" s="32">
        <f t="shared" si="461"/>
        <v>0.56155244596219178</v>
      </c>
      <c r="ED101" s="32">
        <f t="shared" si="462"/>
        <v>0.6738410462065475</v>
      </c>
      <c r="EE101" s="32">
        <f t="shared" si="463"/>
        <v>0.77474441246273251</v>
      </c>
      <c r="EF101" s="32">
        <f t="shared" si="464"/>
        <v>0.847785362255703</v>
      </c>
      <c r="EG101" s="32">
        <f t="shared" si="465"/>
        <v>0.92732485967012424</v>
      </c>
      <c r="EH101" s="32">
        <f t="shared" si="466"/>
        <v>0.97048015579480096</v>
      </c>
      <c r="EI101" s="32">
        <f t="shared" si="467"/>
        <v>1</v>
      </c>
      <c r="EK101" s="32">
        <f t="shared" si="550"/>
        <v>0.10241658867201946</v>
      </c>
      <c r="EL101" s="32">
        <f t="shared" si="468"/>
        <v>0.26491931880481073</v>
      </c>
      <c r="EM101" s="32">
        <f t="shared" si="469"/>
        <v>0.33169314570777741</v>
      </c>
      <c r="EN101" s="32">
        <f t="shared" si="470"/>
        <v>0.41223479767810728</v>
      </c>
      <c r="EO101" s="32">
        <f t="shared" si="471"/>
        <v>0.50083133483053144</v>
      </c>
      <c r="EP101" s="32">
        <f t="shared" si="472"/>
        <v>0.58578081940603088</v>
      </c>
      <c r="EQ101" s="32">
        <f t="shared" si="473"/>
        <v>0.66168708357772754</v>
      </c>
      <c r="ER101" s="32">
        <f t="shared" si="474"/>
        <v>0.75058044219446118</v>
      </c>
      <c r="ES101" s="32">
        <f t="shared" si="475"/>
        <v>0.81372770286227014</v>
      </c>
      <c r="ET101" s="32">
        <f t="shared" si="476"/>
        <v>0.87553523328279714</v>
      </c>
      <c r="EU101" s="32">
        <f t="shared" si="477"/>
        <v>0.92344276861935126</v>
      </c>
      <c r="EV101" s="32">
        <f t="shared" si="478"/>
        <v>1</v>
      </c>
      <c r="EX101" s="32">
        <f t="shared" si="479"/>
        <v>0.11287693037743288</v>
      </c>
      <c r="EY101" s="32">
        <f t="shared" si="480"/>
        <v>0.28176768211326059</v>
      </c>
      <c r="EZ101" s="32">
        <f t="shared" si="481"/>
        <v>0.35591340753744288</v>
      </c>
      <c r="FA101" s="32">
        <f t="shared" si="482"/>
        <v>0.4446719886963672</v>
      </c>
      <c r="FB101" s="32">
        <f t="shared" si="483"/>
        <v>0.52652165257180106</v>
      </c>
      <c r="FC101" s="32">
        <f t="shared" si="484"/>
        <v>0.60344147439645424</v>
      </c>
      <c r="FD101" s="32">
        <f t="shared" si="485"/>
        <v>0.69145960907304072</v>
      </c>
      <c r="FE101" s="32">
        <f t="shared" si="486"/>
        <v>0.77107743602427292</v>
      </c>
      <c r="FF101" s="32">
        <f t="shared" si="487"/>
        <v>0.82531017512783778</v>
      </c>
      <c r="FG101" s="32">
        <f t="shared" si="488"/>
        <v>0.88498619953128332</v>
      </c>
      <c r="FH101" s="32">
        <f t="shared" si="489"/>
        <v>0.93655698007579424</v>
      </c>
      <c r="FI101" s="32">
        <f t="shared" si="490"/>
        <v>1</v>
      </c>
      <c r="FK101" s="32">
        <f t="shared" si="551"/>
        <v>0.12167886063914553</v>
      </c>
      <c r="FL101" s="32">
        <f t="shared" si="491"/>
        <v>0.30626267287844594</v>
      </c>
      <c r="FM101" s="32">
        <f t="shared" si="492"/>
        <v>0.37953983191351925</v>
      </c>
      <c r="FN101" s="32">
        <f t="shared" si="493"/>
        <v>0.46836604015194921</v>
      </c>
      <c r="FO101" s="32">
        <f t="shared" si="494"/>
        <v>0.55314413471281798</v>
      </c>
      <c r="FP101" s="32">
        <f t="shared" si="495"/>
        <v>0.61740448387454183</v>
      </c>
      <c r="FQ101" s="32">
        <f t="shared" si="496"/>
        <v>0.69733246336187182</v>
      </c>
      <c r="FR101" s="32">
        <f t="shared" si="497"/>
        <v>0.76985511054478639</v>
      </c>
      <c r="FS101" s="32">
        <f t="shared" si="498"/>
        <v>0.81781844608521614</v>
      </c>
      <c r="FT101" s="32">
        <f t="shared" si="499"/>
        <v>0.87087331281833646</v>
      </c>
      <c r="FU101" s="32">
        <f t="shared" si="500"/>
        <v>0.92524925483612552</v>
      </c>
      <c r="FV101" s="32">
        <f t="shared" si="501"/>
        <v>1</v>
      </c>
      <c r="FX101" s="32">
        <f t="shared" si="502"/>
        <v>0.11792979742496636</v>
      </c>
      <c r="FY101" s="32">
        <f t="shared" si="503"/>
        <v>0.27830624370915563</v>
      </c>
      <c r="FZ101" s="32">
        <f t="shared" si="504"/>
        <v>0.37977545805696639</v>
      </c>
      <c r="GA101" s="32">
        <f t="shared" si="505"/>
        <v>0.45760628764383604</v>
      </c>
      <c r="GB101" s="32">
        <f t="shared" si="506"/>
        <v>0.54141056119569153</v>
      </c>
      <c r="GC101" s="32">
        <f t="shared" si="507"/>
        <v>0.63305581005962241</v>
      </c>
      <c r="GD101" s="32">
        <f t="shared" si="508"/>
        <v>0.71360493940937741</v>
      </c>
      <c r="GE101" s="32">
        <f t="shared" si="509"/>
        <v>0.76190446463250205</v>
      </c>
      <c r="GF101" s="32">
        <f t="shared" si="510"/>
        <v>0.82686166434754194</v>
      </c>
      <c r="GG101" s="32">
        <f t="shared" si="511"/>
        <v>0.89353254130280069</v>
      </c>
      <c r="GH101" s="32">
        <f t="shared" si="512"/>
        <v>0.95914053702608204</v>
      </c>
      <c r="GI101" s="32">
        <f t="shared" si="513"/>
        <v>1</v>
      </c>
    </row>
    <row r="102" spans="1:191">
      <c r="A102" s="724" t="s">
        <v>86</v>
      </c>
      <c r="B102" s="399">
        <v>3742.3200000000006</v>
      </c>
      <c r="C102" s="400">
        <v>2118.7700000000004</v>
      </c>
      <c r="D102" s="400">
        <v>1265.6000000000004</v>
      </c>
      <c r="E102" s="400">
        <v>1104.6100000000001</v>
      </c>
      <c r="F102" s="400">
        <v>369.27</v>
      </c>
      <c r="G102" s="400">
        <v>2158.27</v>
      </c>
      <c r="H102" s="400">
        <v>1989.2200000000003</v>
      </c>
      <c r="I102" s="400">
        <v>2033.7800000000007</v>
      </c>
      <c r="J102" s="400">
        <v>2643.82</v>
      </c>
      <c r="K102" s="400">
        <v>1167.1399999999999</v>
      </c>
      <c r="L102" s="400">
        <v>1037.92</v>
      </c>
      <c r="M102" s="400">
        <v>1173.05</v>
      </c>
      <c r="N102" s="400">
        <f t="shared" si="441"/>
        <v>20803.77</v>
      </c>
      <c r="P102" s="396" t="s">
        <v>86</v>
      </c>
      <c r="Q102" s="399">
        <v>620.23</v>
      </c>
      <c r="R102" s="400">
        <v>915.94</v>
      </c>
      <c r="S102" s="400">
        <v>1517.85</v>
      </c>
      <c r="T102" s="400">
        <v>236.28</v>
      </c>
      <c r="U102" s="400">
        <v>805.4</v>
      </c>
      <c r="V102" s="400">
        <v>204.45</v>
      </c>
      <c r="W102" s="400">
        <v>2335.3900000000003</v>
      </c>
      <c r="X102" s="400">
        <v>526.22999999999956</v>
      </c>
      <c r="Y102" s="400">
        <v>724.08999999999969</v>
      </c>
      <c r="Z102" s="400">
        <v>831.90999999999985</v>
      </c>
      <c r="AA102" s="400">
        <v>1481.96</v>
      </c>
      <c r="AB102" s="400">
        <v>1025.5099999999998</v>
      </c>
      <c r="AC102" s="400">
        <f t="shared" si="442"/>
        <v>11225.24</v>
      </c>
      <c r="AE102" s="127" t="s">
        <v>86</v>
      </c>
      <c r="AF102" s="27">
        <v>2229.6</v>
      </c>
      <c r="AG102" s="27">
        <v>955.81</v>
      </c>
      <c r="AH102" s="27">
        <v>2775.24</v>
      </c>
      <c r="AI102" s="27">
        <v>945.34</v>
      </c>
      <c r="AJ102" s="27">
        <v>549.86</v>
      </c>
      <c r="AK102" s="27">
        <v>797.81</v>
      </c>
      <c r="AL102" s="27">
        <v>839.09</v>
      </c>
      <c r="AM102" s="27">
        <v>825.55</v>
      </c>
      <c r="AN102" s="27">
        <v>913.26</v>
      </c>
      <c r="AO102" s="27">
        <v>1245.18</v>
      </c>
      <c r="AP102" s="27">
        <v>420.89</v>
      </c>
      <c r="AQ102" s="27">
        <v>1135.8599999999999</v>
      </c>
      <c r="AR102" s="43">
        <f t="shared" si="443"/>
        <v>13633.49</v>
      </c>
      <c r="AT102" s="60" t="s">
        <v>86</v>
      </c>
      <c r="AU102" s="27">
        <v>628.31999999999971</v>
      </c>
      <c r="AV102" s="27">
        <v>681.05000000000018</v>
      </c>
      <c r="AW102" s="27">
        <v>358.17999999999938</v>
      </c>
      <c r="AX102" s="27">
        <v>881.76999999999953</v>
      </c>
      <c r="AY102" s="27">
        <v>148.64999999999964</v>
      </c>
      <c r="AZ102" s="27">
        <v>253.37</v>
      </c>
      <c r="BA102" s="27">
        <v>716.7199999999998</v>
      </c>
      <c r="BB102" s="27">
        <v>542.17999999999995</v>
      </c>
      <c r="BC102" s="27">
        <v>782.62</v>
      </c>
      <c r="BD102" s="27">
        <v>1329.43</v>
      </c>
      <c r="BE102" s="27">
        <v>202.24</v>
      </c>
      <c r="BF102" s="27">
        <v>1404.51</v>
      </c>
      <c r="BG102" s="43">
        <f t="shared" si="403"/>
        <v>7929.0399999999981</v>
      </c>
      <c r="BI102" s="60" t="s">
        <v>86</v>
      </c>
      <c r="BJ102" s="27">
        <v>1949.2800000000004</v>
      </c>
      <c r="BK102" s="27">
        <v>1621.5700000000008</v>
      </c>
      <c r="BL102" s="27">
        <v>659.13999999999987</v>
      </c>
      <c r="BM102" s="27">
        <v>629.93000000000006</v>
      </c>
      <c r="BN102" s="27">
        <v>1061.4399999999996</v>
      </c>
      <c r="BO102" s="27">
        <v>453.48000000000025</v>
      </c>
      <c r="BP102" s="27">
        <v>281.80000000000007</v>
      </c>
      <c r="BQ102" s="27">
        <v>106.73999999999998</v>
      </c>
      <c r="BR102" s="27">
        <v>0</v>
      </c>
      <c r="BS102" s="27">
        <v>97.509999999999991</v>
      </c>
      <c r="BT102" s="27">
        <v>0</v>
      </c>
      <c r="BU102" s="27">
        <v>0</v>
      </c>
      <c r="BV102" s="43">
        <f t="shared" si="404"/>
        <v>6860.8900000000021</v>
      </c>
      <c r="BW102" s="405"/>
      <c r="BX102" s="32">
        <f t="shared" si="514"/>
        <v>0.17988662631821062</v>
      </c>
      <c r="BY102" s="32">
        <f t="shared" si="515"/>
        <v>0.28173210913214292</v>
      </c>
      <c r="BZ102" s="32">
        <f t="shared" si="516"/>
        <v>0.34256723661144117</v>
      </c>
      <c r="CA102" s="32">
        <f t="shared" si="517"/>
        <v>0.39566386284793575</v>
      </c>
      <c r="CB102" s="32">
        <f t="shared" si="518"/>
        <v>0.4134140110181953</v>
      </c>
      <c r="CC102" s="32">
        <f t="shared" si="519"/>
        <v>0.51715818815532</v>
      </c>
      <c r="CD102" s="32">
        <f t="shared" si="520"/>
        <v>0.61277643427128836</v>
      </c>
      <c r="CE102" s="32">
        <f t="shared" si="521"/>
        <v>0.71053659985666062</v>
      </c>
      <c r="CF102" s="32">
        <f t="shared" si="522"/>
        <v>0.8376202967058376</v>
      </c>
      <c r="CG102" s="32">
        <f t="shared" si="523"/>
        <v>0.89372262815826187</v>
      </c>
      <c r="CH102" s="32">
        <f t="shared" si="524"/>
        <v>0.94361358542225759</v>
      </c>
      <c r="CI102" s="32">
        <f t="shared" si="525"/>
        <v>1</v>
      </c>
      <c r="CJ102" s="405"/>
      <c r="CK102" s="32">
        <f t="shared" si="526"/>
        <v>5.5253161625052116E-2</v>
      </c>
      <c r="CL102" s="32">
        <f t="shared" si="527"/>
        <v>0.13684963528619434</v>
      </c>
      <c r="CM102" s="32">
        <f t="shared" si="528"/>
        <v>0.27206723419721984</v>
      </c>
      <c r="CN102" s="32">
        <f t="shared" si="529"/>
        <v>0.29311622735905873</v>
      </c>
      <c r="CO102" s="32">
        <f t="shared" si="530"/>
        <v>0.36486525009710263</v>
      </c>
      <c r="CP102" s="32">
        <f t="shared" si="531"/>
        <v>0.3830786691420407</v>
      </c>
      <c r="CQ102" s="32">
        <f t="shared" si="532"/>
        <v>0.59112678214452441</v>
      </c>
      <c r="CR102" s="32">
        <f t="shared" si="533"/>
        <v>0.63800595800178883</v>
      </c>
      <c r="CS102" s="32">
        <f t="shared" si="534"/>
        <v>0.70251148305069655</v>
      </c>
      <c r="CT102" s="32">
        <f t="shared" si="535"/>
        <v>0.77662214794516649</v>
      </c>
      <c r="CU102" s="32">
        <f t="shared" si="536"/>
        <v>0.90864248782208668</v>
      </c>
      <c r="CV102" s="32">
        <f t="shared" si="537"/>
        <v>1</v>
      </c>
      <c r="CX102" s="32">
        <f t="shared" si="538"/>
        <v>0.16353846300543734</v>
      </c>
      <c r="CY102" s="32">
        <f t="shared" si="539"/>
        <v>0.23364597032748033</v>
      </c>
      <c r="CZ102" s="32">
        <f t="shared" si="540"/>
        <v>0.43720646730954432</v>
      </c>
      <c r="DA102" s="32">
        <f t="shared" si="541"/>
        <v>0.50654601279642997</v>
      </c>
      <c r="DB102" s="32">
        <f t="shared" si="542"/>
        <v>0.54687757866841136</v>
      </c>
      <c r="DC102" s="32">
        <f t="shared" si="543"/>
        <v>0.60539597711224347</v>
      </c>
      <c r="DD102" s="32">
        <f t="shared" si="544"/>
        <v>0.66694221362248407</v>
      </c>
      <c r="DE102" s="32">
        <f t="shared" si="545"/>
        <v>0.72749530751113611</v>
      </c>
      <c r="DF102" s="32">
        <f t="shared" si="546"/>
        <v>0.7944818238030027</v>
      </c>
      <c r="DG102" s="32">
        <f t="shared" si="547"/>
        <v>0.88581427059395645</v>
      </c>
      <c r="DH102" s="32">
        <f t="shared" si="548"/>
        <v>0.91668604297212231</v>
      </c>
      <c r="DI102" s="32">
        <f t="shared" si="549"/>
        <v>1</v>
      </c>
      <c r="DK102" s="32">
        <f t="shared" si="444"/>
        <v>7.9242884384490411E-2</v>
      </c>
      <c r="DL102" s="32">
        <f t="shared" si="445"/>
        <v>0.16513600637656012</v>
      </c>
      <c r="DM102" s="32">
        <f t="shared" si="446"/>
        <v>0.21030919253781033</v>
      </c>
      <c r="DN102" s="32">
        <f t="shared" si="447"/>
        <v>0.3215168544994097</v>
      </c>
      <c r="DO102" s="32">
        <f t="shared" si="448"/>
        <v>0.34026439518529344</v>
      </c>
      <c r="DP102" s="32">
        <f t="shared" si="449"/>
        <v>0.37221908326859227</v>
      </c>
      <c r="DQ102" s="32">
        <f t="shared" si="450"/>
        <v>0.46261085831323828</v>
      </c>
      <c r="DR102" s="32">
        <f t="shared" si="451"/>
        <v>0.53098988023770832</v>
      </c>
      <c r="DS102" s="32">
        <f t="shared" si="452"/>
        <v>0.62969287580842059</v>
      </c>
      <c r="DT102" s="32">
        <f t="shared" si="453"/>
        <v>0.79735882275786218</v>
      </c>
      <c r="DU102" s="32">
        <f t="shared" si="454"/>
        <v>0.82286506310978369</v>
      </c>
      <c r="DV102" s="32">
        <f t="shared" si="455"/>
        <v>1</v>
      </c>
      <c r="DW102" s="39"/>
      <c r="DX102" s="32">
        <f t="shared" si="456"/>
        <v>0.28411474313099316</v>
      </c>
      <c r="DY102" s="32">
        <f t="shared" si="457"/>
        <v>0.52046454614488791</v>
      </c>
      <c r="DZ102" s="32">
        <f t="shared" si="458"/>
        <v>0.61653663008735027</v>
      </c>
      <c r="EA102" s="32">
        <f t="shared" si="459"/>
        <v>0.70835124889045009</v>
      </c>
      <c r="EB102" s="32">
        <f t="shared" si="460"/>
        <v>0.86306004031546923</v>
      </c>
      <c r="EC102" s="32">
        <f t="shared" si="461"/>
        <v>0.92915642139722399</v>
      </c>
      <c r="ED102" s="32">
        <f t="shared" si="462"/>
        <v>0.97022980983516716</v>
      </c>
      <c r="EE102" s="32">
        <f t="shared" si="463"/>
        <v>0.98578755817393948</v>
      </c>
      <c r="EF102" s="32">
        <f t="shared" si="464"/>
        <v>0.98578755817393948</v>
      </c>
      <c r="EG102" s="32">
        <f t="shared" si="465"/>
        <v>1</v>
      </c>
      <c r="EH102" s="32">
        <f t="shared" si="466"/>
        <v>1</v>
      </c>
      <c r="EI102" s="32">
        <f t="shared" si="467"/>
        <v>1</v>
      </c>
      <c r="EK102" s="32">
        <f t="shared" si="550"/>
        <v>0.17563203017364029</v>
      </c>
      <c r="EL102" s="32">
        <f t="shared" si="468"/>
        <v>0.30641550761630948</v>
      </c>
      <c r="EM102" s="32">
        <f t="shared" si="469"/>
        <v>0.42135076331156829</v>
      </c>
      <c r="EN102" s="32">
        <f t="shared" si="470"/>
        <v>0.51213803872876318</v>
      </c>
      <c r="EO102" s="32">
        <f t="shared" si="471"/>
        <v>0.58340067138972473</v>
      </c>
      <c r="EP102" s="32">
        <f t="shared" si="472"/>
        <v>0.63559049392601985</v>
      </c>
      <c r="EQ102" s="32">
        <f t="shared" si="473"/>
        <v>0.69992762725696311</v>
      </c>
      <c r="ER102" s="32">
        <f t="shared" si="474"/>
        <v>0.74809091530759453</v>
      </c>
      <c r="ES102" s="32">
        <f t="shared" si="475"/>
        <v>0.80332075259512103</v>
      </c>
      <c r="ET102" s="32">
        <f t="shared" si="476"/>
        <v>0.89439103111727292</v>
      </c>
      <c r="EU102" s="32">
        <f t="shared" si="477"/>
        <v>0.91318370202730204</v>
      </c>
      <c r="EV102" s="32">
        <f t="shared" si="478"/>
        <v>1</v>
      </c>
      <c r="EX102" s="32">
        <f t="shared" si="479"/>
        <v>0.14553731303649325</v>
      </c>
      <c r="EY102" s="32">
        <f t="shared" si="480"/>
        <v>0.26402403953378067</v>
      </c>
      <c r="EZ102" s="32">
        <f t="shared" si="481"/>
        <v>0.38402988103298119</v>
      </c>
      <c r="FA102" s="32">
        <f t="shared" si="482"/>
        <v>0.45738258588633707</v>
      </c>
      <c r="FB102" s="32">
        <f t="shared" si="483"/>
        <v>0.52876681606656917</v>
      </c>
      <c r="FC102" s="32">
        <f t="shared" si="484"/>
        <v>0.57246253773002509</v>
      </c>
      <c r="FD102" s="32">
        <f t="shared" si="485"/>
        <v>0.67272741597885344</v>
      </c>
      <c r="FE102" s="32">
        <f t="shared" si="486"/>
        <v>0.72056967598114308</v>
      </c>
      <c r="FF102" s="32">
        <f t="shared" si="487"/>
        <v>0.77811843520901491</v>
      </c>
      <c r="FG102" s="32">
        <f t="shared" si="488"/>
        <v>0.86494881032424631</v>
      </c>
      <c r="FH102" s="32">
        <f t="shared" si="489"/>
        <v>0.91204839847599817</v>
      </c>
      <c r="FI102" s="32">
        <f t="shared" si="490"/>
        <v>1</v>
      </c>
      <c r="FK102" s="32">
        <f t="shared" si="551"/>
        <v>9.9344836338326623E-2</v>
      </c>
      <c r="FL102" s="32">
        <f t="shared" si="491"/>
        <v>0.1785438706634116</v>
      </c>
      <c r="FM102" s="32">
        <f t="shared" si="492"/>
        <v>0.3065276313481915</v>
      </c>
      <c r="FN102" s="32">
        <f t="shared" si="493"/>
        <v>0.37372636488496608</v>
      </c>
      <c r="FO102" s="32">
        <f t="shared" si="494"/>
        <v>0.41733574131693579</v>
      </c>
      <c r="FP102" s="32">
        <f t="shared" si="495"/>
        <v>0.45356457650762549</v>
      </c>
      <c r="FQ102" s="32">
        <f t="shared" si="496"/>
        <v>0.5735599513600822</v>
      </c>
      <c r="FR102" s="32">
        <f t="shared" si="497"/>
        <v>0.63216371525021098</v>
      </c>
      <c r="FS102" s="32">
        <f t="shared" si="498"/>
        <v>0.70889539422070669</v>
      </c>
      <c r="FT102" s="32">
        <f t="shared" si="499"/>
        <v>0.81993174709899508</v>
      </c>
      <c r="FU102" s="32">
        <f t="shared" si="500"/>
        <v>0.88273119796799759</v>
      </c>
      <c r="FV102" s="32">
        <f t="shared" si="501"/>
        <v>1</v>
      </c>
      <c r="FX102" s="32">
        <f t="shared" si="502"/>
        <v>0.13289275031623335</v>
      </c>
      <c r="FY102" s="32">
        <f t="shared" si="503"/>
        <v>0.21740923824860584</v>
      </c>
      <c r="FZ102" s="32">
        <f t="shared" si="504"/>
        <v>0.35061364603940176</v>
      </c>
      <c r="GA102" s="32">
        <f t="shared" si="505"/>
        <v>0.39844203433447484</v>
      </c>
      <c r="GB102" s="32">
        <f t="shared" si="506"/>
        <v>0.44171894659456984</v>
      </c>
      <c r="GC102" s="32">
        <f t="shared" si="507"/>
        <v>0.50187761146986809</v>
      </c>
      <c r="GD102" s="32">
        <f t="shared" si="508"/>
        <v>0.62361514334609902</v>
      </c>
      <c r="GE102" s="32">
        <f t="shared" si="509"/>
        <v>0.69201262178986189</v>
      </c>
      <c r="GF102" s="32">
        <f t="shared" si="510"/>
        <v>0.7782045345198455</v>
      </c>
      <c r="GG102" s="32">
        <f t="shared" si="511"/>
        <v>0.85205301556579494</v>
      </c>
      <c r="GH102" s="32">
        <f t="shared" si="512"/>
        <v>0.92298070540548893</v>
      </c>
      <c r="GI102" s="32">
        <f t="shared" si="513"/>
        <v>1</v>
      </c>
    </row>
    <row r="103" spans="1:191">
      <c r="A103" s="724" t="s">
        <v>87</v>
      </c>
      <c r="B103" s="399">
        <v>3752.3599999999997</v>
      </c>
      <c r="C103" s="400">
        <v>5433.4700000000012</v>
      </c>
      <c r="D103" s="400">
        <v>3045.9299999999989</v>
      </c>
      <c r="E103" s="400">
        <v>3986.9800000000009</v>
      </c>
      <c r="F103" s="400">
        <v>4897.05</v>
      </c>
      <c r="G103" s="400">
        <v>8231.7300000000014</v>
      </c>
      <c r="H103" s="400">
        <v>6003.78</v>
      </c>
      <c r="I103" s="400">
        <v>4003.1300000000019</v>
      </c>
      <c r="J103" s="400">
        <v>4221.29</v>
      </c>
      <c r="K103" s="400">
        <v>2235.5899999999992</v>
      </c>
      <c r="L103" s="400">
        <v>4220.9000000000005</v>
      </c>
      <c r="M103" s="400">
        <v>4473.16</v>
      </c>
      <c r="N103" s="400">
        <f t="shared" si="441"/>
        <v>54505.37000000001</v>
      </c>
      <c r="P103" s="396" t="s">
        <v>87</v>
      </c>
      <c r="Q103" s="399">
        <v>6718.97</v>
      </c>
      <c r="R103" s="400">
        <v>3537.9</v>
      </c>
      <c r="S103" s="400">
        <v>2025.6299999999999</v>
      </c>
      <c r="T103" s="400">
        <v>1366.35</v>
      </c>
      <c r="U103" s="400">
        <v>2019.83</v>
      </c>
      <c r="V103" s="400">
        <v>4503.3900000000003</v>
      </c>
      <c r="W103" s="400">
        <v>2495.7800000000007</v>
      </c>
      <c r="X103" s="400">
        <v>5986.59</v>
      </c>
      <c r="Y103" s="400">
        <v>4497.1100000000006</v>
      </c>
      <c r="Z103" s="400">
        <v>4561.4500000000007</v>
      </c>
      <c r="AA103" s="400">
        <v>2018.23</v>
      </c>
      <c r="AB103" s="400">
        <v>5129.9900000000016</v>
      </c>
      <c r="AC103" s="400">
        <f t="shared" si="442"/>
        <v>44861.22</v>
      </c>
      <c r="AE103" s="127" t="s">
        <v>87</v>
      </c>
      <c r="AF103" s="27">
        <v>2298.65</v>
      </c>
      <c r="AG103" s="27">
        <v>2279.0700000000002</v>
      </c>
      <c r="AH103" s="27">
        <v>239.19</v>
      </c>
      <c r="AI103" s="27">
        <v>1121.5999999999999</v>
      </c>
      <c r="AJ103" s="27">
        <v>1539.17</v>
      </c>
      <c r="AK103" s="27">
        <v>1044.4100000000001</v>
      </c>
      <c r="AL103" s="27">
        <v>1550.58</v>
      </c>
      <c r="AM103" s="27">
        <v>1892.14</v>
      </c>
      <c r="AN103" s="27">
        <v>641.67999999999995</v>
      </c>
      <c r="AO103" s="27">
        <v>3701.39</v>
      </c>
      <c r="AP103" s="27">
        <v>754.55</v>
      </c>
      <c r="AQ103" s="27">
        <v>1717.87</v>
      </c>
      <c r="AR103" s="43">
        <f t="shared" si="443"/>
        <v>18780.3</v>
      </c>
      <c r="AT103" s="60" t="s">
        <v>87</v>
      </c>
      <c r="AU103" s="27">
        <v>1204.9099999999999</v>
      </c>
      <c r="AV103" s="27">
        <v>2091.7100000000009</v>
      </c>
      <c r="AW103" s="27">
        <v>4171.3999999999996</v>
      </c>
      <c r="AX103" s="27">
        <v>2119.5699999999997</v>
      </c>
      <c r="AY103" s="27">
        <v>1797.8500000000006</v>
      </c>
      <c r="AZ103" s="27">
        <v>677.01</v>
      </c>
      <c r="BA103" s="27">
        <v>1702.6500000000008</v>
      </c>
      <c r="BB103" s="27">
        <v>259.12</v>
      </c>
      <c r="BC103" s="27">
        <v>1166.98</v>
      </c>
      <c r="BD103" s="27">
        <v>1055.2</v>
      </c>
      <c r="BE103" s="27">
        <v>650.48</v>
      </c>
      <c r="BF103" s="27">
        <v>1829.23</v>
      </c>
      <c r="BG103" s="43">
        <f t="shared" si="403"/>
        <v>18726.110000000004</v>
      </c>
      <c r="BI103" s="60" t="s">
        <v>87</v>
      </c>
      <c r="BJ103" s="27">
        <v>808.54999999999973</v>
      </c>
      <c r="BK103" s="27">
        <v>1909.9299999999994</v>
      </c>
      <c r="BL103" s="27">
        <v>913.60999999999967</v>
      </c>
      <c r="BM103" s="27">
        <v>2473.25</v>
      </c>
      <c r="BN103" s="27">
        <v>1383.7100000000014</v>
      </c>
      <c r="BO103" s="27">
        <v>1329.1799999999996</v>
      </c>
      <c r="BP103" s="27">
        <v>593.77999999999986</v>
      </c>
      <c r="BQ103" s="27">
        <v>1202.6100000000001</v>
      </c>
      <c r="BR103" s="27">
        <v>768.80000000000018</v>
      </c>
      <c r="BS103" s="27">
        <v>624.73</v>
      </c>
      <c r="BT103" s="27">
        <v>780.9</v>
      </c>
      <c r="BU103" s="27">
        <v>1270.44</v>
      </c>
      <c r="BV103" s="43">
        <f t="shared" si="404"/>
        <v>14059.490000000002</v>
      </c>
      <c r="BW103" s="405"/>
      <c r="BX103" s="32">
        <f t="shared" si="514"/>
        <v>6.8843858871153407E-2</v>
      </c>
      <c r="BY103" s="32">
        <f t="shared" si="515"/>
        <v>0.16853073376072852</v>
      </c>
      <c r="BZ103" s="32">
        <f t="shared" si="516"/>
        <v>0.22441385133244665</v>
      </c>
      <c r="CA103" s="32">
        <f t="shared" si="517"/>
        <v>0.29756224019761718</v>
      </c>
      <c r="CB103" s="32">
        <f t="shared" si="518"/>
        <v>0.38740751599337819</v>
      </c>
      <c r="CC103" s="32">
        <f t="shared" si="519"/>
        <v>0.53843355251051406</v>
      </c>
      <c r="CD103" s="32">
        <f t="shared" si="520"/>
        <v>0.64858380009162397</v>
      </c>
      <c r="CE103" s="32">
        <f t="shared" si="521"/>
        <v>0.72202849003685321</v>
      </c>
      <c r="CF103" s="32">
        <f t="shared" si="522"/>
        <v>0.79947572138304901</v>
      </c>
      <c r="CG103" s="32">
        <f t="shared" si="523"/>
        <v>0.84049167999409957</v>
      </c>
      <c r="CH103" s="32">
        <f t="shared" si="524"/>
        <v>0.91793175608201538</v>
      </c>
      <c r="CI103" s="32">
        <f t="shared" si="525"/>
        <v>1</v>
      </c>
      <c r="CJ103" s="405"/>
      <c r="CK103" s="32">
        <f t="shared" si="526"/>
        <v>0.14977234234824643</v>
      </c>
      <c r="CL103" s="32">
        <f t="shared" si="527"/>
        <v>0.22863555650069259</v>
      </c>
      <c r="CM103" s="32">
        <f t="shared" si="528"/>
        <v>0.27378880913180692</v>
      </c>
      <c r="CN103" s="32">
        <f t="shared" si="529"/>
        <v>0.30424607266587933</v>
      </c>
      <c r="CO103" s="32">
        <f t="shared" si="530"/>
        <v>0.34927003768510978</v>
      </c>
      <c r="CP103" s="32">
        <f t="shared" si="531"/>
        <v>0.44965495811304285</v>
      </c>
      <c r="CQ103" s="32">
        <f t="shared" si="532"/>
        <v>0.50528830914540435</v>
      </c>
      <c r="CR103" s="32">
        <f t="shared" si="533"/>
        <v>0.63873519266751988</v>
      </c>
      <c r="CS103" s="32">
        <f t="shared" si="534"/>
        <v>0.73898012581913741</v>
      </c>
      <c r="CT103" s="32">
        <f t="shared" si="535"/>
        <v>0.84065925982396372</v>
      </c>
      <c r="CU103" s="32">
        <f t="shared" si="536"/>
        <v>0.88564755929508832</v>
      </c>
      <c r="CV103" s="32">
        <f t="shared" si="537"/>
        <v>1</v>
      </c>
      <c r="CX103" s="32">
        <f t="shared" si="538"/>
        <v>0.12239687331938255</v>
      </c>
      <c r="CY103" s="32">
        <f t="shared" si="539"/>
        <v>0.24375116478437514</v>
      </c>
      <c r="CZ103" s="32">
        <f t="shared" si="540"/>
        <v>0.25648738305564872</v>
      </c>
      <c r="DA103" s="32">
        <f t="shared" si="541"/>
        <v>0.31620953871876384</v>
      </c>
      <c r="DB103" s="32">
        <f t="shared" si="542"/>
        <v>0.39816616347981665</v>
      </c>
      <c r="DC103" s="32">
        <f t="shared" si="543"/>
        <v>0.45377816115823499</v>
      </c>
      <c r="DD103" s="32">
        <f t="shared" si="544"/>
        <v>0.53634233744934856</v>
      </c>
      <c r="DE103" s="32">
        <f t="shared" si="545"/>
        <v>0.63709365665085227</v>
      </c>
      <c r="DF103" s="32">
        <f t="shared" si="546"/>
        <v>0.67126137495141192</v>
      </c>
      <c r="DG103" s="32">
        <f t="shared" si="547"/>
        <v>0.8683503458411207</v>
      </c>
      <c r="DH103" s="32">
        <f t="shared" si="548"/>
        <v>0.90852808528085283</v>
      </c>
      <c r="DI103" s="32">
        <f t="shared" si="549"/>
        <v>1</v>
      </c>
      <c r="DK103" s="32">
        <f t="shared" si="444"/>
        <v>6.4343849309867321E-2</v>
      </c>
      <c r="DL103" s="32">
        <f t="shared" si="445"/>
        <v>0.17604403690889353</v>
      </c>
      <c r="DM103" s="32">
        <f t="shared" si="446"/>
        <v>0.39880252759382478</v>
      </c>
      <c r="DN103" s="32">
        <f t="shared" si="447"/>
        <v>0.5119904774670232</v>
      </c>
      <c r="DO103" s="32">
        <f t="shared" si="448"/>
        <v>0.60799813736008157</v>
      </c>
      <c r="DP103" s="32">
        <f t="shared" si="449"/>
        <v>0.64415140143895333</v>
      </c>
      <c r="DQ103" s="32">
        <f t="shared" si="450"/>
        <v>0.73507525054589551</v>
      </c>
      <c r="DR103" s="32">
        <f t="shared" si="451"/>
        <v>0.74891261452592128</v>
      </c>
      <c r="DS103" s="32">
        <f t="shared" si="452"/>
        <v>0.81123094972741261</v>
      </c>
      <c r="DT103" s="32">
        <f t="shared" si="453"/>
        <v>0.86758007936512171</v>
      </c>
      <c r="DU103" s="32">
        <f t="shared" si="454"/>
        <v>0.90231660499698019</v>
      </c>
      <c r="DV103" s="32">
        <f t="shared" si="455"/>
        <v>1</v>
      </c>
      <c r="DW103" s="39"/>
      <c r="DX103" s="32">
        <f t="shared" si="456"/>
        <v>5.7509198413313686E-2</v>
      </c>
      <c r="DY103" s="32">
        <f t="shared" si="457"/>
        <v>0.19335552000819367</v>
      </c>
      <c r="DZ103" s="32">
        <f t="shared" si="458"/>
        <v>0.25833725120896978</v>
      </c>
      <c r="EA103" s="32">
        <f t="shared" si="459"/>
        <v>0.43425046000957346</v>
      </c>
      <c r="EB103" s="32">
        <f t="shared" si="460"/>
        <v>0.53266868143865809</v>
      </c>
      <c r="EC103" s="32">
        <f t="shared" si="461"/>
        <v>0.62720838380339528</v>
      </c>
      <c r="ED103" s="32">
        <f t="shared" si="462"/>
        <v>0.66944177918260184</v>
      </c>
      <c r="EE103" s="32">
        <f t="shared" si="463"/>
        <v>0.75497902128740091</v>
      </c>
      <c r="EF103" s="32">
        <f t="shared" si="464"/>
        <v>0.8096609478722202</v>
      </c>
      <c r="EG103" s="32">
        <f t="shared" si="465"/>
        <v>0.85409570332921037</v>
      </c>
      <c r="EH103" s="32">
        <f t="shared" si="466"/>
        <v>0.9096382585712568</v>
      </c>
      <c r="EI103" s="32">
        <f t="shared" si="467"/>
        <v>1</v>
      </c>
      <c r="EK103" s="32">
        <f t="shared" si="550"/>
        <v>8.1416640347521177E-2</v>
      </c>
      <c r="EL103" s="32">
        <f t="shared" si="468"/>
        <v>0.20438357390048745</v>
      </c>
      <c r="EM103" s="32">
        <f t="shared" si="469"/>
        <v>0.30454238728614774</v>
      </c>
      <c r="EN103" s="32">
        <f t="shared" si="470"/>
        <v>0.42081682539845344</v>
      </c>
      <c r="EO103" s="32">
        <f t="shared" si="471"/>
        <v>0.51294432742618545</v>
      </c>
      <c r="EP103" s="32">
        <f t="shared" si="472"/>
        <v>0.57504598213352787</v>
      </c>
      <c r="EQ103" s="32">
        <f t="shared" si="473"/>
        <v>0.64695312239261538</v>
      </c>
      <c r="ER103" s="32">
        <f t="shared" si="474"/>
        <v>0.71366176415472482</v>
      </c>
      <c r="ES103" s="32">
        <f t="shared" si="475"/>
        <v>0.76405109085034828</v>
      </c>
      <c r="ET103" s="32">
        <f t="shared" si="476"/>
        <v>0.86334204284515093</v>
      </c>
      <c r="EU103" s="32">
        <f t="shared" si="477"/>
        <v>0.9068276496163632</v>
      </c>
      <c r="EV103" s="32">
        <f t="shared" si="478"/>
        <v>1</v>
      </c>
      <c r="EX103" s="32">
        <f t="shared" si="479"/>
        <v>9.8505565847702495E-2</v>
      </c>
      <c r="EY103" s="32">
        <f t="shared" si="480"/>
        <v>0.21044656955053873</v>
      </c>
      <c r="EZ103" s="32">
        <f t="shared" si="481"/>
        <v>0.29685399274756252</v>
      </c>
      <c r="FA103" s="32">
        <f t="shared" si="482"/>
        <v>0.39167413721530997</v>
      </c>
      <c r="FB103" s="32">
        <f t="shared" si="483"/>
        <v>0.47202575499091648</v>
      </c>
      <c r="FC103" s="32">
        <f t="shared" si="484"/>
        <v>0.54369822612840657</v>
      </c>
      <c r="FD103" s="32">
        <f t="shared" si="485"/>
        <v>0.61153691908081254</v>
      </c>
      <c r="FE103" s="32">
        <f t="shared" si="486"/>
        <v>0.69493012128292353</v>
      </c>
      <c r="FF103" s="32">
        <f t="shared" si="487"/>
        <v>0.75778334959254556</v>
      </c>
      <c r="FG103" s="32">
        <f t="shared" si="488"/>
        <v>0.85767134708985415</v>
      </c>
      <c r="FH103" s="32">
        <f t="shared" si="489"/>
        <v>0.90153262703604442</v>
      </c>
      <c r="FI103" s="32">
        <f t="shared" si="490"/>
        <v>1</v>
      </c>
      <c r="FK103" s="32">
        <f t="shared" si="551"/>
        <v>0.11217102165916544</v>
      </c>
      <c r="FL103" s="32">
        <f t="shared" si="491"/>
        <v>0.21614358606465375</v>
      </c>
      <c r="FM103" s="32">
        <f t="shared" si="492"/>
        <v>0.30969290659376014</v>
      </c>
      <c r="FN103" s="32">
        <f t="shared" si="493"/>
        <v>0.3774820296172221</v>
      </c>
      <c r="FO103" s="32">
        <f t="shared" si="494"/>
        <v>0.45181144617500263</v>
      </c>
      <c r="FP103" s="32">
        <f t="shared" si="495"/>
        <v>0.51586150690341037</v>
      </c>
      <c r="FQ103" s="32">
        <f t="shared" si="496"/>
        <v>0.59223529904688277</v>
      </c>
      <c r="FR103" s="32">
        <f t="shared" si="497"/>
        <v>0.67491382128143107</v>
      </c>
      <c r="FS103" s="32">
        <f t="shared" si="498"/>
        <v>0.74049081683265394</v>
      </c>
      <c r="FT103" s="32">
        <f t="shared" si="499"/>
        <v>0.85886322834340201</v>
      </c>
      <c r="FU103" s="32">
        <f t="shared" si="500"/>
        <v>0.89883074985764055</v>
      </c>
      <c r="FV103" s="32">
        <f t="shared" si="501"/>
        <v>1</v>
      </c>
      <c r="FX103" s="32">
        <f t="shared" si="502"/>
        <v>0.11367102484626079</v>
      </c>
      <c r="FY103" s="32">
        <f t="shared" si="503"/>
        <v>0.21363915168193212</v>
      </c>
      <c r="FZ103" s="32">
        <f t="shared" si="504"/>
        <v>0.25156334783996742</v>
      </c>
      <c r="GA103" s="32">
        <f t="shared" si="505"/>
        <v>0.30600595052742013</v>
      </c>
      <c r="GB103" s="32">
        <f t="shared" si="506"/>
        <v>0.37828123905276828</v>
      </c>
      <c r="GC103" s="32">
        <f t="shared" si="507"/>
        <v>0.480622223927264</v>
      </c>
      <c r="GD103" s="32">
        <f t="shared" si="508"/>
        <v>0.56340481556212563</v>
      </c>
      <c r="GE103" s="32">
        <f t="shared" si="509"/>
        <v>0.66595244645174179</v>
      </c>
      <c r="GF103" s="32">
        <f t="shared" si="510"/>
        <v>0.73657240738453267</v>
      </c>
      <c r="GG103" s="32">
        <f t="shared" si="511"/>
        <v>0.84983376188639459</v>
      </c>
      <c r="GH103" s="32">
        <f t="shared" si="512"/>
        <v>0.90403580021931884</v>
      </c>
      <c r="GI103" s="32">
        <f t="shared" si="513"/>
        <v>1</v>
      </c>
    </row>
    <row r="104" spans="1:191">
      <c r="A104" s="724" t="s">
        <v>88</v>
      </c>
      <c r="B104" s="399">
        <v>11211.33</v>
      </c>
      <c r="C104" s="400">
        <v>5218.3199999999988</v>
      </c>
      <c r="D104" s="400">
        <v>3790.6099999999997</v>
      </c>
      <c r="E104" s="400">
        <v>1282.3499999999999</v>
      </c>
      <c r="F104" s="400">
        <v>4053.3899999999994</v>
      </c>
      <c r="G104" s="400">
        <v>3364.29</v>
      </c>
      <c r="H104" s="400">
        <v>3121.1500000000005</v>
      </c>
      <c r="I104" s="400">
        <v>5540.2900000000036</v>
      </c>
      <c r="J104" s="400">
        <v>2393.2300000000014</v>
      </c>
      <c r="K104" s="400">
        <v>2286.23</v>
      </c>
      <c r="L104" s="400">
        <v>3274.5500000000011</v>
      </c>
      <c r="M104" s="400">
        <v>2227.4900000000002</v>
      </c>
      <c r="N104" s="400">
        <f t="shared" si="441"/>
        <v>47763.23000000001</v>
      </c>
      <c r="P104" s="396" t="s">
        <v>88</v>
      </c>
      <c r="Q104" s="399">
        <v>5119.01</v>
      </c>
      <c r="R104" s="400">
        <v>2773.71</v>
      </c>
      <c r="S104" s="400">
        <v>4521.47</v>
      </c>
      <c r="T104" s="400">
        <v>2445.73</v>
      </c>
      <c r="U104" s="400">
        <v>1809.68</v>
      </c>
      <c r="V104" s="400">
        <v>2132.35</v>
      </c>
      <c r="W104" s="400">
        <v>3834.239999999998</v>
      </c>
      <c r="X104" s="400">
        <v>1640.5500000000011</v>
      </c>
      <c r="Y104" s="400">
        <v>7309.9500000000007</v>
      </c>
      <c r="Z104" s="400">
        <v>4020.6900000000005</v>
      </c>
      <c r="AA104" s="400">
        <v>1920.63</v>
      </c>
      <c r="AB104" s="400">
        <v>3026.6099999999997</v>
      </c>
      <c r="AC104" s="400">
        <f t="shared" si="442"/>
        <v>40554.619999999995</v>
      </c>
      <c r="AE104" s="127" t="s">
        <v>88</v>
      </c>
      <c r="AF104" s="27">
        <v>4342.4399999999996</v>
      </c>
      <c r="AG104" s="27">
        <v>2778.57</v>
      </c>
      <c r="AH104" s="27">
        <v>2166.69</v>
      </c>
      <c r="AI104" s="27">
        <v>2450.84</v>
      </c>
      <c r="AJ104" s="27">
        <v>5913.02</v>
      </c>
      <c r="AK104" s="27">
        <v>2059.6799999999998</v>
      </c>
      <c r="AL104" s="27">
        <v>4384.33</v>
      </c>
      <c r="AM104" s="27">
        <v>3155.61</v>
      </c>
      <c r="AN104" s="27">
        <v>2262.2399999999998</v>
      </c>
      <c r="AO104" s="27">
        <v>4967.24</v>
      </c>
      <c r="AP104" s="27">
        <v>3135.61</v>
      </c>
      <c r="AQ104" s="27">
        <v>3871.05</v>
      </c>
      <c r="AR104" s="43">
        <f t="shared" si="443"/>
        <v>41487.32</v>
      </c>
      <c r="AT104" s="60" t="s">
        <v>88</v>
      </c>
      <c r="AU104" s="27">
        <v>1911.0900000000001</v>
      </c>
      <c r="AV104" s="27">
        <v>1700.5600000000013</v>
      </c>
      <c r="AW104" s="27">
        <v>2983.4700000000012</v>
      </c>
      <c r="AX104" s="27">
        <v>3152.8100000000013</v>
      </c>
      <c r="AY104" s="27">
        <v>813.70000000000073</v>
      </c>
      <c r="AZ104" s="27">
        <v>713.13</v>
      </c>
      <c r="BA104" s="27">
        <v>1672.3500000000004</v>
      </c>
      <c r="BB104" s="27">
        <v>3871.7</v>
      </c>
      <c r="BC104" s="27">
        <v>1171.5999999999999</v>
      </c>
      <c r="BD104" s="27">
        <v>926.8</v>
      </c>
      <c r="BE104" s="27">
        <v>438.65999999999997</v>
      </c>
      <c r="BF104" s="27">
        <v>741.59999999999991</v>
      </c>
      <c r="BG104" s="43">
        <f t="shared" si="403"/>
        <v>20097.47</v>
      </c>
      <c r="BI104" s="60" t="s">
        <v>88</v>
      </c>
      <c r="BJ104" s="27">
        <v>3147.400000000001</v>
      </c>
      <c r="BK104" s="27">
        <v>3880.3300000000027</v>
      </c>
      <c r="BL104" s="27">
        <v>2664.03</v>
      </c>
      <c r="BM104" s="27">
        <v>1957.5800000000002</v>
      </c>
      <c r="BN104" s="27">
        <v>2390.2399999999998</v>
      </c>
      <c r="BO104" s="27">
        <v>1651.7299999999991</v>
      </c>
      <c r="BP104" s="27">
        <v>800.23</v>
      </c>
      <c r="BQ104" s="27">
        <v>1429.7100000000005</v>
      </c>
      <c r="BR104" s="27">
        <v>1497.51</v>
      </c>
      <c r="BS104" s="27">
        <v>1486.0899999999997</v>
      </c>
      <c r="BT104" s="27">
        <v>625.61000000000013</v>
      </c>
      <c r="BU104" s="27">
        <v>3322.78</v>
      </c>
      <c r="BV104" s="43">
        <f t="shared" si="404"/>
        <v>24853.24</v>
      </c>
      <c r="BW104" s="405"/>
      <c r="BX104" s="32">
        <f t="shared" si="514"/>
        <v>0.23472721589389992</v>
      </c>
      <c r="BY104" s="32">
        <f t="shared" si="515"/>
        <v>0.34398113360423893</v>
      </c>
      <c r="BZ104" s="32">
        <f t="shared" si="516"/>
        <v>0.42334364740408037</v>
      </c>
      <c r="CA104" s="32">
        <f t="shared" si="517"/>
        <v>0.45019170604668052</v>
      </c>
      <c r="CB104" s="32">
        <f t="shared" si="518"/>
        <v>0.53505594156844061</v>
      </c>
      <c r="CC104" s="32">
        <f t="shared" si="519"/>
        <v>0.60549276085390358</v>
      </c>
      <c r="CD104" s="32">
        <f t="shared" si="520"/>
        <v>0.67083905338897709</v>
      </c>
      <c r="CE104" s="32">
        <f t="shared" si="521"/>
        <v>0.78683393061985119</v>
      </c>
      <c r="CF104" s="32">
        <f t="shared" si="522"/>
        <v>0.83694004781502418</v>
      </c>
      <c r="CG104" s="32">
        <f t="shared" si="523"/>
        <v>0.88480594800644763</v>
      </c>
      <c r="CH104" s="32">
        <f t="shared" si="524"/>
        <v>0.95336391613381266</v>
      </c>
      <c r="CI104" s="32">
        <f t="shared" si="525"/>
        <v>1</v>
      </c>
      <c r="CJ104" s="405"/>
      <c r="CK104" s="32">
        <f t="shared" si="526"/>
        <v>0.12622507620586756</v>
      </c>
      <c r="CL104" s="32">
        <f t="shared" si="527"/>
        <v>0.19461950327730851</v>
      </c>
      <c r="CM104" s="32">
        <f t="shared" si="528"/>
        <v>0.30611037657361856</v>
      </c>
      <c r="CN104" s="32">
        <f t="shared" si="529"/>
        <v>0.36641743899955176</v>
      </c>
      <c r="CO104" s="32">
        <f t="shared" si="530"/>
        <v>0.41104071496663019</v>
      </c>
      <c r="CP104" s="32">
        <f t="shared" si="531"/>
        <v>0.46362042105190482</v>
      </c>
      <c r="CQ104" s="32">
        <f t="shared" si="532"/>
        <v>0.5581655061741424</v>
      </c>
      <c r="CR104" s="32">
        <f t="shared" si="533"/>
        <v>0.59861835716867773</v>
      </c>
      <c r="CS104" s="32">
        <f t="shared" si="534"/>
        <v>0.77886785771880007</v>
      </c>
      <c r="CT104" s="32">
        <f t="shared" si="535"/>
        <v>0.87801044615878543</v>
      </c>
      <c r="CU104" s="32">
        <f t="shared" si="536"/>
        <v>0.92536953866168636</v>
      </c>
      <c r="CV104" s="32">
        <f t="shared" si="537"/>
        <v>1</v>
      </c>
      <c r="CX104" s="32">
        <f t="shared" si="538"/>
        <v>0.10466908925425888</v>
      </c>
      <c r="CY104" s="32">
        <f t="shared" si="539"/>
        <v>0.17164304659833415</v>
      </c>
      <c r="CZ104" s="32">
        <f t="shared" si="540"/>
        <v>0.22386840123681165</v>
      </c>
      <c r="DA104" s="32">
        <f t="shared" si="541"/>
        <v>0.28294283651004692</v>
      </c>
      <c r="DB104" s="32">
        <f t="shared" si="542"/>
        <v>0.42546879383869579</v>
      </c>
      <c r="DC104" s="32">
        <f t="shared" si="543"/>
        <v>0.47511480616246127</v>
      </c>
      <c r="DD104" s="32">
        <f t="shared" si="544"/>
        <v>0.58079360151487247</v>
      </c>
      <c r="DE104" s="32">
        <f t="shared" si="545"/>
        <v>0.65685563685482695</v>
      </c>
      <c r="DF104" s="32">
        <f t="shared" si="546"/>
        <v>0.71138410483010228</v>
      </c>
      <c r="DG104" s="32">
        <f t="shared" si="547"/>
        <v>0.83111321724324438</v>
      </c>
      <c r="DH104" s="32">
        <f t="shared" si="548"/>
        <v>0.90669317757811296</v>
      </c>
      <c r="DI104" s="32">
        <f t="shared" si="549"/>
        <v>1</v>
      </c>
      <c r="DK104" s="32">
        <f t="shared" si="444"/>
        <v>9.5091073652554273E-2</v>
      </c>
      <c r="DL104" s="32">
        <f t="shared" si="445"/>
        <v>0.17970669940047188</v>
      </c>
      <c r="DM104" s="32">
        <f t="shared" si="446"/>
        <v>0.32815672818518959</v>
      </c>
      <c r="DN104" s="32">
        <f t="shared" si="447"/>
        <v>0.48503269316983699</v>
      </c>
      <c r="DO104" s="32">
        <f t="shared" si="448"/>
        <v>0.52552037644539362</v>
      </c>
      <c r="DP104" s="32">
        <f t="shared" si="449"/>
        <v>0.56100394726301384</v>
      </c>
      <c r="DQ104" s="32">
        <f t="shared" si="450"/>
        <v>0.64421591374436704</v>
      </c>
      <c r="DR104" s="32">
        <f t="shared" si="451"/>
        <v>0.83686205278574888</v>
      </c>
      <c r="DS104" s="32">
        <f t="shared" si="452"/>
        <v>0.895157947741681</v>
      </c>
      <c r="DT104" s="32">
        <f t="shared" si="453"/>
        <v>0.94127320503526068</v>
      </c>
      <c r="DU104" s="32">
        <f t="shared" si="454"/>
        <v>0.96309983296404977</v>
      </c>
      <c r="DV104" s="32">
        <f t="shared" si="455"/>
        <v>1</v>
      </c>
      <c r="DW104" s="39"/>
      <c r="DX104" s="32">
        <f t="shared" si="456"/>
        <v>0.12663942407509043</v>
      </c>
      <c r="DY104" s="32">
        <f t="shared" si="457"/>
        <v>0.28276916812455855</v>
      </c>
      <c r="DZ104" s="32">
        <f t="shared" si="458"/>
        <v>0.38995961894706699</v>
      </c>
      <c r="EA104" s="32">
        <f t="shared" si="459"/>
        <v>0.46872520444014554</v>
      </c>
      <c r="EB104" s="32">
        <f t="shared" si="460"/>
        <v>0.56489938535176909</v>
      </c>
      <c r="EC104" s="32">
        <f t="shared" si="461"/>
        <v>0.63135872827848616</v>
      </c>
      <c r="ED104" s="32">
        <f t="shared" si="462"/>
        <v>0.66355694468809712</v>
      </c>
      <c r="EE104" s="32">
        <f t="shared" si="463"/>
        <v>0.72108304591272621</v>
      </c>
      <c r="EF104" s="32">
        <f t="shared" si="464"/>
        <v>0.78133716167389045</v>
      </c>
      <c r="EG104" s="32">
        <f t="shared" si="465"/>
        <v>0.84113178000131983</v>
      </c>
      <c r="EH104" s="32">
        <f t="shared" si="466"/>
        <v>0.86630395071226129</v>
      </c>
      <c r="EI104" s="32">
        <f t="shared" si="467"/>
        <v>1</v>
      </c>
      <c r="EK104" s="32">
        <f t="shared" si="550"/>
        <v>0.1087998623273012</v>
      </c>
      <c r="EL104" s="32">
        <f t="shared" si="468"/>
        <v>0.21137297137445485</v>
      </c>
      <c r="EM104" s="32">
        <f t="shared" si="469"/>
        <v>0.31399491612302272</v>
      </c>
      <c r="EN104" s="32">
        <f t="shared" si="470"/>
        <v>0.41223357804000987</v>
      </c>
      <c r="EO104" s="32">
        <f t="shared" si="471"/>
        <v>0.50529618521195285</v>
      </c>
      <c r="EP104" s="32">
        <f t="shared" si="472"/>
        <v>0.55582582723465368</v>
      </c>
      <c r="EQ104" s="32">
        <f t="shared" si="473"/>
        <v>0.62952215331577888</v>
      </c>
      <c r="ER104" s="32">
        <f t="shared" si="474"/>
        <v>0.73826691185110072</v>
      </c>
      <c r="ES104" s="32">
        <f t="shared" si="475"/>
        <v>0.79595973808189113</v>
      </c>
      <c r="ET104" s="32">
        <f t="shared" si="476"/>
        <v>0.871172734093275</v>
      </c>
      <c r="EU104" s="32">
        <f t="shared" si="477"/>
        <v>0.91203232041814131</v>
      </c>
      <c r="EV104" s="32">
        <f t="shared" si="478"/>
        <v>1</v>
      </c>
      <c r="EX104" s="32">
        <f t="shared" si="479"/>
        <v>0.11315616579694279</v>
      </c>
      <c r="EY104" s="32">
        <f t="shared" si="480"/>
        <v>0.20718460435016828</v>
      </c>
      <c r="EZ104" s="32">
        <f t="shared" si="481"/>
        <v>0.3120237812356717</v>
      </c>
      <c r="FA104" s="32">
        <f t="shared" si="482"/>
        <v>0.40077954327989534</v>
      </c>
      <c r="FB104" s="32">
        <f t="shared" si="483"/>
        <v>0.48173231765062219</v>
      </c>
      <c r="FC104" s="32">
        <f t="shared" si="484"/>
        <v>0.53277447568896652</v>
      </c>
      <c r="FD104" s="32">
        <f t="shared" si="485"/>
        <v>0.61168299153036976</v>
      </c>
      <c r="FE104" s="32">
        <f t="shared" si="486"/>
        <v>0.703354773180495</v>
      </c>
      <c r="FF104" s="32">
        <f t="shared" si="487"/>
        <v>0.79168676799111837</v>
      </c>
      <c r="FG104" s="32">
        <f t="shared" si="488"/>
        <v>0.87288216210965253</v>
      </c>
      <c r="FH104" s="32">
        <f t="shared" si="489"/>
        <v>0.91536662497902754</v>
      </c>
      <c r="FI104" s="32">
        <f t="shared" si="490"/>
        <v>1</v>
      </c>
      <c r="FK104" s="32">
        <f t="shared" si="551"/>
        <v>0.10866174637089358</v>
      </c>
      <c r="FL104" s="32">
        <f t="shared" si="491"/>
        <v>0.18198974975870486</v>
      </c>
      <c r="FM104" s="32">
        <f t="shared" si="492"/>
        <v>0.28604516866520657</v>
      </c>
      <c r="FN104" s="32">
        <f t="shared" si="493"/>
        <v>0.37813098955981189</v>
      </c>
      <c r="FO104" s="32">
        <f t="shared" si="494"/>
        <v>0.45400996175023983</v>
      </c>
      <c r="FP104" s="32">
        <f t="shared" si="495"/>
        <v>0.49991305815912662</v>
      </c>
      <c r="FQ104" s="32">
        <f t="shared" si="496"/>
        <v>0.59439167381112734</v>
      </c>
      <c r="FR104" s="32">
        <f t="shared" si="497"/>
        <v>0.69744534893641796</v>
      </c>
      <c r="FS104" s="32">
        <f t="shared" si="498"/>
        <v>0.79513663676352786</v>
      </c>
      <c r="FT104" s="32">
        <f t="shared" si="499"/>
        <v>0.88346562281243024</v>
      </c>
      <c r="FU104" s="32">
        <f t="shared" si="500"/>
        <v>0.93172084973461633</v>
      </c>
      <c r="FV104" s="32">
        <f t="shared" si="501"/>
        <v>1</v>
      </c>
      <c r="FX104" s="32">
        <f t="shared" si="502"/>
        <v>0.1552071271180088</v>
      </c>
      <c r="FY104" s="32">
        <f t="shared" si="503"/>
        <v>0.23674789449329384</v>
      </c>
      <c r="FZ104" s="32">
        <f t="shared" si="504"/>
        <v>0.3177741417381702</v>
      </c>
      <c r="GA104" s="32">
        <f t="shared" si="505"/>
        <v>0.36651732718542634</v>
      </c>
      <c r="GB104" s="32">
        <f t="shared" si="506"/>
        <v>0.45718848345792223</v>
      </c>
      <c r="GC104" s="32">
        <f t="shared" si="507"/>
        <v>0.51474266268942326</v>
      </c>
      <c r="GD104" s="32">
        <f t="shared" si="508"/>
        <v>0.60326605369266406</v>
      </c>
      <c r="GE104" s="32">
        <f t="shared" si="509"/>
        <v>0.68076930821445192</v>
      </c>
      <c r="GF104" s="32">
        <f t="shared" si="510"/>
        <v>0.77573067012130892</v>
      </c>
      <c r="GG104" s="32">
        <f t="shared" si="511"/>
        <v>0.86464320380282578</v>
      </c>
      <c r="GH104" s="32">
        <f t="shared" si="512"/>
        <v>0.92847554412453726</v>
      </c>
      <c r="GI104" s="32">
        <f t="shared" si="513"/>
        <v>1</v>
      </c>
    </row>
    <row r="105" spans="1:191">
      <c r="A105" s="724" t="s">
        <v>89</v>
      </c>
      <c r="B105" s="399">
        <v>16939.72</v>
      </c>
      <c r="C105" s="400">
        <v>17603.629999999997</v>
      </c>
      <c r="D105" s="400">
        <v>22542.350000000002</v>
      </c>
      <c r="E105" s="400">
        <v>23578.65</v>
      </c>
      <c r="F105" s="400">
        <v>15822.880000000001</v>
      </c>
      <c r="G105" s="400">
        <v>16478.32</v>
      </c>
      <c r="H105" s="400">
        <v>22175.719999999998</v>
      </c>
      <c r="I105" s="400">
        <v>20552.549999999992</v>
      </c>
      <c r="J105" s="400">
        <v>21589.14</v>
      </c>
      <c r="K105" s="400">
        <v>15694.509999999997</v>
      </c>
      <c r="L105" s="400">
        <v>14073.45</v>
      </c>
      <c r="M105" s="400">
        <v>18983.91</v>
      </c>
      <c r="N105" s="400">
        <f t="shared" si="441"/>
        <v>226034.83000000005</v>
      </c>
      <c r="P105" s="396" t="s">
        <v>89</v>
      </c>
      <c r="Q105" s="399">
        <v>34102.79</v>
      </c>
      <c r="R105" s="400">
        <v>24241.85</v>
      </c>
      <c r="S105" s="400">
        <v>20748.03</v>
      </c>
      <c r="T105" s="400">
        <v>12364.97</v>
      </c>
      <c r="U105" s="400">
        <v>14072.94</v>
      </c>
      <c r="V105" s="400">
        <v>14823.71</v>
      </c>
      <c r="W105" s="400">
        <v>12907.689999999995</v>
      </c>
      <c r="X105" s="400">
        <v>14851.550000000003</v>
      </c>
      <c r="Y105" s="400">
        <v>11700.29</v>
      </c>
      <c r="Z105" s="400">
        <v>17636.429999999997</v>
      </c>
      <c r="AA105" s="400">
        <v>11255.12</v>
      </c>
      <c r="AB105" s="400">
        <v>15827.57</v>
      </c>
      <c r="AC105" s="400">
        <f t="shared" si="442"/>
        <v>204532.94000000003</v>
      </c>
      <c r="AE105" s="127" t="s">
        <v>89</v>
      </c>
      <c r="AF105" s="27">
        <v>22418.23</v>
      </c>
      <c r="AG105" s="27">
        <v>24241.79</v>
      </c>
      <c r="AH105" s="27">
        <v>19845.47</v>
      </c>
      <c r="AI105" s="27">
        <v>20051.34</v>
      </c>
      <c r="AJ105" s="27">
        <v>22784.639999999999</v>
      </c>
      <c r="AK105" s="27">
        <v>18696.47</v>
      </c>
      <c r="AL105" s="27">
        <v>15055.98</v>
      </c>
      <c r="AM105" s="27">
        <v>13860.33</v>
      </c>
      <c r="AN105" s="27">
        <v>13397.02</v>
      </c>
      <c r="AO105" s="27">
        <v>24728.9</v>
      </c>
      <c r="AP105" s="27">
        <v>31916.66</v>
      </c>
      <c r="AQ105" s="27">
        <v>30290.03</v>
      </c>
      <c r="AR105" s="43">
        <f t="shared" si="443"/>
        <v>257286.86</v>
      </c>
      <c r="AT105" s="60" t="s">
        <v>89</v>
      </c>
      <c r="AU105" s="27">
        <v>11238.419999999998</v>
      </c>
      <c r="AV105" s="27">
        <v>10943.809999999994</v>
      </c>
      <c r="AW105" s="27">
        <v>3917.7200000000016</v>
      </c>
      <c r="AX105" s="27">
        <v>6128.2900000000027</v>
      </c>
      <c r="AY105" s="27">
        <v>7519.6499999999969</v>
      </c>
      <c r="AZ105" s="27">
        <v>10373.92</v>
      </c>
      <c r="BA105" s="27">
        <v>6544.9099999999989</v>
      </c>
      <c r="BB105" s="27">
        <v>7358.27</v>
      </c>
      <c r="BC105" s="27">
        <v>8912.07</v>
      </c>
      <c r="BD105" s="27">
        <v>20386.91</v>
      </c>
      <c r="BE105" s="27">
        <v>15135.95</v>
      </c>
      <c r="BF105" s="27">
        <v>8739.1200000000008</v>
      </c>
      <c r="BG105" s="43">
        <f t="shared" si="403"/>
        <v>117199.03999999999</v>
      </c>
      <c r="BI105" s="60" t="s">
        <v>89</v>
      </c>
      <c r="BJ105" s="27">
        <v>20641.869999999984</v>
      </c>
      <c r="BK105" s="27">
        <v>4700.1400000000031</v>
      </c>
      <c r="BL105" s="27">
        <v>8630.2800000000007</v>
      </c>
      <c r="BM105" s="27">
        <v>4741.43</v>
      </c>
      <c r="BN105" s="27">
        <v>8576.4599999999937</v>
      </c>
      <c r="BO105" s="27">
        <v>4080.6400000000031</v>
      </c>
      <c r="BP105" s="27">
        <v>1460.5299999999997</v>
      </c>
      <c r="BQ105" s="27">
        <v>6508.17</v>
      </c>
      <c r="BR105" s="27">
        <v>2392.2600000000002</v>
      </c>
      <c r="BS105" s="27">
        <v>3852</v>
      </c>
      <c r="BT105" s="27">
        <v>2900.59</v>
      </c>
      <c r="BU105" s="27">
        <v>6160.3</v>
      </c>
      <c r="BV105" s="43">
        <f t="shared" si="404"/>
        <v>74644.669999999969</v>
      </c>
      <c r="BW105" s="405"/>
      <c r="BX105" s="32">
        <f t="shared" si="514"/>
        <v>7.4942963436210236E-2</v>
      </c>
      <c r="BY105" s="32">
        <f t="shared" si="515"/>
        <v>0.15282312907263004</v>
      </c>
      <c r="BZ105" s="32">
        <f t="shared" si="516"/>
        <v>0.25255267075432569</v>
      </c>
      <c r="CA105" s="32">
        <f t="shared" si="517"/>
        <v>0.35686690409615185</v>
      </c>
      <c r="CB105" s="32">
        <f t="shared" si="518"/>
        <v>0.42686885910459016</v>
      </c>
      <c r="CC105" s="32">
        <f t="shared" si="519"/>
        <v>0.49977054421214639</v>
      </c>
      <c r="CD105" s="32">
        <f t="shared" si="520"/>
        <v>0.5978780792323023</v>
      </c>
      <c r="CE105" s="32">
        <f t="shared" si="521"/>
        <v>0.68880455282046571</v>
      </c>
      <c r="CF105" s="32">
        <f t="shared" si="522"/>
        <v>0.78431700105687241</v>
      </c>
      <c r="CG105" s="32">
        <f t="shared" si="523"/>
        <v>0.85375103474097325</v>
      </c>
      <c r="CH105" s="32">
        <f t="shared" si="524"/>
        <v>0.91601334183762739</v>
      </c>
      <c r="CI105" s="32">
        <f t="shared" si="525"/>
        <v>1</v>
      </c>
      <c r="CJ105" s="405"/>
      <c r="CK105" s="32">
        <f t="shared" si="526"/>
        <v>0.16673495232601651</v>
      </c>
      <c r="CL105" s="32">
        <f t="shared" si="527"/>
        <v>0.2852579149353644</v>
      </c>
      <c r="CM105" s="32">
        <f t="shared" si="528"/>
        <v>0.3866989346557087</v>
      </c>
      <c r="CN105" s="32">
        <f t="shared" si="529"/>
        <v>0.44715359785079112</v>
      </c>
      <c r="CO105" s="32">
        <f t="shared" si="530"/>
        <v>0.51595884750886578</v>
      </c>
      <c r="CP105" s="32">
        <f t="shared" si="531"/>
        <v>0.58843475285692359</v>
      </c>
      <c r="CQ105" s="32">
        <f t="shared" si="532"/>
        <v>0.65154287617437068</v>
      </c>
      <c r="CR105" s="32">
        <f t="shared" si="533"/>
        <v>0.72415489651691312</v>
      </c>
      <c r="CS105" s="32">
        <f t="shared" si="534"/>
        <v>0.78135981421867795</v>
      </c>
      <c r="CT105" s="32">
        <f t="shared" si="535"/>
        <v>0.86758763649512882</v>
      </c>
      <c r="CU105" s="32">
        <f t="shared" si="536"/>
        <v>0.922616034365907</v>
      </c>
      <c r="CV105" s="32">
        <f t="shared" si="537"/>
        <v>1</v>
      </c>
      <c r="CX105" s="32">
        <f t="shared" si="538"/>
        <v>8.7133209989814484E-2</v>
      </c>
      <c r="CY105" s="32">
        <f t="shared" si="539"/>
        <v>0.18135407303738715</v>
      </c>
      <c r="CZ105" s="32">
        <f t="shared" si="540"/>
        <v>0.25848770512415603</v>
      </c>
      <c r="DA105" s="32">
        <f t="shared" si="541"/>
        <v>0.33642149466941301</v>
      </c>
      <c r="DB105" s="32">
        <f t="shared" si="542"/>
        <v>0.42497883490824212</v>
      </c>
      <c r="DC105" s="32">
        <f t="shared" si="543"/>
        <v>0.49764663457745184</v>
      </c>
      <c r="DD105" s="32">
        <f t="shared" si="544"/>
        <v>0.55616489703360683</v>
      </c>
      <c r="DE105" s="32">
        <f t="shared" si="545"/>
        <v>0.61003601194402235</v>
      </c>
      <c r="DF105" s="32">
        <f t="shared" si="546"/>
        <v>0.66210637418483009</v>
      </c>
      <c r="DG105" s="32">
        <f t="shared" si="547"/>
        <v>0.75822049365443689</v>
      </c>
      <c r="DH105" s="32">
        <f t="shared" si="548"/>
        <v>0.88227136823077557</v>
      </c>
      <c r="DI105" s="32">
        <f t="shared" si="549"/>
        <v>1</v>
      </c>
      <c r="DK105" s="32">
        <f t="shared" si="444"/>
        <v>9.5891741092759789E-2</v>
      </c>
      <c r="DL105" s="32">
        <f t="shared" si="445"/>
        <v>0.18926972439364687</v>
      </c>
      <c r="DM105" s="32">
        <f t="shared" si="446"/>
        <v>0.22269764325714608</v>
      </c>
      <c r="DN105" s="32">
        <f t="shared" si="447"/>
        <v>0.27498723539032399</v>
      </c>
      <c r="DO105" s="32">
        <f t="shared" si="448"/>
        <v>0.3391485971216146</v>
      </c>
      <c r="DP105" s="32">
        <f t="shared" si="449"/>
        <v>0.42766399793035842</v>
      </c>
      <c r="DQ105" s="32">
        <f t="shared" si="450"/>
        <v>0.48350839733840817</v>
      </c>
      <c r="DR105" s="32">
        <f t="shared" si="451"/>
        <v>0.5462927853333952</v>
      </c>
      <c r="DS105" s="32">
        <f t="shared" si="452"/>
        <v>0.62233496110548348</v>
      </c>
      <c r="DT105" s="32">
        <f t="shared" si="453"/>
        <v>0.79628612998877812</v>
      </c>
      <c r="DU105" s="32">
        <f t="shared" si="454"/>
        <v>0.92543351890936998</v>
      </c>
      <c r="DV105" s="32">
        <f t="shared" si="455"/>
        <v>1</v>
      </c>
      <c r="DW105" s="39"/>
      <c r="DX105" s="32">
        <f t="shared" si="456"/>
        <v>0.27653508281301253</v>
      </c>
      <c r="DY105" s="32">
        <f t="shared" si="457"/>
        <v>0.33950193630703973</v>
      </c>
      <c r="DZ105" s="32">
        <f t="shared" si="458"/>
        <v>0.45512010435574302</v>
      </c>
      <c r="EA105" s="32">
        <f t="shared" si="459"/>
        <v>0.51864011187938808</v>
      </c>
      <c r="EB105" s="32">
        <f t="shared" si="460"/>
        <v>0.63353726394664212</v>
      </c>
      <c r="EC105" s="32">
        <f t="shared" si="461"/>
        <v>0.68820479747582775</v>
      </c>
      <c r="ED105" s="32">
        <f t="shared" si="462"/>
        <v>0.70777123135516573</v>
      </c>
      <c r="EE105" s="32">
        <f t="shared" si="463"/>
        <v>0.79495990805505601</v>
      </c>
      <c r="EF105" s="32">
        <f t="shared" si="464"/>
        <v>0.82700854595512319</v>
      </c>
      <c r="EG105" s="32">
        <f t="shared" si="465"/>
        <v>0.87861303425951243</v>
      </c>
      <c r="EH105" s="32">
        <f t="shared" si="466"/>
        <v>0.91747166944404734</v>
      </c>
      <c r="EI105" s="32">
        <f t="shared" si="467"/>
        <v>1</v>
      </c>
      <c r="EK105" s="32">
        <f t="shared" si="550"/>
        <v>0.15318667796519561</v>
      </c>
      <c r="EL105" s="32">
        <f t="shared" si="468"/>
        <v>0.23670857791269126</v>
      </c>
      <c r="EM105" s="32">
        <f t="shared" si="469"/>
        <v>0.31210181757901506</v>
      </c>
      <c r="EN105" s="32">
        <f t="shared" si="470"/>
        <v>0.37668294731304169</v>
      </c>
      <c r="EO105" s="32">
        <f t="shared" si="471"/>
        <v>0.46588823199216628</v>
      </c>
      <c r="EP105" s="32">
        <f t="shared" si="472"/>
        <v>0.53783847666121265</v>
      </c>
      <c r="EQ105" s="32">
        <f t="shared" si="473"/>
        <v>0.58248150857572689</v>
      </c>
      <c r="ER105" s="32">
        <f t="shared" si="474"/>
        <v>0.65042956844415789</v>
      </c>
      <c r="ES105" s="32">
        <f t="shared" si="475"/>
        <v>0.70381662708181214</v>
      </c>
      <c r="ET105" s="32">
        <f t="shared" si="476"/>
        <v>0.81103988596757581</v>
      </c>
      <c r="EU105" s="32">
        <f t="shared" si="477"/>
        <v>0.90839218552806422</v>
      </c>
      <c r="EV105" s="32">
        <f t="shared" si="478"/>
        <v>1</v>
      </c>
      <c r="EX105" s="32">
        <f t="shared" si="479"/>
        <v>0.15657374655540082</v>
      </c>
      <c r="EY105" s="32">
        <f t="shared" si="480"/>
        <v>0.24884591216835955</v>
      </c>
      <c r="EZ105" s="32">
        <f t="shared" si="481"/>
        <v>0.33075109684818849</v>
      </c>
      <c r="FA105" s="32">
        <f t="shared" si="482"/>
        <v>0.39430060994747906</v>
      </c>
      <c r="FB105" s="32">
        <f t="shared" si="483"/>
        <v>0.47840588587134114</v>
      </c>
      <c r="FC105" s="32">
        <f t="shared" si="484"/>
        <v>0.55048754571014036</v>
      </c>
      <c r="FD105" s="32">
        <f t="shared" si="485"/>
        <v>0.59974685047538778</v>
      </c>
      <c r="FE105" s="32">
        <f t="shared" si="486"/>
        <v>0.6688609004623467</v>
      </c>
      <c r="FF105" s="32">
        <f t="shared" si="487"/>
        <v>0.72320242386602873</v>
      </c>
      <c r="FG105" s="32">
        <f t="shared" si="488"/>
        <v>0.82517682359946409</v>
      </c>
      <c r="FH105" s="32">
        <f t="shared" si="489"/>
        <v>0.91194814773752497</v>
      </c>
      <c r="FI105" s="32">
        <f t="shared" si="490"/>
        <v>1</v>
      </c>
      <c r="FK105" s="32">
        <f t="shared" si="551"/>
        <v>0.11658663446953026</v>
      </c>
      <c r="FL105" s="32">
        <f t="shared" si="491"/>
        <v>0.21862723745546617</v>
      </c>
      <c r="FM105" s="32">
        <f t="shared" si="492"/>
        <v>0.28929476101233692</v>
      </c>
      <c r="FN105" s="32">
        <f t="shared" si="493"/>
        <v>0.35285410930350941</v>
      </c>
      <c r="FO105" s="32">
        <f t="shared" si="494"/>
        <v>0.42669542651290754</v>
      </c>
      <c r="FP105" s="32">
        <f t="shared" si="495"/>
        <v>0.50458179512157797</v>
      </c>
      <c r="FQ105" s="32">
        <f t="shared" si="496"/>
        <v>0.56373872351546195</v>
      </c>
      <c r="FR105" s="32">
        <f t="shared" si="497"/>
        <v>0.62682789793144356</v>
      </c>
      <c r="FS105" s="32">
        <f t="shared" si="498"/>
        <v>0.68860038316966377</v>
      </c>
      <c r="FT105" s="32">
        <f t="shared" si="499"/>
        <v>0.80736475337944791</v>
      </c>
      <c r="FU105" s="32">
        <f t="shared" si="500"/>
        <v>0.91010697383535089</v>
      </c>
      <c r="FV105" s="32">
        <f t="shared" si="501"/>
        <v>1</v>
      </c>
      <c r="FX105" s="32">
        <f t="shared" si="502"/>
        <v>0.10960370858401373</v>
      </c>
      <c r="FY105" s="32">
        <f t="shared" si="503"/>
        <v>0.20647837234846053</v>
      </c>
      <c r="FZ105" s="32">
        <f t="shared" si="504"/>
        <v>0.29924643684473012</v>
      </c>
      <c r="GA105" s="32">
        <f t="shared" si="505"/>
        <v>0.38014733220545199</v>
      </c>
      <c r="GB105" s="32">
        <f t="shared" si="506"/>
        <v>0.45593551384056602</v>
      </c>
      <c r="GC105" s="32">
        <f t="shared" si="507"/>
        <v>0.52861731054884054</v>
      </c>
      <c r="GD105" s="32">
        <f t="shared" si="508"/>
        <v>0.60186195081342664</v>
      </c>
      <c r="GE105" s="32">
        <f t="shared" si="509"/>
        <v>0.67433182042713369</v>
      </c>
      <c r="GF105" s="32">
        <f t="shared" si="510"/>
        <v>0.74259439648679348</v>
      </c>
      <c r="GG105" s="32">
        <f t="shared" si="511"/>
        <v>0.82651972163017973</v>
      </c>
      <c r="GH105" s="32">
        <f t="shared" si="512"/>
        <v>0.90696691481143665</v>
      </c>
      <c r="GI105" s="32">
        <f t="shared" si="513"/>
        <v>1</v>
      </c>
    </row>
    <row r="106" spans="1:191">
      <c r="A106" s="724" t="s">
        <v>90</v>
      </c>
      <c r="B106" s="399">
        <v>2846.9799999999996</v>
      </c>
      <c r="C106" s="400">
        <v>4914.4999999999991</v>
      </c>
      <c r="D106" s="400">
        <v>1538.6200000000003</v>
      </c>
      <c r="E106" s="400">
        <v>1773.3899999999994</v>
      </c>
      <c r="F106" s="400">
        <v>1837.21</v>
      </c>
      <c r="G106" s="400">
        <v>1618.4799999999996</v>
      </c>
      <c r="H106" s="400">
        <v>2217.5099999999993</v>
      </c>
      <c r="I106" s="400">
        <v>1212.9400000000005</v>
      </c>
      <c r="J106" s="400">
        <v>1377.3999999999996</v>
      </c>
      <c r="K106" s="400">
        <v>114.26999999999953</v>
      </c>
      <c r="L106" s="400">
        <v>200.19999999999982</v>
      </c>
      <c r="M106" s="400">
        <v>801.1</v>
      </c>
      <c r="N106" s="400">
        <f t="shared" si="441"/>
        <v>20452.599999999999</v>
      </c>
      <c r="P106" s="396" t="s">
        <v>90</v>
      </c>
      <c r="Q106" s="399">
        <v>1163.95</v>
      </c>
      <c r="R106" s="400">
        <v>2675.48</v>
      </c>
      <c r="S106" s="400">
        <v>3756.88</v>
      </c>
      <c r="T106" s="400">
        <v>324.02999999999997</v>
      </c>
      <c r="U106" s="400">
        <v>621.49</v>
      </c>
      <c r="V106" s="400">
        <v>1435.99</v>
      </c>
      <c r="W106" s="400">
        <v>2001.83</v>
      </c>
      <c r="X106" s="400">
        <v>3003.3799999999992</v>
      </c>
      <c r="Y106" s="400">
        <v>672.70000000000027</v>
      </c>
      <c r="Z106" s="400">
        <v>628.37000000000012</v>
      </c>
      <c r="AA106" s="400">
        <v>1863.82</v>
      </c>
      <c r="AB106" s="400">
        <v>521.71</v>
      </c>
      <c r="AC106" s="400">
        <f t="shared" si="442"/>
        <v>18669.63</v>
      </c>
      <c r="AE106" s="127" t="s">
        <v>90</v>
      </c>
      <c r="AF106" s="27">
        <v>2414.27</v>
      </c>
      <c r="AG106" s="27">
        <v>4918.18</v>
      </c>
      <c r="AH106" s="27">
        <v>3118.46</v>
      </c>
      <c r="AI106" s="27">
        <v>3605.88</v>
      </c>
      <c r="AJ106" s="27">
        <v>433.91</v>
      </c>
      <c r="AK106" s="27">
        <v>595.22</v>
      </c>
      <c r="AL106" s="27">
        <v>167.02</v>
      </c>
      <c r="AM106" s="27">
        <v>529.55999999999995</v>
      </c>
      <c r="AN106" s="27">
        <v>792.14</v>
      </c>
      <c r="AO106" s="27">
        <v>1256.74</v>
      </c>
      <c r="AP106" s="27">
        <v>277.32</v>
      </c>
      <c r="AQ106" s="27">
        <v>2060.5700000000002</v>
      </c>
      <c r="AR106" s="43">
        <f t="shared" si="443"/>
        <v>20169.27</v>
      </c>
      <c r="AT106" s="60" t="s">
        <v>90</v>
      </c>
      <c r="AU106" s="27">
        <v>654.49000000000024</v>
      </c>
      <c r="AV106" s="27">
        <v>2639.2900000000004</v>
      </c>
      <c r="AW106" s="27">
        <v>1735.3999999999996</v>
      </c>
      <c r="AX106" s="27">
        <v>371.05000000000018</v>
      </c>
      <c r="AY106" s="27">
        <v>421.55999999999949</v>
      </c>
      <c r="AZ106" s="27">
        <v>469.4</v>
      </c>
      <c r="BA106" s="27">
        <v>565.38999999999987</v>
      </c>
      <c r="BB106" s="27">
        <v>2697.36</v>
      </c>
      <c r="BC106" s="27">
        <v>798.67</v>
      </c>
      <c r="BD106" s="27">
        <v>1137.1600000000001</v>
      </c>
      <c r="BE106" s="27">
        <v>677.9</v>
      </c>
      <c r="BF106" s="27">
        <v>287.02999999999997</v>
      </c>
      <c r="BG106" s="43">
        <f t="shared" si="403"/>
        <v>12454.7</v>
      </c>
      <c r="BI106" s="60" t="s">
        <v>90</v>
      </c>
      <c r="BJ106" s="27">
        <v>1398.0500000000004</v>
      </c>
      <c r="BK106" s="27">
        <v>1818.4500000000005</v>
      </c>
      <c r="BL106" s="27">
        <v>943.21999999999935</v>
      </c>
      <c r="BM106" s="27">
        <v>197.30000000000007</v>
      </c>
      <c r="BN106" s="27">
        <v>377.05000000000018</v>
      </c>
      <c r="BO106" s="27">
        <v>673.69</v>
      </c>
      <c r="BP106" s="27">
        <v>1194.8599999999997</v>
      </c>
      <c r="BQ106" s="27">
        <v>271.74000000000024</v>
      </c>
      <c r="BR106" s="27">
        <v>415.10999999999967</v>
      </c>
      <c r="BS106" s="27">
        <v>1281.9099999999999</v>
      </c>
      <c r="BT106" s="27">
        <v>837.31</v>
      </c>
      <c r="BU106" s="27">
        <v>185.38</v>
      </c>
      <c r="BV106" s="43">
        <f t="shared" si="404"/>
        <v>9594.07</v>
      </c>
      <c r="BW106" s="405"/>
      <c r="BX106" s="32">
        <f t="shared" si="514"/>
        <v>0.13919892825362057</v>
      </c>
      <c r="BY106" s="32">
        <f t="shared" si="515"/>
        <v>0.37948622669000515</v>
      </c>
      <c r="BZ106" s="32">
        <f t="shared" si="516"/>
        <v>0.45471480398580127</v>
      </c>
      <c r="CA106" s="32">
        <f t="shared" si="517"/>
        <v>0.5414221174813959</v>
      </c>
      <c r="CB106" s="32">
        <f t="shared" si="518"/>
        <v>0.63124981664922786</v>
      </c>
      <c r="CC106" s="32">
        <f t="shared" si="519"/>
        <v>0.71038303198615327</v>
      </c>
      <c r="CD106" s="32">
        <f t="shared" si="520"/>
        <v>0.81880494411468452</v>
      </c>
      <c r="CE106" s="32">
        <f t="shared" si="521"/>
        <v>0.87810987356130754</v>
      </c>
      <c r="CF106" s="32">
        <f t="shared" si="522"/>
        <v>0.94545583446603365</v>
      </c>
      <c r="CG106" s="32">
        <f t="shared" si="523"/>
        <v>0.95104289919130092</v>
      </c>
      <c r="CH106" s="32">
        <f t="shared" si="524"/>
        <v>0.96083138574068827</v>
      </c>
      <c r="CI106" s="32">
        <f t="shared" si="525"/>
        <v>1</v>
      </c>
      <c r="CJ106" s="405"/>
      <c r="CK106" s="32">
        <f t="shared" si="526"/>
        <v>6.2344567085689431E-2</v>
      </c>
      <c r="CL106" s="32">
        <f t="shared" si="527"/>
        <v>0.20565110288741661</v>
      </c>
      <c r="CM106" s="32">
        <f t="shared" si="528"/>
        <v>0.40688058627835688</v>
      </c>
      <c r="CN106" s="32">
        <f t="shared" si="529"/>
        <v>0.42423658101419254</v>
      </c>
      <c r="CO106" s="32">
        <f t="shared" si="530"/>
        <v>0.45752540355647109</v>
      </c>
      <c r="CP106" s="32">
        <f t="shared" si="531"/>
        <v>0.53444122888348611</v>
      </c>
      <c r="CQ106" s="32">
        <f t="shared" si="532"/>
        <v>0.641665099951097</v>
      </c>
      <c r="CR106" s="32">
        <f t="shared" si="533"/>
        <v>0.80253491901017848</v>
      </c>
      <c r="CS106" s="32">
        <f t="shared" si="534"/>
        <v>0.8385666989651106</v>
      </c>
      <c r="CT106" s="32">
        <f t="shared" si="535"/>
        <v>0.87222403443453345</v>
      </c>
      <c r="CU106" s="32">
        <f t="shared" si="536"/>
        <v>0.97205568615982219</v>
      </c>
      <c r="CV106" s="32">
        <f t="shared" si="537"/>
        <v>1</v>
      </c>
      <c r="CX106" s="32">
        <f t="shared" si="538"/>
        <v>0.1197004155331353</v>
      </c>
      <c r="CY106" s="32">
        <f t="shared" si="539"/>
        <v>0.36354563154739861</v>
      </c>
      <c r="CZ106" s="32">
        <f t="shared" si="540"/>
        <v>0.51816005239654184</v>
      </c>
      <c r="DA106" s="32">
        <f t="shared" si="541"/>
        <v>0.69694094035133647</v>
      </c>
      <c r="DB106" s="32">
        <f t="shared" si="542"/>
        <v>0.71845436151134867</v>
      </c>
      <c r="DC106" s="32">
        <f t="shared" si="543"/>
        <v>0.74796559320193545</v>
      </c>
      <c r="DD106" s="32">
        <f t="shared" si="544"/>
        <v>0.75624650768223145</v>
      </c>
      <c r="DE106" s="32">
        <f t="shared" si="545"/>
        <v>0.78250229185290299</v>
      </c>
      <c r="DF106" s="32">
        <f t="shared" si="546"/>
        <v>0.82177689128064624</v>
      </c>
      <c r="DG106" s="32">
        <f t="shared" si="547"/>
        <v>0.88408653362268441</v>
      </c>
      <c r="DH106" s="32">
        <f t="shared" si="548"/>
        <v>0.89783616362912488</v>
      </c>
      <c r="DI106" s="32">
        <f t="shared" si="549"/>
        <v>1</v>
      </c>
      <c r="DK106" s="32">
        <f t="shared" si="444"/>
        <v>5.2549639894979419E-2</v>
      </c>
      <c r="DL106" s="32">
        <f t="shared" si="445"/>
        <v>0.26446080596080196</v>
      </c>
      <c r="DM106" s="32">
        <f t="shared" si="446"/>
        <v>0.40379776309345067</v>
      </c>
      <c r="DN106" s="32">
        <f t="shared" si="447"/>
        <v>0.43358972917854305</v>
      </c>
      <c r="DO106" s="32">
        <f t="shared" si="448"/>
        <v>0.46743719238520393</v>
      </c>
      <c r="DP106" s="32">
        <f t="shared" si="449"/>
        <v>0.50512577581154094</v>
      </c>
      <c r="DQ106" s="32">
        <f t="shared" si="450"/>
        <v>0.55052148987932259</v>
      </c>
      <c r="DR106" s="32">
        <f t="shared" si="451"/>
        <v>0.76709515283386998</v>
      </c>
      <c r="DS106" s="32">
        <f t="shared" si="452"/>
        <v>0.83122114543104209</v>
      </c>
      <c r="DT106" s="32">
        <f t="shared" si="453"/>
        <v>0.92252482998386154</v>
      </c>
      <c r="DU106" s="32">
        <f t="shared" si="454"/>
        <v>0.97695408159168817</v>
      </c>
      <c r="DV106" s="32">
        <f t="shared" si="455"/>
        <v>1</v>
      </c>
      <c r="DW106" s="39"/>
      <c r="DX106" s="32">
        <f t="shared" si="456"/>
        <v>0.14572022092813586</v>
      </c>
      <c r="DY106" s="32">
        <f t="shared" si="457"/>
        <v>0.33525917572000213</v>
      </c>
      <c r="DZ106" s="32">
        <f t="shared" si="458"/>
        <v>0.4335719876965668</v>
      </c>
      <c r="EA106" s="32">
        <f t="shared" si="459"/>
        <v>0.45413677406981612</v>
      </c>
      <c r="EB106" s="32">
        <f t="shared" si="460"/>
        <v>0.49343709187029078</v>
      </c>
      <c r="EC106" s="32">
        <f t="shared" si="461"/>
        <v>0.56365650865586769</v>
      </c>
      <c r="ED106" s="32">
        <f t="shared" si="462"/>
        <v>0.68819802232003724</v>
      </c>
      <c r="EE106" s="32">
        <f t="shared" si="463"/>
        <v>0.71652176813385782</v>
      </c>
      <c r="EF106" s="32">
        <f t="shared" si="464"/>
        <v>0.75978911973750463</v>
      </c>
      <c r="EG106" s="32">
        <f t="shared" si="465"/>
        <v>0.89340394639605525</v>
      </c>
      <c r="EH106" s="32">
        <f t="shared" si="466"/>
        <v>0.98067764775533228</v>
      </c>
      <c r="EI106" s="32">
        <f t="shared" si="467"/>
        <v>1</v>
      </c>
      <c r="EK106" s="32">
        <f t="shared" si="550"/>
        <v>0.1059900921187502</v>
      </c>
      <c r="EL106" s="32">
        <f t="shared" si="468"/>
        <v>0.32108853774273421</v>
      </c>
      <c r="EM106" s="32">
        <f t="shared" si="469"/>
        <v>0.45184326772885308</v>
      </c>
      <c r="EN106" s="32">
        <f t="shared" si="470"/>
        <v>0.52822248119989856</v>
      </c>
      <c r="EO106" s="32">
        <f t="shared" si="471"/>
        <v>0.5597762152556145</v>
      </c>
      <c r="EP106" s="32">
        <f t="shared" si="472"/>
        <v>0.6055826258897814</v>
      </c>
      <c r="EQ106" s="32">
        <f t="shared" si="473"/>
        <v>0.6649886732938638</v>
      </c>
      <c r="ER106" s="32">
        <f t="shared" si="474"/>
        <v>0.75537307094021033</v>
      </c>
      <c r="ES106" s="32">
        <f t="shared" si="475"/>
        <v>0.80426238548306428</v>
      </c>
      <c r="ET106" s="32">
        <f t="shared" si="476"/>
        <v>0.90000510333420036</v>
      </c>
      <c r="EU106" s="32">
        <f t="shared" si="477"/>
        <v>0.95182263099204845</v>
      </c>
      <c r="EV106" s="32">
        <f t="shared" si="478"/>
        <v>1</v>
      </c>
      <c r="EX106" s="32">
        <f t="shared" si="479"/>
        <v>9.5078710860485E-2</v>
      </c>
      <c r="EY106" s="32">
        <f t="shared" si="480"/>
        <v>0.29222917902890483</v>
      </c>
      <c r="EZ106" s="32">
        <f t="shared" si="481"/>
        <v>0.44060259736622903</v>
      </c>
      <c r="FA106" s="32">
        <f t="shared" si="482"/>
        <v>0.50222600615347202</v>
      </c>
      <c r="FB106" s="32">
        <f t="shared" si="483"/>
        <v>0.5342135123308287</v>
      </c>
      <c r="FC106" s="32">
        <f t="shared" si="484"/>
        <v>0.58779727663820758</v>
      </c>
      <c r="FD106" s="32">
        <f t="shared" si="485"/>
        <v>0.65915777995817204</v>
      </c>
      <c r="FE106" s="32">
        <f t="shared" si="486"/>
        <v>0.76716353295770245</v>
      </c>
      <c r="FF106" s="32">
        <f t="shared" si="487"/>
        <v>0.81283846385357594</v>
      </c>
      <c r="FG106" s="32">
        <f t="shared" si="488"/>
        <v>0.89305983610928363</v>
      </c>
      <c r="FH106" s="32">
        <f t="shared" si="489"/>
        <v>0.95688089478399196</v>
      </c>
      <c r="FI106" s="32">
        <f t="shared" si="490"/>
        <v>1</v>
      </c>
      <c r="FK106" s="32">
        <f t="shared" si="551"/>
        <v>7.819820750460138E-2</v>
      </c>
      <c r="FL106" s="32">
        <f t="shared" si="491"/>
        <v>0.27788584679853906</v>
      </c>
      <c r="FM106" s="32">
        <f t="shared" si="492"/>
        <v>0.44294613392278315</v>
      </c>
      <c r="FN106" s="32">
        <f t="shared" si="493"/>
        <v>0.51825575018135739</v>
      </c>
      <c r="FO106" s="32">
        <f t="shared" si="494"/>
        <v>0.54780565248434121</v>
      </c>
      <c r="FP106" s="32">
        <f t="shared" si="495"/>
        <v>0.59584419929898746</v>
      </c>
      <c r="FQ106" s="32">
        <f t="shared" si="496"/>
        <v>0.6494776991708836</v>
      </c>
      <c r="FR106" s="32">
        <f t="shared" si="497"/>
        <v>0.78404412123231726</v>
      </c>
      <c r="FS106" s="32">
        <f t="shared" si="498"/>
        <v>0.83052157855893294</v>
      </c>
      <c r="FT106" s="32">
        <f t="shared" si="499"/>
        <v>0.8929451326803598</v>
      </c>
      <c r="FU106" s="32">
        <f t="shared" si="500"/>
        <v>0.94894864379354493</v>
      </c>
      <c r="FV106" s="32">
        <f t="shared" si="501"/>
        <v>1</v>
      </c>
      <c r="FX106" s="32">
        <f t="shared" si="502"/>
        <v>0.10708130362414843</v>
      </c>
      <c r="FY106" s="32">
        <f t="shared" si="503"/>
        <v>0.31622765370827349</v>
      </c>
      <c r="FZ106" s="32">
        <f t="shared" si="504"/>
        <v>0.45991848088689996</v>
      </c>
      <c r="GA106" s="32">
        <f t="shared" si="505"/>
        <v>0.55419987961564166</v>
      </c>
      <c r="GB106" s="32">
        <f t="shared" si="506"/>
        <v>0.60240986057234913</v>
      </c>
      <c r="GC106" s="32">
        <f t="shared" si="507"/>
        <v>0.66426328469052487</v>
      </c>
      <c r="GD106" s="32">
        <f t="shared" si="508"/>
        <v>0.73890551724933762</v>
      </c>
      <c r="GE106" s="32">
        <f t="shared" si="509"/>
        <v>0.82104902814146297</v>
      </c>
      <c r="GF106" s="32">
        <f t="shared" si="510"/>
        <v>0.86859980823726346</v>
      </c>
      <c r="GG106" s="32">
        <f t="shared" si="511"/>
        <v>0.90245115574950618</v>
      </c>
      <c r="GH106" s="32">
        <f t="shared" si="512"/>
        <v>0.94357441184321189</v>
      </c>
      <c r="GI106" s="32">
        <f t="shared" si="513"/>
        <v>1</v>
      </c>
    </row>
    <row r="107" spans="1:191">
      <c r="A107" s="724" t="s">
        <v>91</v>
      </c>
      <c r="B107" s="399">
        <v>3651.49</v>
      </c>
      <c r="C107" s="400">
        <v>1358.88</v>
      </c>
      <c r="D107" s="400">
        <v>1646.6100000000001</v>
      </c>
      <c r="E107" s="400">
        <v>1350.3599999999997</v>
      </c>
      <c r="F107" s="400">
        <v>2221.3700000000003</v>
      </c>
      <c r="G107" s="400">
        <v>7578.0399999999991</v>
      </c>
      <c r="H107" s="400">
        <v>3734.9</v>
      </c>
      <c r="I107" s="400">
        <v>2398.4699999999998</v>
      </c>
      <c r="J107" s="400">
        <v>2116.8000000000002</v>
      </c>
      <c r="K107" s="400">
        <v>1410.3799999999997</v>
      </c>
      <c r="L107" s="400">
        <v>4339.1900000000005</v>
      </c>
      <c r="M107" s="400">
        <v>5174.2700000000004</v>
      </c>
      <c r="N107" s="400">
        <f t="shared" si="441"/>
        <v>36980.760000000009</v>
      </c>
      <c r="P107" s="396" t="s">
        <v>91</v>
      </c>
      <c r="Q107" s="399">
        <v>3807.21</v>
      </c>
      <c r="R107" s="400">
        <v>5428.06</v>
      </c>
      <c r="S107" s="400">
        <v>2760.93</v>
      </c>
      <c r="T107" s="400">
        <v>772.88</v>
      </c>
      <c r="U107" s="400">
        <v>683.41</v>
      </c>
      <c r="V107" s="400">
        <v>102.51</v>
      </c>
      <c r="W107" s="400">
        <v>1045.2600000000002</v>
      </c>
      <c r="X107" s="400">
        <v>1327.2899999999991</v>
      </c>
      <c r="Y107" s="400">
        <v>1488.84</v>
      </c>
      <c r="Z107" s="400">
        <v>4123.42</v>
      </c>
      <c r="AA107" s="400">
        <v>3520.19</v>
      </c>
      <c r="AB107" s="400">
        <v>1667.0600000000004</v>
      </c>
      <c r="AC107" s="400">
        <f t="shared" si="442"/>
        <v>26727.059999999998</v>
      </c>
      <c r="AE107" s="127" t="s">
        <v>91</v>
      </c>
      <c r="AF107" s="27">
        <v>3101.94</v>
      </c>
      <c r="AG107" s="27">
        <v>4140.79</v>
      </c>
      <c r="AH107" s="27">
        <v>2550.13</v>
      </c>
      <c r="AI107" s="27">
        <v>943.91</v>
      </c>
      <c r="AJ107" s="27">
        <v>6159.93</v>
      </c>
      <c r="AK107" s="27">
        <v>1311.39</v>
      </c>
      <c r="AL107" s="27">
        <v>3420.16</v>
      </c>
      <c r="AM107" s="27">
        <v>3753.85</v>
      </c>
      <c r="AN107" s="27">
        <v>2263.2199999999998</v>
      </c>
      <c r="AO107" s="27">
        <v>2897.05</v>
      </c>
      <c r="AP107" s="27">
        <v>1455.22</v>
      </c>
      <c r="AQ107" s="27">
        <v>1818.54</v>
      </c>
      <c r="AR107" s="43">
        <f t="shared" si="443"/>
        <v>33816.129999999997</v>
      </c>
      <c r="AT107" s="60" t="s">
        <v>91</v>
      </c>
      <c r="AU107" s="27">
        <v>4175.01</v>
      </c>
      <c r="AV107" s="27">
        <v>2560.0800000000017</v>
      </c>
      <c r="AW107" s="27">
        <v>5648.0199999999995</v>
      </c>
      <c r="AX107" s="27">
        <v>1397.79</v>
      </c>
      <c r="AY107" s="27">
        <v>2736.5900000000011</v>
      </c>
      <c r="AZ107" s="27">
        <v>1161.18</v>
      </c>
      <c r="BA107" s="27">
        <v>3231.9300000000003</v>
      </c>
      <c r="BB107" s="27">
        <v>2043.09</v>
      </c>
      <c r="BC107" s="27">
        <v>1423.33</v>
      </c>
      <c r="BD107" s="27">
        <v>3013.39</v>
      </c>
      <c r="BE107" s="27">
        <v>2029.28</v>
      </c>
      <c r="BF107" s="27">
        <v>4256.68</v>
      </c>
      <c r="BG107" s="43">
        <f t="shared" si="403"/>
        <v>33676.370000000003</v>
      </c>
      <c r="BI107" s="60" t="s">
        <v>91</v>
      </c>
      <c r="BJ107" s="27">
        <v>1162.5900000000001</v>
      </c>
      <c r="BK107" s="27">
        <v>779.69000000000051</v>
      </c>
      <c r="BL107" s="27">
        <v>2575.91</v>
      </c>
      <c r="BM107" s="27">
        <v>441.59000000000015</v>
      </c>
      <c r="BN107" s="27">
        <v>1764.62</v>
      </c>
      <c r="BO107" s="27">
        <v>2908.9199999999992</v>
      </c>
      <c r="BP107" s="27">
        <v>2942.5499999999997</v>
      </c>
      <c r="BQ107" s="27">
        <v>1818.6499999999996</v>
      </c>
      <c r="BR107" s="27">
        <v>1308.23</v>
      </c>
      <c r="BS107" s="27">
        <v>1942.5300000000002</v>
      </c>
      <c r="BT107" s="27">
        <v>3209.8999999999996</v>
      </c>
      <c r="BU107" s="27">
        <v>363.34999999999968</v>
      </c>
      <c r="BV107" s="43">
        <f t="shared" si="404"/>
        <v>21218.53</v>
      </c>
      <c r="BW107" s="405"/>
      <c r="BX107" s="32">
        <f t="shared" si="514"/>
        <v>9.8740263856124069E-2</v>
      </c>
      <c r="BY107" s="32">
        <f t="shared" si="515"/>
        <v>0.13548585805159219</v>
      </c>
      <c r="BZ107" s="32">
        <f t="shared" si="516"/>
        <v>0.18001198461037571</v>
      </c>
      <c r="CA107" s="32">
        <f t="shared" si="517"/>
        <v>0.21652718873273555</v>
      </c>
      <c r="CB107" s="32">
        <f t="shared" si="518"/>
        <v>0.27659545125627477</v>
      </c>
      <c r="CC107" s="32">
        <f t="shared" si="519"/>
        <v>0.4815139007418992</v>
      </c>
      <c r="CD107" s="32">
        <f t="shared" si="520"/>
        <v>0.5825096617808827</v>
      </c>
      <c r="CE107" s="32">
        <f t="shared" si="521"/>
        <v>0.64736690105882078</v>
      </c>
      <c r="CF107" s="32">
        <f t="shared" si="522"/>
        <v>0.70460747696910486</v>
      </c>
      <c r="CG107" s="32">
        <f t="shared" si="523"/>
        <v>0.74274568721681211</v>
      </c>
      <c r="CH107" s="32">
        <f t="shared" si="524"/>
        <v>0.86008210756079639</v>
      </c>
      <c r="CI107" s="32">
        <f t="shared" si="525"/>
        <v>1</v>
      </c>
      <c r="CJ107" s="405"/>
      <c r="CK107" s="32">
        <f t="shared" si="526"/>
        <v>0.14244776642099805</v>
      </c>
      <c r="CL107" s="32">
        <f t="shared" si="527"/>
        <v>0.3455400631419992</v>
      </c>
      <c r="CM107" s="32">
        <f t="shared" si="528"/>
        <v>0.44884098737384515</v>
      </c>
      <c r="CN107" s="32">
        <f t="shared" si="529"/>
        <v>0.47775849644517582</v>
      </c>
      <c r="CO107" s="32">
        <f t="shared" si="530"/>
        <v>0.50332846186598901</v>
      </c>
      <c r="CP107" s="32">
        <f t="shared" si="531"/>
        <v>0.50716390055621541</v>
      </c>
      <c r="CQ107" s="32">
        <f t="shared" si="532"/>
        <v>0.54627257917631056</v>
      </c>
      <c r="CR107" s="32">
        <f t="shared" si="533"/>
        <v>0.59593348464066009</v>
      </c>
      <c r="CS107" s="32">
        <f t="shared" si="534"/>
        <v>0.651638825968887</v>
      </c>
      <c r="CT107" s="32">
        <f t="shared" si="535"/>
        <v>0.80591767295018601</v>
      </c>
      <c r="CU107" s="32">
        <f t="shared" si="536"/>
        <v>0.93762651036066069</v>
      </c>
      <c r="CV107" s="32">
        <f t="shared" si="537"/>
        <v>1</v>
      </c>
      <c r="CX107" s="32">
        <f t="shared" si="538"/>
        <v>9.1729597680160341E-2</v>
      </c>
      <c r="CY107" s="32">
        <f t="shared" si="539"/>
        <v>0.2141797420343487</v>
      </c>
      <c r="CZ107" s="32">
        <f t="shared" si="540"/>
        <v>0.28959138730540723</v>
      </c>
      <c r="DA107" s="32">
        <f t="shared" si="541"/>
        <v>0.31750439804909675</v>
      </c>
      <c r="DB107" s="32">
        <f t="shared" si="542"/>
        <v>0.49966391778124825</v>
      </c>
      <c r="DC107" s="32">
        <f t="shared" si="543"/>
        <v>0.53844393193425744</v>
      </c>
      <c r="DD107" s="32">
        <f t="shared" si="544"/>
        <v>0.63958383173946876</v>
      </c>
      <c r="DE107" s="32">
        <f t="shared" si="545"/>
        <v>0.75059150766217186</v>
      </c>
      <c r="DF107" s="32">
        <f t="shared" si="546"/>
        <v>0.81751874031712091</v>
      </c>
      <c r="DG107" s="32">
        <f t="shared" si="547"/>
        <v>0.90318939512002117</v>
      </c>
      <c r="DH107" s="32">
        <f t="shared" si="548"/>
        <v>0.94622270496357808</v>
      </c>
      <c r="DI107" s="32">
        <f t="shared" si="549"/>
        <v>1</v>
      </c>
      <c r="DK107" s="32">
        <f t="shared" si="444"/>
        <v>0.12397446636914845</v>
      </c>
      <c r="DL107" s="32">
        <f t="shared" si="445"/>
        <v>0.1999945362282218</v>
      </c>
      <c r="DM107" s="32">
        <f t="shared" si="446"/>
        <v>0.36770916817934951</v>
      </c>
      <c r="DN107" s="32">
        <f t="shared" si="447"/>
        <v>0.40921572010284957</v>
      </c>
      <c r="DO107" s="32">
        <f t="shared" si="448"/>
        <v>0.49047715059550662</v>
      </c>
      <c r="DP107" s="32">
        <f t="shared" si="449"/>
        <v>0.52495770773393924</v>
      </c>
      <c r="DQ107" s="32">
        <f t="shared" si="450"/>
        <v>0.6209279681865949</v>
      </c>
      <c r="DR107" s="32">
        <f t="shared" si="451"/>
        <v>0.68159632406936976</v>
      </c>
      <c r="DS107" s="32">
        <f t="shared" si="452"/>
        <v>0.7238612712712208</v>
      </c>
      <c r="DT107" s="32">
        <f t="shared" si="453"/>
        <v>0.81334211496072772</v>
      </c>
      <c r="DU107" s="32">
        <f t="shared" si="454"/>
        <v>0.87360039101601505</v>
      </c>
      <c r="DV107" s="32">
        <f t="shared" si="455"/>
        <v>1</v>
      </c>
      <c r="DW107" s="39"/>
      <c r="DX107" s="32">
        <f t="shared" si="456"/>
        <v>5.4791260280518971E-2</v>
      </c>
      <c r="DY107" s="32">
        <f t="shared" si="457"/>
        <v>9.1536972636653002E-2</v>
      </c>
      <c r="DZ107" s="32">
        <f t="shared" si="458"/>
        <v>0.21293605164919535</v>
      </c>
      <c r="EA107" s="32">
        <f t="shared" si="459"/>
        <v>0.23374757817813019</v>
      </c>
      <c r="EB107" s="32">
        <f t="shared" si="460"/>
        <v>0.31691168049813068</v>
      </c>
      <c r="EC107" s="32">
        <f t="shared" si="461"/>
        <v>0.45400506067102669</v>
      </c>
      <c r="ED107" s="32">
        <f t="shared" si="462"/>
        <v>0.59268337627535927</v>
      </c>
      <c r="EE107" s="32">
        <f t="shared" si="463"/>
        <v>0.67839383783890772</v>
      </c>
      <c r="EF107" s="32">
        <f t="shared" si="464"/>
        <v>0.74004891008001017</v>
      </c>
      <c r="EG107" s="32">
        <f t="shared" si="465"/>
        <v>0.83159766487122344</v>
      </c>
      <c r="EH107" s="32">
        <f t="shared" si="466"/>
        <v>0.98287581656222189</v>
      </c>
      <c r="EI107" s="32">
        <f t="shared" si="467"/>
        <v>1</v>
      </c>
      <c r="EK107" s="32">
        <f t="shared" si="550"/>
        <v>9.0165108109942591E-2</v>
      </c>
      <c r="EL107" s="32">
        <f t="shared" si="468"/>
        <v>0.16857041696640782</v>
      </c>
      <c r="EM107" s="32">
        <f t="shared" si="469"/>
        <v>0.29007886904465069</v>
      </c>
      <c r="EN107" s="32">
        <f t="shared" si="470"/>
        <v>0.32015589877669215</v>
      </c>
      <c r="EO107" s="32">
        <f t="shared" si="471"/>
        <v>0.43568424962496183</v>
      </c>
      <c r="EP107" s="32">
        <f t="shared" si="472"/>
        <v>0.50580223344640773</v>
      </c>
      <c r="EQ107" s="32">
        <f t="shared" si="473"/>
        <v>0.61773172540047439</v>
      </c>
      <c r="ER107" s="32">
        <f t="shared" si="474"/>
        <v>0.70352722319014982</v>
      </c>
      <c r="ES107" s="32">
        <f t="shared" si="475"/>
        <v>0.76047630722278392</v>
      </c>
      <c r="ET107" s="32">
        <f t="shared" si="476"/>
        <v>0.84937639165065748</v>
      </c>
      <c r="EU107" s="32">
        <f t="shared" si="477"/>
        <v>0.93423297084727164</v>
      </c>
      <c r="EV107" s="32">
        <f t="shared" si="478"/>
        <v>1</v>
      </c>
      <c r="EX107" s="32">
        <f t="shared" si="479"/>
        <v>0.10323577268770645</v>
      </c>
      <c r="EY107" s="32">
        <f t="shared" si="480"/>
        <v>0.21281282851030564</v>
      </c>
      <c r="EZ107" s="32">
        <f t="shared" si="481"/>
        <v>0.32976939862694932</v>
      </c>
      <c r="FA107" s="32">
        <f t="shared" si="482"/>
        <v>0.35955654819381305</v>
      </c>
      <c r="FB107" s="32">
        <f t="shared" si="483"/>
        <v>0.45259530268521864</v>
      </c>
      <c r="FC107" s="32">
        <f t="shared" si="484"/>
        <v>0.50614265022385974</v>
      </c>
      <c r="FD107" s="32">
        <f t="shared" si="485"/>
        <v>0.59986693884443343</v>
      </c>
      <c r="FE107" s="32">
        <f t="shared" si="486"/>
        <v>0.67662878855277742</v>
      </c>
      <c r="FF107" s="32">
        <f t="shared" si="487"/>
        <v>0.73326693690930966</v>
      </c>
      <c r="FG107" s="32">
        <f t="shared" si="488"/>
        <v>0.83851171197553964</v>
      </c>
      <c r="FH107" s="32">
        <f t="shared" si="489"/>
        <v>0.9350813557256189</v>
      </c>
      <c r="FI107" s="32">
        <f t="shared" si="490"/>
        <v>1</v>
      </c>
      <c r="FK107" s="32">
        <f t="shared" si="551"/>
        <v>0.11938394349010228</v>
      </c>
      <c r="FL107" s="32">
        <f t="shared" si="491"/>
        <v>0.25323811380152322</v>
      </c>
      <c r="FM107" s="32">
        <f t="shared" si="492"/>
        <v>0.36871384761953396</v>
      </c>
      <c r="FN107" s="32">
        <f t="shared" si="493"/>
        <v>0.40149287153237401</v>
      </c>
      <c r="FO107" s="32">
        <f t="shared" si="494"/>
        <v>0.49782317674758131</v>
      </c>
      <c r="FP107" s="32">
        <f t="shared" si="495"/>
        <v>0.52352184674147073</v>
      </c>
      <c r="FQ107" s="32">
        <f t="shared" si="496"/>
        <v>0.60226145970079148</v>
      </c>
      <c r="FR107" s="32">
        <f t="shared" si="497"/>
        <v>0.67604043879073394</v>
      </c>
      <c r="FS107" s="32">
        <f t="shared" si="498"/>
        <v>0.73100627918574279</v>
      </c>
      <c r="FT107" s="32">
        <f t="shared" si="499"/>
        <v>0.84081639434364508</v>
      </c>
      <c r="FU107" s="32">
        <f t="shared" si="500"/>
        <v>0.91914986878008464</v>
      </c>
      <c r="FV107" s="32">
        <f t="shared" si="501"/>
        <v>1</v>
      </c>
      <c r="FX107" s="32">
        <f t="shared" si="502"/>
        <v>0.11097254265242749</v>
      </c>
      <c r="FY107" s="32">
        <f t="shared" si="503"/>
        <v>0.23173522107598002</v>
      </c>
      <c r="FZ107" s="32">
        <f t="shared" si="504"/>
        <v>0.30614811976320938</v>
      </c>
      <c r="GA107" s="32">
        <f t="shared" si="505"/>
        <v>0.3372633610756694</v>
      </c>
      <c r="GB107" s="32">
        <f t="shared" si="506"/>
        <v>0.42652927696783732</v>
      </c>
      <c r="GC107" s="32">
        <f t="shared" si="507"/>
        <v>0.50904057774412403</v>
      </c>
      <c r="GD107" s="32">
        <f t="shared" si="508"/>
        <v>0.58945535756555401</v>
      </c>
      <c r="GE107" s="32">
        <f t="shared" si="509"/>
        <v>0.66463063112055087</v>
      </c>
      <c r="GF107" s="32">
        <f t="shared" si="510"/>
        <v>0.72458834775170422</v>
      </c>
      <c r="GG107" s="32">
        <f t="shared" si="511"/>
        <v>0.81728425176233976</v>
      </c>
      <c r="GH107" s="32">
        <f t="shared" si="512"/>
        <v>0.91464377429501165</v>
      </c>
      <c r="GI107" s="32">
        <f t="shared" si="513"/>
        <v>1</v>
      </c>
    </row>
    <row r="108" spans="1:191">
      <c r="A108" s="724" t="s">
        <v>92</v>
      </c>
      <c r="B108" s="399">
        <v>23345.310000000005</v>
      </c>
      <c r="C108" s="400">
        <v>26730.99</v>
      </c>
      <c r="D108" s="400">
        <v>25650.739999999998</v>
      </c>
      <c r="E108" s="400">
        <v>24618.460000000003</v>
      </c>
      <c r="F108" s="400">
        <v>26388.19</v>
      </c>
      <c r="G108" s="400">
        <v>27232.11</v>
      </c>
      <c r="H108" s="400">
        <v>21098.480000000003</v>
      </c>
      <c r="I108" s="400">
        <v>30584.649999999991</v>
      </c>
      <c r="J108" s="400">
        <v>16303.610000000004</v>
      </c>
      <c r="K108" s="400">
        <v>17537.96</v>
      </c>
      <c r="L108" s="400">
        <v>15464.419999999995</v>
      </c>
      <c r="M108" s="400">
        <v>16769.29</v>
      </c>
      <c r="N108" s="400">
        <f t="shared" si="441"/>
        <v>271724.21000000002</v>
      </c>
      <c r="P108" s="396" t="s">
        <v>92</v>
      </c>
      <c r="Q108" s="399">
        <v>55376.88</v>
      </c>
      <c r="R108" s="400">
        <v>38248.92</v>
      </c>
      <c r="S108" s="400">
        <v>40061.629999999997</v>
      </c>
      <c r="T108" s="400">
        <v>22173.8</v>
      </c>
      <c r="U108" s="400">
        <v>15192.1</v>
      </c>
      <c r="V108" s="400">
        <v>20613.689999999999</v>
      </c>
      <c r="W108" s="400">
        <v>19745.050000000003</v>
      </c>
      <c r="X108" s="400">
        <v>13011.839999999997</v>
      </c>
      <c r="Y108" s="400">
        <v>20202.960000000006</v>
      </c>
      <c r="Z108" s="400">
        <v>22274.299999999996</v>
      </c>
      <c r="AA108" s="400">
        <v>12767.04</v>
      </c>
      <c r="AB108" s="400">
        <v>11655.739999999998</v>
      </c>
      <c r="AC108" s="400">
        <f t="shared" si="442"/>
        <v>291323.94999999995</v>
      </c>
      <c r="AE108" s="127" t="s">
        <v>92</v>
      </c>
      <c r="AF108" s="27">
        <v>24606</v>
      </c>
      <c r="AG108" s="27">
        <v>17504.55</v>
      </c>
      <c r="AH108" s="27">
        <v>13606.57</v>
      </c>
      <c r="AI108" s="27">
        <v>21930.38</v>
      </c>
      <c r="AJ108" s="27">
        <v>16251.56</v>
      </c>
      <c r="AK108" s="27">
        <v>12078.02</v>
      </c>
      <c r="AL108" s="27">
        <v>14001.57</v>
      </c>
      <c r="AM108" s="27">
        <v>15062.7</v>
      </c>
      <c r="AN108" s="27">
        <v>14109.6</v>
      </c>
      <c r="AO108" s="27">
        <v>16612.87</v>
      </c>
      <c r="AP108" s="27">
        <v>12147.45</v>
      </c>
      <c r="AQ108" s="27">
        <v>34691.54</v>
      </c>
      <c r="AR108" s="43">
        <f t="shared" si="443"/>
        <v>212602.81000000003</v>
      </c>
      <c r="AT108" s="60" t="s">
        <v>92</v>
      </c>
      <c r="AU108" s="27">
        <v>22366.500000000004</v>
      </c>
      <c r="AV108" s="27">
        <v>16733.409999999993</v>
      </c>
      <c r="AW108" s="27">
        <v>10133.200000000006</v>
      </c>
      <c r="AX108" s="27">
        <v>13399.550000000005</v>
      </c>
      <c r="AY108" s="27">
        <v>11648.550000000012</v>
      </c>
      <c r="AZ108" s="27">
        <v>11835.5</v>
      </c>
      <c r="BA108" s="27">
        <v>11179.489999999996</v>
      </c>
      <c r="BB108" s="27">
        <v>7201.43</v>
      </c>
      <c r="BC108" s="27">
        <v>6752.28</v>
      </c>
      <c r="BD108" s="27">
        <v>6533.66</v>
      </c>
      <c r="BE108" s="27">
        <v>7635.32</v>
      </c>
      <c r="BF108" s="27">
        <v>12257.55</v>
      </c>
      <c r="BG108" s="43">
        <f t="shared" si="403"/>
        <v>137676.44</v>
      </c>
      <c r="BI108" s="60" t="s">
        <v>92</v>
      </c>
      <c r="BJ108" s="27">
        <v>12719.08</v>
      </c>
      <c r="BK108" s="27">
        <v>9953.09</v>
      </c>
      <c r="BL108" s="27">
        <v>11727.56</v>
      </c>
      <c r="BM108" s="27">
        <v>5938.340000000002</v>
      </c>
      <c r="BN108" s="27">
        <v>7960.2700000000023</v>
      </c>
      <c r="BO108" s="27">
        <v>8482.3599999999988</v>
      </c>
      <c r="BP108" s="27">
        <v>6685.43</v>
      </c>
      <c r="BQ108" s="27">
        <v>6524.4300000000021</v>
      </c>
      <c r="BR108" s="27">
        <v>9387.68</v>
      </c>
      <c r="BS108" s="27">
        <v>7332.37</v>
      </c>
      <c r="BT108" s="27">
        <v>6150.27</v>
      </c>
      <c r="BU108" s="27">
        <v>8934.5800000000017</v>
      </c>
      <c r="BV108" s="43">
        <f t="shared" si="404"/>
        <v>101795.46000000002</v>
      </c>
      <c r="BW108" s="405"/>
      <c r="BX108" s="32">
        <f t="shared" si="514"/>
        <v>8.5915458177245246E-2</v>
      </c>
      <c r="BY108" s="32">
        <f t="shared" si="515"/>
        <v>0.18429090289746355</v>
      </c>
      <c r="BZ108" s="32">
        <f t="shared" si="516"/>
        <v>0.27869080933200618</v>
      </c>
      <c r="CA108" s="32">
        <f t="shared" si="517"/>
        <v>0.36929171677415129</v>
      </c>
      <c r="CB108" s="32">
        <f t="shared" si="518"/>
        <v>0.46640558822491379</v>
      </c>
      <c r="CC108" s="32">
        <f t="shared" si="519"/>
        <v>0.56662525580624568</v>
      </c>
      <c r="CD108" s="32">
        <f t="shared" si="520"/>
        <v>0.64427192556747159</v>
      </c>
      <c r="CE108" s="32">
        <f t="shared" si="521"/>
        <v>0.7568296177951902</v>
      </c>
      <c r="CF108" s="32">
        <f t="shared" si="522"/>
        <v>0.81683019705899607</v>
      </c>
      <c r="CG108" s="32">
        <f t="shared" si="523"/>
        <v>0.88137343374740151</v>
      </c>
      <c r="CH108" s="32">
        <f t="shared" si="524"/>
        <v>0.93828562423642703</v>
      </c>
      <c r="CI108" s="32">
        <f t="shared" si="525"/>
        <v>1</v>
      </c>
      <c r="CJ108" s="405"/>
      <c r="CK108" s="32">
        <f t="shared" si="526"/>
        <v>0.19008694616422717</v>
      </c>
      <c r="CL108" s="32">
        <f t="shared" si="527"/>
        <v>0.32138037397886443</v>
      </c>
      <c r="CM108" s="32">
        <f t="shared" si="528"/>
        <v>0.45889611890817772</v>
      </c>
      <c r="CN108" s="32">
        <f t="shared" si="529"/>
        <v>0.5350100120501593</v>
      </c>
      <c r="CO108" s="32">
        <f t="shared" si="530"/>
        <v>0.5871584879993561</v>
      </c>
      <c r="CP108" s="32">
        <f t="shared" si="531"/>
        <v>0.65791714000857127</v>
      </c>
      <c r="CQ108" s="32">
        <f t="shared" si="532"/>
        <v>0.72569409415188846</v>
      </c>
      <c r="CR108" s="32">
        <f t="shared" si="533"/>
        <v>0.77035859907844872</v>
      </c>
      <c r="CS108" s="32">
        <f t="shared" si="534"/>
        <v>0.83970737730282741</v>
      </c>
      <c r="CT108" s="32">
        <f t="shared" si="535"/>
        <v>0.91616624723096063</v>
      </c>
      <c r="CU108" s="32">
        <f t="shared" si="536"/>
        <v>0.95999045049334253</v>
      </c>
      <c r="CV108" s="32">
        <f t="shared" si="537"/>
        <v>1</v>
      </c>
      <c r="CX108" s="32">
        <f t="shared" si="538"/>
        <v>0.11573694628024905</v>
      </c>
      <c r="CY108" s="32">
        <f t="shared" si="539"/>
        <v>0.19807146481271812</v>
      </c>
      <c r="CZ108" s="32">
        <f t="shared" si="540"/>
        <v>0.26207141852922827</v>
      </c>
      <c r="DA108" s="32">
        <f t="shared" si="541"/>
        <v>0.36522330067039088</v>
      </c>
      <c r="DB108" s="32">
        <f t="shared" si="542"/>
        <v>0.44166424705299046</v>
      </c>
      <c r="DC108" s="32">
        <f t="shared" si="543"/>
        <v>0.49847450275939431</v>
      </c>
      <c r="DD108" s="32">
        <f t="shared" si="544"/>
        <v>0.56433238111951567</v>
      </c>
      <c r="DE108" s="32">
        <f t="shared" si="545"/>
        <v>0.63518139764944781</v>
      </c>
      <c r="DF108" s="32">
        <f t="shared" si="546"/>
        <v>0.70154740664058013</v>
      </c>
      <c r="DG108" s="32">
        <f t="shared" si="547"/>
        <v>0.77968781315731428</v>
      </c>
      <c r="DH108" s="32">
        <f t="shared" si="548"/>
        <v>0.83682464027639147</v>
      </c>
      <c r="DI108" s="32">
        <f t="shared" si="549"/>
        <v>1</v>
      </c>
      <c r="DK108" s="32">
        <f t="shared" si="444"/>
        <v>0.16245698973622505</v>
      </c>
      <c r="DL108" s="32">
        <f t="shared" si="445"/>
        <v>0.28399855487256931</v>
      </c>
      <c r="DM108" s="32">
        <f t="shared" si="446"/>
        <v>0.3576001093578538</v>
      </c>
      <c r="DN108" s="32">
        <f t="shared" si="447"/>
        <v>0.45492649286980402</v>
      </c>
      <c r="DO108" s="32">
        <f t="shared" si="448"/>
        <v>0.53953465095407771</v>
      </c>
      <c r="DP108" s="32">
        <f t="shared" si="449"/>
        <v>0.62550070295251692</v>
      </c>
      <c r="DQ108" s="32">
        <f t="shared" si="450"/>
        <v>0.70670188741080175</v>
      </c>
      <c r="DR108" s="32">
        <f t="shared" si="451"/>
        <v>0.7590088035396616</v>
      </c>
      <c r="DS108" s="32">
        <f t="shared" si="452"/>
        <v>0.80805336047329523</v>
      </c>
      <c r="DT108" s="32">
        <f t="shared" si="453"/>
        <v>0.85550999139722095</v>
      </c>
      <c r="DU108" s="32">
        <f t="shared" si="454"/>
        <v>0.91096842713248549</v>
      </c>
      <c r="DV108" s="32">
        <f t="shared" si="455"/>
        <v>1</v>
      </c>
      <c r="DW108" s="39"/>
      <c r="DX108" s="32">
        <f t="shared" si="456"/>
        <v>0.12494741906957341</v>
      </c>
      <c r="DY108" s="32">
        <f t="shared" si="457"/>
        <v>0.22272280119368776</v>
      </c>
      <c r="DZ108" s="32">
        <f t="shared" si="458"/>
        <v>0.33792990375012782</v>
      </c>
      <c r="EA108" s="32">
        <f t="shared" si="459"/>
        <v>0.3962659041965132</v>
      </c>
      <c r="EB108" s="32">
        <f t="shared" si="460"/>
        <v>0.47446457828276423</v>
      </c>
      <c r="EC108" s="32">
        <f t="shared" si="461"/>
        <v>0.55779206656171099</v>
      </c>
      <c r="ED108" s="32">
        <f t="shared" si="462"/>
        <v>0.62346719588476729</v>
      </c>
      <c r="EE108" s="32">
        <f t="shared" si="463"/>
        <v>0.68756072225617915</v>
      </c>
      <c r="EF108" s="32">
        <f t="shared" si="464"/>
        <v>0.77978173093377645</v>
      </c>
      <c r="EG108" s="32">
        <f t="shared" si="465"/>
        <v>0.85181215350861417</v>
      </c>
      <c r="EH108" s="32">
        <f t="shared" si="466"/>
        <v>0.91223007391488775</v>
      </c>
      <c r="EI108" s="32">
        <f t="shared" si="467"/>
        <v>1</v>
      </c>
      <c r="EK108" s="32">
        <f t="shared" si="550"/>
        <v>0.13438045169534918</v>
      </c>
      <c r="EL108" s="32">
        <f t="shared" si="468"/>
        <v>0.23493094029299169</v>
      </c>
      <c r="EM108" s="32">
        <f t="shared" si="469"/>
        <v>0.3192004772124033</v>
      </c>
      <c r="EN108" s="32">
        <f t="shared" si="470"/>
        <v>0.40547189924556931</v>
      </c>
      <c r="EO108" s="32">
        <f t="shared" si="471"/>
        <v>0.48522115876327748</v>
      </c>
      <c r="EP108" s="32">
        <f t="shared" si="472"/>
        <v>0.560589090757874</v>
      </c>
      <c r="EQ108" s="32">
        <f t="shared" si="473"/>
        <v>0.63150048813836157</v>
      </c>
      <c r="ER108" s="32">
        <f t="shared" si="474"/>
        <v>0.69391697448176293</v>
      </c>
      <c r="ES108" s="32">
        <f t="shared" si="475"/>
        <v>0.76312749934921731</v>
      </c>
      <c r="ET108" s="32">
        <f t="shared" si="476"/>
        <v>0.82900331935438309</v>
      </c>
      <c r="EU108" s="32">
        <f t="shared" si="477"/>
        <v>0.88667438044125479</v>
      </c>
      <c r="EV108" s="32">
        <f t="shared" si="478"/>
        <v>1</v>
      </c>
      <c r="EX108" s="32">
        <f t="shared" si="479"/>
        <v>0.14830707531256865</v>
      </c>
      <c r="EY108" s="32">
        <f t="shared" si="480"/>
        <v>0.25654329871445991</v>
      </c>
      <c r="EZ108" s="32">
        <f t="shared" si="481"/>
        <v>0.3541243876363469</v>
      </c>
      <c r="FA108" s="32">
        <f t="shared" si="482"/>
        <v>0.43785642744671682</v>
      </c>
      <c r="FB108" s="32">
        <f t="shared" si="483"/>
        <v>0.51070549107229712</v>
      </c>
      <c r="FC108" s="32">
        <f t="shared" si="484"/>
        <v>0.58492110307054834</v>
      </c>
      <c r="FD108" s="32">
        <f t="shared" si="485"/>
        <v>0.65504888964174324</v>
      </c>
      <c r="FE108" s="32">
        <f t="shared" si="486"/>
        <v>0.7130273806309344</v>
      </c>
      <c r="FF108" s="32">
        <f t="shared" si="487"/>
        <v>0.78227246883761981</v>
      </c>
      <c r="FG108" s="32">
        <f t="shared" si="488"/>
        <v>0.85079405132352748</v>
      </c>
      <c r="FH108" s="32">
        <f t="shared" si="489"/>
        <v>0.90500339795427687</v>
      </c>
      <c r="FI108" s="32">
        <f t="shared" si="490"/>
        <v>1</v>
      </c>
      <c r="FK108" s="32">
        <f t="shared" si="551"/>
        <v>0.15609362739356711</v>
      </c>
      <c r="FL108" s="32">
        <f t="shared" si="491"/>
        <v>0.26781679788805063</v>
      </c>
      <c r="FM108" s="32">
        <f t="shared" si="492"/>
        <v>0.35952254893175328</v>
      </c>
      <c r="FN108" s="32">
        <f t="shared" si="493"/>
        <v>0.45171993519678472</v>
      </c>
      <c r="FO108" s="32">
        <f t="shared" si="494"/>
        <v>0.52278579533547476</v>
      </c>
      <c r="FP108" s="32">
        <f t="shared" si="495"/>
        <v>0.59396411524016079</v>
      </c>
      <c r="FQ108" s="32">
        <f t="shared" si="496"/>
        <v>0.66557612089406859</v>
      </c>
      <c r="FR108" s="32">
        <f t="shared" si="497"/>
        <v>0.72151626675585268</v>
      </c>
      <c r="FS108" s="32">
        <f t="shared" si="498"/>
        <v>0.78310271480556759</v>
      </c>
      <c r="FT108" s="32">
        <f t="shared" si="499"/>
        <v>0.85045468392849866</v>
      </c>
      <c r="FU108" s="32">
        <f t="shared" si="500"/>
        <v>0.90259450596740642</v>
      </c>
      <c r="FV108" s="32">
        <f t="shared" si="501"/>
        <v>1</v>
      </c>
      <c r="FX108" s="32">
        <f t="shared" si="502"/>
        <v>0.13057978354057384</v>
      </c>
      <c r="FY108" s="32">
        <f t="shared" si="503"/>
        <v>0.23458091389634869</v>
      </c>
      <c r="FZ108" s="32">
        <f t="shared" si="504"/>
        <v>0.33321944892313743</v>
      </c>
      <c r="GA108" s="32">
        <f t="shared" si="505"/>
        <v>0.42317500983156719</v>
      </c>
      <c r="GB108" s="32">
        <f t="shared" si="506"/>
        <v>0.49840944109242008</v>
      </c>
      <c r="GC108" s="32">
        <f t="shared" si="507"/>
        <v>0.57433896619140379</v>
      </c>
      <c r="GD108" s="32">
        <f t="shared" si="508"/>
        <v>0.64476613361295854</v>
      </c>
      <c r="GE108" s="32">
        <f t="shared" si="509"/>
        <v>0.72078987150769558</v>
      </c>
      <c r="GF108" s="32">
        <f t="shared" si="510"/>
        <v>0.78602832700080116</v>
      </c>
      <c r="GG108" s="32">
        <f t="shared" si="511"/>
        <v>0.85907583137855881</v>
      </c>
      <c r="GH108" s="32">
        <f t="shared" si="512"/>
        <v>0.91170023833538705</v>
      </c>
      <c r="GI108" s="32">
        <f t="shared" si="513"/>
        <v>1</v>
      </c>
    </row>
    <row r="109" spans="1:191">
      <c r="A109" s="724" t="s">
        <v>93</v>
      </c>
      <c r="B109" s="399">
        <v>4732.6100000000006</v>
      </c>
      <c r="C109" s="400">
        <v>13461.55</v>
      </c>
      <c r="D109" s="400">
        <v>8052.75</v>
      </c>
      <c r="E109" s="400">
        <v>3893.1599999999994</v>
      </c>
      <c r="F109" s="400">
        <v>6212.2</v>
      </c>
      <c r="G109" s="400">
        <v>9775.7799999999988</v>
      </c>
      <c r="H109" s="400">
        <v>2781.4300000000003</v>
      </c>
      <c r="I109" s="400">
        <v>3477.8700000000017</v>
      </c>
      <c r="J109" s="400">
        <v>4334.71</v>
      </c>
      <c r="K109" s="400">
        <v>8689.3499999999985</v>
      </c>
      <c r="L109" s="400">
        <v>4869.6099999999988</v>
      </c>
      <c r="M109" s="400">
        <v>12390.1</v>
      </c>
      <c r="N109" s="400">
        <f t="shared" si="441"/>
        <v>82671.12</v>
      </c>
      <c r="P109" s="396" t="s">
        <v>93</v>
      </c>
      <c r="Q109" s="399">
        <v>6581.37</v>
      </c>
      <c r="R109" s="400">
        <v>6911.45</v>
      </c>
      <c r="S109" s="400">
        <v>3098.28</v>
      </c>
      <c r="T109" s="400">
        <v>933.13</v>
      </c>
      <c r="U109" s="400">
        <v>640.32000000000005</v>
      </c>
      <c r="V109" s="400">
        <v>1242.3</v>
      </c>
      <c r="W109" s="400">
        <v>2261.3999999999996</v>
      </c>
      <c r="X109" s="400">
        <v>1996.3299999999981</v>
      </c>
      <c r="Y109" s="400">
        <v>3553.1499999999996</v>
      </c>
      <c r="Z109" s="400">
        <v>6420.43</v>
      </c>
      <c r="AA109" s="400">
        <v>2414.5</v>
      </c>
      <c r="AB109" s="400">
        <v>2730.4800000000005</v>
      </c>
      <c r="AC109" s="400">
        <f t="shared" si="442"/>
        <v>38783.14</v>
      </c>
      <c r="AE109" s="127" t="s">
        <v>93</v>
      </c>
      <c r="AF109" s="27">
        <v>5572.06</v>
      </c>
      <c r="AG109" s="27">
        <v>6982.89</v>
      </c>
      <c r="AH109" s="27">
        <v>2401.0700000000002</v>
      </c>
      <c r="AI109" s="27">
        <v>5399.05</v>
      </c>
      <c r="AJ109" s="27">
        <v>8836.82</v>
      </c>
      <c r="AK109" s="27">
        <v>5206.8500000000004</v>
      </c>
      <c r="AL109" s="27">
        <v>7258.89</v>
      </c>
      <c r="AM109" s="27">
        <v>8467.34</v>
      </c>
      <c r="AN109" s="27">
        <v>3646.74</v>
      </c>
      <c r="AO109" s="27">
        <v>4080.03</v>
      </c>
      <c r="AP109" s="27">
        <v>4025.77</v>
      </c>
      <c r="AQ109" s="27">
        <v>4310.3100000000004</v>
      </c>
      <c r="AR109" s="43">
        <f t="shared" si="443"/>
        <v>66187.819999999992</v>
      </c>
      <c r="AT109" s="60" t="s">
        <v>93</v>
      </c>
      <c r="AU109" s="27">
        <v>2397.7900000000009</v>
      </c>
      <c r="AV109" s="27">
        <v>1752.4400000000026</v>
      </c>
      <c r="AW109" s="27">
        <v>1621</v>
      </c>
      <c r="AX109" s="27">
        <v>2022.4199999999992</v>
      </c>
      <c r="AY109" s="27">
        <v>2923.7100000000005</v>
      </c>
      <c r="AZ109" s="27">
        <v>856.58</v>
      </c>
      <c r="BA109" s="27">
        <v>3663.78</v>
      </c>
      <c r="BB109" s="27">
        <v>1918.49</v>
      </c>
      <c r="BC109" s="27">
        <v>1736.1499999999999</v>
      </c>
      <c r="BD109" s="27">
        <v>337.83</v>
      </c>
      <c r="BE109" s="27">
        <v>2901.57</v>
      </c>
      <c r="BF109" s="27">
        <v>1316.75</v>
      </c>
      <c r="BG109" s="43">
        <f t="shared" si="403"/>
        <v>23448.510000000006</v>
      </c>
      <c r="BI109" s="60" t="s">
        <v>93</v>
      </c>
      <c r="BJ109" s="27">
        <v>4757.28</v>
      </c>
      <c r="BK109" s="27">
        <v>3462.6899999999996</v>
      </c>
      <c r="BL109" s="27">
        <v>6104.3200000000015</v>
      </c>
      <c r="BM109" s="27">
        <v>4091.4599999999996</v>
      </c>
      <c r="BN109" s="27">
        <v>3283.4100000000012</v>
      </c>
      <c r="BO109" s="27">
        <v>4588.9900000000007</v>
      </c>
      <c r="BP109" s="27">
        <v>2570.48</v>
      </c>
      <c r="BQ109" s="27">
        <v>1780.9499999999996</v>
      </c>
      <c r="BR109" s="27">
        <v>1168.7300000000002</v>
      </c>
      <c r="BS109" s="27">
        <v>1192.6500000000003</v>
      </c>
      <c r="BT109" s="27">
        <v>836.58</v>
      </c>
      <c r="BU109" s="27">
        <v>628.19000000000017</v>
      </c>
      <c r="BV109" s="43">
        <f t="shared" si="404"/>
        <v>34465.730000000003</v>
      </c>
      <c r="BW109" s="405"/>
      <c r="BX109" s="32">
        <f t="shared" si="514"/>
        <v>5.7246230606286704E-2</v>
      </c>
      <c r="BY109" s="32">
        <f t="shared" si="515"/>
        <v>0.22007878930393104</v>
      </c>
      <c r="BZ109" s="32">
        <f t="shared" si="516"/>
        <v>0.3174858402789269</v>
      </c>
      <c r="CA109" s="32">
        <f t="shared" si="517"/>
        <v>0.36457798079909892</v>
      </c>
      <c r="CB109" s="32">
        <f t="shared" si="518"/>
        <v>0.43972151338943999</v>
      </c>
      <c r="CC109" s="32">
        <f t="shared" si="519"/>
        <v>0.55797054642540223</v>
      </c>
      <c r="CD109" s="32">
        <f t="shared" si="520"/>
        <v>0.59161506460780977</v>
      </c>
      <c r="CE109" s="32">
        <f t="shared" si="521"/>
        <v>0.63368380638849453</v>
      </c>
      <c r="CF109" s="32">
        <f t="shared" si="522"/>
        <v>0.68611698982667713</v>
      </c>
      <c r="CG109" s="32">
        <f t="shared" si="523"/>
        <v>0.79122443242573703</v>
      </c>
      <c r="CH109" s="32">
        <f t="shared" si="524"/>
        <v>0.85012783182325335</v>
      </c>
      <c r="CI109" s="32">
        <f t="shared" si="525"/>
        <v>1</v>
      </c>
      <c r="CJ109" s="405"/>
      <c r="CK109" s="32">
        <f t="shared" si="526"/>
        <v>0.16969667747376824</v>
      </c>
      <c r="CL109" s="32">
        <f t="shared" si="527"/>
        <v>0.34790426974195487</v>
      </c>
      <c r="CM109" s="32">
        <f t="shared" si="528"/>
        <v>0.42779156097211313</v>
      </c>
      <c r="CN109" s="32">
        <f t="shared" si="529"/>
        <v>0.45185175826402918</v>
      </c>
      <c r="CO109" s="32">
        <f t="shared" si="530"/>
        <v>0.46836202535431631</v>
      </c>
      <c r="CP109" s="32">
        <f t="shared" si="531"/>
        <v>0.50039398563396364</v>
      </c>
      <c r="CQ109" s="32">
        <f t="shared" si="532"/>
        <v>0.55870282808457494</v>
      </c>
      <c r="CR109" s="32">
        <f t="shared" si="533"/>
        <v>0.6101769995931221</v>
      </c>
      <c r="CS109" s="32">
        <f t="shared" si="534"/>
        <v>0.70179284090973537</v>
      </c>
      <c r="CT109" s="32">
        <f t="shared" si="535"/>
        <v>0.86733977702682141</v>
      </c>
      <c r="CU109" s="32">
        <f t="shared" si="536"/>
        <v>0.92959621113710744</v>
      </c>
      <c r="CV109" s="32">
        <f t="shared" si="537"/>
        <v>1</v>
      </c>
      <c r="CX109" s="32">
        <f t="shared" si="538"/>
        <v>8.4185579763769239E-2</v>
      </c>
      <c r="CY109" s="32">
        <f t="shared" si="539"/>
        <v>0.18968671275168153</v>
      </c>
      <c r="CZ109" s="32">
        <f t="shared" si="540"/>
        <v>0.22596332678731529</v>
      </c>
      <c r="DA109" s="32">
        <f t="shared" si="541"/>
        <v>0.30753498151170416</v>
      </c>
      <c r="DB109" s="32">
        <f t="shared" si="542"/>
        <v>0.44104625292085464</v>
      </c>
      <c r="DC109" s="32">
        <f t="shared" si="543"/>
        <v>0.51971405010770866</v>
      </c>
      <c r="DD109" s="32">
        <f t="shared" si="544"/>
        <v>0.62938513460633694</v>
      </c>
      <c r="DE109" s="32">
        <f t="shared" si="545"/>
        <v>0.75731411005831595</v>
      </c>
      <c r="DF109" s="32">
        <f t="shared" si="546"/>
        <v>0.81241095416044828</v>
      </c>
      <c r="DG109" s="32">
        <f t="shared" si="547"/>
        <v>0.87405416887880583</v>
      </c>
      <c r="DH109" s="32">
        <f t="shared" si="548"/>
        <v>0.93487759530378856</v>
      </c>
      <c r="DI109" s="32">
        <f t="shared" si="549"/>
        <v>1</v>
      </c>
      <c r="DK109" s="32">
        <f t="shared" si="444"/>
        <v>0.10225767010355884</v>
      </c>
      <c r="DL109" s="32">
        <f t="shared" si="445"/>
        <v>0.17699333561066363</v>
      </c>
      <c r="DM109" s="32">
        <f t="shared" si="446"/>
        <v>0.24612352767830459</v>
      </c>
      <c r="DN109" s="32">
        <f t="shared" si="447"/>
        <v>0.33237293115852568</v>
      </c>
      <c r="DO109" s="32">
        <f t="shared" si="448"/>
        <v>0.45705931848121695</v>
      </c>
      <c r="DP109" s="32">
        <f t="shared" si="449"/>
        <v>0.4935895713629565</v>
      </c>
      <c r="DQ109" s="32">
        <f t="shared" si="450"/>
        <v>0.64983745235838009</v>
      </c>
      <c r="DR109" s="32">
        <f t="shared" si="451"/>
        <v>0.73165459127253707</v>
      </c>
      <c r="DS109" s="32">
        <f t="shared" si="452"/>
        <v>0.8056955431283267</v>
      </c>
      <c r="DT109" s="32">
        <f t="shared" si="453"/>
        <v>0.82010285514943171</v>
      </c>
      <c r="DU109" s="32">
        <f t="shared" si="454"/>
        <v>0.94384504601784935</v>
      </c>
      <c r="DV109" s="32">
        <f t="shared" si="455"/>
        <v>1</v>
      </c>
      <c r="DW109" s="39"/>
      <c r="DX109" s="32">
        <f t="shared" si="456"/>
        <v>0.13802928300082429</v>
      </c>
      <c r="DY109" s="32">
        <f t="shared" si="457"/>
        <v>0.23849690692754799</v>
      </c>
      <c r="DZ109" s="32">
        <f t="shared" si="458"/>
        <v>0.41560965051371318</v>
      </c>
      <c r="EA109" s="32">
        <f t="shared" si="459"/>
        <v>0.53432061354858862</v>
      </c>
      <c r="EB109" s="32">
        <f t="shared" si="460"/>
        <v>0.62958654872535702</v>
      </c>
      <c r="EC109" s="32">
        <f t="shared" si="461"/>
        <v>0.76273301044254682</v>
      </c>
      <c r="ED109" s="32">
        <f t="shared" si="462"/>
        <v>0.83731376065442398</v>
      </c>
      <c r="EE109" s="32">
        <f t="shared" si="463"/>
        <v>0.88898682836545173</v>
      </c>
      <c r="EF109" s="32">
        <f t="shared" si="464"/>
        <v>0.92289674409913847</v>
      </c>
      <c r="EG109" s="32">
        <f t="shared" si="465"/>
        <v>0.95750068256206955</v>
      </c>
      <c r="EH109" s="32">
        <f t="shared" si="466"/>
        <v>0.98177348920217267</v>
      </c>
      <c r="EI109" s="32">
        <f t="shared" si="467"/>
        <v>1</v>
      </c>
      <c r="EK109" s="32">
        <f t="shared" si="550"/>
        <v>0.10815751095605079</v>
      </c>
      <c r="EL109" s="32">
        <f t="shared" si="468"/>
        <v>0.20172565176329771</v>
      </c>
      <c r="EM109" s="32">
        <f t="shared" si="469"/>
        <v>0.29589883499311104</v>
      </c>
      <c r="EN109" s="32">
        <f t="shared" si="470"/>
        <v>0.39140950873960617</v>
      </c>
      <c r="EO109" s="32">
        <f t="shared" si="471"/>
        <v>0.50923070670914283</v>
      </c>
      <c r="EP109" s="32">
        <f t="shared" si="472"/>
        <v>0.59201221063773735</v>
      </c>
      <c r="EQ109" s="32">
        <f t="shared" si="473"/>
        <v>0.70551211587304696</v>
      </c>
      <c r="ER109" s="32">
        <f t="shared" si="474"/>
        <v>0.79265184323210158</v>
      </c>
      <c r="ES109" s="32">
        <f t="shared" si="475"/>
        <v>0.84700108046263789</v>
      </c>
      <c r="ET109" s="32">
        <f t="shared" si="476"/>
        <v>0.8838859021967691</v>
      </c>
      <c r="EU109" s="32">
        <f t="shared" si="477"/>
        <v>0.95349871017460341</v>
      </c>
      <c r="EV109" s="32">
        <f t="shared" si="478"/>
        <v>1</v>
      </c>
      <c r="EX109" s="32">
        <f t="shared" si="479"/>
        <v>0.12354230258548016</v>
      </c>
      <c r="EY109" s="32">
        <f t="shared" si="480"/>
        <v>0.238270306257962</v>
      </c>
      <c r="EZ109" s="32">
        <f t="shared" si="481"/>
        <v>0.32887201648786157</v>
      </c>
      <c r="FA109" s="32">
        <f t="shared" si="482"/>
        <v>0.40652007112071187</v>
      </c>
      <c r="FB109" s="32">
        <f t="shared" si="483"/>
        <v>0.49901353637043622</v>
      </c>
      <c r="FC109" s="32">
        <f t="shared" si="484"/>
        <v>0.56910765438679389</v>
      </c>
      <c r="FD109" s="32">
        <f t="shared" si="485"/>
        <v>0.66880979392592899</v>
      </c>
      <c r="FE109" s="32">
        <f t="shared" si="486"/>
        <v>0.74703313232235669</v>
      </c>
      <c r="FF109" s="32">
        <f t="shared" si="487"/>
        <v>0.81069902057441223</v>
      </c>
      <c r="FG109" s="32">
        <f t="shared" si="488"/>
        <v>0.87974937090428207</v>
      </c>
      <c r="FH109" s="32">
        <f t="shared" si="489"/>
        <v>0.94752308541522956</v>
      </c>
      <c r="FI109" s="32">
        <f t="shared" si="490"/>
        <v>1</v>
      </c>
      <c r="FK109" s="32">
        <f t="shared" si="551"/>
        <v>0.11871330911369878</v>
      </c>
      <c r="FL109" s="32">
        <f t="shared" si="491"/>
        <v>0.23819477270143333</v>
      </c>
      <c r="FM109" s="32">
        <f t="shared" si="492"/>
        <v>0.2999594718125777</v>
      </c>
      <c r="FN109" s="32">
        <f t="shared" si="493"/>
        <v>0.36391989031141964</v>
      </c>
      <c r="FO109" s="32">
        <f t="shared" si="494"/>
        <v>0.45548919891879597</v>
      </c>
      <c r="FP109" s="32">
        <f t="shared" si="495"/>
        <v>0.50456586903487632</v>
      </c>
      <c r="FQ109" s="32">
        <f t="shared" si="496"/>
        <v>0.61264180501643073</v>
      </c>
      <c r="FR109" s="32">
        <f t="shared" si="497"/>
        <v>0.69971523364132493</v>
      </c>
      <c r="FS109" s="32">
        <f t="shared" si="498"/>
        <v>0.77329977939950345</v>
      </c>
      <c r="FT109" s="32">
        <f t="shared" si="499"/>
        <v>0.85383226701835291</v>
      </c>
      <c r="FU109" s="32">
        <f t="shared" si="500"/>
        <v>0.93610628415291508</v>
      </c>
      <c r="FV109" s="32">
        <f t="shared" si="501"/>
        <v>1</v>
      </c>
      <c r="FX109" s="32">
        <f t="shared" si="502"/>
        <v>0.10370949594794139</v>
      </c>
      <c r="FY109" s="32">
        <f t="shared" si="503"/>
        <v>0.25255659059918917</v>
      </c>
      <c r="FZ109" s="32">
        <f t="shared" si="504"/>
        <v>0.32374690934611844</v>
      </c>
      <c r="GA109" s="32">
        <f t="shared" si="505"/>
        <v>0.3746549068582774</v>
      </c>
      <c r="GB109" s="32">
        <f t="shared" si="506"/>
        <v>0.44970993055487024</v>
      </c>
      <c r="GC109" s="32">
        <f t="shared" si="507"/>
        <v>0.52602619405569151</v>
      </c>
      <c r="GD109" s="32">
        <f t="shared" si="508"/>
        <v>0.59323434243290718</v>
      </c>
      <c r="GE109" s="32">
        <f t="shared" si="509"/>
        <v>0.66705830534664423</v>
      </c>
      <c r="GF109" s="32">
        <f t="shared" si="510"/>
        <v>0.73344026163228693</v>
      </c>
      <c r="GG109" s="32">
        <f t="shared" si="511"/>
        <v>0.84420612611045476</v>
      </c>
      <c r="GH109" s="32">
        <f t="shared" si="512"/>
        <v>0.90486721275471649</v>
      </c>
      <c r="GI109" s="32">
        <f t="shared" si="513"/>
        <v>1</v>
      </c>
    </row>
    <row r="110" spans="1:191">
      <c r="A110" s="724" t="s">
        <v>94</v>
      </c>
      <c r="B110" s="399">
        <v>7035.9600000000009</v>
      </c>
      <c r="C110" s="400">
        <v>5070.53</v>
      </c>
      <c r="D110" s="400">
        <v>4001.8900000000003</v>
      </c>
      <c r="E110" s="400">
        <v>4122.12</v>
      </c>
      <c r="F110" s="400">
        <v>5230.7800000000007</v>
      </c>
      <c r="G110" s="400">
        <v>2758.57</v>
      </c>
      <c r="H110" s="400">
        <v>3264.98</v>
      </c>
      <c r="I110" s="400">
        <v>2677.6600000000003</v>
      </c>
      <c r="J110" s="400">
        <v>1798.0599999999995</v>
      </c>
      <c r="K110" s="400">
        <v>1159.79</v>
      </c>
      <c r="L110" s="400">
        <v>2717.66</v>
      </c>
      <c r="M110" s="400">
        <v>697.11</v>
      </c>
      <c r="N110" s="400">
        <f t="shared" si="441"/>
        <v>40535.11</v>
      </c>
      <c r="P110" s="396" t="s">
        <v>94</v>
      </c>
      <c r="Q110" s="399">
        <v>4065.94</v>
      </c>
      <c r="R110" s="400">
        <v>1426.82</v>
      </c>
      <c r="S110" s="400">
        <v>671.07</v>
      </c>
      <c r="T110" s="400">
        <v>270.95</v>
      </c>
      <c r="U110" s="400">
        <v>348.55</v>
      </c>
      <c r="V110" s="400">
        <v>1084.19</v>
      </c>
      <c r="W110" s="400">
        <v>2079.8599999999997</v>
      </c>
      <c r="X110" s="400">
        <v>301.89999999999964</v>
      </c>
      <c r="Y110" s="400">
        <v>854.68000000000006</v>
      </c>
      <c r="Z110" s="400">
        <v>857.36000000000013</v>
      </c>
      <c r="AA110" s="400">
        <v>523.99</v>
      </c>
      <c r="AB110" s="400">
        <v>2624.7400000000002</v>
      </c>
      <c r="AC110" s="400">
        <f t="shared" si="442"/>
        <v>15110.050000000001</v>
      </c>
      <c r="AE110" s="127" t="s">
        <v>94</v>
      </c>
      <c r="AF110" s="27">
        <v>1170.32</v>
      </c>
      <c r="AG110" s="27">
        <v>168.62</v>
      </c>
      <c r="AH110" s="27">
        <v>230.9</v>
      </c>
      <c r="AI110" s="27">
        <v>307.16000000000003</v>
      </c>
      <c r="AJ110" s="27">
        <v>710.25</v>
      </c>
      <c r="AK110" s="27">
        <v>2394.4899999999998</v>
      </c>
      <c r="AL110" s="27">
        <v>446.11</v>
      </c>
      <c r="AM110" s="27">
        <v>1847.63</v>
      </c>
      <c r="AN110" s="27">
        <v>653.55999999999995</v>
      </c>
      <c r="AO110" s="27">
        <v>713.01</v>
      </c>
      <c r="AP110" s="27">
        <v>1599.18</v>
      </c>
      <c r="AQ110" s="27">
        <v>911.94</v>
      </c>
      <c r="AR110" s="43">
        <f t="shared" si="443"/>
        <v>11153.17</v>
      </c>
      <c r="AT110" s="60" t="s">
        <v>94</v>
      </c>
      <c r="AU110" s="27">
        <v>671.94999999999982</v>
      </c>
      <c r="AV110" s="27">
        <v>993.20000000000073</v>
      </c>
      <c r="AW110" s="27">
        <v>854.64000000000033</v>
      </c>
      <c r="AX110" s="27">
        <v>1848.9099999999999</v>
      </c>
      <c r="AY110" s="27">
        <v>306.94999999999982</v>
      </c>
      <c r="AZ110" s="27">
        <v>1050.18</v>
      </c>
      <c r="BA110" s="27">
        <v>628.32000000000016</v>
      </c>
      <c r="BB110" s="27">
        <v>680.68</v>
      </c>
      <c r="BC110" s="27">
        <v>411.68</v>
      </c>
      <c r="BD110" s="27">
        <v>985.39</v>
      </c>
      <c r="BE110" s="27">
        <v>494.42</v>
      </c>
      <c r="BF110" s="27">
        <v>233.66</v>
      </c>
      <c r="BG110" s="43">
        <f t="shared" si="403"/>
        <v>9159.9800000000014</v>
      </c>
      <c r="BI110" s="60" t="s">
        <v>94</v>
      </c>
      <c r="BJ110" s="27">
        <v>1445.6200000000003</v>
      </c>
      <c r="BK110" s="27">
        <v>649.54999999999995</v>
      </c>
      <c r="BL110" s="27">
        <v>197.37999999999988</v>
      </c>
      <c r="BM110" s="27">
        <v>466.89000000000021</v>
      </c>
      <c r="BN110" s="27">
        <v>571.0599999999996</v>
      </c>
      <c r="BO110" s="27">
        <v>92.049999999999955</v>
      </c>
      <c r="BP110" s="27">
        <v>310.84000000000009</v>
      </c>
      <c r="BQ110" s="27">
        <v>0</v>
      </c>
      <c r="BR110" s="27">
        <v>357.73</v>
      </c>
      <c r="BS110" s="27">
        <v>308.96999999999991</v>
      </c>
      <c r="BT110" s="27">
        <v>357.74</v>
      </c>
      <c r="BU110" s="27">
        <v>0</v>
      </c>
      <c r="BV110" s="43">
        <f t="shared" si="404"/>
        <v>4757.83</v>
      </c>
      <c r="BW110" s="405"/>
      <c r="BX110" s="32">
        <f t="shared" si="514"/>
        <v>0.17357693120852519</v>
      </c>
      <c r="BY110" s="32">
        <f t="shared" si="515"/>
        <v>0.29866676074149057</v>
      </c>
      <c r="BZ110" s="32">
        <f t="shared" si="516"/>
        <v>0.39739327215344922</v>
      </c>
      <c r="CA110" s="32">
        <f t="shared" si="517"/>
        <v>0.49908585421379142</v>
      </c>
      <c r="CB110" s="32">
        <f t="shared" si="518"/>
        <v>0.62812904664622837</v>
      </c>
      <c r="CC110" s="32">
        <f t="shared" si="519"/>
        <v>0.69618288935197159</v>
      </c>
      <c r="CD110" s="32">
        <f t="shared" si="520"/>
        <v>0.77672985221947088</v>
      </c>
      <c r="CE110" s="32">
        <f t="shared" si="521"/>
        <v>0.8427876475480145</v>
      </c>
      <c r="CF110" s="32">
        <f t="shared" si="522"/>
        <v>0.88714573612850678</v>
      </c>
      <c r="CG110" s="32">
        <f t="shared" si="523"/>
        <v>0.91575772213273865</v>
      </c>
      <c r="CH110" s="32">
        <f t="shared" si="524"/>
        <v>0.98280231631294446</v>
      </c>
      <c r="CI110" s="32">
        <f t="shared" si="525"/>
        <v>1</v>
      </c>
      <c r="CJ110" s="405"/>
      <c r="CK110" s="32">
        <f t="shared" si="526"/>
        <v>0.26908845437308282</v>
      </c>
      <c r="CL110" s="32">
        <f t="shared" si="527"/>
        <v>0.36351699696559575</v>
      </c>
      <c r="CM110" s="32">
        <f t="shared" si="528"/>
        <v>0.40792915973143701</v>
      </c>
      <c r="CN110" s="32">
        <f t="shared" si="529"/>
        <v>0.4258609336170297</v>
      </c>
      <c r="CO110" s="32">
        <f t="shared" si="530"/>
        <v>0.44892836224896671</v>
      </c>
      <c r="CP110" s="32">
        <f t="shared" si="531"/>
        <v>0.520681268427305</v>
      </c>
      <c r="CQ110" s="32">
        <f t="shared" si="532"/>
        <v>0.65832872823054855</v>
      </c>
      <c r="CR110" s="32">
        <f t="shared" si="533"/>
        <v>0.67830880771407109</v>
      </c>
      <c r="CS110" s="32">
        <f t="shared" si="534"/>
        <v>0.73487248553115314</v>
      </c>
      <c r="CT110" s="32">
        <f t="shared" si="535"/>
        <v>0.79161352874411406</v>
      </c>
      <c r="CU110" s="32">
        <f t="shared" si="536"/>
        <v>0.82629177269433263</v>
      </c>
      <c r="CV110" s="32">
        <f t="shared" si="537"/>
        <v>1</v>
      </c>
      <c r="CX110" s="32">
        <f t="shared" si="538"/>
        <v>0.10493160240541478</v>
      </c>
      <c r="CY110" s="32">
        <f t="shared" si="539"/>
        <v>0.12005017407606985</v>
      </c>
      <c r="CZ110" s="32">
        <f t="shared" si="540"/>
        <v>0.14075280839438475</v>
      </c>
      <c r="DA110" s="32">
        <f t="shared" si="541"/>
        <v>0.16829296065602875</v>
      </c>
      <c r="DB110" s="32">
        <f t="shared" si="542"/>
        <v>0.23197440727613763</v>
      </c>
      <c r="DC110" s="32">
        <f t="shared" si="543"/>
        <v>0.44666583581170194</v>
      </c>
      <c r="DD110" s="32">
        <f t="shared" si="544"/>
        <v>0.48666432951349253</v>
      </c>
      <c r="DE110" s="32">
        <f t="shared" si="545"/>
        <v>0.65232395812132327</v>
      </c>
      <c r="DF110" s="32">
        <f t="shared" si="546"/>
        <v>0.71092254489082463</v>
      </c>
      <c r="DG110" s="32">
        <f t="shared" si="547"/>
        <v>0.77485145478819017</v>
      </c>
      <c r="DH110" s="32">
        <f t="shared" si="548"/>
        <v>0.91823490541254182</v>
      </c>
      <c r="DI110" s="32">
        <f t="shared" si="549"/>
        <v>1</v>
      </c>
      <c r="DK110" s="32">
        <f t="shared" si="444"/>
        <v>7.3357147068006667E-2</v>
      </c>
      <c r="DL110" s="32">
        <f t="shared" si="445"/>
        <v>0.18178533140902059</v>
      </c>
      <c r="DM110" s="32">
        <f t="shared" si="446"/>
        <v>0.27508684516778426</v>
      </c>
      <c r="DN110" s="32">
        <f t="shared" si="447"/>
        <v>0.47693335574968504</v>
      </c>
      <c r="DO110" s="32">
        <f t="shared" si="448"/>
        <v>0.51044325424291315</v>
      </c>
      <c r="DP110" s="32">
        <f t="shared" si="449"/>
        <v>0.6250919761833541</v>
      </c>
      <c r="DQ110" s="32">
        <f t="shared" si="450"/>
        <v>0.69368601241487438</v>
      </c>
      <c r="DR110" s="32">
        <f t="shared" si="451"/>
        <v>0.76799621833235454</v>
      </c>
      <c r="DS110" s="32">
        <f t="shared" si="452"/>
        <v>0.81293954790294309</v>
      </c>
      <c r="DT110" s="32">
        <f t="shared" si="453"/>
        <v>0.92051511029500066</v>
      </c>
      <c r="DU110" s="32">
        <f t="shared" si="454"/>
        <v>0.97449121067949929</v>
      </c>
      <c r="DV110" s="32">
        <f t="shared" si="455"/>
        <v>1</v>
      </c>
      <c r="DW110" s="39"/>
      <c r="DX110" s="32">
        <f t="shared" si="456"/>
        <v>0.30384019605576501</v>
      </c>
      <c r="DY110" s="32">
        <f t="shared" si="457"/>
        <v>0.44036251820682959</v>
      </c>
      <c r="DZ110" s="32">
        <f t="shared" si="458"/>
        <v>0.48184781717715852</v>
      </c>
      <c r="EA110" s="32">
        <f t="shared" si="459"/>
        <v>0.57997868776311901</v>
      </c>
      <c r="EB110" s="32">
        <f t="shared" si="460"/>
        <v>0.70000399341716713</v>
      </c>
      <c r="EC110" s="32">
        <f t="shared" si="461"/>
        <v>0.7193510486923661</v>
      </c>
      <c r="ED110" s="32">
        <f t="shared" si="462"/>
        <v>0.78468335354562913</v>
      </c>
      <c r="EE110" s="32">
        <f t="shared" si="463"/>
        <v>0.78468335354562913</v>
      </c>
      <c r="EF110" s="32">
        <f t="shared" si="464"/>
        <v>0.85987099160751868</v>
      </c>
      <c r="EG110" s="32">
        <f t="shared" si="465"/>
        <v>0.92481026013960155</v>
      </c>
      <c r="EH110" s="32">
        <f t="shared" si="466"/>
        <v>1</v>
      </c>
      <c r="EI110" s="32">
        <f t="shared" si="467"/>
        <v>1</v>
      </c>
      <c r="EK110" s="32">
        <f t="shared" si="550"/>
        <v>0.16070964850972883</v>
      </c>
      <c r="EL110" s="32">
        <f t="shared" si="468"/>
        <v>0.24739934123064</v>
      </c>
      <c r="EM110" s="32">
        <f t="shared" si="469"/>
        <v>0.2992291569131092</v>
      </c>
      <c r="EN110" s="32">
        <f t="shared" si="470"/>
        <v>0.40840166805627759</v>
      </c>
      <c r="EO110" s="32">
        <f t="shared" si="471"/>
        <v>0.48080721831207263</v>
      </c>
      <c r="EP110" s="32">
        <f t="shared" si="472"/>
        <v>0.59703628689580734</v>
      </c>
      <c r="EQ110" s="32">
        <f t="shared" si="473"/>
        <v>0.65501123182466536</v>
      </c>
      <c r="ER110" s="32">
        <f t="shared" si="474"/>
        <v>0.73500117666643561</v>
      </c>
      <c r="ES110" s="32">
        <f t="shared" si="475"/>
        <v>0.79457769480042872</v>
      </c>
      <c r="ET110" s="32">
        <f t="shared" si="476"/>
        <v>0.87339227507426409</v>
      </c>
      <c r="EU110" s="32">
        <f t="shared" si="477"/>
        <v>0.96424203869734704</v>
      </c>
      <c r="EV110" s="32">
        <f t="shared" si="478"/>
        <v>1</v>
      </c>
      <c r="EX110" s="32">
        <f t="shared" si="479"/>
        <v>0.18780434997556733</v>
      </c>
      <c r="EY110" s="32">
        <f t="shared" si="480"/>
        <v>0.27642875516437893</v>
      </c>
      <c r="EZ110" s="32">
        <f t="shared" si="481"/>
        <v>0.32640415761769115</v>
      </c>
      <c r="FA110" s="32">
        <f t="shared" si="482"/>
        <v>0.41276648444646569</v>
      </c>
      <c r="FB110" s="32">
        <f t="shared" si="483"/>
        <v>0.47283750429629612</v>
      </c>
      <c r="FC110" s="32">
        <f t="shared" si="484"/>
        <v>0.57794753227868179</v>
      </c>
      <c r="FD110" s="32">
        <f t="shared" si="485"/>
        <v>0.65584060592613613</v>
      </c>
      <c r="FE110" s="32">
        <f t="shared" si="486"/>
        <v>0.72082808442834445</v>
      </c>
      <c r="FF110" s="32">
        <f t="shared" si="487"/>
        <v>0.77965139248310988</v>
      </c>
      <c r="FG110" s="32">
        <f t="shared" si="488"/>
        <v>0.85294758849172658</v>
      </c>
      <c r="FH110" s="32">
        <f t="shared" si="489"/>
        <v>0.92975447219659335</v>
      </c>
      <c r="FI110" s="32">
        <f t="shared" si="490"/>
        <v>1</v>
      </c>
      <c r="FK110" s="32">
        <f t="shared" si="551"/>
        <v>0.14912573461550141</v>
      </c>
      <c r="FL110" s="32">
        <f t="shared" si="491"/>
        <v>0.22178416748356203</v>
      </c>
      <c r="FM110" s="32">
        <f t="shared" si="492"/>
        <v>0.27458960443120201</v>
      </c>
      <c r="FN110" s="32">
        <f t="shared" si="493"/>
        <v>0.35702908334091449</v>
      </c>
      <c r="FO110" s="32">
        <f t="shared" si="494"/>
        <v>0.39711534125600584</v>
      </c>
      <c r="FP110" s="32">
        <f t="shared" si="495"/>
        <v>0.53081302680745368</v>
      </c>
      <c r="FQ110" s="32">
        <f t="shared" si="496"/>
        <v>0.61289302338630514</v>
      </c>
      <c r="FR110" s="32">
        <f t="shared" si="497"/>
        <v>0.69954299472258297</v>
      </c>
      <c r="FS110" s="32">
        <f t="shared" si="498"/>
        <v>0.75291152610830692</v>
      </c>
      <c r="FT110" s="32">
        <f t="shared" si="499"/>
        <v>0.82899336460910167</v>
      </c>
      <c r="FU110" s="32">
        <f t="shared" si="500"/>
        <v>0.90633929626212451</v>
      </c>
      <c r="FV110" s="32">
        <f t="shared" si="501"/>
        <v>1</v>
      </c>
      <c r="FX110" s="32">
        <f t="shared" si="502"/>
        <v>0.18253232932900762</v>
      </c>
      <c r="FY110" s="32">
        <f t="shared" si="503"/>
        <v>0.26074464392771873</v>
      </c>
      <c r="FZ110" s="32">
        <f t="shared" si="504"/>
        <v>0.31535841342642362</v>
      </c>
      <c r="GA110" s="32">
        <f t="shared" si="505"/>
        <v>0.36441324949561665</v>
      </c>
      <c r="GB110" s="32">
        <f t="shared" si="506"/>
        <v>0.43634393872377758</v>
      </c>
      <c r="GC110" s="32">
        <f t="shared" si="507"/>
        <v>0.55450999786365951</v>
      </c>
      <c r="GD110" s="32">
        <f t="shared" si="508"/>
        <v>0.64057430332117071</v>
      </c>
      <c r="GE110" s="32">
        <f t="shared" si="509"/>
        <v>0.7244734711278028</v>
      </c>
      <c r="GF110" s="32">
        <f t="shared" si="510"/>
        <v>0.77764692218349485</v>
      </c>
      <c r="GG110" s="32">
        <f t="shared" si="511"/>
        <v>0.82740756855501429</v>
      </c>
      <c r="GH110" s="32">
        <f t="shared" si="512"/>
        <v>0.90910966480660627</v>
      </c>
      <c r="GI110" s="32">
        <f t="shared" si="513"/>
        <v>1</v>
      </c>
    </row>
    <row r="111" spans="1:191">
      <c r="A111" s="724" t="s">
        <v>95</v>
      </c>
      <c r="B111" s="399">
        <v>17488.479999999996</v>
      </c>
      <c r="C111" s="400">
        <v>18415.599999999999</v>
      </c>
      <c r="D111" s="400">
        <v>14617.68</v>
      </c>
      <c r="E111" s="400">
        <v>10149.179999999998</v>
      </c>
      <c r="F111" s="400">
        <v>20374.36</v>
      </c>
      <c r="G111" s="400">
        <v>30165.219999999998</v>
      </c>
      <c r="H111" s="400">
        <v>22050.030000000002</v>
      </c>
      <c r="I111" s="400">
        <v>28061.229999999996</v>
      </c>
      <c r="J111" s="400">
        <v>22551.260000000002</v>
      </c>
      <c r="K111" s="400">
        <v>11193.670000000002</v>
      </c>
      <c r="L111" s="400">
        <v>12493.289999999997</v>
      </c>
      <c r="M111" s="400">
        <v>24712.15</v>
      </c>
      <c r="N111" s="400">
        <f t="shared" si="441"/>
        <v>232272.15</v>
      </c>
      <c r="P111" s="396" t="s">
        <v>95</v>
      </c>
      <c r="Q111" s="399">
        <v>23257.5</v>
      </c>
      <c r="R111" s="400">
        <v>20603.7</v>
      </c>
      <c r="S111" s="400">
        <v>19051.170000000002</v>
      </c>
      <c r="T111" s="400">
        <v>10231</v>
      </c>
      <c r="U111" s="400">
        <v>8945.5300000000007</v>
      </c>
      <c r="V111" s="400">
        <v>8615.94</v>
      </c>
      <c r="W111" s="400">
        <v>8936.760000000002</v>
      </c>
      <c r="X111" s="400">
        <v>7300.9499999999971</v>
      </c>
      <c r="Y111" s="400">
        <v>8829.4399999999987</v>
      </c>
      <c r="Z111" s="400">
        <v>17939.090000000004</v>
      </c>
      <c r="AA111" s="400">
        <v>8693.69</v>
      </c>
      <c r="AB111" s="400">
        <v>12455.529999999999</v>
      </c>
      <c r="AC111" s="400">
        <f t="shared" si="442"/>
        <v>154860.30000000002</v>
      </c>
      <c r="AE111" s="127" t="s">
        <v>95</v>
      </c>
      <c r="AF111" s="27">
        <v>22949.69</v>
      </c>
      <c r="AG111" s="27">
        <v>22327.129999999997</v>
      </c>
      <c r="AH111" s="27">
        <v>10686.980000000001</v>
      </c>
      <c r="AI111" s="27">
        <v>14450.2</v>
      </c>
      <c r="AJ111" s="27">
        <v>7653.25</v>
      </c>
      <c r="AK111" s="27">
        <v>20683.560000000001</v>
      </c>
      <c r="AL111" s="27">
        <v>61476.39</v>
      </c>
      <c r="AM111" s="27">
        <v>55353.409999999996</v>
      </c>
      <c r="AN111" s="27">
        <v>32918.18</v>
      </c>
      <c r="AO111" s="27">
        <v>36380.86</v>
      </c>
      <c r="AP111" s="27">
        <v>22376.83</v>
      </c>
      <c r="AQ111" s="27">
        <v>22732.45</v>
      </c>
      <c r="AR111" s="43">
        <f t="shared" si="443"/>
        <v>329988.93000000005</v>
      </c>
      <c r="AT111" s="60" t="s">
        <v>95</v>
      </c>
      <c r="AU111" s="27">
        <v>29500.19</v>
      </c>
      <c r="AV111" s="27">
        <v>22511.47</v>
      </c>
      <c r="AW111" s="27">
        <v>16513.239999999991</v>
      </c>
      <c r="AX111" s="27">
        <v>12906.880000000003</v>
      </c>
      <c r="AY111" s="27">
        <v>13672.160000000002</v>
      </c>
      <c r="AZ111" s="27">
        <v>6618.6</v>
      </c>
      <c r="BA111" s="27">
        <v>8775.2200000000012</v>
      </c>
      <c r="BB111" s="27">
        <v>11864.24</v>
      </c>
      <c r="BC111" s="27">
        <v>6028.1</v>
      </c>
      <c r="BD111" s="27">
        <v>10408.480000000001</v>
      </c>
      <c r="BE111" s="27">
        <v>6150.7800000000007</v>
      </c>
      <c r="BF111" s="27">
        <v>8234.880000000001</v>
      </c>
      <c r="BG111" s="43">
        <f t="shared" si="403"/>
        <v>153184.24000000002</v>
      </c>
      <c r="BI111" s="60" t="s">
        <v>95</v>
      </c>
      <c r="BJ111" s="27">
        <v>13207.139999999996</v>
      </c>
      <c r="BK111" s="27">
        <v>11923.710000000017</v>
      </c>
      <c r="BL111" s="27">
        <v>9534.7400000000052</v>
      </c>
      <c r="BM111" s="27">
        <v>18162.390000000007</v>
      </c>
      <c r="BN111" s="27">
        <v>13957.430000000002</v>
      </c>
      <c r="BO111" s="27">
        <v>37185.240000000005</v>
      </c>
      <c r="BP111" s="27">
        <v>16613.89</v>
      </c>
      <c r="BQ111" s="27">
        <v>18569.64</v>
      </c>
      <c r="BR111" s="27">
        <v>20804.529999999995</v>
      </c>
      <c r="BS111" s="27">
        <v>21544.690000000002</v>
      </c>
      <c r="BT111" s="27">
        <v>19148.45</v>
      </c>
      <c r="BU111" s="27">
        <v>23740.260000000002</v>
      </c>
      <c r="BV111" s="43">
        <f t="shared" si="404"/>
        <v>224392.11000000007</v>
      </c>
      <c r="BW111" s="405"/>
      <c r="BX111" s="32">
        <f t="shared" si="514"/>
        <v>7.5293056012096141E-2</v>
      </c>
      <c r="BY111" s="32">
        <f t="shared" si="515"/>
        <v>0.15457763662152349</v>
      </c>
      <c r="BZ111" s="32">
        <f t="shared" si="516"/>
        <v>0.2175110533053575</v>
      </c>
      <c r="CA111" s="32">
        <f t="shared" si="517"/>
        <v>0.26120626170636468</v>
      </c>
      <c r="CB111" s="32">
        <f t="shared" si="518"/>
        <v>0.34892388088714033</v>
      </c>
      <c r="CC111" s="32">
        <f t="shared" si="519"/>
        <v>0.47879403535895282</v>
      </c>
      <c r="CD111" s="32">
        <f t="shared" si="520"/>
        <v>0.57372590730313555</v>
      </c>
      <c r="CE111" s="32">
        <f t="shared" si="521"/>
        <v>0.69453776528955358</v>
      </c>
      <c r="CF111" s="32">
        <f t="shared" si="522"/>
        <v>0.79162757997461164</v>
      </c>
      <c r="CG111" s="32">
        <f t="shared" si="523"/>
        <v>0.83981962538341337</v>
      </c>
      <c r="CH111" s="32">
        <f t="shared" si="524"/>
        <v>0.89360691757492239</v>
      </c>
      <c r="CI111" s="32">
        <f t="shared" si="525"/>
        <v>1</v>
      </c>
      <c r="CJ111" s="405"/>
      <c r="CK111" s="32">
        <f t="shared" si="526"/>
        <v>0.1501837462538817</v>
      </c>
      <c r="CL111" s="32">
        <f t="shared" si="527"/>
        <v>0.28323075701131917</v>
      </c>
      <c r="CM111" s="32">
        <f t="shared" si="528"/>
        <v>0.40625240942966007</v>
      </c>
      <c r="CN111" s="32">
        <f t="shared" si="529"/>
        <v>0.47231840568564049</v>
      </c>
      <c r="CO111" s="32">
        <f t="shared" si="530"/>
        <v>0.53008356563948267</v>
      </c>
      <c r="CP111" s="32">
        <f t="shared" si="531"/>
        <v>0.58572042027556437</v>
      </c>
      <c r="CQ111" s="32">
        <f t="shared" si="532"/>
        <v>0.6434289485426542</v>
      </c>
      <c r="CR111" s="32">
        <f t="shared" si="533"/>
        <v>0.69057434345665092</v>
      </c>
      <c r="CS111" s="32">
        <f t="shared" si="534"/>
        <v>0.74758986002222638</v>
      </c>
      <c r="CT111" s="32">
        <f t="shared" si="535"/>
        <v>0.8634303304333002</v>
      </c>
      <c r="CU111" s="32">
        <f t="shared" si="536"/>
        <v>0.91956925047930294</v>
      </c>
      <c r="CV111" s="32">
        <f t="shared" si="537"/>
        <v>1</v>
      </c>
      <c r="CX111" s="32">
        <f t="shared" si="538"/>
        <v>6.954684813214794E-2</v>
      </c>
      <c r="CY111" s="32">
        <f t="shared" si="539"/>
        <v>0.13720708752260261</v>
      </c>
      <c r="CZ111" s="32">
        <f t="shared" si="540"/>
        <v>0.16959296180026398</v>
      </c>
      <c r="DA111" s="32">
        <f t="shared" si="541"/>
        <v>0.21338291560265366</v>
      </c>
      <c r="DB111" s="32">
        <f t="shared" si="542"/>
        <v>0.23657536027041873</v>
      </c>
      <c r="DC111" s="32">
        <f t="shared" si="543"/>
        <v>0.2992549174301089</v>
      </c>
      <c r="DD111" s="32">
        <f t="shared" si="544"/>
        <v>0.48555325780170866</v>
      </c>
      <c r="DE111" s="32">
        <f t="shared" si="545"/>
        <v>0.65329649088531538</v>
      </c>
      <c r="DF111" s="32">
        <f t="shared" si="546"/>
        <v>0.75305189783184534</v>
      </c>
      <c r="DG111" s="32">
        <f t="shared" si="547"/>
        <v>0.86330062647859118</v>
      </c>
      <c r="DH111" s="32">
        <f t="shared" si="548"/>
        <v>0.93111147698197028</v>
      </c>
      <c r="DI111" s="32">
        <f t="shared" si="549"/>
        <v>1</v>
      </c>
      <c r="DK111" s="32">
        <f t="shared" si="444"/>
        <v>0.19257979802621988</v>
      </c>
      <c r="DL111" s="32">
        <f t="shared" si="445"/>
        <v>0.33953662596099965</v>
      </c>
      <c r="DM111" s="32">
        <f t="shared" si="446"/>
        <v>0.44733648840115658</v>
      </c>
      <c r="DN111" s="32">
        <f t="shared" si="447"/>
        <v>0.53159372008504258</v>
      </c>
      <c r="DO111" s="32">
        <f t="shared" si="448"/>
        <v>0.62084676595973576</v>
      </c>
      <c r="DP111" s="32">
        <f t="shared" si="449"/>
        <v>0.6640535606012733</v>
      </c>
      <c r="DQ111" s="32">
        <f t="shared" si="450"/>
        <v>0.72133895758467059</v>
      </c>
      <c r="DR111" s="32">
        <f t="shared" si="451"/>
        <v>0.79878974495026378</v>
      </c>
      <c r="DS111" s="32">
        <f t="shared" si="452"/>
        <v>0.83814170439465574</v>
      </c>
      <c r="DT111" s="32">
        <f t="shared" si="453"/>
        <v>0.90608916426389552</v>
      </c>
      <c r="DU111" s="32">
        <f t="shared" si="454"/>
        <v>0.94624198938480875</v>
      </c>
      <c r="DV111" s="32">
        <f t="shared" si="455"/>
        <v>1</v>
      </c>
      <c r="DW111" s="39"/>
      <c r="DX111" s="32">
        <f t="shared" si="456"/>
        <v>5.8857417045545812E-2</v>
      </c>
      <c r="DY111" s="32">
        <f t="shared" si="457"/>
        <v>0.11199524796125855</v>
      </c>
      <c r="DZ111" s="32">
        <f t="shared" si="458"/>
        <v>0.15448667067661162</v>
      </c>
      <c r="EA111" s="32">
        <f t="shared" si="459"/>
        <v>0.23542708342107041</v>
      </c>
      <c r="EB111" s="32">
        <f t="shared" si="460"/>
        <v>0.29762815635540846</v>
      </c>
      <c r="EC111" s="32">
        <f t="shared" si="461"/>
        <v>0.46334360865005458</v>
      </c>
      <c r="ED111" s="32">
        <f t="shared" si="462"/>
        <v>0.53738315487117616</v>
      </c>
      <c r="EE111" s="32">
        <f t="shared" si="463"/>
        <v>0.62013847100060693</v>
      </c>
      <c r="EF111" s="32">
        <f t="shared" si="464"/>
        <v>0.71285354017126534</v>
      </c>
      <c r="EG111" s="32">
        <f t="shared" si="465"/>
        <v>0.80886712104093139</v>
      </c>
      <c r="EH111" s="32">
        <f t="shared" si="466"/>
        <v>0.89420189506663139</v>
      </c>
      <c r="EI111" s="32">
        <f t="shared" si="467"/>
        <v>1</v>
      </c>
      <c r="EK111" s="32">
        <f t="shared" si="550"/>
        <v>0.10699468773463788</v>
      </c>
      <c r="EL111" s="32">
        <f t="shared" si="468"/>
        <v>0.19624632048162027</v>
      </c>
      <c r="EM111" s="32">
        <f t="shared" si="469"/>
        <v>0.25713870695934404</v>
      </c>
      <c r="EN111" s="32">
        <f t="shared" si="470"/>
        <v>0.32680123970292224</v>
      </c>
      <c r="EO111" s="32">
        <f t="shared" si="471"/>
        <v>0.38501676086185427</v>
      </c>
      <c r="EP111" s="32">
        <f t="shared" si="472"/>
        <v>0.47555069556047891</v>
      </c>
      <c r="EQ111" s="32">
        <f t="shared" si="473"/>
        <v>0.58142512341918506</v>
      </c>
      <c r="ER111" s="32">
        <f t="shared" si="474"/>
        <v>0.69074156894539529</v>
      </c>
      <c r="ES111" s="32">
        <f t="shared" si="475"/>
        <v>0.76801571413258884</v>
      </c>
      <c r="ET111" s="32">
        <f t="shared" si="476"/>
        <v>0.8594189705944727</v>
      </c>
      <c r="EU111" s="32">
        <f t="shared" si="477"/>
        <v>0.92385178714447014</v>
      </c>
      <c r="EV111" s="32">
        <f t="shared" si="478"/>
        <v>1</v>
      </c>
      <c r="EX111" s="32">
        <f t="shared" si="479"/>
        <v>0.11779195236444884</v>
      </c>
      <c r="EY111" s="32">
        <f t="shared" si="480"/>
        <v>0.217992429614045</v>
      </c>
      <c r="EZ111" s="32">
        <f t="shared" si="481"/>
        <v>0.29441713257692304</v>
      </c>
      <c r="FA111" s="32">
        <f t="shared" si="482"/>
        <v>0.36318053119860177</v>
      </c>
      <c r="FB111" s="32">
        <f t="shared" si="483"/>
        <v>0.42128346205626144</v>
      </c>
      <c r="FC111" s="32">
        <f t="shared" si="484"/>
        <v>0.50309312673925022</v>
      </c>
      <c r="FD111" s="32">
        <f t="shared" si="485"/>
        <v>0.5969260797000524</v>
      </c>
      <c r="FE111" s="32">
        <f t="shared" si="486"/>
        <v>0.69069976257320931</v>
      </c>
      <c r="FF111" s="32">
        <f t="shared" si="487"/>
        <v>0.76290925060499826</v>
      </c>
      <c r="FG111" s="32">
        <f t="shared" si="488"/>
        <v>0.86042181055417966</v>
      </c>
      <c r="FH111" s="32">
        <f t="shared" si="489"/>
        <v>0.92278115297817842</v>
      </c>
      <c r="FI111" s="32">
        <f t="shared" si="490"/>
        <v>1</v>
      </c>
      <c r="FK111" s="32">
        <f t="shared" si="551"/>
        <v>0.13743679747074986</v>
      </c>
      <c r="FL111" s="32">
        <f t="shared" si="491"/>
        <v>0.25332482349830715</v>
      </c>
      <c r="FM111" s="32">
        <f t="shared" si="492"/>
        <v>0.3410606198770269</v>
      </c>
      <c r="FN111" s="32">
        <f t="shared" si="493"/>
        <v>0.40576501379111224</v>
      </c>
      <c r="FO111" s="32">
        <f t="shared" si="494"/>
        <v>0.46250189728987906</v>
      </c>
      <c r="FP111" s="32">
        <f t="shared" si="495"/>
        <v>0.51634296610231545</v>
      </c>
      <c r="FQ111" s="32">
        <f t="shared" si="496"/>
        <v>0.61677372130967789</v>
      </c>
      <c r="FR111" s="32">
        <f t="shared" si="497"/>
        <v>0.71422019309741003</v>
      </c>
      <c r="FS111" s="32">
        <f t="shared" si="498"/>
        <v>0.77959448741624249</v>
      </c>
      <c r="FT111" s="32">
        <f t="shared" si="499"/>
        <v>0.87760670705859567</v>
      </c>
      <c r="FU111" s="32">
        <f t="shared" si="500"/>
        <v>0.93230757228202732</v>
      </c>
      <c r="FV111" s="32">
        <f t="shared" si="501"/>
        <v>1</v>
      </c>
      <c r="FX111" s="32">
        <f t="shared" si="502"/>
        <v>9.8341216799375256E-2</v>
      </c>
      <c r="FY111" s="32">
        <f t="shared" si="503"/>
        <v>0.19167182705181507</v>
      </c>
      <c r="FZ111" s="32">
        <f t="shared" si="504"/>
        <v>0.2644521415117605</v>
      </c>
      <c r="GA111" s="32">
        <f t="shared" si="505"/>
        <v>0.31563586099821955</v>
      </c>
      <c r="GB111" s="32">
        <f t="shared" si="506"/>
        <v>0.3718609355990139</v>
      </c>
      <c r="GC111" s="32">
        <f t="shared" si="507"/>
        <v>0.45458979102154201</v>
      </c>
      <c r="GD111" s="32">
        <f t="shared" si="508"/>
        <v>0.56756937121583284</v>
      </c>
      <c r="GE111" s="32">
        <f t="shared" si="509"/>
        <v>0.67946953321050663</v>
      </c>
      <c r="GF111" s="32">
        <f t="shared" si="510"/>
        <v>0.76408977927622779</v>
      </c>
      <c r="GG111" s="32">
        <f t="shared" si="511"/>
        <v>0.85551686076510158</v>
      </c>
      <c r="GH111" s="32">
        <f t="shared" si="512"/>
        <v>0.9147625483453985</v>
      </c>
      <c r="GI111" s="32">
        <f t="shared" si="513"/>
        <v>1</v>
      </c>
    </row>
    <row r="112" spans="1:191">
      <c r="A112" s="724" t="s">
        <v>96</v>
      </c>
      <c r="B112" s="399">
        <v>2074.27</v>
      </c>
      <c r="C112" s="400">
        <v>4000.5</v>
      </c>
      <c r="D112" s="400">
        <v>863.75</v>
      </c>
      <c r="E112" s="400">
        <v>1701.21</v>
      </c>
      <c r="F112" s="400">
        <v>2875.0699999999997</v>
      </c>
      <c r="G112" s="400">
        <v>1267.26</v>
      </c>
      <c r="H112" s="400">
        <v>395.32999999999993</v>
      </c>
      <c r="I112" s="400">
        <v>4533.5400000000009</v>
      </c>
      <c r="J112" s="400">
        <v>760.43000000000029</v>
      </c>
      <c r="K112" s="400">
        <v>1481.3899999999999</v>
      </c>
      <c r="L112" s="400">
        <v>1002.3199999999997</v>
      </c>
      <c r="M112" s="400">
        <v>124.35</v>
      </c>
      <c r="N112" s="400">
        <f t="shared" si="441"/>
        <v>21079.42</v>
      </c>
      <c r="P112" s="396" t="s">
        <v>96</v>
      </c>
      <c r="Q112" s="399">
        <v>1565.84</v>
      </c>
      <c r="R112" s="400">
        <v>2580.77</v>
      </c>
      <c r="S112" s="400">
        <v>2927.49</v>
      </c>
      <c r="T112" s="400">
        <v>425.61</v>
      </c>
      <c r="U112" s="400">
        <v>1056.4000000000001</v>
      </c>
      <c r="V112" s="400">
        <v>1021.95</v>
      </c>
      <c r="W112" s="400">
        <v>805.07999999999993</v>
      </c>
      <c r="X112" s="400">
        <v>1446.0500000000011</v>
      </c>
      <c r="Y112" s="400">
        <v>458.16000000000008</v>
      </c>
      <c r="Z112" s="400">
        <v>1063.4199999999998</v>
      </c>
      <c r="AA112" s="400">
        <v>168.2</v>
      </c>
      <c r="AB112" s="400">
        <v>157.82000000000016</v>
      </c>
      <c r="AC112" s="400">
        <f t="shared" si="442"/>
        <v>13676.79</v>
      </c>
      <c r="AE112" s="127" t="s">
        <v>96</v>
      </c>
      <c r="AF112" s="27">
        <v>1410.45</v>
      </c>
      <c r="AG112" s="27">
        <v>4318.91</v>
      </c>
      <c r="AH112" s="27">
        <v>1229.1500000000001</v>
      </c>
      <c r="AI112" s="27">
        <v>1978.46</v>
      </c>
      <c r="AJ112" s="27">
        <v>1890.11</v>
      </c>
      <c r="AK112" s="27">
        <v>2384.73</v>
      </c>
      <c r="AL112" s="27">
        <v>550.42999999999995</v>
      </c>
      <c r="AM112" s="27">
        <v>655.16</v>
      </c>
      <c r="AN112" s="27">
        <v>1894.57</v>
      </c>
      <c r="AO112" s="27">
        <v>1286.9000000000001</v>
      </c>
      <c r="AP112" s="27">
        <v>580</v>
      </c>
      <c r="AQ112" s="27">
        <v>2400.7600000000002</v>
      </c>
      <c r="AR112" s="43">
        <f t="shared" si="443"/>
        <v>20579.630000000005</v>
      </c>
      <c r="AT112" s="60" t="s">
        <v>96</v>
      </c>
      <c r="AU112" s="27">
        <v>1140.4300000000003</v>
      </c>
      <c r="AV112" s="27">
        <v>1437.12</v>
      </c>
      <c r="AW112" s="27">
        <v>837.7599999999984</v>
      </c>
      <c r="AX112" s="27">
        <v>0</v>
      </c>
      <c r="AY112" s="27">
        <v>959.92999999999938</v>
      </c>
      <c r="AZ112" s="27">
        <v>1139.9000000000001</v>
      </c>
      <c r="BA112" s="27">
        <v>1324.8399999999997</v>
      </c>
      <c r="BB112" s="27">
        <v>2456.2800000000002</v>
      </c>
      <c r="BC112" s="27">
        <v>745.49</v>
      </c>
      <c r="BD112" s="27">
        <v>1754.07</v>
      </c>
      <c r="BE112" s="27">
        <v>1391.1</v>
      </c>
      <c r="BF112" s="27">
        <v>253.25</v>
      </c>
      <c r="BG112" s="43">
        <f t="shared" si="403"/>
        <v>13440.169999999998</v>
      </c>
      <c r="BI112" s="60" t="s">
        <v>96</v>
      </c>
      <c r="BJ112" s="27">
        <v>1387.7899999999997</v>
      </c>
      <c r="BK112" s="27">
        <v>1756.9199999999996</v>
      </c>
      <c r="BL112" s="27">
        <v>1698.2199999999993</v>
      </c>
      <c r="BM112" s="27">
        <v>1032.0899999999997</v>
      </c>
      <c r="BN112" s="27">
        <v>1576.9599999999994</v>
      </c>
      <c r="BO112" s="27">
        <v>1522.4299999999994</v>
      </c>
      <c r="BP112" s="27">
        <v>1595.84</v>
      </c>
      <c r="BQ112" s="27">
        <v>1103.67</v>
      </c>
      <c r="BR112" s="27">
        <v>1338.6899999999998</v>
      </c>
      <c r="BS112" s="27">
        <v>18.539999999999992</v>
      </c>
      <c r="BT112" s="27">
        <v>1093.81</v>
      </c>
      <c r="BU112" s="27">
        <v>0</v>
      </c>
      <c r="BV112" s="43">
        <f t="shared" si="404"/>
        <v>14124.959999999997</v>
      </c>
      <c r="BW112" s="405"/>
      <c r="BX112" s="32">
        <f t="shared" si="514"/>
        <v>9.8402612595602734E-2</v>
      </c>
      <c r="BY112" s="32">
        <f t="shared" si="515"/>
        <v>0.2881848741568791</v>
      </c>
      <c r="BZ112" s="32">
        <f t="shared" si="516"/>
        <v>0.32916085926462879</v>
      </c>
      <c r="CA112" s="32">
        <f t="shared" si="517"/>
        <v>0.40986564146451848</v>
      </c>
      <c r="CB112" s="32">
        <f t="shared" si="518"/>
        <v>0.54625791411718161</v>
      </c>
      <c r="CC112" s="32">
        <f t="shared" si="519"/>
        <v>0.60637626651966703</v>
      </c>
      <c r="CD112" s="32">
        <f t="shared" si="520"/>
        <v>0.62513057759653734</v>
      </c>
      <c r="CE112" s="32">
        <f t="shared" si="521"/>
        <v>0.84020006243056033</v>
      </c>
      <c r="CF112" s="32">
        <f t="shared" si="522"/>
        <v>0.87627458440507389</v>
      </c>
      <c r="CG112" s="32">
        <f t="shared" si="523"/>
        <v>0.94655118594344634</v>
      </c>
      <c r="CH112" s="32">
        <f t="shared" si="524"/>
        <v>0.99410088133354724</v>
      </c>
      <c r="CI112" s="32">
        <f t="shared" si="525"/>
        <v>1</v>
      </c>
      <c r="CJ112" s="405"/>
      <c r="CK112" s="32">
        <f t="shared" si="526"/>
        <v>0.11448885301302424</v>
      </c>
      <c r="CL112" s="32">
        <f t="shared" si="527"/>
        <v>0.3031859083893223</v>
      </c>
      <c r="CM112" s="32">
        <f t="shared" si="528"/>
        <v>0.51723394159009528</v>
      </c>
      <c r="CN112" s="32">
        <f t="shared" si="529"/>
        <v>0.548353085775244</v>
      </c>
      <c r="CO112" s="32">
        <f t="shared" si="530"/>
        <v>0.62559343237704157</v>
      </c>
      <c r="CP112" s="32">
        <f t="shared" si="531"/>
        <v>0.70031491307536331</v>
      </c>
      <c r="CQ112" s="32">
        <f t="shared" si="532"/>
        <v>0.75917960281615782</v>
      </c>
      <c r="CR112" s="32">
        <f t="shared" si="533"/>
        <v>0.86490982167599262</v>
      </c>
      <c r="CS112" s="32">
        <f t="shared" si="534"/>
        <v>0.89840891027792336</v>
      </c>
      <c r="CT112" s="32">
        <f t="shared" si="535"/>
        <v>0.97616253521476892</v>
      </c>
      <c r="CU112" s="32">
        <f t="shared" si="536"/>
        <v>0.98846074261577466</v>
      </c>
      <c r="CV112" s="32">
        <f t="shared" si="537"/>
        <v>1</v>
      </c>
      <c r="CX112" s="32">
        <f t="shared" si="538"/>
        <v>6.853621760935448E-2</v>
      </c>
      <c r="CY112" s="32">
        <f t="shared" si="539"/>
        <v>0.27839956306308705</v>
      </c>
      <c r="CZ112" s="32">
        <f t="shared" si="540"/>
        <v>0.3381260984769891</v>
      </c>
      <c r="DA112" s="32">
        <f t="shared" si="541"/>
        <v>0.43426290948865454</v>
      </c>
      <c r="DB112" s="32">
        <f t="shared" si="542"/>
        <v>0.52610664040121224</v>
      </c>
      <c r="DC112" s="32">
        <f t="shared" si="543"/>
        <v>0.64198481702537891</v>
      </c>
      <c r="DD112" s="32">
        <f t="shared" si="544"/>
        <v>0.66873116766433593</v>
      </c>
      <c r="DE112" s="32">
        <f t="shared" si="545"/>
        <v>0.70056653107951883</v>
      </c>
      <c r="DF112" s="32">
        <f t="shared" si="546"/>
        <v>0.79262698114591945</v>
      </c>
      <c r="DG112" s="32">
        <f t="shared" si="547"/>
        <v>0.85515968945991738</v>
      </c>
      <c r="DH112" s="32">
        <f t="shared" si="548"/>
        <v>0.88334289780720054</v>
      </c>
      <c r="DI112" s="32">
        <f t="shared" si="549"/>
        <v>1</v>
      </c>
      <c r="DK112" s="32">
        <f t="shared" si="444"/>
        <v>8.4852349337843233E-2</v>
      </c>
      <c r="DL112" s="32">
        <f t="shared" si="445"/>
        <v>0.19177956826438955</v>
      </c>
      <c r="DM112" s="32">
        <f t="shared" si="446"/>
        <v>0.25411211316523519</v>
      </c>
      <c r="DN112" s="32">
        <f t="shared" si="447"/>
        <v>0.25411211316523519</v>
      </c>
      <c r="DO112" s="32">
        <f t="shared" si="448"/>
        <v>0.32553457285138493</v>
      </c>
      <c r="DP112" s="32">
        <f t="shared" si="449"/>
        <v>0.41034748816421207</v>
      </c>
      <c r="DQ112" s="32">
        <f t="shared" si="450"/>
        <v>0.50892064609301801</v>
      </c>
      <c r="DR112" s="32">
        <f t="shared" si="451"/>
        <v>0.69167726301081012</v>
      </c>
      <c r="DS112" s="32">
        <f t="shared" si="452"/>
        <v>0.74714456736782342</v>
      </c>
      <c r="DT112" s="32">
        <f t="shared" si="453"/>
        <v>0.87765407729217704</v>
      </c>
      <c r="DU112" s="32">
        <f t="shared" si="454"/>
        <v>0.98115723238619745</v>
      </c>
      <c r="DV112" s="32">
        <f t="shared" si="455"/>
        <v>1</v>
      </c>
      <c r="DW112" s="39"/>
      <c r="DX112" s="32">
        <f t="shared" si="456"/>
        <v>9.8250897701657208E-2</v>
      </c>
      <c r="DY112" s="32">
        <f t="shared" si="457"/>
        <v>0.22263496675388814</v>
      </c>
      <c r="DZ112" s="32">
        <f t="shared" si="458"/>
        <v>0.34286327182519449</v>
      </c>
      <c r="EA112" s="32">
        <f t="shared" si="459"/>
        <v>0.41593179732898355</v>
      </c>
      <c r="EB112" s="32">
        <f t="shared" si="460"/>
        <v>0.52757529932828118</v>
      </c>
      <c r="EC112" s="32">
        <f t="shared" si="461"/>
        <v>0.6353582594216195</v>
      </c>
      <c r="ED112" s="32">
        <f t="shared" si="462"/>
        <v>0.74833840237423666</v>
      </c>
      <c r="EE112" s="32">
        <f t="shared" si="463"/>
        <v>0.82647455284829119</v>
      </c>
      <c r="EF112" s="32">
        <f t="shared" si="464"/>
        <v>0.92124933451138968</v>
      </c>
      <c r="EG112" s="32">
        <f t="shared" si="465"/>
        <v>0.9225619046000838</v>
      </c>
      <c r="EH112" s="32">
        <f t="shared" si="466"/>
        <v>1</v>
      </c>
      <c r="EI112" s="32">
        <f t="shared" si="467"/>
        <v>1</v>
      </c>
      <c r="EK112" s="32">
        <f t="shared" si="550"/>
        <v>8.3879821549618303E-2</v>
      </c>
      <c r="EL112" s="32">
        <f t="shared" si="468"/>
        <v>0.23093803269378824</v>
      </c>
      <c r="EM112" s="32">
        <f t="shared" si="469"/>
        <v>0.31170049448913956</v>
      </c>
      <c r="EN112" s="32">
        <f t="shared" si="470"/>
        <v>0.36810227332762446</v>
      </c>
      <c r="EO112" s="32">
        <f t="shared" si="471"/>
        <v>0.45973883752695949</v>
      </c>
      <c r="EP112" s="32">
        <f t="shared" si="472"/>
        <v>0.56256352153707023</v>
      </c>
      <c r="EQ112" s="32">
        <f t="shared" si="473"/>
        <v>0.6419967387105302</v>
      </c>
      <c r="ER112" s="32">
        <f t="shared" si="474"/>
        <v>0.73957278231287338</v>
      </c>
      <c r="ES112" s="32">
        <f t="shared" si="475"/>
        <v>0.82034029434171085</v>
      </c>
      <c r="ET112" s="32">
        <f t="shared" si="476"/>
        <v>0.88512522378405933</v>
      </c>
      <c r="EU112" s="32">
        <f t="shared" si="477"/>
        <v>0.95483337673113267</v>
      </c>
      <c r="EV112" s="32">
        <f t="shared" si="478"/>
        <v>1</v>
      </c>
      <c r="EX112" s="32">
        <f t="shared" si="479"/>
        <v>9.1532079415469786E-2</v>
      </c>
      <c r="EY112" s="32">
        <f t="shared" si="480"/>
        <v>0.24900000161767177</v>
      </c>
      <c r="EZ112" s="32">
        <f t="shared" si="481"/>
        <v>0.3630838562643785</v>
      </c>
      <c r="FA112" s="32">
        <f t="shared" si="482"/>
        <v>0.41316497643952932</v>
      </c>
      <c r="FB112" s="32">
        <f t="shared" si="483"/>
        <v>0.50120248623947994</v>
      </c>
      <c r="FC112" s="32">
        <f t="shared" si="484"/>
        <v>0.5970013694216435</v>
      </c>
      <c r="FD112" s="32">
        <f t="shared" si="485"/>
        <v>0.67129245473693711</v>
      </c>
      <c r="FE112" s="32">
        <f t="shared" si="486"/>
        <v>0.77090704215365313</v>
      </c>
      <c r="FF112" s="32">
        <f t="shared" si="487"/>
        <v>0.83985744832576392</v>
      </c>
      <c r="FG112" s="32">
        <f t="shared" si="488"/>
        <v>0.90788455164173687</v>
      </c>
      <c r="FH112" s="32">
        <f t="shared" si="489"/>
        <v>0.96324021820229311</v>
      </c>
      <c r="FI112" s="32">
        <f t="shared" si="490"/>
        <v>1</v>
      </c>
      <c r="FK112" s="32">
        <f t="shared" si="551"/>
        <v>8.9292473320073992E-2</v>
      </c>
      <c r="FL112" s="32">
        <f t="shared" si="491"/>
        <v>0.25778834657226629</v>
      </c>
      <c r="FM112" s="32">
        <f t="shared" si="492"/>
        <v>0.36982405107743982</v>
      </c>
      <c r="FN112" s="32">
        <f t="shared" si="493"/>
        <v>0.41224270280971126</v>
      </c>
      <c r="FO112" s="32">
        <f t="shared" si="494"/>
        <v>0.49241154854321295</v>
      </c>
      <c r="FP112" s="32">
        <f t="shared" si="495"/>
        <v>0.58421573942165139</v>
      </c>
      <c r="FQ112" s="32">
        <f t="shared" si="496"/>
        <v>0.64561047219117063</v>
      </c>
      <c r="FR112" s="32">
        <f t="shared" si="497"/>
        <v>0.75238453858877385</v>
      </c>
      <c r="FS112" s="32">
        <f t="shared" si="498"/>
        <v>0.81272681959722204</v>
      </c>
      <c r="FT112" s="32">
        <f t="shared" si="499"/>
        <v>0.90299210065562108</v>
      </c>
      <c r="FU112" s="32">
        <f t="shared" si="500"/>
        <v>0.95098695760305751</v>
      </c>
      <c r="FV112" s="32">
        <f t="shared" si="501"/>
        <v>1</v>
      </c>
      <c r="FX112" s="32">
        <f t="shared" si="502"/>
        <v>9.380922773932715E-2</v>
      </c>
      <c r="FY112" s="32">
        <f t="shared" si="503"/>
        <v>0.28992344853642948</v>
      </c>
      <c r="FZ112" s="32">
        <f t="shared" si="504"/>
        <v>0.39484029977723772</v>
      </c>
      <c r="GA112" s="32">
        <f t="shared" si="505"/>
        <v>0.46416054557613901</v>
      </c>
      <c r="GB112" s="32">
        <f t="shared" si="506"/>
        <v>0.56598599563181173</v>
      </c>
      <c r="GC112" s="32">
        <f t="shared" si="507"/>
        <v>0.64955866554013642</v>
      </c>
      <c r="GD112" s="32">
        <f t="shared" si="508"/>
        <v>0.68434711602567699</v>
      </c>
      <c r="GE112" s="32">
        <f t="shared" si="509"/>
        <v>0.80189213839535733</v>
      </c>
      <c r="GF112" s="32">
        <f t="shared" si="510"/>
        <v>0.8557701586096389</v>
      </c>
      <c r="GG112" s="32">
        <f t="shared" si="511"/>
        <v>0.92595780353937762</v>
      </c>
      <c r="GH112" s="32">
        <f t="shared" si="512"/>
        <v>0.95530150725217411</v>
      </c>
      <c r="GI112" s="32">
        <f t="shared" si="513"/>
        <v>1</v>
      </c>
    </row>
    <row r="113" spans="1:191">
      <c r="A113" s="724" t="s">
        <v>97</v>
      </c>
      <c r="B113" s="399">
        <v>36528.089999999997</v>
      </c>
      <c r="C113" s="400">
        <v>11806.839999999997</v>
      </c>
      <c r="D113" s="400">
        <v>18632.580000000002</v>
      </c>
      <c r="E113" s="400">
        <v>18682.130000000005</v>
      </c>
      <c r="F113" s="400">
        <v>11411.650000000001</v>
      </c>
      <c r="G113" s="400">
        <v>16307.939999999999</v>
      </c>
      <c r="H113" s="400">
        <v>9852.1500000000015</v>
      </c>
      <c r="I113" s="400">
        <v>15143.149999999994</v>
      </c>
      <c r="J113" s="400">
        <v>12849.979999999996</v>
      </c>
      <c r="K113" s="400">
        <v>15105.21</v>
      </c>
      <c r="L113" s="400">
        <v>14251.009999999995</v>
      </c>
      <c r="M113" s="400">
        <v>24670.27</v>
      </c>
      <c r="N113" s="400">
        <f t="shared" si="441"/>
        <v>205240.99999999997</v>
      </c>
      <c r="P113" s="396" t="s">
        <v>97</v>
      </c>
      <c r="Q113" s="399">
        <v>39766.910000000003</v>
      </c>
      <c r="R113" s="400">
        <v>28786.560000000001</v>
      </c>
      <c r="S113" s="400">
        <v>34228.39</v>
      </c>
      <c r="T113" s="400">
        <v>13771.55</v>
      </c>
      <c r="U113" s="400">
        <v>10795.43</v>
      </c>
      <c r="V113" s="400">
        <v>15880.88</v>
      </c>
      <c r="W113" s="400">
        <v>16382.61</v>
      </c>
      <c r="X113" s="400">
        <v>16132.130000000005</v>
      </c>
      <c r="Y113" s="400">
        <v>10182.160000000003</v>
      </c>
      <c r="Z113" s="400">
        <v>10848.170000000002</v>
      </c>
      <c r="AA113" s="400">
        <v>10313.08</v>
      </c>
      <c r="AB113" s="400">
        <v>13108.190000000002</v>
      </c>
      <c r="AC113" s="400">
        <f t="shared" si="442"/>
        <v>220196.06000000003</v>
      </c>
      <c r="AE113" s="127" t="s">
        <v>97</v>
      </c>
      <c r="AF113" s="27">
        <v>26814.27</v>
      </c>
      <c r="AG113" s="27">
        <v>29023.22</v>
      </c>
      <c r="AH113" s="27">
        <v>20343.739999999998</v>
      </c>
      <c r="AI113" s="27">
        <v>27630.32</v>
      </c>
      <c r="AJ113" s="27">
        <v>16260.78</v>
      </c>
      <c r="AK113" s="27">
        <v>14690.69</v>
      </c>
      <c r="AL113" s="27">
        <v>16767.93</v>
      </c>
      <c r="AM113" s="27">
        <v>18204.259999999998</v>
      </c>
      <c r="AN113" s="27">
        <v>18124.57</v>
      </c>
      <c r="AO113" s="27">
        <v>24724.639999999999</v>
      </c>
      <c r="AP113" s="27">
        <v>21674.15</v>
      </c>
      <c r="AQ113" s="27">
        <v>32701.33</v>
      </c>
      <c r="AR113" s="43">
        <f t="shared" si="443"/>
        <v>266959.90000000002</v>
      </c>
      <c r="AT113" s="60" t="s">
        <v>97</v>
      </c>
      <c r="AU113" s="27">
        <v>21506.789999999997</v>
      </c>
      <c r="AV113" s="27">
        <v>19907.72</v>
      </c>
      <c r="AW113" s="27">
        <v>19253.960000000003</v>
      </c>
      <c r="AX113" s="27">
        <v>19337.470000000005</v>
      </c>
      <c r="AY113" s="27">
        <v>16480.709999999992</v>
      </c>
      <c r="AZ113" s="27">
        <v>12641.189999999999</v>
      </c>
      <c r="BA113" s="27">
        <v>18088.059999999998</v>
      </c>
      <c r="BB113" s="27">
        <v>9612.380000000001</v>
      </c>
      <c r="BC113" s="27">
        <v>9664.52</v>
      </c>
      <c r="BD113" s="27">
        <v>13122.19</v>
      </c>
      <c r="BE113" s="27">
        <v>14842.050000000001</v>
      </c>
      <c r="BF113" s="27">
        <v>20365.62</v>
      </c>
      <c r="BG113" s="43">
        <f t="shared" si="403"/>
        <v>194822.65999999997</v>
      </c>
      <c r="BI113" s="60" t="s">
        <v>97</v>
      </c>
      <c r="BJ113" s="27">
        <v>10640.759999999995</v>
      </c>
      <c r="BK113" s="27">
        <v>10200.679999999993</v>
      </c>
      <c r="BL113" s="27">
        <v>12644.900000000005</v>
      </c>
      <c r="BM113" s="27">
        <v>6118.6200000000008</v>
      </c>
      <c r="BN113" s="27">
        <v>5362.1999999999953</v>
      </c>
      <c r="BO113" s="27">
        <v>9345.2300000000032</v>
      </c>
      <c r="BP113" s="27">
        <v>7603.8900000000021</v>
      </c>
      <c r="BQ113" s="27">
        <v>10944.82</v>
      </c>
      <c r="BR113" s="27">
        <v>7014.83</v>
      </c>
      <c r="BS113" s="27">
        <v>5822.619999999999</v>
      </c>
      <c r="BT113" s="27">
        <v>3975.62</v>
      </c>
      <c r="BU113" s="27">
        <v>10678.38</v>
      </c>
      <c r="BV113" s="43">
        <f t="shared" si="404"/>
        <v>100352.55</v>
      </c>
      <c r="BW113" s="405"/>
      <c r="BX113" s="32">
        <f t="shared" si="514"/>
        <v>0.17797657388143695</v>
      </c>
      <c r="BY113" s="32">
        <f t="shared" si="515"/>
        <v>0.23550328638040158</v>
      </c>
      <c r="BZ113" s="32">
        <f t="shared" si="516"/>
        <v>0.32628719407915574</v>
      </c>
      <c r="CA113" s="32">
        <f t="shared" si="517"/>
        <v>0.41731252527516438</v>
      </c>
      <c r="CB113" s="32">
        <f t="shared" si="518"/>
        <v>0.47291374530430091</v>
      </c>
      <c r="CC113" s="32">
        <f t="shared" si="519"/>
        <v>0.55237126110280121</v>
      </c>
      <c r="CD113" s="32">
        <f t="shared" si="520"/>
        <v>0.60037409679352571</v>
      </c>
      <c r="CE113" s="32">
        <f t="shared" si="521"/>
        <v>0.67415638200944261</v>
      </c>
      <c r="CF113" s="32">
        <f t="shared" si="522"/>
        <v>0.73676560726170714</v>
      </c>
      <c r="CG113" s="32">
        <f t="shared" si="523"/>
        <v>0.81036303662523579</v>
      </c>
      <c r="CH113" s="32">
        <f t="shared" si="524"/>
        <v>0.87979852953357274</v>
      </c>
      <c r="CI113" s="32">
        <f t="shared" si="525"/>
        <v>1</v>
      </c>
      <c r="CJ113" s="405"/>
      <c r="CK113" s="32">
        <f t="shared" si="526"/>
        <v>0.18059773639909815</v>
      </c>
      <c r="CL113" s="32">
        <f t="shared" si="527"/>
        <v>0.31132923086816355</v>
      </c>
      <c r="CM113" s="32">
        <f t="shared" si="528"/>
        <v>0.46677429196507869</v>
      </c>
      <c r="CN113" s="32">
        <f t="shared" si="529"/>
        <v>0.52931651002293134</v>
      </c>
      <c r="CO113" s="32">
        <f t="shared" si="530"/>
        <v>0.57834295491027399</v>
      </c>
      <c r="CP113" s="32">
        <f t="shared" si="531"/>
        <v>0.65046449968269182</v>
      </c>
      <c r="CQ113" s="32">
        <f t="shared" si="532"/>
        <v>0.72486460475269177</v>
      </c>
      <c r="CR113" s="32">
        <f t="shared" si="533"/>
        <v>0.79812717811572109</v>
      </c>
      <c r="CS113" s="32">
        <f t="shared" si="534"/>
        <v>0.84436851413236003</v>
      </c>
      <c r="CT113" s="32">
        <f t="shared" si="535"/>
        <v>0.89363447284206632</v>
      </c>
      <c r="CU113" s="32">
        <f t="shared" si="536"/>
        <v>0.94047036990580124</v>
      </c>
      <c r="CV113" s="32">
        <f t="shared" si="537"/>
        <v>1</v>
      </c>
      <c r="CX113" s="32">
        <f t="shared" si="538"/>
        <v>0.10044306279707177</v>
      </c>
      <c r="CY113" s="32">
        <f t="shared" si="539"/>
        <v>0.20916058928700529</v>
      </c>
      <c r="CZ113" s="32">
        <f t="shared" si="540"/>
        <v>0.28536581711335673</v>
      </c>
      <c r="DA113" s="32">
        <f t="shared" si="541"/>
        <v>0.38886570604798704</v>
      </c>
      <c r="DB113" s="32">
        <f t="shared" si="542"/>
        <v>0.44977665184921034</v>
      </c>
      <c r="DC113" s="32">
        <f t="shared" si="543"/>
        <v>0.50480622745213799</v>
      </c>
      <c r="DD113" s="32">
        <f t="shared" si="544"/>
        <v>0.56761689676988936</v>
      </c>
      <c r="DE113" s="32">
        <f t="shared" si="545"/>
        <v>0.63580788725198056</v>
      </c>
      <c r="DF113" s="32">
        <f t="shared" si="546"/>
        <v>0.70370036848230766</v>
      </c>
      <c r="DG113" s="32">
        <f t="shared" si="547"/>
        <v>0.79631592609976265</v>
      </c>
      <c r="DH113" s="32">
        <f t="shared" si="548"/>
        <v>0.8775047113817469</v>
      </c>
      <c r="DI113" s="32">
        <f t="shared" si="549"/>
        <v>1</v>
      </c>
      <c r="DK113" s="32">
        <f t="shared" si="444"/>
        <v>0.11039162487566898</v>
      </c>
      <c r="DL113" s="32">
        <f t="shared" si="445"/>
        <v>0.21257542628768131</v>
      </c>
      <c r="DM113" s="32">
        <f t="shared" si="446"/>
        <v>0.31140356055091339</v>
      </c>
      <c r="DN113" s="32">
        <f t="shared" si="447"/>
        <v>0.41066034105067661</v>
      </c>
      <c r="DO113" s="32">
        <f t="shared" si="448"/>
        <v>0.49525373485815255</v>
      </c>
      <c r="DP113" s="32">
        <f t="shared" si="449"/>
        <v>0.56013935955909855</v>
      </c>
      <c r="DQ113" s="32">
        <f t="shared" si="450"/>
        <v>0.65298307701989089</v>
      </c>
      <c r="DR113" s="32">
        <f t="shared" si="451"/>
        <v>0.70232220420355629</v>
      </c>
      <c r="DS113" s="32">
        <f t="shared" si="452"/>
        <v>0.75192895939312199</v>
      </c>
      <c r="DT113" s="32">
        <f t="shared" si="453"/>
        <v>0.81928349607792039</v>
      </c>
      <c r="DU113" s="32">
        <f t="shared" si="454"/>
        <v>0.89546585597383799</v>
      </c>
      <c r="DV113" s="32">
        <f t="shared" si="455"/>
        <v>1</v>
      </c>
      <c r="DW113" s="39"/>
      <c r="DX113" s="32">
        <f t="shared" si="456"/>
        <v>0.10603377791595724</v>
      </c>
      <c r="DY113" s="32">
        <f t="shared" si="457"/>
        <v>0.2076822163462711</v>
      </c>
      <c r="DZ113" s="32">
        <f t="shared" si="458"/>
        <v>0.33368698652899198</v>
      </c>
      <c r="EA113" s="32">
        <f t="shared" si="459"/>
        <v>0.39465823240166792</v>
      </c>
      <c r="EB113" s="32">
        <f t="shared" si="460"/>
        <v>0.44809185217515646</v>
      </c>
      <c r="EC113" s="32">
        <f t="shared" si="461"/>
        <v>0.54121584354358709</v>
      </c>
      <c r="ED113" s="32">
        <f t="shared" si="462"/>
        <v>0.61698761018030934</v>
      </c>
      <c r="EE113" s="32">
        <f t="shared" si="463"/>
        <v>0.72605130612027302</v>
      </c>
      <c r="EF113" s="32">
        <f t="shared" si="464"/>
        <v>0.79595316710935604</v>
      </c>
      <c r="EG113" s="32">
        <f t="shared" si="465"/>
        <v>0.85397481180099555</v>
      </c>
      <c r="EH113" s="32">
        <f t="shared" si="466"/>
        <v>0.89359134371772309</v>
      </c>
      <c r="EI113" s="32">
        <f t="shared" si="467"/>
        <v>1</v>
      </c>
      <c r="EK113" s="32">
        <f t="shared" si="550"/>
        <v>0.10562282186289933</v>
      </c>
      <c r="EL113" s="32">
        <f t="shared" si="468"/>
        <v>0.20980607730698589</v>
      </c>
      <c r="EM113" s="32">
        <f t="shared" si="469"/>
        <v>0.31015212139775405</v>
      </c>
      <c r="EN113" s="32">
        <f t="shared" si="470"/>
        <v>0.3980614265001105</v>
      </c>
      <c r="EO113" s="32">
        <f t="shared" si="471"/>
        <v>0.46437407962750643</v>
      </c>
      <c r="EP113" s="32">
        <f t="shared" si="472"/>
        <v>0.53538714351827454</v>
      </c>
      <c r="EQ113" s="32">
        <f t="shared" si="473"/>
        <v>0.61252919465669653</v>
      </c>
      <c r="ER113" s="32">
        <f t="shared" si="474"/>
        <v>0.68806046585860337</v>
      </c>
      <c r="ES113" s="32">
        <f t="shared" si="475"/>
        <v>0.75052749832826182</v>
      </c>
      <c r="ET113" s="32">
        <f t="shared" si="476"/>
        <v>0.82319141132622631</v>
      </c>
      <c r="EU113" s="32">
        <f t="shared" si="477"/>
        <v>0.88885397035776936</v>
      </c>
      <c r="EV113" s="32">
        <f t="shared" si="478"/>
        <v>1</v>
      </c>
      <c r="EX113" s="32">
        <f t="shared" si="479"/>
        <v>0.12436655049694903</v>
      </c>
      <c r="EY113" s="32">
        <f t="shared" si="480"/>
        <v>0.23518686569728031</v>
      </c>
      <c r="EZ113" s="32">
        <f t="shared" si="481"/>
        <v>0.34930766403958519</v>
      </c>
      <c r="FA113" s="32">
        <f t="shared" si="482"/>
        <v>0.4308751973808157</v>
      </c>
      <c r="FB113" s="32">
        <f t="shared" si="483"/>
        <v>0.49286629844819829</v>
      </c>
      <c r="FC113" s="32">
        <f t="shared" si="484"/>
        <v>0.56415648255937878</v>
      </c>
      <c r="FD113" s="32">
        <f t="shared" si="485"/>
        <v>0.64061304718069534</v>
      </c>
      <c r="FE113" s="32">
        <f t="shared" si="486"/>
        <v>0.71557714392288285</v>
      </c>
      <c r="FF113" s="32">
        <f t="shared" si="487"/>
        <v>0.7739877522792864</v>
      </c>
      <c r="FG113" s="32">
        <f t="shared" si="488"/>
        <v>0.8408021767051862</v>
      </c>
      <c r="FH113" s="32">
        <f t="shared" si="489"/>
        <v>0.90175807024477739</v>
      </c>
      <c r="FI113" s="32">
        <f t="shared" si="490"/>
        <v>1</v>
      </c>
      <c r="FK113" s="32">
        <f t="shared" si="551"/>
        <v>0.13047747469061297</v>
      </c>
      <c r="FL113" s="32">
        <f t="shared" si="491"/>
        <v>0.24435508214761673</v>
      </c>
      <c r="FM113" s="32">
        <f t="shared" si="492"/>
        <v>0.35451455654311631</v>
      </c>
      <c r="FN113" s="32">
        <f t="shared" si="493"/>
        <v>0.44294751904053165</v>
      </c>
      <c r="FO113" s="32">
        <f t="shared" si="494"/>
        <v>0.50779111387254561</v>
      </c>
      <c r="FP113" s="32">
        <f t="shared" si="495"/>
        <v>0.57180336223130945</v>
      </c>
      <c r="FQ113" s="32">
        <f t="shared" si="496"/>
        <v>0.64848819284749071</v>
      </c>
      <c r="FR113" s="32">
        <f t="shared" si="497"/>
        <v>0.71208575652375272</v>
      </c>
      <c r="FS113" s="32">
        <f t="shared" si="498"/>
        <v>0.76666594733592985</v>
      </c>
      <c r="FT113" s="32">
        <f t="shared" si="499"/>
        <v>0.83641129833991645</v>
      </c>
      <c r="FU113" s="32">
        <f t="shared" si="500"/>
        <v>0.90448031242046201</v>
      </c>
      <c r="FV113" s="32">
        <f t="shared" si="501"/>
        <v>1</v>
      </c>
      <c r="FX113" s="32">
        <f t="shared" si="502"/>
        <v>0.15300579102586895</v>
      </c>
      <c r="FY113" s="32">
        <f t="shared" si="503"/>
        <v>0.25199770217852352</v>
      </c>
      <c r="FZ113" s="32">
        <f t="shared" si="504"/>
        <v>0.35947576771919704</v>
      </c>
      <c r="GA113" s="32">
        <f t="shared" si="505"/>
        <v>0.44516491378202755</v>
      </c>
      <c r="GB113" s="32">
        <f t="shared" si="506"/>
        <v>0.50034445068792832</v>
      </c>
      <c r="GC113" s="32">
        <f t="shared" si="507"/>
        <v>0.5692139960792103</v>
      </c>
      <c r="GD113" s="32">
        <f t="shared" si="508"/>
        <v>0.63095186610536891</v>
      </c>
      <c r="GE113" s="32">
        <f t="shared" si="509"/>
        <v>0.70269714912571468</v>
      </c>
      <c r="GF113" s="32">
        <f t="shared" si="510"/>
        <v>0.76161149662545835</v>
      </c>
      <c r="GG113" s="32">
        <f t="shared" si="511"/>
        <v>0.83343781185568833</v>
      </c>
      <c r="GH113" s="32">
        <f t="shared" si="512"/>
        <v>0.89925787027370696</v>
      </c>
      <c r="GI113" s="32">
        <f t="shared" si="513"/>
        <v>1</v>
      </c>
    </row>
    <row r="114" spans="1:191">
      <c r="A114" s="724" t="s">
        <v>98</v>
      </c>
      <c r="B114" s="399">
        <v>1094.3400000000001</v>
      </c>
      <c r="C114" s="400">
        <v>2427.81</v>
      </c>
      <c r="D114" s="400">
        <v>2341.3200000000002</v>
      </c>
      <c r="E114" s="400">
        <v>674.57999999999993</v>
      </c>
      <c r="F114" s="400">
        <v>3226.78</v>
      </c>
      <c r="G114" s="400">
        <v>674.27</v>
      </c>
      <c r="H114" s="400">
        <v>1418.43</v>
      </c>
      <c r="I114" s="400">
        <v>2094.2600000000002</v>
      </c>
      <c r="J114" s="400">
        <v>293.32000000000016</v>
      </c>
      <c r="K114" s="400">
        <v>1054.3199999999997</v>
      </c>
      <c r="L114" s="400">
        <v>431.94000000000005</v>
      </c>
      <c r="M114" s="400">
        <v>919.31999999999994</v>
      </c>
      <c r="N114" s="400">
        <f t="shared" si="441"/>
        <v>16650.690000000002</v>
      </c>
      <c r="P114" s="396" t="s">
        <v>98</v>
      </c>
      <c r="Q114" s="399">
        <v>2628.98</v>
      </c>
      <c r="R114" s="400">
        <v>2327.33</v>
      </c>
      <c r="S114" s="400">
        <v>1259.74</v>
      </c>
      <c r="T114" s="400">
        <v>815.97</v>
      </c>
      <c r="U114" s="400">
        <v>388.95</v>
      </c>
      <c r="V114" s="400">
        <v>1190.49</v>
      </c>
      <c r="W114" s="400">
        <v>895.67000000000007</v>
      </c>
      <c r="X114" s="400">
        <v>839.70000000000073</v>
      </c>
      <c r="Y114" s="400">
        <v>927.75</v>
      </c>
      <c r="Z114" s="400">
        <v>2725.59</v>
      </c>
      <c r="AA114" s="400">
        <v>271.58</v>
      </c>
      <c r="AB114" s="400">
        <v>948.1099999999999</v>
      </c>
      <c r="AC114" s="400">
        <f t="shared" si="442"/>
        <v>15219.86</v>
      </c>
      <c r="AE114" s="127" t="s">
        <v>98</v>
      </c>
      <c r="AF114" s="27">
        <v>1035.68</v>
      </c>
      <c r="AG114" s="27">
        <v>1154.8399999999999</v>
      </c>
      <c r="AH114" s="27">
        <v>729.32</v>
      </c>
      <c r="AI114" s="27">
        <v>1698.95</v>
      </c>
      <c r="AJ114" s="27">
        <v>194.28</v>
      </c>
      <c r="AK114" s="27">
        <v>515.9</v>
      </c>
      <c r="AL114" s="27">
        <v>709.17</v>
      </c>
      <c r="AM114" s="27">
        <v>702.42</v>
      </c>
      <c r="AN114" s="27">
        <v>897.31</v>
      </c>
      <c r="AO114" s="27">
        <v>398.65</v>
      </c>
      <c r="AP114" s="27">
        <v>658.81</v>
      </c>
      <c r="AQ114" s="27">
        <v>227.93</v>
      </c>
      <c r="AR114" s="43">
        <f t="shared" si="443"/>
        <v>8923.2599999999984</v>
      </c>
      <c r="AT114" s="60" t="s">
        <v>98</v>
      </c>
      <c r="AU114" s="27">
        <v>785.40000000000009</v>
      </c>
      <c r="AV114" s="27">
        <v>465.40999999999985</v>
      </c>
      <c r="AW114" s="27">
        <v>0</v>
      </c>
      <c r="AX114" s="27">
        <v>0</v>
      </c>
      <c r="AY114" s="27">
        <v>1011.18</v>
      </c>
      <c r="AZ114" s="27">
        <v>43.64</v>
      </c>
      <c r="BA114" s="27">
        <v>551.29</v>
      </c>
      <c r="BB114" s="27">
        <v>494.68</v>
      </c>
      <c r="BC114" s="27">
        <v>90.19</v>
      </c>
      <c r="BD114" s="27">
        <v>215.76</v>
      </c>
      <c r="BE114" s="27">
        <v>202.23</v>
      </c>
      <c r="BF114" s="27">
        <v>559.35</v>
      </c>
      <c r="BG114" s="43">
        <f t="shared" si="403"/>
        <v>4419.1299999999992</v>
      </c>
      <c r="BI114" s="60" t="s">
        <v>98</v>
      </c>
      <c r="BJ114" s="27">
        <v>243.77999999999975</v>
      </c>
      <c r="BK114" s="27">
        <v>295.7800000000002</v>
      </c>
      <c r="BL114" s="27">
        <v>0</v>
      </c>
      <c r="BM114" s="27">
        <v>191.70999999999987</v>
      </c>
      <c r="BN114" s="27">
        <v>433.1</v>
      </c>
      <c r="BO114" s="27">
        <v>710.67</v>
      </c>
      <c r="BP114" s="27">
        <v>446.15000000000003</v>
      </c>
      <c r="BQ114" s="27">
        <v>253.52999999999997</v>
      </c>
      <c r="BR114" s="27">
        <v>341.29999999999995</v>
      </c>
      <c r="BS114" s="27">
        <v>360.78999999999996</v>
      </c>
      <c r="BT114" s="27">
        <v>524.95000000000005</v>
      </c>
      <c r="BU114" s="27">
        <v>0</v>
      </c>
      <c r="BV114" s="43">
        <f t="shared" si="404"/>
        <v>3801.76</v>
      </c>
      <c r="BW114" s="405"/>
      <c r="BX114" s="32">
        <f t="shared" si="514"/>
        <v>6.5723402453592011E-2</v>
      </c>
      <c r="BY114" s="32">
        <f t="shared" si="515"/>
        <v>0.21153177435890042</v>
      </c>
      <c r="BZ114" s="32">
        <f t="shared" si="516"/>
        <v>0.35214576693218114</v>
      </c>
      <c r="CA114" s="32">
        <f t="shared" si="517"/>
        <v>0.39265940330400717</v>
      </c>
      <c r="CB114" s="32">
        <f t="shared" si="518"/>
        <v>0.58645197286118467</v>
      </c>
      <c r="CC114" s="32">
        <f t="shared" si="519"/>
        <v>0.62694699138594245</v>
      </c>
      <c r="CD114" s="32">
        <f t="shared" si="520"/>
        <v>0.71213445208576931</v>
      </c>
      <c r="CE114" s="32">
        <f t="shared" si="521"/>
        <v>0.83791062112140691</v>
      </c>
      <c r="CF114" s="32">
        <f t="shared" si="522"/>
        <v>0.85552670790219498</v>
      </c>
      <c r="CG114" s="32">
        <f t="shared" si="523"/>
        <v>0.91884660635685356</v>
      </c>
      <c r="CH114" s="32">
        <f t="shared" si="524"/>
        <v>0.94478787365568628</v>
      </c>
      <c r="CI114" s="32">
        <f t="shared" si="525"/>
        <v>1</v>
      </c>
      <c r="CJ114" s="405"/>
      <c r="CK114" s="32">
        <f t="shared" si="526"/>
        <v>0.17273352054486704</v>
      </c>
      <c r="CL114" s="32">
        <f t="shared" si="527"/>
        <v>0.32564754209302843</v>
      </c>
      <c r="CM114" s="32">
        <f t="shared" si="528"/>
        <v>0.40841702880315583</v>
      </c>
      <c r="CN114" s="32">
        <f t="shared" si="529"/>
        <v>0.4620292170887248</v>
      </c>
      <c r="CO114" s="32">
        <f t="shared" si="530"/>
        <v>0.48758464269710755</v>
      </c>
      <c r="CP114" s="32">
        <f t="shared" si="531"/>
        <v>0.56580415325765143</v>
      </c>
      <c r="CQ114" s="32">
        <f t="shared" si="532"/>
        <v>0.6246529205919108</v>
      </c>
      <c r="CR114" s="32">
        <f t="shared" si="533"/>
        <v>0.67982425593927931</v>
      </c>
      <c r="CS114" s="32">
        <f t="shared" si="534"/>
        <v>0.74078079561835652</v>
      </c>
      <c r="CT114" s="32">
        <f t="shared" si="535"/>
        <v>0.91986194353955941</v>
      </c>
      <c r="CU114" s="32">
        <f t="shared" si="536"/>
        <v>0.93770573448113181</v>
      </c>
      <c r="CV114" s="32">
        <f t="shared" si="537"/>
        <v>1</v>
      </c>
      <c r="CX114" s="32">
        <f t="shared" si="538"/>
        <v>0.11606520486907254</v>
      </c>
      <c r="CY114" s="32">
        <f t="shared" si="539"/>
        <v>0.24548427368472961</v>
      </c>
      <c r="CZ114" s="32">
        <f t="shared" si="540"/>
        <v>0.32721673469113316</v>
      </c>
      <c r="DA114" s="32">
        <f t="shared" si="541"/>
        <v>0.51761239726288388</v>
      </c>
      <c r="DB114" s="32">
        <f t="shared" si="542"/>
        <v>0.53938470917579451</v>
      </c>
      <c r="DC114" s="32">
        <f t="shared" si="543"/>
        <v>0.59719990227786712</v>
      </c>
      <c r="DD114" s="32">
        <f t="shared" si="544"/>
        <v>0.67667421995996979</v>
      </c>
      <c r="DE114" s="32">
        <f t="shared" si="545"/>
        <v>0.75539208764509835</v>
      </c>
      <c r="DF114" s="32">
        <f t="shared" si="546"/>
        <v>0.85595062790953091</v>
      </c>
      <c r="DG114" s="32">
        <f t="shared" si="547"/>
        <v>0.90062600439749596</v>
      </c>
      <c r="DH114" s="32">
        <f t="shared" si="548"/>
        <v>0.97445664476884009</v>
      </c>
      <c r="DI114" s="32">
        <f t="shared" si="549"/>
        <v>1</v>
      </c>
      <c r="DK114" s="32">
        <f t="shared" si="444"/>
        <v>0.17772729021323208</v>
      </c>
      <c r="DL114" s="32">
        <f t="shared" si="445"/>
        <v>0.28304440014210946</v>
      </c>
      <c r="DM114" s="32">
        <f t="shared" si="446"/>
        <v>0.28304440014210946</v>
      </c>
      <c r="DN114" s="32">
        <f t="shared" si="447"/>
        <v>0.28304440014210946</v>
      </c>
      <c r="DO114" s="32">
        <f t="shared" si="448"/>
        <v>0.51186319479173503</v>
      </c>
      <c r="DP114" s="32">
        <f t="shared" si="449"/>
        <v>0.5217384417294807</v>
      </c>
      <c r="DQ114" s="32">
        <f t="shared" si="450"/>
        <v>0.64648924109496664</v>
      </c>
      <c r="DR114" s="32">
        <f t="shared" si="451"/>
        <v>0.75842982668534309</v>
      </c>
      <c r="DS114" s="32">
        <f t="shared" si="452"/>
        <v>0.77883882121594072</v>
      </c>
      <c r="DT114" s="32">
        <f t="shared" si="453"/>
        <v>0.82766291102547329</v>
      </c>
      <c r="DU114" s="32">
        <f t="shared" si="454"/>
        <v>0.87342531222208897</v>
      </c>
      <c r="DV114" s="32">
        <f t="shared" si="455"/>
        <v>1</v>
      </c>
      <c r="DW114" s="39"/>
      <c r="DX114" s="32">
        <f t="shared" si="456"/>
        <v>6.4122932536509331E-2</v>
      </c>
      <c r="DY114" s="32">
        <f t="shared" si="457"/>
        <v>0.14192374058330876</v>
      </c>
      <c r="DZ114" s="32">
        <f t="shared" si="458"/>
        <v>0.14192374058330876</v>
      </c>
      <c r="EA114" s="32">
        <f t="shared" si="459"/>
        <v>0.19235038508480276</v>
      </c>
      <c r="EB114" s="32">
        <f t="shared" si="460"/>
        <v>0.3062713059214679</v>
      </c>
      <c r="EC114" s="32">
        <f t="shared" si="461"/>
        <v>0.49320314801565585</v>
      </c>
      <c r="ED114" s="32">
        <f t="shared" si="462"/>
        <v>0.6105566895332688</v>
      </c>
      <c r="EE114" s="32">
        <f t="shared" si="463"/>
        <v>0.67724422372795756</v>
      </c>
      <c r="EF114" s="32">
        <f t="shared" si="464"/>
        <v>0.7670184335676109</v>
      </c>
      <c r="EG114" s="32">
        <f t="shared" si="465"/>
        <v>0.86191921636294777</v>
      </c>
      <c r="EH114" s="32">
        <f t="shared" si="466"/>
        <v>1</v>
      </c>
      <c r="EI114" s="32">
        <f t="shared" si="467"/>
        <v>1</v>
      </c>
      <c r="EK114" s="32">
        <f t="shared" si="550"/>
        <v>0.11930514253960467</v>
      </c>
      <c r="EL114" s="32">
        <f t="shared" si="468"/>
        <v>0.22348413813671594</v>
      </c>
      <c r="EM114" s="32">
        <f t="shared" si="469"/>
        <v>0.25072829180551715</v>
      </c>
      <c r="EN114" s="32">
        <f t="shared" si="470"/>
        <v>0.33100239416326538</v>
      </c>
      <c r="EO114" s="32">
        <f t="shared" si="471"/>
        <v>0.45250640329633246</v>
      </c>
      <c r="EP114" s="32">
        <f t="shared" si="472"/>
        <v>0.53738049734100124</v>
      </c>
      <c r="EQ114" s="32">
        <f t="shared" si="473"/>
        <v>0.64457338352940174</v>
      </c>
      <c r="ER114" s="32">
        <f t="shared" si="474"/>
        <v>0.73035537935279971</v>
      </c>
      <c r="ES114" s="32">
        <f t="shared" si="475"/>
        <v>0.80060262756436085</v>
      </c>
      <c r="ET114" s="32">
        <f t="shared" si="476"/>
        <v>0.8634027105953056</v>
      </c>
      <c r="EU114" s="32">
        <f t="shared" si="477"/>
        <v>0.94929398566364309</v>
      </c>
      <c r="EV114" s="32">
        <f t="shared" si="478"/>
        <v>1</v>
      </c>
      <c r="EX114" s="32">
        <f t="shared" si="479"/>
        <v>0.13266223704092026</v>
      </c>
      <c r="EY114" s="32">
        <f t="shared" si="480"/>
        <v>0.24902498912579407</v>
      </c>
      <c r="EZ114" s="32">
        <f t="shared" si="481"/>
        <v>0.29015047605492683</v>
      </c>
      <c r="FA114" s="32">
        <f t="shared" si="482"/>
        <v>0.36375909989463023</v>
      </c>
      <c r="FB114" s="32">
        <f t="shared" si="483"/>
        <v>0.46127596314652625</v>
      </c>
      <c r="FC114" s="32">
        <f t="shared" si="484"/>
        <v>0.54448641132016373</v>
      </c>
      <c r="FD114" s="32">
        <f t="shared" si="485"/>
        <v>0.63959326779502901</v>
      </c>
      <c r="FE114" s="32">
        <f t="shared" si="486"/>
        <v>0.71772259849941955</v>
      </c>
      <c r="FF114" s="32">
        <f t="shared" si="487"/>
        <v>0.78564716957785974</v>
      </c>
      <c r="FG114" s="32">
        <f t="shared" si="488"/>
        <v>0.87751751883136908</v>
      </c>
      <c r="FH114" s="32">
        <f t="shared" si="489"/>
        <v>0.94639692286801524</v>
      </c>
      <c r="FI114" s="32">
        <f t="shared" si="490"/>
        <v>1</v>
      </c>
      <c r="FK114" s="32">
        <f t="shared" si="551"/>
        <v>0.1555086718757239</v>
      </c>
      <c r="FL114" s="32">
        <f t="shared" si="491"/>
        <v>0.28472540530662255</v>
      </c>
      <c r="FM114" s="32">
        <f t="shared" si="492"/>
        <v>0.33955938787879947</v>
      </c>
      <c r="FN114" s="32">
        <f t="shared" si="493"/>
        <v>0.42089533816457275</v>
      </c>
      <c r="FO114" s="32">
        <f t="shared" si="494"/>
        <v>0.5129441822215457</v>
      </c>
      <c r="FP114" s="32">
        <f t="shared" si="495"/>
        <v>0.56158083242166645</v>
      </c>
      <c r="FQ114" s="32">
        <f t="shared" si="496"/>
        <v>0.64927212721561578</v>
      </c>
      <c r="FR114" s="32">
        <f t="shared" si="497"/>
        <v>0.73121539008990688</v>
      </c>
      <c r="FS114" s="32">
        <f t="shared" si="498"/>
        <v>0.79185674824794272</v>
      </c>
      <c r="FT114" s="32">
        <f t="shared" si="499"/>
        <v>0.88271695298750963</v>
      </c>
      <c r="FU114" s="32">
        <f t="shared" si="500"/>
        <v>0.92852923049068703</v>
      </c>
      <c r="FV114" s="32">
        <f t="shared" si="501"/>
        <v>1</v>
      </c>
      <c r="FX114" s="32">
        <f t="shared" si="502"/>
        <v>0.11817404262251052</v>
      </c>
      <c r="FY114" s="32">
        <f t="shared" si="503"/>
        <v>0.2608878633788862</v>
      </c>
      <c r="FZ114" s="32">
        <f t="shared" si="504"/>
        <v>0.36259317680882336</v>
      </c>
      <c r="GA114" s="32">
        <f t="shared" si="505"/>
        <v>0.45743367255187195</v>
      </c>
      <c r="GB114" s="32">
        <f t="shared" si="506"/>
        <v>0.53780710824469569</v>
      </c>
      <c r="GC114" s="32">
        <f t="shared" si="507"/>
        <v>0.5966503489738203</v>
      </c>
      <c r="GD114" s="32">
        <f t="shared" si="508"/>
        <v>0.67115386421254986</v>
      </c>
      <c r="GE114" s="32">
        <f t="shared" si="509"/>
        <v>0.75770898823526156</v>
      </c>
      <c r="GF114" s="32">
        <f t="shared" si="510"/>
        <v>0.81741937714336077</v>
      </c>
      <c r="GG114" s="32">
        <f t="shared" si="511"/>
        <v>0.91311151809796964</v>
      </c>
      <c r="GH114" s="32">
        <f t="shared" si="512"/>
        <v>0.95231675096855273</v>
      </c>
      <c r="GI114" s="32">
        <f t="shared" si="513"/>
        <v>1</v>
      </c>
    </row>
    <row r="115" spans="1:191">
      <c r="A115" s="724" t="s">
        <v>99</v>
      </c>
      <c r="B115" s="399">
        <v>0</v>
      </c>
      <c r="C115" s="400">
        <v>143.57</v>
      </c>
      <c r="D115" s="400">
        <v>0</v>
      </c>
      <c r="E115" s="400">
        <v>0</v>
      </c>
      <c r="F115" s="400">
        <v>0</v>
      </c>
      <c r="G115" s="400">
        <v>160.56</v>
      </c>
      <c r="H115" s="400">
        <v>184.37</v>
      </c>
      <c r="I115" s="400">
        <v>0</v>
      </c>
      <c r="J115" s="400">
        <v>0</v>
      </c>
      <c r="K115" s="400">
        <v>0</v>
      </c>
      <c r="L115" s="400">
        <v>571.41000000000008</v>
      </c>
      <c r="M115" s="400">
        <v>0</v>
      </c>
      <c r="N115" s="400">
        <f t="shared" si="441"/>
        <v>1059.9100000000001</v>
      </c>
      <c r="P115" s="396" t="s">
        <v>99</v>
      </c>
      <c r="Q115" s="399">
        <v>0</v>
      </c>
      <c r="R115" s="400">
        <v>460.66</v>
      </c>
      <c r="S115" s="400">
        <v>221.13</v>
      </c>
      <c r="T115" s="400">
        <v>0</v>
      </c>
      <c r="U115" s="400">
        <v>0</v>
      </c>
      <c r="V115" s="400">
        <v>331.69</v>
      </c>
      <c r="W115" s="400">
        <v>0</v>
      </c>
      <c r="X115" s="400">
        <v>92.13</v>
      </c>
      <c r="Y115" s="400">
        <v>1105.56</v>
      </c>
      <c r="Z115" s="400">
        <v>67.380000000000024</v>
      </c>
      <c r="AA115" s="400">
        <v>0</v>
      </c>
      <c r="AB115" s="400">
        <v>0</v>
      </c>
      <c r="AC115" s="400">
        <f t="shared" si="442"/>
        <v>2278.5500000000002</v>
      </c>
      <c r="AE115" s="127" t="s">
        <v>99</v>
      </c>
      <c r="AF115" s="27">
        <v>0</v>
      </c>
      <c r="AG115" s="27">
        <v>84.8</v>
      </c>
      <c r="AH115" s="27">
        <v>0</v>
      </c>
      <c r="AI115" s="27">
        <v>105.74</v>
      </c>
      <c r="AJ115" s="27">
        <v>0</v>
      </c>
      <c r="AK115" s="27">
        <v>0</v>
      </c>
      <c r="AL115" s="27">
        <v>0</v>
      </c>
      <c r="AM115" s="27">
        <v>0</v>
      </c>
      <c r="AN115" s="27">
        <v>0</v>
      </c>
      <c r="AO115" s="27">
        <v>0</v>
      </c>
      <c r="AP115" s="27">
        <v>0</v>
      </c>
      <c r="AQ115" s="27">
        <v>0</v>
      </c>
      <c r="AR115" s="43">
        <f t="shared" si="443"/>
        <v>190.54</v>
      </c>
      <c r="AT115" s="60" t="s">
        <v>99</v>
      </c>
      <c r="AU115" s="27">
        <v>0</v>
      </c>
      <c r="AV115" s="27">
        <v>0</v>
      </c>
      <c r="AW115" s="27">
        <v>0</v>
      </c>
      <c r="AX115" s="27">
        <v>0</v>
      </c>
      <c r="AY115" s="27">
        <v>290.12</v>
      </c>
      <c r="AZ115" s="27">
        <v>0</v>
      </c>
      <c r="BA115" s="27">
        <v>0</v>
      </c>
      <c r="BB115" s="27">
        <v>0</v>
      </c>
      <c r="BC115" s="27">
        <v>0</v>
      </c>
      <c r="BD115" s="27">
        <v>0</v>
      </c>
      <c r="BE115" s="27">
        <v>0</v>
      </c>
      <c r="BF115" s="27">
        <v>0</v>
      </c>
      <c r="BG115" s="43">
        <f t="shared" si="403"/>
        <v>290.12</v>
      </c>
      <c r="BI115" s="60" t="s">
        <v>99</v>
      </c>
      <c r="BJ115" s="27">
        <v>548.43000000000006</v>
      </c>
      <c r="BK115" s="27">
        <v>0</v>
      </c>
      <c r="BL115" s="27">
        <v>0</v>
      </c>
      <c r="BM115" s="27">
        <v>215.80999999999997</v>
      </c>
      <c r="BN115" s="27">
        <v>0</v>
      </c>
      <c r="BO115" s="27">
        <v>0</v>
      </c>
      <c r="BP115" s="27">
        <v>351.82</v>
      </c>
      <c r="BQ115" s="27">
        <v>0</v>
      </c>
      <c r="BR115" s="27">
        <v>147.69999999999999</v>
      </c>
      <c r="BS115" s="27">
        <v>0</v>
      </c>
      <c r="BT115" s="27">
        <v>0</v>
      </c>
      <c r="BU115" s="27">
        <v>0</v>
      </c>
      <c r="BV115" s="43">
        <f t="shared" si="404"/>
        <v>1263.76</v>
      </c>
      <c r="BW115" s="405"/>
      <c r="BX115" s="32">
        <f t="shared" si="514"/>
        <v>0</v>
      </c>
      <c r="BY115" s="32">
        <f t="shared" si="515"/>
        <v>0.13545489711390588</v>
      </c>
      <c r="BZ115" s="32">
        <f t="shared" si="516"/>
        <v>0.13545489711390588</v>
      </c>
      <c r="CA115" s="32">
        <f t="shared" si="517"/>
        <v>0.13545489711390588</v>
      </c>
      <c r="CB115" s="32">
        <f t="shared" si="518"/>
        <v>0.13545489711390588</v>
      </c>
      <c r="CC115" s="32">
        <f t="shared" si="519"/>
        <v>0.28693945712371804</v>
      </c>
      <c r="CD115" s="32">
        <f t="shared" si="520"/>
        <v>0.46088818861978842</v>
      </c>
      <c r="CE115" s="32">
        <f t="shared" si="521"/>
        <v>0.46088818861978842</v>
      </c>
      <c r="CF115" s="32">
        <f t="shared" si="522"/>
        <v>0.46088818861978842</v>
      </c>
      <c r="CG115" s="32">
        <f t="shared" si="523"/>
        <v>0.46088818861978842</v>
      </c>
      <c r="CH115" s="32">
        <f t="shared" si="524"/>
        <v>1</v>
      </c>
      <c r="CI115" s="32">
        <f t="shared" si="525"/>
        <v>1</v>
      </c>
      <c r="CJ115" s="405"/>
      <c r="CK115" s="32">
        <f t="shared" si="526"/>
        <v>0</v>
      </c>
      <c r="CL115" s="32">
        <f t="shared" si="527"/>
        <v>0.20217243422351933</v>
      </c>
      <c r="CM115" s="32">
        <f t="shared" si="528"/>
        <v>0.29922099580873796</v>
      </c>
      <c r="CN115" s="32">
        <f t="shared" si="529"/>
        <v>0.29922099580873796</v>
      </c>
      <c r="CO115" s="32">
        <f t="shared" si="530"/>
        <v>0.29922099580873796</v>
      </c>
      <c r="CP115" s="32">
        <f t="shared" si="531"/>
        <v>0.44479164380856245</v>
      </c>
      <c r="CQ115" s="32">
        <f t="shared" si="532"/>
        <v>0.44479164380856245</v>
      </c>
      <c r="CR115" s="32">
        <f t="shared" si="533"/>
        <v>0.48522525290206492</v>
      </c>
      <c r="CS115" s="32">
        <f t="shared" si="534"/>
        <v>0.97042856202409422</v>
      </c>
      <c r="CT115" s="32">
        <f t="shared" si="535"/>
        <v>1</v>
      </c>
      <c r="CU115" s="32">
        <f t="shared" si="536"/>
        <v>1</v>
      </c>
      <c r="CV115" s="32">
        <f t="shared" si="537"/>
        <v>1</v>
      </c>
      <c r="CX115" s="32">
        <f t="shared" si="538"/>
        <v>0</v>
      </c>
      <c r="CY115" s="32">
        <f t="shared" si="539"/>
        <v>0.44505090794583813</v>
      </c>
      <c r="CZ115" s="32">
        <f t="shared" si="540"/>
        <v>0.44505090794583813</v>
      </c>
      <c r="DA115" s="32">
        <f t="shared" si="541"/>
        <v>1</v>
      </c>
      <c r="DB115" s="32">
        <f t="shared" si="542"/>
        <v>1</v>
      </c>
      <c r="DC115" s="32">
        <f t="shared" si="543"/>
        <v>1</v>
      </c>
      <c r="DD115" s="32">
        <f t="shared" si="544"/>
        <v>1</v>
      </c>
      <c r="DE115" s="32">
        <f t="shared" si="545"/>
        <v>1</v>
      </c>
      <c r="DF115" s="32">
        <f t="shared" si="546"/>
        <v>1</v>
      </c>
      <c r="DG115" s="32">
        <f t="shared" si="547"/>
        <v>1</v>
      </c>
      <c r="DH115" s="32">
        <f t="shared" si="548"/>
        <v>1</v>
      </c>
      <c r="DI115" s="32">
        <f t="shared" si="549"/>
        <v>1</v>
      </c>
      <c r="DK115" s="32">
        <f t="shared" si="444"/>
        <v>0</v>
      </c>
      <c r="DL115" s="32">
        <f t="shared" si="445"/>
        <v>0</v>
      </c>
      <c r="DM115" s="32">
        <f t="shared" si="446"/>
        <v>0</v>
      </c>
      <c r="DN115" s="32">
        <f t="shared" si="447"/>
        <v>0</v>
      </c>
      <c r="DO115" s="32">
        <f t="shared" si="448"/>
        <v>1</v>
      </c>
      <c r="DP115" s="32">
        <f t="shared" si="449"/>
        <v>1</v>
      </c>
      <c r="DQ115" s="32">
        <f t="shared" si="450"/>
        <v>1</v>
      </c>
      <c r="DR115" s="32">
        <f t="shared" si="451"/>
        <v>1</v>
      </c>
      <c r="DS115" s="32">
        <f t="shared" si="452"/>
        <v>1</v>
      </c>
      <c r="DT115" s="32">
        <f t="shared" si="453"/>
        <v>1</v>
      </c>
      <c r="DU115" s="32">
        <f t="shared" si="454"/>
        <v>1</v>
      </c>
      <c r="DV115" s="32">
        <f t="shared" si="455"/>
        <v>1</v>
      </c>
      <c r="DW115" s="39"/>
      <c r="DX115" s="32">
        <f t="shared" si="456"/>
        <v>0.43396689244793318</v>
      </c>
      <c r="DY115" s="32">
        <f t="shared" si="457"/>
        <v>0.43396689244793318</v>
      </c>
      <c r="DZ115" s="32">
        <f t="shared" si="458"/>
        <v>0.43396689244793318</v>
      </c>
      <c r="EA115" s="32">
        <f t="shared" si="459"/>
        <v>0.60473507628030643</v>
      </c>
      <c r="EB115" s="32">
        <f t="shared" si="460"/>
        <v>0.60473507628030643</v>
      </c>
      <c r="EC115" s="32">
        <f t="shared" si="461"/>
        <v>0.60473507628030643</v>
      </c>
      <c r="ED115" s="32">
        <f t="shared" si="462"/>
        <v>0.88312654301449633</v>
      </c>
      <c r="EE115" s="32">
        <f t="shared" si="463"/>
        <v>0.88312654301449633</v>
      </c>
      <c r="EF115" s="32">
        <f t="shared" si="464"/>
        <v>1</v>
      </c>
      <c r="EG115" s="32">
        <f t="shared" si="465"/>
        <v>1</v>
      </c>
      <c r="EH115" s="32">
        <f t="shared" si="466"/>
        <v>1</v>
      </c>
      <c r="EI115" s="32">
        <f t="shared" si="467"/>
        <v>1</v>
      </c>
      <c r="EK115" s="32">
        <f t="shared" si="550"/>
        <v>0.14465563081597774</v>
      </c>
      <c r="EL115" s="32">
        <f t="shared" si="468"/>
        <v>0.29300593346459042</v>
      </c>
      <c r="EM115" s="32">
        <f t="shared" si="469"/>
        <v>0.29300593346459042</v>
      </c>
      <c r="EN115" s="32">
        <f t="shared" si="470"/>
        <v>0.53491169209343548</v>
      </c>
      <c r="EO115" s="32">
        <f t="shared" si="471"/>
        <v>0.86824502542676874</v>
      </c>
      <c r="EP115" s="32">
        <f t="shared" si="472"/>
        <v>0.86824502542676874</v>
      </c>
      <c r="EQ115" s="32">
        <f t="shared" si="473"/>
        <v>0.96104218100483207</v>
      </c>
      <c r="ER115" s="32">
        <f t="shared" si="474"/>
        <v>0.96104218100483207</v>
      </c>
      <c r="ES115" s="32">
        <f t="shared" si="475"/>
        <v>1</v>
      </c>
      <c r="ET115" s="32">
        <f t="shared" si="476"/>
        <v>1</v>
      </c>
      <c r="EU115" s="32">
        <f t="shared" si="477"/>
        <v>1</v>
      </c>
      <c r="EV115" s="32">
        <f t="shared" si="478"/>
        <v>1</v>
      </c>
      <c r="EX115" s="32">
        <f t="shared" si="479"/>
        <v>0.1084917231119833</v>
      </c>
      <c r="EY115" s="32">
        <f t="shared" si="480"/>
        <v>0.27029755865432264</v>
      </c>
      <c r="EZ115" s="32">
        <f t="shared" si="481"/>
        <v>0.29455969905062729</v>
      </c>
      <c r="FA115" s="32">
        <f t="shared" si="482"/>
        <v>0.47598901802226107</v>
      </c>
      <c r="FB115" s="32">
        <f t="shared" si="483"/>
        <v>0.72598901802226101</v>
      </c>
      <c r="FC115" s="32">
        <f t="shared" si="484"/>
        <v>0.76238168002221718</v>
      </c>
      <c r="FD115" s="32">
        <f t="shared" si="485"/>
        <v>0.83197954670576468</v>
      </c>
      <c r="FE115" s="32">
        <f t="shared" si="486"/>
        <v>0.8420879489791403</v>
      </c>
      <c r="FF115" s="32">
        <f t="shared" si="487"/>
        <v>0.9926071405060235</v>
      </c>
      <c r="FG115" s="32">
        <f t="shared" si="488"/>
        <v>1</v>
      </c>
      <c r="FH115" s="32">
        <f t="shared" si="489"/>
        <v>1</v>
      </c>
      <c r="FI115" s="32">
        <f t="shared" si="490"/>
        <v>1</v>
      </c>
      <c r="FK115" s="32">
        <f t="shared" si="551"/>
        <v>0</v>
      </c>
      <c r="FL115" s="32">
        <f t="shared" si="491"/>
        <v>0.21574111405645247</v>
      </c>
      <c r="FM115" s="32">
        <f t="shared" si="492"/>
        <v>0.24809063458485869</v>
      </c>
      <c r="FN115" s="32">
        <f t="shared" si="493"/>
        <v>0.4330736652695793</v>
      </c>
      <c r="FO115" s="32">
        <f t="shared" si="494"/>
        <v>0.76640699860291261</v>
      </c>
      <c r="FP115" s="32">
        <f t="shared" si="495"/>
        <v>0.81493054793618747</v>
      </c>
      <c r="FQ115" s="32">
        <f t="shared" si="496"/>
        <v>0.81493054793618747</v>
      </c>
      <c r="FR115" s="32">
        <f t="shared" si="497"/>
        <v>0.82840841763402162</v>
      </c>
      <c r="FS115" s="32">
        <f t="shared" si="498"/>
        <v>0.99014285400803137</v>
      </c>
      <c r="FT115" s="32">
        <f t="shared" si="499"/>
        <v>1</v>
      </c>
      <c r="FU115" s="32">
        <f t="shared" si="500"/>
        <v>1</v>
      </c>
      <c r="FV115" s="32">
        <f t="shared" si="501"/>
        <v>1</v>
      </c>
      <c r="FX115" s="32">
        <f t="shared" si="502"/>
        <v>0</v>
      </c>
      <c r="FY115" s="32">
        <f t="shared" si="503"/>
        <v>0.26089274642775445</v>
      </c>
      <c r="FZ115" s="32">
        <f t="shared" si="504"/>
        <v>0.29324226695616068</v>
      </c>
      <c r="GA115" s="32">
        <f t="shared" si="505"/>
        <v>0.47822529764088123</v>
      </c>
      <c r="GB115" s="32">
        <f t="shared" si="506"/>
        <v>0.47822529764088123</v>
      </c>
      <c r="GC115" s="32">
        <f t="shared" si="507"/>
        <v>0.57724370031076011</v>
      </c>
      <c r="GD115" s="32">
        <f t="shared" si="508"/>
        <v>0.63522661080945031</v>
      </c>
      <c r="GE115" s="32">
        <f t="shared" si="509"/>
        <v>0.64870448050728446</v>
      </c>
      <c r="GF115" s="32">
        <f t="shared" si="510"/>
        <v>0.81043891688129432</v>
      </c>
      <c r="GG115" s="32">
        <f t="shared" si="511"/>
        <v>0.82029606287326284</v>
      </c>
      <c r="GH115" s="32">
        <f t="shared" si="512"/>
        <v>1</v>
      </c>
      <c r="GI115" s="32">
        <f t="shared" si="513"/>
        <v>1</v>
      </c>
    </row>
    <row r="116" spans="1:191">
      <c r="A116" s="724" t="s">
        <v>100</v>
      </c>
      <c r="B116" s="399">
        <v>7759.2099999999991</v>
      </c>
      <c r="C116" s="400">
        <v>10720.789999999999</v>
      </c>
      <c r="D116" s="400">
        <v>7951.7900000000027</v>
      </c>
      <c r="E116" s="400">
        <v>11487.05</v>
      </c>
      <c r="F116" s="400">
        <v>10687.010000000002</v>
      </c>
      <c r="G116" s="400">
        <v>7728.7799999999988</v>
      </c>
      <c r="H116" s="400">
        <v>6815.739999999998</v>
      </c>
      <c r="I116" s="400">
        <v>7056.530000000007</v>
      </c>
      <c r="J116" s="400">
        <v>11000.039999999997</v>
      </c>
      <c r="K116" s="400">
        <v>8277.7700000000023</v>
      </c>
      <c r="L116" s="400">
        <v>6677.7800000000007</v>
      </c>
      <c r="M116" s="400">
        <v>9983.15</v>
      </c>
      <c r="N116" s="400">
        <f t="shared" si="441"/>
        <v>106145.64</v>
      </c>
      <c r="P116" s="396" t="s">
        <v>100</v>
      </c>
      <c r="Q116" s="399">
        <v>12342.28</v>
      </c>
      <c r="R116" s="400">
        <v>12753.68</v>
      </c>
      <c r="S116" s="400">
        <v>8215.0499999999993</v>
      </c>
      <c r="T116" s="400">
        <v>5837.14</v>
      </c>
      <c r="U116" s="400">
        <v>4101.38</v>
      </c>
      <c r="V116" s="400">
        <v>5827.05</v>
      </c>
      <c r="W116" s="400">
        <v>3963.5099999999948</v>
      </c>
      <c r="X116" s="400">
        <v>4876.6399999999994</v>
      </c>
      <c r="Y116" s="400">
        <v>3591.6799999999985</v>
      </c>
      <c r="Z116" s="400">
        <v>7236.7300000000005</v>
      </c>
      <c r="AA116" s="400">
        <v>5388.67</v>
      </c>
      <c r="AB116" s="400">
        <v>8314.8100000000013</v>
      </c>
      <c r="AC116" s="400">
        <f t="shared" si="442"/>
        <v>82448.619999999981</v>
      </c>
      <c r="AE116" s="127" t="s">
        <v>100</v>
      </c>
      <c r="AF116" s="27">
        <v>11876.75</v>
      </c>
      <c r="AG116" s="27">
        <v>10214.99</v>
      </c>
      <c r="AH116" s="27">
        <v>10686.85</v>
      </c>
      <c r="AI116" s="27">
        <v>9523.15</v>
      </c>
      <c r="AJ116" s="27">
        <v>9204.6299999999992</v>
      </c>
      <c r="AK116" s="27">
        <v>6082.79</v>
      </c>
      <c r="AL116" s="27">
        <v>5673.9</v>
      </c>
      <c r="AM116" s="27">
        <v>6813.97</v>
      </c>
      <c r="AN116" s="27">
        <v>5857.48</v>
      </c>
      <c r="AO116" s="27">
        <v>4969.13</v>
      </c>
      <c r="AP116" s="27">
        <v>3061.57</v>
      </c>
      <c r="AQ116" s="27">
        <v>5477.93</v>
      </c>
      <c r="AR116" s="43">
        <f t="shared" si="443"/>
        <v>89443.140000000014</v>
      </c>
      <c r="AT116" s="60" t="s">
        <v>100</v>
      </c>
      <c r="AU116" s="27">
        <v>5412.74</v>
      </c>
      <c r="AV116" s="27">
        <v>7274.9100000000062</v>
      </c>
      <c r="AW116" s="27">
        <v>4434.5399999999972</v>
      </c>
      <c r="AX116" s="27">
        <v>7124.9599999999955</v>
      </c>
      <c r="AY116" s="27">
        <v>4121.0300000000007</v>
      </c>
      <c r="AZ116" s="27">
        <v>5849.08</v>
      </c>
      <c r="BA116" s="27">
        <v>5207.51</v>
      </c>
      <c r="BB116" s="27">
        <v>5353.8099999999995</v>
      </c>
      <c r="BC116" s="27">
        <v>5814.3399999999992</v>
      </c>
      <c r="BD116" s="27">
        <v>2178.15</v>
      </c>
      <c r="BE116" s="27">
        <v>4030.3</v>
      </c>
      <c r="BF116" s="27">
        <v>2989.03</v>
      </c>
      <c r="BG116" s="43">
        <f t="shared" si="403"/>
        <v>59790.400000000001</v>
      </c>
      <c r="BI116" s="60" t="s">
        <v>100</v>
      </c>
      <c r="BJ116" s="27">
        <v>6204.0599999999959</v>
      </c>
      <c r="BK116" s="27">
        <v>5823.1099999999969</v>
      </c>
      <c r="BL116" s="27">
        <v>7923.9800000000014</v>
      </c>
      <c r="BM116" s="27">
        <v>13102.970000000001</v>
      </c>
      <c r="BN116" s="27">
        <v>5918.5099999999929</v>
      </c>
      <c r="BO116" s="27">
        <v>6903.2200000000012</v>
      </c>
      <c r="BP116" s="27">
        <v>4597.12</v>
      </c>
      <c r="BQ116" s="27">
        <v>3774.76</v>
      </c>
      <c r="BR116" s="27">
        <v>1774.0700000000002</v>
      </c>
      <c r="BS116" s="27">
        <v>2220.3700000000003</v>
      </c>
      <c r="BT116" s="27">
        <v>2222.48</v>
      </c>
      <c r="BU116" s="27">
        <v>1954.06</v>
      </c>
      <c r="BV116" s="43">
        <f t="shared" si="404"/>
        <v>62418.71</v>
      </c>
      <c r="BW116" s="405"/>
      <c r="BX116" s="32">
        <f t="shared" si="514"/>
        <v>7.3099658167777776E-2</v>
      </c>
      <c r="BY116" s="32">
        <f t="shared" si="515"/>
        <v>0.17410041524079556</v>
      </c>
      <c r="BZ116" s="32">
        <f t="shared" si="516"/>
        <v>0.24901437308211624</v>
      </c>
      <c r="CA116" s="32">
        <f t="shared" si="517"/>
        <v>0.35723407951565411</v>
      </c>
      <c r="CB116" s="32">
        <f t="shared" si="518"/>
        <v>0.45791659459587786</v>
      </c>
      <c r="CC116" s="32">
        <f t="shared" si="519"/>
        <v>0.53072957118163311</v>
      </c>
      <c r="CD116" s="32">
        <f t="shared" si="520"/>
        <v>0.59494078136417095</v>
      </c>
      <c r="CE116" s="32">
        <f t="shared" si="521"/>
        <v>0.66142047850481667</v>
      </c>
      <c r="CF116" s="32">
        <f t="shared" si="522"/>
        <v>0.76505205489363481</v>
      </c>
      <c r="CG116" s="32">
        <f t="shared" si="523"/>
        <v>0.84303707622847257</v>
      </c>
      <c r="CH116" s="32">
        <f t="shared" si="524"/>
        <v>0.90594856274831459</v>
      </c>
      <c r="CI116" s="32">
        <f t="shared" si="525"/>
        <v>1</v>
      </c>
      <c r="CJ116" s="405"/>
      <c r="CK116" s="32">
        <f t="shared" si="526"/>
        <v>0.1496966231818071</v>
      </c>
      <c r="CL116" s="32">
        <f t="shared" si="527"/>
        <v>0.30438302060119388</v>
      </c>
      <c r="CM116" s="32">
        <f t="shared" si="528"/>
        <v>0.40402143783607297</v>
      </c>
      <c r="CN116" s="32">
        <f t="shared" si="529"/>
        <v>0.47481874165995747</v>
      </c>
      <c r="CO116" s="32">
        <f t="shared" si="530"/>
        <v>0.5245634190117433</v>
      </c>
      <c r="CP116" s="32">
        <f t="shared" si="531"/>
        <v>0.5952383435890134</v>
      </c>
      <c r="CQ116" s="32">
        <f t="shared" si="532"/>
        <v>0.64331082800415584</v>
      </c>
      <c r="CR116" s="32">
        <f t="shared" si="533"/>
        <v>0.70245845230641824</v>
      </c>
      <c r="CS116" s="32">
        <f t="shared" si="534"/>
        <v>0.74602109774548075</v>
      </c>
      <c r="CT116" s="32">
        <f t="shared" si="535"/>
        <v>0.83379370085272497</v>
      </c>
      <c r="CU116" s="32">
        <f t="shared" si="536"/>
        <v>0.89915161709195379</v>
      </c>
      <c r="CV116" s="32">
        <f t="shared" si="537"/>
        <v>1</v>
      </c>
      <c r="CX116" s="32">
        <f t="shared" si="538"/>
        <v>0.13278547689627174</v>
      </c>
      <c r="CY116" s="32">
        <f t="shared" si="539"/>
        <v>0.24699199961003152</v>
      </c>
      <c r="CZ116" s="32">
        <f t="shared" si="540"/>
        <v>0.36647405267748862</v>
      </c>
      <c r="DA116" s="32">
        <f t="shared" si="541"/>
        <v>0.47294560544274261</v>
      </c>
      <c r="DB116" s="32">
        <f t="shared" si="542"/>
        <v>0.57585601310508538</v>
      </c>
      <c r="DC116" s="32">
        <f t="shared" si="543"/>
        <v>0.64386335274007589</v>
      </c>
      <c r="DD116" s="32">
        <f t="shared" si="544"/>
        <v>0.70729918471109121</v>
      </c>
      <c r="DE116" s="32">
        <f t="shared" si="545"/>
        <v>0.78348132679599558</v>
      </c>
      <c r="DF116" s="32">
        <f t="shared" si="546"/>
        <v>0.84896963590500041</v>
      </c>
      <c r="DG116" s="32">
        <f t="shared" si="547"/>
        <v>0.90452593681304105</v>
      </c>
      <c r="DH116" s="32">
        <f t="shared" si="548"/>
        <v>0.9387551689263145</v>
      </c>
      <c r="DI116" s="32">
        <f t="shared" si="549"/>
        <v>1</v>
      </c>
      <c r="DK116" s="32">
        <f t="shared" si="444"/>
        <v>9.0528579838903903E-2</v>
      </c>
      <c r="DL116" s="32">
        <f t="shared" si="445"/>
        <v>0.21220212609382116</v>
      </c>
      <c r="DM116" s="32">
        <f t="shared" si="446"/>
        <v>0.28637021996842305</v>
      </c>
      <c r="DN116" s="32">
        <f t="shared" si="447"/>
        <v>0.40553583852926217</v>
      </c>
      <c r="DO116" s="32">
        <f t="shared" si="448"/>
        <v>0.47446044850009367</v>
      </c>
      <c r="DP116" s="32">
        <f t="shared" si="449"/>
        <v>0.57228685541491608</v>
      </c>
      <c r="DQ116" s="32">
        <f t="shared" si="450"/>
        <v>0.659382944419171</v>
      </c>
      <c r="DR116" s="32">
        <f t="shared" si="451"/>
        <v>0.74892591452808477</v>
      </c>
      <c r="DS116" s="32">
        <f t="shared" si="452"/>
        <v>0.84617129171238192</v>
      </c>
      <c r="DT116" s="32">
        <f t="shared" si="453"/>
        <v>0.88260105301185476</v>
      </c>
      <c r="DU116" s="32">
        <f t="shared" si="454"/>
        <v>0.9500081952955659</v>
      </c>
      <c r="DV116" s="32">
        <f t="shared" si="455"/>
        <v>1</v>
      </c>
      <c r="DW116" s="39"/>
      <c r="DX116" s="32">
        <f t="shared" si="456"/>
        <v>9.9394236119266094E-2</v>
      </c>
      <c r="DY116" s="32">
        <f t="shared" si="457"/>
        <v>0.19268533425314288</v>
      </c>
      <c r="DZ116" s="32">
        <f t="shared" si="458"/>
        <v>0.31963412893345594</v>
      </c>
      <c r="EA116" s="32">
        <f t="shared" si="459"/>
        <v>0.52955467999899386</v>
      </c>
      <c r="EB116" s="32">
        <f t="shared" si="460"/>
        <v>0.62437416601528595</v>
      </c>
      <c r="EC116" s="32">
        <f t="shared" si="461"/>
        <v>0.7349695307705012</v>
      </c>
      <c r="ED116" s="32">
        <f t="shared" si="462"/>
        <v>0.80861924253160622</v>
      </c>
      <c r="EE116" s="32">
        <f t="shared" si="463"/>
        <v>0.86909405849624255</v>
      </c>
      <c r="EF116" s="32">
        <f t="shared" si="464"/>
        <v>0.89751614539935221</v>
      </c>
      <c r="EG116" s="32">
        <f t="shared" si="465"/>
        <v>0.93308833200814301</v>
      </c>
      <c r="EH116" s="32">
        <f t="shared" si="466"/>
        <v>0.96869432258372534</v>
      </c>
      <c r="EI116" s="32">
        <f t="shared" si="467"/>
        <v>1</v>
      </c>
      <c r="EK116" s="32">
        <f t="shared" si="550"/>
        <v>0.10756943095148057</v>
      </c>
      <c r="EL116" s="32">
        <f t="shared" si="468"/>
        <v>0.21729315331899848</v>
      </c>
      <c r="EM116" s="32">
        <f t="shared" si="469"/>
        <v>0.3241594671931225</v>
      </c>
      <c r="EN116" s="32">
        <f t="shared" si="470"/>
        <v>0.46934537465699955</v>
      </c>
      <c r="EO116" s="32">
        <f t="shared" si="471"/>
        <v>0.55823020920682165</v>
      </c>
      <c r="EP116" s="32">
        <f t="shared" si="472"/>
        <v>0.65037324630849769</v>
      </c>
      <c r="EQ116" s="32">
        <f t="shared" si="473"/>
        <v>0.72510045722062288</v>
      </c>
      <c r="ER116" s="32">
        <f t="shared" si="474"/>
        <v>0.800500433273441</v>
      </c>
      <c r="ES116" s="32">
        <f t="shared" si="475"/>
        <v>0.86421902433891151</v>
      </c>
      <c r="ET116" s="32">
        <f t="shared" si="476"/>
        <v>0.90673844061101294</v>
      </c>
      <c r="EU116" s="32">
        <f t="shared" si="477"/>
        <v>0.95248589560186858</v>
      </c>
      <c r="EV116" s="32">
        <f t="shared" si="478"/>
        <v>1</v>
      </c>
      <c r="EX116" s="32">
        <f t="shared" si="479"/>
        <v>0.11810122900906221</v>
      </c>
      <c r="EY116" s="32">
        <f t="shared" si="480"/>
        <v>0.23906562013954735</v>
      </c>
      <c r="EZ116" s="32">
        <f t="shared" si="481"/>
        <v>0.3441249598538601</v>
      </c>
      <c r="FA116" s="32">
        <f t="shared" si="482"/>
        <v>0.47071371640773901</v>
      </c>
      <c r="FB116" s="32">
        <f t="shared" si="483"/>
        <v>0.54981351165805203</v>
      </c>
      <c r="FC116" s="32">
        <f t="shared" si="484"/>
        <v>0.63658952062862662</v>
      </c>
      <c r="FD116" s="32">
        <f t="shared" si="485"/>
        <v>0.70465304991650612</v>
      </c>
      <c r="FE116" s="32">
        <f t="shared" si="486"/>
        <v>0.77598993803168526</v>
      </c>
      <c r="FF116" s="32">
        <f t="shared" si="487"/>
        <v>0.83466954269055382</v>
      </c>
      <c r="FG116" s="32">
        <f t="shared" si="488"/>
        <v>0.88850225567144103</v>
      </c>
      <c r="FH116" s="32">
        <f t="shared" si="489"/>
        <v>0.9391523259743898</v>
      </c>
      <c r="FI116" s="32">
        <f t="shared" si="490"/>
        <v>1</v>
      </c>
      <c r="FK116" s="32">
        <f t="shared" si="551"/>
        <v>0.1243368933056609</v>
      </c>
      <c r="FL116" s="32">
        <f t="shared" si="491"/>
        <v>0.25452571543501551</v>
      </c>
      <c r="FM116" s="32">
        <f t="shared" si="492"/>
        <v>0.35228857016066151</v>
      </c>
      <c r="FN116" s="32">
        <f t="shared" si="493"/>
        <v>0.45110006187732071</v>
      </c>
      <c r="FO116" s="32">
        <f t="shared" si="494"/>
        <v>0.52495996020564073</v>
      </c>
      <c r="FP116" s="32">
        <f t="shared" si="495"/>
        <v>0.60379618391466849</v>
      </c>
      <c r="FQ116" s="32">
        <f t="shared" si="496"/>
        <v>0.66999765237813935</v>
      </c>
      <c r="FR116" s="32">
        <f t="shared" si="497"/>
        <v>0.74495523121016616</v>
      </c>
      <c r="FS116" s="32">
        <f t="shared" si="498"/>
        <v>0.81372067512095436</v>
      </c>
      <c r="FT116" s="32">
        <f t="shared" si="499"/>
        <v>0.87364023022587356</v>
      </c>
      <c r="FU116" s="32">
        <f t="shared" si="500"/>
        <v>0.92930499377127818</v>
      </c>
      <c r="FV116" s="32">
        <f t="shared" si="501"/>
        <v>1</v>
      </c>
      <c r="FX116" s="32">
        <f t="shared" si="502"/>
        <v>0.11852725274861886</v>
      </c>
      <c r="FY116" s="32">
        <f t="shared" si="503"/>
        <v>0.24182514515067366</v>
      </c>
      <c r="FZ116" s="32">
        <f t="shared" si="504"/>
        <v>0.33983662119855929</v>
      </c>
      <c r="GA116" s="32">
        <f t="shared" si="505"/>
        <v>0.43499947553945145</v>
      </c>
      <c r="GB116" s="32">
        <f t="shared" si="506"/>
        <v>0.51944534223756877</v>
      </c>
      <c r="GC116" s="32">
        <f t="shared" si="507"/>
        <v>0.5899437558369075</v>
      </c>
      <c r="GD116" s="32">
        <f t="shared" si="508"/>
        <v>0.64851693135980604</v>
      </c>
      <c r="GE116" s="32">
        <f t="shared" si="509"/>
        <v>0.71578675253574353</v>
      </c>
      <c r="GF116" s="32">
        <f t="shared" si="510"/>
        <v>0.78668092951470536</v>
      </c>
      <c r="GG116" s="32">
        <f t="shared" si="511"/>
        <v>0.86045223796474624</v>
      </c>
      <c r="GH116" s="32">
        <f t="shared" si="512"/>
        <v>0.91461844958886085</v>
      </c>
      <c r="GI116" s="32">
        <f t="shared" si="513"/>
        <v>1</v>
      </c>
    </row>
    <row r="117" spans="1:191">
      <c r="A117" s="724" t="s">
        <v>101</v>
      </c>
      <c r="B117" s="399">
        <v>72009.100000000035</v>
      </c>
      <c r="C117" s="400">
        <v>60669.66</v>
      </c>
      <c r="D117" s="400">
        <v>82208.459999999992</v>
      </c>
      <c r="E117" s="400">
        <v>73209.899999999994</v>
      </c>
      <c r="F117" s="400">
        <v>66867.899999999994</v>
      </c>
      <c r="G117" s="400">
        <v>78963.360000000001</v>
      </c>
      <c r="H117" s="400">
        <v>93691.34</v>
      </c>
      <c r="I117" s="400">
        <v>132570.95000000001</v>
      </c>
      <c r="J117" s="400">
        <v>76781.599999999991</v>
      </c>
      <c r="K117" s="400">
        <v>72822.179999999993</v>
      </c>
      <c r="L117" s="400">
        <v>67937.97</v>
      </c>
      <c r="M117" s="400">
        <v>94245.659999999989</v>
      </c>
      <c r="N117" s="400">
        <f t="shared" si="441"/>
        <v>971978.08</v>
      </c>
      <c r="P117" s="396" t="s">
        <v>101</v>
      </c>
      <c r="Q117" s="399">
        <v>87738.28</v>
      </c>
      <c r="R117" s="400">
        <v>68960.649999999994</v>
      </c>
      <c r="S117" s="400">
        <v>64552.07</v>
      </c>
      <c r="T117" s="400">
        <v>30981.64</v>
      </c>
      <c r="U117" s="400">
        <v>31972.34</v>
      </c>
      <c r="V117" s="400">
        <v>52285.060000000005</v>
      </c>
      <c r="W117" s="400">
        <v>68947.06</v>
      </c>
      <c r="X117" s="400">
        <v>63549.369999999995</v>
      </c>
      <c r="Y117" s="400">
        <v>50405.649999999994</v>
      </c>
      <c r="Z117" s="400">
        <v>82925.799999999988</v>
      </c>
      <c r="AA117" s="400">
        <v>49873.159999999996</v>
      </c>
      <c r="AB117" s="400">
        <v>66220.87</v>
      </c>
      <c r="AC117" s="400">
        <f t="shared" si="442"/>
        <v>718411.95</v>
      </c>
      <c r="AE117" s="127" t="s">
        <v>101</v>
      </c>
      <c r="AF117" s="27">
        <v>49492.159999999996</v>
      </c>
      <c r="AG117" s="27">
        <v>60388.52</v>
      </c>
      <c r="AH117" s="27">
        <v>37439.870000000003</v>
      </c>
      <c r="AI117" s="27">
        <v>45650.27</v>
      </c>
      <c r="AJ117" s="27">
        <v>42598.9</v>
      </c>
      <c r="AK117" s="27">
        <v>29718.58</v>
      </c>
      <c r="AL117" s="27">
        <v>96759.62</v>
      </c>
      <c r="AM117" s="27">
        <v>132001.59999999998</v>
      </c>
      <c r="AN117" s="27">
        <v>91847.59</v>
      </c>
      <c r="AO117" s="27">
        <v>89258.42</v>
      </c>
      <c r="AP117" s="27">
        <v>59062.080000000002</v>
      </c>
      <c r="AQ117" s="27">
        <v>75725.460000000006</v>
      </c>
      <c r="AR117" s="43">
        <f t="shared" si="443"/>
        <v>809943.07</v>
      </c>
      <c r="AT117" s="60" t="s">
        <v>101</v>
      </c>
      <c r="AU117" s="27">
        <v>75184.530000000028</v>
      </c>
      <c r="AV117" s="27">
        <v>49514.25999999998</v>
      </c>
      <c r="AW117" s="27">
        <v>17098.22</v>
      </c>
      <c r="AX117" s="27">
        <v>38583.119999999966</v>
      </c>
      <c r="AY117" s="27">
        <v>22504.799999999985</v>
      </c>
      <c r="AZ117" s="27">
        <v>22109.11</v>
      </c>
      <c r="BA117" s="27">
        <v>23716.43</v>
      </c>
      <c r="BB117" s="27">
        <v>25776.57</v>
      </c>
      <c r="BC117" s="27">
        <v>24703.95</v>
      </c>
      <c r="BD117" s="27">
        <v>25138.46</v>
      </c>
      <c r="BE117" s="27">
        <v>26113.68</v>
      </c>
      <c r="BF117" s="27">
        <v>27447.439999999999</v>
      </c>
      <c r="BG117" s="43">
        <f t="shared" si="403"/>
        <v>377890.57</v>
      </c>
      <c r="BI117" s="60" t="s">
        <v>101</v>
      </c>
      <c r="BJ117" s="27">
        <v>91900.59</v>
      </c>
      <c r="BK117" s="27">
        <v>40915.409999999989</v>
      </c>
      <c r="BL117" s="27">
        <v>65265.820000000007</v>
      </c>
      <c r="BM117" s="27">
        <v>22472.079999999998</v>
      </c>
      <c r="BN117" s="27">
        <v>51852.909999999974</v>
      </c>
      <c r="BO117" s="27">
        <v>30825.260000000009</v>
      </c>
      <c r="BP117" s="27">
        <v>33929.259999999995</v>
      </c>
      <c r="BQ117" s="27">
        <v>38859.440000000002</v>
      </c>
      <c r="BR117" s="27">
        <v>14783.78</v>
      </c>
      <c r="BS117" s="27">
        <v>39525.26</v>
      </c>
      <c r="BT117" s="27">
        <v>29090.5</v>
      </c>
      <c r="BU117" s="27">
        <v>12681.739999999998</v>
      </c>
      <c r="BV117" s="43">
        <f t="shared" si="404"/>
        <v>472102.05</v>
      </c>
      <c r="BW117" s="405"/>
      <c r="BX117" s="32">
        <f t="shared" si="514"/>
        <v>7.4085106939860243E-2</v>
      </c>
      <c r="BY117" s="32">
        <f t="shared" si="515"/>
        <v>0.13650386025166333</v>
      </c>
      <c r="BZ117" s="32">
        <f t="shared" si="516"/>
        <v>0.22108237255720833</v>
      </c>
      <c r="CA117" s="32">
        <f t="shared" si="517"/>
        <v>0.29640289830404409</v>
      </c>
      <c r="CB117" s="32">
        <f t="shared" si="518"/>
        <v>0.36519858554834905</v>
      </c>
      <c r="CC117" s="32">
        <f t="shared" si="519"/>
        <v>0.44643844231548929</v>
      </c>
      <c r="CD117" s="32">
        <f t="shared" si="520"/>
        <v>0.54283088359358889</v>
      </c>
      <c r="CE117" s="32">
        <f t="shared" si="521"/>
        <v>0.67922382570602824</v>
      </c>
      <c r="CF117" s="32">
        <f t="shared" si="522"/>
        <v>0.75821902279936182</v>
      </c>
      <c r="CG117" s="32">
        <f t="shared" si="523"/>
        <v>0.83314065066158693</v>
      </c>
      <c r="CH117" s="32">
        <f t="shared" si="524"/>
        <v>0.90303725779494937</v>
      </c>
      <c r="CI117" s="32">
        <f t="shared" si="525"/>
        <v>1</v>
      </c>
      <c r="CJ117" s="405"/>
      <c r="CK117" s="32">
        <f t="shared" si="526"/>
        <v>0.12212809099291848</v>
      </c>
      <c r="CL117" s="32">
        <f t="shared" si="527"/>
        <v>0.21811849037310696</v>
      </c>
      <c r="CM117" s="32">
        <f t="shared" si="528"/>
        <v>0.30797232701933758</v>
      </c>
      <c r="CN117" s="32">
        <f t="shared" si="529"/>
        <v>0.3510975005357303</v>
      </c>
      <c r="CO117" s="32">
        <f t="shared" si="530"/>
        <v>0.39560168786167887</v>
      </c>
      <c r="CP117" s="32">
        <f t="shared" si="531"/>
        <v>0.46838034918545002</v>
      </c>
      <c r="CQ117" s="32">
        <f t="shared" si="532"/>
        <v>0.56435183184244087</v>
      </c>
      <c r="CR117" s="32">
        <f t="shared" si="533"/>
        <v>0.65280995117077334</v>
      </c>
      <c r="CS117" s="32">
        <f t="shared" si="534"/>
        <v>0.72297255077675149</v>
      </c>
      <c r="CT117" s="32">
        <f t="shared" si="535"/>
        <v>0.83840186678409223</v>
      </c>
      <c r="CU117" s="32">
        <f t="shared" si="536"/>
        <v>0.90782326212697328</v>
      </c>
      <c r="CV117" s="32">
        <f t="shared" si="537"/>
        <v>1</v>
      </c>
      <c r="CX117" s="32">
        <f t="shared" si="538"/>
        <v>6.1105726850653838E-2</v>
      </c>
      <c r="CY117" s="32">
        <f t="shared" si="539"/>
        <v>0.13566469554458932</v>
      </c>
      <c r="CZ117" s="32">
        <f t="shared" si="540"/>
        <v>0.18189000617043369</v>
      </c>
      <c r="DA117" s="32">
        <f t="shared" si="541"/>
        <v>0.23825232556159778</v>
      </c>
      <c r="DB117" s="32">
        <f t="shared" si="542"/>
        <v>0.29084725670904249</v>
      </c>
      <c r="DC117" s="32">
        <f t="shared" si="543"/>
        <v>0.32753944051894907</v>
      </c>
      <c r="DD117" s="32">
        <f t="shared" si="544"/>
        <v>0.44700415795890447</v>
      </c>
      <c r="DE117" s="32">
        <f t="shared" si="545"/>
        <v>0.60998055085525948</v>
      </c>
      <c r="DF117" s="32">
        <f t="shared" si="546"/>
        <v>0.72338060747899235</v>
      </c>
      <c r="DG117" s="32">
        <f t="shared" si="547"/>
        <v>0.83358393325101243</v>
      </c>
      <c r="DH117" s="32">
        <f t="shared" si="548"/>
        <v>0.90650520659433509</v>
      </c>
      <c r="DI117" s="32">
        <f t="shared" si="549"/>
        <v>1</v>
      </c>
      <c r="DK117" s="32">
        <f t="shared" si="444"/>
        <v>0.19895847096687283</v>
      </c>
      <c r="DL117" s="32">
        <f t="shared" si="445"/>
        <v>0.32998650905737076</v>
      </c>
      <c r="DM117" s="32">
        <f t="shared" si="446"/>
        <v>0.37523299403845933</v>
      </c>
      <c r="DN117" s="32">
        <f t="shared" si="447"/>
        <v>0.47733429812762984</v>
      </c>
      <c r="DO117" s="32">
        <f t="shared" si="448"/>
        <v>0.53688804671680468</v>
      </c>
      <c r="DP117" s="32">
        <f t="shared" si="449"/>
        <v>0.59539469323090011</v>
      </c>
      <c r="DQ117" s="32">
        <f t="shared" si="450"/>
        <v>0.65815474040540356</v>
      </c>
      <c r="DR117" s="32">
        <f t="shared" si="451"/>
        <v>0.72636647164812806</v>
      </c>
      <c r="DS117" s="32">
        <f t="shared" si="452"/>
        <v>0.79173976212214026</v>
      </c>
      <c r="DT117" s="32">
        <f t="shared" si="453"/>
        <v>0.85826288282345864</v>
      </c>
      <c r="DU117" s="32">
        <f t="shared" si="454"/>
        <v>0.92736669771886604</v>
      </c>
      <c r="DV117" s="32">
        <f t="shared" si="455"/>
        <v>1</v>
      </c>
      <c r="DW117" s="39"/>
      <c r="DX117" s="32">
        <f t="shared" si="456"/>
        <v>0.1946625523019864</v>
      </c>
      <c r="DY117" s="32">
        <f t="shared" si="457"/>
        <v>0.28132900503185698</v>
      </c>
      <c r="DZ117" s="32">
        <f t="shared" si="458"/>
        <v>0.41957415774830892</v>
      </c>
      <c r="EA117" s="32">
        <f t="shared" si="459"/>
        <v>0.46717420523804121</v>
      </c>
      <c r="EB117" s="32">
        <f t="shared" si="460"/>
        <v>0.5770083184345417</v>
      </c>
      <c r="EC117" s="32">
        <f t="shared" si="461"/>
        <v>0.64230195568945303</v>
      </c>
      <c r="ED117" s="32">
        <f t="shared" si="462"/>
        <v>0.71417044259816276</v>
      </c>
      <c r="EE117" s="32">
        <f t="shared" si="463"/>
        <v>0.79648196825241491</v>
      </c>
      <c r="EF117" s="32">
        <f t="shared" si="464"/>
        <v>0.82779676555100745</v>
      </c>
      <c r="EG117" s="32">
        <f t="shared" si="465"/>
        <v>0.91151862187423249</v>
      </c>
      <c r="EH117" s="32">
        <f t="shared" si="466"/>
        <v>0.97313771461064402</v>
      </c>
      <c r="EI117" s="32">
        <f t="shared" si="467"/>
        <v>1</v>
      </c>
      <c r="EK117" s="32">
        <f t="shared" si="550"/>
        <v>0.15157558337317101</v>
      </c>
      <c r="EL117" s="32">
        <f t="shared" si="468"/>
        <v>0.24899340321127236</v>
      </c>
      <c r="EM117" s="32">
        <f t="shared" si="469"/>
        <v>0.3255657193190673</v>
      </c>
      <c r="EN117" s="32">
        <f t="shared" si="470"/>
        <v>0.39425360964242295</v>
      </c>
      <c r="EO117" s="32">
        <f t="shared" si="471"/>
        <v>0.46824787395346296</v>
      </c>
      <c r="EP117" s="32">
        <f t="shared" si="472"/>
        <v>0.52174536314643405</v>
      </c>
      <c r="EQ117" s="32">
        <f t="shared" si="473"/>
        <v>0.60644311365415693</v>
      </c>
      <c r="ER117" s="32">
        <f t="shared" si="474"/>
        <v>0.71094299691860086</v>
      </c>
      <c r="ES117" s="32">
        <f t="shared" si="475"/>
        <v>0.78097237838404665</v>
      </c>
      <c r="ET117" s="32">
        <f t="shared" si="476"/>
        <v>0.8677884793162346</v>
      </c>
      <c r="EU117" s="32">
        <f t="shared" si="477"/>
        <v>0.93566987297461501</v>
      </c>
      <c r="EV117" s="32">
        <f t="shared" si="478"/>
        <v>1</v>
      </c>
      <c r="EX117" s="32">
        <f t="shared" si="479"/>
        <v>0.14421371027810789</v>
      </c>
      <c r="EY117" s="32">
        <f t="shared" si="480"/>
        <v>0.24127467500173097</v>
      </c>
      <c r="EZ117" s="32">
        <f t="shared" si="481"/>
        <v>0.32116737124413491</v>
      </c>
      <c r="FA117" s="32">
        <f t="shared" si="482"/>
        <v>0.38346458236574976</v>
      </c>
      <c r="FB117" s="32">
        <f t="shared" si="483"/>
        <v>0.45008632743051696</v>
      </c>
      <c r="FC117" s="32">
        <f t="shared" si="484"/>
        <v>0.5084041096561881</v>
      </c>
      <c r="FD117" s="32">
        <f t="shared" si="485"/>
        <v>0.59592029320122797</v>
      </c>
      <c r="FE117" s="32">
        <f t="shared" si="486"/>
        <v>0.69640973548164387</v>
      </c>
      <c r="FF117" s="32">
        <f t="shared" si="487"/>
        <v>0.76647242148222294</v>
      </c>
      <c r="FG117" s="32">
        <f t="shared" si="488"/>
        <v>0.86044182618319898</v>
      </c>
      <c r="FH117" s="32">
        <f t="shared" si="489"/>
        <v>0.92870822026270461</v>
      </c>
      <c r="FI117" s="32">
        <f t="shared" si="490"/>
        <v>1</v>
      </c>
      <c r="FK117" s="32">
        <f t="shared" si="551"/>
        <v>0.12739742960348172</v>
      </c>
      <c r="FL117" s="32">
        <f t="shared" si="491"/>
        <v>0.22792323165835568</v>
      </c>
      <c r="FM117" s="32">
        <f t="shared" si="492"/>
        <v>0.28836510907607688</v>
      </c>
      <c r="FN117" s="32">
        <f t="shared" si="493"/>
        <v>0.35556137474165261</v>
      </c>
      <c r="FO117" s="32">
        <f t="shared" si="494"/>
        <v>0.40777899709584203</v>
      </c>
      <c r="FP117" s="32">
        <f t="shared" si="495"/>
        <v>0.4637714943117664</v>
      </c>
      <c r="FQ117" s="32">
        <f t="shared" si="496"/>
        <v>0.55650357673558304</v>
      </c>
      <c r="FR117" s="32">
        <f t="shared" si="497"/>
        <v>0.66305232455805363</v>
      </c>
      <c r="FS117" s="32">
        <f t="shared" si="498"/>
        <v>0.7460309734592947</v>
      </c>
      <c r="FT117" s="32">
        <f t="shared" si="499"/>
        <v>0.84341622761952106</v>
      </c>
      <c r="FU117" s="32">
        <f t="shared" si="500"/>
        <v>0.91389838881339147</v>
      </c>
      <c r="FV117" s="32">
        <f t="shared" si="501"/>
        <v>1</v>
      </c>
      <c r="FX117" s="32">
        <f t="shared" si="502"/>
        <v>8.5772974927810844E-2</v>
      </c>
      <c r="FY117" s="32">
        <f t="shared" si="503"/>
        <v>0.16342901538978655</v>
      </c>
      <c r="FZ117" s="32">
        <f t="shared" si="504"/>
        <v>0.23698156858232652</v>
      </c>
      <c r="GA117" s="32">
        <f t="shared" si="505"/>
        <v>0.29525090813379073</v>
      </c>
      <c r="GB117" s="32">
        <f t="shared" si="506"/>
        <v>0.35054917670635682</v>
      </c>
      <c r="GC117" s="32">
        <f t="shared" si="507"/>
        <v>0.41411941067329611</v>
      </c>
      <c r="GD117" s="32">
        <f t="shared" si="508"/>
        <v>0.5180622911316447</v>
      </c>
      <c r="GE117" s="32">
        <f t="shared" si="509"/>
        <v>0.64733810924402035</v>
      </c>
      <c r="GF117" s="32">
        <f t="shared" si="510"/>
        <v>0.73485739368503522</v>
      </c>
      <c r="GG117" s="32">
        <f t="shared" si="511"/>
        <v>0.83504215023223061</v>
      </c>
      <c r="GH117" s="32">
        <f t="shared" si="512"/>
        <v>0.90578857550541925</v>
      </c>
      <c r="GI117" s="32">
        <f t="shared" si="513"/>
        <v>1</v>
      </c>
    </row>
    <row r="118" spans="1:191">
      <c r="A118" s="724" t="s">
        <v>102</v>
      </c>
      <c r="B118" s="399">
        <v>2453.6599999999994</v>
      </c>
      <c r="C118" s="400">
        <v>779.1700000000003</v>
      </c>
      <c r="D118" s="400">
        <v>1384.7500000000002</v>
      </c>
      <c r="E118" s="400">
        <v>1750.8799999999999</v>
      </c>
      <c r="F118" s="400">
        <v>1286.1799999999998</v>
      </c>
      <c r="G118" s="400">
        <v>1350.7199999999998</v>
      </c>
      <c r="H118" s="400">
        <v>1557.8199999999997</v>
      </c>
      <c r="I118" s="400">
        <v>262.08000000000044</v>
      </c>
      <c r="J118" s="400">
        <v>1732.8799999999992</v>
      </c>
      <c r="K118" s="400">
        <v>639.8499999999998</v>
      </c>
      <c r="L118" s="400">
        <v>1106.6599999999999</v>
      </c>
      <c r="M118" s="400">
        <v>1632.93</v>
      </c>
      <c r="N118" s="400">
        <f t="shared" si="441"/>
        <v>15937.579999999998</v>
      </c>
      <c r="P118" s="396" t="s">
        <v>102</v>
      </c>
      <c r="Q118" s="399">
        <v>433.75</v>
      </c>
      <c r="R118" s="400">
        <v>646.38</v>
      </c>
      <c r="S118" s="400">
        <v>855.36999999999989</v>
      </c>
      <c r="T118" s="400">
        <v>138.19999999999999</v>
      </c>
      <c r="U118" s="400">
        <v>798.98</v>
      </c>
      <c r="V118" s="400">
        <v>1610.16</v>
      </c>
      <c r="W118" s="400">
        <v>429.35999999999967</v>
      </c>
      <c r="X118" s="400">
        <v>197.58999999999969</v>
      </c>
      <c r="Y118" s="400">
        <v>965.41999999999962</v>
      </c>
      <c r="Z118" s="400">
        <v>1564.5100000000002</v>
      </c>
      <c r="AA118" s="400">
        <v>475.40999999999997</v>
      </c>
      <c r="AB118" s="400">
        <v>609.2199999999998</v>
      </c>
      <c r="AC118" s="400">
        <f t="shared" si="442"/>
        <v>8724.3499999999985</v>
      </c>
      <c r="AE118" s="127" t="s">
        <v>102</v>
      </c>
      <c r="AF118" s="27">
        <v>2027.82</v>
      </c>
      <c r="AG118" s="27">
        <v>595.24</v>
      </c>
      <c r="AH118" s="27">
        <v>180.06</v>
      </c>
      <c r="AI118" s="27">
        <v>533.78</v>
      </c>
      <c r="AJ118" s="27">
        <v>105.74</v>
      </c>
      <c r="AK118" s="27">
        <v>959.81</v>
      </c>
      <c r="AL118" s="27">
        <v>1143.01</v>
      </c>
      <c r="AM118" s="27">
        <v>721.74</v>
      </c>
      <c r="AN118" s="27">
        <v>285.27</v>
      </c>
      <c r="AO118" s="27">
        <v>365.89</v>
      </c>
      <c r="AP118" s="27">
        <v>251.86</v>
      </c>
      <c r="AQ118" s="27">
        <v>225.37</v>
      </c>
      <c r="AR118" s="43">
        <f t="shared" si="443"/>
        <v>7395.5899999999992</v>
      </c>
      <c r="AT118" s="60" t="s">
        <v>102</v>
      </c>
      <c r="AU118" s="27">
        <v>2223.2799999999997</v>
      </c>
      <c r="AV118" s="27">
        <v>934.39999999999964</v>
      </c>
      <c r="AW118" s="27">
        <v>1713.3100000000004</v>
      </c>
      <c r="AX118" s="27">
        <v>1124.58</v>
      </c>
      <c r="AY118" s="27">
        <v>338.5300000000002</v>
      </c>
      <c r="AZ118" s="27">
        <v>306.95</v>
      </c>
      <c r="BA118" s="27">
        <v>104.72000000000003</v>
      </c>
      <c r="BB118" s="27">
        <v>306.95</v>
      </c>
      <c r="BC118" s="27">
        <v>306.95999999999998</v>
      </c>
      <c r="BD118" s="27">
        <v>621.12</v>
      </c>
      <c r="BE118" s="27">
        <v>628.36</v>
      </c>
      <c r="BF118" s="27">
        <v>104.72</v>
      </c>
      <c r="BG118" s="43">
        <f t="shared" si="403"/>
        <v>8713.8799999999992</v>
      </c>
      <c r="BI118" s="60" t="s">
        <v>102</v>
      </c>
      <c r="BJ118" s="27">
        <v>1360.7400000000002</v>
      </c>
      <c r="BK118" s="27">
        <v>525.24</v>
      </c>
      <c r="BL118" s="27">
        <v>1723.6099999999997</v>
      </c>
      <c r="BM118" s="27">
        <v>687.46000000000015</v>
      </c>
      <c r="BN118" s="27">
        <v>263.28000000000003</v>
      </c>
      <c r="BO118" s="27">
        <v>188.53999999999996</v>
      </c>
      <c r="BP118" s="27">
        <v>182.02999999999997</v>
      </c>
      <c r="BQ118" s="27">
        <v>0</v>
      </c>
      <c r="BR118" s="27">
        <v>16.25</v>
      </c>
      <c r="BS118" s="27">
        <v>16.25</v>
      </c>
      <c r="BT118" s="27">
        <v>533.52</v>
      </c>
      <c r="BU118" s="27">
        <v>598.95000000000005</v>
      </c>
      <c r="BV118" s="43">
        <f t="shared" si="404"/>
        <v>6095.87</v>
      </c>
      <c r="BW118" s="405"/>
      <c r="BX118" s="32">
        <f t="shared" si="514"/>
        <v>0.15395436446436658</v>
      </c>
      <c r="BY118" s="32">
        <f t="shared" si="515"/>
        <v>0.20284321710071418</v>
      </c>
      <c r="BZ118" s="32">
        <f t="shared" si="516"/>
        <v>0.28972905547768235</v>
      </c>
      <c r="CA118" s="32">
        <f t="shared" si="517"/>
        <v>0.39958764128556534</v>
      </c>
      <c r="CB118" s="32">
        <f t="shared" si="518"/>
        <v>0.48028872639384401</v>
      </c>
      <c r="CC118" s="32">
        <f t="shared" si="519"/>
        <v>0.56503935980242925</v>
      </c>
      <c r="CD118" s="32">
        <f t="shared" si="520"/>
        <v>0.66278443778792007</v>
      </c>
      <c r="CE118" s="32">
        <f t="shared" si="521"/>
        <v>0.67922859053883966</v>
      </c>
      <c r="CF118" s="32">
        <f t="shared" si="522"/>
        <v>0.7879577702511924</v>
      </c>
      <c r="CG118" s="32">
        <f t="shared" si="523"/>
        <v>0.82810501970813633</v>
      </c>
      <c r="CH118" s="32">
        <f t="shared" si="524"/>
        <v>0.89754216135699394</v>
      </c>
      <c r="CI118" s="32">
        <f t="shared" si="525"/>
        <v>1</v>
      </c>
      <c r="CJ118" s="405"/>
      <c r="CK118" s="32">
        <f t="shared" si="526"/>
        <v>4.9717170906715125E-2</v>
      </c>
      <c r="CL118" s="32">
        <f t="shared" si="527"/>
        <v>0.12380635806679011</v>
      </c>
      <c r="CM118" s="32">
        <f t="shared" si="528"/>
        <v>0.22185033842062737</v>
      </c>
      <c r="CN118" s="32">
        <f t="shared" si="529"/>
        <v>0.23769106007897439</v>
      </c>
      <c r="CO118" s="32">
        <f t="shared" si="530"/>
        <v>0.3292715216606395</v>
      </c>
      <c r="CP118" s="32">
        <f t="shared" si="531"/>
        <v>0.51383082980393968</v>
      </c>
      <c r="CQ118" s="32">
        <f t="shared" si="532"/>
        <v>0.56304481136130491</v>
      </c>
      <c r="CR118" s="32">
        <f t="shared" si="533"/>
        <v>0.58569291695083303</v>
      </c>
      <c r="CS118" s="32">
        <f t="shared" si="534"/>
        <v>0.69635101755431639</v>
      </c>
      <c r="CT118" s="32">
        <f t="shared" si="535"/>
        <v>0.87567784419469652</v>
      </c>
      <c r="CU118" s="32">
        <f t="shared" si="536"/>
        <v>0.93017015594284969</v>
      </c>
      <c r="CV118" s="32">
        <f t="shared" si="537"/>
        <v>1</v>
      </c>
      <c r="CX118" s="32">
        <f t="shared" si="538"/>
        <v>0.27419313401635304</v>
      </c>
      <c r="CY118" s="32">
        <f t="shared" si="539"/>
        <v>0.35467893704221032</v>
      </c>
      <c r="CZ118" s="32">
        <f t="shared" si="540"/>
        <v>0.37902587893596051</v>
      </c>
      <c r="DA118" s="32">
        <f t="shared" si="541"/>
        <v>0.4512013240322949</v>
      </c>
      <c r="DB118" s="32">
        <f t="shared" si="542"/>
        <v>0.46549903388370634</v>
      </c>
      <c r="DC118" s="32">
        <f t="shared" si="543"/>
        <v>0.59528043063501346</v>
      </c>
      <c r="DD118" s="32">
        <f t="shared" si="544"/>
        <v>0.74983334662954537</v>
      </c>
      <c r="DE118" s="32">
        <f t="shared" si="545"/>
        <v>0.84742393777913594</v>
      </c>
      <c r="DF118" s="32">
        <f t="shared" si="546"/>
        <v>0.88599692519460926</v>
      </c>
      <c r="DG118" s="32">
        <f t="shared" si="547"/>
        <v>0.93547100366569813</v>
      </c>
      <c r="DH118" s="32">
        <f t="shared" si="548"/>
        <v>0.96952643399647631</v>
      </c>
      <c r="DI118" s="32">
        <f t="shared" si="549"/>
        <v>1</v>
      </c>
      <c r="DK118" s="32">
        <f t="shared" si="444"/>
        <v>0.25514237056282618</v>
      </c>
      <c r="DL118" s="32">
        <f t="shared" si="445"/>
        <v>0.36237359247545292</v>
      </c>
      <c r="DM118" s="32">
        <f t="shared" si="446"/>
        <v>0.55899209077930845</v>
      </c>
      <c r="DN118" s="32">
        <f t="shared" si="447"/>
        <v>0.68804826323061596</v>
      </c>
      <c r="DO118" s="32">
        <f t="shared" si="448"/>
        <v>0.72689777688010404</v>
      </c>
      <c r="DP118" s="32">
        <f t="shared" si="449"/>
        <v>0.76212318737462537</v>
      </c>
      <c r="DQ118" s="32">
        <f t="shared" si="450"/>
        <v>0.77414079606329222</v>
      </c>
      <c r="DR118" s="32">
        <f t="shared" si="451"/>
        <v>0.80936620655781366</v>
      </c>
      <c r="DS118" s="32">
        <f t="shared" si="452"/>
        <v>0.8445927646467476</v>
      </c>
      <c r="DT118" s="32">
        <f t="shared" si="453"/>
        <v>0.915872148801682</v>
      </c>
      <c r="DU118" s="32">
        <f t="shared" si="454"/>
        <v>0.98798239131133325</v>
      </c>
      <c r="DV118" s="32">
        <f t="shared" si="455"/>
        <v>1</v>
      </c>
      <c r="DW118" s="39"/>
      <c r="DX118" s="32">
        <f t="shared" si="456"/>
        <v>0.22322326427564895</v>
      </c>
      <c r="DY118" s="32">
        <f t="shared" si="457"/>
        <v>0.3093865190694684</v>
      </c>
      <c r="DZ118" s="32">
        <f t="shared" si="458"/>
        <v>0.59213697142491561</v>
      </c>
      <c r="EA118" s="32">
        <f t="shared" si="459"/>
        <v>0.70491168610879174</v>
      </c>
      <c r="EB118" s="32">
        <f t="shared" si="460"/>
        <v>0.74810158353114486</v>
      </c>
      <c r="EC118" s="32">
        <f t="shared" si="461"/>
        <v>0.77903072079949209</v>
      </c>
      <c r="ED118" s="32">
        <f t="shared" si="462"/>
        <v>0.80889192190778347</v>
      </c>
      <c r="EE118" s="32">
        <f t="shared" si="463"/>
        <v>0.80889192190778347</v>
      </c>
      <c r="EF118" s="32">
        <f t="shared" si="464"/>
        <v>0.8115576611705958</v>
      </c>
      <c r="EG118" s="32">
        <f t="shared" si="465"/>
        <v>0.81422340043340813</v>
      </c>
      <c r="EH118" s="32">
        <f t="shared" si="466"/>
        <v>0.90174495191006376</v>
      </c>
      <c r="EI118" s="32">
        <f t="shared" si="467"/>
        <v>1</v>
      </c>
      <c r="EK118" s="32">
        <f t="shared" si="550"/>
        <v>0.25085292295160938</v>
      </c>
      <c r="EL118" s="32">
        <f t="shared" si="468"/>
        <v>0.34214634952904394</v>
      </c>
      <c r="EM118" s="32">
        <f t="shared" si="469"/>
        <v>0.51005164704672812</v>
      </c>
      <c r="EN118" s="32">
        <f t="shared" si="470"/>
        <v>0.61472042445723429</v>
      </c>
      <c r="EO118" s="32">
        <f t="shared" si="471"/>
        <v>0.6468327980983184</v>
      </c>
      <c r="EP118" s="32">
        <f t="shared" si="472"/>
        <v>0.71214477960304368</v>
      </c>
      <c r="EQ118" s="32">
        <f t="shared" si="473"/>
        <v>0.77762202153354032</v>
      </c>
      <c r="ER118" s="32">
        <f t="shared" si="474"/>
        <v>0.82189402208157769</v>
      </c>
      <c r="ES118" s="32">
        <f t="shared" si="475"/>
        <v>0.84738245033731763</v>
      </c>
      <c r="ET118" s="32">
        <f t="shared" si="476"/>
        <v>0.88852218430026275</v>
      </c>
      <c r="EU118" s="32">
        <f t="shared" si="477"/>
        <v>0.95308459240595766</v>
      </c>
      <c r="EV118" s="32">
        <f t="shared" si="478"/>
        <v>1</v>
      </c>
      <c r="EX118" s="32">
        <f t="shared" si="479"/>
        <v>0.20056898494038583</v>
      </c>
      <c r="EY118" s="32">
        <f t="shared" si="480"/>
        <v>0.2875613516634804</v>
      </c>
      <c r="EZ118" s="32">
        <f t="shared" si="481"/>
        <v>0.43800131989020297</v>
      </c>
      <c r="FA118" s="32">
        <f t="shared" si="482"/>
        <v>0.52046308336266933</v>
      </c>
      <c r="FB118" s="32">
        <f t="shared" si="483"/>
        <v>0.56744247898889866</v>
      </c>
      <c r="FC118" s="32">
        <f t="shared" si="484"/>
        <v>0.66256629215326768</v>
      </c>
      <c r="FD118" s="32">
        <f t="shared" si="485"/>
        <v>0.72397771899048147</v>
      </c>
      <c r="FE118" s="32">
        <f t="shared" si="486"/>
        <v>0.76284374579889158</v>
      </c>
      <c r="FF118" s="32">
        <f t="shared" si="487"/>
        <v>0.80962459214156723</v>
      </c>
      <c r="FG118" s="32">
        <f t="shared" si="488"/>
        <v>0.88531109927387119</v>
      </c>
      <c r="FH118" s="32">
        <f t="shared" si="489"/>
        <v>0.94735598329018078</v>
      </c>
      <c r="FI118" s="32">
        <f t="shared" si="490"/>
        <v>1</v>
      </c>
      <c r="FK118" s="32">
        <f t="shared" si="551"/>
        <v>0.19301755849529811</v>
      </c>
      <c r="FL118" s="32">
        <f t="shared" si="491"/>
        <v>0.28028629586148446</v>
      </c>
      <c r="FM118" s="32">
        <f t="shared" si="492"/>
        <v>0.3866227693786321</v>
      </c>
      <c r="FN118" s="32">
        <f t="shared" si="493"/>
        <v>0.45898021578062842</v>
      </c>
      <c r="FO118" s="32">
        <f t="shared" si="494"/>
        <v>0.50722277747481659</v>
      </c>
      <c r="FP118" s="32">
        <f t="shared" si="495"/>
        <v>0.62374481593785946</v>
      </c>
      <c r="FQ118" s="32">
        <f t="shared" si="496"/>
        <v>0.69567298468471417</v>
      </c>
      <c r="FR118" s="32">
        <f t="shared" si="497"/>
        <v>0.7474943537625941</v>
      </c>
      <c r="FS118" s="32">
        <f t="shared" si="498"/>
        <v>0.80898023579855771</v>
      </c>
      <c r="FT118" s="32">
        <f t="shared" si="499"/>
        <v>0.90900699888735881</v>
      </c>
      <c r="FU118" s="32">
        <f t="shared" si="500"/>
        <v>0.96255966041688634</v>
      </c>
      <c r="FV118" s="32">
        <f t="shared" si="501"/>
        <v>1</v>
      </c>
      <c r="FX118" s="32">
        <f t="shared" si="502"/>
        <v>0.15928822312914492</v>
      </c>
      <c r="FY118" s="32">
        <f t="shared" si="503"/>
        <v>0.22710950406990485</v>
      </c>
      <c r="FZ118" s="32">
        <f t="shared" si="504"/>
        <v>0.29686842427809007</v>
      </c>
      <c r="GA118" s="32">
        <f t="shared" si="505"/>
        <v>0.36282667513227818</v>
      </c>
      <c r="GB118" s="32">
        <f t="shared" si="506"/>
        <v>0.42501976064606328</v>
      </c>
      <c r="GC118" s="32">
        <f t="shared" si="507"/>
        <v>0.55805020674712746</v>
      </c>
      <c r="GD118" s="32">
        <f t="shared" si="508"/>
        <v>0.65855419859292341</v>
      </c>
      <c r="GE118" s="32">
        <f t="shared" si="509"/>
        <v>0.70411514842293632</v>
      </c>
      <c r="GF118" s="32">
        <f t="shared" si="510"/>
        <v>0.79010190433337257</v>
      </c>
      <c r="GG118" s="32">
        <f t="shared" si="511"/>
        <v>0.87975128918951029</v>
      </c>
      <c r="GH118" s="32">
        <f t="shared" si="512"/>
        <v>0.93241291709877328</v>
      </c>
      <c r="GI118" s="32">
        <f t="shared" si="513"/>
        <v>1</v>
      </c>
    </row>
    <row r="119" spans="1:191">
      <c r="A119" s="724" t="s">
        <v>103</v>
      </c>
      <c r="B119" s="399">
        <v>897.09000000000015</v>
      </c>
      <c r="C119" s="400">
        <v>2729.05</v>
      </c>
      <c r="D119" s="400">
        <v>2762.4800000000005</v>
      </c>
      <c r="E119" s="400">
        <v>983.97</v>
      </c>
      <c r="F119" s="400">
        <v>1861.74</v>
      </c>
      <c r="G119" s="400">
        <v>656.31999999999971</v>
      </c>
      <c r="H119" s="400">
        <v>1834.48</v>
      </c>
      <c r="I119" s="400">
        <v>703.90999999999985</v>
      </c>
      <c r="J119" s="400">
        <v>903.79000000000042</v>
      </c>
      <c r="K119" s="400">
        <v>563.48</v>
      </c>
      <c r="L119" s="400">
        <v>493.08999999999992</v>
      </c>
      <c r="M119" s="400">
        <v>888.31</v>
      </c>
      <c r="N119" s="400">
        <f t="shared" si="441"/>
        <v>15277.710000000001</v>
      </c>
      <c r="P119" s="396" t="s">
        <v>103</v>
      </c>
      <c r="Q119" s="399">
        <v>1414.68</v>
      </c>
      <c r="R119" s="400">
        <v>1862.54</v>
      </c>
      <c r="S119" s="400">
        <v>2209.2199999999998</v>
      </c>
      <c r="T119" s="400">
        <v>848.34</v>
      </c>
      <c r="U119" s="400">
        <v>1906.63</v>
      </c>
      <c r="V119" s="400">
        <v>2066.41</v>
      </c>
      <c r="W119" s="400">
        <v>938.73</v>
      </c>
      <c r="X119" s="400">
        <v>785.19000000000051</v>
      </c>
      <c r="Y119" s="400">
        <v>505.59999999999991</v>
      </c>
      <c r="Z119" s="400">
        <v>1492.2999999999997</v>
      </c>
      <c r="AA119" s="400">
        <v>1323.75</v>
      </c>
      <c r="AB119" s="400">
        <v>1659.06</v>
      </c>
      <c r="AC119" s="400">
        <f t="shared" si="442"/>
        <v>17012.45</v>
      </c>
      <c r="AE119" s="127" t="s">
        <v>103</v>
      </c>
      <c r="AF119" s="27">
        <v>3339.71</v>
      </c>
      <c r="AG119" s="27">
        <v>504.53999999999996</v>
      </c>
      <c r="AH119" s="27">
        <v>3529.28</v>
      </c>
      <c r="AI119" s="27">
        <v>1546.1</v>
      </c>
      <c r="AJ119" s="27">
        <v>823.37</v>
      </c>
      <c r="AK119" s="27">
        <v>4724.55</v>
      </c>
      <c r="AL119" s="27">
        <v>3291.96</v>
      </c>
      <c r="AM119" s="27">
        <v>4041.79</v>
      </c>
      <c r="AN119" s="27">
        <v>1485.37</v>
      </c>
      <c r="AO119" s="27">
        <v>1739.43</v>
      </c>
      <c r="AP119" s="27">
        <v>1128.6099999999999</v>
      </c>
      <c r="AQ119" s="27">
        <v>1125.97</v>
      </c>
      <c r="AR119" s="43">
        <f t="shared" si="443"/>
        <v>27280.680000000004</v>
      </c>
      <c r="AT119" s="60" t="s">
        <v>103</v>
      </c>
      <c r="AU119" s="27">
        <v>837.74999999999977</v>
      </c>
      <c r="AV119" s="27">
        <v>1772.5800000000004</v>
      </c>
      <c r="AW119" s="27">
        <v>909.07999999999993</v>
      </c>
      <c r="AX119" s="27">
        <v>824.31999999999994</v>
      </c>
      <c r="AY119" s="27">
        <v>209.44000000000005</v>
      </c>
      <c r="AZ119" s="27">
        <v>1474.32</v>
      </c>
      <c r="BA119" s="27">
        <v>761.1</v>
      </c>
      <c r="BB119" s="27">
        <v>2539.0100000000002</v>
      </c>
      <c r="BC119" s="27">
        <v>173.24</v>
      </c>
      <c r="BD119" s="27">
        <v>1019.27</v>
      </c>
      <c r="BE119" s="27">
        <v>1910.1100000000001</v>
      </c>
      <c r="BF119" s="27">
        <v>503.93999999999994</v>
      </c>
      <c r="BG119" s="43">
        <f t="shared" si="403"/>
        <v>12934.160000000002</v>
      </c>
      <c r="BI119" s="60" t="s">
        <v>103</v>
      </c>
      <c r="BJ119" s="27">
        <v>1670.12</v>
      </c>
      <c r="BK119" s="27">
        <v>439.38</v>
      </c>
      <c r="BL119" s="27">
        <v>621.50999999999976</v>
      </c>
      <c r="BM119" s="27">
        <v>114.67000000000002</v>
      </c>
      <c r="BN119" s="27">
        <v>567.13</v>
      </c>
      <c r="BO119" s="27">
        <v>370.76</v>
      </c>
      <c r="BP119" s="27">
        <v>1649.2000000000003</v>
      </c>
      <c r="BQ119" s="27">
        <v>671.94</v>
      </c>
      <c r="BR119" s="27">
        <v>436.11999999999989</v>
      </c>
      <c r="BS119" s="27">
        <v>97.509999999999991</v>
      </c>
      <c r="BT119" s="27">
        <v>371.76</v>
      </c>
      <c r="BU119" s="27">
        <v>422.54999999999995</v>
      </c>
      <c r="BV119" s="43">
        <f t="shared" si="404"/>
        <v>7432.6500000000015</v>
      </c>
      <c r="BW119" s="405"/>
      <c r="BX119" s="32">
        <f t="shared" si="514"/>
        <v>5.8718878680116333E-2</v>
      </c>
      <c r="BY119" s="32">
        <f t="shared" si="515"/>
        <v>0.23734839841834934</v>
      </c>
      <c r="BZ119" s="32">
        <f t="shared" si="516"/>
        <v>0.41816607331857986</v>
      </c>
      <c r="CA119" s="32">
        <f t="shared" si="517"/>
        <v>0.48257166813612778</v>
      </c>
      <c r="CB119" s="32">
        <f t="shared" si="518"/>
        <v>0.60443155420544059</v>
      </c>
      <c r="CC119" s="32">
        <f t="shared" si="519"/>
        <v>0.6473908720613234</v>
      </c>
      <c r="CD119" s="32">
        <f t="shared" si="520"/>
        <v>0.76746645930574675</v>
      </c>
      <c r="CE119" s="32">
        <f t="shared" si="521"/>
        <v>0.81354077279906478</v>
      </c>
      <c r="CF119" s="32">
        <f t="shared" si="522"/>
        <v>0.87269819887928235</v>
      </c>
      <c r="CG119" s="32">
        <f t="shared" si="523"/>
        <v>0.90958068977615103</v>
      </c>
      <c r="CH119" s="32">
        <f t="shared" si="524"/>
        <v>0.94185581477852376</v>
      </c>
      <c r="CI119" s="32">
        <f t="shared" si="525"/>
        <v>1</v>
      </c>
      <c r="CJ119" s="405"/>
      <c r="CK119" s="32">
        <f t="shared" si="526"/>
        <v>8.3155571360973873E-2</v>
      </c>
      <c r="CL119" s="32">
        <f t="shared" si="527"/>
        <v>0.19263656910086438</v>
      </c>
      <c r="CM119" s="32">
        <f t="shared" si="528"/>
        <v>0.32249558411633833</v>
      </c>
      <c r="CN119" s="32">
        <f t="shared" si="529"/>
        <v>0.3723614176676493</v>
      </c>
      <c r="CO119" s="32">
        <f t="shared" si="530"/>
        <v>0.48443404683040947</v>
      </c>
      <c r="CP119" s="32">
        <f t="shared" si="531"/>
        <v>0.60589862130380978</v>
      </c>
      <c r="CQ119" s="32">
        <f t="shared" si="532"/>
        <v>0.66107762256465108</v>
      </c>
      <c r="CR119" s="32">
        <f t="shared" si="533"/>
        <v>0.70723146871849729</v>
      </c>
      <c r="CS119" s="32">
        <f t="shared" si="534"/>
        <v>0.73695088009075704</v>
      </c>
      <c r="CT119" s="32">
        <f t="shared" si="535"/>
        <v>0.82466899241437885</v>
      </c>
      <c r="CU119" s="32">
        <f t="shared" si="536"/>
        <v>0.90247965460589152</v>
      </c>
      <c r="CV119" s="32">
        <f t="shared" si="537"/>
        <v>1</v>
      </c>
      <c r="CX119" s="32">
        <f t="shared" si="538"/>
        <v>0.122420335563483</v>
      </c>
      <c r="CY119" s="32">
        <f t="shared" si="539"/>
        <v>0.14091474259439279</v>
      </c>
      <c r="CZ119" s="32">
        <f t="shared" si="540"/>
        <v>0.27028395186630244</v>
      </c>
      <c r="DA119" s="32">
        <f t="shared" si="541"/>
        <v>0.32695775911744135</v>
      </c>
      <c r="DB119" s="32">
        <f t="shared" si="542"/>
        <v>0.35713919154507878</v>
      </c>
      <c r="DC119" s="32">
        <f t="shared" si="543"/>
        <v>0.53032219138232628</v>
      </c>
      <c r="DD119" s="32">
        <f t="shared" si="544"/>
        <v>0.65099220400664493</v>
      </c>
      <c r="DE119" s="32">
        <f t="shared" si="545"/>
        <v>0.79914796845239933</v>
      </c>
      <c r="DF119" s="32">
        <f t="shared" si="546"/>
        <v>0.85359565817274341</v>
      </c>
      <c r="DG119" s="32">
        <f t="shared" si="547"/>
        <v>0.91735616560877509</v>
      </c>
      <c r="DH119" s="32">
        <f t="shared" si="548"/>
        <v>0.95872646869506184</v>
      </c>
      <c r="DI119" s="32">
        <f t="shared" si="549"/>
        <v>1</v>
      </c>
      <c r="DK119" s="32">
        <f t="shared" si="444"/>
        <v>6.4770344575913685E-2</v>
      </c>
      <c r="DL119" s="32">
        <f t="shared" si="445"/>
        <v>0.20181673954860613</v>
      </c>
      <c r="DM119" s="32">
        <f t="shared" si="446"/>
        <v>0.27210193781428399</v>
      </c>
      <c r="DN119" s="32">
        <f t="shared" si="447"/>
        <v>0.33583394669619049</v>
      </c>
      <c r="DO119" s="32">
        <f t="shared" si="448"/>
        <v>0.3520267261267836</v>
      </c>
      <c r="DP119" s="32">
        <f t="shared" si="449"/>
        <v>0.46601325482288752</v>
      </c>
      <c r="DQ119" s="32">
        <f t="shared" si="450"/>
        <v>0.52485743179301936</v>
      </c>
      <c r="DR119" s="32">
        <f t="shared" si="451"/>
        <v>0.72116009079832</v>
      </c>
      <c r="DS119" s="32">
        <f t="shared" si="452"/>
        <v>0.73455408004849165</v>
      </c>
      <c r="DT119" s="32">
        <f t="shared" si="453"/>
        <v>0.81335857914236409</v>
      </c>
      <c r="DU119" s="32">
        <f t="shared" si="454"/>
        <v>0.96103805736128201</v>
      </c>
      <c r="DV119" s="32">
        <f t="shared" si="455"/>
        <v>1</v>
      </c>
      <c r="DW119" s="39"/>
      <c r="DX119" s="32">
        <f t="shared" si="456"/>
        <v>0.22470047694967468</v>
      </c>
      <c r="DY119" s="32">
        <f t="shared" si="457"/>
        <v>0.28381532831493472</v>
      </c>
      <c r="DZ119" s="32">
        <f t="shared" si="458"/>
        <v>0.36743422601629289</v>
      </c>
      <c r="EA119" s="32">
        <f t="shared" si="459"/>
        <v>0.38286210167302365</v>
      </c>
      <c r="EB119" s="32">
        <f t="shared" si="460"/>
        <v>0.45916463172623484</v>
      </c>
      <c r="EC119" s="32">
        <f t="shared" si="461"/>
        <v>0.50904724425339531</v>
      </c>
      <c r="ED119" s="32">
        <f t="shared" si="462"/>
        <v>0.73093311268524674</v>
      </c>
      <c r="EE119" s="32">
        <f t="shared" si="463"/>
        <v>0.82133693904596605</v>
      </c>
      <c r="EF119" s="32">
        <f t="shared" si="464"/>
        <v>0.8800131850685825</v>
      </c>
      <c r="EG119" s="32">
        <f t="shared" si="465"/>
        <v>0.89313232830820766</v>
      </c>
      <c r="EH119" s="32">
        <f t="shared" si="466"/>
        <v>0.94314948235151663</v>
      </c>
      <c r="EI119" s="32">
        <f t="shared" si="467"/>
        <v>1</v>
      </c>
      <c r="EK119" s="32">
        <f t="shared" si="550"/>
        <v>0.13729705236302378</v>
      </c>
      <c r="EL119" s="32">
        <f t="shared" si="468"/>
        <v>0.20884893681931124</v>
      </c>
      <c r="EM119" s="32">
        <f t="shared" si="469"/>
        <v>0.30327337189895975</v>
      </c>
      <c r="EN119" s="32">
        <f t="shared" si="470"/>
        <v>0.34855126916221851</v>
      </c>
      <c r="EO119" s="32">
        <f t="shared" si="471"/>
        <v>0.38944351646603237</v>
      </c>
      <c r="EP119" s="32">
        <f t="shared" si="472"/>
        <v>0.50179423015286972</v>
      </c>
      <c r="EQ119" s="32">
        <f t="shared" si="473"/>
        <v>0.63559424949497034</v>
      </c>
      <c r="ER119" s="32">
        <f t="shared" si="474"/>
        <v>0.78054833276556179</v>
      </c>
      <c r="ES119" s="32">
        <f t="shared" si="475"/>
        <v>0.82272097442993919</v>
      </c>
      <c r="ET119" s="32">
        <f t="shared" si="476"/>
        <v>0.87461569101978232</v>
      </c>
      <c r="EU119" s="32">
        <f t="shared" si="477"/>
        <v>0.95430466946928683</v>
      </c>
      <c r="EV119" s="32">
        <f t="shared" si="478"/>
        <v>1</v>
      </c>
      <c r="EX119" s="32">
        <f t="shared" si="479"/>
        <v>0.12376168211251129</v>
      </c>
      <c r="EY119" s="32">
        <f t="shared" si="480"/>
        <v>0.20479584488969951</v>
      </c>
      <c r="EZ119" s="32">
        <f t="shared" si="481"/>
        <v>0.30807892495330441</v>
      </c>
      <c r="FA119" s="32">
        <f t="shared" si="482"/>
        <v>0.3545038062885762</v>
      </c>
      <c r="FB119" s="32">
        <f t="shared" si="483"/>
        <v>0.41319114905712673</v>
      </c>
      <c r="FC119" s="32">
        <f t="shared" si="484"/>
        <v>0.52782032794060463</v>
      </c>
      <c r="FD119" s="32">
        <f t="shared" si="485"/>
        <v>0.64196509276239055</v>
      </c>
      <c r="FE119" s="32">
        <f t="shared" si="486"/>
        <v>0.76221911675379572</v>
      </c>
      <c r="FF119" s="32">
        <f t="shared" si="487"/>
        <v>0.8012784508451436</v>
      </c>
      <c r="FG119" s="32">
        <f t="shared" si="488"/>
        <v>0.86212901636843142</v>
      </c>
      <c r="FH119" s="32">
        <f t="shared" si="489"/>
        <v>0.94134841575343797</v>
      </c>
      <c r="FI119" s="32">
        <f t="shared" si="490"/>
        <v>1</v>
      </c>
      <c r="FK119" s="32">
        <f t="shared" si="551"/>
        <v>9.0115417166790182E-2</v>
      </c>
      <c r="FL119" s="32">
        <f t="shared" si="491"/>
        <v>0.17845601708128778</v>
      </c>
      <c r="FM119" s="32">
        <f t="shared" si="492"/>
        <v>0.28829382459897496</v>
      </c>
      <c r="FN119" s="32">
        <f t="shared" si="493"/>
        <v>0.34505104116042706</v>
      </c>
      <c r="FO119" s="32">
        <f t="shared" si="494"/>
        <v>0.39786665483409056</v>
      </c>
      <c r="FP119" s="32">
        <f t="shared" si="495"/>
        <v>0.53407802250300784</v>
      </c>
      <c r="FQ119" s="32">
        <f t="shared" si="496"/>
        <v>0.61230908612143853</v>
      </c>
      <c r="FR119" s="32">
        <f t="shared" si="497"/>
        <v>0.74251317598973898</v>
      </c>
      <c r="FS119" s="32">
        <f t="shared" si="498"/>
        <v>0.77503353943733078</v>
      </c>
      <c r="FT119" s="32">
        <f t="shared" si="499"/>
        <v>0.85179457905517264</v>
      </c>
      <c r="FU119" s="32">
        <f t="shared" si="500"/>
        <v>0.94074806022074509</v>
      </c>
      <c r="FV119" s="32">
        <f t="shared" si="501"/>
        <v>1</v>
      </c>
      <c r="FX119" s="32">
        <f t="shared" si="502"/>
        <v>8.8098261868191072E-2</v>
      </c>
      <c r="FY119" s="32">
        <f t="shared" si="503"/>
        <v>0.19029990337120217</v>
      </c>
      <c r="FZ119" s="32">
        <f t="shared" si="504"/>
        <v>0.33698186976707351</v>
      </c>
      <c r="GA119" s="32">
        <f t="shared" si="505"/>
        <v>0.3939636149737395</v>
      </c>
      <c r="GB119" s="32">
        <f t="shared" si="506"/>
        <v>0.48200159752697624</v>
      </c>
      <c r="GC119" s="32">
        <f t="shared" si="507"/>
        <v>0.59453722824915312</v>
      </c>
      <c r="GD119" s="32">
        <f t="shared" si="508"/>
        <v>0.69317876195901429</v>
      </c>
      <c r="GE119" s="32">
        <f t="shared" si="509"/>
        <v>0.77330673665665384</v>
      </c>
      <c r="GF119" s="32">
        <f t="shared" si="510"/>
        <v>0.82108157904759427</v>
      </c>
      <c r="GG119" s="32">
        <f t="shared" si="511"/>
        <v>0.88386861593310162</v>
      </c>
      <c r="GH119" s="32">
        <f t="shared" si="512"/>
        <v>0.93435397935982578</v>
      </c>
      <c r="GI119" s="32">
        <f t="shared" si="513"/>
        <v>1</v>
      </c>
    </row>
    <row r="120" spans="1:191">
      <c r="A120" s="724" t="s">
        <v>224</v>
      </c>
      <c r="B120" s="399"/>
      <c r="N120" s="401">
        <f t="shared" si="441"/>
        <v>0</v>
      </c>
      <c r="P120" s="396" t="s">
        <v>224</v>
      </c>
      <c r="AC120" s="401">
        <f t="shared" si="442"/>
        <v>0</v>
      </c>
      <c r="AE120" s="127" t="s">
        <v>224</v>
      </c>
      <c r="AR120" s="41">
        <f t="shared" si="443"/>
        <v>0</v>
      </c>
      <c r="AT120" s="118" t="s">
        <v>224</v>
      </c>
      <c r="BG120" s="41">
        <f t="shared" si="403"/>
        <v>0</v>
      </c>
      <c r="BV120" s="41">
        <f t="shared" si="404"/>
        <v>0</v>
      </c>
      <c r="BW120" s="406"/>
      <c r="BX120" s="39">
        <f>AVERAGE(BX93:BX119)</f>
        <v>0.10330508476653079</v>
      </c>
      <c r="BY120" s="39">
        <f t="shared" ref="BY120:CI120" si="552">AVERAGE(BY93:BY119)</f>
        <v>0.20919648626532603</v>
      </c>
      <c r="BZ120" s="39">
        <f t="shared" si="552"/>
        <v>0.30119529038265674</v>
      </c>
      <c r="CA120" s="39">
        <f t="shared" si="552"/>
        <v>0.37652145356976291</v>
      </c>
      <c r="CB120" s="39">
        <f t="shared" si="552"/>
        <v>0.45599241689504166</v>
      </c>
      <c r="CC120" s="39">
        <f t="shared" si="552"/>
        <v>0.54046669189528473</v>
      </c>
      <c r="CD120" s="39">
        <f t="shared" si="552"/>
        <v>0.61881077494272896</v>
      </c>
      <c r="CE120" s="39">
        <f t="shared" si="552"/>
        <v>0.70884900735943357</v>
      </c>
      <c r="CF120" s="39">
        <f t="shared" si="552"/>
        <v>0.78245206569621573</v>
      </c>
      <c r="CG120" s="39">
        <f t="shared" si="552"/>
        <v>0.83661206380755648</v>
      </c>
      <c r="CH120" s="39">
        <f t="shared" si="552"/>
        <v>0.91211985406368135</v>
      </c>
      <c r="CI120" s="39">
        <f t="shared" si="552"/>
        <v>1</v>
      </c>
      <c r="CJ120" s="406"/>
      <c r="CK120" s="39">
        <f>AVERAGE(CK93:CK119)</f>
        <v>0.14215014350357014</v>
      </c>
      <c r="CL120" s="39">
        <f t="shared" ref="CL120:CV120" si="553">AVERAGE(CL93:CL119)</f>
        <v>0.26791442622516604</v>
      </c>
      <c r="CM120" s="39">
        <f t="shared" si="553"/>
        <v>0.37890402119469546</v>
      </c>
      <c r="CN120" s="39">
        <f t="shared" si="553"/>
        <v>0.42518623582825055</v>
      </c>
      <c r="CO120" s="39">
        <f t="shared" si="553"/>
        <v>0.47828309216802511</v>
      </c>
      <c r="CP120" s="39">
        <f t="shared" si="553"/>
        <v>0.54574889634841528</v>
      </c>
      <c r="CQ120" s="39">
        <f t="shared" si="553"/>
        <v>0.61577140688740717</v>
      </c>
      <c r="CR120" s="39">
        <f t="shared" si="553"/>
        <v>0.67996459391637665</v>
      </c>
      <c r="CS120" s="39">
        <f t="shared" si="553"/>
        <v>0.7614429448005936</v>
      </c>
      <c r="CT120" s="39">
        <f t="shared" si="553"/>
        <v>0.86604185027683445</v>
      </c>
      <c r="CU120" s="39">
        <f t="shared" si="553"/>
        <v>0.92824128808522566</v>
      </c>
      <c r="CV120" s="39">
        <f t="shared" si="553"/>
        <v>1</v>
      </c>
      <c r="CX120" s="39">
        <f>AVERAGE(CX93:CX119)</f>
        <v>0.10482275672190831</v>
      </c>
      <c r="CY120" s="39">
        <f t="shared" ref="CY120:DI120" si="554">AVERAGE(CY93:CY119)</f>
        <v>0.21979936162038693</v>
      </c>
      <c r="CZ120" s="39">
        <f t="shared" si="554"/>
        <v>0.2943214327688064</v>
      </c>
      <c r="DA120" s="39">
        <f t="shared" si="554"/>
        <v>0.39115608721191558</v>
      </c>
      <c r="DB120" s="39">
        <f t="shared" si="554"/>
        <v>0.46710737606689046</v>
      </c>
      <c r="DC120" s="39">
        <f t="shared" si="554"/>
        <v>0.54074659745352438</v>
      </c>
      <c r="DD120" s="39">
        <f t="shared" si="554"/>
        <v>0.63640744530955784</v>
      </c>
      <c r="DE120" s="39">
        <f t="shared" si="554"/>
        <v>0.71853622869874056</v>
      </c>
      <c r="DF120" s="39">
        <f t="shared" si="554"/>
        <v>0.78447238656869678</v>
      </c>
      <c r="DG120" s="39">
        <f t="shared" si="554"/>
        <v>0.87062243473993073</v>
      </c>
      <c r="DH120" s="39">
        <f t="shared" si="554"/>
        <v>0.92851911663564024</v>
      </c>
      <c r="DI120" s="39">
        <f t="shared" si="554"/>
        <v>1</v>
      </c>
      <c r="DK120" s="39">
        <f>AVERAGE(DK93:DK119)</f>
        <v>0.11371613556385402</v>
      </c>
      <c r="DL120" s="39">
        <f t="shared" ref="DL120" si="555">AVERAGE(DL93:DL119)</f>
        <v>0.22033205657105506</v>
      </c>
      <c r="DM120" s="39">
        <f t="shared" ref="DM120" si="556">AVERAGE(DM93:DM119)</f>
        <v>0.32247197076900574</v>
      </c>
      <c r="DN120" s="39">
        <f t="shared" ref="DN120" si="557">AVERAGE(DN93:DN119)</f>
        <v>0.41631967095181038</v>
      </c>
      <c r="DO120" s="39">
        <f t="shared" ref="DO120" si="558">AVERAGE(DO93:DO119)</f>
        <v>0.52714691411332526</v>
      </c>
      <c r="DP120" s="39">
        <f t="shared" ref="DP120" si="559">AVERAGE(DP93:DP119)</f>
        <v>0.599715068723638</v>
      </c>
      <c r="DQ120" s="39">
        <f t="shared" ref="DQ120" si="560">AVERAGE(DQ93:DQ119)</f>
        <v>0.66451381881580562</v>
      </c>
      <c r="DR120" s="39">
        <f t="shared" ref="DR120" si="561">AVERAGE(DR93:DR119)</f>
        <v>0.74158002862992378</v>
      </c>
      <c r="DS120" s="39">
        <f t="shared" ref="DS120" si="562">AVERAGE(DS93:DS119)</f>
        <v>0.79578755709936844</v>
      </c>
      <c r="DT120" s="39">
        <f t="shared" ref="DT120" si="563">AVERAGE(DT93:DT119)</f>
        <v>0.86879830406147363</v>
      </c>
      <c r="DU120" s="39">
        <f t="shared" ref="DU120" si="564">AVERAGE(DU93:DU119)</f>
        <v>0.93304244868523523</v>
      </c>
      <c r="DV120" s="39">
        <f t="shared" ref="DV120" si="565">AVERAGE(DV93:DV119)</f>
        <v>1</v>
      </c>
      <c r="DW120" s="39"/>
      <c r="DX120" s="39">
        <f>AVERAGE(DX93:DX119)</f>
        <v>0.15170191604899838</v>
      </c>
      <c r="DY120" s="39">
        <f t="shared" ref="DY120" si="566">AVERAGE(DY93:DY119)</f>
        <v>0.25853360737409015</v>
      </c>
      <c r="DZ120" s="39">
        <f t="shared" ref="DZ120" si="567">AVERAGE(DZ93:DZ119)</f>
        <v>0.36587176479546646</v>
      </c>
      <c r="EA120" s="39">
        <f t="shared" ref="EA120" si="568">AVERAGE(EA93:EA119)</f>
        <v>0.45677499418283224</v>
      </c>
      <c r="EB120" s="39">
        <f t="shared" ref="EB120" si="569">AVERAGE(EB93:EB119)</f>
        <v>0.53968200256659826</v>
      </c>
      <c r="EC120" s="39">
        <f t="shared" ref="EC120" si="570">AVERAGE(EC93:EC119)</f>
        <v>0.63404459482839071</v>
      </c>
      <c r="ED120" s="39">
        <f t="shared" ref="ED120" si="571">AVERAGE(ED93:ED119)</f>
        <v>0.71821170512692944</v>
      </c>
      <c r="EE120" s="39">
        <f t="shared" ref="EE120" si="572">AVERAGE(EE93:EE119)</f>
        <v>0.77824161172725392</v>
      </c>
      <c r="EF120" s="39">
        <f t="shared" ref="EF120" si="573">AVERAGE(EF93:EF119)</f>
        <v>0.83919807972027438</v>
      </c>
      <c r="EG120" s="39">
        <f t="shared" ref="EG120" si="574">AVERAGE(EG93:EG119)</f>
        <v>0.89228272615360738</v>
      </c>
      <c r="EH120" s="39">
        <f t="shared" ref="EH120" si="575">AVERAGE(EH93:EH119)</f>
        <v>0.94878651299375938</v>
      </c>
      <c r="EI120" s="39">
        <f t="shared" ref="EI120" si="576">AVERAGE(EI93:EI119)</f>
        <v>1</v>
      </c>
      <c r="EK120" s="39">
        <f>AVERAGE(EK93:EK119)</f>
        <v>0.12341360277825358</v>
      </c>
      <c r="EL120" s="39">
        <f t="shared" ref="EL120" si="577">AVERAGE(EL93:EL119)</f>
        <v>0.2328883418551774</v>
      </c>
      <c r="EM120" s="39">
        <f t="shared" ref="EM120" si="578">AVERAGE(EM93:EM119)</f>
        <v>0.32755505611109287</v>
      </c>
      <c r="EN120" s="39">
        <f t="shared" ref="EN120" si="579">AVERAGE(EN93:EN119)</f>
        <v>0.42141691744885279</v>
      </c>
      <c r="EO120" s="39">
        <f t="shared" ref="EO120" si="580">AVERAGE(EO93:EO119)</f>
        <v>0.51131209758227125</v>
      </c>
      <c r="EP120" s="39">
        <f t="shared" ref="EP120" si="581">AVERAGE(EP93:EP119)</f>
        <v>0.59150208700185103</v>
      </c>
      <c r="EQ120" s="39">
        <f t="shared" ref="EQ120" si="582">AVERAGE(EQ93:EQ119)</f>
        <v>0.67304432308409767</v>
      </c>
      <c r="ER120" s="39">
        <f t="shared" ref="ER120" si="583">AVERAGE(ER93:ER119)</f>
        <v>0.74611928968530605</v>
      </c>
      <c r="ES120" s="39">
        <f t="shared" ref="ES120" si="584">AVERAGE(ES93:ES119)</f>
        <v>0.80648600779611301</v>
      </c>
      <c r="ET120" s="39">
        <f t="shared" ref="ET120" si="585">AVERAGE(ET93:ET119)</f>
        <v>0.87723448831833728</v>
      </c>
      <c r="EU120" s="39">
        <f t="shared" ref="EU120" si="586">AVERAGE(EU93:EU119)</f>
        <v>0.93678269277154491</v>
      </c>
      <c r="EV120" s="39">
        <f t="shared" ref="EV120" si="587">AVERAGE(EV93:EV119)</f>
        <v>1</v>
      </c>
      <c r="EX120" s="32">
        <f t="shared" si="479"/>
        <v>0.12809773795958271</v>
      </c>
      <c r="EY120" s="32">
        <f t="shared" si="480"/>
        <v>0.24164486294767454</v>
      </c>
      <c r="EZ120" s="32">
        <f t="shared" si="481"/>
        <v>0.3403922973819935</v>
      </c>
      <c r="FA120" s="32">
        <f t="shared" si="482"/>
        <v>0.4223592470437022</v>
      </c>
      <c r="FB120" s="32">
        <f t="shared" si="483"/>
        <v>0.50305484622870977</v>
      </c>
      <c r="FC120" s="32">
        <f t="shared" si="484"/>
        <v>0.58006378933849212</v>
      </c>
      <c r="FD120" s="32">
        <f t="shared" si="485"/>
        <v>0.6587260940349251</v>
      </c>
      <c r="FE120" s="32">
        <f t="shared" si="486"/>
        <v>0.72958061574307376</v>
      </c>
      <c r="FF120" s="32">
        <f t="shared" si="487"/>
        <v>0.79522524204723322</v>
      </c>
      <c r="FG120" s="32">
        <f t="shared" si="488"/>
        <v>0.87443632880796152</v>
      </c>
      <c r="FH120" s="32">
        <f t="shared" si="489"/>
        <v>0.93464734159996521</v>
      </c>
      <c r="FI120" s="32">
        <f t="shared" si="490"/>
        <v>1</v>
      </c>
      <c r="FK120" s="32">
        <f t="shared" si="551"/>
        <v>0.12022967859644416</v>
      </c>
      <c r="FL120" s="32">
        <f t="shared" si="491"/>
        <v>0.23601528147220266</v>
      </c>
      <c r="FM120" s="32">
        <f t="shared" si="492"/>
        <v>0.33189914157750255</v>
      </c>
      <c r="FN120" s="32">
        <f t="shared" si="493"/>
        <v>0.41088733133065886</v>
      </c>
      <c r="FO120" s="32">
        <f t="shared" si="494"/>
        <v>0.49084579411608026</v>
      </c>
      <c r="FP120" s="32">
        <f t="shared" si="495"/>
        <v>0.56207018750852589</v>
      </c>
      <c r="FQ120" s="32">
        <f t="shared" si="496"/>
        <v>0.63889755700425688</v>
      </c>
      <c r="FR120" s="32">
        <f t="shared" si="497"/>
        <v>0.71336028374834692</v>
      </c>
      <c r="FS120" s="32">
        <f t="shared" si="498"/>
        <v>0.78056762948955294</v>
      </c>
      <c r="FT120" s="32">
        <f t="shared" si="499"/>
        <v>0.86848752969274623</v>
      </c>
      <c r="FU120" s="32">
        <f t="shared" si="500"/>
        <v>0.92993428446870041</v>
      </c>
      <c r="FV120" s="32">
        <f t="shared" si="501"/>
        <v>1</v>
      </c>
      <c r="FX120" s="32">
        <f t="shared" si="502"/>
        <v>0.11675932833066975</v>
      </c>
      <c r="FY120" s="32">
        <f t="shared" si="503"/>
        <v>0.23230342470362633</v>
      </c>
      <c r="FZ120" s="32">
        <f t="shared" si="504"/>
        <v>0.32480691478205287</v>
      </c>
      <c r="GA120" s="32">
        <f t="shared" si="505"/>
        <v>0.39762125886997635</v>
      </c>
      <c r="GB120" s="32">
        <f t="shared" si="506"/>
        <v>0.46712762837665239</v>
      </c>
      <c r="GC120" s="32">
        <f t="shared" si="507"/>
        <v>0.54232072856574143</v>
      </c>
      <c r="GD120" s="32">
        <f t="shared" si="508"/>
        <v>0.62366320904656469</v>
      </c>
      <c r="GE120" s="32">
        <f t="shared" si="509"/>
        <v>0.70244994332485022</v>
      </c>
      <c r="GF120" s="32">
        <f t="shared" si="510"/>
        <v>0.77612246568850196</v>
      </c>
      <c r="GG120" s="32">
        <f t="shared" si="511"/>
        <v>0.85775878294144048</v>
      </c>
      <c r="GH120" s="32">
        <f t="shared" si="512"/>
        <v>0.92296008626151582</v>
      </c>
      <c r="GI120" s="32">
        <f t="shared" si="513"/>
        <v>1</v>
      </c>
    </row>
    <row r="121" spans="1:191">
      <c r="B121" s="975" t="s">
        <v>570</v>
      </c>
      <c r="C121" s="975"/>
      <c r="D121" s="975"/>
      <c r="E121" s="975"/>
      <c r="F121" s="975"/>
      <c r="G121" s="975"/>
      <c r="H121" s="975"/>
      <c r="I121" s="975"/>
      <c r="J121" s="975"/>
      <c r="K121" s="975"/>
      <c r="L121" s="975"/>
      <c r="M121" s="975"/>
      <c r="N121" s="975">
        <f t="shared" si="441"/>
        <v>0</v>
      </c>
      <c r="Q121" s="975" t="s">
        <v>409</v>
      </c>
      <c r="R121" s="975"/>
      <c r="S121" s="975"/>
      <c r="T121" s="975"/>
      <c r="U121" s="975"/>
      <c r="V121" s="975"/>
      <c r="W121" s="975"/>
      <c r="X121" s="975"/>
      <c r="Y121" s="975"/>
      <c r="Z121" s="975"/>
      <c r="AA121" s="975"/>
      <c r="AB121" s="975"/>
      <c r="AC121" s="975">
        <f t="shared" si="442"/>
        <v>0</v>
      </c>
      <c r="AF121" s="976" t="s">
        <v>277</v>
      </c>
      <c r="AG121" s="976"/>
      <c r="AH121" s="976"/>
      <c r="AI121" s="976"/>
      <c r="AJ121" s="976"/>
      <c r="AK121" s="976"/>
      <c r="AL121" s="976"/>
      <c r="AM121" s="976"/>
      <c r="AN121" s="976"/>
      <c r="AO121" s="976"/>
      <c r="AP121" s="976"/>
      <c r="AQ121" s="976"/>
      <c r="AR121" s="976">
        <f t="shared" si="443"/>
        <v>0</v>
      </c>
      <c r="AU121" s="976" t="s">
        <v>162</v>
      </c>
      <c r="AV121" s="976"/>
      <c r="AW121" s="976"/>
      <c r="AX121" s="976"/>
      <c r="AY121" s="976"/>
      <c r="AZ121" s="976"/>
      <c r="BA121" s="976"/>
      <c r="BB121" s="976"/>
      <c r="BC121" s="976"/>
      <c r="BD121" s="976"/>
      <c r="BE121" s="976"/>
      <c r="BF121" s="976"/>
      <c r="BG121" s="976">
        <f t="shared" si="403"/>
        <v>0</v>
      </c>
      <c r="BJ121" s="976" t="s">
        <v>163</v>
      </c>
      <c r="BK121" s="976"/>
      <c r="BL121" s="976"/>
      <c r="BM121" s="976"/>
      <c r="BN121" s="976"/>
      <c r="BO121" s="976"/>
      <c r="BP121" s="976"/>
      <c r="BQ121" s="976"/>
      <c r="BR121" s="976"/>
      <c r="BS121" s="976"/>
      <c r="BT121" s="976"/>
      <c r="BU121" s="976"/>
      <c r="BV121" s="976">
        <f t="shared" si="404"/>
        <v>0</v>
      </c>
      <c r="BW121" s="403"/>
      <c r="BX121" s="973" t="s">
        <v>578</v>
      </c>
      <c r="BY121" s="973"/>
      <c r="BZ121" s="973"/>
      <c r="CA121" s="973"/>
      <c r="CB121" s="973"/>
      <c r="CC121" s="973"/>
      <c r="CD121" s="973"/>
      <c r="CE121" s="973"/>
      <c r="CF121" s="973"/>
      <c r="CG121" s="973"/>
      <c r="CH121" s="973"/>
      <c r="CI121" s="973"/>
      <c r="CJ121" s="403"/>
      <c r="CK121" s="973" t="s">
        <v>411</v>
      </c>
      <c r="CL121" s="973"/>
      <c r="CM121" s="973"/>
      <c r="CN121" s="973"/>
      <c r="CO121" s="973"/>
      <c r="CP121" s="973"/>
      <c r="CQ121" s="973"/>
      <c r="CR121" s="973"/>
      <c r="CS121" s="973"/>
      <c r="CT121" s="973"/>
      <c r="CU121" s="973"/>
      <c r="CV121" s="973"/>
      <c r="CX121" s="973" t="s">
        <v>294</v>
      </c>
      <c r="CY121" s="973"/>
      <c r="CZ121" s="973"/>
      <c r="DA121" s="973"/>
      <c r="DB121" s="973"/>
      <c r="DC121" s="973"/>
      <c r="DD121" s="973"/>
      <c r="DE121" s="973"/>
      <c r="DF121" s="973"/>
      <c r="DG121" s="973"/>
      <c r="DH121" s="973"/>
      <c r="DI121" s="973"/>
      <c r="DK121" s="973" t="s">
        <v>134</v>
      </c>
      <c r="DL121" s="973"/>
      <c r="DM121" s="973"/>
      <c r="DN121" s="973"/>
      <c r="DO121" s="973"/>
      <c r="DP121" s="973"/>
      <c r="DQ121" s="973"/>
      <c r="DR121" s="973"/>
      <c r="DS121" s="973"/>
      <c r="DT121" s="973"/>
      <c r="DU121" s="973"/>
      <c r="DV121" s="973"/>
      <c r="DW121" s="39"/>
      <c r="DX121" s="973" t="s">
        <v>135</v>
      </c>
      <c r="DY121" s="973"/>
      <c r="DZ121" s="973"/>
      <c r="EA121" s="973"/>
      <c r="EB121" s="973"/>
      <c r="EC121" s="973"/>
      <c r="ED121" s="973"/>
      <c r="EE121" s="973"/>
      <c r="EF121" s="973"/>
      <c r="EG121" s="973"/>
      <c r="EH121" s="973"/>
      <c r="EI121" s="973"/>
      <c r="EK121" s="973" t="s">
        <v>299</v>
      </c>
      <c r="EL121" s="973"/>
      <c r="EM121" s="973"/>
      <c r="EN121" s="973"/>
      <c r="EO121" s="973"/>
      <c r="EP121" s="973"/>
      <c r="EQ121" s="973"/>
      <c r="ER121" s="973"/>
      <c r="ES121" s="973"/>
      <c r="ET121" s="973"/>
      <c r="EU121" s="973"/>
      <c r="EV121" s="973"/>
      <c r="EX121" s="973" t="s">
        <v>427</v>
      </c>
      <c r="EY121" s="973"/>
      <c r="EZ121" s="973"/>
      <c r="FA121" s="973"/>
      <c r="FB121" s="973"/>
      <c r="FC121" s="973"/>
      <c r="FD121" s="973"/>
      <c r="FE121" s="973"/>
      <c r="FF121" s="973"/>
      <c r="FG121" s="973"/>
      <c r="FH121" s="973"/>
      <c r="FI121" s="973"/>
      <c r="FK121" s="973" t="s">
        <v>299</v>
      </c>
      <c r="FL121" s="973"/>
      <c r="FM121" s="973"/>
      <c r="FN121" s="973"/>
      <c r="FO121" s="973"/>
      <c r="FP121" s="973"/>
      <c r="FQ121" s="973"/>
      <c r="FR121" s="973"/>
      <c r="FS121" s="973"/>
      <c r="FT121" s="973"/>
      <c r="FU121" s="973"/>
      <c r="FV121" s="973"/>
      <c r="FX121" s="974" t="s">
        <v>579</v>
      </c>
      <c r="FY121" s="974"/>
      <c r="FZ121" s="974"/>
      <c r="GA121" s="974"/>
      <c r="GB121" s="974"/>
      <c r="GC121" s="974"/>
      <c r="GD121" s="974"/>
      <c r="GE121" s="974"/>
      <c r="GF121" s="974"/>
      <c r="GG121" s="974"/>
      <c r="GH121" s="974"/>
      <c r="GI121" s="974"/>
    </row>
    <row r="122" spans="1:191">
      <c r="B122" s="398" t="s">
        <v>120</v>
      </c>
      <c r="C122" s="398" t="s">
        <v>136</v>
      </c>
      <c r="D122" s="398" t="s">
        <v>137</v>
      </c>
      <c r="E122" s="398" t="s">
        <v>138</v>
      </c>
      <c r="F122" s="398" t="s">
        <v>139</v>
      </c>
      <c r="G122" s="398" t="s">
        <v>140</v>
      </c>
      <c r="H122" s="398" t="s">
        <v>141</v>
      </c>
      <c r="I122" s="398" t="s">
        <v>142</v>
      </c>
      <c r="J122" s="398" t="s">
        <v>143</v>
      </c>
      <c r="K122" s="398" t="s">
        <v>144</v>
      </c>
      <c r="L122" s="398" t="s">
        <v>145</v>
      </c>
      <c r="M122" s="398" t="s">
        <v>146</v>
      </c>
      <c r="N122" s="398" t="s">
        <v>118</v>
      </c>
      <c r="Q122" s="398" t="s">
        <v>120</v>
      </c>
      <c r="R122" s="398" t="s">
        <v>136</v>
      </c>
      <c r="S122" s="398" t="s">
        <v>137</v>
      </c>
      <c r="T122" s="398" t="s">
        <v>138</v>
      </c>
      <c r="U122" s="398" t="s">
        <v>139</v>
      </c>
      <c r="V122" s="398" t="s">
        <v>140</v>
      </c>
      <c r="W122" s="398" t="s">
        <v>141</v>
      </c>
      <c r="X122" s="398" t="s">
        <v>142</v>
      </c>
      <c r="Y122" s="398" t="s">
        <v>143</v>
      </c>
      <c r="Z122" s="398" t="s">
        <v>144</v>
      </c>
      <c r="AA122" s="398" t="s">
        <v>145</v>
      </c>
      <c r="AB122" s="398" t="s">
        <v>146</v>
      </c>
      <c r="AC122" s="398" t="s">
        <v>118</v>
      </c>
      <c r="AF122" s="127" t="s">
        <v>120</v>
      </c>
      <c r="AG122" s="127" t="s">
        <v>136</v>
      </c>
      <c r="AH122" s="127" t="s">
        <v>137</v>
      </c>
      <c r="AI122" s="127" t="s">
        <v>138</v>
      </c>
      <c r="AJ122" s="127" t="s">
        <v>139</v>
      </c>
      <c r="AK122" s="127" t="s">
        <v>140</v>
      </c>
      <c r="AL122" s="127" t="s">
        <v>141</v>
      </c>
      <c r="AM122" s="127" t="s">
        <v>142</v>
      </c>
      <c r="AN122" s="127" t="s">
        <v>143</v>
      </c>
      <c r="AO122" s="127" t="s">
        <v>144</v>
      </c>
      <c r="AP122" s="127" t="s">
        <v>145</v>
      </c>
      <c r="AQ122" s="127" t="s">
        <v>146</v>
      </c>
      <c r="AR122" s="127" t="s">
        <v>118</v>
      </c>
      <c r="AU122" s="60" t="s">
        <v>120</v>
      </c>
      <c r="AV122" s="60" t="s">
        <v>136</v>
      </c>
      <c r="AW122" s="60" t="s">
        <v>137</v>
      </c>
      <c r="AX122" s="60" t="s">
        <v>138</v>
      </c>
      <c r="AY122" s="60" t="s">
        <v>139</v>
      </c>
      <c r="AZ122" s="60" t="s">
        <v>140</v>
      </c>
      <c r="BA122" s="60" t="s">
        <v>141</v>
      </c>
      <c r="BB122" s="60" t="s">
        <v>142</v>
      </c>
      <c r="BC122" s="60" t="s">
        <v>143</v>
      </c>
      <c r="BD122" s="60" t="s">
        <v>144</v>
      </c>
      <c r="BE122" s="60" t="s">
        <v>145</v>
      </c>
      <c r="BF122" s="60" t="s">
        <v>146</v>
      </c>
      <c r="BG122" s="60" t="s">
        <v>118</v>
      </c>
      <c r="BJ122" s="60" t="s">
        <v>120</v>
      </c>
      <c r="BK122" s="60" t="s">
        <v>136</v>
      </c>
      <c r="BL122" s="60" t="s">
        <v>137</v>
      </c>
      <c r="BM122" s="60" t="s">
        <v>138</v>
      </c>
      <c r="BN122" s="60" t="s">
        <v>139</v>
      </c>
      <c r="BO122" s="60" t="s">
        <v>140</v>
      </c>
      <c r="BP122" s="60" t="s">
        <v>141</v>
      </c>
      <c r="BQ122" s="60" t="s">
        <v>142</v>
      </c>
      <c r="BR122" s="60" t="s">
        <v>143</v>
      </c>
      <c r="BS122" s="60" t="s">
        <v>144</v>
      </c>
      <c r="BT122" s="60" t="s">
        <v>145</v>
      </c>
      <c r="BU122" s="60" t="s">
        <v>146</v>
      </c>
      <c r="BV122" s="60">
        <f t="shared" si="404"/>
        <v>0</v>
      </c>
      <c r="BW122" s="404"/>
      <c r="BX122" s="731" t="s">
        <v>147</v>
      </c>
      <c r="BY122" s="731" t="s">
        <v>148</v>
      </c>
      <c r="BZ122" s="731" t="s">
        <v>149</v>
      </c>
      <c r="CA122" s="731" t="s">
        <v>150</v>
      </c>
      <c r="CB122" s="731" t="s">
        <v>151</v>
      </c>
      <c r="CC122" s="731" t="s">
        <v>152</v>
      </c>
      <c r="CD122" s="731" t="s">
        <v>153</v>
      </c>
      <c r="CE122" s="731" t="s">
        <v>154</v>
      </c>
      <c r="CF122" s="731" t="s">
        <v>155</v>
      </c>
      <c r="CG122" s="731" t="s">
        <v>156</v>
      </c>
      <c r="CH122" s="731" t="s">
        <v>157</v>
      </c>
      <c r="CI122" s="731" t="s">
        <v>158</v>
      </c>
      <c r="CJ122" s="404"/>
      <c r="CK122" s="396" t="s">
        <v>147</v>
      </c>
      <c r="CL122" s="396" t="s">
        <v>148</v>
      </c>
      <c r="CM122" s="396" t="s">
        <v>149</v>
      </c>
      <c r="CN122" s="396" t="s">
        <v>150</v>
      </c>
      <c r="CO122" s="396" t="s">
        <v>151</v>
      </c>
      <c r="CP122" s="396" t="s">
        <v>152</v>
      </c>
      <c r="CQ122" s="396" t="s">
        <v>153</v>
      </c>
      <c r="CR122" s="396" t="s">
        <v>154</v>
      </c>
      <c r="CS122" s="396" t="s">
        <v>155</v>
      </c>
      <c r="CT122" s="396" t="s">
        <v>156</v>
      </c>
      <c r="CU122" s="396" t="s">
        <v>157</v>
      </c>
      <c r="CV122" s="396" t="s">
        <v>158</v>
      </c>
      <c r="CX122" s="129" t="s">
        <v>147</v>
      </c>
      <c r="CY122" s="129" t="s">
        <v>148</v>
      </c>
      <c r="CZ122" s="129" t="s">
        <v>149</v>
      </c>
      <c r="DA122" s="129" t="s">
        <v>150</v>
      </c>
      <c r="DB122" s="129" t="s">
        <v>151</v>
      </c>
      <c r="DC122" s="129" t="s">
        <v>152</v>
      </c>
      <c r="DD122" s="129" t="s">
        <v>153</v>
      </c>
      <c r="DE122" s="129" t="s">
        <v>154</v>
      </c>
      <c r="DF122" s="129" t="s">
        <v>155</v>
      </c>
      <c r="DG122" s="129" t="s">
        <v>156</v>
      </c>
      <c r="DH122" s="129" t="s">
        <v>157</v>
      </c>
      <c r="DI122" s="129" t="s">
        <v>158</v>
      </c>
      <c r="DK122" s="60" t="s">
        <v>147</v>
      </c>
      <c r="DL122" s="60" t="s">
        <v>148</v>
      </c>
      <c r="DM122" s="60" t="s">
        <v>149</v>
      </c>
      <c r="DN122" s="60" t="s">
        <v>150</v>
      </c>
      <c r="DO122" s="60" t="s">
        <v>151</v>
      </c>
      <c r="DP122" s="60" t="s">
        <v>152</v>
      </c>
      <c r="DQ122" s="60" t="s">
        <v>153</v>
      </c>
      <c r="DR122" s="60" t="s">
        <v>154</v>
      </c>
      <c r="DS122" s="60" t="s">
        <v>155</v>
      </c>
      <c r="DT122" s="60" t="s">
        <v>156</v>
      </c>
      <c r="DU122" s="60" t="s">
        <v>157</v>
      </c>
      <c r="DV122" s="60" t="s">
        <v>158</v>
      </c>
      <c r="DW122" s="39"/>
      <c r="DX122" s="60" t="s">
        <v>147</v>
      </c>
      <c r="DY122" s="60" t="s">
        <v>148</v>
      </c>
      <c r="DZ122" s="60" t="s">
        <v>180</v>
      </c>
      <c r="EA122" s="60" t="s">
        <v>181</v>
      </c>
      <c r="EB122" s="60" t="s">
        <v>182</v>
      </c>
      <c r="EC122" s="60" t="s">
        <v>152</v>
      </c>
      <c r="ED122" s="60" t="s">
        <v>153</v>
      </c>
      <c r="EE122" s="60" t="s">
        <v>154</v>
      </c>
      <c r="EF122" s="60" t="s">
        <v>155</v>
      </c>
      <c r="EG122" s="60" t="s">
        <v>156</v>
      </c>
      <c r="EH122" s="60" t="s">
        <v>157</v>
      </c>
      <c r="EI122" s="60" t="s">
        <v>158</v>
      </c>
      <c r="EK122" s="60" t="s">
        <v>147</v>
      </c>
      <c r="EL122" s="60" t="s">
        <v>148</v>
      </c>
      <c r="EM122" s="60" t="s">
        <v>180</v>
      </c>
      <c r="EN122" s="60" t="s">
        <v>181</v>
      </c>
      <c r="EO122" s="60" t="s">
        <v>182</v>
      </c>
      <c r="EP122" s="60" t="s">
        <v>152</v>
      </c>
      <c r="EQ122" s="60" t="s">
        <v>153</v>
      </c>
      <c r="ER122" s="60" t="s">
        <v>154</v>
      </c>
      <c r="ES122" s="60" t="s">
        <v>155</v>
      </c>
      <c r="ET122" s="60" t="s">
        <v>156</v>
      </c>
      <c r="EU122" s="60" t="s">
        <v>157</v>
      </c>
      <c r="EV122" s="60" t="s">
        <v>158</v>
      </c>
      <c r="EX122" s="397" t="s">
        <v>147</v>
      </c>
      <c r="EY122" s="397" t="s">
        <v>148</v>
      </c>
      <c r="EZ122" s="397" t="s">
        <v>180</v>
      </c>
      <c r="FA122" s="397" t="s">
        <v>181</v>
      </c>
      <c r="FB122" s="397" t="s">
        <v>182</v>
      </c>
      <c r="FC122" s="397" t="s">
        <v>152</v>
      </c>
      <c r="FD122" s="397" t="s">
        <v>153</v>
      </c>
      <c r="FE122" s="397" t="s">
        <v>154</v>
      </c>
      <c r="FF122" s="397" t="s">
        <v>155</v>
      </c>
      <c r="FG122" s="397" t="s">
        <v>156</v>
      </c>
      <c r="FH122" s="397" t="s">
        <v>157</v>
      </c>
      <c r="FI122" s="397" t="s">
        <v>158</v>
      </c>
      <c r="FK122" s="397" t="s">
        <v>147</v>
      </c>
      <c r="FL122" s="397" t="s">
        <v>148</v>
      </c>
      <c r="FM122" s="397" t="s">
        <v>180</v>
      </c>
      <c r="FN122" s="397" t="s">
        <v>181</v>
      </c>
      <c r="FO122" s="397" t="s">
        <v>182</v>
      </c>
      <c r="FP122" s="397" t="s">
        <v>152</v>
      </c>
      <c r="FQ122" s="397" t="s">
        <v>153</v>
      </c>
      <c r="FR122" s="397" t="s">
        <v>154</v>
      </c>
      <c r="FS122" s="397" t="s">
        <v>155</v>
      </c>
      <c r="FT122" s="397" t="s">
        <v>156</v>
      </c>
      <c r="FU122" s="397" t="s">
        <v>157</v>
      </c>
      <c r="FV122" s="397" t="s">
        <v>158</v>
      </c>
      <c r="FX122" s="731" t="s">
        <v>147</v>
      </c>
      <c r="FY122" s="731" t="s">
        <v>148</v>
      </c>
      <c r="FZ122" s="731" t="s">
        <v>180</v>
      </c>
      <c r="GA122" s="731" t="s">
        <v>181</v>
      </c>
      <c r="GB122" s="731" t="s">
        <v>182</v>
      </c>
      <c r="GC122" s="731" t="s">
        <v>152</v>
      </c>
      <c r="GD122" s="731" t="s">
        <v>153</v>
      </c>
      <c r="GE122" s="731" t="s">
        <v>154</v>
      </c>
      <c r="GF122" s="731" t="s">
        <v>155</v>
      </c>
      <c r="GG122" s="731" t="s">
        <v>156</v>
      </c>
      <c r="GH122" s="731" t="s">
        <v>157</v>
      </c>
      <c r="GI122" s="731" t="s">
        <v>158</v>
      </c>
    </row>
    <row r="123" spans="1:191">
      <c r="A123" s="724" t="s">
        <v>77</v>
      </c>
      <c r="B123" s="399">
        <v>18477.05</v>
      </c>
      <c r="C123" s="400">
        <v>17347.330000000002</v>
      </c>
      <c r="D123" s="400">
        <v>20863.350000000002</v>
      </c>
      <c r="E123" s="400">
        <v>22234.649999999998</v>
      </c>
      <c r="F123" s="400">
        <v>33890.699999999997</v>
      </c>
      <c r="G123" s="400">
        <v>31637.85</v>
      </c>
      <c r="H123" s="400">
        <v>32715.3</v>
      </c>
      <c r="I123" s="400">
        <v>30756.300000000003</v>
      </c>
      <c r="J123" s="400">
        <v>28307.55</v>
      </c>
      <c r="K123" s="400">
        <v>24585.66</v>
      </c>
      <c r="L123" s="400">
        <v>24487.5</v>
      </c>
      <c r="M123" s="400">
        <v>19198.2</v>
      </c>
      <c r="N123" s="400">
        <f t="shared" ref="N123:N151" si="588">SUM(B123:M123)</f>
        <v>304501.44</v>
      </c>
      <c r="P123" s="396" t="s">
        <v>77</v>
      </c>
      <c r="Q123" s="399">
        <v>18960.829999999998</v>
      </c>
      <c r="R123" s="400">
        <v>18512.55</v>
      </c>
      <c r="S123" s="400">
        <v>18784.260000000002</v>
      </c>
      <c r="T123" s="400">
        <v>10186.799999999999</v>
      </c>
      <c r="U123" s="400">
        <v>16063.800000000001</v>
      </c>
      <c r="V123" s="400">
        <v>18806.399999999998</v>
      </c>
      <c r="W123" s="400">
        <v>22626.45</v>
      </c>
      <c r="X123" s="400">
        <v>29580.9</v>
      </c>
      <c r="Y123" s="400">
        <v>37025.1</v>
      </c>
      <c r="Z123" s="400">
        <v>31344</v>
      </c>
      <c r="AA123" s="400">
        <v>26544.45</v>
      </c>
      <c r="AB123" s="400">
        <v>26544.45</v>
      </c>
      <c r="AC123" s="400">
        <f t="shared" ref="AC123:AC151" si="589">SUM(Q123:AB123)</f>
        <v>274979.99</v>
      </c>
      <c r="AE123" s="127" t="s">
        <v>77</v>
      </c>
      <c r="AF123" s="27">
        <v>9266.92</v>
      </c>
      <c r="AG123" s="27">
        <v>13929.72</v>
      </c>
      <c r="AH123" s="27">
        <v>13550.68</v>
      </c>
      <c r="AI123" s="27">
        <v>18762.48</v>
      </c>
      <c r="AJ123" s="27">
        <v>21794.799999999999</v>
      </c>
      <c r="AK123" s="27">
        <v>16014.44</v>
      </c>
      <c r="AL123" s="27">
        <v>20847.2</v>
      </c>
      <c r="AM123" s="27">
        <v>20183.88</v>
      </c>
      <c r="AN123" s="27">
        <v>21131.48</v>
      </c>
      <c r="AO123" s="27">
        <v>27006.6</v>
      </c>
      <c r="AP123" s="27">
        <v>19899.599999999999</v>
      </c>
      <c r="AQ123" s="27">
        <v>20468.16</v>
      </c>
      <c r="AR123" s="43">
        <f t="shared" ref="AR123:AR151" si="590">SUM(AF123:AQ123)</f>
        <v>222855.96000000002</v>
      </c>
      <c r="AT123" s="60" t="s">
        <v>77</v>
      </c>
      <c r="AU123" s="27">
        <v>12588.5</v>
      </c>
      <c r="AV123" s="27">
        <v>9607.5</v>
      </c>
      <c r="AW123" s="27">
        <v>15555</v>
      </c>
      <c r="AX123" s="27">
        <v>18574.5</v>
      </c>
      <c r="AY123" s="27">
        <v>24522.000000000004</v>
      </c>
      <c r="AZ123" s="27">
        <v>18666</v>
      </c>
      <c r="BA123" s="27">
        <v>23332.5</v>
      </c>
      <c r="BB123" s="27">
        <v>18666</v>
      </c>
      <c r="BC123" s="27">
        <v>15372</v>
      </c>
      <c r="BD123" s="27">
        <v>19672.5</v>
      </c>
      <c r="BE123" s="27">
        <v>14731.5</v>
      </c>
      <c r="BF123" s="27">
        <v>9241.5</v>
      </c>
      <c r="BG123" s="43">
        <f t="shared" si="403"/>
        <v>200529.5</v>
      </c>
      <c r="BI123" s="60" t="s">
        <v>77</v>
      </c>
      <c r="BJ123" s="27">
        <v>8693.2900000000009</v>
      </c>
      <c r="BK123" s="27">
        <v>10909.6</v>
      </c>
      <c r="BL123" s="27">
        <v>11539.630000000001</v>
      </c>
      <c r="BM123" s="27">
        <v>12619.33</v>
      </c>
      <c r="BN123" s="27">
        <v>13164.51</v>
      </c>
      <c r="BO123" s="27">
        <v>17560.28</v>
      </c>
      <c r="BP123" s="27">
        <v>15402.58</v>
      </c>
      <c r="BQ123" s="27">
        <v>18757.75</v>
      </c>
      <c r="BR123" s="27">
        <v>15706.25</v>
      </c>
      <c r="BS123" s="27">
        <v>19206.5</v>
      </c>
      <c r="BT123" s="27">
        <v>15616.5</v>
      </c>
      <c r="BU123" s="27">
        <v>16065.25</v>
      </c>
      <c r="BV123" s="43">
        <f t="shared" si="404"/>
        <v>175241.47</v>
      </c>
      <c r="BW123" s="405"/>
      <c r="BX123" s="32">
        <f>B123/$N123</f>
        <v>6.0679680201183937E-2</v>
      </c>
      <c r="BY123" s="32">
        <f>SUM(B123:C123)/$N123</f>
        <v>0.11764929584569454</v>
      </c>
      <c r="BZ123" s="32">
        <f>SUM(B123:D123)/$N123</f>
        <v>0.18616572059560707</v>
      </c>
      <c r="CA123" s="32">
        <f>SUM(B123:E123)/$N123</f>
        <v>0.25918557232438705</v>
      </c>
      <c r="CB123" s="32">
        <f>SUM(B123:F123)/$N123</f>
        <v>0.37048455337354069</v>
      </c>
      <c r="CC123" s="32">
        <f>SUM(B123:G123)/$N123</f>
        <v>0.4743850472431263</v>
      </c>
      <c r="CD123" s="32">
        <f>SUM(B123:H123)/$N123</f>
        <v>0.58182394802467918</v>
      </c>
      <c r="CE123" s="32">
        <f>SUM(B123:I123)/$N123</f>
        <v>0.68282938169356433</v>
      </c>
      <c r="CF123" s="32">
        <f>SUM(B123:J123)/$N123</f>
        <v>0.77579298147161457</v>
      </c>
      <c r="CG123" s="32">
        <f>SUM(B123:K123)/$N123</f>
        <v>0.85653368338750702</v>
      </c>
      <c r="CH123" s="32">
        <f>SUM(B123:L123)/$N123</f>
        <v>0.93695202229585517</v>
      </c>
      <c r="CI123" s="32">
        <f>SUM(B123:M123)/$N123</f>
        <v>1</v>
      </c>
      <c r="CJ123" s="405"/>
      <c r="CK123" s="32">
        <f>Q123/$AC123</f>
        <v>6.8953490033947559E-2</v>
      </c>
      <c r="CL123" s="32">
        <f>SUM(Q123:R123)/$AC123</f>
        <v>0.13627675235568959</v>
      </c>
      <c r="CM123" s="32">
        <f>SUM(Q123:S123)/$AC123</f>
        <v>0.20458812293941825</v>
      </c>
      <c r="CN123" s="32">
        <f>SUM(Q123:T123)/$AC123</f>
        <v>0.24163372760323398</v>
      </c>
      <c r="CO123" s="32">
        <f>SUM(Q123:U123)/$AC123</f>
        <v>0.30005179649617419</v>
      </c>
      <c r="CP123" s="32">
        <f>SUM(Q123:V123)/$AC123</f>
        <v>0.36844368202937239</v>
      </c>
      <c r="CQ123" s="32">
        <f>SUM(Q123:W123)/$AC123</f>
        <v>0.45072766931150154</v>
      </c>
      <c r="CR123" s="32">
        <f>SUM(Q123:X123)/$AC123</f>
        <v>0.55830240593142799</v>
      </c>
      <c r="CS123" s="32">
        <f>SUM(Q123:Y123)/$AC123</f>
        <v>0.69294893057491203</v>
      </c>
      <c r="CT123" s="32">
        <f>SUM(Q123:Z123)/$AC123</f>
        <v>0.80693540646357576</v>
      </c>
      <c r="CU123" s="32">
        <f>SUM(Q123:AA123)/$AC123</f>
        <v>0.90346770323178793</v>
      </c>
      <c r="CV123" s="32">
        <f>SUM(Q123:AB123)/$AC123</f>
        <v>1</v>
      </c>
      <c r="CX123" s="32">
        <f>AF123/$AR123</f>
        <v>4.1582554040735548E-2</v>
      </c>
      <c r="CY123" s="32">
        <f>SUM(AF123:AG123)/$AR123</f>
        <v>0.10408803964677452</v>
      </c>
      <c r="CZ123" s="32">
        <f>SUM(AF123:AH123)/$AR123</f>
        <v>0.16489269571251314</v>
      </c>
      <c r="DA123" s="32">
        <f>SUM(AF123:AI123)/$AR123</f>
        <v>0.24908375795738197</v>
      </c>
      <c r="DB123" s="32">
        <f>SUM(AF123:AJ123)/$AR123</f>
        <v>0.34688145652465385</v>
      </c>
      <c r="DC123" s="32">
        <f>SUM(AF123:AK123)/$AR123</f>
        <v>0.41874150460234494</v>
      </c>
      <c r="DD123" s="32">
        <f>SUM(AF123:AL123)/$AR123</f>
        <v>0.51228712931886589</v>
      </c>
      <c r="DE123" s="32">
        <f>SUM(AF123:AM123)/$AR123</f>
        <v>0.60285630233986109</v>
      </c>
      <c r="DF123" s="32">
        <f>SUM(AF123:AN123)/$AR123</f>
        <v>0.6976775492116073</v>
      </c>
      <c r="DG123" s="32">
        <f>SUM(AF123:AO123)/$AR123</f>
        <v>0.81886165395800947</v>
      </c>
      <c r="DH123" s="32">
        <f>SUM(AF123:AP123)/$AR123</f>
        <v>0.90815520482377943</v>
      </c>
      <c r="DI123" s="32">
        <f>SUM(AF123:AQ123)/$AR123</f>
        <v>1</v>
      </c>
      <c r="DK123" s="32">
        <f t="shared" ref="DK123:DK149" si="591">AU123/BG123</f>
        <v>6.2776299746421349E-2</v>
      </c>
      <c r="DL123" s="32">
        <f t="shared" ref="DL123:DL149" si="592">SUM(AU123:AV123)/$BG123</f>
        <v>0.11068695628324011</v>
      </c>
      <c r="DM123" s="32">
        <f t="shared" ref="DM123:DM149" si="593">SUM(AU123:AW123)/$BG123</f>
        <v>0.1882565906761848</v>
      </c>
      <c r="DN123" s="32">
        <f t="shared" ref="DN123:DN149" si="594">SUM(AU123:AX123)/$BG123</f>
        <v>0.28088385998070109</v>
      </c>
      <c r="DO123" s="32">
        <f t="shared" ref="DO123:DO149" si="595">SUM(AU123:AY123)/$BG123</f>
        <v>0.40317010714134327</v>
      </c>
      <c r="DP123" s="32">
        <f t="shared" ref="DP123:DP149" si="596">SUM(AU123:AZ123)/$BG123</f>
        <v>0.49625366841287694</v>
      </c>
      <c r="DQ123" s="32">
        <f t="shared" ref="DQ123:DQ149" si="597">SUM(AU123:BA123)/$BG123</f>
        <v>0.61260812000229392</v>
      </c>
      <c r="DR123" s="32">
        <f t="shared" ref="DR123:DR149" si="598">SUM(AU123:BB123)/$BG123</f>
        <v>0.70569168127382753</v>
      </c>
      <c r="DS123" s="32">
        <f t="shared" ref="DS123:DS149" si="599">SUM(AU123:BC123)/$BG123</f>
        <v>0.78234873173273756</v>
      </c>
      <c r="DT123" s="32">
        <f t="shared" ref="DT123:DT149" si="600">SUM(AU123:BD123)/$BG123</f>
        <v>0.88045150464146171</v>
      </c>
      <c r="DU123" s="32">
        <f t="shared" ref="DU123:DU149" si="601">SUM(AU123:BE123)/$BG123</f>
        <v>0.95391451133125049</v>
      </c>
      <c r="DV123" s="32">
        <f t="shared" ref="DV123:DV149" si="602">SUM(AU123:BF123)/$BG123</f>
        <v>1</v>
      </c>
      <c r="DW123" s="39"/>
      <c r="DX123" s="32">
        <f t="shared" ref="DX123:DX149" si="603">BJ123/BV123</f>
        <v>4.9607493020915661E-2</v>
      </c>
      <c r="DY123" s="32">
        <f t="shared" ref="DY123:DY149" si="604">SUM(BJ123:BK123)/$BV123</f>
        <v>0.11186216367621203</v>
      </c>
      <c r="DZ123" s="32">
        <f t="shared" ref="DZ123:DZ149" si="605">SUM(BJ123:BL123)/$BV123</f>
        <v>0.17771204498569887</v>
      </c>
      <c r="EA123" s="32">
        <f t="shared" ref="EA123:EA149" si="606">SUM(BJ123:BM123)/$BV123</f>
        <v>0.24972313916334984</v>
      </c>
      <c r="EB123" s="32">
        <f t="shared" ref="EB123:EB149" si="607">SUM(BJ123:BN123)/$BV123</f>
        <v>0.32484525495021244</v>
      </c>
      <c r="EC123" s="32">
        <f t="shared" ref="EC123:EC149" si="608">SUM(BJ123:BO123)/$BV123</f>
        <v>0.42505144472937828</v>
      </c>
      <c r="ED123" s="32">
        <f t="shared" ref="ED123:ED149" si="609">SUM(BJ123:BP123)/$BV123</f>
        <v>0.51294490967235096</v>
      </c>
      <c r="EE123" s="32">
        <f t="shared" ref="EE123:EE149" si="610">SUM(BJ123:BQ123)/$BV123</f>
        <v>0.61998435644257033</v>
      </c>
      <c r="EF123" s="32">
        <f t="shared" ref="EF123:EF149" si="611">SUM(BJ123:BR123)/$BV123</f>
        <v>0.70961068747026601</v>
      </c>
      <c r="EG123" s="32">
        <f t="shared" ref="EG123:EG149" si="612">SUM(BJ123:BS123)/$BV123</f>
        <v>0.8192108865555624</v>
      </c>
      <c r="EH123" s="32">
        <f t="shared" ref="EH123:EH149" si="613">SUM(BJ123:BT123)/$BV123</f>
        <v>0.90832506712024275</v>
      </c>
      <c r="EI123" s="32">
        <f t="shared" ref="EI123:EI149" si="614">SUM(BJ123:BU123)/$BV123</f>
        <v>1</v>
      </c>
      <c r="EK123" s="32">
        <f>(CX123+DK123+DX123)/3</f>
        <v>5.132211560269085E-2</v>
      </c>
      <c r="EL123" s="32">
        <f t="shared" ref="EL123:EL149" si="615">(CY123+DL123+DY123)/3</f>
        <v>0.10887905320207557</v>
      </c>
      <c r="EM123" s="32">
        <f t="shared" ref="EM123:EM149" si="616">(CZ123+DM123+DZ123)/3</f>
        <v>0.17695377712479896</v>
      </c>
      <c r="EN123" s="32">
        <f t="shared" ref="EN123:EN149" si="617">(DA123+DN123+EA123)/3</f>
        <v>0.25989691903381096</v>
      </c>
      <c r="EO123" s="32">
        <f t="shared" ref="EO123:EO149" si="618">(DB123+DO123+EB123)/3</f>
        <v>0.35829893953873654</v>
      </c>
      <c r="EP123" s="32">
        <f t="shared" ref="EP123:EP149" si="619">(DC123+DP123+EC123)/3</f>
        <v>0.44668220591486674</v>
      </c>
      <c r="EQ123" s="32">
        <f t="shared" ref="EQ123:EQ149" si="620">(DD123+DQ123+ED123)/3</f>
        <v>0.54594671966450348</v>
      </c>
      <c r="ER123" s="32">
        <f t="shared" ref="ER123:ER149" si="621">(DE123+DR123+EE123)/3</f>
        <v>0.64284411335208624</v>
      </c>
      <c r="ES123" s="32">
        <f t="shared" ref="ES123:ES149" si="622">(DF123+DS123+EF123)/3</f>
        <v>0.72987898947153695</v>
      </c>
      <c r="ET123" s="32">
        <f t="shared" ref="ET123:ET149" si="623">(DG123+DT123+EG123)/3</f>
        <v>0.83950801505167794</v>
      </c>
      <c r="EU123" s="32">
        <f t="shared" ref="EU123:EU149" si="624">(DH123+DU123+EH123)/3</f>
        <v>0.92346492775842426</v>
      </c>
      <c r="EV123" s="32">
        <f t="shared" ref="EV123:EV149" si="625">(DI123+DV123+EI123)/3</f>
        <v>1</v>
      </c>
      <c r="EX123" s="32">
        <f t="shared" ref="EX123:EX150" si="626">(DK123+DX123+CX123+CK123)/4</f>
        <v>5.5729959210505026E-2</v>
      </c>
      <c r="EY123" s="32">
        <f t="shared" ref="EY123:EY150" si="627">(DL123+DY123+CY123+CL123)/4</f>
        <v>0.11572847799047906</v>
      </c>
      <c r="EZ123" s="32">
        <f t="shared" ref="EZ123:EZ150" si="628">(DM123+DZ123+CZ123+CM123)/4</f>
        <v>0.18386236357845376</v>
      </c>
      <c r="FA123" s="32">
        <f t="shared" ref="FA123:FA150" si="629">(DN123+EA123+DA123+CN123)/4</f>
        <v>0.25533112117616674</v>
      </c>
      <c r="FB123" s="32">
        <f t="shared" ref="FB123:FB150" si="630">(DO123+EB123+DB123+CO123)/4</f>
        <v>0.34373715377809594</v>
      </c>
      <c r="FC123" s="32">
        <f t="shared" ref="FC123:FC150" si="631">(DP123+EC123+DC123+CP123)/4</f>
        <v>0.42712257494349309</v>
      </c>
      <c r="FD123" s="32">
        <f t="shared" ref="FD123:FD150" si="632">(DQ123+ED123+DD123+CQ123)/4</f>
        <v>0.5221419570762531</v>
      </c>
      <c r="FE123" s="32">
        <f t="shared" ref="FE123:FE150" si="633">(DR123+EE123+DE123+CR123)/4</f>
        <v>0.62170868649692168</v>
      </c>
      <c r="FF123" s="32">
        <f t="shared" ref="FF123:FF150" si="634">(DS123+EF123+DF123+CS123)/4</f>
        <v>0.72064647474738075</v>
      </c>
      <c r="FG123" s="32">
        <f t="shared" ref="FG123:FG150" si="635">(DT123+EG123+DG123+CT123)/4</f>
        <v>0.83136486290465239</v>
      </c>
      <c r="FH123" s="32">
        <f t="shared" ref="FH123:FH150" si="636">(DU123+EH123+DH123+CU123)/4</f>
        <v>0.91846562162676515</v>
      </c>
      <c r="FI123" s="32">
        <f t="shared" ref="FI123:FI150" si="637">(DV123+EI123+DI123+CV123)/4</f>
        <v>1</v>
      </c>
      <c r="FK123" s="32">
        <f>(DK123+CX123+CK123)/3</f>
        <v>5.7770781273701478E-2</v>
      </c>
      <c r="FL123" s="32">
        <f t="shared" ref="FL123:FL150" si="638">(DL123+CY123+CL123)/3</f>
        <v>0.11701724942856807</v>
      </c>
      <c r="FM123" s="32">
        <f t="shared" ref="FM123:FM150" si="639">(DM123+CZ123+CM123)/3</f>
        <v>0.18591246977603873</v>
      </c>
      <c r="FN123" s="32">
        <f t="shared" ref="FN123:FN150" si="640">(DN123+DA123+CN123)/3</f>
        <v>0.25720044851377233</v>
      </c>
      <c r="FO123" s="32">
        <f t="shared" ref="FO123:FO150" si="641">(DO123+DB123+CO123)/3</f>
        <v>0.35003445338739042</v>
      </c>
      <c r="FP123" s="32">
        <f t="shared" ref="FP123:FP150" si="642">(DP123+DC123+CP123)/3</f>
        <v>0.42781295168153144</v>
      </c>
      <c r="FQ123" s="32">
        <f t="shared" ref="FQ123:FQ150" si="643">(DQ123+DD123+CQ123)/3</f>
        <v>0.52520763954422034</v>
      </c>
      <c r="FR123" s="32">
        <f t="shared" ref="FR123:FR150" si="644">(DR123+DE123+CR123)/3</f>
        <v>0.62228346318170547</v>
      </c>
      <c r="FS123" s="32">
        <f t="shared" ref="FS123:FS150" si="645">(DS123+DF123+CS123)/3</f>
        <v>0.72432507050641892</v>
      </c>
      <c r="FT123" s="32">
        <f t="shared" ref="FT123:FT150" si="646">(DT123+DG123+CT123)/3</f>
        <v>0.83541618835434894</v>
      </c>
      <c r="FU123" s="32">
        <f t="shared" ref="FU123:FU150" si="647">(DU123+DH123+CU123)/3</f>
        <v>0.92184580646227265</v>
      </c>
      <c r="FV123" s="32">
        <f t="shared" ref="FV123:FV150" si="648">(DV123+DI123+CV123)/3</f>
        <v>1</v>
      </c>
      <c r="FX123" s="32">
        <f t="shared" ref="FX123:FX150" si="649">(CX123+CK123+BX123)/3</f>
        <v>5.7071908091955677E-2</v>
      </c>
      <c r="FY123" s="32">
        <f t="shared" ref="FY123:FY150" si="650">(CY123+CL123+BY123)/3</f>
        <v>0.11933802928271954</v>
      </c>
      <c r="FZ123" s="32">
        <f t="shared" ref="FZ123:FZ150" si="651">(CZ123+CM123+BZ123)/3</f>
        <v>0.18521551308251283</v>
      </c>
      <c r="GA123" s="32">
        <f t="shared" ref="GA123:GA150" si="652">(DA123+CN123+CA123)/3</f>
        <v>0.24996768596166766</v>
      </c>
      <c r="GB123" s="32">
        <f t="shared" ref="GB123:GB150" si="653">(DB123+CO123+CB123)/3</f>
        <v>0.33913926879812289</v>
      </c>
      <c r="GC123" s="32">
        <f t="shared" ref="GC123:GC150" si="654">(DC123+CP123+CC123)/3</f>
        <v>0.42052341129161452</v>
      </c>
      <c r="GD123" s="32">
        <f t="shared" ref="GD123:GD150" si="655">(DD123+CQ123+CD123)/3</f>
        <v>0.5149462488850155</v>
      </c>
      <c r="GE123" s="32">
        <f t="shared" ref="GE123:GE150" si="656">(DE123+CR123+CE123)/3</f>
        <v>0.6146626966549511</v>
      </c>
      <c r="GF123" s="32">
        <f t="shared" ref="GF123:GF150" si="657">(DF123+CS123+CF123)/3</f>
        <v>0.72213982041937796</v>
      </c>
      <c r="GG123" s="32">
        <f t="shared" ref="GG123:GG150" si="658">(DG123+CT123+CG123)/3</f>
        <v>0.82744358126969741</v>
      </c>
      <c r="GH123" s="32">
        <f t="shared" ref="GH123:GH150" si="659">(DH123+CU123+CH123)/3</f>
        <v>0.91619164345047421</v>
      </c>
      <c r="GI123" s="32">
        <f t="shared" ref="GI123:GI150" si="660">(DI123+CV123+CI123)/3</f>
        <v>1</v>
      </c>
    </row>
    <row r="124" spans="1:191">
      <c r="A124" s="724" t="s">
        <v>78</v>
      </c>
      <c r="B124" s="399">
        <v>53693.5</v>
      </c>
      <c r="C124" s="400">
        <v>68771.08</v>
      </c>
      <c r="D124" s="400">
        <v>86690.84</v>
      </c>
      <c r="E124" s="400">
        <v>73560.450000000012</v>
      </c>
      <c r="F124" s="400">
        <v>82669.8</v>
      </c>
      <c r="G124" s="400">
        <v>70817.850000000006</v>
      </c>
      <c r="H124" s="400">
        <v>88448.849999999991</v>
      </c>
      <c r="I124" s="400">
        <v>83845.2</v>
      </c>
      <c r="J124" s="400">
        <v>79632.899999999994</v>
      </c>
      <c r="K124" s="400">
        <v>81886.200000000012</v>
      </c>
      <c r="L124" s="400">
        <v>76694.850000000006</v>
      </c>
      <c r="M124" s="400">
        <v>71797.350000000006</v>
      </c>
      <c r="N124" s="400">
        <f t="shared" si="588"/>
        <v>918508.86999999988</v>
      </c>
      <c r="P124" s="396" t="s">
        <v>78</v>
      </c>
      <c r="Q124" s="399">
        <v>48180.89</v>
      </c>
      <c r="R124" s="400">
        <v>50542.2</v>
      </c>
      <c r="S124" s="400">
        <v>52109.4</v>
      </c>
      <c r="T124" s="400">
        <v>38592.300000000003</v>
      </c>
      <c r="U124" s="400">
        <v>38494.35</v>
      </c>
      <c r="V124" s="400">
        <v>43293.9</v>
      </c>
      <c r="W124" s="400">
        <v>55341.75</v>
      </c>
      <c r="X124" s="400">
        <v>64157.250000000007</v>
      </c>
      <c r="Y124" s="400">
        <v>58965.9</v>
      </c>
      <c r="Z124" s="400">
        <v>78653.850000000006</v>
      </c>
      <c r="AA124" s="400">
        <v>70817.850000000006</v>
      </c>
      <c r="AB124" s="400">
        <v>64647</v>
      </c>
      <c r="AC124" s="400">
        <f t="shared" si="589"/>
        <v>663796.64</v>
      </c>
      <c r="AE124" s="127" t="s">
        <v>78</v>
      </c>
      <c r="AF124" s="27">
        <v>38214.58</v>
      </c>
      <c r="AG124" s="27">
        <v>50222.8</v>
      </c>
      <c r="AH124" s="27">
        <v>43589.599999999999</v>
      </c>
      <c r="AI124" s="27">
        <v>64342.04</v>
      </c>
      <c r="AJ124" s="27">
        <v>64531.56</v>
      </c>
      <c r="AK124" s="27">
        <v>50317.56</v>
      </c>
      <c r="AL124" s="27">
        <v>62920.639999999999</v>
      </c>
      <c r="AM124" s="27">
        <v>58277.4</v>
      </c>
      <c r="AN124" s="27">
        <v>51454.68</v>
      </c>
      <c r="AO124" s="27">
        <v>59509.279999999999</v>
      </c>
      <c r="AP124" s="27">
        <v>56382.2</v>
      </c>
      <c r="AQ124" s="27">
        <v>51549.440000000002</v>
      </c>
      <c r="AR124" s="43">
        <f t="shared" si="590"/>
        <v>651311.78</v>
      </c>
      <c r="AT124" s="60" t="s">
        <v>78</v>
      </c>
      <c r="AU124" s="27">
        <v>47209.25</v>
      </c>
      <c r="AV124" s="27">
        <v>39802.5</v>
      </c>
      <c r="AW124" s="27">
        <v>52887</v>
      </c>
      <c r="AX124" s="27">
        <v>56638.5</v>
      </c>
      <c r="AY124" s="27">
        <v>57736.500000000007</v>
      </c>
      <c r="AZ124" s="27">
        <v>52795.5</v>
      </c>
      <c r="BA124" s="27">
        <v>55266</v>
      </c>
      <c r="BB124" s="27">
        <v>61396.5</v>
      </c>
      <c r="BC124" s="27">
        <v>49776</v>
      </c>
      <c r="BD124" s="27">
        <v>71187</v>
      </c>
      <c r="BE124" s="27">
        <v>46390.5</v>
      </c>
      <c r="BF124" s="27">
        <v>46573.5</v>
      </c>
      <c r="BG124" s="43">
        <f t="shared" si="403"/>
        <v>637658.75</v>
      </c>
      <c r="BI124" s="60" t="s">
        <v>78</v>
      </c>
      <c r="BJ124" s="27">
        <v>38495.9</v>
      </c>
      <c r="BK124" s="27">
        <v>46272.68</v>
      </c>
      <c r="BL124" s="27">
        <v>51109.34</v>
      </c>
      <c r="BM124" s="27">
        <v>42696.67</v>
      </c>
      <c r="BN124" s="27">
        <v>58122.1</v>
      </c>
      <c r="BO124" s="27">
        <v>49866.41</v>
      </c>
      <c r="BP124" s="27">
        <v>43959.55</v>
      </c>
      <c r="BQ124" s="27">
        <v>58247.73</v>
      </c>
      <c r="BR124" s="27">
        <v>51516.5</v>
      </c>
      <c r="BS124" s="27">
        <v>56318.52</v>
      </c>
      <c r="BT124" s="27">
        <v>45952.3</v>
      </c>
      <c r="BU124" s="27">
        <v>43349.25</v>
      </c>
      <c r="BV124" s="43">
        <f t="shared" si="404"/>
        <v>585906.94999999995</v>
      </c>
      <c r="BW124" s="405"/>
      <c r="BX124" s="32">
        <f t="shared" ref="BX124:BX149" si="661">B124/$N124</f>
        <v>5.8457247124897124E-2</v>
      </c>
      <c r="BY124" s="32">
        <f t="shared" ref="BY124:BY149" si="662">SUM(B124:C124)/$N124</f>
        <v>0.13332977394110523</v>
      </c>
      <c r="BZ124" s="32">
        <f t="shared" ref="BZ124:BZ149" si="663">SUM(B124:D124)/$N124</f>
        <v>0.2277119218239014</v>
      </c>
      <c r="CA124" s="32">
        <f t="shared" ref="CA124:CA149" si="664">SUM(B124:E124)/$N124</f>
        <v>0.3077987368810059</v>
      </c>
      <c r="CB124" s="32">
        <f t="shared" ref="CB124:CB149" si="665">SUM(B124:F124)/$N124</f>
        <v>0.39780309361628707</v>
      </c>
      <c r="CC124" s="32">
        <f t="shared" ref="CC124:CC149" si="666">SUM(B124:G124)/$N124</f>
        <v>0.47490398214662866</v>
      </c>
      <c r="CD124" s="32">
        <f t="shared" ref="CD124:CD149" si="667">SUM(B124:H124)/$N124</f>
        <v>0.57120011263473158</v>
      </c>
      <c r="CE124" s="32">
        <f t="shared" ref="CE124:CE149" si="668">SUM(B124:I124)/$N124</f>
        <v>0.6624841521671968</v>
      </c>
      <c r="CF124" s="32">
        <f t="shared" ref="CF124:CF149" si="669">SUM(B124:J124)/$N124</f>
        <v>0.74918217175191792</v>
      </c>
      <c r="CG124" s="32">
        <f t="shared" ref="CG124:CG149" si="670">SUM(B124:K124)/$N124</f>
        <v>0.83833340662240963</v>
      </c>
      <c r="CH124" s="32">
        <f t="shared" ref="CH124:CH149" si="671">SUM(B124:L124)/$N124</f>
        <v>0.92183270913867166</v>
      </c>
      <c r="CI124" s="32">
        <f t="shared" ref="CI124:CI149" si="672">SUM(B124:M124)/$N124</f>
        <v>1</v>
      </c>
      <c r="CJ124" s="405"/>
      <c r="CK124" s="32">
        <f t="shared" ref="CK124:CK149" si="673">Q124/$AC124</f>
        <v>7.2583811210614135E-2</v>
      </c>
      <c r="CL124" s="32">
        <f t="shared" ref="CL124:CL149" si="674">SUM(Q124:R124)/$AC124</f>
        <v>0.1487249016506019</v>
      </c>
      <c r="CM124" s="32">
        <f t="shared" ref="CM124:CM149" si="675">SUM(Q124:S124)/$AC124</f>
        <v>0.22722695613524044</v>
      </c>
      <c r="CN124" s="32">
        <f t="shared" ref="CN124:CN149" si="676">SUM(Q124:T124)/$AC124</f>
        <v>0.28536569573476595</v>
      </c>
      <c r="CO124" s="32">
        <f t="shared" ref="CO124:CO149" si="677">SUM(Q124:U124)/$AC124</f>
        <v>0.34335687508150081</v>
      </c>
      <c r="CP124" s="32">
        <f t="shared" ref="CP124:CP149" si="678">SUM(Q124:V124)/$AC124</f>
        <v>0.4085785068149787</v>
      </c>
      <c r="CQ124" s="32">
        <f t="shared" ref="CQ124:CQ149" si="679">SUM(Q124:W124)/$AC124</f>
        <v>0.49195004964170952</v>
      </c>
      <c r="CR124" s="32">
        <f t="shared" ref="CR124:CR149" si="680">SUM(Q124:X124)/$AC124</f>
        <v>0.58860201521960098</v>
      </c>
      <c r="CS124" s="32">
        <f t="shared" ref="CS124:CS149" si="681">SUM(Q124:Y124)/$AC124</f>
        <v>0.67743328739958675</v>
      </c>
      <c r="CT124" s="32">
        <f t="shared" ref="CT124:CT149" si="682">SUM(Q124:Z124)/$AC124</f>
        <v>0.7959241703904979</v>
      </c>
      <c r="CU124" s="32">
        <f t="shared" ref="CU124:CU149" si="683">SUM(Q124:AA124)/$AC124</f>
        <v>0.90261023315815514</v>
      </c>
      <c r="CV124" s="32">
        <f t="shared" ref="CV124:CV149" si="684">SUM(Q124:AB124)/$AC124</f>
        <v>1</v>
      </c>
      <c r="CX124" s="32">
        <f t="shared" ref="CX124:CX149" si="685">AF124/$AR124</f>
        <v>5.8673251695217303E-2</v>
      </c>
      <c r="CY124" s="32">
        <f t="shared" ref="CY124:CY149" si="686">SUM(AF124:AG124)/$AR124</f>
        <v>0.13578347991802023</v>
      </c>
      <c r="CZ124" s="32">
        <f t="shared" ref="CZ124:CZ149" si="687">SUM(AF124:AH124)/$AR124</f>
        <v>0.20270933837554728</v>
      </c>
      <c r="DA124" s="32">
        <f t="shared" ref="DA124:DA149" si="688">SUM(AF124:AI124)/$AR124</f>
        <v>0.30149772509872308</v>
      </c>
      <c r="DB124" s="32">
        <f t="shared" ref="DB124:DB149" si="689">SUM(AF124:AJ124)/$AR124</f>
        <v>0.40057709381519246</v>
      </c>
      <c r="DC124" s="32">
        <f t="shared" ref="DC124:DC149" si="690">SUM(AF124:AK124)/$AR124</f>
        <v>0.4778328130346422</v>
      </c>
      <c r="DD124" s="32">
        <f t="shared" ref="DD124:DD149" si="691">SUM(AF124:AL124)/$AR124</f>
        <v>0.57443883480811608</v>
      </c>
      <c r="DE124" s="32">
        <f t="shared" ref="DE124:DE149" si="692">SUM(AF124:AM124)/$AR124</f>
        <v>0.66391579774589682</v>
      </c>
      <c r="DF124" s="32">
        <f t="shared" ref="DF124:DF149" si="693">SUM(AF124:AN124)/$AR124</f>
        <v>0.74291740892510805</v>
      </c>
      <c r="DG124" s="32">
        <f t="shared" ref="DG124:DG149" si="694">SUM(AF124:AO124)/$AR124</f>
        <v>0.83428575481929712</v>
      </c>
      <c r="DH124" s="32">
        <f t="shared" ref="DH124:DH149" si="695">SUM(AF124:AP124)/$AR124</f>
        <v>0.92085289782414181</v>
      </c>
      <c r="DI124" s="32">
        <f t="shared" ref="DI124:DI149" si="696">SUM(AF124:AQ124)/$AR124</f>
        <v>1</v>
      </c>
      <c r="DK124" s="32">
        <f t="shared" si="591"/>
        <v>7.4035289251500117E-2</v>
      </c>
      <c r="DL124" s="32">
        <f t="shared" si="592"/>
        <v>0.13645503962738689</v>
      </c>
      <c r="DM124" s="32">
        <f t="shared" si="593"/>
        <v>0.21939438610385256</v>
      </c>
      <c r="DN124" s="32">
        <f t="shared" si="594"/>
        <v>0.30821697342034432</v>
      </c>
      <c r="DO124" s="32">
        <f t="shared" si="595"/>
        <v>0.39876148488513646</v>
      </c>
      <c r="DP124" s="32">
        <f t="shared" si="596"/>
        <v>0.48155733768257708</v>
      </c>
      <c r="DQ124" s="32">
        <f t="shared" si="597"/>
        <v>0.56822751981369346</v>
      </c>
      <c r="DR124" s="32">
        <f t="shared" si="598"/>
        <v>0.66451177843948661</v>
      </c>
      <c r="DS124" s="32">
        <f t="shared" si="599"/>
        <v>0.74257233982910142</v>
      </c>
      <c r="DT124" s="32">
        <f t="shared" si="600"/>
        <v>0.85421042211057252</v>
      </c>
      <c r="DU124" s="32">
        <f t="shared" si="601"/>
        <v>0.92696171737626121</v>
      </c>
      <c r="DV124" s="32">
        <f t="shared" si="602"/>
        <v>1</v>
      </c>
      <c r="DW124" s="39"/>
      <c r="DX124" s="32">
        <f t="shared" si="603"/>
        <v>6.5703095005102782E-2</v>
      </c>
      <c r="DY124" s="32">
        <f t="shared" si="604"/>
        <v>0.14467925325002548</v>
      </c>
      <c r="DZ124" s="32">
        <f t="shared" si="605"/>
        <v>0.23191040829947485</v>
      </c>
      <c r="EA124" s="32">
        <f t="shared" si="606"/>
        <v>0.3047831912558811</v>
      </c>
      <c r="EB124" s="32">
        <f t="shared" si="607"/>
        <v>0.40398341408989941</v>
      </c>
      <c r="EC124" s="32">
        <f t="shared" si="608"/>
        <v>0.48909319133353857</v>
      </c>
      <c r="ED124" s="32">
        <f t="shared" si="609"/>
        <v>0.56412140187106496</v>
      </c>
      <c r="EE124" s="32">
        <f t="shared" si="610"/>
        <v>0.66353604441797454</v>
      </c>
      <c r="EF124" s="32">
        <f t="shared" si="611"/>
        <v>0.75146212209976337</v>
      </c>
      <c r="EG124" s="32">
        <f t="shared" si="612"/>
        <v>0.84758407457020268</v>
      </c>
      <c r="EH124" s="32">
        <f t="shared" si="613"/>
        <v>0.92601342243849472</v>
      </c>
      <c r="EI124" s="32">
        <f t="shared" si="614"/>
        <v>1</v>
      </c>
      <c r="EK124" s="32">
        <f t="shared" ref="EK124:EK149" si="697">(CX124+DK124+DX124)/3</f>
        <v>6.613721198394007E-2</v>
      </c>
      <c r="EL124" s="32">
        <f t="shared" si="615"/>
        <v>0.13897259093181089</v>
      </c>
      <c r="EM124" s="32">
        <f t="shared" si="616"/>
        <v>0.21800471092629156</v>
      </c>
      <c r="EN124" s="32">
        <f t="shared" si="617"/>
        <v>0.30483262992498283</v>
      </c>
      <c r="EO124" s="32">
        <f t="shared" si="618"/>
        <v>0.40110733093007611</v>
      </c>
      <c r="EP124" s="32">
        <f t="shared" si="619"/>
        <v>0.48282778068358595</v>
      </c>
      <c r="EQ124" s="32">
        <f t="shared" si="620"/>
        <v>0.56892925216429147</v>
      </c>
      <c r="ER124" s="32">
        <f t="shared" si="621"/>
        <v>0.66398787353445266</v>
      </c>
      <c r="ES124" s="32">
        <f t="shared" si="622"/>
        <v>0.74565062361799095</v>
      </c>
      <c r="ET124" s="32">
        <f t="shared" si="623"/>
        <v>0.84536008383335748</v>
      </c>
      <c r="EU124" s="32">
        <f t="shared" si="624"/>
        <v>0.92460934587963262</v>
      </c>
      <c r="EV124" s="32">
        <f t="shared" si="625"/>
        <v>1</v>
      </c>
      <c r="EX124" s="32">
        <f t="shared" si="626"/>
        <v>6.7748861790608586E-2</v>
      </c>
      <c r="EY124" s="32">
        <f t="shared" si="627"/>
        <v>0.14141066861150864</v>
      </c>
      <c r="EZ124" s="32">
        <f t="shared" si="628"/>
        <v>0.22031027222852878</v>
      </c>
      <c r="FA124" s="32">
        <f t="shared" si="629"/>
        <v>0.2999658963774286</v>
      </c>
      <c r="FB124" s="32">
        <f t="shared" si="630"/>
        <v>0.38666971696793229</v>
      </c>
      <c r="FC124" s="32">
        <f t="shared" si="631"/>
        <v>0.46426546221643417</v>
      </c>
      <c r="FD124" s="32">
        <f t="shared" si="632"/>
        <v>0.54968445153364598</v>
      </c>
      <c r="FE124" s="32">
        <f t="shared" si="633"/>
        <v>0.64514140895573968</v>
      </c>
      <c r="FF124" s="32">
        <f t="shared" si="634"/>
        <v>0.72859628956338995</v>
      </c>
      <c r="FG124" s="32">
        <f t="shared" si="635"/>
        <v>0.83300110547264261</v>
      </c>
      <c r="FH124" s="32">
        <f t="shared" si="636"/>
        <v>0.91910956769926322</v>
      </c>
      <c r="FI124" s="32">
        <f t="shared" si="637"/>
        <v>1</v>
      </c>
      <c r="FK124" s="32">
        <f t="shared" ref="FK124:FK150" si="698">(DK124+CX124+CK124)/3</f>
        <v>6.8430784052443849E-2</v>
      </c>
      <c r="FL124" s="32">
        <f t="shared" si="638"/>
        <v>0.14032114039866969</v>
      </c>
      <c r="FM124" s="32">
        <f t="shared" si="639"/>
        <v>0.21644356020488009</v>
      </c>
      <c r="FN124" s="32">
        <f t="shared" si="640"/>
        <v>0.29836013141794443</v>
      </c>
      <c r="FO124" s="32">
        <f t="shared" si="641"/>
        <v>0.38089848459394321</v>
      </c>
      <c r="FP124" s="32">
        <f t="shared" si="642"/>
        <v>0.4559895525107327</v>
      </c>
      <c r="FQ124" s="32">
        <f t="shared" si="643"/>
        <v>0.54487213475450635</v>
      </c>
      <c r="FR124" s="32">
        <f t="shared" si="644"/>
        <v>0.63900986380166147</v>
      </c>
      <c r="FS124" s="32">
        <f t="shared" si="645"/>
        <v>0.72097434538459881</v>
      </c>
      <c r="FT124" s="32">
        <f t="shared" si="646"/>
        <v>0.82814011577345592</v>
      </c>
      <c r="FU124" s="32">
        <f t="shared" si="647"/>
        <v>0.91680828278618609</v>
      </c>
      <c r="FV124" s="32">
        <f t="shared" si="648"/>
        <v>1</v>
      </c>
      <c r="FX124" s="32">
        <f t="shared" si="649"/>
        <v>6.3238103343576199E-2</v>
      </c>
      <c r="FY124" s="32">
        <f t="shared" si="650"/>
        <v>0.13927938516990912</v>
      </c>
      <c r="FZ124" s="32">
        <f t="shared" si="651"/>
        <v>0.21921607211156305</v>
      </c>
      <c r="GA124" s="32">
        <f t="shared" si="652"/>
        <v>0.29822071923816501</v>
      </c>
      <c r="GB124" s="32">
        <f t="shared" si="653"/>
        <v>0.3805790208376601</v>
      </c>
      <c r="GC124" s="32">
        <f t="shared" si="654"/>
        <v>0.45377176733208319</v>
      </c>
      <c r="GD124" s="32">
        <f t="shared" si="655"/>
        <v>0.54586299902818569</v>
      </c>
      <c r="GE124" s="32">
        <f t="shared" si="656"/>
        <v>0.63833398837756483</v>
      </c>
      <c r="GF124" s="32">
        <f t="shared" si="657"/>
        <v>0.7231776226922042</v>
      </c>
      <c r="GG124" s="32">
        <f t="shared" si="658"/>
        <v>0.82284777727740155</v>
      </c>
      <c r="GH124" s="32">
        <f t="shared" si="659"/>
        <v>0.91509861337365617</v>
      </c>
      <c r="GI124" s="32">
        <f t="shared" si="660"/>
        <v>1</v>
      </c>
    </row>
    <row r="125" spans="1:191">
      <c r="A125" s="724" t="s">
        <v>79</v>
      </c>
      <c r="B125" s="399">
        <v>24413.89</v>
      </c>
      <c r="C125" s="400">
        <v>29488.04</v>
      </c>
      <c r="D125" s="400">
        <v>34282.5</v>
      </c>
      <c r="E125" s="400">
        <v>27230.100000000002</v>
      </c>
      <c r="F125" s="400">
        <v>28013.7</v>
      </c>
      <c r="G125" s="400">
        <v>36535.35</v>
      </c>
      <c r="H125" s="400">
        <v>34282.5</v>
      </c>
      <c r="I125" s="400">
        <v>39277.950000000004</v>
      </c>
      <c r="J125" s="400">
        <v>39767.700000000004</v>
      </c>
      <c r="K125" s="400">
        <v>38788.200000000004</v>
      </c>
      <c r="L125" s="400">
        <v>41432.85</v>
      </c>
      <c r="M125" s="400">
        <v>34674.300000000003</v>
      </c>
      <c r="N125" s="400">
        <f t="shared" si="588"/>
        <v>408187.08</v>
      </c>
      <c r="P125" s="396" t="s">
        <v>79</v>
      </c>
      <c r="Q125" s="399">
        <v>29880.190000000002</v>
      </c>
      <c r="R125" s="400">
        <v>30168.6</v>
      </c>
      <c r="S125" s="400">
        <v>28895.25</v>
      </c>
      <c r="T125" s="400">
        <v>18615.09</v>
      </c>
      <c r="U125" s="400">
        <v>17239.2</v>
      </c>
      <c r="V125" s="400">
        <v>18904.349999999999</v>
      </c>
      <c r="W125" s="400">
        <v>34086.6</v>
      </c>
      <c r="X125" s="400">
        <v>41236.949999999997</v>
      </c>
      <c r="Y125" s="400">
        <v>36535.35</v>
      </c>
      <c r="Z125" s="400">
        <v>34282.5</v>
      </c>
      <c r="AA125" s="400">
        <v>20177.7</v>
      </c>
      <c r="AB125" s="400">
        <v>28601.399999999998</v>
      </c>
      <c r="AC125" s="400">
        <f t="shared" si="589"/>
        <v>338623.18</v>
      </c>
      <c r="AE125" s="127" t="s">
        <v>79</v>
      </c>
      <c r="AF125" s="27">
        <v>18811.599999999999</v>
      </c>
      <c r="AG125" s="27">
        <v>22173.84</v>
      </c>
      <c r="AH125" s="27">
        <v>21984.32</v>
      </c>
      <c r="AI125" s="27">
        <v>21419.35</v>
      </c>
      <c r="AJ125" s="27">
        <v>22552.880000000001</v>
      </c>
      <c r="AK125" s="27">
        <v>23974.28</v>
      </c>
      <c r="AL125" s="27">
        <v>34682.160000000003</v>
      </c>
      <c r="AM125" s="27">
        <v>31270.799999999999</v>
      </c>
      <c r="AN125" s="27">
        <v>30891.759999999998</v>
      </c>
      <c r="AO125" s="27">
        <v>34303.120000000003</v>
      </c>
      <c r="AP125" s="27">
        <v>33177.160000000003</v>
      </c>
      <c r="AQ125" s="27">
        <v>28143.72</v>
      </c>
      <c r="AR125" s="43">
        <f t="shared" si="590"/>
        <v>323384.99</v>
      </c>
      <c r="AT125" s="60" t="s">
        <v>79</v>
      </c>
      <c r="AU125" s="27">
        <v>19171.25</v>
      </c>
      <c r="AV125" s="27">
        <v>17209.509999999998</v>
      </c>
      <c r="AW125" s="27">
        <v>16838.38</v>
      </c>
      <c r="AX125" s="27">
        <v>16521.5</v>
      </c>
      <c r="AY125" s="27">
        <v>19947</v>
      </c>
      <c r="AZ125" s="27">
        <v>24430.5</v>
      </c>
      <c r="BA125" s="27">
        <v>19215</v>
      </c>
      <c r="BB125" s="27">
        <v>21136.5</v>
      </c>
      <c r="BC125" s="27">
        <v>20679</v>
      </c>
      <c r="BD125" s="27">
        <v>22600.5</v>
      </c>
      <c r="BE125" s="27">
        <v>29463</v>
      </c>
      <c r="BF125" s="27">
        <v>21777</v>
      </c>
      <c r="BG125" s="43">
        <f t="shared" si="403"/>
        <v>248989.14</v>
      </c>
      <c r="BI125" s="60" t="s">
        <v>79</v>
      </c>
      <c r="BJ125" s="27">
        <v>16227.84</v>
      </c>
      <c r="BK125" s="27">
        <v>15636.26</v>
      </c>
      <c r="BL125" s="27">
        <v>19947.84</v>
      </c>
      <c r="BM125" s="27">
        <v>15686.01</v>
      </c>
      <c r="BN125" s="27">
        <v>16588.59</v>
      </c>
      <c r="BO125" s="27">
        <v>18293.93</v>
      </c>
      <c r="BP125" s="27">
        <v>16298.599999999999</v>
      </c>
      <c r="BQ125" s="27">
        <v>23694</v>
      </c>
      <c r="BR125" s="27">
        <v>17375.599999999999</v>
      </c>
      <c r="BS125" s="27">
        <v>27777.9</v>
      </c>
      <c r="BT125" s="27">
        <v>19306.68</v>
      </c>
      <c r="BU125" s="27">
        <v>18505.650000000001</v>
      </c>
      <c r="BV125" s="43">
        <f t="shared" si="404"/>
        <v>225338.9</v>
      </c>
      <c r="BW125" s="405"/>
      <c r="BX125" s="32">
        <f t="shared" si="661"/>
        <v>5.9810540794186816E-2</v>
      </c>
      <c r="BY125" s="32">
        <f t="shared" si="662"/>
        <v>0.13205202379261979</v>
      </c>
      <c r="BZ125" s="32">
        <f t="shared" si="663"/>
        <v>0.21603924847400852</v>
      </c>
      <c r="CA125" s="32">
        <f t="shared" si="664"/>
        <v>0.28274910122094016</v>
      </c>
      <c r="CB125" s="32">
        <f t="shared" si="665"/>
        <v>0.35137866196058926</v>
      </c>
      <c r="CC125" s="32">
        <f t="shared" si="666"/>
        <v>0.44088504712104071</v>
      </c>
      <c r="CD125" s="32">
        <f t="shared" si="667"/>
        <v>0.52487227180242946</v>
      </c>
      <c r="CE125" s="32">
        <f t="shared" si="668"/>
        <v>0.62109763493739201</v>
      </c>
      <c r="CF125" s="32">
        <f t="shared" si="669"/>
        <v>0.71852281556780295</v>
      </c>
      <c r="CG125" s="32">
        <f t="shared" si="670"/>
        <v>0.81354836120731711</v>
      </c>
      <c r="CH125" s="32">
        <f t="shared" si="671"/>
        <v>0.91505292132225258</v>
      </c>
      <c r="CI125" s="32">
        <f t="shared" si="672"/>
        <v>1</v>
      </c>
      <c r="CJ125" s="405"/>
      <c r="CK125" s="32">
        <f t="shared" si="673"/>
        <v>8.824023801323938E-2</v>
      </c>
      <c r="CL125" s="32">
        <f t="shared" si="674"/>
        <v>0.17733218972192041</v>
      </c>
      <c r="CM125" s="32">
        <f t="shared" si="675"/>
        <v>0.26266376684549475</v>
      </c>
      <c r="CN125" s="32">
        <f t="shared" si="676"/>
        <v>0.31763664259487495</v>
      </c>
      <c r="CO125" s="32">
        <f t="shared" si="677"/>
        <v>0.36854632928554981</v>
      </c>
      <c r="CP125" s="32">
        <f t="shared" si="678"/>
        <v>0.42437342889521029</v>
      </c>
      <c r="CQ125" s="32">
        <f t="shared" si="679"/>
        <v>0.52503576394268103</v>
      </c>
      <c r="CR125" s="32">
        <f t="shared" si="680"/>
        <v>0.64681404858344305</v>
      </c>
      <c r="CS125" s="32">
        <f t="shared" si="681"/>
        <v>0.75470787321765742</v>
      </c>
      <c r="CT125" s="32">
        <f t="shared" si="682"/>
        <v>0.85594872743206762</v>
      </c>
      <c r="CU125" s="32">
        <f t="shared" si="683"/>
        <v>0.9155362016268348</v>
      </c>
      <c r="CV125" s="32">
        <f t="shared" si="684"/>
        <v>1</v>
      </c>
      <c r="CX125" s="32">
        <f t="shared" si="685"/>
        <v>5.8170912632648779E-2</v>
      </c>
      <c r="CY125" s="32">
        <f t="shared" si="686"/>
        <v>0.12673884461984461</v>
      </c>
      <c r="CZ125" s="32">
        <f t="shared" si="687"/>
        <v>0.19472072590629516</v>
      </c>
      <c r="DA125" s="32">
        <f t="shared" si="688"/>
        <v>0.26095555640971463</v>
      </c>
      <c r="DB125" s="32">
        <f t="shared" si="689"/>
        <v>0.33069558979840102</v>
      </c>
      <c r="DC125" s="32">
        <f t="shared" si="690"/>
        <v>0.40483100344267681</v>
      </c>
      <c r="DD125" s="32">
        <f t="shared" si="691"/>
        <v>0.51207828167906</v>
      </c>
      <c r="DE125" s="32">
        <f t="shared" si="692"/>
        <v>0.60877664730202841</v>
      </c>
      <c r="DF125" s="32">
        <f t="shared" si="693"/>
        <v>0.70430291152350644</v>
      </c>
      <c r="DG125" s="32">
        <f t="shared" si="694"/>
        <v>0.81037808835839908</v>
      </c>
      <c r="DH125" s="32">
        <f t="shared" si="695"/>
        <v>0.91297147093932851</v>
      </c>
      <c r="DI125" s="32">
        <f t="shared" si="696"/>
        <v>1</v>
      </c>
      <c r="DK125" s="32">
        <f t="shared" si="591"/>
        <v>7.6996330040739927E-2</v>
      </c>
      <c r="DL125" s="32">
        <f t="shared" si="592"/>
        <v>0.14611384255554274</v>
      </c>
      <c r="DM125" s="32">
        <f t="shared" si="593"/>
        <v>0.21374080813323826</v>
      </c>
      <c r="DN125" s="32">
        <f t="shared" si="594"/>
        <v>0.28009510776253133</v>
      </c>
      <c r="DO125" s="32">
        <f t="shared" si="595"/>
        <v>0.36020703553576672</v>
      </c>
      <c r="DP125" s="32">
        <f t="shared" si="596"/>
        <v>0.45832577276261927</v>
      </c>
      <c r="DQ125" s="32">
        <f t="shared" si="597"/>
        <v>0.53549781327812129</v>
      </c>
      <c r="DR125" s="32">
        <f t="shared" si="598"/>
        <v>0.62038705784517356</v>
      </c>
      <c r="DS125" s="32">
        <f t="shared" si="599"/>
        <v>0.70343887287614237</v>
      </c>
      <c r="DT125" s="32">
        <f t="shared" si="600"/>
        <v>0.79420789195866137</v>
      </c>
      <c r="DU125" s="32">
        <f t="shared" si="601"/>
        <v>0.91253835408243111</v>
      </c>
      <c r="DV125" s="32">
        <f t="shared" si="602"/>
        <v>1</v>
      </c>
      <c r="DW125" s="39"/>
      <c r="DX125" s="32">
        <f t="shared" si="603"/>
        <v>7.2015262344850353E-2</v>
      </c>
      <c r="DY125" s="32">
        <f t="shared" si="604"/>
        <v>0.1414052345156562</v>
      </c>
      <c r="DZ125" s="32">
        <f t="shared" si="605"/>
        <v>0.22992896477261585</v>
      </c>
      <c r="EA125" s="32">
        <f t="shared" si="606"/>
        <v>0.29953971551294517</v>
      </c>
      <c r="EB125" s="32">
        <f t="shared" si="607"/>
        <v>0.37315589984685288</v>
      </c>
      <c r="EC125" s="32">
        <f t="shared" si="608"/>
        <v>0.45433997414560912</v>
      </c>
      <c r="ED125" s="32">
        <f t="shared" si="609"/>
        <v>0.52666925240160489</v>
      </c>
      <c r="EE125" s="32">
        <f t="shared" si="610"/>
        <v>0.6318175423772816</v>
      </c>
      <c r="EF125" s="32">
        <f t="shared" si="611"/>
        <v>0.70892628835944449</v>
      </c>
      <c r="EG125" s="32">
        <f t="shared" si="612"/>
        <v>0.83219794718089068</v>
      </c>
      <c r="EH125" s="32">
        <f t="shared" si="613"/>
        <v>0.91787636311351484</v>
      </c>
      <c r="EI125" s="32">
        <f t="shared" si="614"/>
        <v>1</v>
      </c>
      <c r="EK125" s="32">
        <f t="shared" si="697"/>
        <v>6.9060835006079679E-2</v>
      </c>
      <c r="EL125" s="32">
        <f t="shared" si="615"/>
        <v>0.13808597389701452</v>
      </c>
      <c r="EM125" s="32">
        <f t="shared" si="616"/>
        <v>0.21279683293738308</v>
      </c>
      <c r="EN125" s="32">
        <f t="shared" si="617"/>
        <v>0.28019679322839702</v>
      </c>
      <c r="EO125" s="32">
        <f t="shared" si="618"/>
        <v>0.35468617506034023</v>
      </c>
      <c r="EP125" s="32">
        <f t="shared" si="619"/>
        <v>0.43916558345030171</v>
      </c>
      <c r="EQ125" s="32">
        <f t="shared" si="620"/>
        <v>0.52474844911959539</v>
      </c>
      <c r="ER125" s="32">
        <f t="shared" si="621"/>
        <v>0.62032708250816115</v>
      </c>
      <c r="ES125" s="32">
        <f t="shared" si="622"/>
        <v>0.70555602425303121</v>
      </c>
      <c r="ET125" s="32">
        <f t="shared" si="623"/>
        <v>0.81226130916598382</v>
      </c>
      <c r="EU125" s="32">
        <f t="shared" si="624"/>
        <v>0.91446206271175823</v>
      </c>
      <c r="EV125" s="32">
        <f t="shared" si="625"/>
        <v>1</v>
      </c>
      <c r="EX125" s="32">
        <f t="shared" si="626"/>
        <v>7.3855685757869605E-2</v>
      </c>
      <c r="EY125" s="32">
        <f t="shared" si="627"/>
        <v>0.14789752785324101</v>
      </c>
      <c r="EZ125" s="32">
        <f t="shared" si="628"/>
        <v>0.225263566414411</v>
      </c>
      <c r="FA125" s="32">
        <f t="shared" si="629"/>
        <v>0.28955675557001648</v>
      </c>
      <c r="FB125" s="32">
        <f t="shared" si="630"/>
        <v>0.35815121361664259</v>
      </c>
      <c r="FC125" s="32">
        <f t="shared" si="631"/>
        <v>0.43546754481152888</v>
      </c>
      <c r="FD125" s="32">
        <f t="shared" si="632"/>
        <v>0.52482027782536678</v>
      </c>
      <c r="FE125" s="32">
        <f t="shared" si="633"/>
        <v>0.6269488240269816</v>
      </c>
      <c r="FF125" s="32">
        <f t="shared" si="634"/>
        <v>0.71784398649418779</v>
      </c>
      <c r="FG125" s="32">
        <f t="shared" si="635"/>
        <v>0.82318316373250477</v>
      </c>
      <c r="FH125" s="32">
        <f t="shared" si="636"/>
        <v>0.91473059744052732</v>
      </c>
      <c r="FI125" s="32">
        <f t="shared" si="637"/>
        <v>1</v>
      </c>
      <c r="FK125" s="32">
        <f t="shared" si="698"/>
        <v>7.4469160228876022E-2</v>
      </c>
      <c r="FL125" s="32">
        <f t="shared" si="638"/>
        <v>0.15006162563243594</v>
      </c>
      <c r="FM125" s="32">
        <f t="shared" si="639"/>
        <v>0.22370843362834272</v>
      </c>
      <c r="FN125" s="32">
        <f t="shared" si="640"/>
        <v>0.28622910225570691</v>
      </c>
      <c r="FO125" s="32">
        <f t="shared" si="641"/>
        <v>0.3531496515399058</v>
      </c>
      <c r="FP125" s="32">
        <f t="shared" si="642"/>
        <v>0.42917673503350212</v>
      </c>
      <c r="FQ125" s="32">
        <f t="shared" si="643"/>
        <v>0.52420395296662081</v>
      </c>
      <c r="FR125" s="32">
        <f t="shared" si="644"/>
        <v>0.62532591791021497</v>
      </c>
      <c r="FS125" s="32">
        <f t="shared" si="645"/>
        <v>0.72081655253910215</v>
      </c>
      <c r="FT125" s="32">
        <f t="shared" si="646"/>
        <v>0.82017823591637606</v>
      </c>
      <c r="FU125" s="32">
        <f t="shared" si="647"/>
        <v>0.91368200888286477</v>
      </c>
      <c r="FV125" s="32">
        <f t="shared" si="648"/>
        <v>1</v>
      </c>
      <c r="FX125" s="32">
        <f t="shared" si="649"/>
        <v>6.874056381335833E-2</v>
      </c>
      <c r="FY125" s="32">
        <f t="shared" si="650"/>
        <v>0.1453743527114616</v>
      </c>
      <c r="FZ125" s="32">
        <f t="shared" si="651"/>
        <v>0.22447458040859947</v>
      </c>
      <c r="GA125" s="32">
        <f t="shared" si="652"/>
        <v>0.28711376674184325</v>
      </c>
      <c r="GB125" s="32">
        <f t="shared" si="653"/>
        <v>0.35020686034818005</v>
      </c>
      <c r="GC125" s="32">
        <f t="shared" si="654"/>
        <v>0.42336315981964256</v>
      </c>
      <c r="GD125" s="32">
        <f t="shared" si="655"/>
        <v>0.52066210580805683</v>
      </c>
      <c r="GE125" s="32">
        <f t="shared" si="656"/>
        <v>0.62556277694095452</v>
      </c>
      <c r="GF125" s="32">
        <f t="shared" si="657"/>
        <v>0.72584453343632216</v>
      </c>
      <c r="GG125" s="32">
        <f t="shared" si="658"/>
        <v>0.82662505899926131</v>
      </c>
      <c r="GH125" s="32">
        <f t="shared" si="659"/>
        <v>0.91452019796280526</v>
      </c>
      <c r="GI125" s="32">
        <f t="shared" si="660"/>
        <v>1</v>
      </c>
    </row>
    <row r="126" spans="1:191">
      <c r="A126" s="724" t="s">
        <v>80</v>
      </c>
      <c r="B126" s="399">
        <v>30706.91</v>
      </c>
      <c r="C126" s="400">
        <v>33498.9</v>
      </c>
      <c r="D126" s="400">
        <v>67879.350000000006</v>
      </c>
      <c r="E126" s="400">
        <v>63667.5</v>
      </c>
      <c r="F126" s="400">
        <v>72385.049999999988</v>
      </c>
      <c r="G126" s="400">
        <v>66410.100000000006</v>
      </c>
      <c r="H126" s="400">
        <v>79927.199999999997</v>
      </c>
      <c r="I126" s="400">
        <v>77576.400000000009</v>
      </c>
      <c r="J126" s="400">
        <v>78849.75</v>
      </c>
      <c r="K126" s="400">
        <v>71111.7</v>
      </c>
      <c r="L126" s="400">
        <v>72776.850000000006</v>
      </c>
      <c r="M126" s="400">
        <v>65136.75</v>
      </c>
      <c r="N126" s="400">
        <f t="shared" si="588"/>
        <v>779926.45999999985</v>
      </c>
      <c r="P126" s="396" t="s">
        <v>80</v>
      </c>
      <c r="Q126" s="399">
        <v>43131.210000000006</v>
      </c>
      <c r="R126" s="400">
        <v>48485.25</v>
      </c>
      <c r="S126" s="400">
        <v>55537.649999999994</v>
      </c>
      <c r="T126" s="400">
        <v>21255.15</v>
      </c>
      <c r="U126" s="400">
        <v>27034.199999999997</v>
      </c>
      <c r="V126" s="400">
        <v>47407.8</v>
      </c>
      <c r="W126" s="400">
        <v>63373.65</v>
      </c>
      <c r="X126" s="400">
        <v>70328.100000000006</v>
      </c>
      <c r="Y126" s="400">
        <v>60631.049999999996</v>
      </c>
      <c r="Z126" s="400">
        <v>70328.100000000006</v>
      </c>
      <c r="AA126" s="400">
        <v>65920.350000000006</v>
      </c>
      <c r="AB126" s="400">
        <v>54362.25</v>
      </c>
      <c r="AC126" s="400">
        <f t="shared" si="589"/>
        <v>627794.76</v>
      </c>
      <c r="AE126" s="127" t="s">
        <v>80</v>
      </c>
      <c r="AF126" s="27">
        <v>33813.24</v>
      </c>
      <c r="AG126" s="27">
        <v>42642</v>
      </c>
      <c r="AH126" s="27">
        <v>43494.84</v>
      </c>
      <c r="AI126" s="27">
        <v>46906.2</v>
      </c>
      <c r="AJ126" s="27">
        <v>53634.16</v>
      </c>
      <c r="AK126" s="27">
        <v>44726.720000000001</v>
      </c>
      <c r="AL126" s="27">
        <v>52118</v>
      </c>
      <c r="AM126" s="27">
        <v>56666.48</v>
      </c>
      <c r="AN126" s="27">
        <v>52497.04</v>
      </c>
      <c r="AO126" s="27">
        <v>51454.68</v>
      </c>
      <c r="AP126" s="27">
        <v>50980.88</v>
      </c>
      <c r="AQ126" s="27">
        <v>41789.160000000003</v>
      </c>
      <c r="AR126" s="43">
        <f t="shared" si="590"/>
        <v>570723.39999999991</v>
      </c>
      <c r="AT126" s="60" t="s">
        <v>80</v>
      </c>
      <c r="AU126" s="27">
        <v>35069.5</v>
      </c>
      <c r="AV126" s="27">
        <v>32574</v>
      </c>
      <c r="AW126" s="27">
        <v>36142.5</v>
      </c>
      <c r="AX126" s="27">
        <v>43096.5</v>
      </c>
      <c r="AY126" s="27">
        <v>42547.5</v>
      </c>
      <c r="AZ126" s="27">
        <v>38064</v>
      </c>
      <c r="BA126" s="27">
        <v>43279.5</v>
      </c>
      <c r="BB126" s="27">
        <v>50965.5</v>
      </c>
      <c r="BC126" s="27">
        <v>35227.5</v>
      </c>
      <c r="BD126" s="27">
        <v>47122.5</v>
      </c>
      <c r="BE126" s="27">
        <v>40534.5</v>
      </c>
      <c r="BF126" s="27">
        <v>36325.5</v>
      </c>
      <c r="BG126" s="43">
        <f t="shared" si="403"/>
        <v>480949</v>
      </c>
      <c r="BI126" s="60" t="s">
        <v>80</v>
      </c>
      <c r="BJ126" s="27">
        <v>29246.720000000001</v>
      </c>
      <c r="BK126" s="27">
        <v>26786.45</v>
      </c>
      <c r="BL126" s="27">
        <v>37755.15</v>
      </c>
      <c r="BM126" s="27">
        <v>28109.7</v>
      </c>
      <c r="BN126" s="27">
        <v>32536.57</v>
      </c>
      <c r="BO126" s="27">
        <v>35882.050000000003</v>
      </c>
      <c r="BP126" s="27">
        <v>31807.4</v>
      </c>
      <c r="BQ126" s="27">
        <v>41428.6</v>
      </c>
      <c r="BR126" s="27">
        <v>36348.75</v>
      </c>
      <c r="BS126" s="27">
        <v>36707.75</v>
      </c>
      <c r="BT126" s="27">
        <v>37515.5</v>
      </c>
      <c r="BU126" s="27">
        <v>29079</v>
      </c>
      <c r="BV126" s="43">
        <f t="shared" si="404"/>
        <v>403203.64</v>
      </c>
      <c r="BW126" s="405"/>
      <c r="BX126" s="32">
        <f t="shared" si="661"/>
        <v>3.9371545363392345E-2</v>
      </c>
      <c r="BY126" s="32">
        <f t="shared" si="662"/>
        <v>8.2322902597765452E-2</v>
      </c>
      <c r="BZ126" s="32">
        <f t="shared" si="663"/>
        <v>0.16935591594110044</v>
      </c>
      <c r="CA126" s="32">
        <f t="shared" si="664"/>
        <v>0.25098861243917797</v>
      </c>
      <c r="CB126" s="32">
        <f t="shared" si="665"/>
        <v>0.34379870891929992</v>
      </c>
      <c r="CC126" s="32">
        <f t="shared" si="666"/>
        <v>0.42894789080498691</v>
      </c>
      <c r="CD126" s="32">
        <f t="shared" si="667"/>
        <v>0.53142832210103508</v>
      </c>
      <c r="CE126" s="32">
        <f t="shared" si="668"/>
        <v>0.63089462306484645</v>
      </c>
      <c r="CF126" s="32">
        <f t="shared" si="669"/>
        <v>0.73199357795861941</v>
      </c>
      <c r="CG126" s="32">
        <f t="shared" si="670"/>
        <v>0.82317102050877977</v>
      </c>
      <c r="CH126" s="32">
        <f t="shared" si="671"/>
        <v>0.91648347204427449</v>
      </c>
      <c r="CI126" s="32">
        <f t="shared" si="672"/>
        <v>1</v>
      </c>
      <c r="CJ126" s="405"/>
      <c r="CK126" s="32">
        <f t="shared" si="673"/>
        <v>6.8702723801007837E-2</v>
      </c>
      <c r="CL126" s="32">
        <f t="shared" si="674"/>
        <v>0.14593377619144193</v>
      </c>
      <c r="CM126" s="32">
        <f t="shared" si="675"/>
        <v>0.23439843620230277</v>
      </c>
      <c r="CN126" s="32">
        <f t="shared" si="676"/>
        <v>0.26825528139164456</v>
      </c>
      <c r="CO126" s="32">
        <f t="shared" si="677"/>
        <v>0.31131744393661387</v>
      </c>
      <c r="CP126" s="32">
        <f t="shared" si="678"/>
        <v>0.38683225071837163</v>
      </c>
      <c r="CQ126" s="32">
        <f t="shared" si="679"/>
        <v>0.48777869697415116</v>
      </c>
      <c r="CR126" s="32">
        <f t="shared" si="680"/>
        <v>0.5998027285222961</v>
      </c>
      <c r="CS126" s="32">
        <f t="shared" si="681"/>
        <v>0.69638054959235407</v>
      </c>
      <c r="CT126" s="32">
        <f t="shared" si="682"/>
        <v>0.80840458114049885</v>
      </c>
      <c r="CU126" s="32">
        <f t="shared" si="683"/>
        <v>0.91340760792587694</v>
      </c>
      <c r="CV126" s="32">
        <f t="shared" si="684"/>
        <v>1</v>
      </c>
      <c r="CX126" s="32">
        <f t="shared" si="685"/>
        <v>5.9246282875382375E-2</v>
      </c>
      <c r="CY126" s="32">
        <f t="shared" si="686"/>
        <v>0.13396198578856239</v>
      </c>
      <c r="CZ126" s="32">
        <f t="shared" si="687"/>
        <v>0.210172002760006</v>
      </c>
      <c r="DA126" s="32">
        <f t="shared" si="688"/>
        <v>0.29235927596450401</v>
      </c>
      <c r="DB126" s="32">
        <f t="shared" si="689"/>
        <v>0.38633502673974818</v>
      </c>
      <c r="DC126" s="32">
        <f t="shared" si="690"/>
        <v>0.46470349735090594</v>
      </c>
      <c r="DD126" s="32">
        <f t="shared" si="691"/>
        <v>0.55602268980034819</v>
      </c>
      <c r="DE126" s="32">
        <f t="shared" si="692"/>
        <v>0.65531155722719625</v>
      </c>
      <c r="DF126" s="32">
        <f t="shared" si="693"/>
        <v>0.74729488925808896</v>
      </c>
      <c r="DG126" s="32">
        <f t="shared" si="694"/>
        <v>0.83745183743999285</v>
      </c>
      <c r="DH126" s="32">
        <f t="shared" si="695"/>
        <v>0.92677861114508353</v>
      </c>
      <c r="DI126" s="32">
        <f t="shared" si="696"/>
        <v>1</v>
      </c>
      <c r="DK126" s="32">
        <f t="shared" si="591"/>
        <v>7.2917294765141416E-2</v>
      </c>
      <c r="DL126" s="32">
        <f t="shared" si="592"/>
        <v>0.14064588968892752</v>
      </c>
      <c r="DM126" s="32">
        <f t="shared" si="593"/>
        <v>0.21579419023638682</v>
      </c>
      <c r="DN126" s="32">
        <f t="shared" si="594"/>
        <v>0.30540140430690155</v>
      </c>
      <c r="DO126" s="32">
        <f t="shared" si="595"/>
        <v>0.39386712520454353</v>
      </c>
      <c r="DP126" s="32">
        <f t="shared" si="596"/>
        <v>0.4730106518570576</v>
      </c>
      <c r="DQ126" s="32">
        <f t="shared" si="597"/>
        <v>0.56299836365186329</v>
      </c>
      <c r="DR126" s="32">
        <f t="shared" si="598"/>
        <v>0.66896697986688813</v>
      </c>
      <c r="DS126" s="32">
        <f t="shared" si="599"/>
        <v>0.74221279179289279</v>
      </c>
      <c r="DT126" s="32">
        <f t="shared" si="600"/>
        <v>0.84019095579780811</v>
      </c>
      <c r="DU126" s="32">
        <f t="shared" si="601"/>
        <v>0.92447120172824981</v>
      </c>
      <c r="DV126" s="32">
        <f t="shared" si="602"/>
        <v>1</v>
      </c>
      <c r="DW126" s="39"/>
      <c r="DX126" s="32">
        <f t="shared" si="603"/>
        <v>7.2535853098945238E-2</v>
      </c>
      <c r="DY126" s="32">
        <f t="shared" si="604"/>
        <v>0.13896990116458274</v>
      </c>
      <c r="DZ126" s="32">
        <f t="shared" si="605"/>
        <v>0.23260782070320596</v>
      </c>
      <c r="EA126" s="32">
        <f t="shared" si="606"/>
        <v>0.30232370918080004</v>
      </c>
      <c r="EB126" s="32">
        <f t="shared" si="607"/>
        <v>0.38301883881802257</v>
      </c>
      <c r="EC126" s="32">
        <f t="shared" si="608"/>
        <v>0.47201121497811876</v>
      </c>
      <c r="ED126" s="32">
        <f t="shared" si="609"/>
        <v>0.55089790360027502</v>
      </c>
      <c r="EE126" s="32">
        <f t="shared" si="610"/>
        <v>0.65364647997721448</v>
      </c>
      <c r="EF126" s="32">
        <f t="shared" si="611"/>
        <v>0.74379633576720683</v>
      </c>
      <c r="EG126" s="32">
        <f t="shared" si="612"/>
        <v>0.83483656050327326</v>
      </c>
      <c r="EH126" s="32">
        <f t="shared" si="613"/>
        <v>0.92788011536800608</v>
      </c>
      <c r="EI126" s="32">
        <f t="shared" si="614"/>
        <v>1</v>
      </c>
      <c r="EK126" s="32">
        <f t="shared" si="697"/>
        <v>6.8233143579823005E-2</v>
      </c>
      <c r="EL126" s="32">
        <f t="shared" si="615"/>
        <v>0.13785925888069087</v>
      </c>
      <c r="EM126" s="32">
        <f t="shared" si="616"/>
        <v>0.2195246712331996</v>
      </c>
      <c r="EN126" s="32">
        <f t="shared" si="617"/>
        <v>0.30002812981740185</v>
      </c>
      <c r="EO126" s="32">
        <f t="shared" si="618"/>
        <v>0.38774033025410476</v>
      </c>
      <c r="EP126" s="32">
        <f t="shared" si="619"/>
        <v>0.46990845472869408</v>
      </c>
      <c r="EQ126" s="32">
        <f t="shared" si="620"/>
        <v>0.55663965235082891</v>
      </c>
      <c r="ER126" s="32">
        <f t="shared" si="621"/>
        <v>0.65930833902376629</v>
      </c>
      <c r="ES126" s="32">
        <f t="shared" si="622"/>
        <v>0.74443467227272953</v>
      </c>
      <c r="ET126" s="32">
        <f t="shared" si="623"/>
        <v>0.83749311791369141</v>
      </c>
      <c r="EU126" s="32">
        <f t="shared" si="624"/>
        <v>0.92637664274711307</v>
      </c>
      <c r="EV126" s="32">
        <f t="shared" si="625"/>
        <v>1</v>
      </c>
      <c r="EX126" s="32">
        <f t="shared" si="626"/>
        <v>6.835053863511921E-2</v>
      </c>
      <c r="EY126" s="32">
        <f t="shared" si="627"/>
        <v>0.13987788820837865</v>
      </c>
      <c r="EZ126" s="32">
        <f t="shared" si="628"/>
        <v>0.2232431124754754</v>
      </c>
      <c r="FA126" s="32">
        <f t="shared" si="629"/>
        <v>0.29208491771096251</v>
      </c>
      <c r="FB126" s="32">
        <f t="shared" si="630"/>
        <v>0.36863460867473208</v>
      </c>
      <c r="FC126" s="32">
        <f t="shared" si="631"/>
        <v>0.4491394037261135</v>
      </c>
      <c r="FD126" s="32">
        <f t="shared" si="632"/>
        <v>0.53942441350665937</v>
      </c>
      <c r="FE126" s="32">
        <f t="shared" si="633"/>
        <v>0.6444319363983988</v>
      </c>
      <c r="FF126" s="32">
        <f t="shared" si="634"/>
        <v>0.73242114160263561</v>
      </c>
      <c r="FG126" s="32">
        <f t="shared" si="635"/>
        <v>0.83022098372039332</v>
      </c>
      <c r="FH126" s="32">
        <f t="shared" si="636"/>
        <v>0.92313438404180415</v>
      </c>
      <c r="FI126" s="32">
        <f t="shared" si="637"/>
        <v>1</v>
      </c>
      <c r="FK126" s="32">
        <f t="shared" si="698"/>
        <v>6.6955433813843876E-2</v>
      </c>
      <c r="FL126" s="32">
        <f t="shared" si="638"/>
        <v>0.1401805505563106</v>
      </c>
      <c r="FM126" s="32">
        <f t="shared" si="639"/>
        <v>0.22012154306623186</v>
      </c>
      <c r="FN126" s="32">
        <f t="shared" si="640"/>
        <v>0.28867198722101667</v>
      </c>
      <c r="FO126" s="32">
        <f t="shared" si="641"/>
        <v>0.36383986529363516</v>
      </c>
      <c r="FP126" s="32">
        <f t="shared" si="642"/>
        <v>0.44151546664211172</v>
      </c>
      <c r="FQ126" s="32">
        <f t="shared" si="643"/>
        <v>0.5355999168087876</v>
      </c>
      <c r="FR126" s="32">
        <f t="shared" si="644"/>
        <v>0.64136042187212683</v>
      </c>
      <c r="FS126" s="32">
        <f t="shared" si="645"/>
        <v>0.72862941021444527</v>
      </c>
      <c r="FT126" s="32">
        <f t="shared" si="646"/>
        <v>0.82868245812609986</v>
      </c>
      <c r="FU126" s="32">
        <f t="shared" si="647"/>
        <v>0.9215524735997368</v>
      </c>
      <c r="FV126" s="32">
        <f t="shared" si="648"/>
        <v>1</v>
      </c>
      <c r="FX126" s="32">
        <f t="shared" si="649"/>
        <v>5.5773517346594186E-2</v>
      </c>
      <c r="FY126" s="32">
        <f t="shared" si="650"/>
        <v>0.12073955485925658</v>
      </c>
      <c r="FZ126" s="32">
        <f t="shared" si="651"/>
        <v>0.20464211830113641</v>
      </c>
      <c r="GA126" s="32">
        <f t="shared" si="652"/>
        <v>0.27053438993177553</v>
      </c>
      <c r="GB126" s="32">
        <f t="shared" si="653"/>
        <v>0.34715039319855401</v>
      </c>
      <c r="GC126" s="32">
        <f t="shared" si="654"/>
        <v>0.42682787962475482</v>
      </c>
      <c r="GD126" s="32">
        <f t="shared" si="655"/>
        <v>0.52507656962517812</v>
      </c>
      <c r="GE126" s="32">
        <f t="shared" si="656"/>
        <v>0.62866963627144623</v>
      </c>
      <c r="GF126" s="32">
        <f t="shared" si="657"/>
        <v>0.72522300560302078</v>
      </c>
      <c r="GG126" s="32">
        <f t="shared" si="658"/>
        <v>0.82300914636309053</v>
      </c>
      <c r="GH126" s="32">
        <f t="shared" si="659"/>
        <v>0.91888989703841162</v>
      </c>
      <c r="GI126" s="32">
        <f t="shared" si="660"/>
        <v>1</v>
      </c>
    </row>
    <row r="127" spans="1:191">
      <c r="A127" s="724" t="s">
        <v>81</v>
      </c>
      <c r="B127" s="399">
        <v>147695.61000000002</v>
      </c>
      <c r="C127" s="400">
        <v>172783.8</v>
      </c>
      <c r="D127" s="400">
        <v>204617.55000000002</v>
      </c>
      <c r="E127" s="400">
        <v>197859</v>
      </c>
      <c r="F127" s="400">
        <v>202364.7</v>
      </c>
      <c r="G127" s="400">
        <v>213041.25</v>
      </c>
      <c r="H127" s="400">
        <v>220289.55</v>
      </c>
      <c r="I127" s="400">
        <v>247617.6</v>
      </c>
      <c r="J127" s="400">
        <v>249576.6</v>
      </c>
      <c r="K127" s="400">
        <v>215294.1</v>
      </c>
      <c r="L127" s="400">
        <v>214902.3</v>
      </c>
      <c r="M127" s="400">
        <v>214020.75</v>
      </c>
      <c r="N127" s="400">
        <f t="shared" si="588"/>
        <v>2500062.8100000005</v>
      </c>
      <c r="P127" s="396" t="s">
        <v>81</v>
      </c>
      <c r="Q127" s="399">
        <v>132307.18</v>
      </c>
      <c r="R127" s="400">
        <v>153291.75</v>
      </c>
      <c r="S127" s="400">
        <v>139872.59999999998</v>
      </c>
      <c r="T127" s="400">
        <v>76498.950000000012</v>
      </c>
      <c r="U127" s="400">
        <v>80514.899999999994</v>
      </c>
      <c r="V127" s="400">
        <v>115091.35</v>
      </c>
      <c r="W127" s="400">
        <v>151234.80000000002</v>
      </c>
      <c r="X127" s="400">
        <v>162009.30000000002</v>
      </c>
      <c r="Y127" s="400">
        <v>176995.65</v>
      </c>
      <c r="Z127" s="400">
        <v>195214.35</v>
      </c>
      <c r="AA127" s="400">
        <v>188945.55</v>
      </c>
      <c r="AB127" s="400">
        <v>197075.4</v>
      </c>
      <c r="AC127" s="400">
        <f t="shared" si="589"/>
        <v>1769051.78</v>
      </c>
      <c r="AE127" s="127" t="s">
        <v>81</v>
      </c>
      <c r="AF127" s="27">
        <v>121496.02</v>
      </c>
      <c r="AG127" s="27">
        <v>159860.12</v>
      </c>
      <c r="AH127" s="27">
        <v>128589.32</v>
      </c>
      <c r="AI127" s="27">
        <v>153700.72</v>
      </c>
      <c r="AJ127" s="27">
        <v>175969.32</v>
      </c>
      <c r="AK127" s="27">
        <v>133990.64000000001</v>
      </c>
      <c r="AL127" s="27">
        <v>169525.64</v>
      </c>
      <c r="AM127" s="27">
        <v>174168.88</v>
      </c>
      <c r="AN127" s="27">
        <v>173316.04</v>
      </c>
      <c r="AO127" s="27">
        <v>180044</v>
      </c>
      <c r="AP127" s="27">
        <v>164977.16</v>
      </c>
      <c r="AQ127" s="27">
        <v>158817.76</v>
      </c>
      <c r="AR127" s="43">
        <f t="shared" si="590"/>
        <v>1894455.62</v>
      </c>
      <c r="AT127" s="60" t="s">
        <v>81</v>
      </c>
      <c r="AU127" s="27">
        <v>105857.75</v>
      </c>
      <c r="AV127" s="27">
        <v>106045</v>
      </c>
      <c r="AW127" s="27">
        <v>132034.5</v>
      </c>
      <c r="AX127" s="27">
        <v>147315</v>
      </c>
      <c r="AY127" s="27">
        <v>150155.29999999999</v>
      </c>
      <c r="AZ127" s="27">
        <v>130662</v>
      </c>
      <c r="BA127" s="27">
        <v>139995</v>
      </c>
      <c r="BB127" s="27">
        <v>160857</v>
      </c>
      <c r="BC127" s="27">
        <v>146949</v>
      </c>
      <c r="BD127" s="27">
        <v>157929</v>
      </c>
      <c r="BE127" s="27">
        <v>141276</v>
      </c>
      <c r="BF127" s="27">
        <v>125721</v>
      </c>
      <c r="BG127" s="43">
        <f t="shared" si="403"/>
        <v>1644796.55</v>
      </c>
      <c r="BI127" s="60" t="s">
        <v>81</v>
      </c>
      <c r="BJ127" s="27">
        <v>101428.78</v>
      </c>
      <c r="BK127" s="27">
        <v>116303.67000000001</v>
      </c>
      <c r="BL127" s="27">
        <v>129991.91</v>
      </c>
      <c r="BM127" s="27">
        <v>104688.05</v>
      </c>
      <c r="BN127" s="27">
        <v>138637.52000000002</v>
      </c>
      <c r="BO127" s="27">
        <v>130104.03</v>
      </c>
      <c r="BP127" s="27">
        <v>115464.73</v>
      </c>
      <c r="BQ127" s="27">
        <v>142612.75</v>
      </c>
      <c r="BR127" s="27">
        <v>130760.33</v>
      </c>
      <c r="BS127" s="27">
        <v>133368.5</v>
      </c>
      <c r="BT127" s="27">
        <v>122149.75</v>
      </c>
      <c r="BU127" s="27">
        <v>121252.25</v>
      </c>
      <c r="BV127" s="43">
        <f t="shared" si="404"/>
        <v>1486762.27</v>
      </c>
      <c r="BW127" s="405"/>
      <c r="BX127" s="32">
        <f t="shared" si="661"/>
        <v>5.9076759755487894E-2</v>
      </c>
      <c r="BY127" s="32">
        <f t="shared" si="662"/>
        <v>0.12818854339103583</v>
      </c>
      <c r="BZ127" s="32">
        <f t="shared" si="663"/>
        <v>0.21003350711816715</v>
      </c>
      <c r="CA127" s="32">
        <f t="shared" si="664"/>
        <v>0.28917511876431612</v>
      </c>
      <c r="CB127" s="32">
        <f t="shared" si="665"/>
        <v>0.37011896513112003</v>
      </c>
      <c r="CC127" s="32">
        <f t="shared" si="666"/>
        <v>0.45533332420556261</v>
      </c>
      <c r="CD127" s="32">
        <f t="shared" si="667"/>
        <v>0.54344693043931958</v>
      </c>
      <c r="CE127" s="32">
        <f t="shared" si="668"/>
        <v>0.64249148204400508</v>
      </c>
      <c r="CF127" s="32">
        <f t="shared" si="669"/>
        <v>0.74231961396201884</v>
      </c>
      <c r="CG127" s="32">
        <f t="shared" si="670"/>
        <v>0.82843509039678886</v>
      </c>
      <c r="CH127" s="32">
        <f t="shared" si="671"/>
        <v>0.91439385076889335</v>
      </c>
      <c r="CI127" s="32">
        <f t="shared" si="672"/>
        <v>1</v>
      </c>
      <c r="CJ127" s="405"/>
      <c r="CK127" s="32">
        <f t="shared" si="673"/>
        <v>7.4789885460560118E-2</v>
      </c>
      <c r="CL127" s="32">
        <f t="shared" si="674"/>
        <v>0.16144181489136514</v>
      </c>
      <c r="CM127" s="32">
        <f t="shared" si="675"/>
        <v>0.24050823995666196</v>
      </c>
      <c r="CN127" s="32">
        <f t="shared" si="676"/>
        <v>0.28375115170455889</v>
      </c>
      <c r="CO127" s="32">
        <f t="shared" si="677"/>
        <v>0.32926417789760792</v>
      </c>
      <c r="CP127" s="32">
        <f t="shared" si="678"/>
        <v>0.39432239230442423</v>
      </c>
      <c r="CQ127" s="32">
        <f t="shared" si="679"/>
        <v>0.47981158019015135</v>
      </c>
      <c r="CR127" s="32">
        <f t="shared" si="680"/>
        <v>0.57139131902628648</v>
      </c>
      <c r="CS127" s="32">
        <f t="shared" si="681"/>
        <v>0.67144246054798917</v>
      </c>
      <c r="CT127" s="32">
        <f t="shared" si="682"/>
        <v>0.78179217004038182</v>
      </c>
      <c r="CU127" s="32">
        <f t="shared" si="683"/>
        <v>0.88859828625253701</v>
      </c>
      <c r="CV127" s="32">
        <f t="shared" si="684"/>
        <v>1</v>
      </c>
      <c r="CX127" s="32">
        <f t="shared" si="685"/>
        <v>6.4132418156092774E-2</v>
      </c>
      <c r="CY127" s="32">
        <f t="shared" si="686"/>
        <v>0.14851556142550335</v>
      </c>
      <c r="CZ127" s="32">
        <f t="shared" si="687"/>
        <v>0.21639222142348205</v>
      </c>
      <c r="DA127" s="32">
        <f t="shared" si="688"/>
        <v>0.29752408768488331</v>
      </c>
      <c r="DB127" s="32">
        <f t="shared" si="689"/>
        <v>0.39041057082139508</v>
      </c>
      <c r="DC127" s="32">
        <f t="shared" si="690"/>
        <v>0.46113835065716663</v>
      </c>
      <c r="DD127" s="32">
        <f t="shared" si="691"/>
        <v>0.55062349784683795</v>
      </c>
      <c r="DE127" s="32">
        <f t="shared" si="692"/>
        <v>0.64255960770408549</v>
      </c>
      <c r="DF127" s="32">
        <f t="shared" si="693"/>
        <v>0.73404554074483941</v>
      </c>
      <c r="DG127" s="32">
        <f t="shared" si="694"/>
        <v>0.82908286867126513</v>
      </c>
      <c r="DH127" s="32">
        <f t="shared" si="695"/>
        <v>0.91616707283963716</v>
      </c>
      <c r="DI127" s="32">
        <f t="shared" si="696"/>
        <v>1</v>
      </c>
      <c r="DK127" s="32">
        <f t="shared" si="591"/>
        <v>6.4359175607463431E-2</v>
      </c>
      <c r="DL127" s="32">
        <f t="shared" si="592"/>
        <v>0.12883219508212124</v>
      </c>
      <c r="DM127" s="32">
        <f t="shared" si="593"/>
        <v>0.20910625694101803</v>
      </c>
      <c r="DN127" s="32">
        <f t="shared" si="594"/>
        <v>0.29867052554311352</v>
      </c>
      <c r="DO127" s="32">
        <f t="shared" si="595"/>
        <v>0.38996163385678312</v>
      </c>
      <c r="DP127" s="32">
        <f t="shared" si="596"/>
        <v>0.46940124600820693</v>
      </c>
      <c r="DQ127" s="32">
        <f t="shared" si="597"/>
        <v>0.5545151161704468</v>
      </c>
      <c r="DR127" s="32">
        <f t="shared" si="598"/>
        <v>0.65231262188627526</v>
      </c>
      <c r="DS127" s="32">
        <f t="shared" si="599"/>
        <v>0.74165437056637795</v>
      </c>
      <c r="DT127" s="32">
        <f t="shared" si="600"/>
        <v>0.83767171690626419</v>
      </c>
      <c r="DU127" s="32">
        <f t="shared" si="601"/>
        <v>0.9235644067954788</v>
      </c>
      <c r="DV127" s="32">
        <f t="shared" si="602"/>
        <v>1</v>
      </c>
      <c r="DW127" s="39"/>
      <c r="DX127" s="32">
        <f t="shared" si="603"/>
        <v>6.8221249655467789E-2</v>
      </c>
      <c r="DY127" s="32">
        <f t="shared" si="604"/>
        <v>0.14644738731498749</v>
      </c>
      <c r="DZ127" s="32">
        <f t="shared" si="605"/>
        <v>0.23388026923766364</v>
      </c>
      <c r="EA127" s="32">
        <f t="shared" si="606"/>
        <v>0.30429371200010341</v>
      </c>
      <c r="EB127" s="32">
        <f t="shared" si="607"/>
        <v>0.39754165270820324</v>
      </c>
      <c r="EC127" s="32">
        <f t="shared" si="608"/>
        <v>0.48504994682169328</v>
      </c>
      <c r="ED127" s="32">
        <f t="shared" si="609"/>
        <v>0.56271181135098347</v>
      </c>
      <c r="EE127" s="32">
        <f t="shared" si="610"/>
        <v>0.65863350164246492</v>
      </c>
      <c r="EF127" s="32">
        <f t="shared" si="611"/>
        <v>0.74658322476800543</v>
      </c>
      <c r="EG127" s="32">
        <f t="shared" si="612"/>
        <v>0.83628720952139846</v>
      </c>
      <c r="EH127" s="32">
        <f t="shared" si="613"/>
        <v>0.91844543512662591</v>
      </c>
      <c r="EI127" s="32">
        <f t="shared" si="614"/>
        <v>1</v>
      </c>
      <c r="EK127" s="32">
        <f t="shared" si="697"/>
        <v>6.5570947806341331E-2</v>
      </c>
      <c r="EL127" s="32">
        <f t="shared" si="615"/>
        <v>0.14126504794087069</v>
      </c>
      <c r="EM127" s="32">
        <f t="shared" si="616"/>
        <v>0.21979291586738792</v>
      </c>
      <c r="EN127" s="32">
        <f t="shared" si="617"/>
        <v>0.30016277507603339</v>
      </c>
      <c r="EO127" s="32">
        <f t="shared" si="618"/>
        <v>0.39263795246212713</v>
      </c>
      <c r="EP127" s="32">
        <f t="shared" si="619"/>
        <v>0.47186318116235565</v>
      </c>
      <c r="EQ127" s="32">
        <f t="shared" si="620"/>
        <v>0.5559501417894227</v>
      </c>
      <c r="ER127" s="32">
        <f t="shared" si="621"/>
        <v>0.65116857707760856</v>
      </c>
      <c r="ES127" s="32">
        <f t="shared" si="622"/>
        <v>0.74076104535974086</v>
      </c>
      <c r="ET127" s="32">
        <f t="shared" si="623"/>
        <v>0.83434726503297585</v>
      </c>
      <c r="EU127" s="32">
        <f t="shared" si="624"/>
        <v>0.91939230492058066</v>
      </c>
      <c r="EV127" s="32">
        <f t="shared" si="625"/>
        <v>1</v>
      </c>
      <c r="EX127" s="32">
        <f t="shared" si="626"/>
        <v>6.7875682219896039E-2</v>
      </c>
      <c r="EY127" s="32">
        <f t="shared" si="627"/>
        <v>0.1463092396784943</v>
      </c>
      <c r="EZ127" s="32">
        <f t="shared" si="628"/>
        <v>0.22497174688970642</v>
      </c>
      <c r="FA127" s="32">
        <f t="shared" si="629"/>
        <v>0.29605986923316474</v>
      </c>
      <c r="FB127" s="32">
        <f t="shared" si="630"/>
        <v>0.37679450882099735</v>
      </c>
      <c r="FC127" s="32">
        <f t="shared" si="631"/>
        <v>0.45247798394787275</v>
      </c>
      <c r="FD127" s="32">
        <f t="shared" si="632"/>
        <v>0.53691550138960487</v>
      </c>
      <c r="FE127" s="32">
        <f t="shared" si="633"/>
        <v>0.63122426256477804</v>
      </c>
      <c r="FF127" s="32">
        <f t="shared" si="634"/>
        <v>0.72343139915680288</v>
      </c>
      <c r="FG127" s="32">
        <f t="shared" si="635"/>
        <v>0.82120849128482742</v>
      </c>
      <c r="FH127" s="32">
        <f t="shared" si="636"/>
        <v>0.91169380025356972</v>
      </c>
      <c r="FI127" s="32">
        <f t="shared" si="637"/>
        <v>1</v>
      </c>
      <c r="FK127" s="32">
        <f t="shared" si="698"/>
        <v>6.7760493074705441E-2</v>
      </c>
      <c r="FL127" s="32">
        <f t="shared" si="638"/>
        <v>0.14626319046632988</v>
      </c>
      <c r="FM127" s="32">
        <f t="shared" si="639"/>
        <v>0.22200223944038733</v>
      </c>
      <c r="FN127" s="32">
        <f t="shared" si="640"/>
        <v>0.29331525497751859</v>
      </c>
      <c r="FO127" s="32">
        <f t="shared" si="641"/>
        <v>0.36987879419192876</v>
      </c>
      <c r="FP127" s="32">
        <f t="shared" si="642"/>
        <v>0.44162066298993263</v>
      </c>
      <c r="FQ127" s="32">
        <f t="shared" si="643"/>
        <v>0.5283167314024787</v>
      </c>
      <c r="FR127" s="32">
        <f t="shared" si="644"/>
        <v>0.62208784953888241</v>
      </c>
      <c r="FS127" s="32">
        <f t="shared" si="645"/>
        <v>0.71571412395306877</v>
      </c>
      <c r="FT127" s="32">
        <f t="shared" si="646"/>
        <v>0.81618225187263693</v>
      </c>
      <c r="FU127" s="32">
        <f t="shared" si="647"/>
        <v>0.90944325529588443</v>
      </c>
      <c r="FV127" s="32">
        <f t="shared" si="648"/>
        <v>1</v>
      </c>
      <c r="FX127" s="32">
        <f t="shared" si="649"/>
        <v>6.5999687790713593E-2</v>
      </c>
      <c r="FY127" s="32">
        <f t="shared" si="650"/>
        <v>0.14604863990263475</v>
      </c>
      <c r="FZ127" s="32">
        <f t="shared" si="651"/>
        <v>0.22231132283277036</v>
      </c>
      <c r="GA127" s="32">
        <f t="shared" si="652"/>
        <v>0.29015011938458612</v>
      </c>
      <c r="GB127" s="32">
        <f t="shared" si="653"/>
        <v>0.36326457128337436</v>
      </c>
      <c r="GC127" s="32">
        <f t="shared" si="654"/>
        <v>0.43693135572238445</v>
      </c>
      <c r="GD127" s="32">
        <f t="shared" si="655"/>
        <v>0.52462733615876955</v>
      </c>
      <c r="GE127" s="32">
        <f t="shared" si="656"/>
        <v>0.61881413625812576</v>
      </c>
      <c r="GF127" s="32">
        <f t="shared" si="657"/>
        <v>0.71593587175161577</v>
      </c>
      <c r="GG127" s="32">
        <f t="shared" si="658"/>
        <v>0.8131033763694786</v>
      </c>
      <c r="GH127" s="32">
        <f t="shared" si="659"/>
        <v>0.90638640328702247</v>
      </c>
      <c r="GI127" s="32">
        <f t="shared" si="660"/>
        <v>1</v>
      </c>
    </row>
    <row r="128" spans="1:191">
      <c r="A128" s="724" t="s">
        <v>82</v>
      </c>
      <c r="B128" s="399">
        <v>88885.74</v>
      </c>
      <c r="C128" s="400">
        <v>112750.62999999999</v>
      </c>
      <c r="D128" s="400">
        <v>115189.2</v>
      </c>
      <c r="E128" s="400">
        <v>110781.45</v>
      </c>
      <c r="F128" s="400">
        <v>116560.5</v>
      </c>
      <c r="G128" s="400">
        <v>132624.29999999999</v>
      </c>
      <c r="H128" s="400">
        <v>161127.75</v>
      </c>
      <c r="I128" s="400">
        <v>153585.60000000001</v>
      </c>
      <c r="J128" s="400">
        <v>143007</v>
      </c>
      <c r="K128" s="400">
        <v>144770.1</v>
      </c>
      <c r="L128" s="400">
        <v>140558.25</v>
      </c>
      <c r="M128" s="400">
        <v>138305.40000000002</v>
      </c>
      <c r="N128" s="400">
        <f t="shared" si="588"/>
        <v>1558145.92</v>
      </c>
      <c r="P128" s="396" t="s">
        <v>82</v>
      </c>
      <c r="Q128" s="399">
        <v>95575.930000000008</v>
      </c>
      <c r="R128" s="400">
        <v>88840.65</v>
      </c>
      <c r="S128" s="400">
        <v>72580.95</v>
      </c>
      <c r="T128" s="400">
        <v>34576.35</v>
      </c>
      <c r="U128" s="400">
        <v>35653.800000000003</v>
      </c>
      <c r="V128" s="400">
        <v>88252.950000000012</v>
      </c>
      <c r="W128" s="400">
        <v>108626.55</v>
      </c>
      <c r="X128" s="400">
        <v>116266.65000000001</v>
      </c>
      <c r="Y128" s="400">
        <v>117637.95</v>
      </c>
      <c r="Z128" s="400">
        <v>136640.25</v>
      </c>
      <c r="AA128" s="400">
        <v>121653.90000000001</v>
      </c>
      <c r="AB128" s="400">
        <v>119401.05</v>
      </c>
      <c r="AC128" s="400">
        <f t="shared" si="589"/>
        <v>1135706.98</v>
      </c>
      <c r="AE128" s="127" t="s">
        <v>82</v>
      </c>
      <c r="AF128" s="27">
        <v>68998.759999999995</v>
      </c>
      <c r="AG128" s="27">
        <v>73533.759999999995</v>
      </c>
      <c r="AH128" s="27">
        <v>63015.4</v>
      </c>
      <c r="AI128" s="27">
        <v>93149.08</v>
      </c>
      <c r="AJ128" s="27">
        <v>95612.84</v>
      </c>
      <c r="AK128" s="27">
        <v>91538.16</v>
      </c>
      <c r="AL128" s="27">
        <v>103572.68</v>
      </c>
      <c r="AM128" s="27">
        <v>105657.4</v>
      </c>
      <c r="AN128" s="27">
        <v>106320.72</v>
      </c>
      <c r="AO128" s="27">
        <v>126883.64</v>
      </c>
      <c r="AP128" s="27">
        <v>98834.68</v>
      </c>
      <c r="AQ128" s="27">
        <v>86800.16</v>
      </c>
      <c r="AR128" s="43">
        <f t="shared" si="590"/>
        <v>1113917.2799999998</v>
      </c>
      <c r="AT128" s="60" t="s">
        <v>82</v>
      </c>
      <c r="AU128" s="27">
        <v>67165</v>
      </c>
      <c r="AV128" s="27">
        <v>65605.5</v>
      </c>
      <c r="AW128" s="27">
        <v>76493.899999999994</v>
      </c>
      <c r="AX128" s="27">
        <v>73200</v>
      </c>
      <c r="AY128" s="27">
        <v>78964.5</v>
      </c>
      <c r="AZ128" s="27">
        <v>88572</v>
      </c>
      <c r="BA128" s="27">
        <v>82899</v>
      </c>
      <c r="BB128" s="27">
        <v>89670</v>
      </c>
      <c r="BC128" s="27">
        <v>76311</v>
      </c>
      <c r="BD128" s="27">
        <v>88663.5</v>
      </c>
      <c r="BE128" s="27">
        <v>82716</v>
      </c>
      <c r="BF128" s="27">
        <v>79788</v>
      </c>
      <c r="BG128" s="43">
        <f t="shared" si="403"/>
        <v>950048.4</v>
      </c>
      <c r="BI128" s="60" t="s">
        <v>82</v>
      </c>
      <c r="BJ128" s="27">
        <v>52899.47</v>
      </c>
      <c r="BK128" s="27">
        <v>52106.43</v>
      </c>
      <c r="BL128" s="27">
        <v>71317.149999999994</v>
      </c>
      <c r="BM128" s="27">
        <v>58014.400000000001</v>
      </c>
      <c r="BN128" s="27">
        <v>74859.289999999994</v>
      </c>
      <c r="BO128" s="27">
        <v>94399.049999999988</v>
      </c>
      <c r="BP128" s="27">
        <v>71117.899999999994</v>
      </c>
      <c r="BQ128" s="27">
        <v>70992.25</v>
      </c>
      <c r="BR128" s="27">
        <v>69556.25</v>
      </c>
      <c r="BS128" s="27">
        <v>77722.5</v>
      </c>
      <c r="BT128" s="27">
        <v>77633.75</v>
      </c>
      <c r="BU128" s="27">
        <v>74581.649999999994</v>
      </c>
      <c r="BV128" s="43">
        <f t="shared" si="404"/>
        <v>845200.09</v>
      </c>
      <c r="BW128" s="405"/>
      <c r="BX128" s="32">
        <f t="shared" si="661"/>
        <v>5.7045838171562266E-2</v>
      </c>
      <c r="BY128" s="32">
        <f t="shared" si="662"/>
        <v>0.12940788626523503</v>
      </c>
      <c r="BZ128" s="32">
        <f t="shared" si="663"/>
        <v>0.20333498033354927</v>
      </c>
      <c r="CA128" s="32">
        <f t="shared" si="664"/>
        <v>0.27443323151659638</v>
      </c>
      <c r="CB128" s="32">
        <f t="shared" si="665"/>
        <v>0.3492404100381048</v>
      </c>
      <c r="CC128" s="32">
        <f t="shared" si="666"/>
        <v>0.43435714929703123</v>
      </c>
      <c r="CD128" s="32">
        <f t="shared" si="667"/>
        <v>0.53776707254735168</v>
      </c>
      <c r="CE128" s="32">
        <f t="shared" si="668"/>
        <v>0.63633653130510404</v>
      </c>
      <c r="CF128" s="32">
        <f t="shared" si="669"/>
        <v>0.72811676713821516</v>
      </c>
      <c r="CG128" s="32">
        <f t="shared" si="670"/>
        <v>0.82102854012543325</v>
      </c>
      <c r="CH128" s="32">
        <f t="shared" si="671"/>
        <v>0.91123719657784041</v>
      </c>
      <c r="CI128" s="32">
        <f t="shared" si="672"/>
        <v>1</v>
      </c>
      <c r="CJ128" s="405"/>
      <c r="CK128" s="32">
        <f t="shared" si="673"/>
        <v>8.415544826536156E-2</v>
      </c>
      <c r="CL128" s="32">
        <f t="shared" si="674"/>
        <v>0.16238042316161516</v>
      </c>
      <c r="CM128" s="32">
        <f t="shared" si="675"/>
        <v>0.22628858898093593</v>
      </c>
      <c r="CN128" s="32">
        <f t="shared" si="676"/>
        <v>0.25673336972887145</v>
      </c>
      <c r="CO128" s="32">
        <f t="shared" si="677"/>
        <v>0.28812685469274829</v>
      </c>
      <c r="CP128" s="32">
        <f t="shared" si="678"/>
        <v>0.36583435456212482</v>
      </c>
      <c r="CQ128" s="32">
        <f t="shared" si="679"/>
        <v>0.46148098869657384</v>
      </c>
      <c r="CR128" s="32">
        <f t="shared" si="680"/>
        <v>0.56385479818042494</v>
      </c>
      <c r="CS128" s="32">
        <f t="shared" si="681"/>
        <v>0.66743604939365608</v>
      </c>
      <c r="CT128" s="32">
        <f t="shared" si="682"/>
        <v>0.78774899314257973</v>
      </c>
      <c r="CU128" s="32">
        <f t="shared" si="683"/>
        <v>0.89486632370613761</v>
      </c>
      <c r="CV128" s="32">
        <f t="shared" si="684"/>
        <v>1</v>
      </c>
      <c r="CX128" s="32">
        <f t="shared" si="685"/>
        <v>6.1942445133807429E-2</v>
      </c>
      <c r="CY128" s="32">
        <f t="shared" si="686"/>
        <v>0.12795610819503583</v>
      </c>
      <c r="CZ128" s="32">
        <f t="shared" si="687"/>
        <v>0.18452709522559882</v>
      </c>
      <c r="DA128" s="32">
        <f t="shared" si="688"/>
        <v>0.26815007304671679</v>
      </c>
      <c r="DB128" s="32">
        <f t="shared" si="689"/>
        <v>0.35398484885699955</v>
      </c>
      <c r="DC128" s="32">
        <f t="shared" si="690"/>
        <v>0.43616165106981741</v>
      </c>
      <c r="DD128" s="32">
        <f t="shared" si="691"/>
        <v>0.52914223576817121</v>
      </c>
      <c r="DE128" s="32">
        <f t="shared" si="692"/>
        <v>0.62399434184197244</v>
      </c>
      <c r="DF128" s="32">
        <f t="shared" si="693"/>
        <v>0.71944193198977946</v>
      </c>
      <c r="DG128" s="32">
        <f t="shared" si="694"/>
        <v>0.83334952843177024</v>
      </c>
      <c r="DH128" s="32">
        <f t="shared" si="695"/>
        <v>0.92207665545865314</v>
      </c>
      <c r="DI128" s="32">
        <f t="shared" si="696"/>
        <v>1</v>
      </c>
      <c r="DK128" s="32">
        <f t="shared" si="591"/>
        <v>7.0696398204554631E-2</v>
      </c>
      <c r="DL128" s="32">
        <f t="shared" si="592"/>
        <v>0.13975130109160755</v>
      </c>
      <c r="DM128" s="32">
        <f t="shared" si="593"/>
        <v>0.22026709376069681</v>
      </c>
      <c r="DN128" s="32">
        <f t="shared" si="594"/>
        <v>0.29731579991082563</v>
      </c>
      <c r="DO128" s="32">
        <f t="shared" si="595"/>
        <v>0.38043209167027703</v>
      </c>
      <c r="DP128" s="32">
        <f t="shared" si="596"/>
        <v>0.47366102611193284</v>
      </c>
      <c r="DQ128" s="32">
        <f t="shared" si="597"/>
        <v>0.5609186858269537</v>
      </c>
      <c r="DR128" s="32">
        <f t="shared" si="598"/>
        <v>0.65530335086086144</v>
      </c>
      <c r="DS128" s="32">
        <f t="shared" si="599"/>
        <v>0.73562662702237069</v>
      </c>
      <c r="DT128" s="32">
        <f t="shared" si="600"/>
        <v>0.82895187234671408</v>
      </c>
      <c r="DU128" s="32">
        <f t="shared" si="601"/>
        <v>0.91601691029635968</v>
      </c>
      <c r="DV128" s="32">
        <f t="shared" si="602"/>
        <v>1</v>
      </c>
      <c r="DW128" s="39"/>
      <c r="DX128" s="32">
        <f t="shared" si="603"/>
        <v>6.2588102658626077E-2</v>
      </c>
      <c r="DY128" s="32">
        <f t="shared" si="604"/>
        <v>0.12423791862113975</v>
      </c>
      <c r="DZ128" s="32">
        <f t="shared" si="605"/>
        <v>0.20861693235266929</v>
      </c>
      <c r="EA128" s="32">
        <f t="shared" si="606"/>
        <v>0.27725677360020157</v>
      </c>
      <c r="EB128" s="32">
        <f t="shared" si="607"/>
        <v>0.36582667661571122</v>
      </c>
      <c r="EC128" s="32">
        <f t="shared" si="608"/>
        <v>0.47751508166545509</v>
      </c>
      <c r="ED128" s="32">
        <f t="shared" si="609"/>
        <v>0.56165835240268369</v>
      </c>
      <c r="EE128" s="32">
        <f t="shared" si="610"/>
        <v>0.64565296011740836</v>
      </c>
      <c r="EF128" s="32">
        <f t="shared" si="611"/>
        <v>0.72794856186065948</v>
      </c>
      <c r="EG128" s="32">
        <f t="shared" si="612"/>
        <v>0.81990607691487583</v>
      </c>
      <c r="EH128" s="32">
        <f t="shared" si="613"/>
        <v>0.91175858724766579</v>
      </c>
      <c r="EI128" s="32">
        <f t="shared" si="614"/>
        <v>1</v>
      </c>
      <c r="EK128" s="32">
        <f t="shared" si="697"/>
        <v>6.5075648665662719E-2</v>
      </c>
      <c r="EL128" s="32">
        <f t="shared" si="615"/>
        <v>0.1306484426359277</v>
      </c>
      <c r="EM128" s="32">
        <f t="shared" si="616"/>
        <v>0.20447037377965496</v>
      </c>
      <c r="EN128" s="32">
        <f t="shared" si="617"/>
        <v>0.28090754885258135</v>
      </c>
      <c r="EO128" s="32">
        <f t="shared" si="618"/>
        <v>0.36674787238099588</v>
      </c>
      <c r="EP128" s="32">
        <f t="shared" si="619"/>
        <v>0.46244591961573511</v>
      </c>
      <c r="EQ128" s="32">
        <f t="shared" si="620"/>
        <v>0.5505730913326029</v>
      </c>
      <c r="ER128" s="32">
        <f t="shared" si="621"/>
        <v>0.64165021760674745</v>
      </c>
      <c r="ES128" s="32">
        <f t="shared" si="622"/>
        <v>0.72767237362426984</v>
      </c>
      <c r="ET128" s="32">
        <f t="shared" si="623"/>
        <v>0.82740249256445342</v>
      </c>
      <c r="EU128" s="32">
        <f t="shared" si="624"/>
        <v>0.91661738433422624</v>
      </c>
      <c r="EV128" s="32">
        <f t="shared" si="625"/>
        <v>1</v>
      </c>
      <c r="EX128" s="32">
        <f t="shared" si="626"/>
        <v>6.9845598565587419E-2</v>
      </c>
      <c r="EY128" s="32">
        <f t="shared" si="627"/>
        <v>0.13858143776734957</v>
      </c>
      <c r="EZ128" s="32">
        <f t="shared" si="628"/>
        <v>0.20992492757997522</v>
      </c>
      <c r="FA128" s="32">
        <f t="shared" si="629"/>
        <v>0.27486400407165384</v>
      </c>
      <c r="FB128" s="32">
        <f t="shared" si="630"/>
        <v>0.34709261795893398</v>
      </c>
      <c r="FC128" s="32">
        <f t="shared" si="631"/>
        <v>0.43829302835233253</v>
      </c>
      <c r="FD128" s="32">
        <f t="shared" si="632"/>
        <v>0.52830006567359566</v>
      </c>
      <c r="FE128" s="32">
        <f t="shared" si="633"/>
        <v>0.6222013627501668</v>
      </c>
      <c r="FF128" s="32">
        <f t="shared" si="634"/>
        <v>0.71261329256661643</v>
      </c>
      <c r="FG128" s="32">
        <f t="shared" si="635"/>
        <v>0.81748911770898502</v>
      </c>
      <c r="FH128" s="32">
        <f t="shared" si="636"/>
        <v>0.91117961917720414</v>
      </c>
      <c r="FI128" s="32">
        <f t="shared" si="637"/>
        <v>1</v>
      </c>
      <c r="FK128" s="32">
        <f t="shared" si="698"/>
        <v>7.226476386790788E-2</v>
      </c>
      <c r="FL128" s="32">
        <f t="shared" si="638"/>
        <v>0.14336261081608617</v>
      </c>
      <c r="FM128" s="32">
        <f t="shared" si="639"/>
        <v>0.21036092598907719</v>
      </c>
      <c r="FN128" s="32">
        <f t="shared" si="640"/>
        <v>0.27406641422880457</v>
      </c>
      <c r="FO128" s="32">
        <f t="shared" si="641"/>
        <v>0.34084793174000833</v>
      </c>
      <c r="FP128" s="32">
        <f t="shared" si="642"/>
        <v>0.42521901058129169</v>
      </c>
      <c r="FQ128" s="32">
        <f t="shared" si="643"/>
        <v>0.51718063676389958</v>
      </c>
      <c r="FR128" s="32">
        <f t="shared" si="644"/>
        <v>0.61438416362775294</v>
      </c>
      <c r="FS128" s="32">
        <f t="shared" si="645"/>
        <v>0.70750153613526878</v>
      </c>
      <c r="FT128" s="32">
        <f t="shared" si="646"/>
        <v>0.81668346464035479</v>
      </c>
      <c r="FU128" s="32">
        <f t="shared" si="647"/>
        <v>0.91098662982038336</v>
      </c>
      <c r="FV128" s="32">
        <f t="shared" si="648"/>
        <v>1</v>
      </c>
      <c r="FX128" s="32">
        <f t="shared" si="649"/>
        <v>6.7714577190243749E-2</v>
      </c>
      <c r="FY128" s="32">
        <f t="shared" si="650"/>
        <v>0.13991480587396202</v>
      </c>
      <c r="FZ128" s="32">
        <f t="shared" si="651"/>
        <v>0.20471688818002801</v>
      </c>
      <c r="GA128" s="32">
        <f t="shared" si="652"/>
        <v>0.26643889143072819</v>
      </c>
      <c r="GB128" s="32">
        <f t="shared" si="653"/>
        <v>0.33045070452928421</v>
      </c>
      <c r="GC128" s="32">
        <f t="shared" si="654"/>
        <v>0.41211771830965782</v>
      </c>
      <c r="GD128" s="32">
        <f t="shared" si="655"/>
        <v>0.50946343233736557</v>
      </c>
      <c r="GE128" s="32">
        <f t="shared" si="656"/>
        <v>0.60806189044250047</v>
      </c>
      <c r="GF128" s="32">
        <f t="shared" si="657"/>
        <v>0.7049982495072169</v>
      </c>
      <c r="GG128" s="32">
        <f t="shared" si="658"/>
        <v>0.81404235389992774</v>
      </c>
      <c r="GH128" s="32">
        <f t="shared" si="659"/>
        <v>0.90939339191421042</v>
      </c>
      <c r="GI128" s="32">
        <f t="shared" si="660"/>
        <v>1</v>
      </c>
    </row>
    <row r="129" spans="1:191">
      <c r="A129" s="724" t="s">
        <v>83</v>
      </c>
      <c r="B129" s="399">
        <v>123049.08</v>
      </c>
      <c r="C129" s="400">
        <v>133516.03</v>
      </c>
      <c r="D129" s="400">
        <v>179836.19999999998</v>
      </c>
      <c r="E129" s="400">
        <v>147610.65</v>
      </c>
      <c r="F129" s="400">
        <v>160833.90000000002</v>
      </c>
      <c r="G129" s="400">
        <v>167063.52000000002</v>
      </c>
      <c r="H129" s="400">
        <v>180619.8</v>
      </c>
      <c r="I129" s="400">
        <v>166025.25</v>
      </c>
      <c r="J129" s="400">
        <v>167592.45000000001</v>
      </c>
      <c r="K129" s="400">
        <v>164732.31</v>
      </c>
      <c r="L129" s="400">
        <v>151920.45000000001</v>
      </c>
      <c r="M129" s="400">
        <v>140068.5</v>
      </c>
      <c r="N129" s="400">
        <f t="shared" si="588"/>
        <v>1882868.14</v>
      </c>
      <c r="P129" s="396" t="s">
        <v>83</v>
      </c>
      <c r="Q129" s="399">
        <v>124245.63</v>
      </c>
      <c r="R129" s="400">
        <v>121360.05</v>
      </c>
      <c r="S129" s="400">
        <v>119988.75</v>
      </c>
      <c r="T129" s="400">
        <v>67193.7</v>
      </c>
      <c r="U129" s="400">
        <v>95109.45</v>
      </c>
      <c r="V129" s="400">
        <v>125767.8</v>
      </c>
      <c r="W129" s="400">
        <v>147512.70000000001</v>
      </c>
      <c r="X129" s="400">
        <v>171020.69999999998</v>
      </c>
      <c r="Y129" s="400">
        <v>151234.79999999999</v>
      </c>
      <c r="Z129" s="400">
        <v>170237.09999999998</v>
      </c>
      <c r="AA129" s="400">
        <v>167494.5</v>
      </c>
      <c r="AB129" s="400">
        <v>139089</v>
      </c>
      <c r="AC129" s="400">
        <f t="shared" si="589"/>
        <v>1600254.1800000002</v>
      </c>
      <c r="AE129" s="127" t="s">
        <v>83</v>
      </c>
      <c r="AF129" s="27">
        <v>95740.86</v>
      </c>
      <c r="AG129" s="27">
        <v>100824.64</v>
      </c>
      <c r="AH129" s="27">
        <v>106984.04</v>
      </c>
      <c r="AI129" s="27">
        <v>135696.32000000001</v>
      </c>
      <c r="AJ129" s="27">
        <v>151805.51999999999</v>
      </c>
      <c r="AK129" s="27">
        <v>123756.56</v>
      </c>
      <c r="AL129" s="27">
        <v>145077.56</v>
      </c>
      <c r="AM129" s="27">
        <v>135791.07999999999</v>
      </c>
      <c r="AN129" s="27">
        <v>128115.52</v>
      </c>
      <c r="AO129" s="27">
        <v>147541.32</v>
      </c>
      <c r="AP129" s="27">
        <v>124040.84</v>
      </c>
      <c r="AQ129" s="27">
        <v>113996.28</v>
      </c>
      <c r="AR129" s="43">
        <f t="shared" si="590"/>
        <v>1509370.54</v>
      </c>
      <c r="AT129" s="60" t="s">
        <v>83</v>
      </c>
      <c r="AU129" s="27">
        <v>91962</v>
      </c>
      <c r="AV129" s="27">
        <v>89388.5</v>
      </c>
      <c r="AW129" s="27">
        <v>116022</v>
      </c>
      <c r="AX129" s="27">
        <v>131028</v>
      </c>
      <c r="AY129" s="27">
        <v>133407</v>
      </c>
      <c r="AZ129" s="27">
        <v>120963</v>
      </c>
      <c r="BA129" s="27">
        <v>121054.5</v>
      </c>
      <c r="BB129" s="27">
        <v>132492</v>
      </c>
      <c r="BC129" s="27">
        <v>109983</v>
      </c>
      <c r="BD129" s="27">
        <v>135694.5</v>
      </c>
      <c r="BE129" s="27">
        <v>114924</v>
      </c>
      <c r="BF129" s="27">
        <v>106323</v>
      </c>
      <c r="BG129" s="43">
        <f t="shared" si="403"/>
        <v>1403241.5</v>
      </c>
      <c r="BI129" s="60" t="s">
        <v>83</v>
      </c>
      <c r="BJ129" s="27">
        <v>72821.33</v>
      </c>
      <c r="BK129" s="27">
        <v>88469.88</v>
      </c>
      <c r="BL129" s="27">
        <v>115780.03</v>
      </c>
      <c r="BM129" s="27">
        <v>94172.4</v>
      </c>
      <c r="BN129" s="27">
        <v>123998.54999999999</v>
      </c>
      <c r="BO129" s="27">
        <v>116209.60000000001</v>
      </c>
      <c r="BP129" s="27">
        <v>108974.45</v>
      </c>
      <c r="BQ129" s="27">
        <v>131028.82</v>
      </c>
      <c r="BR129" s="27">
        <v>112348.08</v>
      </c>
      <c r="BS129" s="27">
        <v>111732.58</v>
      </c>
      <c r="BT129" s="27">
        <v>126797.83</v>
      </c>
      <c r="BU129" s="27">
        <v>100789.25</v>
      </c>
      <c r="BV129" s="43">
        <f t="shared" si="404"/>
        <v>1303122.8</v>
      </c>
      <c r="BW129" s="405"/>
      <c r="BX129" s="32">
        <f t="shared" si="661"/>
        <v>6.5351936965697452E-2</v>
      </c>
      <c r="BY129" s="32">
        <f t="shared" si="662"/>
        <v>0.13626291961156664</v>
      </c>
      <c r="BZ129" s="32">
        <f t="shared" si="663"/>
        <v>0.23177475933073038</v>
      </c>
      <c r="CA129" s="32">
        <f t="shared" si="664"/>
        <v>0.31017146001525098</v>
      </c>
      <c r="CB129" s="32">
        <f t="shared" si="665"/>
        <v>0.39559109009088655</v>
      </c>
      <c r="CC129" s="32">
        <f t="shared" si="666"/>
        <v>0.48431930023522524</v>
      </c>
      <c r="CD129" s="32">
        <f t="shared" si="667"/>
        <v>0.58024731354793646</v>
      </c>
      <c r="CE129" s="32">
        <f t="shared" si="668"/>
        <v>0.66842409368082467</v>
      </c>
      <c r="CF129" s="32">
        <f t="shared" si="669"/>
        <v>0.75743322100080779</v>
      </c>
      <c r="CG129" s="32">
        <f t="shared" si="670"/>
        <v>0.84492331470434245</v>
      </c>
      <c r="CH129" s="32">
        <f t="shared" si="671"/>
        <v>0.92560897015337462</v>
      </c>
      <c r="CI129" s="32">
        <f t="shared" si="672"/>
        <v>1</v>
      </c>
      <c r="CJ129" s="405"/>
      <c r="CK129" s="32">
        <f t="shared" si="673"/>
        <v>7.7641184477330968E-2</v>
      </c>
      <c r="CL129" s="32">
        <f t="shared" si="674"/>
        <v>0.15347916791568697</v>
      </c>
      <c r="CM129" s="32">
        <f t="shared" si="675"/>
        <v>0.2284602249875079</v>
      </c>
      <c r="CN129" s="32">
        <f t="shared" si="676"/>
        <v>0.27044961694772762</v>
      </c>
      <c r="CO129" s="32">
        <f t="shared" si="677"/>
        <v>0.32988358136955465</v>
      </c>
      <c r="CP129" s="32">
        <f t="shared" si="678"/>
        <v>0.4084759709860592</v>
      </c>
      <c r="CQ129" s="32">
        <f t="shared" si="679"/>
        <v>0.50065676441476314</v>
      </c>
      <c r="CR129" s="32">
        <f t="shared" si="680"/>
        <v>0.60752772412692579</v>
      </c>
      <c r="CS129" s="32">
        <f t="shared" si="681"/>
        <v>0.70203446055051077</v>
      </c>
      <c r="CT129" s="32">
        <f t="shared" si="682"/>
        <v>0.80841574805322491</v>
      </c>
      <c r="CU129" s="32">
        <f t="shared" si="683"/>
        <v>0.91308318282286882</v>
      </c>
      <c r="CV129" s="32">
        <f t="shared" si="684"/>
        <v>1</v>
      </c>
      <c r="CX129" s="32">
        <f t="shared" si="685"/>
        <v>6.3430984945552202E-2</v>
      </c>
      <c r="CY129" s="32">
        <f t="shared" si="686"/>
        <v>0.13023011566132728</v>
      </c>
      <c r="CZ129" s="32">
        <f t="shared" si="687"/>
        <v>0.20111002034000211</v>
      </c>
      <c r="DA129" s="32">
        <f t="shared" si="688"/>
        <v>0.2910126097995791</v>
      </c>
      <c r="DB129" s="32">
        <f t="shared" si="689"/>
        <v>0.39158799270058631</v>
      </c>
      <c r="DC129" s="32">
        <f t="shared" si="690"/>
        <v>0.47358015878592669</v>
      </c>
      <c r="DD129" s="32">
        <f t="shared" si="691"/>
        <v>0.5696980808966895</v>
      </c>
      <c r="DE129" s="32">
        <f t="shared" si="692"/>
        <v>0.65966345149415728</v>
      </c>
      <c r="DF129" s="32">
        <f t="shared" si="693"/>
        <v>0.74454354992247285</v>
      </c>
      <c r="DG129" s="32">
        <f t="shared" si="694"/>
        <v>0.84229378161839563</v>
      </c>
      <c r="DH129" s="32">
        <f t="shared" si="695"/>
        <v>0.92447429111740842</v>
      </c>
      <c r="DI129" s="32">
        <f t="shared" si="696"/>
        <v>1</v>
      </c>
      <c r="DK129" s="32">
        <f t="shared" si="591"/>
        <v>6.5535404989091328E-2</v>
      </c>
      <c r="DL129" s="32">
        <f t="shared" si="592"/>
        <v>0.12923684198336494</v>
      </c>
      <c r="DM129" s="32">
        <f t="shared" si="593"/>
        <v>0.21191826210955134</v>
      </c>
      <c r="DN129" s="32">
        <f t="shared" si="594"/>
        <v>0.30529349367161673</v>
      </c>
      <c r="DO129" s="32">
        <f t="shared" si="595"/>
        <v>0.40036408558327274</v>
      </c>
      <c r="DP129" s="32">
        <f t="shared" si="596"/>
        <v>0.48656663874322414</v>
      </c>
      <c r="DQ129" s="32">
        <f t="shared" si="597"/>
        <v>0.57283439807046754</v>
      </c>
      <c r="DR129" s="32">
        <f t="shared" si="598"/>
        <v>0.66725292830920413</v>
      </c>
      <c r="DS129" s="32">
        <f t="shared" si="599"/>
        <v>0.74563074139412211</v>
      </c>
      <c r="DT129" s="32">
        <f t="shared" si="600"/>
        <v>0.84233148748807674</v>
      </c>
      <c r="DU129" s="32">
        <f t="shared" si="601"/>
        <v>0.92423043360675983</v>
      </c>
      <c r="DV129" s="32">
        <f t="shared" si="602"/>
        <v>1</v>
      </c>
      <c r="DW129" s="39"/>
      <c r="DX129" s="32">
        <f t="shared" si="603"/>
        <v>5.5882170122416704E-2</v>
      </c>
      <c r="DY129" s="32">
        <f t="shared" si="604"/>
        <v>0.12377284013448311</v>
      </c>
      <c r="DZ129" s="32">
        <f t="shared" si="605"/>
        <v>0.21262097478457131</v>
      </c>
      <c r="EA129" s="32">
        <f t="shared" si="606"/>
        <v>0.28488768671686199</v>
      </c>
      <c r="EB129" s="32">
        <f t="shared" si="607"/>
        <v>0.38004260995203215</v>
      </c>
      <c r="EC129" s="32">
        <f t="shared" si="608"/>
        <v>0.46922039120181153</v>
      </c>
      <c r="ED129" s="32">
        <f t="shared" si="609"/>
        <v>0.55284600960093699</v>
      </c>
      <c r="EE129" s="32">
        <f t="shared" si="610"/>
        <v>0.65339587335898042</v>
      </c>
      <c r="EF129" s="32">
        <f t="shared" si="611"/>
        <v>0.73961037286739206</v>
      </c>
      <c r="EG129" s="32">
        <f t="shared" si="612"/>
        <v>0.82535254543930925</v>
      </c>
      <c r="EH129" s="32">
        <f t="shared" si="613"/>
        <v>0.92265560083823261</v>
      </c>
      <c r="EI129" s="32">
        <f t="shared" si="614"/>
        <v>1</v>
      </c>
      <c r="EK129" s="32">
        <f t="shared" si="697"/>
        <v>6.1616186685686747E-2</v>
      </c>
      <c r="EL129" s="32">
        <f t="shared" si="615"/>
        <v>0.12774659925972509</v>
      </c>
      <c r="EM129" s="32">
        <f t="shared" si="616"/>
        <v>0.20854975241137494</v>
      </c>
      <c r="EN129" s="32">
        <f t="shared" si="617"/>
        <v>0.29373126339601924</v>
      </c>
      <c r="EO129" s="32">
        <f t="shared" si="618"/>
        <v>0.39066489607863036</v>
      </c>
      <c r="EP129" s="32">
        <f t="shared" si="619"/>
        <v>0.47645572957698751</v>
      </c>
      <c r="EQ129" s="32">
        <f t="shared" si="620"/>
        <v>0.56512616285603146</v>
      </c>
      <c r="ER129" s="32">
        <f t="shared" si="621"/>
        <v>0.66010408438744728</v>
      </c>
      <c r="ES129" s="32">
        <f t="shared" si="622"/>
        <v>0.7432615547279956</v>
      </c>
      <c r="ET129" s="32">
        <f t="shared" si="623"/>
        <v>0.83665927151526054</v>
      </c>
      <c r="EU129" s="32">
        <f t="shared" si="624"/>
        <v>0.92378677518746699</v>
      </c>
      <c r="EV129" s="32">
        <f t="shared" si="625"/>
        <v>1</v>
      </c>
      <c r="EX129" s="32">
        <f t="shared" si="626"/>
        <v>6.5622436133597806E-2</v>
      </c>
      <c r="EY129" s="32">
        <f t="shared" si="627"/>
        <v>0.13417974142371555</v>
      </c>
      <c r="EZ129" s="32">
        <f t="shared" si="628"/>
        <v>0.21352737055540816</v>
      </c>
      <c r="FA129" s="32">
        <f t="shared" si="629"/>
        <v>0.28791085178394638</v>
      </c>
      <c r="FB129" s="32">
        <f t="shared" si="630"/>
        <v>0.37546956740136145</v>
      </c>
      <c r="FC129" s="32">
        <f t="shared" si="631"/>
        <v>0.45946078992925543</v>
      </c>
      <c r="FD129" s="32">
        <f t="shared" si="632"/>
        <v>0.54900881324571438</v>
      </c>
      <c r="FE129" s="32">
        <f t="shared" si="633"/>
        <v>0.64695999432231688</v>
      </c>
      <c r="FF129" s="32">
        <f t="shared" si="634"/>
        <v>0.73295478118362456</v>
      </c>
      <c r="FG129" s="32">
        <f t="shared" si="635"/>
        <v>0.8295983906497516</v>
      </c>
      <c r="FH129" s="32">
        <f t="shared" si="636"/>
        <v>0.92111087709631734</v>
      </c>
      <c r="FI129" s="32">
        <f t="shared" si="637"/>
        <v>1</v>
      </c>
      <c r="FK129" s="32">
        <f t="shared" si="698"/>
        <v>6.8869191470658175E-2</v>
      </c>
      <c r="FL129" s="32">
        <f t="shared" si="638"/>
        <v>0.13764870852012637</v>
      </c>
      <c r="FM129" s="32">
        <f t="shared" si="639"/>
        <v>0.21382950247902044</v>
      </c>
      <c r="FN129" s="32">
        <f t="shared" si="640"/>
        <v>0.2889185734729745</v>
      </c>
      <c r="FO129" s="32">
        <f t="shared" si="641"/>
        <v>0.37394521988447121</v>
      </c>
      <c r="FP129" s="32">
        <f t="shared" si="642"/>
        <v>0.45620758950507007</v>
      </c>
      <c r="FQ129" s="32">
        <f t="shared" si="643"/>
        <v>0.54772974779397343</v>
      </c>
      <c r="FR129" s="32">
        <f t="shared" si="644"/>
        <v>0.64481470131009566</v>
      </c>
      <c r="FS129" s="32">
        <f t="shared" si="645"/>
        <v>0.73073625062236858</v>
      </c>
      <c r="FT129" s="32">
        <f t="shared" si="646"/>
        <v>0.83101367238656565</v>
      </c>
      <c r="FU129" s="32">
        <f t="shared" si="647"/>
        <v>0.92059596918234565</v>
      </c>
      <c r="FV129" s="32">
        <f t="shared" si="648"/>
        <v>1</v>
      </c>
      <c r="FX129" s="32">
        <f t="shared" si="649"/>
        <v>6.8808035462860198E-2</v>
      </c>
      <c r="FY129" s="32">
        <f t="shared" si="650"/>
        <v>0.13999073439619361</v>
      </c>
      <c r="FZ129" s="32">
        <f t="shared" si="651"/>
        <v>0.22044833488608009</v>
      </c>
      <c r="GA129" s="32">
        <f t="shared" si="652"/>
        <v>0.2905445622541859</v>
      </c>
      <c r="GB129" s="32">
        <f t="shared" si="653"/>
        <v>0.37235422138700919</v>
      </c>
      <c r="GC129" s="32">
        <f t="shared" si="654"/>
        <v>0.45545847666907036</v>
      </c>
      <c r="GD129" s="32">
        <f t="shared" si="655"/>
        <v>0.55020071961979633</v>
      </c>
      <c r="GE129" s="32">
        <f t="shared" si="656"/>
        <v>0.64520508976730262</v>
      </c>
      <c r="GF129" s="32">
        <f t="shared" si="657"/>
        <v>0.73467041049126369</v>
      </c>
      <c r="GG129" s="32">
        <f t="shared" si="658"/>
        <v>0.83187761479198763</v>
      </c>
      <c r="GH129" s="32">
        <f t="shared" si="659"/>
        <v>0.92105548136455051</v>
      </c>
      <c r="GI129" s="32">
        <f t="shared" si="660"/>
        <v>1</v>
      </c>
    </row>
    <row r="130" spans="1:191">
      <c r="A130" s="724" t="s">
        <v>84</v>
      </c>
      <c r="B130" s="399">
        <v>92899.209999999992</v>
      </c>
      <c r="C130" s="400">
        <v>117864.39</v>
      </c>
      <c r="D130" s="400">
        <v>151822.5</v>
      </c>
      <c r="E130" s="400">
        <v>123710.84999999999</v>
      </c>
      <c r="F130" s="400">
        <v>141537.75</v>
      </c>
      <c r="G130" s="400">
        <v>151626.6</v>
      </c>
      <c r="H130" s="400">
        <v>166710.9</v>
      </c>
      <c r="I130" s="400">
        <v>183754.2</v>
      </c>
      <c r="J130" s="400">
        <v>156034.34999999998</v>
      </c>
      <c r="K130" s="400">
        <v>155642.55000000002</v>
      </c>
      <c r="L130" s="400">
        <v>137423.84999999998</v>
      </c>
      <c r="M130" s="400">
        <v>145651.65</v>
      </c>
      <c r="N130" s="400">
        <f t="shared" si="588"/>
        <v>1724678.7999999998</v>
      </c>
      <c r="P130" s="396" t="s">
        <v>84</v>
      </c>
      <c r="Q130" s="399">
        <v>104583.2</v>
      </c>
      <c r="R130" s="400">
        <v>100692.59999999999</v>
      </c>
      <c r="S130" s="400">
        <v>105198.3</v>
      </c>
      <c r="T130" s="400">
        <v>56419.199999999997</v>
      </c>
      <c r="U130" s="400">
        <v>84139.05</v>
      </c>
      <c r="V130" s="400">
        <v>95109.450000000012</v>
      </c>
      <c r="W130" s="400">
        <v>122339.55</v>
      </c>
      <c r="X130" s="400">
        <v>139578.75000000003</v>
      </c>
      <c r="Y130" s="400">
        <v>124592.4</v>
      </c>
      <c r="Z130" s="400">
        <v>156817.95000000001</v>
      </c>
      <c r="AA130" s="400">
        <v>132526.35</v>
      </c>
      <c r="AB130" s="400">
        <v>131546.85</v>
      </c>
      <c r="AC130" s="400">
        <f t="shared" si="589"/>
        <v>1353543.6500000004</v>
      </c>
      <c r="AE130" s="127" t="s">
        <v>84</v>
      </c>
      <c r="AF130" s="27">
        <v>89127.22</v>
      </c>
      <c r="AG130" s="27">
        <v>115698.7</v>
      </c>
      <c r="AH130" s="27">
        <v>88695.360000000001</v>
      </c>
      <c r="AI130" s="27">
        <v>116554.8</v>
      </c>
      <c r="AJ130" s="27">
        <v>116175.76</v>
      </c>
      <c r="AK130" s="27">
        <v>107457.84</v>
      </c>
      <c r="AL130" s="27">
        <v>136359.64000000001</v>
      </c>
      <c r="AM130" s="27">
        <v>142898.07999999999</v>
      </c>
      <c r="AN130" s="27">
        <v>124988.44</v>
      </c>
      <c r="AO130" s="27">
        <v>150005.07999999999</v>
      </c>
      <c r="AP130" s="27">
        <v>119681.88</v>
      </c>
      <c r="AQ130" s="27">
        <v>112480.12</v>
      </c>
      <c r="AR130" s="43">
        <f t="shared" si="590"/>
        <v>1420122.92</v>
      </c>
      <c r="AT130" s="60" t="s">
        <v>84</v>
      </c>
      <c r="AU130" s="27">
        <v>89843.5</v>
      </c>
      <c r="AV130" s="27">
        <v>79696.5</v>
      </c>
      <c r="AW130" s="27">
        <v>111447</v>
      </c>
      <c r="AX130" s="27">
        <v>106048.5</v>
      </c>
      <c r="AY130" s="27">
        <v>115839.00000000001</v>
      </c>
      <c r="AZ130" s="27">
        <v>110074.5</v>
      </c>
      <c r="BA130" s="27">
        <v>110806.50000000001</v>
      </c>
      <c r="BB130" s="27">
        <v>132858</v>
      </c>
      <c r="BC130" s="27">
        <v>105865.5</v>
      </c>
      <c r="BD130" s="27">
        <v>135603</v>
      </c>
      <c r="BE130" s="27">
        <v>105042</v>
      </c>
      <c r="BF130" s="27">
        <v>100924.5</v>
      </c>
      <c r="BG130" s="43">
        <f t="shared" si="403"/>
        <v>1304048.5</v>
      </c>
      <c r="BI130" s="60" t="s">
        <v>84</v>
      </c>
      <c r="BJ130" s="27">
        <v>76477.17</v>
      </c>
      <c r="BK130" s="27">
        <v>71996.92</v>
      </c>
      <c r="BL130" s="27">
        <v>104239.04000000001</v>
      </c>
      <c r="BM130" s="27">
        <v>86538.29</v>
      </c>
      <c r="BN130" s="27">
        <v>125112.88</v>
      </c>
      <c r="BO130" s="27">
        <v>112170.16</v>
      </c>
      <c r="BP130" s="27">
        <v>108034.88</v>
      </c>
      <c r="BQ130" s="27">
        <v>125165.35</v>
      </c>
      <c r="BR130" s="27">
        <v>102290.88</v>
      </c>
      <c r="BS130" s="27">
        <v>106802.5</v>
      </c>
      <c r="BT130" s="27">
        <v>100968.75</v>
      </c>
      <c r="BU130" s="27">
        <v>97468.5</v>
      </c>
      <c r="BV130" s="43">
        <f t="shared" si="404"/>
        <v>1217265.3199999998</v>
      </c>
      <c r="BW130" s="405"/>
      <c r="BX130" s="32">
        <f t="shared" si="661"/>
        <v>5.3864644245641566E-2</v>
      </c>
      <c r="BY130" s="32">
        <f t="shared" si="662"/>
        <v>0.12220455194323721</v>
      </c>
      <c r="BZ130" s="32">
        <f t="shared" si="663"/>
        <v>0.21023398675741825</v>
      </c>
      <c r="CA130" s="32">
        <f t="shared" si="664"/>
        <v>0.28196377783503807</v>
      </c>
      <c r="CB130" s="32">
        <f t="shared" si="665"/>
        <v>0.36402992835535525</v>
      </c>
      <c r="CC130" s="32">
        <f t="shared" si="666"/>
        <v>0.45194577680203413</v>
      </c>
      <c r="CD130" s="32">
        <f t="shared" si="667"/>
        <v>0.54860777554638007</v>
      </c>
      <c r="CE130" s="32">
        <f t="shared" si="668"/>
        <v>0.65515178826341458</v>
      </c>
      <c r="CF130" s="32">
        <f t="shared" si="669"/>
        <v>0.74562332997889236</v>
      </c>
      <c r="CG130" s="32">
        <f t="shared" si="670"/>
        <v>0.83586769895936575</v>
      </c>
      <c r="CH130" s="32">
        <f t="shared" si="671"/>
        <v>0.91554853576213735</v>
      </c>
      <c r="CI130" s="32">
        <f t="shared" si="672"/>
        <v>1</v>
      </c>
      <c r="CJ130" s="405"/>
      <c r="CK130" s="32">
        <f t="shared" si="673"/>
        <v>7.7266218935754277E-2</v>
      </c>
      <c r="CL130" s="32">
        <f t="shared" si="674"/>
        <v>0.15165805698249918</v>
      </c>
      <c r="CM130" s="32">
        <f t="shared" si="675"/>
        <v>0.22937871268503227</v>
      </c>
      <c r="CN130" s="32">
        <f t="shared" si="676"/>
        <v>0.27106129898359754</v>
      </c>
      <c r="CO130" s="32">
        <f t="shared" si="677"/>
        <v>0.33322335042538143</v>
      </c>
      <c r="CP130" s="32">
        <f t="shared" si="678"/>
        <v>0.40349034920299753</v>
      </c>
      <c r="CQ130" s="32">
        <f t="shared" si="679"/>
        <v>0.49387498511776839</v>
      </c>
      <c r="CR130" s="32">
        <f t="shared" si="680"/>
        <v>0.59699596684598966</v>
      </c>
      <c r="CS130" s="32">
        <f t="shared" si="681"/>
        <v>0.68904501158865461</v>
      </c>
      <c r="CT130" s="32">
        <f t="shared" si="682"/>
        <v>0.80490233913032649</v>
      </c>
      <c r="CU130" s="32">
        <f t="shared" si="683"/>
        <v>0.90281299757122713</v>
      </c>
      <c r="CV130" s="32">
        <f t="shared" si="684"/>
        <v>1</v>
      </c>
      <c r="CX130" s="32">
        <f t="shared" si="685"/>
        <v>6.2760215150953272E-2</v>
      </c>
      <c r="CY130" s="32">
        <f t="shared" si="686"/>
        <v>0.14423112050047049</v>
      </c>
      <c r="CZ130" s="32">
        <f t="shared" si="687"/>
        <v>0.2066872352148221</v>
      </c>
      <c r="DA130" s="32">
        <f t="shared" si="688"/>
        <v>0.28876097570483544</v>
      </c>
      <c r="DB130" s="32">
        <f t="shared" si="689"/>
        <v>0.37056780972171055</v>
      </c>
      <c r="DC130" s="32">
        <f t="shared" si="690"/>
        <v>0.4462357948564058</v>
      </c>
      <c r="DD130" s="32">
        <f t="shared" si="691"/>
        <v>0.54225539856789295</v>
      </c>
      <c r="DE130" s="32">
        <f t="shared" si="692"/>
        <v>0.642879138941015</v>
      </c>
      <c r="DF130" s="32">
        <f t="shared" si="693"/>
        <v>0.73089154845835447</v>
      </c>
      <c r="DG130" s="32">
        <f t="shared" si="694"/>
        <v>0.83651978520281889</v>
      </c>
      <c r="DH130" s="32">
        <f t="shared" si="695"/>
        <v>0.92079550409622279</v>
      </c>
      <c r="DI130" s="32">
        <f t="shared" si="696"/>
        <v>1</v>
      </c>
      <c r="DK130" s="32">
        <f t="shared" si="591"/>
        <v>6.8895827110724797E-2</v>
      </c>
      <c r="DL130" s="32">
        <f t="shared" si="592"/>
        <v>0.13001050191001332</v>
      </c>
      <c r="DM130" s="32">
        <f t="shared" si="593"/>
        <v>0.21547281408628591</v>
      </c>
      <c r="DN130" s="32">
        <f t="shared" si="594"/>
        <v>0.2967953262474517</v>
      </c>
      <c r="DO130" s="32">
        <f t="shared" si="595"/>
        <v>0.3856256113173705</v>
      </c>
      <c r="DP130" s="32">
        <f t="shared" si="596"/>
        <v>0.47003543196437864</v>
      </c>
      <c r="DQ130" s="32">
        <f t="shared" si="597"/>
        <v>0.55500658142699444</v>
      </c>
      <c r="DR130" s="32">
        <f t="shared" si="598"/>
        <v>0.65688776145979233</v>
      </c>
      <c r="DS130" s="32">
        <f t="shared" si="599"/>
        <v>0.73806994141705617</v>
      </c>
      <c r="DT130" s="32">
        <f t="shared" si="600"/>
        <v>0.84205610450838297</v>
      </c>
      <c r="DU130" s="32">
        <f t="shared" si="601"/>
        <v>0.92260678954808817</v>
      </c>
      <c r="DV130" s="32">
        <f t="shared" si="602"/>
        <v>1</v>
      </c>
      <c r="DW130" s="39"/>
      <c r="DX130" s="32">
        <f t="shared" si="603"/>
        <v>6.2827034290272893E-2</v>
      </c>
      <c r="DY130" s="32">
        <f t="shared" si="604"/>
        <v>0.12197348233004783</v>
      </c>
      <c r="DZ130" s="32">
        <f t="shared" si="605"/>
        <v>0.20760727004035573</v>
      </c>
      <c r="EA130" s="32">
        <f t="shared" si="606"/>
        <v>0.27869965111632361</v>
      </c>
      <c r="EB130" s="32">
        <f t="shared" si="607"/>
        <v>0.3814815820104035</v>
      </c>
      <c r="EC130" s="32">
        <f t="shared" si="608"/>
        <v>0.47363089256498331</v>
      </c>
      <c r="ED130" s="32">
        <f t="shared" si="609"/>
        <v>0.56238301441135286</v>
      </c>
      <c r="EE130" s="32">
        <f t="shared" si="610"/>
        <v>0.66520805012337003</v>
      </c>
      <c r="EF130" s="32">
        <f t="shared" si="611"/>
        <v>0.74924139792300992</v>
      </c>
      <c r="EG130" s="32">
        <f t="shared" si="612"/>
        <v>0.83698110285438843</v>
      </c>
      <c r="EH130" s="32">
        <f t="shared" si="613"/>
        <v>0.91992830289455707</v>
      </c>
      <c r="EI130" s="32">
        <f t="shared" si="614"/>
        <v>1</v>
      </c>
      <c r="EK130" s="32">
        <f t="shared" si="697"/>
        <v>6.4827692183983654E-2</v>
      </c>
      <c r="EL130" s="32">
        <f t="shared" si="615"/>
        <v>0.1320717015801772</v>
      </c>
      <c r="EM130" s="32">
        <f t="shared" si="616"/>
        <v>0.20992243978048788</v>
      </c>
      <c r="EN130" s="32">
        <f t="shared" si="617"/>
        <v>0.28808531768953688</v>
      </c>
      <c r="EO130" s="32">
        <f t="shared" si="618"/>
        <v>0.37922500101649481</v>
      </c>
      <c r="EP130" s="32">
        <f t="shared" si="619"/>
        <v>0.46330070646192256</v>
      </c>
      <c r="EQ130" s="32">
        <f t="shared" si="620"/>
        <v>0.55321499813541342</v>
      </c>
      <c r="ER130" s="32">
        <f t="shared" si="621"/>
        <v>0.65499165017472583</v>
      </c>
      <c r="ES130" s="32">
        <f t="shared" si="622"/>
        <v>0.73940096259947341</v>
      </c>
      <c r="ET130" s="32">
        <f t="shared" si="623"/>
        <v>0.83851899752186343</v>
      </c>
      <c r="EU130" s="32">
        <f t="shared" si="624"/>
        <v>0.92111019884628931</v>
      </c>
      <c r="EV130" s="32">
        <f t="shared" si="625"/>
        <v>1</v>
      </c>
      <c r="EX130" s="32">
        <f t="shared" si="626"/>
        <v>6.7937323871926303E-2</v>
      </c>
      <c r="EY130" s="32">
        <f t="shared" si="627"/>
        <v>0.1369682904307577</v>
      </c>
      <c r="EZ130" s="32">
        <f t="shared" si="628"/>
        <v>0.21478650800662402</v>
      </c>
      <c r="FA130" s="32">
        <f t="shared" si="629"/>
        <v>0.28382931301305203</v>
      </c>
      <c r="FB130" s="32">
        <f t="shared" si="630"/>
        <v>0.36772458836871647</v>
      </c>
      <c r="FC130" s="32">
        <f t="shared" si="631"/>
        <v>0.44834811714719131</v>
      </c>
      <c r="FD130" s="32">
        <f t="shared" si="632"/>
        <v>0.53837999488100219</v>
      </c>
      <c r="FE130" s="32">
        <f t="shared" si="633"/>
        <v>0.64049272934254176</v>
      </c>
      <c r="FF130" s="32">
        <f t="shared" si="634"/>
        <v>0.72681197484676874</v>
      </c>
      <c r="FG130" s="32">
        <f t="shared" si="635"/>
        <v>0.83011483292397914</v>
      </c>
      <c r="FH130" s="32">
        <f t="shared" si="636"/>
        <v>0.91653589852752382</v>
      </c>
      <c r="FI130" s="32">
        <f t="shared" si="637"/>
        <v>1</v>
      </c>
      <c r="FK130" s="32">
        <f t="shared" si="698"/>
        <v>6.9640753732477453E-2</v>
      </c>
      <c r="FL130" s="32">
        <f t="shared" si="638"/>
        <v>0.14196655979766098</v>
      </c>
      <c r="FM130" s="32">
        <f t="shared" si="639"/>
        <v>0.21717958732871342</v>
      </c>
      <c r="FN130" s="32">
        <f t="shared" si="640"/>
        <v>0.28553920031196156</v>
      </c>
      <c r="FO130" s="32">
        <f t="shared" si="641"/>
        <v>0.36313892382148749</v>
      </c>
      <c r="FP130" s="32">
        <f t="shared" si="642"/>
        <v>0.43992052534126064</v>
      </c>
      <c r="FQ130" s="32">
        <f t="shared" si="643"/>
        <v>0.53037898837088526</v>
      </c>
      <c r="FR130" s="32">
        <f t="shared" si="644"/>
        <v>0.63225428908226566</v>
      </c>
      <c r="FS130" s="32">
        <f t="shared" si="645"/>
        <v>0.71933550048802175</v>
      </c>
      <c r="FT130" s="32">
        <f t="shared" si="646"/>
        <v>0.82782607628050953</v>
      </c>
      <c r="FU130" s="32">
        <f t="shared" si="647"/>
        <v>0.91540509707184603</v>
      </c>
      <c r="FV130" s="32">
        <f t="shared" si="648"/>
        <v>1</v>
      </c>
      <c r="FX130" s="32">
        <f t="shared" si="649"/>
        <v>6.4630359444116381E-2</v>
      </c>
      <c r="FY130" s="32">
        <f t="shared" si="650"/>
        <v>0.13936457647540229</v>
      </c>
      <c r="FZ130" s="32">
        <f t="shared" si="651"/>
        <v>0.21543331155242421</v>
      </c>
      <c r="GA130" s="32">
        <f t="shared" si="652"/>
        <v>0.280595350841157</v>
      </c>
      <c r="GB130" s="32">
        <f t="shared" si="653"/>
        <v>0.35594036283414909</v>
      </c>
      <c r="GC130" s="32">
        <f t="shared" si="654"/>
        <v>0.4338906402871458</v>
      </c>
      <c r="GD130" s="32">
        <f t="shared" si="655"/>
        <v>0.52824605307734718</v>
      </c>
      <c r="GE130" s="32">
        <f t="shared" si="656"/>
        <v>0.63167563135013971</v>
      </c>
      <c r="GF130" s="32">
        <f t="shared" si="657"/>
        <v>0.72185329667530052</v>
      </c>
      <c r="GG130" s="32">
        <f t="shared" si="658"/>
        <v>0.82576327443083708</v>
      </c>
      <c r="GH130" s="32">
        <f t="shared" si="659"/>
        <v>0.91305234580986239</v>
      </c>
      <c r="GI130" s="32">
        <f t="shared" si="660"/>
        <v>1</v>
      </c>
    </row>
    <row r="131" spans="1:191">
      <c r="A131" s="724" t="s">
        <v>85</v>
      </c>
      <c r="B131" s="399">
        <v>193728.65</v>
      </c>
      <c r="C131" s="400">
        <v>250287.7</v>
      </c>
      <c r="D131" s="400">
        <v>253298.7</v>
      </c>
      <c r="E131" s="400">
        <v>249380.7</v>
      </c>
      <c r="F131" s="400">
        <v>291205.35000000003</v>
      </c>
      <c r="G131" s="400">
        <v>306191.7</v>
      </c>
      <c r="H131" s="400">
        <v>349485.6</v>
      </c>
      <c r="I131" s="400">
        <v>306387.59999999998</v>
      </c>
      <c r="J131" s="400">
        <v>292674.59999999998</v>
      </c>
      <c r="K131" s="400">
        <v>269558.39999999997</v>
      </c>
      <c r="L131" s="400">
        <v>262016.25</v>
      </c>
      <c r="M131" s="400">
        <v>271713.3</v>
      </c>
      <c r="N131" s="400">
        <f t="shared" si="588"/>
        <v>3295928.55</v>
      </c>
      <c r="P131" s="396" t="s">
        <v>85</v>
      </c>
      <c r="Q131" s="399">
        <v>198266.18</v>
      </c>
      <c r="R131" s="400">
        <v>205107.30000000002</v>
      </c>
      <c r="S131" s="400">
        <v>201972.9</v>
      </c>
      <c r="T131" s="400">
        <v>139480.79999999999</v>
      </c>
      <c r="U131" s="400">
        <v>186594.75</v>
      </c>
      <c r="V131" s="400">
        <v>237724.65</v>
      </c>
      <c r="W131" s="400">
        <v>316966.2</v>
      </c>
      <c r="X131" s="400">
        <v>262212.15000000002</v>
      </c>
      <c r="Y131" s="400">
        <v>255649.5</v>
      </c>
      <c r="Z131" s="400">
        <v>303840.89999999997</v>
      </c>
      <c r="AA131" s="400">
        <v>236647.2</v>
      </c>
      <c r="AB131" s="400">
        <v>263387.55</v>
      </c>
      <c r="AC131" s="400">
        <f t="shared" si="589"/>
        <v>2807850.0799999996</v>
      </c>
      <c r="AE131" s="127" t="s">
        <v>85</v>
      </c>
      <c r="AF131" s="27">
        <v>151172.42000000001</v>
      </c>
      <c r="AG131" s="27">
        <v>188477.64</v>
      </c>
      <c r="AH131" s="27">
        <v>206292.52</v>
      </c>
      <c r="AI131" s="27">
        <v>275846.36</v>
      </c>
      <c r="AJ131" s="27">
        <v>265500.64</v>
      </c>
      <c r="AK131" s="27">
        <v>199564.56</v>
      </c>
      <c r="AL131" s="27">
        <v>238889.96</v>
      </c>
      <c r="AM131" s="27">
        <v>255946.76</v>
      </c>
      <c r="AN131" s="27">
        <v>232635.8</v>
      </c>
      <c r="AO131" s="27">
        <v>248081.68</v>
      </c>
      <c r="AP131" s="27">
        <v>207903.44</v>
      </c>
      <c r="AQ131" s="27">
        <v>214347.12</v>
      </c>
      <c r="AR131" s="43">
        <f t="shared" si="590"/>
        <v>2684658.9000000004</v>
      </c>
      <c r="AT131" s="60" t="s">
        <v>85</v>
      </c>
      <c r="AU131" s="27">
        <v>155402.25</v>
      </c>
      <c r="AV131" s="27">
        <v>148687.20000000001</v>
      </c>
      <c r="AW131" s="27">
        <v>209901</v>
      </c>
      <c r="AX131" s="27">
        <v>219325.5</v>
      </c>
      <c r="AY131" s="27">
        <v>200476.5</v>
      </c>
      <c r="AZ131" s="27">
        <v>207705</v>
      </c>
      <c r="BA131" s="27">
        <v>203496.00000000003</v>
      </c>
      <c r="BB131" s="27">
        <v>222619.5</v>
      </c>
      <c r="BC131" s="27">
        <v>196450.5</v>
      </c>
      <c r="BD131" s="27">
        <v>220881</v>
      </c>
      <c r="BE131" s="27">
        <v>169915.5</v>
      </c>
      <c r="BF131" s="27">
        <v>159393</v>
      </c>
      <c r="BG131" s="43">
        <f t="shared" ref="BG131:BG179" si="699">SUM(AU131:BF131)</f>
        <v>2314252.9500000002</v>
      </c>
      <c r="BI131" s="60" t="s">
        <v>85</v>
      </c>
      <c r="BJ131" s="27">
        <v>122511.58</v>
      </c>
      <c r="BK131" s="27">
        <v>146276.46</v>
      </c>
      <c r="BL131" s="27">
        <v>214864.58000000002</v>
      </c>
      <c r="BM131" s="27">
        <v>174047.38</v>
      </c>
      <c r="BN131" s="27">
        <v>251524.32</v>
      </c>
      <c r="BO131" s="27">
        <v>264662.75</v>
      </c>
      <c r="BP131" s="27">
        <v>179410.25</v>
      </c>
      <c r="BQ131" s="27">
        <v>211594.59999999998</v>
      </c>
      <c r="BR131" s="27">
        <v>184920.9</v>
      </c>
      <c r="BS131" s="27">
        <v>172212.3</v>
      </c>
      <c r="BT131" s="27">
        <v>158785.70000000001</v>
      </c>
      <c r="BU131" s="27">
        <v>144479.53</v>
      </c>
      <c r="BV131" s="43">
        <f t="shared" si="404"/>
        <v>2225290.3499999996</v>
      </c>
      <c r="BW131" s="405"/>
      <c r="BX131" s="32">
        <f t="shared" si="661"/>
        <v>5.8778170418773187E-2</v>
      </c>
      <c r="BY131" s="32">
        <f t="shared" si="662"/>
        <v>0.13471661878107158</v>
      </c>
      <c r="BZ131" s="32">
        <f t="shared" si="663"/>
        <v>0.21156861850054368</v>
      </c>
      <c r="CA131" s="32">
        <f t="shared" si="664"/>
        <v>0.28723187885853896</v>
      </c>
      <c r="CB131" s="32">
        <f t="shared" si="665"/>
        <v>0.37558493190029868</v>
      </c>
      <c r="CC131" s="32">
        <f t="shared" si="666"/>
        <v>0.4684849129997069</v>
      </c>
      <c r="CD131" s="32">
        <f t="shared" si="667"/>
        <v>0.57452046404343327</v>
      </c>
      <c r="CE131" s="32">
        <f t="shared" si="668"/>
        <v>0.66747988211091536</v>
      </c>
      <c r="CF131" s="32">
        <f t="shared" si="669"/>
        <v>0.75627871241322886</v>
      </c>
      <c r="CG131" s="32">
        <f t="shared" si="670"/>
        <v>0.83806398048282937</v>
      </c>
      <c r="CH131" s="32">
        <f t="shared" si="671"/>
        <v>0.91756092528158728</v>
      </c>
      <c r="CI131" s="32">
        <f t="shared" si="672"/>
        <v>1</v>
      </c>
      <c r="CJ131" s="405"/>
      <c r="CK131" s="32">
        <f t="shared" si="673"/>
        <v>7.0611383924030602E-2</v>
      </c>
      <c r="CL131" s="32">
        <f t="shared" si="674"/>
        <v>0.14365919422592535</v>
      </c>
      <c r="CM131" s="32">
        <f t="shared" si="675"/>
        <v>0.21559070561203186</v>
      </c>
      <c r="CN131" s="32">
        <f t="shared" si="676"/>
        <v>0.26526600736460976</v>
      </c>
      <c r="CO131" s="32">
        <f t="shared" si="677"/>
        <v>0.33172067719513004</v>
      </c>
      <c r="CP131" s="32">
        <f t="shared" si="678"/>
        <v>0.41638497308944644</v>
      </c>
      <c r="CQ131" s="32">
        <f t="shared" si="679"/>
        <v>0.52927070094853501</v>
      </c>
      <c r="CR131" s="32">
        <f t="shared" si="680"/>
        <v>0.62265608212244716</v>
      </c>
      <c r="CS131" s="32">
        <f t="shared" si="681"/>
        <v>0.71370421244142779</v>
      </c>
      <c r="CT131" s="32">
        <f t="shared" si="682"/>
        <v>0.82191543859065297</v>
      </c>
      <c r="CU131" s="32">
        <f t="shared" si="683"/>
        <v>0.9061960067326672</v>
      </c>
      <c r="CV131" s="32">
        <f t="shared" si="684"/>
        <v>1</v>
      </c>
      <c r="CX131" s="32">
        <f t="shared" si="685"/>
        <v>5.6309730819062334E-2</v>
      </c>
      <c r="CY131" s="32">
        <f t="shared" si="686"/>
        <v>0.12651516362097248</v>
      </c>
      <c r="CZ131" s="32">
        <f t="shared" si="687"/>
        <v>0.20335640404820143</v>
      </c>
      <c r="DA131" s="32">
        <f t="shared" si="688"/>
        <v>0.30610553169343035</v>
      </c>
      <c r="DB131" s="32">
        <f t="shared" si="689"/>
        <v>0.4050010152127706</v>
      </c>
      <c r="DC131" s="32">
        <f t="shared" si="690"/>
        <v>0.47933617935596956</v>
      </c>
      <c r="DD131" s="32">
        <f t="shared" si="691"/>
        <v>0.56831953586356909</v>
      </c>
      <c r="DE131" s="32">
        <f t="shared" si="692"/>
        <v>0.66365632520392059</v>
      </c>
      <c r="DF131" s="32">
        <f t="shared" si="693"/>
        <v>0.7503100896728444</v>
      </c>
      <c r="DG131" s="32">
        <f t="shared" si="694"/>
        <v>0.84271724054031594</v>
      </c>
      <c r="DH131" s="32">
        <f t="shared" si="695"/>
        <v>0.92015852740174919</v>
      </c>
      <c r="DI131" s="32">
        <f t="shared" si="696"/>
        <v>1</v>
      </c>
      <c r="DK131" s="32">
        <f t="shared" si="591"/>
        <v>6.7150071041283538E-2</v>
      </c>
      <c r="DL131" s="32">
        <f t="shared" si="592"/>
        <v>0.13139853618853548</v>
      </c>
      <c r="DM131" s="32">
        <f t="shared" si="593"/>
        <v>0.22209778321769016</v>
      </c>
      <c r="DN131" s="32">
        <f t="shared" si="594"/>
        <v>0.31686940271589581</v>
      </c>
      <c r="DO131" s="32">
        <f t="shared" si="595"/>
        <v>0.40349627727599952</v>
      </c>
      <c r="DP131" s="32">
        <f t="shared" si="596"/>
        <v>0.49324662198226854</v>
      </c>
      <c r="DQ131" s="32">
        <f t="shared" si="597"/>
        <v>0.5811782372363401</v>
      </c>
      <c r="DR131" s="32">
        <f t="shared" si="598"/>
        <v>0.6773732102188742</v>
      </c>
      <c r="DS131" s="32">
        <f t="shared" si="599"/>
        <v>0.76226043052035419</v>
      </c>
      <c r="DT131" s="32">
        <f t="shared" si="600"/>
        <v>0.8577041891639372</v>
      </c>
      <c r="DU131" s="32">
        <f t="shared" si="601"/>
        <v>0.93112550639721559</v>
      </c>
      <c r="DV131" s="32">
        <f t="shared" si="602"/>
        <v>1</v>
      </c>
      <c r="DW131" s="39"/>
      <c r="DX131" s="32">
        <f t="shared" si="603"/>
        <v>5.5054200005855425E-2</v>
      </c>
      <c r="DY131" s="32">
        <f t="shared" si="604"/>
        <v>0.12078785134712872</v>
      </c>
      <c r="DZ131" s="32">
        <f t="shared" si="605"/>
        <v>0.217343601925924</v>
      </c>
      <c r="EA131" s="32">
        <f t="shared" si="606"/>
        <v>0.29555693709811848</v>
      </c>
      <c r="EB131" s="32">
        <f t="shared" si="607"/>
        <v>0.40858682553492409</v>
      </c>
      <c r="EC131" s="32">
        <f t="shared" si="608"/>
        <v>0.52752085587393138</v>
      </c>
      <c r="ED131" s="32">
        <f t="shared" si="609"/>
        <v>0.60814415521102683</v>
      </c>
      <c r="EE131" s="32">
        <f t="shared" si="610"/>
        <v>0.70323044361379639</v>
      </c>
      <c r="EF131" s="32">
        <f t="shared" si="611"/>
        <v>0.7863301164272789</v>
      </c>
      <c r="EG131" s="32">
        <f t="shared" si="612"/>
        <v>0.86371880415515223</v>
      </c>
      <c r="EH131" s="32">
        <f t="shared" si="613"/>
        <v>0.93507385227280571</v>
      </c>
      <c r="EI131" s="32">
        <f t="shared" si="614"/>
        <v>1</v>
      </c>
      <c r="EK131" s="32">
        <f t="shared" si="697"/>
        <v>5.950466728873377E-2</v>
      </c>
      <c r="EL131" s="32">
        <f t="shared" si="615"/>
        <v>0.12623385038554555</v>
      </c>
      <c r="EM131" s="32">
        <f t="shared" si="616"/>
        <v>0.21426592973060518</v>
      </c>
      <c r="EN131" s="32">
        <f t="shared" si="617"/>
        <v>0.30617729050248155</v>
      </c>
      <c r="EO131" s="32">
        <f t="shared" si="618"/>
        <v>0.40569470600789809</v>
      </c>
      <c r="EP131" s="32">
        <f t="shared" si="619"/>
        <v>0.50003455240405648</v>
      </c>
      <c r="EQ131" s="32">
        <f t="shared" si="620"/>
        <v>0.58588064277031204</v>
      </c>
      <c r="ER131" s="32">
        <f t="shared" si="621"/>
        <v>0.68141999301219702</v>
      </c>
      <c r="ES131" s="32">
        <f t="shared" si="622"/>
        <v>0.76630021220682576</v>
      </c>
      <c r="ET131" s="32">
        <f t="shared" si="623"/>
        <v>0.85471341128646838</v>
      </c>
      <c r="EU131" s="32">
        <f t="shared" si="624"/>
        <v>0.92878596202392349</v>
      </c>
      <c r="EV131" s="32">
        <f t="shared" si="625"/>
        <v>1</v>
      </c>
      <c r="EX131" s="32">
        <f t="shared" si="626"/>
        <v>6.2281346447557978E-2</v>
      </c>
      <c r="EY131" s="32">
        <f t="shared" si="627"/>
        <v>0.13059018634564051</v>
      </c>
      <c r="EZ131" s="32">
        <f t="shared" si="628"/>
        <v>0.21459712370096187</v>
      </c>
      <c r="FA131" s="32">
        <f t="shared" si="629"/>
        <v>0.29594946971801361</v>
      </c>
      <c r="FB131" s="32">
        <f t="shared" si="630"/>
        <v>0.38720119880470605</v>
      </c>
      <c r="FC131" s="32">
        <f t="shared" si="631"/>
        <v>0.479122157575404</v>
      </c>
      <c r="FD131" s="32">
        <f t="shared" si="632"/>
        <v>0.5717281573148677</v>
      </c>
      <c r="FE131" s="32">
        <f t="shared" si="633"/>
        <v>0.66672901528975959</v>
      </c>
      <c r="FF131" s="32">
        <f t="shared" si="634"/>
        <v>0.75315121226547632</v>
      </c>
      <c r="FG131" s="32">
        <f t="shared" si="635"/>
        <v>0.84651391811251453</v>
      </c>
      <c r="FH131" s="32">
        <f t="shared" si="636"/>
        <v>0.92313847320110942</v>
      </c>
      <c r="FI131" s="32">
        <f t="shared" si="637"/>
        <v>1</v>
      </c>
      <c r="FK131" s="32">
        <f t="shared" si="698"/>
        <v>6.4690395261458825E-2</v>
      </c>
      <c r="FL131" s="32">
        <f t="shared" si="638"/>
        <v>0.13385763134514442</v>
      </c>
      <c r="FM131" s="32">
        <f t="shared" si="639"/>
        <v>0.21368163095930781</v>
      </c>
      <c r="FN131" s="32">
        <f t="shared" si="640"/>
        <v>0.29608031392464529</v>
      </c>
      <c r="FO131" s="32">
        <f t="shared" si="641"/>
        <v>0.38007265656130002</v>
      </c>
      <c r="FP131" s="32">
        <f t="shared" si="642"/>
        <v>0.46298925814256148</v>
      </c>
      <c r="FQ131" s="32">
        <f t="shared" si="643"/>
        <v>0.55958949134948144</v>
      </c>
      <c r="FR131" s="32">
        <f t="shared" si="644"/>
        <v>0.65456187251508069</v>
      </c>
      <c r="FS131" s="32">
        <f t="shared" si="645"/>
        <v>0.74209157754487542</v>
      </c>
      <c r="FT131" s="32">
        <f t="shared" si="646"/>
        <v>0.840778956098302</v>
      </c>
      <c r="FU131" s="32">
        <f t="shared" si="647"/>
        <v>0.91916001351054399</v>
      </c>
      <c r="FV131" s="32">
        <f t="shared" si="648"/>
        <v>1</v>
      </c>
      <c r="FX131" s="32">
        <f t="shared" si="649"/>
        <v>6.1899761720622039E-2</v>
      </c>
      <c r="FY131" s="32">
        <f t="shared" si="650"/>
        <v>0.13496365887598979</v>
      </c>
      <c r="FZ131" s="32">
        <f t="shared" si="651"/>
        <v>0.21017190938692565</v>
      </c>
      <c r="GA131" s="32">
        <f t="shared" si="652"/>
        <v>0.28620113930552632</v>
      </c>
      <c r="GB131" s="32">
        <f t="shared" si="653"/>
        <v>0.37076887476939979</v>
      </c>
      <c r="GC131" s="32">
        <f t="shared" si="654"/>
        <v>0.45473535514837432</v>
      </c>
      <c r="GD131" s="32">
        <f t="shared" si="655"/>
        <v>0.55737023361851235</v>
      </c>
      <c r="GE131" s="32">
        <f t="shared" si="656"/>
        <v>0.65126409647909445</v>
      </c>
      <c r="GF131" s="32">
        <f t="shared" si="657"/>
        <v>0.74009767150916694</v>
      </c>
      <c r="GG131" s="32">
        <f t="shared" si="658"/>
        <v>0.83423221987126617</v>
      </c>
      <c r="GH131" s="32">
        <f t="shared" si="659"/>
        <v>0.9146384864720013</v>
      </c>
      <c r="GI131" s="32">
        <f t="shared" si="660"/>
        <v>1</v>
      </c>
    </row>
    <row r="132" spans="1:191">
      <c r="A132" s="724" t="s">
        <v>86</v>
      </c>
      <c r="B132" s="399">
        <v>45345.14</v>
      </c>
      <c r="C132" s="400">
        <v>55047.9</v>
      </c>
      <c r="D132" s="400">
        <v>61708.5</v>
      </c>
      <c r="E132" s="400">
        <v>50738.1</v>
      </c>
      <c r="F132" s="400">
        <v>62688</v>
      </c>
      <c r="G132" s="400">
        <v>70621.95</v>
      </c>
      <c r="H132" s="400">
        <v>74833.799999999988</v>
      </c>
      <c r="I132" s="400">
        <v>77968.2</v>
      </c>
      <c r="J132" s="400">
        <v>68565</v>
      </c>
      <c r="K132" s="400">
        <v>71601.45</v>
      </c>
      <c r="L132" s="400">
        <v>62590.049999999996</v>
      </c>
      <c r="M132" s="400">
        <v>56517.15</v>
      </c>
      <c r="N132" s="400">
        <f t="shared" si="588"/>
        <v>758225.24000000011</v>
      </c>
      <c r="P132" s="396" t="s">
        <v>86</v>
      </c>
      <c r="Q132" s="399">
        <v>36399.120000000003</v>
      </c>
      <c r="R132" s="400">
        <v>38592.300000000003</v>
      </c>
      <c r="S132" s="400">
        <v>34478.400000000001</v>
      </c>
      <c r="T132" s="400">
        <v>18904.350000000002</v>
      </c>
      <c r="U132" s="400">
        <v>15965.85</v>
      </c>
      <c r="V132" s="400">
        <v>34380.449999999997</v>
      </c>
      <c r="W132" s="400">
        <v>50836.05</v>
      </c>
      <c r="X132" s="400">
        <v>50150.400000000001</v>
      </c>
      <c r="Y132" s="400">
        <v>56517.149999999994</v>
      </c>
      <c r="Z132" s="400">
        <v>60435.15</v>
      </c>
      <c r="AA132" s="400">
        <v>54264.299999999996</v>
      </c>
      <c r="AB132" s="400">
        <v>49660.649999999994</v>
      </c>
      <c r="AC132" s="400">
        <f t="shared" si="589"/>
        <v>500584.17000000004</v>
      </c>
      <c r="AE132" s="127" t="s">
        <v>86</v>
      </c>
      <c r="AF132" s="27">
        <v>29875.7</v>
      </c>
      <c r="AG132" s="27">
        <v>35819.279999999999</v>
      </c>
      <c r="AH132" s="27">
        <v>30323.200000000001</v>
      </c>
      <c r="AI132" s="27">
        <v>38567.32</v>
      </c>
      <c r="AJ132" s="27">
        <v>41789.160000000003</v>
      </c>
      <c r="AK132" s="27">
        <v>37904</v>
      </c>
      <c r="AL132" s="27">
        <v>43210.559999999998</v>
      </c>
      <c r="AM132" s="27">
        <v>48043.32</v>
      </c>
      <c r="AN132" s="27">
        <v>45390.04</v>
      </c>
      <c r="AO132" s="27">
        <v>48138.080000000002</v>
      </c>
      <c r="AP132" s="27">
        <v>40462.519999999997</v>
      </c>
      <c r="AQ132" s="27">
        <v>32976.480000000003</v>
      </c>
      <c r="AR132" s="43">
        <f t="shared" si="590"/>
        <v>472499.66</v>
      </c>
      <c r="AT132" s="60" t="s">
        <v>86</v>
      </c>
      <c r="AU132" s="27">
        <v>29320.75</v>
      </c>
      <c r="AV132" s="27">
        <v>25894.5</v>
      </c>
      <c r="AW132" s="27">
        <v>37606.5</v>
      </c>
      <c r="AX132" s="27">
        <v>35593.5</v>
      </c>
      <c r="AY132" s="27">
        <v>32665.5</v>
      </c>
      <c r="AZ132" s="27">
        <v>35868</v>
      </c>
      <c r="BA132" s="27">
        <v>32940</v>
      </c>
      <c r="BB132" s="27">
        <v>41907</v>
      </c>
      <c r="BC132" s="27">
        <v>36874.5</v>
      </c>
      <c r="BD132" s="27">
        <v>40260</v>
      </c>
      <c r="BE132" s="27">
        <v>45750</v>
      </c>
      <c r="BF132" s="27">
        <v>36142.5</v>
      </c>
      <c r="BG132" s="43">
        <f t="shared" si="699"/>
        <v>430822.75</v>
      </c>
      <c r="BI132" s="60" t="s">
        <v>86</v>
      </c>
      <c r="BJ132" s="27">
        <v>24985.449999999997</v>
      </c>
      <c r="BK132" s="27">
        <v>24209.059999999998</v>
      </c>
      <c r="BL132" s="27">
        <v>31303.03</v>
      </c>
      <c r="BM132" s="27">
        <v>29228.039999999997</v>
      </c>
      <c r="BN132" s="27">
        <v>36784.35</v>
      </c>
      <c r="BO132" s="27">
        <v>36058.090000000004</v>
      </c>
      <c r="BP132" s="27">
        <v>34194.75</v>
      </c>
      <c r="BQ132" s="27">
        <v>35720.5</v>
      </c>
      <c r="BR132" s="27">
        <v>38861.75</v>
      </c>
      <c r="BS132" s="27">
        <v>36707.75</v>
      </c>
      <c r="BT132" s="27">
        <v>38772</v>
      </c>
      <c r="BU132" s="27">
        <v>35002.5</v>
      </c>
      <c r="BV132" s="43">
        <f t="shared" ref="BV132:BV179" si="700">SUM(BJ132:BU132)</f>
        <v>401827.27</v>
      </c>
      <c r="BW132" s="405"/>
      <c r="BX132" s="32">
        <f t="shared" si="661"/>
        <v>5.980431355727487E-2</v>
      </c>
      <c r="BY132" s="32">
        <f t="shared" si="662"/>
        <v>0.13240529951231905</v>
      </c>
      <c r="BZ132" s="32">
        <f t="shared" si="663"/>
        <v>0.21379074640142551</v>
      </c>
      <c r="CA132" s="32">
        <f t="shared" si="664"/>
        <v>0.28070766939913527</v>
      </c>
      <c r="CB132" s="32">
        <f t="shared" si="665"/>
        <v>0.36338494877854499</v>
      </c>
      <c r="CC132" s="32">
        <f t="shared" si="666"/>
        <v>0.45652607132941125</v>
      </c>
      <c r="CD132" s="32">
        <f t="shared" si="667"/>
        <v>0.55522207358858167</v>
      </c>
      <c r="CE132" s="32">
        <f t="shared" si="668"/>
        <v>0.6580519398167225</v>
      </c>
      <c r="CF132" s="32">
        <f t="shared" si="669"/>
        <v>0.74848021413795196</v>
      </c>
      <c r="CG132" s="32">
        <f t="shared" si="670"/>
        <v>0.8429131691791214</v>
      </c>
      <c r="CH132" s="32">
        <f t="shared" si="671"/>
        <v>0.9254612653095009</v>
      </c>
      <c r="CI132" s="32">
        <f t="shared" si="672"/>
        <v>1</v>
      </c>
      <c r="CJ132" s="405"/>
      <c r="CK132" s="32">
        <f t="shared" si="673"/>
        <v>7.27132861592487E-2</v>
      </c>
      <c r="CL132" s="32">
        <f t="shared" si="674"/>
        <v>0.1498078135391297</v>
      </c>
      <c r="CM132" s="32">
        <f t="shared" si="675"/>
        <v>0.21868414256887109</v>
      </c>
      <c r="CN132" s="32">
        <f t="shared" si="676"/>
        <v>0.25644872070165542</v>
      </c>
      <c r="CO132" s="32">
        <f t="shared" si="677"/>
        <v>0.28834315715576864</v>
      </c>
      <c r="CP132" s="32">
        <f t="shared" si="678"/>
        <v>0.35702381479622103</v>
      </c>
      <c r="CQ132" s="32">
        <f t="shared" si="679"/>
        <v>0.45857726583723174</v>
      </c>
      <c r="CR132" s="32">
        <f t="shared" si="680"/>
        <v>0.55876101715321924</v>
      </c>
      <c r="CS132" s="32">
        <f t="shared" si="681"/>
        <v>0.67166340877299424</v>
      </c>
      <c r="CT132" s="32">
        <f t="shared" si="682"/>
        <v>0.79239265596433073</v>
      </c>
      <c r="CU132" s="32">
        <f t="shared" si="683"/>
        <v>0.90079460563045777</v>
      </c>
      <c r="CV132" s="32">
        <f t="shared" si="684"/>
        <v>1</v>
      </c>
      <c r="CX132" s="32">
        <f t="shared" si="685"/>
        <v>6.3229040207140041E-2</v>
      </c>
      <c r="CY132" s="32">
        <f t="shared" si="686"/>
        <v>0.13903709475685125</v>
      </c>
      <c r="CZ132" s="32">
        <f t="shared" si="687"/>
        <v>0.20321322559258562</v>
      </c>
      <c r="DA132" s="32">
        <f t="shared" si="688"/>
        <v>0.28483724199928528</v>
      </c>
      <c r="DB132" s="32">
        <f t="shared" si="689"/>
        <v>0.37327997230728172</v>
      </c>
      <c r="DC132" s="32">
        <f t="shared" si="690"/>
        <v>0.45350013585194965</v>
      </c>
      <c r="DD132" s="32">
        <f t="shared" si="691"/>
        <v>0.54495112229287113</v>
      </c>
      <c r="DE132" s="32">
        <f t="shared" si="692"/>
        <v>0.64663017958573765</v>
      </c>
      <c r="DF132" s="32">
        <f t="shared" si="693"/>
        <v>0.74269382543047746</v>
      </c>
      <c r="DG132" s="32">
        <f t="shared" si="694"/>
        <v>0.8445734331322059</v>
      </c>
      <c r="DH132" s="32">
        <f t="shared" si="695"/>
        <v>0.93020845771613891</v>
      </c>
      <c r="DI132" s="32">
        <f t="shared" si="696"/>
        <v>1</v>
      </c>
      <c r="DK132" s="32">
        <f t="shared" si="591"/>
        <v>6.8057571240144582E-2</v>
      </c>
      <c r="DL132" s="32">
        <f t="shared" si="592"/>
        <v>0.12816233590264209</v>
      </c>
      <c r="DM132" s="32">
        <f t="shared" si="593"/>
        <v>0.21545229447609254</v>
      </c>
      <c r="DN132" s="32">
        <f t="shared" si="594"/>
        <v>0.29806979784609794</v>
      </c>
      <c r="DO132" s="32">
        <f t="shared" si="595"/>
        <v>0.37389100273836512</v>
      </c>
      <c r="DP132" s="32">
        <f t="shared" si="596"/>
        <v>0.45714565909065852</v>
      </c>
      <c r="DQ132" s="32">
        <f t="shared" si="597"/>
        <v>0.53360401696521365</v>
      </c>
      <c r="DR132" s="32">
        <f t="shared" si="598"/>
        <v>0.63087603892784216</v>
      </c>
      <c r="DS132" s="32">
        <f t="shared" si="599"/>
        <v>0.71646692288185798</v>
      </c>
      <c r="DT132" s="32">
        <f t="shared" si="600"/>
        <v>0.80991602695075871</v>
      </c>
      <c r="DU132" s="32">
        <f t="shared" si="601"/>
        <v>0.91610819066541871</v>
      </c>
      <c r="DV132" s="32">
        <f t="shared" si="602"/>
        <v>1</v>
      </c>
      <c r="DW132" s="39"/>
      <c r="DX132" s="32">
        <f t="shared" si="603"/>
        <v>6.2179577807150811E-2</v>
      </c>
      <c r="DY132" s="32">
        <f t="shared" si="604"/>
        <v>0.12242700700726457</v>
      </c>
      <c r="DZ132" s="32">
        <f t="shared" si="605"/>
        <v>0.20032871337975641</v>
      </c>
      <c r="EA132" s="32">
        <f t="shared" si="606"/>
        <v>0.27306653428474376</v>
      </c>
      <c r="EB132" s="32">
        <f t="shared" si="607"/>
        <v>0.36460922624788505</v>
      </c>
      <c r="EC132" s="32">
        <f t="shared" si="608"/>
        <v>0.45434452470087455</v>
      </c>
      <c r="ED132" s="32">
        <f t="shared" si="609"/>
        <v>0.53944265654244916</v>
      </c>
      <c r="EE132" s="32">
        <f t="shared" si="610"/>
        <v>0.62833781788876597</v>
      </c>
      <c r="EF132" s="32">
        <f t="shared" si="611"/>
        <v>0.72505039292131668</v>
      </c>
      <c r="EG132" s="32">
        <f t="shared" si="612"/>
        <v>0.81640245571187842</v>
      </c>
      <c r="EH132" s="32">
        <f t="shared" si="613"/>
        <v>0.91289167606767951</v>
      </c>
      <c r="EI132" s="32">
        <f t="shared" si="614"/>
        <v>1</v>
      </c>
      <c r="EK132" s="32">
        <f t="shared" si="697"/>
        <v>6.4488729751478471E-2</v>
      </c>
      <c r="EL132" s="32">
        <f t="shared" si="615"/>
        <v>0.12987547922225265</v>
      </c>
      <c r="EM132" s="32">
        <f t="shared" si="616"/>
        <v>0.2063314111494782</v>
      </c>
      <c r="EN132" s="32">
        <f t="shared" si="617"/>
        <v>0.28532452471004238</v>
      </c>
      <c r="EO132" s="32">
        <f t="shared" si="618"/>
        <v>0.37059340043117728</v>
      </c>
      <c r="EP132" s="32">
        <f t="shared" si="619"/>
        <v>0.45499677321449422</v>
      </c>
      <c r="EQ132" s="32">
        <f t="shared" si="620"/>
        <v>0.5393325986001779</v>
      </c>
      <c r="ER132" s="32">
        <f t="shared" si="621"/>
        <v>0.63528134546744863</v>
      </c>
      <c r="ES132" s="32">
        <f t="shared" si="622"/>
        <v>0.72807038041121741</v>
      </c>
      <c r="ET132" s="32">
        <f t="shared" si="623"/>
        <v>0.82363063859828101</v>
      </c>
      <c r="EU132" s="32">
        <f t="shared" si="624"/>
        <v>0.91973610814974582</v>
      </c>
      <c r="EV132" s="32">
        <f t="shared" si="625"/>
        <v>1</v>
      </c>
      <c r="EX132" s="32">
        <f t="shared" si="626"/>
        <v>6.6544868853421035E-2</v>
      </c>
      <c r="EY132" s="32">
        <f t="shared" si="627"/>
        <v>0.1348585628014719</v>
      </c>
      <c r="EZ132" s="32">
        <f t="shared" si="628"/>
        <v>0.20941959400432641</v>
      </c>
      <c r="FA132" s="32">
        <f t="shared" si="629"/>
        <v>0.27810557370794559</v>
      </c>
      <c r="FB132" s="32">
        <f t="shared" si="630"/>
        <v>0.35003083961232512</v>
      </c>
      <c r="FC132" s="32">
        <f t="shared" si="631"/>
        <v>0.43050353360992594</v>
      </c>
      <c r="FD132" s="32">
        <f t="shared" si="632"/>
        <v>0.5191437654094414</v>
      </c>
      <c r="FE132" s="32">
        <f t="shared" si="633"/>
        <v>0.61615126338889126</v>
      </c>
      <c r="FF132" s="32">
        <f t="shared" si="634"/>
        <v>0.71396863750166162</v>
      </c>
      <c r="FG132" s="32">
        <f t="shared" si="635"/>
        <v>0.81582114293979346</v>
      </c>
      <c r="FH132" s="32">
        <f t="shared" si="636"/>
        <v>0.91500073251992375</v>
      </c>
      <c r="FI132" s="32">
        <f t="shared" si="637"/>
        <v>1</v>
      </c>
      <c r="FK132" s="32">
        <f t="shared" si="698"/>
        <v>6.7999965868844436E-2</v>
      </c>
      <c r="FL132" s="32">
        <f t="shared" si="638"/>
        <v>0.13900241473287436</v>
      </c>
      <c r="FM132" s="32">
        <f t="shared" si="639"/>
        <v>0.21244988754584973</v>
      </c>
      <c r="FN132" s="32">
        <f t="shared" si="640"/>
        <v>0.27978525351567957</v>
      </c>
      <c r="FO132" s="32">
        <f t="shared" si="641"/>
        <v>0.34517137740047182</v>
      </c>
      <c r="FP132" s="32">
        <f t="shared" si="642"/>
        <v>0.42255653657960973</v>
      </c>
      <c r="FQ132" s="32">
        <f t="shared" si="643"/>
        <v>0.51237746836510556</v>
      </c>
      <c r="FR132" s="32">
        <f t="shared" si="644"/>
        <v>0.6120890785555998</v>
      </c>
      <c r="FS132" s="32">
        <f t="shared" si="645"/>
        <v>0.71027471902844319</v>
      </c>
      <c r="FT132" s="32">
        <f t="shared" si="646"/>
        <v>0.81562737201576507</v>
      </c>
      <c r="FU132" s="32">
        <f t="shared" si="647"/>
        <v>0.91570375133733839</v>
      </c>
      <c r="FV132" s="32">
        <f t="shared" si="648"/>
        <v>1</v>
      </c>
      <c r="FX132" s="32">
        <f t="shared" si="649"/>
        <v>6.5248879974554544E-2</v>
      </c>
      <c r="FY132" s="32">
        <f t="shared" si="650"/>
        <v>0.14041673593610002</v>
      </c>
      <c r="FZ132" s="32">
        <f t="shared" si="651"/>
        <v>0.21189603818762739</v>
      </c>
      <c r="GA132" s="32">
        <f t="shared" si="652"/>
        <v>0.27399787736669201</v>
      </c>
      <c r="GB132" s="32">
        <f t="shared" si="653"/>
        <v>0.34166935941386511</v>
      </c>
      <c r="GC132" s="32">
        <f t="shared" si="654"/>
        <v>0.42235000732586064</v>
      </c>
      <c r="GD132" s="32">
        <f t="shared" si="655"/>
        <v>0.51958348723956149</v>
      </c>
      <c r="GE132" s="32">
        <f t="shared" si="656"/>
        <v>0.62114771218522646</v>
      </c>
      <c r="GF132" s="32">
        <f t="shared" si="657"/>
        <v>0.72094581611380792</v>
      </c>
      <c r="GG132" s="32">
        <f t="shared" si="658"/>
        <v>0.82662641942521942</v>
      </c>
      <c r="GH132" s="32">
        <f t="shared" si="659"/>
        <v>0.91882144288536594</v>
      </c>
      <c r="GI132" s="32">
        <f t="shared" si="660"/>
        <v>1</v>
      </c>
    </row>
    <row r="133" spans="1:191">
      <c r="A133" s="724" t="s">
        <v>87</v>
      </c>
      <c r="B133" s="399">
        <v>162623.62</v>
      </c>
      <c r="C133" s="400">
        <v>241677.03999999998</v>
      </c>
      <c r="D133" s="400">
        <v>296788.5</v>
      </c>
      <c r="E133" s="400">
        <v>262212.15000000002</v>
      </c>
      <c r="F133" s="400">
        <v>295906.94999999995</v>
      </c>
      <c r="G133" s="400">
        <v>328524.30000000005</v>
      </c>
      <c r="H133" s="400">
        <v>336458.25</v>
      </c>
      <c r="I133" s="400">
        <v>323724.75</v>
      </c>
      <c r="J133" s="400">
        <v>317945.7</v>
      </c>
      <c r="K133" s="400">
        <v>275043.59999999998</v>
      </c>
      <c r="L133" s="400">
        <v>259567.5</v>
      </c>
      <c r="M133" s="400">
        <v>246344.25</v>
      </c>
      <c r="N133" s="400">
        <f t="shared" si="588"/>
        <v>3346816.61</v>
      </c>
      <c r="P133" s="396" t="s">
        <v>87</v>
      </c>
      <c r="Q133" s="399">
        <v>171823.81</v>
      </c>
      <c r="R133" s="400">
        <v>215584.75999999998</v>
      </c>
      <c r="S133" s="400">
        <v>242426.25</v>
      </c>
      <c r="T133" s="400">
        <v>185517.3</v>
      </c>
      <c r="U133" s="400">
        <v>250543.2</v>
      </c>
      <c r="V133" s="400">
        <v>281110.05</v>
      </c>
      <c r="W133" s="400">
        <v>280528.8</v>
      </c>
      <c r="X133" s="400">
        <v>297278.25</v>
      </c>
      <c r="Y133" s="400">
        <v>266619.90000000002</v>
      </c>
      <c r="Z133" s="400">
        <v>282389.85000000003</v>
      </c>
      <c r="AA133" s="400">
        <v>250654.05</v>
      </c>
      <c r="AB133" s="400">
        <v>228713.25</v>
      </c>
      <c r="AC133" s="400">
        <f t="shared" si="589"/>
        <v>2953189.4699999997</v>
      </c>
      <c r="AE133" s="127" t="s">
        <v>87</v>
      </c>
      <c r="AF133" s="27">
        <v>151002.23999999999</v>
      </c>
      <c r="AG133" s="27">
        <v>205818.72</v>
      </c>
      <c r="AH133" s="27">
        <v>209419.6</v>
      </c>
      <c r="AI133" s="27">
        <v>245333.64</v>
      </c>
      <c r="AJ133" s="27">
        <v>249313.56</v>
      </c>
      <c r="AK133" s="27">
        <v>221454.12</v>
      </c>
      <c r="AL133" s="27">
        <v>270445.03999999998</v>
      </c>
      <c r="AM133" s="27">
        <v>244575.56</v>
      </c>
      <c r="AN133" s="27">
        <v>223065.04</v>
      </c>
      <c r="AO133" s="27">
        <v>249603.78</v>
      </c>
      <c r="AP133" s="27">
        <v>208092.96</v>
      </c>
      <c r="AQ133" s="27">
        <v>194826.56</v>
      </c>
      <c r="AR133" s="43">
        <f t="shared" si="590"/>
        <v>2672950.8199999998</v>
      </c>
      <c r="AT133" s="60" t="s">
        <v>87</v>
      </c>
      <c r="AU133" s="27">
        <v>110394.03</v>
      </c>
      <c r="AV133" s="27">
        <v>143153.74</v>
      </c>
      <c r="AW133" s="27">
        <v>203977.39</v>
      </c>
      <c r="AX133" s="27">
        <v>197640</v>
      </c>
      <c r="AY133" s="27">
        <v>216397.5</v>
      </c>
      <c r="AZ133" s="27">
        <v>217312.5</v>
      </c>
      <c r="BA133" s="27">
        <v>219325.50000000003</v>
      </c>
      <c r="BB133" s="27">
        <v>236710.5</v>
      </c>
      <c r="BC133" s="27">
        <v>188581.5</v>
      </c>
      <c r="BD133" s="27">
        <v>214294.86</v>
      </c>
      <c r="BE133" s="27">
        <v>173398.26</v>
      </c>
      <c r="BF133" s="27">
        <v>172477.5</v>
      </c>
      <c r="BG133" s="43">
        <f t="shared" si="699"/>
        <v>2293663.2800000003</v>
      </c>
      <c r="BI133" s="60" t="s">
        <v>87</v>
      </c>
      <c r="BJ133" s="27">
        <v>99432.57</v>
      </c>
      <c r="BK133" s="27">
        <v>137333.68</v>
      </c>
      <c r="BL133" s="27">
        <v>203090.32</v>
      </c>
      <c r="BM133" s="27">
        <v>148308.44999999998</v>
      </c>
      <c r="BN133" s="27">
        <v>198201.39</v>
      </c>
      <c r="BO133" s="27">
        <v>204017.57</v>
      </c>
      <c r="BP133" s="27">
        <v>189050.87</v>
      </c>
      <c r="BQ133" s="27">
        <v>205294.52999999997</v>
      </c>
      <c r="BR133" s="27">
        <v>177418.91</v>
      </c>
      <c r="BS133" s="27">
        <v>170983.28</v>
      </c>
      <c r="BT133" s="27">
        <v>153869.78</v>
      </c>
      <c r="BU133" s="27">
        <v>154144.22</v>
      </c>
      <c r="BV133" s="43">
        <f t="shared" si="700"/>
        <v>2041145.57</v>
      </c>
      <c r="BW133" s="405"/>
      <c r="BX133" s="32">
        <f t="shared" si="661"/>
        <v>4.8590538099426969E-2</v>
      </c>
      <c r="BY133" s="32">
        <f t="shared" si="662"/>
        <v>0.12080155775251755</v>
      </c>
      <c r="BZ133" s="32">
        <f t="shared" si="663"/>
        <v>0.20947940735838524</v>
      </c>
      <c r="CA133" s="32">
        <f t="shared" si="664"/>
        <v>0.28782614115208421</v>
      </c>
      <c r="CB133" s="32">
        <f t="shared" si="665"/>
        <v>0.37624059120466713</v>
      </c>
      <c r="CC133" s="32">
        <f t="shared" si="666"/>
        <v>0.47440082472878603</v>
      </c>
      <c r="CD133" s="32">
        <f t="shared" si="667"/>
        <v>0.57493165423246773</v>
      </c>
      <c r="CE133" s="32">
        <f t="shared" si="668"/>
        <v>0.67165782352203629</v>
      </c>
      <c r="CF133" s="32">
        <f t="shared" si="669"/>
        <v>0.76665726240673815</v>
      </c>
      <c r="CG133" s="32">
        <f t="shared" si="670"/>
        <v>0.8488379230315819</v>
      </c>
      <c r="CH133" s="32">
        <f t="shared" si="671"/>
        <v>0.92639445816542665</v>
      </c>
      <c r="CI133" s="32">
        <f t="shared" si="672"/>
        <v>1</v>
      </c>
      <c r="CJ133" s="405"/>
      <c r="CK133" s="32">
        <f t="shared" si="673"/>
        <v>5.8182453833549669E-2</v>
      </c>
      <c r="CL133" s="32">
        <f t="shared" si="674"/>
        <v>0.1311831069206677</v>
      </c>
      <c r="CM133" s="32">
        <f t="shared" si="675"/>
        <v>0.21327274338412158</v>
      </c>
      <c r="CN133" s="32">
        <f t="shared" si="676"/>
        <v>0.27609204498484141</v>
      </c>
      <c r="CO133" s="32">
        <f t="shared" si="677"/>
        <v>0.36093021827007932</v>
      </c>
      <c r="CP133" s="32">
        <f t="shared" si="678"/>
        <v>0.45611884495849836</v>
      </c>
      <c r="CQ133" s="32">
        <f t="shared" si="679"/>
        <v>0.55111065054691533</v>
      </c>
      <c r="CR133" s="32">
        <f t="shared" si="680"/>
        <v>0.65177410374553457</v>
      </c>
      <c r="CS133" s="32">
        <f t="shared" si="681"/>
        <v>0.74205612009039168</v>
      </c>
      <c r="CT133" s="32">
        <f t="shared" si="682"/>
        <v>0.83767810874660886</v>
      </c>
      <c r="CU133" s="32">
        <f t="shared" si="683"/>
        <v>0.92255381772033751</v>
      </c>
      <c r="CV133" s="32">
        <f t="shared" si="684"/>
        <v>1</v>
      </c>
      <c r="CX133" s="32">
        <f t="shared" si="685"/>
        <v>5.6492711676603163E-2</v>
      </c>
      <c r="CY133" s="32">
        <f t="shared" si="686"/>
        <v>0.13349327542060799</v>
      </c>
      <c r="CZ133" s="32">
        <f t="shared" si="687"/>
        <v>0.21184099451556687</v>
      </c>
      <c r="DA133" s="32">
        <f t="shared" si="688"/>
        <v>0.30362481566346217</v>
      </c>
      <c r="DB133" s="32">
        <f t="shared" si="689"/>
        <v>0.3968975979887277</v>
      </c>
      <c r="DC133" s="32">
        <f t="shared" si="690"/>
        <v>0.47974765207240139</v>
      </c>
      <c r="DD133" s="32">
        <f t="shared" si="691"/>
        <v>0.58092610922037091</v>
      </c>
      <c r="DE133" s="32">
        <f t="shared" si="692"/>
        <v>0.67242631871543379</v>
      </c>
      <c r="DF133" s="32">
        <f t="shared" si="693"/>
        <v>0.75587904756137647</v>
      </c>
      <c r="DG133" s="32">
        <f t="shared" si="694"/>
        <v>0.84926040651956325</v>
      </c>
      <c r="DH133" s="32">
        <f t="shared" si="695"/>
        <v>0.92711180522206538</v>
      </c>
      <c r="DI133" s="32">
        <f t="shared" si="696"/>
        <v>1</v>
      </c>
      <c r="DK133" s="32">
        <f t="shared" si="591"/>
        <v>4.8130007121184759E-2</v>
      </c>
      <c r="DL133" s="32">
        <f t="shared" si="592"/>
        <v>0.11054271662752518</v>
      </c>
      <c r="DM133" s="32">
        <f t="shared" si="593"/>
        <v>0.19947355132266842</v>
      </c>
      <c r="DN133" s="32">
        <f t="shared" si="594"/>
        <v>0.28564138673397604</v>
      </c>
      <c r="DO133" s="32">
        <f t="shared" si="595"/>
        <v>0.37998718800607906</v>
      </c>
      <c r="DP133" s="32">
        <f t="shared" si="596"/>
        <v>0.47473191444212337</v>
      </c>
      <c r="DQ133" s="32">
        <f t="shared" si="597"/>
        <v>0.57035427623883839</v>
      </c>
      <c r="DR133" s="32">
        <f t="shared" si="598"/>
        <v>0.67355621615043682</v>
      </c>
      <c r="DS133" s="32">
        <f t="shared" si="599"/>
        <v>0.75577469243872619</v>
      </c>
      <c r="DT133" s="32">
        <f t="shared" si="600"/>
        <v>0.84920377676360581</v>
      </c>
      <c r="DU133" s="32">
        <f t="shared" si="601"/>
        <v>0.92480260659707647</v>
      </c>
      <c r="DV133" s="32">
        <f t="shared" si="602"/>
        <v>1</v>
      </c>
      <c r="DW133" s="39"/>
      <c r="DX133" s="32">
        <f t="shared" si="603"/>
        <v>4.8714100288300359E-2</v>
      </c>
      <c r="DY133" s="32">
        <f t="shared" si="604"/>
        <v>0.11599674882570966</v>
      </c>
      <c r="DZ133" s="32">
        <f t="shared" si="605"/>
        <v>0.21549495364997412</v>
      </c>
      <c r="EA133" s="32">
        <f t="shared" si="606"/>
        <v>0.28815437205686412</v>
      </c>
      <c r="EB133" s="32">
        <f t="shared" si="607"/>
        <v>0.3852573875953394</v>
      </c>
      <c r="EC133" s="32">
        <f t="shared" si="608"/>
        <v>0.48520987163105667</v>
      </c>
      <c r="ED133" s="32">
        <f t="shared" si="609"/>
        <v>0.57782985561387479</v>
      </c>
      <c r="EE133" s="32">
        <f t="shared" si="610"/>
        <v>0.67840794912045399</v>
      </c>
      <c r="EF133" s="32">
        <f t="shared" si="611"/>
        <v>0.76532919207717265</v>
      </c>
      <c r="EG133" s="32">
        <f t="shared" si="612"/>
        <v>0.84909748499711368</v>
      </c>
      <c r="EH133" s="32">
        <f t="shared" si="613"/>
        <v>0.9244815155442343</v>
      </c>
      <c r="EI133" s="32">
        <f t="shared" si="614"/>
        <v>1</v>
      </c>
      <c r="EK133" s="32">
        <f t="shared" si="697"/>
        <v>5.1112273028696094E-2</v>
      </c>
      <c r="EL133" s="32">
        <f t="shared" si="615"/>
        <v>0.12001091362461429</v>
      </c>
      <c r="EM133" s="32">
        <f t="shared" si="616"/>
        <v>0.20893649982940313</v>
      </c>
      <c r="EN133" s="32">
        <f t="shared" si="617"/>
        <v>0.29247352481810079</v>
      </c>
      <c r="EO133" s="32">
        <f t="shared" si="618"/>
        <v>0.38738072453004868</v>
      </c>
      <c r="EP133" s="32">
        <f t="shared" si="619"/>
        <v>0.47989647938186047</v>
      </c>
      <c r="EQ133" s="32">
        <f t="shared" si="620"/>
        <v>0.57637008035769466</v>
      </c>
      <c r="ER133" s="32">
        <f t="shared" si="621"/>
        <v>0.67479682799544138</v>
      </c>
      <c r="ES133" s="32">
        <f t="shared" si="622"/>
        <v>0.75899431069242507</v>
      </c>
      <c r="ET133" s="32">
        <f t="shared" si="623"/>
        <v>0.84918722276009417</v>
      </c>
      <c r="EU133" s="32">
        <f t="shared" si="624"/>
        <v>0.92546530912112546</v>
      </c>
      <c r="EV133" s="32">
        <f t="shared" si="625"/>
        <v>1</v>
      </c>
      <c r="EX133" s="32">
        <f t="shared" si="626"/>
        <v>5.2879818229909489E-2</v>
      </c>
      <c r="EY133" s="32">
        <f t="shared" si="627"/>
        <v>0.12280396194862764</v>
      </c>
      <c r="EZ133" s="32">
        <f t="shared" si="628"/>
        <v>0.21002056071808275</v>
      </c>
      <c r="FA133" s="32">
        <f t="shared" si="629"/>
        <v>0.28837815485978596</v>
      </c>
      <c r="FB133" s="32">
        <f t="shared" si="630"/>
        <v>0.38076809796505634</v>
      </c>
      <c r="FC133" s="32">
        <f t="shared" si="631"/>
        <v>0.47395207077601992</v>
      </c>
      <c r="FD133" s="32">
        <f t="shared" si="632"/>
        <v>0.57005522290499988</v>
      </c>
      <c r="FE133" s="32">
        <f t="shared" si="633"/>
        <v>0.66904114693296479</v>
      </c>
      <c r="FF133" s="32">
        <f t="shared" si="634"/>
        <v>0.75475976304191672</v>
      </c>
      <c r="FG133" s="32">
        <f t="shared" si="635"/>
        <v>0.8463099442567229</v>
      </c>
      <c r="FH133" s="32">
        <f t="shared" si="636"/>
        <v>0.92473743627092841</v>
      </c>
      <c r="FI133" s="32">
        <f t="shared" si="637"/>
        <v>1</v>
      </c>
      <c r="FK133" s="32">
        <f t="shared" si="698"/>
        <v>5.4268390877112528E-2</v>
      </c>
      <c r="FL133" s="32">
        <f t="shared" si="638"/>
        <v>0.12507303298960029</v>
      </c>
      <c r="FM133" s="32">
        <f t="shared" si="639"/>
        <v>0.20819576307411894</v>
      </c>
      <c r="FN133" s="32">
        <f t="shared" si="640"/>
        <v>0.28845274912742652</v>
      </c>
      <c r="FO133" s="32">
        <f t="shared" si="641"/>
        <v>0.37927166808829532</v>
      </c>
      <c r="FP133" s="32">
        <f t="shared" si="642"/>
        <v>0.47019947049100769</v>
      </c>
      <c r="FQ133" s="32">
        <f t="shared" si="643"/>
        <v>0.56746367866870828</v>
      </c>
      <c r="FR133" s="32">
        <f t="shared" si="644"/>
        <v>0.66591887953713502</v>
      </c>
      <c r="FS133" s="32">
        <f t="shared" si="645"/>
        <v>0.75123662003016489</v>
      </c>
      <c r="FT133" s="32">
        <f t="shared" si="646"/>
        <v>0.84538076400992601</v>
      </c>
      <c r="FU133" s="32">
        <f t="shared" si="647"/>
        <v>0.92482274317982638</v>
      </c>
      <c r="FV133" s="32">
        <f t="shared" si="648"/>
        <v>1</v>
      </c>
      <c r="FX133" s="32">
        <f t="shared" si="649"/>
        <v>5.4421901203193269E-2</v>
      </c>
      <c r="FY133" s="32">
        <f t="shared" si="650"/>
        <v>0.12849264669793106</v>
      </c>
      <c r="FZ133" s="32">
        <f t="shared" si="651"/>
        <v>0.21153104841935788</v>
      </c>
      <c r="GA133" s="32">
        <f t="shared" si="652"/>
        <v>0.28918100060012925</v>
      </c>
      <c r="GB133" s="32">
        <f t="shared" si="653"/>
        <v>0.37802280248782472</v>
      </c>
      <c r="GC133" s="32">
        <f t="shared" si="654"/>
        <v>0.47008910725322856</v>
      </c>
      <c r="GD133" s="32">
        <f t="shared" si="655"/>
        <v>0.56898947133325128</v>
      </c>
      <c r="GE133" s="32">
        <f t="shared" si="656"/>
        <v>0.66528608199433481</v>
      </c>
      <c r="GF133" s="32">
        <f t="shared" si="657"/>
        <v>0.75486414335283536</v>
      </c>
      <c r="GG133" s="32">
        <f t="shared" si="658"/>
        <v>0.84525881276591797</v>
      </c>
      <c r="GH133" s="32">
        <f t="shared" si="659"/>
        <v>0.92535336036927651</v>
      </c>
      <c r="GI133" s="32">
        <f t="shared" si="660"/>
        <v>1</v>
      </c>
    </row>
    <row r="134" spans="1:191">
      <c r="A134" s="724" t="s">
        <v>88</v>
      </c>
      <c r="B134" s="399">
        <v>131514.61000000002</v>
      </c>
      <c r="C134" s="400">
        <v>162117.43000000002</v>
      </c>
      <c r="D134" s="400">
        <v>190610.7</v>
      </c>
      <c r="E134" s="400">
        <v>187280.40000000002</v>
      </c>
      <c r="F134" s="400">
        <v>193549.2</v>
      </c>
      <c r="G134" s="400">
        <v>177877.19999999998</v>
      </c>
      <c r="H134" s="400">
        <v>203246.25</v>
      </c>
      <c r="I134" s="400">
        <v>205988.85</v>
      </c>
      <c r="J134" s="400">
        <v>188749.65</v>
      </c>
      <c r="K134" s="400">
        <v>168767.85</v>
      </c>
      <c r="L134" s="400">
        <v>178464.9</v>
      </c>
      <c r="M134" s="400">
        <v>151626.6</v>
      </c>
      <c r="N134" s="400">
        <f t="shared" si="588"/>
        <v>2139793.64</v>
      </c>
      <c r="P134" s="396" t="s">
        <v>88</v>
      </c>
      <c r="Q134" s="399">
        <v>122184.18</v>
      </c>
      <c r="R134" s="400">
        <v>150843</v>
      </c>
      <c r="S134" s="400">
        <v>155544.6</v>
      </c>
      <c r="T134" s="400">
        <v>118715.40000000001</v>
      </c>
      <c r="U134" s="400">
        <v>131057.09999999999</v>
      </c>
      <c r="V134" s="400">
        <v>168767.85</v>
      </c>
      <c r="W134" s="400">
        <v>195507.30000000002</v>
      </c>
      <c r="X134" s="400">
        <v>192177.89999999997</v>
      </c>
      <c r="Y134" s="400">
        <v>175232.55000000002</v>
      </c>
      <c r="Z134" s="400">
        <v>195312.3</v>
      </c>
      <c r="AA134" s="400">
        <v>185125.5</v>
      </c>
      <c r="AB134" s="400">
        <v>147022.95000000001</v>
      </c>
      <c r="AC134" s="400">
        <f t="shared" si="589"/>
        <v>1937490.6300000001</v>
      </c>
      <c r="AE134" s="127" t="s">
        <v>88</v>
      </c>
      <c r="AF134" s="27">
        <v>123799.38</v>
      </c>
      <c r="AG134" s="27">
        <v>170473.24</v>
      </c>
      <c r="AH134" s="27">
        <v>171326.07999999999</v>
      </c>
      <c r="AI134" s="27">
        <v>216905.64</v>
      </c>
      <c r="AJ134" s="27">
        <v>242206.56</v>
      </c>
      <c r="AK134" s="27">
        <v>154743.07999999999</v>
      </c>
      <c r="AL134" s="27">
        <v>192173.28</v>
      </c>
      <c r="AM134" s="27">
        <v>183455.35999999999</v>
      </c>
      <c r="AN134" s="27">
        <v>163840.04</v>
      </c>
      <c r="AO134" s="27">
        <v>175779.8</v>
      </c>
      <c r="AP134" s="27">
        <v>167725.20000000001</v>
      </c>
      <c r="AQ134" s="27">
        <v>134464.44</v>
      </c>
      <c r="AR134" s="43">
        <f t="shared" si="590"/>
        <v>2096892.1</v>
      </c>
      <c r="AT134" s="60" t="s">
        <v>88</v>
      </c>
      <c r="AU134" s="27">
        <v>116847.75</v>
      </c>
      <c r="AV134" s="27">
        <v>131943</v>
      </c>
      <c r="AW134" s="27">
        <v>175039.5</v>
      </c>
      <c r="AX134" s="27">
        <v>172660.5</v>
      </c>
      <c r="AY134" s="27">
        <v>174765</v>
      </c>
      <c r="AZ134" s="27">
        <v>156373.5</v>
      </c>
      <c r="BA134" s="27">
        <v>171105</v>
      </c>
      <c r="BB134" s="27">
        <v>177510</v>
      </c>
      <c r="BC134" s="27">
        <v>157288.5</v>
      </c>
      <c r="BD134" s="27">
        <v>162778.5</v>
      </c>
      <c r="BE134" s="27">
        <v>150609</v>
      </c>
      <c r="BF134" s="27">
        <v>142374</v>
      </c>
      <c r="BG134" s="43">
        <f t="shared" si="699"/>
        <v>1889294.25</v>
      </c>
      <c r="BI134" s="60" t="s">
        <v>88</v>
      </c>
      <c r="BJ134" s="27">
        <v>103901.22</v>
      </c>
      <c r="BK134" s="27">
        <v>126896.70999999999</v>
      </c>
      <c r="BL134" s="27">
        <v>178313.47</v>
      </c>
      <c r="BM134" s="27">
        <v>133753.91</v>
      </c>
      <c r="BN134" s="27">
        <v>184095.08</v>
      </c>
      <c r="BO134" s="27">
        <v>168197.24</v>
      </c>
      <c r="BP134" s="27">
        <v>157062.5</v>
      </c>
      <c r="BQ134" s="27">
        <v>184076.36</v>
      </c>
      <c r="BR134" s="27">
        <v>147363.29999999999</v>
      </c>
      <c r="BS134" s="27">
        <v>137577</v>
      </c>
      <c r="BT134" s="27">
        <v>143398.5</v>
      </c>
      <c r="BU134" s="27">
        <v>125739.75</v>
      </c>
      <c r="BV134" s="43">
        <f t="shared" si="700"/>
        <v>1790375.0399999998</v>
      </c>
      <c r="BW134" s="405"/>
      <c r="BX134" s="32">
        <f t="shared" si="661"/>
        <v>6.1461351946068971E-2</v>
      </c>
      <c r="BY134" s="32">
        <f t="shared" si="662"/>
        <v>0.13722446618730955</v>
      </c>
      <c r="BZ134" s="32">
        <f t="shared" si="663"/>
        <v>0.22630347662870892</v>
      </c>
      <c r="CA134" s="32">
        <f t="shared" si="664"/>
        <v>0.31382612203670263</v>
      </c>
      <c r="CB134" s="32">
        <f t="shared" si="665"/>
        <v>0.40427839574287172</v>
      </c>
      <c r="CC134" s="32">
        <f t="shared" si="666"/>
        <v>0.48740659870360209</v>
      </c>
      <c r="CD134" s="32">
        <f t="shared" si="667"/>
        <v>0.58239064118351147</v>
      </c>
      <c r="CE134" s="32">
        <f t="shared" si="668"/>
        <v>0.67865639604387273</v>
      </c>
      <c r="CF134" s="32">
        <f t="shared" si="669"/>
        <v>0.76686567308425124</v>
      </c>
      <c r="CG134" s="32">
        <f t="shared" si="670"/>
        <v>0.84573675992419528</v>
      </c>
      <c r="CH134" s="32">
        <f t="shared" si="671"/>
        <v>0.9291396155378796</v>
      </c>
      <c r="CI134" s="32">
        <f t="shared" si="672"/>
        <v>1</v>
      </c>
      <c r="CJ134" s="405"/>
      <c r="CK134" s="32">
        <f t="shared" si="673"/>
        <v>6.3063107561970505E-2</v>
      </c>
      <c r="CL134" s="32">
        <f t="shared" si="674"/>
        <v>0.14091793569086833</v>
      </c>
      <c r="CM134" s="32">
        <f t="shared" si="675"/>
        <v>0.22119940781339417</v>
      </c>
      <c r="CN134" s="32">
        <f t="shared" si="676"/>
        <v>0.2824721686525008</v>
      </c>
      <c r="CO134" s="32">
        <f t="shared" si="677"/>
        <v>0.35011486997488084</v>
      </c>
      <c r="CP134" s="32">
        <f t="shared" si="678"/>
        <v>0.43722127832948537</v>
      </c>
      <c r="CQ134" s="32">
        <f t="shared" si="679"/>
        <v>0.53812875987947362</v>
      </c>
      <c r="CR134" s="32">
        <f t="shared" si="680"/>
        <v>0.63731783311901746</v>
      </c>
      <c r="CS134" s="32">
        <f t="shared" si="681"/>
        <v>0.72776087696486047</v>
      </c>
      <c r="CT134" s="32">
        <f t="shared" si="682"/>
        <v>0.82856771286682307</v>
      </c>
      <c r="CU134" s="32">
        <f t="shared" si="683"/>
        <v>0.92411682011592489</v>
      </c>
      <c r="CV134" s="32">
        <f t="shared" si="684"/>
        <v>1</v>
      </c>
      <c r="CX134" s="32">
        <f t="shared" si="685"/>
        <v>5.9039461305615104E-2</v>
      </c>
      <c r="CY134" s="32">
        <f t="shared" si="686"/>
        <v>0.14033751188246643</v>
      </c>
      <c r="CZ134" s="32">
        <f t="shared" si="687"/>
        <v>0.22204227866564996</v>
      </c>
      <c r="DA134" s="32">
        <f t="shared" si="688"/>
        <v>0.32548376714281096</v>
      </c>
      <c r="DB134" s="32">
        <f t="shared" si="689"/>
        <v>0.44099116974116115</v>
      </c>
      <c r="DC134" s="32">
        <f t="shared" si="690"/>
        <v>0.51478756584566265</v>
      </c>
      <c r="DD134" s="32">
        <f t="shared" si="691"/>
        <v>0.60643428433918944</v>
      </c>
      <c r="DE134" s="32">
        <f t="shared" si="692"/>
        <v>0.69392345939020894</v>
      </c>
      <c r="DF134" s="32">
        <f t="shared" si="693"/>
        <v>0.7720581616955875</v>
      </c>
      <c r="DG134" s="32">
        <f t="shared" si="694"/>
        <v>0.85588689088961711</v>
      </c>
      <c r="DH134" s="32">
        <f t="shared" si="695"/>
        <v>0.93587441146828687</v>
      </c>
      <c r="DI134" s="32">
        <f t="shared" si="696"/>
        <v>1</v>
      </c>
      <c r="DK134" s="32">
        <f t="shared" si="591"/>
        <v>6.1847300916731206E-2</v>
      </c>
      <c r="DL134" s="32">
        <f t="shared" si="592"/>
        <v>0.13168449012111269</v>
      </c>
      <c r="DM134" s="32">
        <f t="shared" si="593"/>
        <v>0.22433257815716107</v>
      </c>
      <c r="DN134" s="32">
        <f t="shared" si="594"/>
        <v>0.31572146583307498</v>
      </c>
      <c r="DO134" s="32">
        <f t="shared" si="595"/>
        <v>0.40822426151987706</v>
      </c>
      <c r="DP134" s="32">
        <f t="shared" si="596"/>
        <v>0.49099246980717798</v>
      </c>
      <c r="DQ134" s="32">
        <f t="shared" si="597"/>
        <v>0.58155803417069629</v>
      </c>
      <c r="DR134" s="32">
        <f t="shared" si="598"/>
        <v>0.67551375334996122</v>
      </c>
      <c r="DS134" s="32">
        <f t="shared" si="599"/>
        <v>0.75876626946808312</v>
      </c>
      <c r="DT134" s="32">
        <f t="shared" si="600"/>
        <v>0.84492463257113071</v>
      </c>
      <c r="DU134" s="32">
        <f t="shared" si="601"/>
        <v>0.92464170152425962</v>
      </c>
      <c r="DV134" s="32">
        <f t="shared" si="602"/>
        <v>1</v>
      </c>
      <c r="DW134" s="39"/>
      <c r="DX134" s="32">
        <f t="shared" si="603"/>
        <v>5.803321520836216E-2</v>
      </c>
      <c r="DY134" s="32">
        <f t="shared" si="604"/>
        <v>0.12891038181586803</v>
      </c>
      <c r="DZ134" s="32">
        <f t="shared" si="605"/>
        <v>0.22850597827816013</v>
      </c>
      <c r="EA134" s="32">
        <f t="shared" si="606"/>
        <v>0.30321318040716211</v>
      </c>
      <c r="EB134" s="32">
        <f t="shared" si="607"/>
        <v>0.40603804999426268</v>
      </c>
      <c r="EC134" s="32">
        <f t="shared" si="608"/>
        <v>0.49998330517387024</v>
      </c>
      <c r="ED134" s="32">
        <f t="shared" si="609"/>
        <v>0.58770933826244587</v>
      </c>
      <c r="EE134" s="32">
        <f t="shared" si="610"/>
        <v>0.69052375193970528</v>
      </c>
      <c r="EF134" s="32">
        <f t="shared" si="611"/>
        <v>0.77283237259607906</v>
      </c>
      <c r="EG134" s="32">
        <f t="shared" si="612"/>
        <v>0.84967493179529574</v>
      </c>
      <c r="EH134" s="32">
        <f t="shared" si="613"/>
        <v>0.92976904436737451</v>
      </c>
      <c r="EI134" s="32">
        <f t="shared" si="614"/>
        <v>1</v>
      </c>
      <c r="EK134" s="32">
        <f t="shared" si="697"/>
        <v>5.9639992476902826E-2</v>
      </c>
      <c r="EL134" s="32">
        <f t="shared" si="615"/>
        <v>0.13364412793981573</v>
      </c>
      <c r="EM134" s="32">
        <f t="shared" si="616"/>
        <v>0.2249602783669904</v>
      </c>
      <c r="EN134" s="32">
        <f t="shared" si="617"/>
        <v>0.31480613779434935</v>
      </c>
      <c r="EO134" s="32">
        <f t="shared" si="618"/>
        <v>0.41841782708510028</v>
      </c>
      <c r="EP134" s="32">
        <f t="shared" si="619"/>
        <v>0.50192111360890357</v>
      </c>
      <c r="EQ134" s="32">
        <f t="shared" si="620"/>
        <v>0.59190055225744387</v>
      </c>
      <c r="ER134" s="32">
        <f t="shared" si="621"/>
        <v>0.68665365489329178</v>
      </c>
      <c r="ES134" s="32">
        <f t="shared" si="622"/>
        <v>0.76788560125324989</v>
      </c>
      <c r="ET134" s="32">
        <f t="shared" si="623"/>
        <v>0.85016215175201459</v>
      </c>
      <c r="EU134" s="32">
        <f t="shared" si="624"/>
        <v>0.93009505245330704</v>
      </c>
      <c r="EV134" s="32">
        <f t="shared" si="625"/>
        <v>1</v>
      </c>
      <c r="EX134" s="32">
        <f t="shared" si="626"/>
        <v>6.0495771248169745E-2</v>
      </c>
      <c r="EY134" s="32">
        <f t="shared" si="627"/>
        <v>0.13546257987757887</v>
      </c>
      <c r="EZ134" s="32">
        <f t="shared" si="628"/>
        <v>0.22402006072859135</v>
      </c>
      <c r="FA134" s="32">
        <f t="shared" si="629"/>
        <v>0.30672264550888717</v>
      </c>
      <c r="FB134" s="32">
        <f t="shared" si="630"/>
        <v>0.40134208780754543</v>
      </c>
      <c r="FC134" s="32">
        <f t="shared" si="631"/>
        <v>0.48574615478904903</v>
      </c>
      <c r="FD134" s="32">
        <f t="shared" si="632"/>
        <v>0.57845760416295133</v>
      </c>
      <c r="FE134" s="32">
        <f t="shared" si="633"/>
        <v>0.67431969944972314</v>
      </c>
      <c r="FF134" s="32">
        <f t="shared" si="634"/>
        <v>0.75785442018115257</v>
      </c>
      <c r="FG134" s="32">
        <f t="shared" si="635"/>
        <v>0.84476354203071669</v>
      </c>
      <c r="FH134" s="32">
        <f t="shared" si="636"/>
        <v>0.92860049436896142</v>
      </c>
      <c r="FI134" s="32">
        <f t="shared" si="637"/>
        <v>1</v>
      </c>
      <c r="FK134" s="32">
        <f t="shared" si="698"/>
        <v>6.1316623261438941E-2</v>
      </c>
      <c r="FL134" s="32">
        <f t="shared" si="638"/>
        <v>0.13764664589814915</v>
      </c>
      <c r="FM134" s="32">
        <f t="shared" si="639"/>
        <v>0.22252475487873505</v>
      </c>
      <c r="FN134" s="32">
        <f t="shared" si="640"/>
        <v>0.30789246720946223</v>
      </c>
      <c r="FO134" s="32">
        <f t="shared" si="641"/>
        <v>0.39977676707863968</v>
      </c>
      <c r="FP134" s="32">
        <f t="shared" si="642"/>
        <v>0.48100043799410863</v>
      </c>
      <c r="FQ134" s="32">
        <f t="shared" si="643"/>
        <v>0.57537369279645312</v>
      </c>
      <c r="FR134" s="32">
        <f t="shared" si="644"/>
        <v>0.66891834861972921</v>
      </c>
      <c r="FS134" s="32">
        <f t="shared" si="645"/>
        <v>0.75286176937617688</v>
      </c>
      <c r="FT134" s="32">
        <f t="shared" si="646"/>
        <v>0.84312641210919026</v>
      </c>
      <c r="FU134" s="32">
        <f t="shared" si="647"/>
        <v>0.9282109777028239</v>
      </c>
      <c r="FV134" s="32">
        <f t="shared" si="648"/>
        <v>1</v>
      </c>
      <c r="FX134" s="32">
        <f t="shared" si="649"/>
        <v>6.1187973604551527E-2</v>
      </c>
      <c r="FY134" s="32">
        <f t="shared" si="650"/>
        <v>0.13949330458688144</v>
      </c>
      <c r="FZ134" s="32">
        <f t="shared" si="651"/>
        <v>0.22318172103591771</v>
      </c>
      <c r="GA134" s="32">
        <f t="shared" si="652"/>
        <v>0.3072606859440048</v>
      </c>
      <c r="GB134" s="32">
        <f t="shared" si="653"/>
        <v>0.39846147848630453</v>
      </c>
      <c r="GC134" s="32">
        <f t="shared" si="654"/>
        <v>0.47980514762624998</v>
      </c>
      <c r="GD134" s="32">
        <f t="shared" si="655"/>
        <v>0.57565122846739147</v>
      </c>
      <c r="GE134" s="32">
        <f t="shared" si="656"/>
        <v>0.66996589618436653</v>
      </c>
      <c r="GF134" s="32">
        <f t="shared" si="657"/>
        <v>0.75556157058156648</v>
      </c>
      <c r="GG134" s="32">
        <f t="shared" si="658"/>
        <v>0.84339712122687838</v>
      </c>
      <c r="GH134" s="32">
        <f t="shared" si="659"/>
        <v>0.92971028237403042</v>
      </c>
      <c r="GI134" s="32">
        <f t="shared" si="660"/>
        <v>1</v>
      </c>
    </row>
    <row r="135" spans="1:191">
      <c r="A135" s="724" t="s">
        <v>89</v>
      </c>
      <c r="B135" s="399">
        <v>366291.28</v>
      </c>
      <c r="C135" s="400">
        <v>429526.17</v>
      </c>
      <c r="D135" s="400">
        <v>542164.13</v>
      </c>
      <c r="E135" s="400">
        <v>474078</v>
      </c>
      <c r="F135" s="400">
        <v>527560.65</v>
      </c>
      <c r="G135" s="400">
        <v>546634.20000000007</v>
      </c>
      <c r="H135" s="400">
        <v>589071.30000000005</v>
      </c>
      <c r="I135" s="400">
        <v>600825.30000000005</v>
      </c>
      <c r="J135" s="400">
        <v>547246.65</v>
      </c>
      <c r="K135" s="400">
        <v>519722.7</v>
      </c>
      <c r="L135" s="400">
        <v>506205.6</v>
      </c>
      <c r="M135" s="400">
        <v>535296.65</v>
      </c>
      <c r="N135" s="400">
        <f t="shared" si="588"/>
        <v>6184622.6300000008</v>
      </c>
      <c r="P135" s="396" t="s">
        <v>89</v>
      </c>
      <c r="Q135" s="399">
        <v>410491.93</v>
      </c>
      <c r="R135" s="400">
        <v>359574.44999999995</v>
      </c>
      <c r="S135" s="400">
        <v>368683.8</v>
      </c>
      <c r="T135" s="400">
        <v>245266.80000000002</v>
      </c>
      <c r="U135" s="400">
        <v>321373.95</v>
      </c>
      <c r="V135" s="400">
        <v>402280.65</v>
      </c>
      <c r="W135" s="400">
        <v>472314.89999999997</v>
      </c>
      <c r="X135" s="400">
        <v>492491.9</v>
      </c>
      <c r="Y135" s="400">
        <v>475155.45</v>
      </c>
      <c r="Z135" s="400">
        <v>496214.7</v>
      </c>
      <c r="AA135" s="400">
        <v>472568.7</v>
      </c>
      <c r="AB135" s="400">
        <v>457622.39999999997</v>
      </c>
      <c r="AC135" s="400">
        <f t="shared" si="589"/>
        <v>4974039.6300000008</v>
      </c>
      <c r="AE135" s="127" t="s">
        <v>89</v>
      </c>
      <c r="AF135" s="27">
        <v>336712.72</v>
      </c>
      <c r="AG135" s="27">
        <v>387284.12</v>
      </c>
      <c r="AH135" s="27">
        <v>373449.16</v>
      </c>
      <c r="AI135" s="27">
        <v>447267.2</v>
      </c>
      <c r="AJ135" s="27">
        <v>483749.8</v>
      </c>
      <c r="AK135" s="27">
        <v>400171.48</v>
      </c>
      <c r="AL135" s="27">
        <v>491520.12</v>
      </c>
      <c r="AM135" s="27">
        <v>490288.24</v>
      </c>
      <c r="AN135" s="27">
        <v>444424.4</v>
      </c>
      <c r="AO135" s="27">
        <v>506776.48</v>
      </c>
      <c r="AP135" s="27">
        <v>440539.24</v>
      </c>
      <c r="AQ135" s="27">
        <v>419881.56</v>
      </c>
      <c r="AR135" s="43">
        <f t="shared" si="590"/>
        <v>5222064.5199999996</v>
      </c>
      <c r="AT135" s="60" t="s">
        <v>89</v>
      </c>
      <c r="AU135" s="27">
        <v>300816.75</v>
      </c>
      <c r="AV135" s="27">
        <v>304329</v>
      </c>
      <c r="AW135" s="27">
        <v>401044.5</v>
      </c>
      <c r="AX135" s="27">
        <v>399031.5</v>
      </c>
      <c r="AY135" s="27">
        <v>416142.00000000006</v>
      </c>
      <c r="AZ135" s="27">
        <v>401868</v>
      </c>
      <c r="BA135" s="27">
        <v>423096.00000000006</v>
      </c>
      <c r="BB135" s="27">
        <v>443866.5</v>
      </c>
      <c r="BC135" s="27">
        <v>400403.99</v>
      </c>
      <c r="BD135" s="27">
        <v>436363.5</v>
      </c>
      <c r="BE135" s="27">
        <v>370117.5</v>
      </c>
      <c r="BF135" s="27">
        <v>341478</v>
      </c>
      <c r="BG135" s="43">
        <f t="shared" si="699"/>
        <v>4638557.24</v>
      </c>
      <c r="BI135" s="60" t="s">
        <v>89</v>
      </c>
      <c r="BJ135" s="27">
        <v>285332.84000000003</v>
      </c>
      <c r="BK135" s="27">
        <v>285507.7</v>
      </c>
      <c r="BL135" s="27">
        <v>383715.35</v>
      </c>
      <c r="BM135" s="27">
        <v>318487.81</v>
      </c>
      <c r="BN135" s="27">
        <v>423994.01</v>
      </c>
      <c r="BO135" s="27">
        <v>415648</v>
      </c>
      <c r="BP135" s="27">
        <v>364177.08999999997</v>
      </c>
      <c r="BQ135" s="27">
        <v>427389.5</v>
      </c>
      <c r="BR135" s="27">
        <v>374616.43</v>
      </c>
      <c r="BS135" s="27">
        <v>386540.91</v>
      </c>
      <c r="BT135" s="27">
        <v>350920.25</v>
      </c>
      <c r="BU135" s="27">
        <v>334585.37</v>
      </c>
      <c r="BV135" s="43">
        <f t="shared" si="700"/>
        <v>4350915.26</v>
      </c>
      <c r="BW135" s="405"/>
      <c r="BX135" s="32">
        <f t="shared" si="661"/>
        <v>5.9226132605604102E-2</v>
      </c>
      <c r="BY135" s="32">
        <f t="shared" si="662"/>
        <v>0.12867680012353475</v>
      </c>
      <c r="BZ135" s="32">
        <f t="shared" si="663"/>
        <v>0.21634005177774282</v>
      </c>
      <c r="CA135" s="32">
        <f t="shared" si="664"/>
        <v>0.29299436496095477</v>
      </c>
      <c r="CB135" s="32">
        <f t="shared" si="665"/>
        <v>0.37829636017743573</v>
      </c>
      <c r="CC135" s="32">
        <f t="shared" si="666"/>
        <v>0.46668238349734198</v>
      </c>
      <c r="CD135" s="32">
        <f t="shared" si="667"/>
        <v>0.5619301189278868</v>
      </c>
      <c r="CE135" s="32">
        <f t="shared" si="668"/>
        <v>0.65907837451999873</v>
      </c>
      <c r="CF135" s="32">
        <f t="shared" si="669"/>
        <v>0.74756342570896683</v>
      </c>
      <c r="CG135" s="32">
        <f t="shared" si="670"/>
        <v>0.8315980921862649</v>
      </c>
      <c r="CH135" s="32">
        <f t="shared" si="671"/>
        <v>0.91344716047776053</v>
      </c>
      <c r="CI135" s="32">
        <f t="shared" si="672"/>
        <v>1</v>
      </c>
      <c r="CJ135" s="405"/>
      <c r="CK135" s="32">
        <f t="shared" si="673"/>
        <v>8.2526871624462692E-2</v>
      </c>
      <c r="CL135" s="32">
        <f t="shared" si="674"/>
        <v>0.1548170978283902</v>
      </c>
      <c r="CM135" s="32">
        <f t="shared" si="675"/>
        <v>0.22893870268580865</v>
      </c>
      <c r="CN135" s="32">
        <f t="shared" si="676"/>
        <v>0.2782480806249627</v>
      </c>
      <c r="CO135" s="32">
        <f t="shared" si="677"/>
        <v>0.34285833183037984</v>
      </c>
      <c r="CP135" s="32">
        <f t="shared" si="678"/>
        <v>0.42373437623777027</v>
      </c>
      <c r="CQ135" s="32">
        <f t="shared" si="679"/>
        <v>0.51869037480909652</v>
      </c>
      <c r="CR135" s="32">
        <f t="shared" si="680"/>
        <v>0.61770283482843891</v>
      </c>
      <c r="CS135" s="32">
        <f t="shared" si="681"/>
        <v>0.713229908463757</v>
      </c>
      <c r="CT135" s="32">
        <f t="shared" si="682"/>
        <v>0.81299081447004873</v>
      </c>
      <c r="CU135" s="32">
        <f t="shared" si="683"/>
        <v>0.9079978379665623</v>
      </c>
      <c r="CV135" s="32">
        <f t="shared" si="684"/>
        <v>1</v>
      </c>
      <c r="CX135" s="32">
        <f t="shared" si="685"/>
        <v>6.4478850981335628E-2</v>
      </c>
      <c r="CY135" s="32">
        <f t="shared" si="686"/>
        <v>0.13864187951473261</v>
      </c>
      <c r="CZ135" s="32">
        <f t="shared" si="687"/>
        <v>0.21015558038336915</v>
      </c>
      <c r="DA135" s="32">
        <f t="shared" si="688"/>
        <v>0.29580507749069329</v>
      </c>
      <c r="DB135" s="32">
        <f t="shared" si="689"/>
        <v>0.38844081535783098</v>
      </c>
      <c r="DC135" s="32">
        <f t="shared" si="690"/>
        <v>0.46507171075703219</v>
      </c>
      <c r="DD135" s="32">
        <f t="shared" si="691"/>
        <v>0.55919542717561066</v>
      </c>
      <c r="DE135" s="32">
        <f t="shared" si="692"/>
        <v>0.65308324455554601</v>
      </c>
      <c r="DF135" s="32">
        <f t="shared" si="693"/>
        <v>0.73818835926600157</v>
      </c>
      <c r="DG135" s="32">
        <f t="shared" si="694"/>
        <v>0.83523359454777479</v>
      </c>
      <c r="DH135" s="32">
        <f t="shared" si="695"/>
        <v>0.91959471998250997</v>
      </c>
      <c r="DI135" s="32">
        <f t="shared" si="696"/>
        <v>1</v>
      </c>
      <c r="DK135" s="32">
        <f t="shared" si="591"/>
        <v>6.4851360980510392E-2</v>
      </c>
      <c r="DL135" s="32">
        <f t="shared" si="592"/>
        <v>0.13045990783116865</v>
      </c>
      <c r="DM135" s="32">
        <f t="shared" si="593"/>
        <v>0.21691879563827479</v>
      </c>
      <c r="DN135" s="32">
        <f t="shared" si="594"/>
        <v>0.30294371229964601</v>
      </c>
      <c r="DO135" s="32">
        <f t="shared" si="595"/>
        <v>0.39265738369976433</v>
      </c>
      <c r="DP135" s="32">
        <f t="shared" si="596"/>
        <v>0.47929380515739844</v>
      </c>
      <c r="DQ135" s="32">
        <f t="shared" si="597"/>
        <v>0.57050664960641939</v>
      </c>
      <c r="DR135" s="32">
        <f t="shared" si="598"/>
        <v>0.66619728724097838</v>
      </c>
      <c r="DS135" s="32">
        <f t="shared" si="599"/>
        <v>0.75251809116405344</v>
      </c>
      <c r="DT135" s="32">
        <f t="shared" si="600"/>
        <v>0.84659119998269117</v>
      </c>
      <c r="DU135" s="32">
        <f t="shared" si="601"/>
        <v>0.92638271291441476</v>
      </c>
      <c r="DV135" s="32">
        <f t="shared" si="602"/>
        <v>1</v>
      </c>
      <c r="DW135" s="39"/>
      <c r="DX135" s="32">
        <f t="shared" si="603"/>
        <v>6.5579957997159433E-2</v>
      </c>
      <c r="DY135" s="32">
        <f t="shared" si="604"/>
        <v>0.13120010523946635</v>
      </c>
      <c r="DZ135" s="32">
        <f t="shared" si="605"/>
        <v>0.21939197455203943</v>
      </c>
      <c r="EA135" s="32">
        <f t="shared" si="606"/>
        <v>0.29259216140192074</v>
      </c>
      <c r="EB135" s="32">
        <f t="shared" si="607"/>
        <v>0.39004154495989884</v>
      </c>
      <c r="EC135" s="32">
        <f t="shared" si="608"/>
        <v>0.48557270913154948</v>
      </c>
      <c r="ED135" s="32">
        <f t="shared" si="609"/>
        <v>0.56927396926595164</v>
      </c>
      <c r="EE135" s="32">
        <f t="shared" si="610"/>
        <v>0.66750376103624687</v>
      </c>
      <c r="EF135" s="32">
        <f t="shared" si="611"/>
        <v>0.75360436461361924</v>
      </c>
      <c r="EG135" s="32">
        <f t="shared" si="612"/>
        <v>0.8424456513087778</v>
      </c>
      <c r="EH135" s="32">
        <f t="shared" si="613"/>
        <v>0.92310000310141649</v>
      </c>
      <c r="EI135" s="32">
        <f t="shared" si="614"/>
        <v>1</v>
      </c>
      <c r="EK135" s="32">
        <f t="shared" si="697"/>
        <v>6.4970056653001818E-2</v>
      </c>
      <c r="EL135" s="32">
        <f t="shared" si="615"/>
        <v>0.13343396419512255</v>
      </c>
      <c r="EM135" s="32">
        <f t="shared" si="616"/>
        <v>0.21548878352456113</v>
      </c>
      <c r="EN135" s="32">
        <f t="shared" si="617"/>
        <v>0.29711365039742005</v>
      </c>
      <c r="EO135" s="32">
        <f t="shared" si="618"/>
        <v>0.39037991467249805</v>
      </c>
      <c r="EP135" s="32">
        <f t="shared" si="619"/>
        <v>0.47664607501532669</v>
      </c>
      <c r="EQ135" s="32">
        <f t="shared" si="620"/>
        <v>0.5663253486826606</v>
      </c>
      <c r="ER135" s="32">
        <f t="shared" si="621"/>
        <v>0.66226143094425705</v>
      </c>
      <c r="ES135" s="32">
        <f t="shared" si="622"/>
        <v>0.74810360501455797</v>
      </c>
      <c r="ET135" s="32">
        <f t="shared" si="623"/>
        <v>0.84142348194641459</v>
      </c>
      <c r="EU135" s="32">
        <f t="shared" si="624"/>
        <v>0.92302581199944711</v>
      </c>
      <c r="EV135" s="32">
        <f t="shared" si="625"/>
        <v>1</v>
      </c>
      <c r="EX135" s="32">
        <f t="shared" si="626"/>
        <v>6.935926039586704E-2</v>
      </c>
      <c r="EY135" s="32">
        <f t="shared" si="627"/>
        <v>0.13877974760343947</v>
      </c>
      <c r="EZ135" s="32">
        <f t="shared" si="628"/>
        <v>0.21885126331487301</v>
      </c>
      <c r="FA135" s="32">
        <f t="shared" si="629"/>
        <v>0.29239725795430571</v>
      </c>
      <c r="FB135" s="32">
        <f t="shared" si="630"/>
        <v>0.37849951896196854</v>
      </c>
      <c r="FC135" s="32">
        <f t="shared" si="631"/>
        <v>0.46341815032093758</v>
      </c>
      <c r="FD135" s="32">
        <f t="shared" si="632"/>
        <v>0.55441660521426961</v>
      </c>
      <c r="FE135" s="32">
        <f t="shared" si="633"/>
        <v>0.65112178191530257</v>
      </c>
      <c r="FF135" s="32">
        <f t="shared" si="634"/>
        <v>0.73938518087685789</v>
      </c>
      <c r="FG135" s="32">
        <f t="shared" si="635"/>
        <v>0.83431531507732315</v>
      </c>
      <c r="FH135" s="32">
        <f t="shared" si="636"/>
        <v>0.91926881849122588</v>
      </c>
      <c r="FI135" s="32">
        <f t="shared" si="637"/>
        <v>1</v>
      </c>
      <c r="FK135" s="32">
        <f t="shared" si="698"/>
        <v>7.0619027862102904E-2</v>
      </c>
      <c r="FL135" s="32">
        <f t="shared" si="638"/>
        <v>0.14130629505809716</v>
      </c>
      <c r="FM135" s="32">
        <f t="shared" si="639"/>
        <v>0.21867102623581755</v>
      </c>
      <c r="FN135" s="32">
        <f t="shared" si="640"/>
        <v>0.29233229013843398</v>
      </c>
      <c r="FO135" s="32">
        <f t="shared" si="641"/>
        <v>0.37465217696265835</v>
      </c>
      <c r="FP135" s="32">
        <f t="shared" si="642"/>
        <v>0.456033297384067</v>
      </c>
      <c r="FQ135" s="32">
        <f t="shared" si="643"/>
        <v>0.54946415053037556</v>
      </c>
      <c r="FR135" s="32">
        <f t="shared" si="644"/>
        <v>0.64566112220832117</v>
      </c>
      <c r="FS135" s="32">
        <f t="shared" si="645"/>
        <v>0.73464545296460404</v>
      </c>
      <c r="FT135" s="32">
        <f t="shared" si="646"/>
        <v>0.8316052030001716</v>
      </c>
      <c r="FU135" s="32">
        <f t="shared" si="647"/>
        <v>0.91799175695449564</v>
      </c>
      <c r="FV135" s="32">
        <f t="shared" si="648"/>
        <v>1</v>
      </c>
      <c r="FX135" s="32">
        <f t="shared" si="649"/>
        <v>6.8743951737134143E-2</v>
      </c>
      <c r="FY135" s="32">
        <f t="shared" si="650"/>
        <v>0.14071192582221917</v>
      </c>
      <c r="FZ135" s="32">
        <f t="shared" si="651"/>
        <v>0.21847811161564021</v>
      </c>
      <c r="GA135" s="32">
        <f t="shared" si="652"/>
        <v>0.28901584102553696</v>
      </c>
      <c r="GB135" s="32">
        <f t="shared" si="653"/>
        <v>0.36986516912188216</v>
      </c>
      <c r="GC135" s="32">
        <f t="shared" si="654"/>
        <v>0.45182949016404811</v>
      </c>
      <c r="GD135" s="32">
        <f t="shared" si="655"/>
        <v>0.54660530697086473</v>
      </c>
      <c r="GE135" s="32">
        <f t="shared" si="656"/>
        <v>0.64328815130132788</v>
      </c>
      <c r="GF135" s="32">
        <f t="shared" si="657"/>
        <v>0.73299389781290847</v>
      </c>
      <c r="GG135" s="32">
        <f t="shared" si="658"/>
        <v>0.82660750040136277</v>
      </c>
      <c r="GH135" s="32">
        <f t="shared" si="659"/>
        <v>0.91367990614227768</v>
      </c>
      <c r="GI135" s="32">
        <f t="shared" si="660"/>
        <v>1</v>
      </c>
    </row>
    <row r="136" spans="1:191">
      <c r="A136" s="724" t="s">
        <v>90</v>
      </c>
      <c r="B136" s="399">
        <v>64217.18</v>
      </c>
      <c r="C136" s="400">
        <v>84202.91</v>
      </c>
      <c r="D136" s="400">
        <v>80789.16</v>
      </c>
      <c r="E136" s="400">
        <v>83179.14</v>
      </c>
      <c r="F136" s="400">
        <v>100398.75</v>
      </c>
      <c r="G136" s="400">
        <v>105786</v>
      </c>
      <c r="H136" s="400">
        <v>96676.65</v>
      </c>
      <c r="I136" s="400">
        <v>103337.25</v>
      </c>
      <c r="J136" s="400">
        <v>108842.04</v>
      </c>
      <c r="K136" s="400">
        <v>108038.84999999999</v>
      </c>
      <c r="L136" s="400">
        <v>109899.90000000001</v>
      </c>
      <c r="M136" s="400">
        <v>97264.349999999991</v>
      </c>
      <c r="N136" s="400">
        <f t="shared" si="588"/>
        <v>1142632.1800000002</v>
      </c>
      <c r="P136" s="396" t="s">
        <v>90</v>
      </c>
      <c r="Q136" s="399">
        <v>57595.91</v>
      </c>
      <c r="R136" s="400">
        <v>55929.45</v>
      </c>
      <c r="S136" s="400">
        <v>59553.599999999999</v>
      </c>
      <c r="T136" s="400">
        <v>36535.35</v>
      </c>
      <c r="U136" s="400">
        <v>27523.95</v>
      </c>
      <c r="V136" s="400">
        <v>57006.9</v>
      </c>
      <c r="W136" s="400">
        <v>74050.2</v>
      </c>
      <c r="X136" s="400">
        <v>90211.950000000012</v>
      </c>
      <c r="Y136" s="400">
        <v>76205.100000000006</v>
      </c>
      <c r="Z136" s="400">
        <v>96676.650000000009</v>
      </c>
      <c r="AA136" s="400">
        <v>84432.9</v>
      </c>
      <c r="AB136" s="400">
        <v>81984.150000000009</v>
      </c>
      <c r="AC136" s="400">
        <f t="shared" si="589"/>
        <v>797706.1100000001</v>
      </c>
      <c r="AE136" s="127" t="s">
        <v>90</v>
      </c>
      <c r="AF136" s="27">
        <v>43155.659999999996</v>
      </c>
      <c r="AG136" s="27">
        <v>58751.199999999997</v>
      </c>
      <c r="AH136" s="27">
        <v>57424.56</v>
      </c>
      <c r="AI136" s="27">
        <v>58656.44</v>
      </c>
      <c r="AJ136" s="27">
        <v>69459.08</v>
      </c>
      <c r="AK136" s="27">
        <v>62446.84</v>
      </c>
      <c r="AL136" s="27">
        <v>68321.960000000006</v>
      </c>
      <c r="AM136" s="27">
        <v>67279.600000000006</v>
      </c>
      <c r="AN136" s="27">
        <v>71733.320000000007</v>
      </c>
      <c r="AO136" s="27">
        <v>70975.240000000005</v>
      </c>
      <c r="AP136" s="27">
        <v>66237.240000000005</v>
      </c>
      <c r="AQ136" s="27">
        <v>56287.44</v>
      </c>
      <c r="AR136" s="43">
        <f t="shared" si="590"/>
        <v>750728.58000000007</v>
      </c>
      <c r="AT136" s="60" t="s">
        <v>90</v>
      </c>
      <c r="AU136" s="27">
        <v>37450.25</v>
      </c>
      <c r="AV136" s="27">
        <v>40900.15</v>
      </c>
      <c r="AW136" s="27">
        <v>57847.64</v>
      </c>
      <c r="AX136" s="27">
        <v>58194</v>
      </c>
      <c r="AY136" s="27">
        <v>54076.500000000007</v>
      </c>
      <c r="AZ136" s="27">
        <v>58629</v>
      </c>
      <c r="BA136" s="27">
        <v>63409.500000000007</v>
      </c>
      <c r="BB136" s="27">
        <v>64233</v>
      </c>
      <c r="BC136" s="27">
        <v>61305</v>
      </c>
      <c r="BD136" s="27">
        <v>77134.5</v>
      </c>
      <c r="BE136" s="27">
        <v>58743</v>
      </c>
      <c r="BF136" s="27">
        <v>52521</v>
      </c>
      <c r="BG136" s="43">
        <f t="shared" si="699"/>
        <v>684443.54</v>
      </c>
      <c r="BI136" s="60" t="s">
        <v>90</v>
      </c>
      <c r="BJ136" s="27">
        <v>39918.93</v>
      </c>
      <c r="BK136" s="27">
        <v>45383.22</v>
      </c>
      <c r="BL136" s="27">
        <v>55268.66</v>
      </c>
      <c r="BM136" s="27">
        <v>48135.729999999996</v>
      </c>
      <c r="BN136" s="27">
        <v>59172.729999999996</v>
      </c>
      <c r="BO136" s="27">
        <v>58391.35</v>
      </c>
      <c r="BP136" s="27">
        <v>53377.13</v>
      </c>
      <c r="BQ136" s="27">
        <v>52467.399999999994</v>
      </c>
      <c r="BR136" s="27">
        <v>62428.3</v>
      </c>
      <c r="BS136" s="27">
        <v>60312</v>
      </c>
      <c r="BT136" s="27">
        <v>56363</v>
      </c>
      <c r="BU136" s="27">
        <v>47028</v>
      </c>
      <c r="BV136" s="43">
        <f t="shared" si="700"/>
        <v>638246.44999999995</v>
      </c>
      <c r="BW136" s="405"/>
      <c r="BX136" s="32">
        <f t="shared" si="661"/>
        <v>5.6201095264094517E-2</v>
      </c>
      <c r="BY136" s="32">
        <f t="shared" si="662"/>
        <v>0.12989314724183593</v>
      </c>
      <c r="BZ136" s="32">
        <f t="shared" si="663"/>
        <v>0.20059757987911733</v>
      </c>
      <c r="CA136" s="32">
        <f t="shared" si="664"/>
        <v>0.27339365674087701</v>
      </c>
      <c r="CB136" s="32">
        <f t="shared" si="665"/>
        <v>0.36125985879375455</v>
      </c>
      <c r="CC136" s="32">
        <f t="shared" si="666"/>
        <v>0.45384083266410363</v>
      </c>
      <c r="CD136" s="32">
        <f t="shared" si="667"/>
        <v>0.53844955600672817</v>
      </c>
      <c r="CE136" s="32">
        <f t="shared" si="668"/>
        <v>0.62888745177822658</v>
      </c>
      <c r="CF136" s="32">
        <f t="shared" si="669"/>
        <v>0.72414298711594138</v>
      </c>
      <c r="CG136" s="32">
        <f t="shared" si="670"/>
        <v>0.81869559283723303</v>
      </c>
      <c r="CH136" s="32">
        <f t="shared" si="671"/>
        <v>0.91487693791365121</v>
      </c>
      <c r="CI136" s="32">
        <f t="shared" si="672"/>
        <v>1</v>
      </c>
      <c r="CJ136" s="405"/>
      <c r="CK136" s="32">
        <f t="shared" si="673"/>
        <v>7.2201916567995197E-2</v>
      </c>
      <c r="CL136" s="32">
        <f t="shared" si="674"/>
        <v>0.14231476802904267</v>
      </c>
      <c r="CM136" s="32">
        <f t="shared" si="675"/>
        <v>0.21697083403310019</v>
      </c>
      <c r="CN136" s="32">
        <f t="shared" si="676"/>
        <v>0.26277134820993159</v>
      </c>
      <c r="CO136" s="32">
        <f t="shared" si="677"/>
        <v>0.29727522082035951</v>
      </c>
      <c r="CP136" s="32">
        <f t="shared" si="678"/>
        <v>0.36873875768608566</v>
      </c>
      <c r="CQ136" s="32">
        <f t="shared" si="679"/>
        <v>0.46156768186218355</v>
      </c>
      <c r="CR136" s="32">
        <f t="shared" si="680"/>
        <v>0.57465688710846152</v>
      </c>
      <c r="CS136" s="32">
        <f t="shared" si="681"/>
        <v>0.6701871820939167</v>
      </c>
      <c r="CT136" s="32">
        <f t="shared" si="682"/>
        <v>0.79138049976826674</v>
      </c>
      <c r="CU136" s="32">
        <f t="shared" si="683"/>
        <v>0.89722511966217733</v>
      </c>
      <c r="CV136" s="32">
        <f t="shared" si="684"/>
        <v>1</v>
      </c>
      <c r="CX136" s="32">
        <f t="shared" si="685"/>
        <v>5.748503673591325E-2</v>
      </c>
      <c r="CY136" s="32">
        <f t="shared" si="686"/>
        <v>0.13574394623420355</v>
      </c>
      <c r="CZ136" s="32">
        <f t="shared" si="687"/>
        <v>0.21223571906640343</v>
      </c>
      <c r="DA136" s="32">
        <f t="shared" si="688"/>
        <v>0.29036840451711582</v>
      </c>
      <c r="DB136" s="32">
        <f t="shared" si="689"/>
        <v>0.38289063139170748</v>
      </c>
      <c r="DC136" s="32">
        <f t="shared" si="690"/>
        <v>0.46607227874553542</v>
      </c>
      <c r="DD136" s="32">
        <f t="shared" si="691"/>
        <v>0.55707981704919241</v>
      </c>
      <c r="DE136" s="32">
        <f t="shared" si="692"/>
        <v>0.64669889082949261</v>
      </c>
      <c r="DF136" s="32">
        <f t="shared" si="693"/>
        <v>0.74225049484595362</v>
      </c>
      <c r="DG136" s="32">
        <f t="shared" si="694"/>
        <v>0.83679230648179148</v>
      </c>
      <c r="DH136" s="32">
        <f t="shared" si="695"/>
        <v>0.92502291573873485</v>
      </c>
      <c r="DI136" s="32">
        <f t="shared" si="696"/>
        <v>1</v>
      </c>
      <c r="DK136" s="32">
        <f t="shared" si="591"/>
        <v>5.4716346654393143E-2</v>
      </c>
      <c r="DL136" s="32">
        <f t="shared" si="592"/>
        <v>0.11447313828106258</v>
      </c>
      <c r="DM136" s="32">
        <f t="shared" si="593"/>
        <v>0.1989909058094112</v>
      </c>
      <c r="DN136" s="32">
        <f t="shared" si="594"/>
        <v>0.28401471946100909</v>
      </c>
      <c r="DO136" s="32">
        <f t="shared" si="595"/>
        <v>0.3630226972410317</v>
      </c>
      <c r="DP136" s="32">
        <f t="shared" si="596"/>
        <v>0.44868206368051916</v>
      </c>
      <c r="DQ136" s="32">
        <f t="shared" si="597"/>
        <v>0.54132593610277913</v>
      </c>
      <c r="DR136" s="32">
        <f t="shared" si="598"/>
        <v>0.63517297569935416</v>
      </c>
      <c r="DS136" s="32">
        <f t="shared" si="599"/>
        <v>0.72474208756503122</v>
      </c>
      <c r="DT136" s="32">
        <f t="shared" si="600"/>
        <v>0.83743874622587566</v>
      </c>
      <c r="DU136" s="32">
        <f t="shared" si="601"/>
        <v>0.92326467132701695</v>
      </c>
      <c r="DV136" s="32">
        <f t="shared" si="602"/>
        <v>1</v>
      </c>
      <c r="DW136" s="39"/>
      <c r="DX136" s="32">
        <f t="shared" si="603"/>
        <v>6.2544695704927156E-2</v>
      </c>
      <c r="DY136" s="32">
        <f t="shared" si="604"/>
        <v>0.13365080213137104</v>
      </c>
      <c r="DZ136" s="32">
        <f t="shared" si="605"/>
        <v>0.22024534566545573</v>
      </c>
      <c r="EA136" s="32">
        <f t="shared" si="606"/>
        <v>0.2956640651898651</v>
      </c>
      <c r="EB136" s="32">
        <f t="shared" si="607"/>
        <v>0.38837547784245408</v>
      </c>
      <c r="EC136" s="32">
        <f t="shared" si="608"/>
        <v>0.47986262986656636</v>
      </c>
      <c r="ED136" s="32">
        <f t="shared" si="609"/>
        <v>0.56349353764521526</v>
      </c>
      <c r="EE136" s="32">
        <f t="shared" si="610"/>
        <v>0.64569908692794131</v>
      </c>
      <c r="EF136" s="32">
        <f t="shared" si="611"/>
        <v>0.74351130350979611</v>
      </c>
      <c r="EG136" s="32">
        <f t="shared" si="612"/>
        <v>0.83800771629830451</v>
      </c>
      <c r="EH136" s="32">
        <f t="shared" si="613"/>
        <v>0.92631686396375568</v>
      </c>
      <c r="EI136" s="32">
        <f t="shared" si="614"/>
        <v>1</v>
      </c>
      <c r="EK136" s="32">
        <f t="shared" si="697"/>
        <v>5.8248693031744514E-2</v>
      </c>
      <c r="EL136" s="32">
        <f t="shared" si="615"/>
        <v>0.12795596221554573</v>
      </c>
      <c r="EM136" s="32">
        <f t="shared" si="616"/>
        <v>0.21049065684709012</v>
      </c>
      <c r="EN136" s="32">
        <f t="shared" si="617"/>
        <v>0.29001572972266337</v>
      </c>
      <c r="EO136" s="32">
        <f t="shared" si="618"/>
        <v>0.37809626882506442</v>
      </c>
      <c r="EP136" s="32">
        <f t="shared" si="619"/>
        <v>0.46487232409754031</v>
      </c>
      <c r="EQ136" s="32">
        <f t="shared" si="620"/>
        <v>0.55396643026572889</v>
      </c>
      <c r="ER136" s="32">
        <f t="shared" si="621"/>
        <v>0.64252365115226262</v>
      </c>
      <c r="ES136" s="32">
        <f t="shared" si="622"/>
        <v>0.73683462864026028</v>
      </c>
      <c r="ET136" s="32">
        <f t="shared" si="623"/>
        <v>0.83741292300199055</v>
      </c>
      <c r="EU136" s="32">
        <f t="shared" si="624"/>
        <v>0.92486815034316916</v>
      </c>
      <c r="EV136" s="32">
        <f t="shared" si="625"/>
        <v>1</v>
      </c>
      <c r="EX136" s="32">
        <f t="shared" si="626"/>
        <v>6.1736998915807181E-2</v>
      </c>
      <c r="EY136" s="32">
        <f t="shared" si="627"/>
        <v>0.13154566366891995</v>
      </c>
      <c r="EZ136" s="32">
        <f t="shared" si="628"/>
        <v>0.21211070114359265</v>
      </c>
      <c r="FA136" s="32">
        <f t="shared" si="629"/>
        <v>0.2832046343444804</v>
      </c>
      <c r="FB136" s="32">
        <f t="shared" si="630"/>
        <v>0.35789100682388819</v>
      </c>
      <c r="FC136" s="32">
        <f t="shared" si="631"/>
        <v>0.44083893249467665</v>
      </c>
      <c r="FD136" s="32">
        <f t="shared" si="632"/>
        <v>0.53086674316484261</v>
      </c>
      <c r="FE136" s="32">
        <f t="shared" si="633"/>
        <v>0.62555696014131235</v>
      </c>
      <c r="FF136" s="32">
        <f t="shared" si="634"/>
        <v>0.7201727670036745</v>
      </c>
      <c r="FG136" s="32">
        <f t="shared" si="635"/>
        <v>0.82590481719355968</v>
      </c>
      <c r="FH136" s="32">
        <f t="shared" si="636"/>
        <v>0.9179573926729212</v>
      </c>
      <c r="FI136" s="32">
        <f t="shared" si="637"/>
        <v>1</v>
      </c>
      <c r="FK136" s="32">
        <f t="shared" si="698"/>
        <v>6.1467766652767188E-2</v>
      </c>
      <c r="FL136" s="32">
        <f t="shared" si="638"/>
        <v>0.13084395084810294</v>
      </c>
      <c r="FM136" s="32">
        <f t="shared" si="639"/>
        <v>0.20939915296963826</v>
      </c>
      <c r="FN136" s="32">
        <f t="shared" si="640"/>
        <v>0.2790514907293522</v>
      </c>
      <c r="FO136" s="32">
        <f t="shared" si="641"/>
        <v>0.34772951648436629</v>
      </c>
      <c r="FP136" s="32">
        <f t="shared" si="642"/>
        <v>0.42783103337071343</v>
      </c>
      <c r="FQ136" s="32">
        <f t="shared" si="643"/>
        <v>0.51999114500471844</v>
      </c>
      <c r="FR136" s="32">
        <f t="shared" si="644"/>
        <v>0.61884291787910273</v>
      </c>
      <c r="FS136" s="32">
        <f t="shared" si="645"/>
        <v>0.71239325483496729</v>
      </c>
      <c r="FT136" s="32">
        <f t="shared" si="646"/>
        <v>0.82187051749197793</v>
      </c>
      <c r="FU136" s="32">
        <f t="shared" si="647"/>
        <v>0.91517090224264308</v>
      </c>
      <c r="FV136" s="32">
        <f t="shared" si="648"/>
        <v>1</v>
      </c>
      <c r="FX136" s="32">
        <f t="shared" si="649"/>
        <v>6.1962682856000983E-2</v>
      </c>
      <c r="FY136" s="32">
        <f t="shared" si="650"/>
        <v>0.1359839538350274</v>
      </c>
      <c r="FZ136" s="32">
        <f t="shared" si="651"/>
        <v>0.20993471099287364</v>
      </c>
      <c r="GA136" s="32">
        <f t="shared" si="652"/>
        <v>0.27551113648930814</v>
      </c>
      <c r="GB136" s="32">
        <f t="shared" si="653"/>
        <v>0.3471419036686072</v>
      </c>
      <c r="GC136" s="32">
        <f t="shared" si="654"/>
        <v>0.42955062303190822</v>
      </c>
      <c r="GD136" s="32">
        <f t="shared" si="655"/>
        <v>0.51903235163936801</v>
      </c>
      <c r="GE136" s="32">
        <f t="shared" si="656"/>
        <v>0.61674774323872683</v>
      </c>
      <c r="GF136" s="32">
        <f t="shared" si="657"/>
        <v>0.71219355468527057</v>
      </c>
      <c r="GG136" s="32">
        <f t="shared" si="658"/>
        <v>0.81562279969576379</v>
      </c>
      <c r="GH136" s="32">
        <f t="shared" si="659"/>
        <v>0.91237499110485443</v>
      </c>
      <c r="GI136" s="32">
        <f t="shared" si="660"/>
        <v>1</v>
      </c>
    </row>
    <row r="137" spans="1:191">
      <c r="A137" s="724" t="s">
        <v>91</v>
      </c>
      <c r="B137" s="399">
        <v>80829.63</v>
      </c>
      <c r="C137" s="400">
        <v>84927.739999999991</v>
      </c>
      <c r="D137" s="400">
        <v>108724.5</v>
      </c>
      <c r="E137" s="400">
        <v>100888.5</v>
      </c>
      <c r="F137" s="400">
        <v>99125.400000000009</v>
      </c>
      <c r="G137" s="400">
        <v>106373.70000000001</v>
      </c>
      <c r="H137" s="400">
        <v>117128.61</v>
      </c>
      <c r="I137" s="400">
        <v>107451.15</v>
      </c>
      <c r="J137" s="400">
        <v>130371.45</v>
      </c>
      <c r="K137" s="400">
        <v>115091.25</v>
      </c>
      <c r="L137" s="400">
        <v>112642.5</v>
      </c>
      <c r="M137" s="400">
        <v>106961.40000000001</v>
      </c>
      <c r="N137" s="400">
        <f t="shared" si="588"/>
        <v>1270515.8299999998</v>
      </c>
      <c r="P137" s="396" t="s">
        <v>91</v>
      </c>
      <c r="Q137" s="399">
        <v>73296.62</v>
      </c>
      <c r="R137" s="400">
        <v>74148.150000000009</v>
      </c>
      <c r="S137" s="400">
        <v>75323.55</v>
      </c>
      <c r="T137" s="400">
        <v>35555.85</v>
      </c>
      <c r="U137" s="400">
        <v>45546.75</v>
      </c>
      <c r="V137" s="400">
        <v>49954.5</v>
      </c>
      <c r="W137" s="400">
        <v>81788.25</v>
      </c>
      <c r="X137" s="400">
        <v>95697.150000000009</v>
      </c>
      <c r="Y137" s="400">
        <v>98537.7</v>
      </c>
      <c r="Z137" s="400">
        <v>108920.4</v>
      </c>
      <c r="AA137" s="400">
        <v>95011.5</v>
      </c>
      <c r="AB137" s="400">
        <v>99517.2</v>
      </c>
      <c r="AC137" s="400">
        <f t="shared" si="589"/>
        <v>933297.62</v>
      </c>
      <c r="AE137" s="127" t="s">
        <v>91</v>
      </c>
      <c r="AF137" s="27">
        <v>56869.48</v>
      </c>
      <c r="AG137" s="27">
        <v>77794.7</v>
      </c>
      <c r="AH137" s="27">
        <v>64247.28</v>
      </c>
      <c r="AI137" s="27">
        <v>81777.88</v>
      </c>
      <c r="AJ137" s="27">
        <v>86989.68</v>
      </c>
      <c r="AK137" s="27">
        <v>71449.039999999994</v>
      </c>
      <c r="AL137" s="27">
        <v>78935.08</v>
      </c>
      <c r="AM137" s="27">
        <v>81872.639999999999</v>
      </c>
      <c r="AN137" s="27">
        <v>92864.8</v>
      </c>
      <c r="AO137" s="27">
        <v>95612.84</v>
      </c>
      <c r="AP137" s="27">
        <v>77797.960000000006</v>
      </c>
      <c r="AQ137" s="27">
        <v>77608.44</v>
      </c>
      <c r="AR137" s="43">
        <f t="shared" si="590"/>
        <v>943819.81999999983</v>
      </c>
      <c r="AT137" s="60" t="s">
        <v>91</v>
      </c>
      <c r="AU137" s="27">
        <v>59790.75</v>
      </c>
      <c r="AV137" s="27">
        <v>56179.25</v>
      </c>
      <c r="AW137" s="27">
        <v>74664</v>
      </c>
      <c r="AX137" s="27">
        <v>65422.5</v>
      </c>
      <c r="AY137" s="27">
        <v>78598.5</v>
      </c>
      <c r="AZ137" s="27">
        <v>70089</v>
      </c>
      <c r="BA137" s="27">
        <v>78873</v>
      </c>
      <c r="BB137" s="27">
        <v>93055.5</v>
      </c>
      <c r="BC137" s="27">
        <v>75853.5</v>
      </c>
      <c r="BD137" s="27">
        <v>74663.649999999994</v>
      </c>
      <c r="BE137" s="27">
        <v>82258.5</v>
      </c>
      <c r="BF137" s="27">
        <v>63226.5</v>
      </c>
      <c r="BG137" s="43">
        <f t="shared" si="699"/>
        <v>872674.65</v>
      </c>
      <c r="BI137" s="60" t="s">
        <v>91</v>
      </c>
      <c r="BJ137" s="27">
        <v>57764.37</v>
      </c>
      <c r="BK137" s="27">
        <v>60126.44</v>
      </c>
      <c r="BL137" s="27">
        <v>69764.44</v>
      </c>
      <c r="BM137" s="27">
        <v>50895.35</v>
      </c>
      <c r="BN137" s="27">
        <v>76207.86</v>
      </c>
      <c r="BO137" s="27">
        <v>80867.33</v>
      </c>
      <c r="BP137" s="27">
        <v>66325.25</v>
      </c>
      <c r="BQ137" s="27">
        <v>84185.5</v>
      </c>
      <c r="BR137" s="27">
        <v>66952.5</v>
      </c>
      <c r="BS137" s="27">
        <v>69466</v>
      </c>
      <c r="BT137" s="27">
        <v>59953</v>
      </c>
      <c r="BU137" s="27">
        <v>64153.3</v>
      </c>
      <c r="BV137" s="43">
        <f t="shared" si="700"/>
        <v>806661.34000000008</v>
      </c>
      <c r="BW137" s="405"/>
      <c r="BX137" s="32">
        <f t="shared" si="661"/>
        <v>6.3619537900602166E-2</v>
      </c>
      <c r="BY137" s="32">
        <f t="shared" si="662"/>
        <v>0.13046462396300881</v>
      </c>
      <c r="BZ137" s="32">
        <f t="shared" si="663"/>
        <v>0.21603970884801965</v>
      </c>
      <c r="CA137" s="32">
        <f t="shared" si="664"/>
        <v>0.2954472200476243</v>
      </c>
      <c r="CB137" s="32">
        <f t="shared" si="665"/>
        <v>0.37346702716801261</v>
      </c>
      <c r="CC137" s="32">
        <f t="shared" si="666"/>
        <v>0.45719183994740153</v>
      </c>
      <c r="CD137" s="32">
        <f t="shared" si="667"/>
        <v>0.54938164761001052</v>
      </c>
      <c r="CE137" s="32">
        <f t="shared" si="668"/>
        <v>0.63395450177114288</v>
      </c>
      <c r="CF137" s="32">
        <f t="shared" si="669"/>
        <v>0.73656750896208834</v>
      </c>
      <c r="CG137" s="32">
        <f t="shared" si="670"/>
        <v>0.82715374746649173</v>
      </c>
      <c r="CH137" s="32">
        <f t="shared" si="671"/>
        <v>0.91581261919420565</v>
      </c>
      <c r="CI137" s="32">
        <f t="shared" si="672"/>
        <v>1</v>
      </c>
      <c r="CJ137" s="405"/>
      <c r="CK137" s="32">
        <f t="shared" si="673"/>
        <v>7.8535097946569279E-2</v>
      </c>
      <c r="CL137" s="32">
        <f t="shared" si="674"/>
        <v>0.15798258437646076</v>
      </c>
      <c r="CM137" s="32">
        <f t="shared" si="675"/>
        <v>0.23868947613945485</v>
      </c>
      <c r="CN137" s="32">
        <f t="shared" si="676"/>
        <v>0.27678648746580969</v>
      </c>
      <c r="CO137" s="32">
        <f t="shared" si="677"/>
        <v>0.32558844412353699</v>
      </c>
      <c r="CP137" s="32">
        <f t="shared" si="678"/>
        <v>0.37911317078039913</v>
      </c>
      <c r="CQ137" s="32">
        <f t="shared" si="679"/>
        <v>0.46674679187545776</v>
      </c>
      <c r="CR137" s="32">
        <f t="shared" si="680"/>
        <v>0.56928337607889756</v>
      </c>
      <c r="CS137" s="32">
        <f t="shared" si="681"/>
        <v>0.67486352317066878</v>
      </c>
      <c r="CT137" s="32">
        <f t="shared" si="682"/>
        <v>0.79156841737151329</v>
      </c>
      <c r="CU137" s="32">
        <f t="shared" si="683"/>
        <v>0.89337034846397667</v>
      </c>
      <c r="CV137" s="32">
        <f t="shared" si="684"/>
        <v>1</v>
      </c>
      <c r="CX137" s="32">
        <f t="shared" si="685"/>
        <v>6.025459393298184E-2</v>
      </c>
      <c r="CY137" s="32">
        <f t="shared" si="686"/>
        <v>0.14267996618252837</v>
      </c>
      <c r="CZ137" s="32">
        <f t="shared" si="687"/>
        <v>0.21075151822940105</v>
      </c>
      <c r="DA137" s="32">
        <f t="shared" si="688"/>
        <v>0.29739716633626112</v>
      </c>
      <c r="DB137" s="32">
        <f t="shared" si="689"/>
        <v>0.3895648430014958</v>
      </c>
      <c r="DC137" s="32">
        <f t="shared" si="690"/>
        <v>0.46526683451084977</v>
      </c>
      <c r="DD137" s="32">
        <f t="shared" si="691"/>
        <v>0.54890046704041462</v>
      </c>
      <c r="DE137" s="32">
        <f t="shared" si="692"/>
        <v>0.63564651566651786</v>
      </c>
      <c r="DF137" s="32">
        <f t="shared" si="693"/>
        <v>0.73403902452482939</v>
      </c>
      <c r="DG137" s="32">
        <f t="shared" si="694"/>
        <v>0.83534314844119306</v>
      </c>
      <c r="DH137" s="32">
        <f t="shared" si="695"/>
        <v>0.91777197473983974</v>
      </c>
      <c r="DI137" s="32">
        <f t="shared" si="696"/>
        <v>1</v>
      </c>
      <c r="DK137" s="32">
        <f t="shared" si="591"/>
        <v>6.8514365577136901E-2</v>
      </c>
      <c r="DL137" s="32">
        <f t="shared" si="592"/>
        <v>0.13289030453674802</v>
      </c>
      <c r="DM137" s="32">
        <f t="shared" si="593"/>
        <v>0.21844796339620956</v>
      </c>
      <c r="DN137" s="32">
        <f t="shared" si="594"/>
        <v>0.29341576497037009</v>
      </c>
      <c r="DO137" s="32">
        <f t="shared" si="595"/>
        <v>0.38348197693149444</v>
      </c>
      <c r="DP137" s="32">
        <f t="shared" si="596"/>
        <v>0.46379713218437135</v>
      </c>
      <c r="DQ137" s="32">
        <f t="shared" si="597"/>
        <v>0.5541778943618908</v>
      </c>
      <c r="DR137" s="32">
        <f t="shared" si="598"/>
        <v>0.66081041771982263</v>
      </c>
      <c r="DS137" s="32">
        <f t="shared" si="599"/>
        <v>0.74773112751699611</v>
      </c>
      <c r="DT137" s="32">
        <f t="shared" si="600"/>
        <v>0.833288385310608</v>
      </c>
      <c r="DU137" s="32">
        <f t="shared" si="601"/>
        <v>0.92754860015700014</v>
      </c>
      <c r="DV137" s="32">
        <f t="shared" si="602"/>
        <v>1</v>
      </c>
      <c r="DW137" s="39"/>
      <c r="DX137" s="32">
        <f t="shared" si="603"/>
        <v>7.1609195997914071E-2</v>
      </c>
      <c r="DY137" s="32">
        <f t="shared" si="604"/>
        <v>0.14614659728207624</v>
      </c>
      <c r="DZ137" s="32">
        <f t="shared" si="605"/>
        <v>0.23263201134691788</v>
      </c>
      <c r="EA137" s="32">
        <f t="shared" si="606"/>
        <v>0.29572583706565136</v>
      </c>
      <c r="EB137" s="32">
        <f t="shared" si="607"/>
        <v>0.3901990146199395</v>
      </c>
      <c r="EC137" s="32">
        <f t="shared" si="608"/>
        <v>0.4904484327958496</v>
      </c>
      <c r="ED137" s="32">
        <f t="shared" si="609"/>
        <v>0.57267036002989802</v>
      </c>
      <c r="EE137" s="32">
        <f t="shared" si="610"/>
        <v>0.67703323925254677</v>
      </c>
      <c r="EF137" s="32">
        <f t="shared" si="611"/>
        <v>0.76003275426587313</v>
      </c>
      <c r="EG137" s="32">
        <f t="shared" si="612"/>
        <v>0.84614819894554505</v>
      </c>
      <c r="EH137" s="32">
        <f t="shared" si="613"/>
        <v>0.92047059054546976</v>
      </c>
      <c r="EI137" s="32">
        <f t="shared" si="614"/>
        <v>1</v>
      </c>
      <c r="EK137" s="32">
        <f t="shared" si="697"/>
        <v>6.6792718502677609E-2</v>
      </c>
      <c r="EL137" s="32">
        <f t="shared" si="615"/>
        <v>0.14057228933378421</v>
      </c>
      <c r="EM137" s="32">
        <f t="shared" si="616"/>
        <v>0.22061049765750951</v>
      </c>
      <c r="EN137" s="32">
        <f t="shared" si="617"/>
        <v>0.29551292279076086</v>
      </c>
      <c r="EO137" s="32">
        <f t="shared" si="618"/>
        <v>0.38774861151764323</v>
      </c>
      <c r="EP137" s="32">
        <f t="shared" si="619"/>
        <v>0.47317079983035693</v>
      </c>
      <c r="EQ137" s="32">
        <f t="shared" si="620"/>
        <v>0.55858290714406778</v>
      </c>
      <c r="ER137" s="32">
        <f t="shared" si="621"/>
        <v>0.65783005754629575</v>
      </c>
      <c r="ES137" s="32">
        <f t="shared" si="622"/>
        <v>0.74726763543589947</v>
      </c>
      <c r="ET137" s="32">
        <f t="shared" si="623"/>
        <v>0.83825991089911545</v>
      </c>
      <c r="EU137" s="32">
        <f t="shared" si="624"/>
        <v>0.92193038848076991</v>
      </c>
      <c r="EV137" s="32">
        <f t="shared" si="625"/>
        <v>1</v>
      </c>
      <c r="EX137" s="32">
        <f t="shared" si="626"/>
        <v>6.9728313363650513E-2</v>
      </c>
      <c r="EY137" s="32">
        <f t="shared" si="627"/>
        <v>0.14492486309445335</v>
      </c>
      <c r="EZ137" s="32">
        <f t="shared" si="628"/>
        <v>0.22513024227799583</v>
      </c>
      <c r="FA137" s="32">
        <f t="shared" si="629"/>
        <v>0.29083131395952305</v>
      </c>
      <c r="FB137" s="32">
        <f t="shared" si="630"/>
        <v>0.3722085696691167</v>
      </c>
      <c r="FC137" s="32">
        <f t="shared" si="631"/>
        <v>0.44965639256786749</v>
      </c>
      <c r="FD137" s="32">
        <f t="shared" si="632"/>
        <v>0.53562387832691527</v>
      </c>
      <c r="FE137" s="32">
        <f t="shared" si="633"/>
        <v>0.63569338717944612</v>
      </c>
      <c r="FF137" s="32">
        <f t="shared" si="634"/>
        <v>0.72916660736959182</v>
      </c>
      <c r="FG137" s="32">
        <f t="shared" si="635"/>
        <v>0.82658703751721485</v>
      </c>
      <c r="FH137" s="32">
        <f t="shared" si="636"/>
        <v>0.91479037847657163</v>
      </c>
      <c r="FI137" s="32">
        <f t="shared" si="637"/>
        <v>1</v>
      </c>
      <c r="FK137" s="32">
        <f t="shared" si="698"/>
        <v>6.9101352485562664E-2</v>
      </c>
      <c r="FL137" s="32">
        <f t="shared" si="638"/>
        <v>0.14451761836524571</v>
      </c>
      <c r="FM137" s="32">
        <f t="shared" si="639"/>
        <v>0.22262965258835518</v>
      </c>
      <c r="FN137" s="32">
        <f t="shared" si="640"/>
        <v>0.28919980625748032</v>
      </c>
      <c r="FO137" s="32">
        <f t="shared" si="641"/>
        <v>0.36621175468550909</v>
      </c>
      <c r="FP137" s="32">
        <f t="shared" si="642"/>
        <v>0.43605904582520677</v>
      </c>
      <c r="FQ137" s="32">
        <f t="shared" si="643"/>
        <v>0.52327505109258776</v>
      </c>
      <c r="FR137" s="32">
        <f t="shared" si="644"/>
        <v>0.62191343648841269</v>
      </c>
      <c r="FS137" s="32">
        <f t="shared" si="645"/>
        <v>0.71887789173749805</v>
      </c>
      <c r="FT137" s="32">
        <f t="shared" si="646"/>
        <v>0.82006665037443804</v>
      </c>
      <c r="FU137" s="32">
        <f t="shared" si="647"/>
        <v>0.91289697445360563</v>
      </c>
      <c r="FV137" s="32">
        <f t="shared" si="648"/>
        <v>1</v>
      </c>
      <c r="FX137" s="32">
        <f t="shared" si="649"/>
        <v>6.7469743260051104E-2</v>
      </c>
      <c r="FY137" s="32">
        <f t="shared" si="650"/>
        <v>0.14370905817399934</v>
      </c>
      <c r="FZ137" s="32">
        <f t="shared" si="651"/>
        <v>0.22182690107229183</v>
      </c>
      <c r="GA137" s="32">
        <f t="shared" si="652"/>
        <v>0.28987695794989837</v>
      </c>
      <c r="GB137" s="32">
        <f t="shared" si="653"/>
        <v>0.36287343809768186</v>
      </c>
      <c r="GC137" s="32">
        <f t="shared" si="654"/>
        <v>0.43385728174621679</v>
      </c>
      <c r="GD137" s="32">
        <f t="shared" si="655"/>
        <v>0.52167630217529426</v>
      </c>
      <c r="GE137" s="32">
        <f t="shared" si="656"/>
        <v>0.61296146450551936</v>
      </c>
      <c r="GF137" s="32">
        <f t="shared" si="657"/>
        <v>0.71515668555252887</v>
      </c>
      <c r="GG137" s="32">
        <f t="shared" si="658"/>
        <v>0.81802177109306606</v>
      </c>
      <c r="GH137" s="32">
        <f t="shared" si="659"/>
        <v>0.90898498079934065</v>
      </c>
      <c r="GI137" s="32">
        <f t="shared" si="660"/>
        <v>1</v>
      </c>
    </row>
    <row r="138" spans="1:191">
      <c r="A138" s="724" t="s">
        <v>92</v>
      </c>
      <c r="B138" s="399">
        <v>468267.81</v>
      </c>
      <c r="C138" s="400">
        <v>578023.30999999994</v>
      </c>
      <c r="D138" s="400">
        <v>697090.56000000006</v>
      </c>
      <c r="E138" s="400">
        <v>666647.69999999995</v>
      </c>
      <c r="F138" s="400">
        <v>686629.5</v>
      </c>
      <c r="G138" s="400">
        <v>729139.79999999993</v>
      </c>
      <c r="H138" s="400">
        <v>743734.35</v>
      </c>
      <c r="I138" s="400">
        <v>737465.55</v>
      </c>
      <c r="J138" s="400">
        <v>692114.70000000007</v>
      </c>
      <c r="K138" s="400">
        <v>644511</v>
      </c>
      <c r="L138" s="400">
        <v>646665.89999999991</v>
      </c>
      <c r="M138" s="400">
        <v>614440.35</v>
      </c>
      <c r="N138" s="400">
        <f t="shared" si="588"/>
        <v>7904730.5299999993</v>
      </c>
      <c r="P138" s="396" t="s">
        <v>92</v>
      </c>
      <c r="Q138" s="399">
        <v>473657.86</v>
      </c>
      <c r="R138" s="400">
        <v>542643</v>
      </c>
      <c r="S138" s="400">
        <v>577709.10000000009</v>
      </c>
      <c r="T138" s="400">
        <v>370446.9</v>
      </c>
      <c r="U138" s="400">
        <v>540096.30000000005</v>
      </c>
      <c r="V138" s="400">
        <v>621492.75</v>
      </c>
      <c r="W138" s="400">
        <v>706905.15</v>
      </c>
      <c r="X138" s="400">
        <v>708374.39999999991</v>
      </c>
      <c r="Y138" s="400">
        <v>704848.2</v>
      </c>
      <c r="Z138" s="400">
        <v>742069.20000000007</v>
      </c>
      <c r="AA138" s="400">
        <v>645784.35</v>
      </c>
      <c r="AB138" s="400">
        <v>616987.05000000005</v>
      </c>
      <c r="AC138" s="400">
        <f t="shared" si="589"/>
        <v>7251014.2599999998</v>
      </c>
      <c r="AE138" s="127" t="s">
        <v>92</v>
      </c>
      <c r="AF138" s="27">
        <v>463616.36</v>
      </c>
      <c r="AG138" s="27">
        <v>587417.24</v>
      </c>
      <c r="AH138" s="27">
        <v>568560</v>
      </c>
      <c r="AI138" s="27">
        <v>665120.43999999994</v>
      </c>
      <c r="AJ138" s="27">
        <v>690326.6</v>
      </c>
      <c r="AK138" s="27">
        <v>459708.05</v>
      </c>
      <c r="AL138" s="27">
        <v>694875.08</v>
      </c>
      <c r="AM138" s="27">
        <v>645126.07999999996</v>
      </c>
      <c r="AN138" s="27">
        <v>626742.64</v>
      </c>
      <c r="AO138" s="27">
        <v>694306.52</v>
      </c>
      <c r="AP138" s="27">
        <v>605611.16</v>
      </c>
      <c r="AQ138" s="27">
        <v>538236.80000000005</v>
      </c>
      <c r="AR138" s="43">
        <f t="shared" si="590"/>
        <v>7239646.9699999997</v>
      </c>
      <c r="AT138" s="60" t="s">
        <v>92</v>
      </c>
      <c r="AU138" s="27">
        <v>395130.5</v>
      </c>
      <c r="AV138" s="27">
        <v>462344.25</v>
      </c>
      <c r="AW138" s="27">
        <v>616893</v>
      </c>
      <c r="AX138" s="27">
        <v>627781.5</v>
      </c>
      <c r="AY138" s="27">
        <v>593103</v>
      </c>
      <c r="AZ138" s="27">
        <v>568686.5</v>
      </c>
      <c r="BA138" s="27">
        <v>622017</v>
      </c>
      <c r="BB138" s="27">
        <v>674538.09</v>
      </c>
      <c r="BC138" s="27">
        <v>561800</v>
      </c>
      <c r="BD138" s="27">
        <v>612867</v>
      </c>
      <c r="BE138" s="27">
        <v>563365.5</v>
      </c>
      <c r="BF138" s="27">
        <v>538386</v>
      </c>
      <c r="BG138" s="43">
        <f t="shared" si="699"/>
        <v>6836912.3399999999</v>
      </c>
      <c r="BI138" s="60" t="s">
        <v>92</v>
      </c>
      <c r="BJ138" s="27">
        <v>381205.19</v>
      </c>
      <c r="BK138" s="27">
        <v>422998.42000000004</v>
      </c>
      <c r="BL138" s="27">
        <v>607085.34</v>
      </c>
      <c r="BM138" s="27">
        <v>521608.32</v>
      </c>
      <c r="BN138" s="27">
        <v>658412.21</v>
      </c>
      <c r="BO138" s="27">
        <v>658321.35000000009</v>
      </c>
      <c r="BP138" s="27">
        <v>581920.18999999994</v>
      </c>
      <c r="BQ138" s="27">
        <v>612899.75</v>
      </c>
      <c r="BR138" s="27">
        <v>554568.07999999996</v>
      </c>
      <c r="BS138" s="27">
        <v>586488.6</v>
      </c>
      <c r="BT138" s="27">
        <v>534999.76</v>
      </c>
      <c r="BU138" s="27">
        <v>502492.85000000003</v>
      </c>
      <c r="BV138" s="43">
        <f t="shared" si="700"/>
        <v>6623000.0599999996</v>
      </c>
      <c r="BW138" s="405"/>
      <c r="BX138" s="32">
        <f t="shared" si="661"/>
        <v>5.9238933980460436E-2</v>
      </c>
      <c r="BY138" s="32">
        <f t="shared" si="662"/>
        <v>0.13236265499868974</v>
      </c>
      <c r="BZ138" s="32">
        <f t="shared" si="663"/>
        <v>0.22054916020015169</v>
      </c>
      <c r="CA138" s="32">
        <f t="shared" si="664"/>
        <v>0.30488444493502553</v>
      </c>
      <c r="CB138" s="32">
        <f t="shared" si="665"/>
        <v>0.39174755777538189</v>
      </c>
      <c r="CC138" s="32">
        <f t="shared" si="666"/>
        <v>0.48398850099700996</v>
      </c>
      <c r="CD138" s="32">
        <f t="shared" si="667"/>
        <v>0.57807575004077971</v>
      </c>
      <c r="CE138" s="32">
        <f t="shared" si="668"/>
        <v>0.67136995497302543</v>
      </c>
      <c r="CF138" s="32">
        <f t="shared" si="669"/>
        <v>0.75892698141096526</v>
      </c>
      <c r="CG138" s="32">
        <f t="shared" si="670"/>
        <v>0.84046182912702017</v>
      </c>
      <c r="CH138" s="32">
        <f t="shared" si="671"/>
        <v>0.92226928575641154</v>
      </c>
      <c r="CI138" s="32">
        <f t="shared" si="672"/>
        <v>1</v>
      </c>
      <c r="CJ138" s="405"/>
      <c r="CK138" s="32">
        <f t="shared" si="673"/>
        <v>6.5322980070928724E-2</v>
      </c>
      <c r="CL138" s="32">
        <f t="shared" si="674"/>
        <v>0.14015982089655965</v>
      </c>
      <c r="CM138" s="32">
        <f t="shared" si="675"/>
        <v>0.21983268862030897</v>
      </c>
      <c r="CN138" s="32">
        <f t="shared" si="676"/>
        <v>0.27092166551607361</v>
      </c>
      <c r="CO138" s="32">
        <f t="shared" si="677"/>
        <v>0.34540728651111496</v>
      </c>
      <c r="CP138" s="32">
        <f t="shared" si="678"/>
        <v>0.43111843363000091</v>
      </c>
      <c r="CQ138" s="32">
        <f t="shared" si="679"/>
        <v>0.52860895352866122</v>
      </c>
      <c r="CR138" s="32">
        <f t="shared" si="680"/>
        <v>0.62630210025266175</v>
      </c>
      <c r="CS138" s="32">
        <f t="shared" si="681"/>
        <v>0.72350894259584597</v>
      </c>
      <c r="CT138" s="32">
        <f t="shared" si="682"/>
        <v>0.82584899784764743</v>
      </c>
      <c r="CU138" s="32">
        <f t="shared" si="683"/>
        <v>0.91491024181215719</v>
      </c>
      <c r="CV138" s="32">
        <f t="shared" si="684"/>
        <v>1</v>
      </c>
      <c r="CX138" s="32">
        <f t="shared" si="685"/>
        <v>6.403853142579409E-2</v>
      </c>
      <c r="CY138" s="32">
        <f t="shared" si="686"/>
        <v>0.14517746574595752</v>
      </c>
      <c r="CZ138" s="32">
        <f t="shared" si="687"/>
        <v>0.22371168189710777</v>
      </c>
      <c r="DA138" s="32">
        <f t="shared" si="688"/>
        <v>0.31558362575792837</v>
      </c>
      <c r="DB138" s="32">
        <f t="shared" si="689"/>
        <v>0.41093725320144997</v>
      </c>
      <c r="DC138" s="32">
        <f t="shared" si="690"/>
        <v>0.47443593648047733</v>
      </c>
      <c r="DD138" s="32">
        <f t="shared" si="691"/>
        <v>0.57041783765320808</v>
      </c>
      <c r="DE138" s="32">
        <f t="shared" si="692"/>
        <v>0.65952799491271319</v>
      </c>
      <c r="DF138" s="32">
        <f t="shared" si="693"/>
        <v>0.74609887918333118</v>
      </c>
      <c r="DG138" s="32">
        <f t="shared" si="694"/>
        <v>0.84200224613991093</v>
      </c>
      <c r="DH138" s="32">
        <f t="shared" si="695"/>
        <v>0.92565427537691114</v>
      </c>
      <c r="DI138" s="32">
        <f t="shared" si="696"/>
        <v>1</v>
      </c>
      <c r="DK138" s="32">
        <f t="shared" si="591"/>
        <v>5.7793705747586049E-2</v>
      </c>
      <c r="DL138" s="32">
        <f t="shared" si="592"/>
        <v>0.12541842097100808</v>
      </c>
      <c r="DM138" s="32">
        <f t="shared" si="593"/>
        <v>0.21564818688314497</v>
      </c>
      <c r="DN138" s="32">
        <f t="shared" si="594"/>
        <v>0.30747055768159814</v>
      </c>
      <c r="DO138" s="32">
        <f t="shared" si="595"/>
        <v>0.39422068266564902</v>
      </c>
      <c r="DP138" s="32">
        <f t="shared" si="596"/>
        <v>0.47739953178922873</v>
      </c>
      <c r="DQ138" s="32">
        <f t="shared" si="597"/>
        <v>0.56837875882433797</v>
      </c>
      <c r="DR138" s="32">
        <f t="shared" si="598"/>
        <v>0.66703997553375094</v>
      </c>
      <c r="DS138" s="32">
        <f t="shared" si="599"/>
        <v>0.74921157172537334</v>
      </c>
      <c r="DT138" s="32">
        <f t="shared" si="600"/>
        <v>0.83885247532660334</v>
      </c>
      <c r="DU138" s="32">
        <f t="shared" si="601"/>
        <v>0.92125304915054684</v>
      </c>
      <c r="DV138" s="32">
        <f t="shared" si="602"/>
        <v>1</v>
      </c>
      <c r="DW138" s="39"/>
      <c r="DX138" s="32">
        <f t="shared" si="603"/>
        <v>5.755778145048062E-2</v>
      </c>
      <c r="DY138" s="32">
        <f t="shared" si="604"/>
        <v>0.12142587992064735</v>
      </c>
      <c r="DZ138" s="32">
        <f t="shared" si="605"/>
        <v>0.2130890740170098</v>
      </c>
      <c r="EA138" s="32">
        <f t="shared" si="606"/>
        <v>0.29184618035470777</v>
      </c>
      <c r="EB138" s="32">
        <f t="shared" si="607"/>
        <v>0.39125916601607286</v>
      </c>
      <c r="EC138" s="32">
        <f t="shared" si="608"/>
        <v>0.49065843281903893</v>
      </c>
      <c r="ED138" s="32">
        <f t="shared" si="609"/>
        <v>0.57852196667502387</v>
      </c>
      <c r="EE138" s="32">
        <f t="shared" si="610"/>
        <v>0.67106307258586995</v>
      </c>
      <c r="EF138" s="32">
        <f t="shared" si="611"/>
        <v>0.75479673934956915</v>
      </c>
      <c r="EG138" s="32">
        <f t="shared" si="612"/>
        <v>0.84335005275539743</v>
      </c>
      <c r="EH138" s="32">
        <f t="shared" si="613"/>
        <v>0.92412911891170968</v>
      </c>
      <c r="EI138" s="32">
        <f t="shared" si="614"/>
        <v>1</v>
      </c>
      <c r="EK138" s="32">
        <f t="shared" si="697"/>
        <v>5.9796672874620253E-2</v>
      </c>
      <c r="EL138" s="32">
        <f t="shared" si="615"/>
        <v>0.13067392221253765</v>
      </c>
      <c r="EM138" s="32">
        <f t="shared" si="616"/>
        <v>0.21748298093242083</v>
      </c>
      <c r="EN138" s="32">
        <f t="shared" si="617"/>
        <v>0.30496678793141141</v>
      </c>
      <c r="EO138" s="32">
        <f t="shared" si="618"/>
        <v>0.39880570062772397</v>
      </c>
      <c r="EP138" s="32">
        <f t="shared" si="619"/>
        <v>0.48083130036291499</v>
      </c>
      <c r="EQ138" s="32">
        <f t="shared" si="620"/>
        <v>0.57243952105085671</v>
      </c>
      <c r="ER138" s="32">
        <f t="shared" si="621"/>
        <v>0.6658770143441114</v>
      </c>
      <c r="ES138" s="32">
        <f t="shared" si="622"/>
        <v>0.75003573008609126</v>
      </c>
      <c r="ET138" s="32">
        <f t="shared" si="623"/>
        <v>0.84140159140730386</v>
      </c>
      <c r="EU138" s="32">
        <f t="shared" si="624"/>
        <v>0.92367881447972255</v>
      </c>
      <c r="EV138" s="32">
        <f t="shared" si="625"/>
        <v>1</v>
      </c>
      <c r="EX138" s="32">
        <f t="shared" si="626"/>
        <v>6.117824967369738E-2</v>
      </c>
      <c r="EY138" s="32">
        <f t="shared" si="627"/>
        <v>0.13304539688354317</v>
      </c>
      <c r="EZ138" s="32">
        <f t="shared" si="628"/>
        <v>0.21807040785439286</v>
      </c>
      <c r="FA138" s="32">
        <f t="shared" si="629"/>
        <v>0.29645550732757697</v>
      </c>
      <c r="FB138" s="32">
        <f t="shared" si="630"/>
        <v>0.38545609709857165</v>
      </c>
      <c r="FC138" s="32">
        <f t="shared" si="631"/>
        <v>0.46840308367968647</v>
      </c>
      <c r="FD138" s="32">
        <f t="shared" si="632"/>
        <v>0.56148187917030778</v>
      </c>
      <c r="FE138" s="32">
        <f t="shared" si="633"/>
        <v>0.65598328582124898</v>
      </c>
      <c r="FF138" s="32">
        <f t="shared" si="634"/>
        <v>0.74340403321352999</v>
      </c>
      <c r="FG138" s="32">
        <f t="shared" si="635"/>
        <v>0.83751344301738972</v>
      </c>
      <c r="FH138" s="32">
        <f t="shared" si="636"/>
        <v>0.92148667131283124</v>
      </c>
      <c r="FI138" s="32">
        <f t="shared" si="637"/>
        <v>1</v>
      </c>
      <c r="FK138" s="32">
        <f t="shared" si="698"/>
        <v>6.2385072414769621E-2</v>
      </c>
      <c r="FL138" s="32">
        <f t="shared" si="638"/>
        <v>0.13691856920450843</v>
      </c>
      <c r="FM138" s="32">
        <f t="shared" si="639"/>
        <v>0.21973085246685389</v>
      </c>
      <c r="FN138" s="32">
        <f t="shared" si="640"/>
        <v>0.29799194965186665</v>
      </c>
      <c r="FO138" s="32">
        <f t="shared" si="641"/>
        <v>0.38352174079273799</v>
      </c>
      <c r="FP138" s="32">
        <f t="shared" si="642"/>
        <v>0.46098463396656902</v>
      </c>
      <c r="FQ138" s="32">
        <f t="shared" si="643"/>
        <v>0.55580185000206905</v>
      </c>
      <c r="FR138" s="32">
        <f t="shared" si="644"/>
        <v>0.65095669023304203</v>
      </c>
      <c r="FS138" s="32">
        <f t="shared" si="645"/>
        <v>0.7396064645015169</v>
      </c>
      <c r="FT138" s="32">
        <f t="shared" si="646"/>
        <v>0.83556790643805379</v>
      </c>
      <c r="FU138" s="32">
        <f t="shared" si="647"/>
        <v>0.9206058554465385</v>
      </c>
      <c r="FV138" s="32">
        <f t="shared" si="648"/>
        <v>1</v>
      </c>
      <c r="FX138" s="32">
        <f t="shared" si="649"/>
        <v>6.2866815159061076E-2</v>
      </c>
      <c r="FY138" s="32">
        <f t="shared" si="650"/>
        <v>0.1392333138804023</v>
      </c>
      <c r="FZ138" s="32">
        <f t="shared" si="651"/>
        <v>0.22136451023918946</v>
      </c>
      <c r="GA138" s="32">
        <f t="shared" si="652"/>
        <v>0.29712991206967582</v>
      </c>
      <c r="GB138" s="32">
        <f t="shared" si="653"/>
        <v>0.38269736582931563</v>
      </c>
      <c r="GC138" s="32">
        <f t="shared" si="654"/>
        <v>0.4631809570358294</v>
      </c>
      <c r="GD138" s="32">
        <f t="shared" si="655"/>
        <v>0.55903418040754971</v>
      </c>
      <c r="GE138" s="32">
        <f t="shared" si="656"/>
        <v>0.65240001671280012</v>
      </c>
      <c r="GF138" s="32">
        <f t="shared" si="657"/>
        <v>0.74284493439671406</v>
      </c>
      <c r="GG138" s="32">
        <f t="shared" si="658"/>
        <v>0.83610435770485958</v>
      </c>
      <c r="GH138" s="32">
        <f t="shared" si="659"/>
        <v>0.92094460098182662</v>
      </c>
      <c r="GI138" s="32">
        <f t="shared" si="660"/>
        <v>1</v>
      </c>
    </row>
    <row r="139" spans="1:191">
      <c r="A139" s="724" t="s">
        <v>93</v>
      </c>
      <c r="B139" s="399">
        <v>120993.24</v>
      </c>
      <c r="C139" s="400">
        <v>143424.25</v>
      </c>
      <c r="D139" s="400">
        <v>182284.95</v>
      </c>
      <c r="E139" s="400">
        <v>151528.65</v>
      </c>
      <c r="F139" s="400">
        <v>157895.40000000002</v>
      </c>
      <c r="G139" s="400">
        <v>156817.94999999998</v>
      </c>
      <c r="H139" s="400">
        <v>173567.40000000002</v>
      </c>
      <c r="I139" s="400">
        <v>189533.25</v>
      </c>
      <c r="J139" s="400">
        <v>185125.5</v>
      </c>
      <c r="K139" s="400">
        <v>182774.69999999998</v>
      </c>
      <c r="L139" s="400">
        <v>182187</v>
      </c>
      <c r="M139" s="400">
        <v>186888.6</v>
      </c>
      <c r="N139" s="400">
        <f t="shared" si="588"/>
        <v>2013020.89</v>
      </c>
      <c r="P139" s="396" t="s">
        <v>93</v>
      </c>
      <c r="Q139" s="399">
        <v>132783.23000000001</v>
      </c>
      <c r="R139" s="400">
        <v>133701.75</v>
      </c>
      <c r="S139" s="400">
        <v>119401.05</v>
      </c>
      <c r="T139" s="400">
        <v>54460.200000000004</v>
      </c>
      <c r="U139" s="400">
        <v>71111.7</v>
      </c>
      <c r="V139" s="400">
        <v>86587.799999999988</v>
      </c>
      <c r="W139" s="400">
        <v>135268.95000000001</v>
      </c>
      <c r="X139" s="400">
        <v>141929.54999999999</v>
      </c>
      <c r="Y139" s="400">
        <v>140558.25</v>
      </c>
      <c r="Z139" s="400">
        <v>179052.6</v>
      </c>
      <c r="AA139" s="400">
        <v>164164.20000000001</v>
      </c>
      <c r="AB139" s="400">
        <v>164262.15</v>
      </c>
      <c r="AC139" s="400">
        <f t="shared" si="589"/>
        <v>1523281.43</v>
      </c>
      <c r="AE139" s="127" t="s">
        <v>93</v>
      </c>
      <c r="AF139" s="27">
        <v>109977.9</v>
      </c>
      <c r="AG139" s="27">
        <v>145456.6</v>
      </c>
      <c r="AH139" s="27">
        <v>125651.76</v>
      </c>
      <c r="AI139" s="27">
        <v>144982.79999999999</v>
      </c>
      <c r="AJ139" s="27">
        <v>177864.52</v>
      </c>
      <c r="AK139" s="27">
        <v>135222.51999999999</v>
      </c>
      <c r="AL139" s="27">
        <v>154269.28</v>
      </c>
      <c r="AM139" s="27">
        <v>160428.68</v>
      </c>
      <c r="AN139" s="27">
        <v>161186.76</v>
      </c>
      <c r="AO139" s="27">
        <v>172273.68</v>
      </c>
      <c r="AP139" s="27">
        <v>153700.72</v>
      </c>
      <c r="AQ139" s="27">
        <v>133706.35999999999</v>
      </c>
      <c r="AR139" s="43">
        <f t="shared" si="590"/>
        <v>1774721.58</v>
      </c>
      <c r="AT139" s="60" t="s">
        <v>93</v>
      </c>
      <c r="AU139" s="27">
        <v>119229.5</v>
      </c>
      <c r="AV139" s="27">
        <v>105042</v>
      </c>
      <c r="AW139" s="27">
        <v>123799.5</v>
      </c>
      <c r="AX139" s="27">
        <v>133773</v>
      </c>
      <c r="AY139" s="27">
        <v>131577</v>
      </c>
      <c r="AZ139" s="27">
        <v>123067.5</v>
      </c>
      <c r="BA139" s="27">
        <v>131668.5</v>
      </c>
      <c r="BB139" s="27">
        <v>159118.5</v>
      </c>
      <c r="BC139" s="27">
        <v>138348</v>
      </c>
      <c r="BD139" s="27">
        <v>154543.5</v>
      </c>
      <c r="BE139" s="27">
        <v>129015</v>
      </c>
      <c r="BF139" s="27">
        <v>132675</v>
      </c>
      <c r="BG139" s="43">
        <f t="shared" si="699"/>
        <v>1581857</v>
      </c>
      <c r="BI139" s="60" t="s">
        <v>93</v>
      </c>
      <c r="BJ139" s="27">
        <v>80768.11</v>
      </c>
      <c r="BK139" s="27">
        <v>100231.68000000001</v>
      </c>
      <c r="BL139" s="27">
        <v>99227.04</v>
      </c>
      <c r="BM139" s="27">
        <v>104301.28</v>
      </c>
      <c r="BN139" s="27">
        <v>133763.4</v>
      </c>
      <c r="BO139" s="27">
        <v>128546.45</v>
      </c>
      <c r="BP139" s="27">
        <v>114251.15000000001</v>
      </c>
      <c r="BQ139" s="27">
        <v>137332.79999999999</v>
      </c>
      <c r="BR139" s="27">
        <v>133440.29999999999</v>
      </c>
      <c r="BS139" s="27">
        <v>119008.5</v>
      </c>
      <c r="BT139" s="27">
        <v>122951.33</v>
      </c>
      <c r="BU139" s="27">
        <v>116585.25</v>
      </c>
      <c r="BV139" s="43">
        <f t="shared" si="700"/>
        <v>1390407.29</v>
      </c>
      <c r="BW139" s="405"/>
      <c r="BX139" s="32">
        <f t="shared" si="661"/>
        <v>6.0105307700011004E-2</v>
      </c>
      <c r="BY139" s="32">
        <f t="shared" si="662"/>
        <v>0.13135357477586831</v>
      </c>
      <c r="BZ139" s="32">
        <f t="shared" si="663"/>
        <v>0.22190650987233423</v>
      </c>
      <c r="CA139" s="32">
        <f t="shared" si="664"/>
        <v>0.29718076596810677</v>
      </c>
      <c r="CB139" s="32">
        <f t="shared" si="665"/>
        <v>0.37561780593344962</v>
      </c>
      <c r="CC139" s="32">
        <f t="shared" si="666"/>
        <v>0.4535196055516344</v>
      </c>
      <c r="CD139" s="32">
        <f t="shared" si="667"/>
        <v>0.53974195965745786</v>
      </c>
      <c r="CE139" s="32">
        <f t="shared" si="668"/>
        <v>0.6338956025438961</v>
      </c>
      <c r="CF139" s="32">
        <f t="shared" si="669"/>
        <v>0.72585962582832408</v>
      </c>
      <c r="CG139" s="32">
        <f t="shared" si="670"/>
        <v>0.81665585199168</v>
      </c>
      <c r="CH139" s="32">
        <f t="shared" si="671"/>
        <v>0.90716012887476782</v>
      </c>
      <c r="CI139" s="32">
        <f t="shared" si="672"/>
        <v>1</v>
      </c>
      <c r="CJ139" s="405"/>
      <c r="CK139" s="32">
        <f t="shared" si="673"/>
        <v>8.7169204183103588E-2</v>
      </c>
      <c r="CL139" s="32">
        <f t="shared" si="674"/>
        <v>0.1749413960885744</v>
      </c>
      <c r="CM139" s="32">
        <f t="shared" si="675"/>
        <v>0.25332550006862486</v>
      </c>
      <c r="CN139" s="32">
        <f t="shared" si="676"/>
        <v>0.28907739655173242</v>
      </c>
      <c r="CO139" s="32">
        <f t="shared" si="677"/>
        <v>0.33576062829046632</v>
      </c>
      <c r="CP139" s="32">
        <f t="shared" si="678"/>
        <v>0.39260357161972359</v>
      </c>
      <c r="CQ139" s="32">
        <f t="shared" si="679"/>
        <v>0.48140459507866512</v>
      </c>
      <c r="CR139" s="32">
        <f t="shared" si="680"/>
        <v>0.57457815263985723</v>
      </c>
      <c r="CS139" s="32">
        <f t="shared" si="681"/>
        <v>0.66685148259176241</v>
      </c>
      <c r="CT139" s="32">
        <f t="shared" si="682"/>
        <v>0.78439548757579225</v>
      </c>
      <c r="CU139" s="32">
        <f t="shared" si="683"/>
        <v>0.89216559280185015</v>
      </c>
      <c r="CV139" s="32">
        <f t="shared" si="684"/>
        <v>1</v>
      </c>
      <c r="CX139" s="32">
        <f t="shared" si="685"/>
        <v>6.1969100527869837E-2</v>
      </c>
      <c r="CY139" s="32">
        <f t="shared" si="686"/>
        <v>0.14392933679208431</v>
      </c>
      <c r="CZ139" s="32">
        <f t="shared" si="687"/>
        <v>0.21473016629459141</v>
      </c>
      <c r="DA139" s="32">
        <f t="shared" si="688"/>
        <v>0.29642343110517655</v>
      </c>
      <c r="DB139" s="32">
        <f t="shared" si="689"/>
        <v>0.39664451479763946</v>
      </c>
      <c r="DC139" s="32">
        <f t="shared" si="690"/>
        <v>0.47283816766345965</v>
      </c>
      <c r="DD139" s="32">
        <f t="shared" si="691"/>
        <v>0.55976407296518027</v>
      </c>
      <c r="DE139" s="32">
        <f t="shared" si="692"/>
        <v>0.65016060716408264</v>
      </c>
      <c r="DF139" s="32">
        <f t="shared" si="693"/>
        <v>0.74098429568879198</v>
      </c>
      <c r="DG139" s="32">
        <f t="shared" si="694"/>
        <v>0.83805511622842832</v>
      </c>
      <c r="DH139" s="32">
        <f t="shared" si="695"/>
        <v>0.92466065578579371</v>
      </c>
      <c r="DI139" s="32">
        <f t="shared" si="696"/>
        <v>1</v>
      </c>
      <c r="DK139" s="32">
        <f t="shared" si="591"/>
        <v>7.5373121590636832E-2</v>
      </c>
      <c r="DL139" s="32">
        <f t="shared" si="592"/>
        <v>0.14177735408447162</v>
      </c>
      <c r="DM139" s="32">
        <f t="shared" si="593"/>
        <v>0.22003948523791975</v>
      </c>
      <c r="DN139" s="32">
        <f t="shared" si="594"/>
        <v>0.30460654787379643</v>
      </c>
      <c r="DO139" s="32">
        <f t="shared" si="595"/>
        <v>0.38778536871537694</v>
      </c>
      <c r="DP139" s="32">
        <f t="shared" si="596"/>
        <v>0.46558475260405968</v>
      </c>
      <c r="DQ139" s="32">
        <f t="shared" si="597"/>
        <v>0.54882141685373587</v>
      </c>
      <c r="DR139" s="32">
        <f t="shared" si="598"/>
        <v>0.64941110353211451</v>
      </c>
      <c r="DS139" s="32">
        <f t="shared" si="599"/>
        <v>0.7368703365727749</v>
      </c>
      <c r="DT139" s="32">
        <f t="shared" si="600"/>
        <v>0.83456785284636981</v>
      </c>
      <c r="DU139" s="32">
        <f t="shared" si="601"/>
        <v>0.91612705826127139</v>
      </c>
      <c r="DV139" s="32">
        <f t="shared" si="602"/>
        <v>1</v>
      </c>
      <c r="DW139" s="39"/>
      <c r="DX139" s="32">
        <f t="shared" si="603"/>
        <v>5.8089532887877764E-2</v>
      </c>
      <c r="DY139" s="32">
        <f t="shared" si="604"/>
        <v>0.13017753236895069</v>
      </c>
      <c r="DZ139" s="32">
        <f t="shared" si="605"/>
        <v>0.2015429809778975</v>
      </c>
      <c r="EA139" s="32">
        <f t="shared" si="606"/>
        <v>0.27655789261576724</v>
      </c>
      <c r="EB139" s="32">
        <f t="shared" si="607"/>
        <v>0.37276236519156913</v>
      </c>
      <c r="EC139" s="32">
        <f t="shared" si="608"/>
        <v>0.46521473574840072</v>
      </c>
      <c r="ED139" s="32">
        <f t="shared" si="609"/>
        <v>0.54738573040709526</v>
      </c>
      <c r="EE139" s="32">
        <f t="shared" si="610"/>
        <v>0.64615736443671834</v>
      </c>
      <c r="EF139" s="32">
        <f t="shared" si="611"/>
        <v>0.74212945905943861</v>
      </c>
      <c r="EG139" s="32">
        <f t="shared" si="612"/>
        <v>0.82772200511117855</v>
      </c>
      <c r="EH139" s="32">
        <f t="shared" si="613"/>
        <v>0.91615028859637238</v>
      </c>
      <c r="EI139" s="32">
        <f t="shared" si="614"/>
        <v>1</v>
      </c>
      <c r="EK139" s="32">
        <f t="shared" si="697"/>
        <v>6.5143918335461473E-2</v>
      </c>
      <c r="EL139" s="32">
        <f t="shared" si="615"/>
        <v>0.13862807441516886</v>
      </c>
      <c r="EM139" s="32">
        <f t="shared" si="616"/>
        <v>0.21210421083680286</v>
      </c>
      <c r="EN139" s="32">
        <f t="shared" si="617"/>
        <v>0.29252929053158011</v>
      </c>
      <c r="EO139" s="32">
        <f t="shared" si="618"/>
        <v>0.3857307495681952</v>
      </c>
      <c r="EP139" s="32">
        <f t="shared" si="619"/>
        <v>0.46787921867197335</v>
      </c>
      <c r="EQ139" s="32">
        <f t="shared" si="620"/>
        <v>0.55199040674200384</v>
      </c>
      <c r="ER139" s="32">
        <f t="shared" si="621"/>
        <v>0.6485763583776385</v>
      </c>
      <c r="ES139" s="32">
        <f t="shared" si="622"/>
        <v>0.73999469710700183</v>
      </c>
      <c r="ET139" s="32">
        <f t="shared" si="623"/>
        <v>0.83344832472865893</v>
      </c>
      <c r="EU139" s="32">
        <f t="shared" si="624"/>
        <v>0.91897933421447908</v>
      </c>
      <c r="EV139" s="32">
        <f t="shared" si="625"/>
        <v>1</v>
      </c>
      <c r="EX139" s="32">
        <f t="shared" si="626"/>
        <v>7.0650239797372005E-2</v>
      </c>
      <c r="EY139" s="32">
        <f t="shared" si="627"/>
        <v>0.14770640483352027</v>
      </c>
      <c r="EZ139" s="32">
        <f t="shared" si="628"/>
        <v>0.22240953314475839</v>
      </c>
      <c r="FA139" s="32">
        <f t="shared" si="629"/>
        <v>0.29166631703661816</v>
      </c>
      <c r="FB139" s="32">
        <f t="shared" si="630"/>
        <v>0.37323821924876299</v>
      </c>
      <c r="FC139" s="32">
        <f t="shared" si="631"/>
        <v>0.44906030690891091</v>
      </c>
      <c r="FD139" s="32">
        <f t="shared" si="632"/>
        <v>0.53434395382616917</v>
      </c>
      <c r="FE139" s="32">
        <f t="shared" si="633"/>
        <v>0.63007680694319323</v>
      </c>
      <c r="FF139" s="32">
        <f t="shared" si="634"/>
        <v>0.72170889347819189</v>
      </c>
      <c r="FG139" s="32">
        <f t="shared" si="635"/>
        <v>0.82118511544044226</v>
      </c>
      <c r="FH139" s="32">
        <f t="shared" si="636"/>
        <v>0.91227589886132188</v>
      </c>
      <c r="FI139" s="32">
        <f t="shared" si="637"/>
        <v>1</v>
      </c>
      <c r="FK139" s="32">
        <f t="shared" si="698"/>
        <v>7.4837142100536755E-2</v>
      </c>
      <c r="FL139" s="32">
        <f t="shared" si="638"/>
        <v>0.1535493623217101</v>
      </c>
      <c r="FM139" s="32">
        <f t="shared" si="639"/>
        <v>0.22936505053371201</v>
      </c>
      <c r="FN139" s="32">
        <f t="shared" si="640"/>
        <v>0.29670245851023513</v>
      </c>
      <c r="FO139" s="32">
        <f t="shared" si="641"/>
        <v>0.37339683726782757</v>
      </c>
      <c r="FP139" s="32">
        <f t="shared" si="642"/>
        <v>0.44367549729574768</v>
      </c>
      <c r="FQ139" s="32">
        <f t="shared" si="643"/>
        <v>0.52999669496586044</v>
      </c>
      <c r="FR139" s="32">
        <f t="shared" si="644"/>
        <v>0.6247166211120182</v>
      </c>
      <c r="FS139" s="32">
        <f t="shared" si="645"/>
        <v>0.7149020382844431</v>
      </c>
      <c r="FT139" s="32">
        <f t="shared" si="646"/>
        <v>0.81900615221686346</v>
      </c>
      <c r="FU139" s="32">
        <f t="shared" si="647"/>
        <v>0.91098443561630515</v>
      </c>
      <c r="FV139" s="32">
        <f t="shared" si="648"/>
        <v>1</v>
      </c>
      <c r="FX139" s="32">
        <f t="shared" si="649"/>
        <v>6.9747870803661474E-2</v>
      </c>
      <c r="FY139" s="32">
        <f t="shared" si="650"/>
        <v>0.15007476921884233</v>
      </c>
      <c r="FZ139" s="32">
        <f t="shared" si="651"/>
        <v>0.22998739207851684</v>
      </c>
      <c r="GA139" s="32">
        <f t="shared" si="652"/>
        <v>0.29422719787500523</v>
      </c>
      <c r="GB139" s="32">
        <f t="shared" si="653"/>
        <v>0.36934098300718515</v>
      </c>
      <c r="GC139" s="32">
        <f t="shared" si="654"/>
        <v>0.4396537816116059</v>
      </c>
      <c r="GD139" s="32">
        <f t="shared" si="655"/>
        <v>0.52697020923376769</v>
      </c>
      <c r="GE139" s="32">
        <f t="shared" si="656"/>
        <v>0.61954478744927866</v>
      </c>
      <c r="GF139" s="32">
        <f t="shared" si="657"/>
        <v>0.71123180136962605</v>
      </c>
      <c r="GG139" s="32">
        <f t="shared" si="658"/>
        <v>0.81303548526530012</v>
      </c>
      <c r="GH139" s="32">
        <f t="shared" si="659"/>
        <v>0.90799545915413715</v>
      </c>
      <c r="GI139" s="32">
        <f t="shared" si="660"/>
        <v>1</v>
      </c>
    </row>
    <row r="140" spans="1:191">
      <c r="A140" s="724" t="s">
        <v>94</v>
      </c>
      <c r="B140" s="399">
        <v>36922.32</v>
      </c>
      <c r="C140" s="400">
        <v>44371.35</v>
      </c>
      <c r="D140" s="400">
        <v>47995.5</v>
      </c>
      <c r="E140" s="400">
        <v>42804.15</v>
      </c>
      <c r="F140" s="400">
        <v>57888.45</v>
      </c>
      <c r="G140" s="400">
        <v>64744.95</v>
      </c>
      <c r="H140" s="400">
        <v>64647</v>
      </c>
      <c r="I140" s="400">
        <v>65626.5</v>
      </c>
      <c r="J140" s="400">
        <v>63373.65</v>
      </c>
      <c r="K140" s="400">
        <v>51913.5</v>
      </c>
      <c r="L140" s="400">
        <v>53088.899999999994</v>
      </c>
      <c r="M140" s="400">
        <v>51913.5</v>
      </c>
      <c r="N140" s="400">
        <f t="shared" si="588"/>
        <v>645289.77000000014</v>
      </c>
      <c r="P140" s="396" t="s">
        <v>94</v>
      </c>
      <c r="Q140" s="399">
        <v>39138.159999999996</v>
      </c>
      <c r="R140" s="400">
        <v>32421.45</v>
      </c>
      <c r="S140" s="400">
        <v>30364.5</v>
      </c>
      <c r="T140" s="400">
        <v>16357.65</v>
      </c>
      <c r="U140" s="400">
        <v>17239.2</v>
      </c>
      <c r="V140" s="400">
        <v>28993.200000000001</v>
      </c>
      <c r="W140" s="400">
        <v>42608.25</v>
      </c>
      <c r="X140" s="400">
        <v>49366.8</v>
      </c>
      <c r="Y140" s="400">
        <v>42608.25</v>
      </c>
      <c r="Z140" s="400">
        <v>57692.549999999996</v>
      </c>
      <c r="AA140" s="400">
        <v>48779.1</v>
      </c>
      <c r="AB140" s="400">
        <v>45742.649999999994</v>
      </c>
      <c r="AC140" s="400">
        <f t="shared" si="589"/>
        <v>451311.76</v>
      </c>
      <c r="AE140" s="127" t="s">
        <v>94</v>
      </c>
      <c r="AF140" s="27">
        <v>30445.21</v>
      </c>
      <c r="AG140" s="27">
        <v>29668.58</v>
      </c>
      <c r="AH140" s="27">
        <v>34785.79</v>
      </c>
      <c r="AI140" s="27">
        <v>30911.759999999998</v>
      </c>
      <c r="AJ140" s="27">
        <v>38488.97</v>
      </c>
      <c r="AK140" s="27">
        <v>34801.629999999997</v>
      </c>
      <c r="AL140" s="27">
        <v>42473.45</v>
      </c>
      <c r="AM140" s="27">
        <v>41891.08</v>
      </c>
      <c r="AN140" s="27">
        <v>38769.089999999997</v>
      </c>
      <c r="AO140" s="27">
        <v>51000.67</v>
      </c>
      <c r="AP140" s="27">
        <v>39546.06</v>
      </c>
      <c r="AQ140" s="27">
        <v>29967.41</v>
      </c>
      <c r="AR140" s="43">
        <f t="shared" si="590"/>
        <v>442749.7</v>
      </c>
      <c r="AT140" s="60" t="s">
        <v>94</v>
      </c>
      <c r="AU140" s="27">
        <v>29799.64</v>
      </c>
      <c r="AV140" s="27">
        <v>24615.7</v>
      </c>
      <c r="AW140" s="27">
        <v>32401.62</v>
      </c>
      <c r="AX140" s="27">
        <v>26901</v>
      </c>
      <c r="AY140" s="27">
        <v>35688.699999999997</v>
      </c>
      <c r="AZ140" s="27">
        <v>42641.01</v>
      </c>
      <c r="BA140" s="27">
        <v>36060.5</v>
      </c>
      <c r="BB140" s="27">
        <v>43653.36</v>
      </c>
      <c r="BC140" s="27">
        <v>32032.13</v>
      </c>
      <c r="BD140" s="27">
        <v>40721.699999999997</v>
      </c>
      <c r="BE140" s="27">
        <v>35513.15</v>
      </c>
      <c r="BF140" s="27">
        <v>36516.54</v>
      </c>
      <c r="BG140" s="43">
        <f t="shared" si="699"/>
        <v>416545.05</v>
      </c>
      <c r="BI140" s="60" t="s">
        <v>94</v>
      </c>
      <c r="BJ140" s="27">
        <v>24953.83</v>
      </c>
      <c r="BK140" s="27">
        <v>21441.309999999998</v>
      </c>
      <c r="BL140" s="27">
        <v>29579.030000000002</v>
      </c>
      <c r="BM140" s="27">
        <v>38592.5</v>
      </c>
      <c r="BN140" s="27">
        <v>33302.11</v>
      </c>
      <c r="BO140" s="27">
        <v>34087.050000000003</v>
      </c>
      <c r="BP140" s="27">
        <v>31897.149999999998</v>
      </c>
      <c r="BQ140" s="27">
        <v>41626.050000000003</v>
      </c>
      <c r="BR140" s="27">
        <v>33132.870000000003</v>
      </c>
      <c r="BS140" s="27">
        <v>42926.58</v>
      </c>
      <c r="BT140" s="27">
        <v>39053.480000000003</v>
      </c>
      <c r="BU140" s="27">
        <v>26217.79</v>
      </c>
      <c r="BV140" s="43">
        <f t="shared" si="700"/>
        <v>396809.75</v>
      </c>
      <c r="BW140" s="405"/>
      <c r="BX140" s="32">
        <f t="shared" si="661"/>
        <v>5.7218201367116035E-2</v>
      </c>
      <c r="BY140" s="32">
        <f t="shared" si="662"/>
        <v>0.12598010038187957</v>
      </c>
      <c r="BZ140" s="32">
        <f t="shared" si="663"/>
        <v>0.20035831344420657</v>
      </c>
      <c r="CA140" s="32">
        <f t="shared" si="664"/>
        <v>0.26669153611407781</v>
      </c>
      <c r="CB140" s="32">
        <f t="shared" si="665"/>
        <v>0.35640076860353753</v>
      </c>
      <c r="CC140" s="32">
        <f t="shared" si="666"/>
        <v>0.45673546010190114</v>
      </c>
      <c r="CD140" s="32">
        <f t="shared" si="667"/>
        <v>0.55691835932870892</v>
      </c>
      <c r="CE140" s="32">
        <f t="shared" si="668"/>
        <v>0.65861918127107444</v>
      </c>
      <c r="CF140" s="32">
        <f t="shared" si="669"/>
        <v>0.75682878096765727</v>
      </c>
      <c r="CG140" s="32">
        <f t="shared" si="670"/>
        <v>0.83727868489221513</v>
      </c>
      <c r="CH140" s="32">
        <f t="shared" si="671"/>
        <v>0.91955009607544225</v>
      </c>
      <c r="CI140" s="32">
        <f t="shared" si="672"/>
        <v>1</v>
      </c>
      <c r="CJ140" s="405"/>
      <c r="CK140" s="32">
        <f t="shared" si="673"/>
        <v>8.6720895551226043E-2</v>
      </c>
      <c r="CL140" s="32">
        <f t="shared" si="674"/>
        <v>0.15855915210363675</v>
      </c>
      <c r="CM140" s="32">
        <f t="shared" si="675"/>
        <v>0.22583969449411201</v>
      </c>
      <c r="CN140" s="32">
        <f t="shared" si="676"/>
        <v>0.26208437378188415</v>
      </c>
      <c r="CO140" s="32">
        <f t="shared" si="677"/>
        <v>0.30028235913905721</v>
      </c>
      <c r="CP140" s="32">
        <f t="shared" si="678"/>
        <v>0.36452442542157554</v>
      </c>
      <c r="CQ140" s="32">
        <f t="shared" si="679"/>
        <v>0.45893421877595214</v>
      </c>
      <c r="CR140" s="32">
        <f t="shared" si="680"/>
        <v>0.56831935866240224</v>
      </c>
      <c r="CS140" s="32">
        <f t="shared" si="681"/>
        <v>0.66272915201677884</v>
      </c>
      <c r="CT140" s="32">
        <f t="shared" si="682"/>
        <v>0.79056218255868183</v>
      </c>
      <c r="CU140" s="32">
        <f t="shared" si="683"/>
        <v>0.89864511839886463</v>
      </c>
      <c r="CV140" s="32">
        <f t="shared" si="684"/>
        <v>1</v>
      </c>
      <c r="CX140" s="32">
        <f t="shared" si="685"/>
        <v>6.876393140413195E-2</v>
      </c>
      <c r="CY140" s="32">
        <f t="shared" si="686"/>
        <v>0.13577375659430146</v>
      </c>
      <c r="CZ140" s="32">
        <f t="shared" si="687"/>
        <v>0.21434137617710414</v>
      </c>
      <c r="DA140" s="32">
        <f t="shared" si="688"/>
        <v>0.28415906323595475</v>
      </c>
      <c r="DB140" s="32">
        <f t="shared" si="689"/>
        <v>0.37109073139970505</v>
      </c>
      <c r="DC140" s="32">
        <f t="shared" si="690"/>
        <v>0.44969412740426473</v>
      </c>
      <c r="DD140" s="32">
        <f t="shared" si="691"/>
        <v>0.54562519184089797</v>
      </c>
      <c r="DE140" s="32">
        <f t="shared" si="692"/>
        <v>0.64024090812483903</v>
      </c>
      <c r="DF140" s="32">
        <f t="shared" si="693"/>
        <v>0.72780525881779268</v>
      </c>
      <c r="DG140" s="32">
        <f t="shared" si="694"/>
        <v>0.84299600880587844</v>
      </c>
      <c r="DH140" s="32">
        <f t="shared" si="695"/>
        <v>0.93231523364103919</v>
      </c>
      <c r="DI140" s="32">
        <f t="shared" si="696"/>
        <v>1</v>
      </c>
      <c r="DK140" s="32">
        <f t="shared" si="591"/>
        <v>7.15400171001912E-2</v>
      </c>
      <c r="DL140" s="32">
        <f t="shared" si="592"/>
        <v>0.13063494572795908</v>
      </c>
      <c r="DM140" s="32">
        <f t="shared" si="593"/>
        <v>0.20842153807853434</v>
      </c>
      <c r="DN140" s="32">
        <f t="shared" si="594"/>
        <v>0.27300278805377715</v>
      </c>
      <c r="DO140" s="32">
        <f t="shared" si="595"/>
        <v>0.35868067571562784</v>
      </c>
      <c r="DP140" s="32">
        <f t="shared" si="596"/>
        <v>0.46104897897598346</v>
      </c>
      <c r="DQ140" s="32">
        <f t="shared" si="597"/>
        <v>0.54761944716423827</v>
      </c>
      <c r="DR140" s="32">
        <f t="shared" si="598"/>
        <v>0.65241809979496812</v>
      </c>
      <c r="DS140" s="32">
        <f t="shared" si="599"/>
        <v>0.72931765723779451</v>
      </c>
      <c r="DT140" s="32">
        <f t="shared" si="600"/>
        <v>0.82707827160591629</v>
      </c>
      <c r="DU140" s="32">
        <f t="shared" si="601"/>
        <v>0.91233471625698115</v>
      </c>
      <c r="DV140" s="32">
        <f t="shared" si="602"/>
        <v>1</v>
      </c>
      <c r="DW140" s="39"/>
      <c r="DX140" s="32">
        <f t="shared" si="603"/>
        <v>6.2886131200153225E-2</v>
      </c>
      <c r="DY140" s="32">
        <f t="shared" si="604"/>
        <v>0.1169203629699119</v>
      </c>
      <c r="DZ140" s="32">
        <f t="shared" si="605"/>
        <v>0.19146245776470966</v>
      </c>
      <c r="EA140" s="32">
        <f t="shared" si="606"/>
        <v>0.28871939260565044</v>
      </c>
      <c r="EB140" s="32">
        <f t="shared" si="607"/>
        <v>0.37264401895366733</v>
      </c>
      <c r="EC140" s="32">
        <f t="shared" si="608"/>
        <v>0.4585467720992239</v>
      </c>
      <c r="ED140" s="32">
        <f t="shared" si="609"/>
        <v>0.5389307596398526</v>
      </c>
      <c r="EE140" s="32">
        <f t="shared" si="610"/>
        <v>0.64383254191712791</v>
      </c>
      <c r="EF140" s="32">
        <f t="shared" si="611"/>
        <v>0.72733066664818602</v>
      </c>
      <c r="EG140" s="32">
        <f t="shared" si="612"/>
        <v>0.83550991375589945</v>
      </c>
      <c r="EH140" s="32">
        <f t="shared" si="613"/>
        <v>0.93392856400327873</v>
      </c>
      <c r="EI140" s="32">
        <f t="shared" si="614"/>
        <v>1</v>
      </c>
      <c r="EK140" s="32">
        <f t="shared" si="697"/>
        <v>6.7730026568158797E-2</v>
      </c>
      <c r="EL140" s="32">
        <f t="shared" si="615"/>
        <v>0.12777635509739083</v>
      </c>
      <c r="EM140" s="32">
        <f t="shared" si="616"/>
        <v>0.20474179067344936</v>
      </c>
      <c r="EN140" s="32">
        <f t="shared" si="617"/>
        <v>0.28196041463179405</v>
      </c>
      <c r="EO140" s="32">
        <f t="shared" si="618"/>
        <v>0.36747180868966672</v>
      </c>
      <c r="EP140" s="32">
        <f t="shared" si="619"/>
        <v>0.45642995949315734</v>
      </c>
      <c r="EQ140" s="32">
        <f t="shared" si="620"/>
        <v>0.54405846621499621</v>
      </c>
      <c r="ER140" s="32">
        <f t="shared" si="621"/>
        <v>0.64549718327897831</v>
      </c>
      <c r="ES140" s="32">
        <f t="shared" si="622"/>
        <v>0.72815119423459107</v>
      </c>
      <c r="ET140" s="32">
        <f t="shared" si="623"/>
        <v>0.83519473138923139</v>
      </c>
      <c r="EU140" s="32">
        <f t="shared" si="624"/>
        <v>0.92619283796709961</v>
      </c>
      <c r="EV140" s="32">
        <f t="shared" si="625"/>
        <v>1</v>
      </c>
      <c r="EX140" s="32">
        <f t="shared" si="626"/>
        <v>7.2477743813925605E-2</v>
      </c>
      <c r="EY140" s="32">
        <f t="shared" si="627"/>
        <v>0.13547205434895232</v>
      </c>
      <c r="EZ140" s="32">
        <f t="shared" si="628"/>
        <v>0.21001626662861503</v>
      </c>
      <c r="FA140" s="32">
        <f t="shared" si="629"/>
        <v>0.27699140441931663</v>
      </c>
      <c r="FB140" s="32">
        <f t="shared" si="630"/>
        <v>0.35067444630201439</v>
      </c>
      <c r="FC140" s="32">
        <f t="shared" si="631"/>
        <v>0.43345357597526191</v>
      </c>
      <c r="FD140" s="32">
        <f t="shared" si="632"/>
        <v>0.52277740435523523</v>
      </c>
      <c r="FE140" s="32">
        <f t="shared" si="633"/>
        <v>0.62620272712483427</v>
      </c>
      <c r="FF140" s="32">
        <f t="shared" si="634"/>
        <v>0.71179568368013801</v>
      </c>
      <c r="FG140" s="32">
        <f t="shared" si="635"/>
        <v>0.82403659418159403</v>
      </c>
      <c r="FH140" s="32">
        <f t="shared" si="636"/>
        <v>0.91930590807504087</v>
      </c>
      <c r="FI140" s="32">
        <f t="shared" si="637"/>
        <v>1</v>
      </c>
      <c r="FK140" s="32">
        <f t="shared" si="698"/>
        <v>7.5674948018516389E-2</v>
      </c>
      <c r="FL140" s="32">
        <f t="shared" si="638"/>
        <v>0.14165595147529911</v>
      </c>
      <c r="FM140" s="32">
        <f t="shared" si="639"/>
        <v>0.21620086958325016</v>
      </c>
      <c r="FN140" s="32">
        <f t="shared" si="640"/>
        <v>0.273082075023872</v>
      </c>
      <c r="FO140" s="32">
        <f t="shared" si="641"/>
        <v>0.34335125541813011</v>
      </c>
      <c r="FP140" s="32">
        <f t="shared" si="642"/>
        <v>0.42508917726727463</v>
      </c>
      <c r="FQ140" s="32">
        <f t="shared" si="643"/>
        <v>0.51739295259369611</v>
      </c>
      <c r="FR140" s="32">
        <f t="shared" si="644"/>
        <v>0.6203261221940698</v>
      </c>
      <c r="FS140" s="32">
        <f t="shared" si="645"/>
        <v>0.70661735602412212</v>
      </c>
      <c r="FT140" s="32">
        <f t="shared" si="646"/>
        <v>0.82021215432349226</v>
      </c>
      <c r="FU140" s="32">
        <f t="shared" si="647"/>
        <v>0.91443168943229491</v>
      </c>
      <c r="FV140" s="32">
        <f t="shared" si="648"/>
        <v>1</v>
      </c>
      <c r="FX140" s="32">
        <f t="shared" si="649"/>
        <v>7.0901009440824669E-2</v>
      </c>
      <c r="FY140" s="32">
        <f t="shared" si="650"/>
        <v>0.14010433635993927</v>
      </c>
      <c r="FZ140" s="32">
        <f t="shared" si="651"/>
        <v>0.21351312803847425</v>
      </c>
      <c r="GA140" s="32">
        <f t="shared" si="652"/>
        <v>0.27097832437730557</v>
      </c>
      <c r="GB140" s="32">
        <f t="shared" si="653"/>
        <v>0.34259128638076658</v>
      </c>
      <c r="GC140" s="32">
        <f t="shared" si="654"/>
        <v>0.42365133764258051</v>
      </c>
      <c r="GD140" s="32">
        <f t="shared" si="655"/>
        <v>0.52049258998185299</v>
      </c>
      <c r="GE140" s="32">
        <f t="shared" si="656"/>
        <v>0.6223931493527719</v>
      </c>
      <c r="GF140" s="32">
        <f t="shared" si="657"/>
        <v>0.71578773060074286</v>
      </c>
      <c r="GG140" s="32">
        <f t="shared" si="658"/>
        <v>0.82361229208559184</v>
      </c>
      <c r="GH140" s="32">
        <f t="shared" si="659"/>
        <v>0.91683681603844869</v>
      </c>
      <c r="GI140" s="32">
        <f t="shared" si="660"/>
        <v>1</v>
      </c>
    </row>
    <row r="141" spans="1:191">
      <c r="A141" s="724" t="s">
        <v>95</v>
      </c>
      <c r="B141" s="399">
        <v>397791.70999999996</v>
      </c>
      <c r="C141" s="400">
        <v>427208</v>
      </c>
      <c r="D141" s="400">
        <v>561939.15</v>
      </c>
      <c r="E141" s="400">
        <v>500328.60000000003</v>
      </c>
      <c r="F141" s="400">
        <v>546658.95000000007</v>
      </c>
      <c r="G141" s="400">
        <v>575064.44999999995</v>
      </c>
      <c r="H141" s="400">
        <v>598082.70000000007</v>
      </c>
      <c r="I141" s="400">
        <v>636381.15</v>
      </c>
      <c r="J141" s="400">
        <v>616203.45000000007</v>
      </c>
      <c r="K141" s="400">
        <v>592891.35</v>
      </c>
      <c r="L141" s="400">
        <v>598670.4</v>
      </c>
      <c r="M141" s="400">
        <v>553027.94000000006</v>
      </c>
      <c r="N141" s="400">
        <f t="shared" si="588"/>
        <v>6604247.8500000015</v>
      </c>
      <c r="P141" s="396" t="s">
        <v>95</v>
      </c>
      <c r="Q141" s="399">
        <v>444334.20999999996</v>
      </c>
      <c r="R141" s="400">
        <v>435101.70999999996</v>
      </c>
      <c r="S141" s="400">
        <v>391894.76</v>
      </c>
      <c r="T141" s="400">
        <v>167687.21</v>
      </c>
      <c r="U141" s="400">
        <v>194430.75</v>
      </c>
      <c r="V141" s="400">
        <v>301584.86000000004</v>
      </c>
      <c r="W141" s="400">
        <v>414328.5</v>
      </c>
      <c r="X141" s="400">
        <v>473777.77</v>
      </c>
      <c r="Y141" s="400">
        <v>521387.85</v>
      </c>
      <c r="Z141" s="400">
        <v>577807.04999999993</v>
      </c>
      <c r="AA141" s="400">
        <v>525109.94999999995</v>
      </c>
      <c r="AB141" s="400">
        <v>472804.65</v>
      </c>
      <c r="AC141" s="400">
        <f t="shared" si="589"/>
        <v>4920249.2700000005</v>
      </c>
      <c r="AE141" s="127" t="s">
        <v>95</v>
      </c>
      <c r="AF141" s="27">
        <v>426189.42</v>
      </c>
      <c r="AG141" s="27">
        <v>463546.36</v>
      </c>
      <c r="AH141" s="27">
        <v>425946.2</v>
      </c>
      <c r="AI141" s="27">
        <v>457311.76</v>
      </c>
      <c r="AJ141" s="27">
        <v>554810.02</v>
      </c>
      <c r="AK141" s="27">
        <v>549586</v>
      </c>
      <c r="AL141" s="27">
        <v>583525.56000000006</v>
      </c>
      <c r="AM141" s="27">
        <v>572350.4</v>
      </c>
      <c r="AN141" s="27">
        <v>541932.43999999994</v>
      </c>
      <c r="AO141" s="27">
        <v>573487.52</v>
      </c>
      <c r="AP141" s="27">
        <v>488866.84</v>
      </c>
      <c r="AQ141" s="27">
        <v>447930.52</v>
      </c>
      <c r="AR141" s="43">
        <f t="shared" si="590"/>
        <v>6085483.0399999991</v>
      </c>
      <c r="AT141" s="60" t="s">
        <v>95</v>
      </c>
      <c r="AU141" s="27">
        <v>345036.43</v>
      </c>
      <c r="AV141" s="27">
        <v>309893.37</v>
      </c>
      <c r="AW141" s="27">
        <v>415776</v>
      </c>
      <c r="AX141" s="27">
        <v>415955.5</v>
      </c>
      <c r="AY141" s="27">
        <v>429135</v>
      </c>
      <c r="AZ141" s="27">
        <v>414495</v>
      </c>
      <c r="BA141" s="27">
        <v>462075</v>
      </c>
      <c r="BB141" s="27">
        <v>543011.5</v>
      </c>
      <c r="BC141" s="27">
        <v>462898.51</v>
      </c>
      <c r="BD141" s="27">
        <v>542595</v>
      </c>
      <c r="BE141" s="27">
        <v>418612.5</v>
      </c>
      <c r="BF141" s="27">
        <v>410926.5</v>
      </c>
      <c r="BG141" s="43">
        <f t="shared" si="699"/>
        <v>5170410.3099999996</v>
      </c>
      <c r="BI141" s="60" t="s">
        <v>95</v>
      </c>
      <c r="BJ141" s="27">
        <v>279480.99</v>
      </c>
      <c r="BK141" s="27">
        <v>292566.09999999998</v>
      </c>
      <c r="BL141" s="27">
        <v>403949.02</v>
      </c>
      <c r="BM141" s="27">
        <v>341009.48</v>
      </c>
      <c r="BN141" s="27">
        <v>447552.25</v>
      </c>
      <c r="BO141" s="27">
        <v>432061.48</v>
      </c>
      <c r="BP141" s="27">
        <v>415321.47000000003</v>
      </c>
      <c r="BQ141" s="27">
        <v>496351.46</v>
      </c>
      <c r="BR141" s="27">
        <v>429086.32</v>
      </c>
      <c r="BS141" s="27">
        <v>436809.25</v>
      </c>
      <c r="BT141" s="27">
        <v>391193.82</v>
      </c>
      <c r="BU141" s="27">
        <v>372538.56</v>
      </c>
      <c r="BV141" s="43">
        <f t="shared" si="700"/>
        <v>4737920.1999999993</v>
      </c>
      <c r="BW141" s="405"/>
      <c r="BX141" s="32">
        <f t="shared" si="661"/>
        <v>6.0232704622071365E-2</v>
      </c>
      <c r="BY141" s="32">
        <f t="shared" si="662"/>
        <v>0.12491955613083174</v>
      </c>
      <c r="BZ141" s="32">
        <f t="shared" si="663"/>
        <v>0.21000708808952401</v>
      </c>
      <c r="CA141" s="32">
        <f t="shared" si="664"/>
        <v>0.28576569245504613</v>
      </c>
      <c r="CB141" s="32">
        <f t="shared" si="665"/>
        <v>0.36853953171972487</v>
      </c>
      <c r="CC141" s="32">
        <f t="shared" si="666"/>
        <v>0.45561446637712116</v>
      </c>
      <c r="CD141" s="32">
        <f t="shared" si="667"/>
        <v>0.54617477143896098</v>
      </c>
      <c r="CE141" s="32">
        <f t="shared" si="668"/>
        <v>0.64253413959925809</v>
      </c>
      <c r="CF141" s="32">
        <f t="shared" si="669"/>
        <v>0.73583824689438326</v>
      </c>
      <c r="CG141" s="32">
        <f t="shared" si="670"/>
        <v>0.82561248969479539</v>
      </c>
      <c r="CH141" s="32">
        <f t="shared" si="671"/>
        <v>0.9162617829371742</v>
      </c>
      <c r="CI141" s="32">
        <f t="shared" si="672"/>
        <v>1</v>
      </c>
      <c r="CJ141" s="405"/>
      <c r="CK141" s="32">
        <f t="shared" si="673"/>
        <v>9.0307255916731208E-2</v>
      </c>
      <c r="CL141" s="32">
        <f t="shared" si="674"/>
        <v>0.1787380825118236</v>
      </c>
      <c r="CM141" s="32">
        <f t="shared" si="675"/>
        <v>0.25838745360964199</v>
      </c>
      <c r="CN141" s="32">
        <f t="shared" si="676"/>
        <v>0.29246849316640411</v>
      </c>
      <c r="CO141" s="32">
        <f t="shared" si="677"/>
        <v>0.33198493620222613</v>
      </c>
      <c r="CP141" s="32">
        <f t="shared" si="678"/>
        <v>0.39327956650456447</v>
      </c>
      <c r="CQ141" s="32">
        <f t="shared" si="679"/>
        <v>0.47748840985042201</v>
      </c>
      <c r="CR141" s="32">
        <f t="shared" si="680"/>
        <v>0.57377982599649868</v>
      </c>
      <c r="CS141" s="32">
        <f t="shared" si="681"/>
        <v>0.67974759742203061</v>
      </c>
      <c r="CT141" s="32">
        <f t="shared" si="682"/>
        <v>0.797182104962743</v>
      </c>
      <c r="CU141" s="32">
        <f t="shared" si="683"/>
        <v>0.90390636245142919</v>
      </c>
      <c r="CV141" s="32">
        <f t="shared" si="684"/>
        <v>1</v>
      </c>
      <c r="CX141" s="32">
        <f t="shared" si="685"/>
        <v>7.0033786504480999E-2</v>
      </c>
      <c r="CY141" s="32">
        <f t="shared" si="686"/>
        <v>0.14620627058719074</v>
      </c>
      <c r="CZ141" s="32">
        <f t="shared" si="687"/>
        <v>0.2162000898452919</v>
      </c>
      <c r="DA141" s="32">
        <f t="shared" si="688"/>
        <v>0.29134807021005193</v>
      </c>
      <c r="DB141" s="32">
        <f t="shared" si="689"/>
        <v>0.38251750020488107</v>
      </c>
      <c r="DC141" s="32">
        <f t="shared" si="690"/>
        <v>0.47282849053836162</v>
      </c>
      <c r="DD141" s="32">
        <f t="shared" si="691"/>
        <v>0.56871661579719079</v>
      </c>
      <c r="DE141" s="32">
        <f t="shared" si="692"/>
        <v>0.66276837738093508</v>
      </c>
      <c r="DF141" s="32">
        <f t="shared" si="693"/>
        <v>0.75182169269507992</v>
      </c>
      <c r="DG141" s="32">
        <f t="shared" si="694"/>
        <v>0.84606031208329524</v>
      </c>
      <c r="DH141" s="32">
        <f t="shared" si="695"/>
        <v>0.92639359652212594</v>
      </c>
      <c r="DI141" s="32">
        <f t="shared" si="696"/>
        <v>1</v>
      </c>
      <c r="DK141" s="32">
        <f t="shared" si="591"/>
        <v>6.6732891455958745E-2</v>
      </c>
      <c r="DL141" s="32">
        <f t="shared" si="592"/>
        <v>0.12666882524454817</v>
      </c>
      <c r="DM141" s="32">
        <f t="shared" si="593"/>
        <v>0.2070833330053452</v>
      </c>
      <c r="DN141" s="32">
        <f t="shared" si="594"/>
        <v>0.28753255754667567</v>
      </c>
      <c r="DO141" s="32">
        <f t="shared" si="595"/>
        <v>0.37053080609380112</v>
      </c>
      <c r="DP141" s="32">
        <f t="shared" si="596"/>
        <v>0.45069755788878579</v>
      </c>
      <c r="DQ141" s="32">
        <f t="shared" si="597"/>
        <v>0.54006667412822795</v>
      </c>
      <c r="DR141" s="32">
        <f t="shared" si="598"/>
        <v>0.64508957703977654</v>
      </c>
      <c r="DS141" s="32">
        <f t="shared" si="599"/>
        <v>0.7346179669056091</v>
      </c>
      <c r="DT141" s="32">
        <f t="shared" si="600"/>
        <v>0.83956031528182529</v>
      </c>
      <c r="DU141" s="32">
        <f t="shared" si="601"/>
        <v>0.92052342553834954</v>
      </c>
      <c r="DV141" s="32">
        <f t="shared" si="602"/>
        <v>1</v>
      </c>
      <c r="DW141" s="39"/>
      <c r="DX141" s="32">
        <f t="shared" si="603"/>
        <v>5.8988116769041414E-2</v>
      </c>
      <c r="DY141" s="32">
        <f t="shared" si="604"/>
        <v>0.1207380170733986</v>
      </c>
      <c r="DZ141" s="32">
        <f t="shared" si="605"/>
        <v>0.20599673882223685</v>
      </c>
      <c r="EA141" s="32">
        <f t="shared" si="606"/>
        <v>0.27797124780615767</v>
      </c>
      <c r="EB141" s="32">
        <f t="shared" si="607"/>
        <v>0.37243300129875556</v>
      </c>
      <c r="EC141" s="32">
        <f t="shared" si="608"/>
        <v>0.46362522526234196</v>
      </c>
      <c r="ED141" s="32">
        <f t="shared" si="609"/>
        <v>0.5512842512628221</v>
      </c>
      <c r="EE141" s="32">
        <f t="shared" si="610"/>
        <v>0.6560457160084715</v>
      </c>
      <c r="EF141" s="32">
        <f t="shared" si="611"/>
        <v>0.74660999355793289</v>
      </c>
      <c r="EG141" s="32">
        <f t="shared" si="612"/>
        <v>0.83880429645058197</v>
      </c>
      <c r="EH141" s="32">
        <f t="shared" si="613"/>
        <v>0.92137086648272382</v>
      </c>
      <c r="EI141" s="32">
        <f t="shared" si="614"/>
        <v>1</v>
      </c>
      <c r="EK141" s="32">
        <f t="shared" si="697"/>
        <v>6.5251598243160389E-2</v>
      </c>
      <c r="EL141" s="32">
        <f t="shared" si="615"/>
        <v>0.13120437096837917</v>
      </c>
      <c r="EM141" s="32">
        <f t="shared" si="616"/>
        <v>0.209760053890958</v>
      </c>
      <c r="EN141" s="32">
        <f t="shared" si="617"/>
        <v>0.28561729185429507</v>
      </c>
      <c r="EO141" s="32">
        <f t="shared" si="618"/>
        <v>0.37516043586581255</v>
      </c>
      <c r="EP141" s="32">
        <f t="shared" si="619"/>
        <v>0.46238375789649649</v>
      </c>
      <c r="EQ141" s="32">
        <f t="shared" si="620"/>
        <v>0.55335584706274688</v>
      </c>
      <c r="ER141" s="32">
        <f t="shared" si="621"/>
        <v>0.65463455680972771</v>
      </c>
      <c r="ES141" s="32">
        <f t="shared" si="622"/>
        <v>0.74434988438620719</v>
      </c>
      <c r="ET141" s="32">
        <f t="shared" si="623"/>
        <v>0.84147497460523413</v>
      </c>
      <c r="EU141" s="32">
        <f t="shared" si="624"/>
        <v>0.9227626295143998</v>
      </c>
      <c r="EV141" s="32">
        <f t="shared" si="625"/>
        <v>1</v>
      </c>
      <c r="EX141" s="32">
        <f t="shared" si="626"/>
        <v>7.1515512661553093E-2</v>
      </c>
      <c r="EY141" s="32">
        <f t="shared" si="627"/>
        <v>0.14308779885424028</v>
      </c>
      <c r="EZ141" s="32">
        <f t="shared" si="628"/>
        <v>0.22191690382062898</v>
      </c>
      <c r="FA141" s="32">
        <f t="shared" si="629"/>
        <v>0.28733009218232236</v>
      </c>
      <c r="FB141" s="32">
        <f t="shared" si="630"/>
        <v>0.36436656094991593</v>
      </c>
      <c r="FC141" s="32">
        <f t="shared" si="631"/>
        <v>0.44510771004851352</v>
      </c>
      <c r="FD141" s="32">
        <f t="shared" si="632"/>
        <v>0.5343889877596657</v>
      </c>
      <c r="FE141" s="32">
        <f t="shared" si="633"/>
        <v>0.63442087410642045</v>
      </c>
      <c r="FF141" s="32">
        <f t="shared" si="634"/>
        <v>0.72819931264516313</v>
      </c>
      <c r="FG141" s="32">
        <f t="shared" si="635"/>
        <v>0.8304017571946114</v>
      </c>
      <c r="FH141" s="32">
        <f t="shared" si="636"/>
        <v>0.9180485627486572</v>
      </c>
      <c r="FI141" s="32">
        <f t="shared" si="637"/>
        <v>1</v>
      </c>
      <c r="FK141" s="32">
        <f t="shared" si="698"/>
        <v>7.5691311292390318E-2</v>
      </c>
      <c r="FL141" s="32">
        <f t="shared" si="638"/>
        <v>0.15053772611452085</v>
      </c>
      <c r="FM141" s="32">
        <f t="shared" si="639"/>
        <v>0.2272236254867597</v>
      </c>
      <c r="FN141" s="32">
        <f t="shared" si="640"/>
        <v>0.29044970697437722</v>
      </c>
      <c r="FO141" s="32">
        <f t="shared" si="641"/>
        <v>0.36167774750030279</v>
      </c>
      <c r="FP141" s="32">
        <f t="shared" si="642"/>
        <v>0.43893520497723731</v>
      </c>
      <c r="FQ141" s="32">
        <f t="shared" si="643"/>
        <v>0.52875723325861357</v>
      </c>
      <c r="FR141" s="32">
        <f t="shared" si="644"/>
        <v>0.62721259347240343</v>
      </c>
      <c r="FS141" s="32">
        <f t="shared" si="645"/>
        <v>0.72206241900757318</v>
      </c>
      <c r="FT141" s="32">
        <f t="shared" si="646"/>
        <v>0.82760091077595455</v>
      </c>
      <c r="FU141" s="32">
        <f t="shared" si="647"/>
        <v>0.91694112817063489</v>
      </c>
      <c r="FV141" s="32">
        <f t="shared" si="648"/>
        <v>1</v>
      </c>
      <c r="FX141" s="32">
        <f t="shared" si="649"/>
        <v>7.35245823477612E-2</v>
      </c>
      <c r="FY141" s="32">
        <f t="shared" si="650"/>
        <v>0.14995463640994869</v>
      </c>
      <c r="FZ141" s="32">
        <f t="shared" si="651"/>
        <v>0.22819821051481934</v>
      </c>
      <c r="GA141" s="32">
        <f t="shared" si="652"/>
        <v>0.28986075194383404</v>
      </c>
      <c r="GB141" s="32">
        <f t="shared" si="653"/>
        <v>0.36101398937561074</v>
      </c>
      <c r="GC141" s="32">
        <f t="shared" si="654"/>
        <v>0.44057417447334907</v>
      </c>
      <c r="GD141" s="32">
        <f t="shared" si="655"/>
        <v>0.53079326569552465</v>
      </c>
      <c r="GE141" s="32">
        <f t="shared" si="656"/>
        <v>0.62636078099223058</v>
      </c>
      <c r="GF141" s="32">
        <f t="shared" si="657"/>
        <v>0.72246917900383123</v>
      </c>
      <c r="GG141" s="32">
        <f t="shared" si="658"/>
        <v>0.82295163558027795</v>
      </c>
      <c r="GH141" s="32">
        <f t="shared" si="659"/>
        <v>0.91552058063690966</v>
      </c>
      <c r="GI141" s="32">
        <f t="shared" si="660"/>
        <v>1</v>
      </c>
    </row>
    <row r="142" spans="1:191">
      <c r="A142" s="724" t="s">
        <v>96</v>
      </c>
      <c r="B142" s="399">
        <v>59574.35</v>
      </c>
      <c r="C142" s="400">
        <v>79323.98000000001</v>
      </c>
      <c r="D142" s="400">
        <v>85510.349999999991</v>
      </c>
      <c r="E142" s="400">
        <v>85216.5</v>
      </c>
      <c r="F142" s="400">
        <v>82375.95</v>
      </c>
      <c r="G142" s="400">
        <v>88057.05</v>
      </c>
      <c r="H142" s="400">
        <v>106569.59999999999</v>
      </c>
      <c r="I142" s="400">
        <v>98145.900000000009</v>
      </c>
      <c r="J142" s="400">
        <v>95893.05</v>
      </c>
      <c r="K142" s="400">
        <v>88448.85</v>
      </c>
      <c r="L142" s="400">
        <v>95599.2</v>
      </c>
      <c r="M142" s="400">
        <v>92073</v>
      </c>
      <c r="N142" s="400">
        <f t="shared" si="588"/>
        <v>1056787.78</v>
      </c>
      <c r="P142" s="396" t="s">
        <v>96</v>
      </c>
      <c r="Q142" s="399">
        <v>53839.66</v>
      </c>
      <c r="R142" s="400">
        <v>57104.850000000006</v>
      </c>
      <c r="S142" s="400">
        <v>64647</v>
      </c>
      <c r="T142" s="400">
        <v>36633.300000000003</v>
      </c>
      <c r="U142" s="400">
        <v>48289.35</v>
      </c>
      <c r="V142" s="400">
        <v>47701.649999999994</v>
      </c>
      <c r="W142" s="400">
        <v>74246.099999999991</v>
      </c>
      <c r="X142" s="400">
        <v>83453.400000000009</v>
      </c>
      <c r="Y142" s="400">
        <v>87763.199999999997</v>
      </c>
      <c r="Z142" s="400">
        <v>85902.15</v>
      </c>
      <c r="AA142" s="400">
        <v>83551.350000000006</v>
      </c>
      <c r="AB142" s="400">
        <v>82375.950000000012</v>
      </c>
      <c r="AC142" s="400">
        <f t="shared" si="589"/>
        <v>805507.96</v>
      </c>
      <c r="AE142" s="127" t="s">
        <v>96</v>
      </c>
      <c r="AF142" s="27">
        <v>55330.5</v>
      </c>
      <c r="AG142" s="27">
        <v>54960.800000000003</v>
      </c>
      <c r="AH142" s="27">
        <v>52212.76</v>
      </c>
      <c r="AI142" s="27">
        <v>69838.12</v>
      </c>
      <c r="AJ142" s="27">
        <v>70217.16</v>
      </c>
      <c r="AK142" s="27">
        <v>59225</v>
      </c>
      <c r="AL142" s="27">
        <v>77892.72</v>
      </c>
      <c r="AM142" s="27">
        <v>70217.16</v>
      </c>
      <c r="AN142" s="27">
        <v>74386.600000000006</v>
      </c>
      <c r="AO142" s="27">
        <v>71543.8</v>
      </c>
      <c r="AP142" s="27">
        <v>65005.36</v>
      </c>
      <c r="AQ142" s="27">
        <v>58940.72</v>
      </c>
      <c r="AR142" s="43">
        <f t="shared" si="590"/>
        <v>779770.7</v>
      </c>
      <c r="AT142" s="60" t="s">
        <v>96</v>
      </c>
      <c r="AU142" s="27">
        <v>49229.65</v>
      </c>
      <c r="AV142" s="27">
        <v>57745.65</v>
      </c>
      <c r="AW142" s="27">
        <v>60518.1</v>
      </c>
      <c r="AX142" s="27">
        <v>58578.3</v>
      </c>
      <c r="AY142" s="27">
        <v>63409.500000000007</v>
      </c>
      <c r="AZ142" s="27">
        <v>64782</v>
      </c>
      <c r="BA142" s="27">
        <v>62805.600000000006</v>
      </c>
      <c r="BB142" s="27">
        <v>72303.3</v>
      </c>
      <c r="BC142" s="27">
        <v>57086.85</v>
      </c>
      <c r="BD142" s="27">
        <v>71077.2</v>
      </c>
      <c r="BE142" s="27">
        <v>67618.5</v>
      </c>
      <c r="BF142" s="27">
        <v>56089.5</v>
      </c>
      <c r="BG142" s="43">
        <f t="shared" si="699"/>
        <v>741244.15</v>
      </c>
      <c r="BI142" s="60" t="s">
        <v>96</v>
      </c>
      <c r="BJ142" s="27">
        <v>43757.99</v>
      </c>
      <c r="BK142" s="27">
        <v>48912.820000000007</v>
      </c>
      <c r="BL142" s="27">
        <v>51697.13</v>
      </c>
      <c r="BM142" s="27">
        <v>59063.35</v>
      </c>
      <c r="BN142" s="27">
        <v>66423.02</v>
      </c>
      <c r="BO142" s="27">
        <v>72796.540000000008</v>
      </c>
      <c r="BP142" s="27">
        <v>57457.95</v>
      </c>
      <c r="BQ142" s="27">
        <v>70884.490000000005</v>
      </c>
      <c r="BR142" s="27">
        <v>61056.91</v>
      </c>
      <c r="BS142" s="27">
        <v>54641.15</v>
      </c>
      <c r="BT142" s="27">
        <v>56722</v>
      </c>
      <c r="BU142" s="27">
        <v>51525.47</v>
      </c>
      <c r="BV142" s="43">
        <f t="shared" si="700"/>
        <v>694938.82</v>
      </c>
      <c r="BW142" s="405"/>
      <c r="BX142" s="32">
        <f t="shared" si="661"/>
        <v>5.6373049658087454E-2</v>
      </c>
      <c r="BY142" s="32">
        <f t="shared" si="662"/>
        <v>0.13143445886552549</v>
      </c>
      <c r="BZ142" s="32">
        <f t="shared" si="663"/>
        <v>0.21234980593738506</v>
      </c>
      <c r="CA142" s="32">
        <f t="shared" si="664"/>
        <v>0.29298709339731388</v>
      </c>
      <c r="CB142" s="32">
        <f t="shared" si="665"/>
        <v>0.37093647127524504</v>
      </c>
      <c r="CC142" s="32">
        <f t="shared" si="666"/>
        <v>0.45426166831717146</v>
      </c>
      <c r="CD142" s="32">
        <f t="shared" si="667"/>
        <v>0.55510462091073765</v>
      </c>
      <c r="CE142" s="32">
        <f t="shared" si="668"/>
        <v>0.64797653129562116</v>
      </c>
      <c r="CF142" s="32">
        <f t="shared" si="669"/>
        <v>0.73871665132236874</v>
      </c>
      <c r="CG142" s="32">
        <f t="shared" si="670"/>
        <v>0.8224125945135361</v>
      </c>
      <c r="CH142" s="32">
        <f t="shared" si="671"/>
        <v>0.91287465492835274</v>
      </c>
      <c r="CI142" s="32">
        <f t="shared" si="672"/>
        <v>1</v>
      </c>
      <c r="CJ142" s="405"/>
      <c r="CK142" s="32">
        <f t="shared" si="673"/>
        <v>6.6839389147687639E-2</v>
      </c>
      <c r="CL142" s="32">
        <f t="shared" si="674"/>
        <v>0.13773235710792978</v>
      </c>
      <c r="CM142" s="32">
        <f t="shared" si="675"/>
        <v>0.21798854725160011</v>
      </c>
      <c r="CN142" s="32">
        <f t="shared" si="676"/>
        <v>0.26346705499967998</v>
      </c>
      <c r="CO142" s="32">
        <f t="shared" si="677"/>
        <v>0.3234159970312398</v>
      </c>
      <c r="CP142" s="32">
        <f t="shared" si="678"/>
        <v>0.38263533733422078</v>
      </c>
      <c r="CQ142" s="32">
        <f t="shared" si="679"/>
        <v>0.47480835571134516</v>
      </c>
      <c r="CR142" s="32">
        <f t="shared" si="680"/>
        <v>0.57841180116953783</v>
      </c>
      <c r="CS142" s="32">
        <f t="shared" si="681"/>
        <v>0.68736565930397509</v>
      </c>
      <c r="CT142" s="32">
        <f t="shared" si="682"/>
        <v>0.79400911196457957</v>
      </c>
      <c r="CU142" s="32">
        <f t="shared" si="683"/>
        <v>0.89773415771086862</v>
      </c>
      <c r="CV142" s="32">
        <f t="shared" si="684"/>
        <v>1</v>
      </c>
      <c r="CX142" s="32">
        <f t="shared" si="685"/>
        <v>7.095739811716445E-2</v>
      </c>
      <c r="CY142" s="32">
        <f t="shared" si="686"/>
        <v>0.14144068249807284</v>
      </c>
      <c r="CZ142" s="32">
        <f t="shared" si="687"/>
        <v>0.2083998026599358</v>
      </c>
      <c r="DA142" s="32">
        <f t="shared" si="688"/>
        <v>0.29796218298533145</v>
      </c>
      <c r="DB142" s="32">
        <f t="shared" si="689"/>
        <v>0.38801065492714715</v>
      </c>
      <c r="DC142" s="32">
        <f t="shared" si="690"/>
        <v>0.46396246999278118</v>
      </c>
      <c r="DD142" s="32">
        <f t="shared" si="691"/>
        <v>0.563854297167103</v>
      </c>
      <c r="DE142" s="32">
        <f t="shared" si="692"/>
        <v>0.65390276910891887</v>
      </c>
      <c r="DF142" s="32">
        <f t="shared" si="693"/>
        <v>0.7492982488313551</v>
      </c>
      <c r="DG142" s="32">
        <f t="shared" si="694"/>
        <v>0.84104804143064116</v>
      </c>
      <c r="DH142" s="32">
        <f t="shared" si="695"/>
        <v>0.92441275364668107</v>
      </c>
      <c r="DI142" s="32">
        <f t="shared" si="696"/>
        <v>1</v>
      </c>
      <c r="DK142" s="32">
        <f t="shared" si="591"/>
        <v>6.6414891773513493E-2</v>
      </c>
      <c r="DL142" s="32">
        <f t="shared" si="592"/>
        <v>0.14431857573513396</v>
      </c>
      <c r="DM142" s="32">
        <f t="shared" si="593"/>
        <v>0.22596252530289782</v>
      </c>
      <c r="DN142" s="32">
        <f t="shared" si="594"/>
        <v>0.3049895233574525</v>
      </c>
      <c r="DO142" s="32">
        <f t="shared" si="595"/>
        <v>0.39053421197320748</v>
      </c>
      <c r="DP142" s="32">
        <f t="shared" si="596"/>
        <v>0.47793051722566715</v>
      </c>
      <c r="DQ142" s="32">
        <f t="shared" si="597"/>
        <v>0.5626604945212722</v>
      </c>
      <c r="DR142" s="32">
        <f t="shared" si="598"/>
        <v>0.66020365894287325</v>
      </c>
      <c r="DS142" s="32">
        <f t="shared" si="599"/>
        <v>0.73721856691887555</v>
      </c>
      <c r="DT142" s="32">
        <f t="shared" si="600"/>
        <v>0.83310762047835385</v>
      </c>
      <c r="DU142" s="32">
        <f t="shared" si="601"/>
        <v>0.92433060011333645</v>
      </c>
      <c r="DV142" s="32">
        <f t="shared" si="602"/>
        <v>1</v>
      </c>
      <c r="DW142" s="39"/>
      <c r="DX142" s="32">
        <f t="shared" si="603"/>
        <v>6.2966679570440456E-2</v>
      </c>
      <c r="DY142" s="32">
        <f t="shared" si="604"/>
        <v>0.13335103369243353</v>
      </c>
      <c r="DZ142" s="32">
        <f t="shared" si="605"/>
        <v>0.20774194194533557</v>
      </c>
      <c r="EA142" s="32">
        <f t="shared" si="606"/>
        <v>0.29273266098445905</v>
      </c>
      <c r="EB142" s="32">
        <f t="shared" si="607"/>
        <v>0.38831376551967556</v>
      </c>
      <c r="EC142" s="32">
        <f t="shared" si="608"/>
        <v>0.49306620977081117</v>
      </c>
      <c r="ED142" s="32">
        <f t="shared" si="609"/>
        <v>0.57574679739433754</v>
      </c>
      <c r="EE142" s="32">
        <f t="shared" si="610"/>
        <v>0.67774784836455104</v>
      </c>
      <c r="EF142" s="32">
        <f t="shared" si="611"/>
        <v>0.76560725158511078</v>
      </c>
      <c r="EG142" s="32">
        <f t="shared" si="612"/>
        <v>0.84423453276074001</v>
      </c>
      <c r="EH142" s="32">
        <f t="shared" si="613"/>
        <v>0.92585610629724213</v>
      </c>
      <c r="EI142" s="32">
        <f t="shared" si="614"/>
        <v>1</v>
      </c>
      <c r="EK142" s="32">
        <f t="shared" si="697"/>
        <v>6.6779656487039471E-2</v>
      </c>
      <c r="EL142" s="32">
        <f t="shared" si="615"/>
        <v>0.13970343064188009</v>
      </c>
      <c r="EM142" s="32">
        <f t="shared" si="616"/>
        <v>0.21403475663605639</v>
      </c>
      <c r="EN142" s="32">
        <f t="shared" si="617"/>
        <v>0.29856145577574766</v>
      </c>
      <c r="EO142" s="32">
        <f t="shared" si="618"/>
        <v>0.38895287747334334</v>
      </c>
      <c r="EP142" s="32">
        <f t="shared" si="619"/>
        <v>0.47831973232975317</v>
      </c>
      <c r="EQ142" s="32">
        <f t="shared" si="620"/>
        <v>0.56742052969423751</v>
      </c>
      <c r="ER142" s="32">
        <f t="shared" si="621"/>
        <v>0.66395142547211439</v>
      </c>
      <c r="ES142" s="32">
        <f t="shared" si="622"/>
        <v>0.75070802244511381</v>
      </c>
      <c r="ET142" s="32">
        <f t="shared" si="623"/>
        <v>0.83946339822324501</v>
      </c>
      <c r="EU142" s="32">
        <f t="shared" si="624"/>
        <v>0.92486648668575322</v>
      </c>
      <c r="EV142" s="32">
        <f t="shared" si="625"/>
        <v>1</v>
      </c>
      <c r="EX142" s="32">
        <f t="shared" si="626"/>
        <v>6.6794589652201503E-2</v>
      </c>
      <c r="EY142" s="32">
        <f t="shared" si="627"/>
        <v>0.13921066225839251</v>
      </c>
      <c r="EZ142" s="32">
        <f t="shared" si="628"/>
        <v>0.21502320428994232</v>
      </c>
      <c r="FA142" s="32">
        <f t="shared" si="629"/>
        <v>0.28978785558173076</v>
      </c>
      <c r="FB142" s="32">
        <f t="shared" si="630"/>
        <v>0.37256865736281747</v>
      </c>
      <c r="FC142" s="32">
        <f t="shared" si="631"/>
        <v>0.45439863358087007</v>
      </c>
      <c r="FD142" s="32">
        <f t="shared" si="632"/>
        <v>0.54426748619851451</v>
      </c>
      <c r="FE142" s="32">
        <f t="shared" si="633"/>
        <v>0.64256651939647025</v>
      </c>
      <c r="FF142" s="32">
        <f t="shared" si="634"/>
        <v>0.73487243165982918</v>
      </c>
      <c r="FG142" s="32">
        <f t="shared" si="635"/>
        <v>0.82809982665857862</v>
      </c>
      <c r="FH142" s="32">
        <f t="shared" si="636"/>
        <v>0.91808340444203207</v>
      </c>
      <c r="FI142" s="32">
        <f t="shared" si="637"/>
        <v>1</v>
      </c>
      <c r="FK142" s="32">
        <f t="shared" si="698"/>
        <v>6.8070559679455203E-2</v>
      </c>
      <c r="FL142" s="32">
        <f t="shared" si="638"/>
        <v>0.14116387178037884</v>
      </c>
      <c r="FM142" s="32">
        <f t="shared" si="639"/>
        <v>0.21745029173814456</v>
      </c>
      <c r="FN142" s="32">
        <f t="shared" si="640"/>
        <v>0.28880625378082131</v>
      </c>
      <c r="FO142" s="32">
        <f t="shared" si="641"/>
        <v>0.36732028797719812</v>
      </c>
      <c r="FP142" s="32">
        <f t="shared" si="642"/>
        <v>0.44150944151755639</v>
      </c>
      <c r="FQ142" s="32">
        <f t="shared" si="643"/>
        <v>0.53377438246657338</v>
      </c>
      <c r="FR142" s="32">
        <f t="shared" si="644"/>
        <v>0.63083940974044328</v>
      </c>
      <c r="FS142" s="32">
        <f t="shared" si="645"/>
        <v>0.72462749168473517</v>
      </c>
      <c r="FT142" s="32">
        <f t="shared" si="646"/>
        <v>0.8227215912911916</v>
      </c>
      <c r="FU142" s="32">
        <f t="shared" si="647"/>
        <v>0.91549250382362868</v>
      </c>
      <c r="FV142" s="32">
        <f t="shared" si="648"/>
        <v>1</v>
      </c>
      <c r="FX142" s="32">
        <f t="shared" si="649"/>
        <v>6.4723278974313181E-2</v>
      </c>
      <c r="FY142" s="32">
        <f t="shared" si="650"/>
        <v>0.13686916615717604</v>
      </c>
      <c r="FZ142" s="32">
        <f t="shared" si="651"/>
        <v>0.21291271861630698</v>
      </c>
      <c r="GA142" s="32">
        <f t="shared" si="652"/>
        <v>0.28480544379410844</v>
      </c>
      <c r="GB142" s="32">
        <f t="shared" si="653"/>
        <v>0.360787707744544</v>
      </c>
      <c r="GC142" s="32">
        <f t="shared" si="654"/>
        <v>0.43361982521472447</v>
      </c>
      <c r="GD142" s="32">
        <f t="shared" si="655"/>
        <v>0.53125575792972857</v>
      </c>
      <c r="GE142" s="32">
        <f t="shared" si="656"/>
        <v>0.62676370052469255</v>
      </c>
      <c r="GF142" s="32">
        <f t="shared" si="657"/>
        <v>0.72512685315256631</v>
      </c>
      <c r="GG142" s="32">
        <f t="shared" si="658"/>
        <v>0.81915658263625224</v>
      </c>
      <c r="GH142" s="32">
        <f t="shared" si="659"/>
        <v>0.91167385542863411</v>
      </c>
      <c r="GI142" s="32">
        <f t="shared" si="660"/>
        <v>1</v>
      </c>
    </row>
    <row r="143" spans="1:191">
      <c r="A143" s="724" t="s">
        <v>97</v>
      </c>
      <c r="B143" s="399">
        <v>609248.65</v>
      </c>
      <c r="C143" s="400">
        <v>658826.97</v>
      </c>
      <c r="D143" s="400">
        <v>796823.25</v>
      </c>
      <c r="E143" s="400">
        <v>738008.91</v>
      </c>
      <c r="F143" s="400">
        <v>784187.70000000007</v>
      </c>
      <c r="G143" s="400">
        <v>819645.6</v>
      </c>
      <c r="H143" s="400">
        <v>883802.85</v>
      </c>
      <c r="I143" s="400">
        <v>911620.65</v>
      </c>
      <c r="J143" s="400">
        <v>853144.5</v>
      </c>
      <c r="K143" s="400">
        <v>861372.3</v>
      </c>
      <c r="L143" s="400">
        <v>840704.85</v>
      </c>
      <c r="M143" s="400">
        <v>838158.14999999991</v>
      </c>
      <c r="N143" s="400">
        <f t="shared" si="588"/>
        <v>9595544.3800000008</v>
      </c>
      <c r="P143" s="396" t="s">
        <v>97</v>
      </c>
      <c r="Q143" s="399">
        <v>686025.65</v>
      </c>
      <c r="R143" s="400">
        <v>700538.4</v>
      </c>
      <c r="S143" s="400">
        <v>680262.75</v>
      </c>
      <c r="T143" s="400">
        <v>400615.5</v>
      </c>
      <c r="U143" s="400">
        <v>560567.85</v>
      </c>
      <c r="V143" s="400">
        <v>662827.65</v>
      </c>
      <c r="W143" s="400">
        <v>692604.45000000007</v>
      </c>
      <c r="X143" s="400">
        <v>797802.75000000012</v>
      </c>
      <c r="Y143" s="400">
        <v>805540.79999999993</v>
      </c>
      <c r="Z143" s="400">
        <v>899670.75</v>
      </c>
      <c r="AA143" s="400">
        <v>790750.35</v>
      </c>
      <c r="AB143" s="400">
        <v>795256.05</v>
      </c>
      <c r="AC143" s="400">
        <f t="shared" si="589"/>
        <v>8472462.9499999993</v>
      </c>
      <c r="AE143" s="127" t="s">
        <v>97</v>
      </c>
      <c r="AF143" s="27">
        <v>618323.79</v>
      </c>
      <c r="AG143" s="27">
        <v>740075.6</v>
      </c>
      <c r="AH143" s="27">
        <v>741876.04</v>
      </c>
      <c r="AI143" s="27">
        <v>836257</v>
      </c>
      <c r="AJ143" s="27">
        <v>901167.6</v>
      </c>
      <c r="AK143" s="27">
        <v>739317.52</v>
      </c>
      <c r="AL143" s="27">
        <v>919835.32</v>
      </c>
      <c r="AM143" s="27">
        <v>896145.32</v>
      </c>
      <c r="AN143" s="27">
        <v>878993.76</v>
      </c>
      <c r="AO143" s="27">
        <v>980860.76</v>
      </c>
      <c r="AP143" s="27">
        <v>853787.6</v>
      </c>
      <c r="AQ143" s="27">
        <v>829718.56</v>
      </c>
      <c r="AR143" s="43">
        <f t="shared" si="590"/>
        <v>9936358.870000001</v>
      </c>
      <c r="AT143" s="60" t="s">
        <v>97</v>
      </c>
      <c r="AU143" s="27">
        <v>635010.15</v>
      </c>
      <c r="AV143" s="27">
        <v>617259</v>
      </c>
      <c r="AW143" s="27">
        <v>755149.5</v>
      </c>
      <c r="AX143" s="27">
        <v>795135</v>
      </c>
      <c r="AY143" s="27">
        <v>796782.07999999996</v>
      </c>
      <c r="AZ143" s="27">
        <v>740418.3</v>
      </c>
      <c r="BA143" s="27">
        <v>784505.45</v>
      </c>
      <c r="BB143" s="27">
        <v>889735.65</v>
      </c>
      <c r="BC143" s="27">
        <v>726235.5</v>
      </c>
      <c r="BD143" s="27">
        <v>895693.5</v>
      </c>
      <c r="BE143" s="27">
        <v>778848</v>
      </c>
      <c r="BF143" s="27">
        <v>727882.5</v>
      </c>
      <c r="BG143" s="43">
        <f t="shared" si="699"/>
        <v>9142654.6300000008</v>
      </c>
      <c r="BI143" s="60" t="s">
        <v>97</v>
      </c>
      <c r="BJ143" s="27">
        <v>571081.51</v>
      </c>
      <c r="BK143" s="27">
        <v>596751.05000000005</v>
      </c>
      <c r="BL143" s="27">
        <v>775283.98</v>
      </c>
      <c r="BM143" s="27">
        <v>653514.98</v>
      </c>
      <c r="BN143" s="27">
        <v>812934.99</v>
      </c>
      <c r="BO143" s="27">
        <v>744383.92</v>
      </c>
      <c r="BP143" s="27">
        <v>766948.15</v>
      </c>
      <c r="BQ143" s="27">
        <v>894083.33</v>
      </c>
      <c r="BR143" s="27">
        <v>757103.58000000007</v>
      </c>
      <c r="BS143" s="27">
        <v>779178.95</v>
      </c>
      <c r="BT143" s="27">
        <v>764126.3</v>
      </c>
      <c r="BU143" s="27">
        <v>692617.88</v>
      </c>
      <c r="BV143" s="43">
        <f t="shared" si="700"/>
        <v>8808008.620000001</v>
      </c>
      <c r="BW143" s="405"/>
      <c r="BX143" s="32">
        <f t="shared" si="661"/>
        <v>6.3492869802140389E-2</v>
      </c>
      <c r="BY143" s="32">
        <f t="shared" si="662"/>
        <v>0.13215254599239318</v>
      </c>
      <c r="BZ143" s="32">
        <f t="shared" si="663"/>
        <v>0.21519350942754953</v>
      </c>
      <c r="CA143" s="32">
        <f t="shared" si="664"/>
        <v>0.29210513432068563</v>
      </c>
      <c r="CB143" s="32">
        <f t="shared" si="665"/>
        <v>0.37382928346166433</v>
      </c>
      <c r="CC143" s="32">
        <f t="shared" si="666"/>
        <v>0.45924867891653687</v>
      </c>
      <c r="CD143" s="32">
        <f t="shared" si="667"/>
        <v>0.55135422446975324</v>
      </c>
      <c r="CE143" s="32">
        <f t="shared" si="668"/>
        <v>0.64635880304270965</v>
      </c>
      <c r="CF143" s="32">
        <f t="shared" si="669"/>
        <v>0.73526928755656484</v>
      </c>
      <c r="CG143" s="32">
        <f t="shared" si="670"/>
        <v>0.82503723254104722</v>
      </c>
      <c r="CH143" s="32">
        <f t="shared" si="671"/>
        <v>0.91265131848621595</v>
      </c>
      <c r="CI143" s="32">
        <f t="shared" si="672"/>
        <v>1</v>
      </c>
      <c r="CJ143" s="405"/>
      <c r="CK143" s="32">
        <f t="shared" si="673"/>
        <v>8.097121864663924E-2</v>
      </c>
      <c r="CL143" s="32">
        <f t="shared" si="674"/>
        <v>0.16365536895030036</v>
      </c>
      <c r="CM143" s="32">
        <f t="shared" si="675"/>
        <v>0.24394639577621288</v>
      </c>
      <c r="CN143" s="32">
        <f t="shared" si="676"/>
        <v>0.29123081618196983</v>
      </c>
      <c r="CO143" s="32">
        <f t="shared" si="677"/>
        <v>0.35739432180107678</v>
      </c>
      <c r="CP143" s="32">
        <f t="shared" si="678"/>
        <v>0.43562749365578518</v>
      </c>
      <c r="CQ143" s="32">
        <f t="shared" si="679"/>
        <v>0.51737520433771866</v>
      </c>
      <c r="CR143" s="32">
        <f t="shared" si="680"/>
        <v>0.61153941074478235</v>
      </c>
      <c r="CS143" s="32">
        <f t="shared" si="681"/>
        <v>0.70661693480760523</v>
      </c>
      <c r="CT143" s="32">
        <f t="shared" si="682"/>
        <v>0.8128045635183333</v>
      </c>
      <c r="CU143" s="32">
        <f t="shared" si="683"/>
        <v>0.90613637915052792</v>
      </c>
      <c r="CV143" s="32">
        <f t="shared" si="684"/>
        <v>1</v>
      </c>
      <c r="CX143" s="32">
        <f t="shared" si="685"/>
        <v>6.2228407617890315E-2</v>
      </c>
      <c r="CY143" s="32">
        <f t="shared" si="686"/>
        <v>0.13670997674020202</v>
      </c>
      <c r="CZ143" s="32">
        <f t="shared" si="687"/>
        <v>0.21137274302171011</v>
      </c>
      <c r="DA143" s="32">
        <f t="shared" si="688"/>
        <v>0.29553405512214553</v>
      </c>
      <c r="DB143" s="32">
        <f t="shared" si="689"/>
        <v>0.38622800164624083</v>
      </c>
      <c r="DC143" s="32">
        <f t="shared" si="690"/>
        <v>0.46063327722783831</v>
      </c>
      <c r="DD143" s="32">
        <f t="shared" si="691"/>
        <v>0.55320595219202273</v>
      </c>
      <c r="DE143" s="32">
        <f t="shared" si="692"/>
        <v>0.64339445400888595</v>
      </c>
      <c r="DF143" s="32">
        <f t="shared" si="693"/>
        <v>0.73185681446708861</v>
      </c>
      <c r="DG143" s="32">
        <f t="shared" si="694"/>
        <v>0.83057111945877216</v>
      </c>
      <c r="DH143" s="32">
        <f t="shared" si="695"/>
        <v>0.9164967196882251</v>
      </c>
      <c r="DI143" s="32">
        <f t="shared" si="696"/>
        <v>1</v>
      </c>
      <c r="DK143" s="32">
        <f t="shared" si="591"/>
        <v>6.9455773590782574E-2</v>
      </c>
      <c r="DL143" s="32">
        <f t="shared" si="592"/>
        <v>0.13696997214473142</v>
      </c>
      <c r="DM143" s="32">
        <f t="shared" si="593"/>
        <v>0.21956627820250493</v>
      </c>
      <c r="DN143" s="32">
        <f t="shared" si="594"/>
        <v>0.30653609519536229</v>
      </c>
      <c r="DO143" s="32">
        <f t="shared" si="595"/>
        <v>0.39368606555358854</v>
      </c>
      <c r="DP143" s="32">
        <f t="shared" si="596"/>
        <v>0.47467111092218955</v>
      </c>
      <c r="DQ143" s="32">
        <f t="shared" si="597"/>
        <v>0.56047829513166247</v>
      </c>
      <c r="DR143" s="32">
        <f t="shared" si="598"/>
        <v>0.65779528740658555</v>
      </c>
      <c r="DS143" s="32">
        <f t="shared" si="599"/>
        <v>0.73722905466461885</v>
      </c>
      <c r="DT143" s="32">
        <f t="shared" si="600"/>
        <v>0.83519770121733239</v>
      </c>
      <c r="DU143" s="32">
        <f t="shared" si="601"/>
        <v>0.92038608812679168</v>
      </c>
      <c r="DV143" s="32">
        <f t="shared" si="602"/>
        <v>1</v>
      </c>
      <c r="DW143" s="39"/>
      <c r="DX143" s="32">
        <f t="shared" si="603"/>
        <v>6.4836620243907073E-2</v>
      </c>
      <c r="DY143" s="32">
        <f t="shared" si="604"/>
        <v>0.13258758141406088</v>
      </c>
      <c r="DZ143" s="32">
        <f t="shared" si="605"/>
        <v>0.22060792896907949</v>
      </c>
      <c r="EA143" s="32">
        <f t="shared" si="606"/>
        <v>0.29480347170686577</v>
      </c>
      <c r="EB143" s="32">
        <f t="shared" si="607"/>
        <v>0.38709845290773559</v>
      </c>
      <c r="EC143" s="32">
        <f t="shared" si="608"/>
        <v>0.47161062269714255</v>
      </c>
      <c r="ED143" s="32">
        <f t="shared" si="609"/>
        <v>0.55868457812658223</v>
      </c>
      <c r="EE143" s="32">
        <f t="shared" si="610"/>
        <v>0.66019257710490287</v>
      </c>
      <c r="EF143" s="32">
        <f t="shared" si="611"/>
        <v>0.74614884856913311</v>
      </c>
      <c r="EG143" s="32">
        <f t="shared" si="612"/>
        <v>0.83461140391118271</v>
      </c>
      <c r="EH143" s="32">
        <f t="shared" si="613"/>
        <v>0.92136498613008844</v>
      </c>
      <c r="EI143" s="32">
        <f t="shared" si="614"/>
        <v>1</v>
      </c>
      <c r="EK143" s="32">
        <f t="shared" si="697"/>
        <v>6.5506933817526661E-2</v>
      </c>
      <c r="EL143" s="32">
        <f t="shared" si="615"/>
        <v>0.13542251009966477</v>
      </c>
      <c r="EM143" s="32">
        <f t="shared" si="616"/>
        <v>0.21718231673109814</v>
      </c>
      <c r="EN143" s="32">
        <f t="shared" si="617"/>
        <v>0.29895787400812451</v>
      </c>
      <c r="EO143" s="32">
        <f t="shared" si="618"/>
        <v>0.3890041733691883</v>
      </c>
      <c r="EP143" s="32">
        <f t="shared" si="619"/>
        <v>0.46897167028239012</v>
      </c>
      <c r="EQ143" s="32">
        <f t="shared" si="620"/>
        <v>0.55745627515008911</v>
      </c>
      <c r="ER143" s="32">
        <f t="shared" si="621"/>
        <v>0.65379410617345812</v>
      </c>
      <c r="ES143" s="32">
        <f t="shared" si="622"/>
        <v>0.73841157256694689</v>
      </c>
      <c r="ET143" s="32">
        <f t="shared" si="623"/>
        <v>0.83346007486242912</v>
      </c>
      <c r="EU143" s="32">
        <f t="shared" si="624"/>
        <v>0.91941593131503507</v>
      </c>
      <c r="EV143" s="32">
        <f t="shared" si="625"/>
        <v>1</v>
      </c>
      <c r="EX143" s="32">
        <f t="shared" si="626"/>
        <v>6.9373005024804799E-2</v>
      </c>
      <c r="EY143" s="32">
        <f t="shared" si="627"/>
        <v>0.14248072481232366</v>
      </c>
      <c r="EZ143" s="32">
        <f t="shared" si="628"/>
        <v>0.22387333649237684</v>
      </c>
      <c r="FA143" s="32">
        <f t="shared" si="629"/>
        <v>0.29702610955158587</v>
      </c>
      <c r="FB143" s="32">
        <f t="shared" si="630"/>
        <v>0.38110171047716046</v>
      </c>
      <c r="FC143" s="32">
        <f t="shared" si="631"/>
        <v>0.46063562612573888</v>
      </c>
      <c r="FD143" s="32">
        <f t="shared" si="632"/>
        <v>0.5474360074469965</v>
      </c>
      <c r="FE143" s="32">
        <f t="shared" si="633"/>
        <v>0.64323043231628918</v>
      </c>
      <c r="FF143" s="32">
        <f t="shared" si="634"/>
        <v>0.73046291312711142</v>
      </c>
      <c r="FG143" s="32">
        <f t="shared" si="635"/>
        <v>0.82829619702640511</v>
      </c>
      <c r="FH143" s="32">
        <f t="shared" si="636"/>
        <v>0.91609604327390826</v>
      </c>
      <c r="FI143" s="32">
        <f t="shared" si="637"/>
        <v>1</v>
      </c>
      <c r="FK143" s="32">
        <f t="shared" si="698"/>
        <v>7.0885133285104041E-2</v>
      </c>
      <c r="FL143" s="32">
        <f t="shared" si="638"/>
        <v>0.14577843927841125</v>
      </c>
      <c r="FM143" s="32">
        <f t="shared" si="639"/>
        <v>0.22496180566680932</v>
      </c>
      <c r="FN143" s="32">
        <f t="shared" si="640"/>
        <v>0.29776698883315927</v>
      </c>
      <c r="FO143" s="32">
        <f t="shared" si="641"/>
        <v>0.37910279633363536</v>
      </c>
      <c r="FP143" s="32">
        <f t="shared" si="642"/>
        <v>0.45697729393527098</v>
      </c>
      <c r="FQ143" s="32">
        <f t="shared" si="643"/>
        <v>0.54368648388713459</v>
      </c>
      <c r="FR143" s="32">
        <f t="shared" si="644"/>
        <v>0.63757638405341799</v>
      </c>
      <c r="FS143" s="32">
        <f t="shared" si="645"/>
        <v>0.72523426797977086</v>
      </c>
      <c r="FT143" s="32">
        <f t="shared" si="646"/>
        <v>0.82619112806481265</v>
      </c>
      <c r="FU143" s="32">
        <f t="shared" si="647"/>
        <v>0.9143397289885149</v>
      </c>
      <c r="FV143" s="32">
        <f t="shared" si="648"/>
        <v>1</v>
      </c>
      <c r="FX143" s="32">
        <f t="shared" si="649"/>
        <v>6.8897498688889988E-2</v>
      </c>
      <c r="FY143" s="32">
        <f t="shared" si="650"/>
        <v>0.14417263056096519</v>
      </c>
      <c r="FZ143" s="32">
        <f t="shared" si="651"/>
        <v>0.2235042160751575</v>
      </c>
      <c r="GA143" s="32">
        <f t="shared" si="652"/>
        <v>0.29295666854160035</v>
      </c>
      <c r="GB143" s="32">
        <f t="shared" si="653"/>
        <v>0.37248386896966063</v>
      </c>
      <c r="GC143" s="32">
        <f t="shared" si="654"/>
        <v>0.4518364832667201</v>
      </c>
      <c r="GD143" s="32">
        <f t="shared" si="655"/>
        <v>0.54064512699983158</v>
      </c>
      <c r="GE143" s="32">
        <f t="shared" si="656"/>
        <v>0.63376422259879261</v>
      </c>
      <c r="GF143" s="32">
        <f t="shared" si="657"/>
        <v>0.72458101227708627</v>
      </c>
      <c r="GG143" s="32">
        <f t="shared" si="658"/>
        <v>0.82280430517271752</v>
      </c>
      <c r="GH143" s="32">
        <f t="shared" si="659"/>
        <v>0.91176147244165628</v>
      </c>
      <c r="GI143" s="32">
        <f t="shared" si="660"/>
        <v>1</v>
      </c>
    </row>
    <row r="144" spans="1:191">
      <c r="A144" s="724" t="s">
        <v>98</v>
      </c>
      <c r="B144" s="399">
        <v>53423.86</v>
      </c>
      <c r="C144" s="400">
        <v>73271.69</v>
      </c>
      <c r="D144" s="400">
        <v>89134.5</v>
      </c>
      <c r="E144" s="400">
        <v>85608.299999999988</v>
      </c>
      <c r="F144" s="400">
        <v>81494.399999999994</v>
      </c>
      <c r="G144" s="400">
        <v>90309.900000000009</v>
      </c>
      <c r="H144" s="400">
        <v>99517.2</v>
      </c>
      <c r="I144" s="400">
        <v>89624.25</v>
      </c>
      <c r="J144" s="400">
        <v>94913.55</v>
      </c>
      <c r="K144" s="400">
        <v>79437.45</v>
      </c>
      <c r="L144" s="400">
        <v>73756.350000000006</v>
      </c>
      <c r="M144" s="400">
        <v>77282.55</v>
      </c>
      <c r="N144" s="400">
        <f t="shared" si="588"/>
        <v>987774</v>
      </c>
      <c r="P144" s="396" t="s">
        <v>98</v>
      </c>
      <c r="Q144" s="399">
        <v>65742.650000000009</v>
      </c>
      <c r="R144" s="400">
        <v>71013.75</v>
      </c>
      <c r="S144" s="400">
        <v>60435.149999999994</v>
      </c>
      <c r="T144" s="400">
        <v>51423.75</v>
      </c>
      <c r="U144" s="400">
        <v>67291.650000000009</v>
      </c>
      <c r="V144" s="400">
        <v>85118.549999999988</v>
      </c>
      <c r="W144" s="400">
        <v>110683.5</v>
      </c>
      <c r="X144" s="400">
        <v>95795.099999999991</v>
      </c>
      <c r="Y144" s="400">
        <v>91289.4</v>
      </c>
      <c r="Z144" s="400">
        <v>85510.349999999991</v>
      </c>
      <c r="AA144" s="400">
        <v>83551.350000000006</v>
      </c>
      <c r="AB144" s="400">
        <v>74637.899999999994</v>
      </c>
      <c r="AC144" s="400">
        <f t="shared" si="589"/>
        <v>942493.1</v>
      </c>
      <c r="AE144" s="127" t="s">
        <v>98</v>
      </c>
      <c r="AF144" s="27">
        <v>43060.6</v>
      </c>
      <c r="AG144" s="27">
        <v>54866.04</v>
      </c>
      <c r="AH144" s="27">
        <v>58845.96</v>
      </c>
      <c r="AI144" s="27">
        <v>71070</v>
      </c>
      <c r="AJ144" s="27">
        <v>74955.16</v>
      </c>
      <c r="AK144" s="27">
        <v>66332</v>
      </c>
      <c r="AL144" s="27">
        <v>82915</v>
      </c>
      <c r="AM144" s="27">
        <v>83199.28</v>
      </c>
      <c r="AN144" s="27">
        <v>75049.919999999998</v>
      </c>
      <c r="AO144" s="27">
        <v>75523.72</v>
      </c>
      <c r="AP144" s="27">
        <v>69743.360000000001</v>
      </c>
      <c r="AQ144" s="27">
        <v>63678.720000000001</v>
      </c>
      <c r="AR144" s="43">
        <f t="shared" si="590"/>
        <v>819239.76</v>
      </c>
      <c r="AT144" s="60" t="s">
        <v>98</v>
      </c>
      <c r="AU144" s="27">
        <v>38891.5</v>
      </c>
      <c r="AV144" s="27">
        <v>41175</v>
      </c>
      <c r="AW144" s="27">
        <v>63409.5</v>
      </c>
      <c r="AX144" s="27">
        <v>62961.15</v>
      </c>
      <c r="AY144" s="27">
        <v>63135</v>
      </c>
      <c r="AZ144" s="27">
        <v>64965</v>
      </c>
      <c r="BA144" s="27">
        <v>66337.5</v>
      </c>
      <c r="BB144" s="27">
        <v>74298</v>
      </c>
      <c r="BC144" s="27">
        <v>58743</v>
      </c>
      <c r="BD144" s="27">
        <v>63409.5</v>
      </c>
      <c r="BE144" s="27">
        <v>61762.5</v>
      </c>
      <c r="BF144" s="27">
        <v>60115.5</v>
      </c>
      <c r="BG144" s="43">
        <f t="shared" si="699"/>
        <v>719203.15</v>
      </c>
      <c r="BI144" s="60" t="s">
        <v>98</v>
      </c>
      <c r="BJ144" s="27">
        <v>27600.47</v>
      </c>
      <c r="BK144" s="27">
        <v>35104.03</v>
      </c>
      <c r="BL144" s="27">
        <v>51201.270000000004</v>
      </c>
      <c r="BM144" s="27">
        <v>40745.97</v>
      </c>
      <c r="BN144" s="27">
        <v>53845.16</v>
      </c>
      <c r="BO144" s="27">
        <v>68676.7</v>
      </c>
      <c r="BP144" s="27">
        <v>60994.1</v>
      </c>
      <c r="BQ144" s="27">
        <v>63812.25</v>
      </c>
      <c r="BR144" s="27">
        <v>54549.08</v>
      </c>
      <c r="BS144" s="27">
        <v>53042.25</v>
      </c>
      <c r="BT144" s="27">
        <v>47567.5</v>
      </c>
      <c r="BU144" s="27">
        <v>44516</v>
      </c>
      <c r="BV144" s="43">
        <f t="shared" si="700"/>
        <v>601654.78</v>
      </c>
      <c r="BW144" s="405"/>
      <c r="BX144" s="32">
        <f t="shared" si="661"/>
        <v>5.4085104487463731E-2</v>
      </c>
      <c r="BY144" s="32">
        <f t="shared" si="662"/>
        <v>0.12826370202090762</v>
      </c>
      <c r="BZ144" s="32">
        <f t="shared" si="663"/>
        <v>0.21850144871195232</v>
      </c>
      <c r="CA144" s="32">
        <f t="shared" si="664"/>
        <v>0.30516935047895571</v>
      </c>
      <c r="CB144" s="32">
        <f t="shared" si="665"/>
        <v>0.38767243316791089</v>
      </c>
      <c r="CC144" s="32">
        <f t="shared" si="666"/>
        <v>0.4791001281669694</v>
      </c>
      <c r="CD144" s="32">
        <f t="shared" si="667"/>
        <v>0.57984908491213571</v>
      </c>
      <c r="CE144" s="32">
        <f t="shared" si="668"/>
        <v>0.67058264339818618</v>
      </c>
      <c r="CF144" s="32">
        <f t="shared" si="669"/>
        <v>0.76667096927029865</v>
      </c>
      <c r="CG144" s="32">
        <f t="shared" si="670"/>
        <v>0.84709164242022972</v>
      </c>
      <c r="CH144" s="32">
        <f t="shared" si="671"/>
        <v>0.92176089874809419</v>
      </c>
      <c r="CI144" s="32">
        <f t="shared" si="672"/>
        <v>1</v>
      </c>
      <c r="CJ144" s="405"/>
      <c r="CK144" s="32">
        <f t="shared" si="673"/>
        <v>6.9753985466843221E-2</v>
      </c>
      <c r="CL144" s="32">
        <f t="shared" si="674"/>
        <v>0.14510069092283012</v>
      </c>
      <c r="CM144" s="32">
        <f t="shared" si="675"/>
        <v>0.20922333542813207</v>
      </c>
      <c r="CN144" s="32">
        <f t="shared" si="676"/>
        <v>0.26378474282729497</v>
      </c>
      <c r="CO144" s="32">
        <f t="shared" si="677"/>
        <v>0.33518224165248534</v>
      </c>
      <c r="CP144" s="32">
        <f t="shared" si="678"/>
        <v>0.42549436170938548</v>
      </c>
      <c r="CQ144" s="32">
        <f t="shared" si="679"/>
        <v>0.54293129573044085</v>
      </c>
      <c r="CR144" s="32">
        <f t="shared" si="680"/>
        <v>0.64457140322831008</v>
      </c>
      <c r="CS144" s="32">
        <f t="shared" si="681"/>
        <v>0.74143089217310987</v>
      </c>
      <c r="CT144" s="32">
        <f t="shared" si="682"/>
        <v>0.8321587181911464</v>
      </c>
      <c r="CU144" s="32">
        <f t="shared" si="683"/>
        <v>0.92080801440350069</v>
      </c>
      <c r="CV144" s="32">
        <f t="shared" si="684"/>
        <v>1</v>
      </c>
      <c r="CX144" s="32">
        <f t="shared" si="685"/>
        <v>5.256165789609625E-2</v>
      </c>
      <c r="CY144" s="32">
        <f t="shared" si="686"/>
        <v>0.11953355388903487</v>
      </c>
      <c r="CZ144" s="32">
        <f t="shared" si="687"/>
        <v>0.19136351487627992</v>
      </c>
      <c r="DA144" s="32">
        <f t="shared" si="688"/>
        <v>0.27811467548889474</v>
      </c>
      <c r="DB144" s="32">
        <f t="shared" si="689"/>
        <v>0.36960823288166583</v>
      </c>
      <c r="DC144" s="32">
        <f t="shared" si="690"/>
        <v>0.45057598278677297</v>
      </c>
      <c r="DD144" s="32">
        <f t="shared" si="691"/>
        <v>0.55178567016815683</v>
      </c>
      <c r="DE144" s="32">
        <f t="shared" si="692"/>
        <v>0.65334236219199127</v>
      </c>
      <c r="DF144" s="32">
        <f t="shared" si="693"/>
        <v>0.74495158779891257</v>
      </c>
      <c r="DG144" s="32">
        <f t="shared" si="694"/>
        <v>0.83713915447658449</v>
      </c>
      <c r="DH144" s="32">
        <f t="shared" si="695"/>
        <v>0.92227096009109721</v>
      </c>
      <c r="DI144" s="32">
        <f t="shared" si="696"/>
        <v>1</v>
      </c>
      <c r="DK144" s="32">
        <f t="shared" si="591"/>
        <v>5.4075819884826695E-2</v>
      </c>
      <c r="DL144" s="32">
        <f t="shared" si="592"/>
        <v>0.11132668148074712</v>
      </c>
      <c r="DM144" s="32">
        <f t="shared" si="593"/>
        <v>0.19949300833846459</v>
      </c>
      <c r="DN144" s="32">
        <f t="shared" si="594"/>
        <v>0.28703593692547091</v>
      </c>
      <c r="DO144" s="32">
        <f t="shared" si="595"/>
        <v>0.37482059137254892</v>
      </c>
      <c r="DP144" s="32">
        <f t="shared" si="596"/>
        <v>0.46514972855722336</v>
      </c>
      <c r="DQ144" s="32">
        <f t="shared" si="597"/>
        <v>0.5573872277950952</v>
      </c>
      <c r="DR144" s="32">
        <f t="shared" si="598"/>
        <v>0.66069322694151156</v>
      </c>
      <c r="DS144" s="32">
        <f t="shared" si="599"/>
        <v>0.74237112281835804</v>
      </c>
      <c r="DT144" s="32">
        <f t="shared" si="600"/>
        <v>0.83053744967607557</v>
      </c>
      <c r="DU144" s="32">
        <f t="shared" si="601"/>
        <v>0.91641374206995618</v>
      </c>
      <c r="DV144" s="32">
        <f t="shared" si="602"/>
        <v>1</v>
      </c>
      <c r="DW144" s="39"/>
      <c r="DX144" s="32">
        <f t="shared" si="603"/>
        <v>4.5874263643347103E-2</v>
      </c>
      <c r="DY144" s="32">
        <f t="shared" si="604"/>
        <v>0.10422006453601182</v>
      </c>
      <c r="DZ144" s="32">
        <f t="shared" si="605"/>
        <v>0.18932080951804289</v>
      </c>
      <c r="EA144" s="32">
        <f t="shared" si="606"/>
        <v>0.2570439812677961</v>
      </c>
      <c r="EB144" s="32">
        <f t="shared" si="607"/>
        <v>0.34653909007421163</v>
      </c>
      <c r="EC144" s="32">
        <f t="shared" si="608"/>
        <v>0.46068544489914959</v>
      </c>
      <c r="ED144" s="32">
        <f t="shared" si="609"/>
        <v>0.56206268318852204</v>
      </c>
      <c r="EE144" s="32">
        <f t="shared" si="610"/>
        <v>0.6681239198332305</v>
      </c>
      <c r="EF144" s="32">
        <f t="shared" si="611"/>
        <v>0.75878900189241405</v>
      </c>
      <c r="EG144" s="32">
        <f t="shared" si="612"/>
        <v>0.84694960787978768</v>
      </c>
      <c r="EH144" s="32">
        <f t="shared" si="613"/>
        <v>0.92601072661634964</v>
      </c>
      <c r="EI144" s="32">
        <f t="shared" si="614"/>
        <v>1</v>
      </c>
      <c r="EK144" s="32">
        <f t="shared" si="697"/>
        <v>5.0837247141423347E-2</v>
      </c>
      <c r="EL144" s="32">
        <f t="shared" si="615"/>
        <v>0.11169343330193127</v>
      </c>
      <c r="EM144" s="32">
        <f t="shared" si="616"/>
        <v>0.19339244424426247</v>
      </c>
      <c r="EN144" s="32">
        <f t="shared" si="617"/>
        <v>0.2740648645607206</v>
      </c>
      <c r="EO144" s="32">
        <f t="shared" si="618"/>
        <v>0.36365597144280876</v>
      </c>
      <c r="EP144" s="32">
        <f t="shared" si="619"/>
        <v>0.45880371874771525</v>
      </c>
      <c r="EQ144" s="32">
        <f t="shared" si="620"/>
        <v>0.55707852705059135</v>
      </c>
      <c r="ER144" s="32">
        <f t="shared" si="621"/>
        <v>0.66071983632224451</v>
      </c>
      <c r="ES144" s="32">
        <f t="shared" si="622"/>
        <v>0.74870390416989485</v>
      </c>
      <c r="ET144" s="32">
        <f t="shared" si="623"/>
        <v>0.83820873734414925</v>
      </c>
      <c r="EU144" s="32">
        <f t="shared" si="624"/>
        <v>0.92156514292580105</v>
      </c>
      <c r="EV144" s="32">
        <f t="shared" si="625"/>
        <v>1</v>
      </c>
      <c r="EX144" s="32">
        <f t="shared" si="626"/>
        <v>5.5566431722778316E-2</v>
      </c>
      <c r="EY144" s="32">
        <f t="shared" si="627"/>
        <v>0.12004524770715598</v>
      </c>
      <c r="EZ144" s="32">
        <f t="shared" si="628"/>
        <v>0.19735016704022987</v>
      </c>
      <c r="FA144" s="32">
        <f t="shared" si="629"/>
        <v>0.27149483412736419</v>
      </c>
      <c r="FB144" s="32">
        <f t="shared" si="630"/>
        <v>0.35653753899522789</v>
      </c>
      <c r="FC144" s="32">
        <f t="shared" si="631"/>
        <v>0.45047637948813291</v>
      </c>
      <c r="FD144" s="32">
        <f t="shared" si="632"/>
        <v>0.55354171922055373</v>
      </c>
      <c r="FE144" s="32">
        <f t="shared" si="633"/>
        <v>0.65668272804876082</v>
      </c>
      <c r="FF144" s="32">
        <f t="shared" si="634"/>
        <v>0.74688565117069861</v>
      </c>
      <c r="FG144" s="32">
        <f t="shared" si="635"/>
        <v>0.83669623255589853</v>
      </c>
      <c r="FH144" s="32">
        <f t="shared" si="636"/>
        <v>0.92137586079522593</v>
      </c>
      <c r="FI144" s="32">
        <f t="shared" si="637"/>
        <v>1</v>
      </c>
      <c r="FK144" s="32">
        <f t="shared" si="698"/>
        <v>5.8797154415922058E-2</v>
      </c>
      <c r="FL144" s="32">
        <f t="shared" si="638"/>
        <v>0.12532030876420405</v>
      </c>
      <c r="FM144" s="32">
        <f t="shared" si="639"/>
        <v>0.20002661954762554</v>
      </c>
      <c r="FN144" s="32">
        <f t="shared" si="640"/>
        <v>0.2763117850805536</v>
      </c>
      <c r="FO144" s="32">
        <f t="shared" si="641"/>
        <v>0.35987035530223332</v>
      </c>
      <c r="FP144" s="32">
        <f t="shared" si="642"/>
        <v>0.4470733576844606</v>
      </c>
      <c r="FQ144" s="32">
        <f t="shared" si="643"/>
        <v>0.55070139789789763</v>
      </c>
      <c r="FR144" s="32">
        <f t="shared" si="644"/>
        <v>0.65286899745393767</v>
      </c>
      <c r="FS144" s="32">
        <f t="shared" si="645"/>
        <v>0.74291786759679346</v>
      </c>
      <c r="FT144" s="32">
        <f t="shared" si="646"/>
        <v>0.83327844078126878</v>
      </c>
      <c r="FU144" s="32">
        <f t="shared" si="647"/>
        <v>0.91983090552151803</v>
      </c>
      <c r="FV144" s="32">
        <f t="shared" si="648"/>
        <v>1</v>
      </c>
      <c r="FX144" s="32">
        <f t="shared" si="649"/>
        <v>5.8800249283467741E-2</v>
      </c>
      <c r="FY144" s="32">
        <f t="shared" si="650"/>
        <v>0.13096598227759085</v>
      </c>
      <c r="FZ144" s="32">
        <f t="shared" si="651"/>
        <v>0.20636276633878811</v>
      </c>
      <c r="GA144" s="32">
        <f t="shared" si="652"/>
        <v>0.28235625626504851</v>
      </c>
      <c r="GB144" s="32">
        <f t="shared" si="653"/>
        <v>0.36415430256735398</v>
      </c>
      <c r="GC144" s="32">
        <f t="shared" si="654"/>
        <v>0.45172349088770924</v>
      </c>
      <c r="GD144" s="32">
        <f t="shared" si="655"/>
        <v>0.55818868360357776</v>
      </c>
      <c r="GE144" s="32">
        <f t="shared" si="656"/>
        <v>0.65616546960616251</v>
      </c>
      <c r="GF144" s="32">
        <f t="shared" si="657"/>
        <v>0.75101781641410703</v>
      </c>
      <c r="GG144" s="32">
        <f t="shared" si="658"/>
        <v>0.83879650502932013</v>
      </c>
      <c r="GH144" s="32">
        <f t="shared" si="659"/>
        <v>0.9216132910808974</v>
      </c>
      <c r="GI144" s="32">
        <f t="shared" si="660"/>
        <v>1</v>
      </c>
    </row>
    <row r="145" spans="1:191">
      <c r="A145" s="724" t="s">
        <v>99</v>
      </c>
      <c r="B145" s="399">
        <v>7385.73</v>
      </c>
      <c r="C145" s="400">
        <v>12929.400000000001</v>
      </c>
      <c r="D145" s="400">
        <v>15574.050000000001</v>
      </c>
      <c r="E145" s="400">
        <v>9207.2999999999993</v>
      </c>
      <c r="F145" s="400">
        <v>13419.15</v>
      </c>
      <c r="G145" s="400">
        <v>11068.349999999999</v>
      </c>
      <c r="H145" s="400">
        <v>14692.5</v>
      </c>
      <c r="I145" s="400">
        <v>14790.449999999999</v>
      </c>
      <c r="J145" s="400">
        <v>14065.619999999999</v>
      </c>
      <c r="K145" s="400">
        <v>12831.45</v>
      </c>
      <c r="L145" s="400">
        <v>13810.949999999999</v>
      </c>
      <c r="M145" s="400">
        <v>15672</v>
      </c>
      <c r="N145" s="400">
        <f t="shared" si="588"/>
        <v>155446.94999999998</v>
      </c>
      <c r="P145" s="396" t="s">
        <v>99</v>
      </c>
      <c r="Q145" s="399">
        <v>10948.070000000002</v>
      </c>
      <c r="R145" s="400">
        <v>9501.1500000000015</v>
      </c>
      <c r="S145" s="400">
        <v>9990.9</v>
      </c>
      <c r="T145" s="400">
        <v>5191.3500000000004</v>
      </c>
      <c r="U145" s="400">
        <v>7542.15</v>
      </c>
      <c r="V145" s="400">
        <v>7150.3499999999995</v>
      </c>
      <c r="W145" s="400">
        <v>8423.7000000000007</v>
      </c>
      <c r="X145" s="400">
        <v>12243.75</v>
      </c>
      <c r="Y145" s="400">
        <v>10872.45</v>
      </c>
      <c r="Z145" s="400">
        <v>10186.799999999999</v>
      </c>
      <c r="AA145" s="400">
        <v>14300.699999999999</v>
      </c>
      <c r="AB145" s="400">
        <v>15084.3</v>
      </c>
      <c r="AC145" s="400">
        <f t="shared" si="589"/>
        <v>121435.67</v>
      </c>
      <c r="AE145" s="127" t="s">
        <v>99</v>
      </c>
      <c r="AF145" s="27">
        <v>8410.82</v>
      </c>
      <c r="AG145" s="27">
        <v>10802.64</v>
      </c>
      <c r="AH145" s="27">
        <v>9760.2800000000007</v>
      </c>
      <c r="AI145" s="27">
        <v>18099.16</v>
      </c>
      <c r="AJ145" s="27">
        <v>12413.56</v>
      </c>
      <c r="AK145" s="27">
        <v>9949.7999999999993</v>
      </c>
      <c r="AL145" s="27">
        <v>28428</v>
      </c>
      <c r="AM145" s="27">
        <v>11181.68</v>
      </c>
      <c r="AN145" s="27">
        <v>12413.56</v>
      </c>
      <c r="AO145" s="27">
        <v>11655.48</v>
      </c>
      <c r="AP145" s="27">
        <v>12792.6</v>
      </c>
      <c r="AQ145" s="27">
        <v>10234.08</v>
      </c>
      <c r="AR145" s="43">
        <f t="shared" si="590"/>
        <v>156141.66</v>
      </c>
      <c r="AT145" s="60" t="s">
        <v>99</v>
      </c>
      <c r="AU145" s="27">
        <v>7378.25</v>
      </c>
      <c r="AV145" s="27">
        <v>6771</v>
      </c>
      <c r="AW145" s="27">
        <v>11254.5</v>
      </c>
      <c r="AX145" s="27">
        <v>8052</v>
      </c>
      <c r="AY145" s="27">
        <v>10156.5</v>
      </c>
      <c r="AZ145" s="27">
        <v>7594.5</v>
      </c>
      <c r="BA145" s="27">
        <v>7594.5</v>
      </c>
      <c r="BB145" s="27">
        <v>9424.5</v>
      </c>
      <c r="BC145" s="27">
        <v>8601</v>
      </c>
      <c r="BD145" s="27">
        <v>9607.5</v>
      </c>
      <c r="BE145" s="27">
        <v>7137</v>
      </c>
      <c r="BF145" s="27">
        <v>8418</v>
      </c>
      <c r="BG145" s="43">
        <f t="shared" si="699"/>
        <v>101989.25</v>
      </c>
      <c r="BI145" s="60" t="s">
        <v>99</v>
      </c>
      <c r="BJ145" s="27">
        <v>10816.25</v>
      </c>
      <c r="BK145" s="27">
        <v>5995.2999999999993</v>
      </c>
      <c r="BL145" s="27">
        <v>11006.82</v>
      </c>
      <c r="BM145" s="27">
        <v>6861.48</v>
      </c>
      <c r="BN145" s="27">
        <v>11147.140000000001</v>
      </c>
      <c r="BO145" s="27">
        <v>8150.06</v>
      </c>
      <c r="BP145" s="27">
        <v>5474.75</v>
      </c>
      <c r="BQ145" s="27">
        <v>11111.05</v>
      </c>
      <c r="BR145" s="27">
        <v>6192.75</v>
      </c>
      <c r="BS145" s="27">
        <v>6551.75</v>
      </c>
      <c r="BT145" s="27">
        <v>7718.5</v>
      </c>
      <c r="BU145" s="27">
        <v>6372.25</v>
      </c>
      <c r="BV145" s="43">
        <f t="shared" si="700"/>
        <v>97398.099999999991</v>
      </c>
      <c r="BW145" s="405"/>
      <c r="BX145" s="32">
        <f t="shared" si="661"/>
        <v>4.7512865321577558E-2</v>
      </c>
      <c r="BY145" s="32">
        <f t="shared" si="662"/>
        <v>0.13068850820167269</v>
      </c>
      <c r="BZ145" s="32">
        <f t="shared" si="663"/>
        <v>0.23087735076178725</v>
      </c>
      <c r="CA145" s="32">
        <f t="shared" si="664"/>
        <v>0.2901084903885216</v>
      </c>
      <c r="CB145" s="32">
        <f t="shared" si="665"/>
        <v>0.3764347258019537</v>
      </c>
      <c r="CC145" s="32">
        <f t="shared" si="666"/>
        <v>0.44763811705536843</v>
      </c>
      <c r="CD145" s="32">
        <f t="shared" si="667"/>
        <v>0.54215589305547651</v>
      </c>
      <c r="CE145" s="32">
        <f t="shared" si="668"/>
        <v>0.63730378756225192</v>
      </c>
      <c r="CF145" s="32">
        <f t="shared" si="669"/>
        <v>0.7277888051196888</v>
      </c>
      <c r="CG145" s="32">
        <f t="shared" si="670"/>
        <v>0.81033432949311646</v>
      </c>
      <c r="CH145" s="32">
        <f t="shared" si="671"/>
        <v>0.89918103893321799</v>
      </c>
      <c r="CI145" s="32">
        <f t="shared" si="672"/>
        <v>1</v>
      </c>
      <c r="CJ145" s="405"/>
      <c r="CK145" s="32">
        <f t="shared" si="673"/>
        <v>9.0155306097458851E-2</v>
      </c>
      <c r="CL145" s="32">
        <f t="shared" si="674"/>
        <v>0.16839549697382986</v>
      </c>
      <c r="CM145" s="32">
        <f t="shared" si="675"/>
        <v>0.25066868737991072</v>
      </c>
      <c r="CN145" s="32">
        <f t="shared" si="676"/>
        <v>0.29341848239483509</v>
      </c>
      <c r="CO145" s="32">
        <f t="shared" si="677"/>
        <v>0.35552667515236669</v>
      </c>
      <c r="CP145" s="32">
        <f t="shared" si="678"/>
        <v>0.41440846828613043</v>
      </c>
      <c r="CQ145" s="32">
        <f t="shared" si="679"/>
        <v>0.48377606019713976</v>
      </c>
      <c r="CR145" s="32">
        <f t="shared" si="680"/>
        <v>0.58460104843988592</v>
      </c>
      <c r="CS145" s="32">
        <f t="shared" si="681"/>
        <v>0.67413363799944448</v>
      </c>
      <c r="CT145" s="32">
        <f t="shared" si="682"/>
        <v>0.75802002821740921</v>
      </c>
      <c r="CU145" s="32">
        <f t="shared" si="683"/>
        <v>0.87578361448493669</v>
      </c>
      <c r="CV145" s="32">
        <f t="shared" si="684"/>
        <v>1</v>
      </c>
      <c r="CX145" s="32">
        <f t="shared" si="685"/>
        <v>5.3866597806120416E-2</v>
      </c>
      <c r="CY145" s="32">
        <f t="shared" si="686"/>
        <v>0.12305146493254907</v>
      </c>
      <c r="CZ145" s="32">
        <f t="shared" si="687"/>
        <v>0.18556059926607671</v>
      </c>
      <c r="DA145" s="32">
        <f t="shared" si="688"/>
        <v>0.30147559594281242</v>
      </c>
      <c r="DB145" s="32">
        <f t="shared" si="689"/>
        <v>0.38097750465826985</v>
      </c>
      <c r="DC145" s="32">
        <f t="shared" si="690"/>
        <v>0.4447004085905068</v>
      </c>
      <c r="DD145" s="32">
        <f t="shared" si="691"/>
        <v>0.62676584839689797</v>
      </c>
      <c r="DE145" s="32">
        <f t="shared" si="692"/>
        <v>0.69837825472074522</v>
      </c>
      <c r="DF145" s="32">
        <f t="shared" si="693"/>
        <v>0.7778801634362027</v>
      </c>
      <c r="DG145" s="32">
        <f t="shared" si="694"/>
        <v>0.85252699375682317</v>
      </c>
      <c r="DH145" s="32">
        <f t="shared" si="695"/>
        <v>0.93445644166969921</v>
      </c>
      <c r="DI145" s="32">
        <f t="shared" si="696"/>
        <v>1</v>
      </c>
      <c r="DK145" s="32">
        <f t="shared" si="591"/>
        <v>7.2343408741607565E-2</v>
      </c>
      <c r="DL145" s="32">
        <f t="shared" si="592"/>
        <v>0.13873275859955828</v>
      </c>
      <c r="DM145" s="32">
        <f t="shared" si="593"/>
        <v>0.24908262390398989</v>
      </c>
      <c r="DN145" s="32">
        <f t="shared" si="594"/>
        <v>0.32803212103236373</v>
      </c>
      <c r="DO145" s="32">
        <f t="shared" si="595"/>
        <v>0.42761614581928981</v>
      </c>
      <c r="DP145" s="32">
        <f t="shared" si="596"/>
        <v>0.50207987606536963</v>
      </c>
      <c r="DQ145" s="32">
        <f t="shared" si="597"/>
        <v>0.57654360631144952</v>
      </c>
      <c r="DR145" s="32">
        <f t="shared" si="598"/>
        <v>0.66895040408670525</v>
      </c>
      <c r="DS145" s="32">
        <f t="shared" si="599"/>
        <v>0.75328282147383185</v>
      </c>
      <c r="DT145" s="32">
        <f t="shared" si="600"/>
        <v>0.84748392600200506</v>
      </c>
      <c r="DU145" s="32">
        <f t="shared" si="601"/>
        <v>0.91746188936579098</v>
      </c>
      <c r="DV145" s="32">
        <f t="shared" si="602"/>
        <v>1</v>
      </c>
      <c r="DW145" s="39"/>
      <c r="DX145" s="32">
        <f t="shared" si="603"/>
        <v>0.11105196097254465</v>
      </c>
      <c r="DY145" s="32">
        <f t="shared" si="604"/>
        <v>0.17260654981976034</v>
      </c>
      <c r="DZ145" s="32">
        <f t="shared" si="605"/>
        <v>0.28561511980213167</v>
      </c>
      <c r="EA145" s="32">
        <f t="shared" si="606"/>
        <v>0.35606290061099755</v>
      </c>
      <c r="EB145" s="32">
        <f t="shared" si="607"/>
        <v>0.47051215578127298</v>
      </c>
      <c r="EC145" s="32">
        <f t="shared" si="608"/>
        <v>0.55418996879815929</v>
      </c>
      <c r="ED145" s="32">
        <f t="shared" si="609"/>
        <v>0.61039999753588625</v>
      </c>
      <c r="EE145" s="32">
        <f t="shared" si="610"/>
        <v>0.72447871159704347</v>
      </c>
      <c r="EF145" s="32">
        <f t="shared" si="611"/>
        <v>0.7880605473823411</v>
      </c>
      <c r="EG145" s="32">
        <f t="shared" si="612"/>
        <v>0.85532828669142413</v>
      </c>
      <c r="EH145" s="32">
        <f t="shared" si="613"/>
        <v>0.93457521245280961</v>
      </c>
      <c r="EI145" s="32">
        <f t="shared" si="614"/>
        <v>1</v>
      </c>
      <c r="EK145" s="32">
        <f t="shared" si="697"/>
        <v>7.908732250675754E-2</v>
      </c>
      <c r="EL145" s="32">
        <f t="shared" si="615"/>
        <v>0.14479692445062256</v>
      </c>
      <c r="EM145" s="32">
        <f t="shared" si="616"/>
        <v>0.2400861143240661</v>
      </c>
      <c r="EN145" s="32">
        <f t="shared" si="617"/>
        <v>0.32852353919539123</v>
      </c>
      <c r="EO145" s="32">
        <f t="shared" si="618"/>
        <v>0.42636860208627758</v>
      </c>
      <c r="EP145" s="32">
        <f t="shared" si="619"/>
        <v>0.50032341781801193</v>
      </c>
      <c r="EQ145" s="32">
        <f t="shared" si="620"/>
        <v>0.60456981741474458</v>
      </c>
      <c r="ER145" s="32">
        <f t="shared" si="621"/>
        <v>0.69726912346816461</v>
      </c>
      <c r="ES145" s="32">
        <f t="shared" si="622"/>
        <v>0.77307451076412514</v>
      </c>
      <c r="ET145" s="32">
        <f t="shared" si="623"/>
        <v>0.85177973548341746</v>
      </c>
      <c r="EU145" s="32">
        <f t="shared" si="624"/>
        <v>0.92883118116276664</v>
      </c>
      <c r="EV145" s="32">
        <f t="shared" si="625"/>
        <v>1</v>
      </c>
      <c r="EX145" s="32">
        <f t="shared" si="626"/>
        <v>8.1854318404432871E-2</v>
      </c>
      <c r="EY145" s="32">
        <f t="shared" si="627"/>
        <v>0.15069656758142438</v>
      </c>
      <c r="EZ145" s="32">
        <f t="shared" si="628"/>
        <v>0.24273175758802723</v>
      </c>
      <c r="FA145" s="32">
        <f t="shared" si="629"/>
        <v>0.31974727499525218</v>
      </c>
      <c r="FB145" s="32">
        <f t="shared" si="630"/>
        <v>0.4086581203527998</v>
      </c>
      <c r="FC145" s="32">
        <f t="shared" si="631"/>
        <v>0.47884468043504153</v>
      </c>
      <c r="FD145" s="32">
        <f t="shared" si="632"/>
        <v>0.57437137811034344</v>
      </c>
      <c r="FE145" s="32">
        <f t="shared" si="633"/>
        <v>0.66910210471109499</v>
      </c>
      <c r="FF145" s="32">
        <f t="shared" si="634"/>
        <v>0.74833929257295506</v>
      </c>
      <c r="FG145" s="32">
        <f t="shared" si="635"/>
        <v>0.82833980866691537</v>
      </c>
      <c r="FH145" s="32">
        <f t="shared" si="636"/>
        <v>0.91556928949330918</v>
      </c>
      <c r="FI145" s="32">
        <f t="shared" si="637"/>
        <v>1</v>
      </c>
      <c r="FK145" s="32">
        <f t="shared" si="698"/>
        <v>7.2121770881728942E-2</v>
      </c>
      <c r="FL145" s="32">
        <f t="shared" si="638"/>
        <v>0.14339324016864574</v>
      </c>
      <c r="FM145" s="32">
        <f t="shared" si="639"/>
        <v>0.22843730351665911</v>
      </c>
      <c r="FN145" s="32">
        <f t="shared" si="640"/>
        <v>0.30764206645667042</v>
      </c>
      <c r="FO145" s="32">
        <f t="shared" si="641"/>
        <v>0.38804010854330878</v>
      </c>
      <c r="FP145" s="32">
        <f t="shared" si="642"/>
        <v>0.45372958431400229</v>
      </c>
      <c r="FQ145" s="32">
        <f t="shared" si="643"/>
        <v>0.56236183830182906</v>
      </c>
      <c r="FR145" s="32">
        <f t="shared" si="644"/>
        <v>0.6506432357491122</v>
      </c>
      <c r="FS145" s="32">
        <f t="shared" si="645"/>
        <v>0.73509887430315979</v>
      </c>
      <c r="FT145" s="32">
        <f t="shared" si="646"/>
        <v>0.81934364932541248</v>
      </c>
      <c r="FU145" s="32">
        <f t="shared" si="647"/>
        <v>0.90923398184014237</v>
      </c>
      <c r="FV145" s="32">
        <f t="shared" si="648"/>
        <v>1</v>
      </c>
      <c r="FX145" s="32">
        <f t="shared" si="649"/>
        <v>6.3844923075052282E-2</v>
      </c>
      <c r="FY145" s="32">
        <f t="shared" si="650"/>
        <v>0.14071182336935054</v>
      </c>
      <c r="FZ145" s="32">
        <f t="shared" si="651"/>
        <v>0.22236887913592487</v>
      </c>
      <c r="GA145" s="32">
        <f t="shared" si="652"/>
        <v>0.29500085624205635</v>
      </c>
      <c r="GB145" s="32">
        <f t="shared" si="653"/>
        <v>0.37097963520419674</v>
      </c>
      <c r="GC145" s="32">
        <f t="shared" si="654"/>
        <v>0.43558233131066859</v>
      </c>
      <c r="GD145" s="32">
        <f t="shared" si="655"/>
        <v>0.55089926721650473</v>
      </c>
      <c r="GE145" s="32">
        <f t="shared" si="656"/>
        <v>0.64009436357429428</v>
      </c>
      <c r="GF145" s="32">
        <f t="shared" si="657"/>
        <v>0.72660086885177877</v>
      </c>
      <c r="GG145" s="32">
        <f t="shared" si="658"/>
        <v>0.80696045048911635</v>
      </c>
      <c r="GH145" s="32">
        <f t="shared" si="659"/>
        <v>0.90314036502928463</v>
      </c>
      <c r="GI145" s="32">
        <f t="shared" si="660"/>
        <v>1</v>
      </c>
    </row>
    <row r="146" spans="1:191">
      <c r="A146" s="724" t="s">
        <v>100</v>
      </c>
      <c r="B146" s="399">
        <v>338527.26</v>
      </c>
      <c r="C146" s="400">
        <v>470359.26999999996</v>
      </c>
      <c r="D146" s="400">
        <v>573791.1</v>
      </c>
      <c r="E146" s="400">
        <v>524816.1</v>
      </c>
      <c r="F146" s="400">
        <v>568384.31000000006</v>
      </c>
      <c r="G146" s="400">
        <v>602000.69999999995</v>
      </c>
      <c r="H146" s="400">
        <v>591422.10000000009</v>
      </c>
      <c r="I146" s="400">
        <v>605233.05000000005</v>
      </c>
      <c r="J146" s="400">
        <v>593381.1</v>
      </c>
      <c r="K146" s="400">
        <v>567620.25</v>
      </c>
      <c r="L146" s="400">
        <v>551066.69999999995</v>
      </c>
      <c r="M146" s="400">
        <v>512180.55</v>
      </c>
      <c r="N146" s="400">
        <f t="shared" si="588"/>
        <v>6498782.4900000002</v>
      </c>
      <c r="P146" s="396" t="s">
        <v>100</v>
      </c>
      <c r="Q146" s="399">
        <v>310292.27</v>
      </c>
      <c r="R146" s="400">
        <v>414132.6</v>
      </c>
      <c r="S146" s="400">
        <v>407080.19999999995</v>
      </c>
      <c r="T146" s="400">
        <v>301392.15000000002</v>
      </c>
      <c r="U146" s="400">
        <v>404533.5</v>
      </c>
      <c r="V146" s="400">
        <v>445378.64999999997</v>
      </c>
      <c r="W146" s="400">
        <v>484955.45</v>
      </c>
      <c r="X146" s="400">
        <v>534219.29999999993</v>
      </c>
      <c r="Y146" s="400">
        <v>536472.15</v>
      </c>
      <c r="Z146" s="400">
        <v>585936.9</v>
      </c>
      <c r="AA146" s="400">
        <v>505128.15</v>
      </c>
      <c r="AB146" s="400">
        <v>501797.85</v>
      </c>
      <c r="AC146" s="400">
        <f t="shared" si="589"/>
        <v>5431319.1699999999</v>
      </c>
      <c r="AE146" s="127" t="s">
        <v>100</v>
      </c>
      <c r="AF146" s="27">
        <v>283209.40000000002</v>
      </c>
      <c r="AG146" s="27">
        <v>420355.36</v>
      </c>
      <c r="AH146" s="27">
        <v>461860.24</v>
      </c>
      <c r="AI146" s="27">
        <v>492278.2</v>
      </c>
      <c r="AJ146" s="27">
        <v>517010.56</v>
      </c>
      <c r="AK146" s="27">
        <v>433527</v>
      </c>
      <c r="AL146" s="27">
        <v>511704</v>
      </c>
      <c r="AM146" s="27">
        <v>505828.88</v>
      </c>
      <c r="AN146" s="27">
        <v>510756.4</v>
      </c>
      <c r="AO146" s="27">
        <v>535867.80000000005</v>
      </c>
      <c r="AP146" s="27">
        <v>482233.64</v>
      </c>
      <c r="AQ146" s="27">
        <v>455890.36</v>
      </c>
      <c r="AR146" s="43">
        <f t="shared" si="590"/>
        <v>5610521.8399999999</v>
      </c>
      <c r="AT146" s="60" t="s">
        <v>100</v>
      </c>
      <c r="AU146" s="27">
        <v>234413.55</v>
      </c>
      <c r="AV146" s="27">
        <v>339002.26</v>
      </c>
      <c r="AW146" s="27">
        <v>419772</v>
      </c>
      <c r="AX146" s="27">
        <v>422394</v>
      </c>
      <c r="AY146" s="27">
        <v>420166.25</v>
      </c>
      <c r="AZ146" s="27">
        <v>408364.5</v>
      </c>
      <c r="BA146" s="27">
        <v>439840.5</v>
      </c>
      <c r="BB146" s="27">
        <v>482662.5</v>
      </c>
      <c r="BC146" s="27">
        <v>419881.75</v>
      </c>
      <c r="BD146" s="27">
        <v>482754</v>
      </c>
      <c r="BE146" s="27">
        <v>411201</v>
      </c>
      <c r="BF146" s="27">
        <v>431697</v>
      </c>
      <c r="BG146" s="43">
        <f t="shared" si="699"/>
        <v>4912149.3100000005</v>
      </c>
      <c r="BI146" s="60" t="s">
        <v>100</v>
      </c>
      <c r="BJ146" s="27">
        <v>201763.79</v>
      </c>
      <c r="BK146" s="27">
        <v>286403.68</v>
      </c>
      <c r="BL146" s="27">
        <v>388925.8</v>
      </c>
      <c r="BM146" s="27">
        <v>324289.08</v>
      </c>
      <c r="BN146" s="27">
        <v>420692.01</v>
      </c>
      <c r="BO146" s="27">
        <v>376264.87</v>
      </c>
      <c r="BP146" s="27">
        <v>409194.4</v>
      </c>
      <c r="BQ146" s="27">
        <v>449192.57999999996</v>
      </c>
      <c r="BR146" s="27">
        <v>411611.45</v>
      </c>
      <c r="BS146" s="27">
        <v>426578.47</v>
      </c>
      <c r="BT146" s="27">
        <v>386355.5</v>
      </c>
      <c r="BU146" s="27">
        <v>378218.53</v>
      </c>
      <c r="BV146" s="43">
        <f t="shared" si="700"/>
        <v>4459490.16</v>
      </c>
      <c r="BW146" s="405"/>
      <c r="BX146" s="32">
        <f t="shared" si="661"/>
        <v>5.2090874024620572E-2</v>
      </c>
      <c r="BY146" s="32">
        <f t="shared" si="662"/>
        <v>0.12446739543055549</v>
      </c>
      <c r="BZ146" s="32">
        <f t="shared" si="663"/>
        <v>0.21275948720050175</v>
      </c>
      <c r="CA146" s="32">
        <f t="shared" si="664"/>
        <v>0.29351555201842122</v>
      </c>
      <c r="CB146" s="32">
        <f t="shared" si="665"/>
        <v>0.38097567410661254</v>
      </c>
      <c r="CC146" s="32">
        <f t="shared" si="666"/>
        <v>0.4736085174009263</v>
      </c>
      <c r="CD146" s="32">
        <f t="shared" si="667"/>
        <v>0.5646135788736022</v>
      </c>
      <c r="CE146" s="32">
        <f t="shared" si="668"/>
        <v>0.65774379994674981</v>
      </c>
      <c r="CF146" s="32">
        <f t="shared" si="669"/>
        <v>0.7490503024975067</v>
      </c>
      <c r="CG146" s="32">
        <f t="shared" si="670"/>
        <v>0.83639285487149762</v>
      </c>
      <c r="CH146" s="32">
        <f t="shared" si="671"/>
        <v>0.9211882301357035</v>
      </c>
      <c r="CI146" s="32">
        <f t="shared" si="672"/>
        <v>1</v>
      </c>
      <c r="CJ146" s="405"/>
      <c r="CK146" s="32">
        <f t="shared" si="673"/>
        <v>5.7130185188509187E-2</v>
      </c>
      <c r="CL146" s="32">
        <f t="shared" si="674"/>
        <v>0.133379174989637</v>
      </c>
      <c r="CM146" s="32">
        <f t="shared" si="675"/>
        <v>0.20832969571184304</v>
      </c>
      <c r="CN146" s="32">
        <f t="shared" si="676"/>
        <v>0.26382121454298546</v>
      </c>
      <c r="CO146" s="32">
        <f t="shared" si="677"/>
        <v>0.33830284365335866</v>
      </c>
      <c r="CP146" s="32">
        <f t="shared" si="678"/>
        <v>0.42030477284582035</v>
      </c>
      <c r="CQ146" s="32">
        <f t="shared" si="679"/>
        <v>0.509593476901119</v>
      </c>
      <c r="CR146" s="32">
        <f t="shared" si="680"/>
        <v>0.60795250962944236</v>
      </c>
      <c r="CS146" s="32">
        <f t="shared" si="681"/>
        <v>0.70672633109131011</v>
      </c>
      <c r="CT146" s="32">
        <f t="shared" si="682"/>
        <v>0.8146074703983931</v>
      </c>
      <c r="CU146" s="32">
        <f t="shared" si="683"/>
        <v>0.90761031817616422</v>
      </c>
      <c r="CV146" s="32">
        <f t="shared" si="684"/>
        <v>1</v>
      </c>
      <c r="CX146" s="32">
        <f t="shared" si="685"/>
        <v>5.0478263533504049E-2</v>
      </c>
      <c r="CY146" s="32">
        <f t="shared" si="686"/>
        <v>0.12540094844368346</v>
      </c>
      <c r="CZ146" s="32">
        <f t="shared" si="687"/>
        <v>0.20772131955554424</v>
      </c>
      <c r="DA146" s="32">
        <f t="shared" si="688"/>
        <v>0.29546328260973315</v>
      </c>
      <c r="DB146" s="32">
        <f t="shared" si="689"/>
        <v>0.38761345593478697</v>
      </c>
      <c r="DC146" s="32">
        <f t="shared" si="690"/>
        <v>0.46488380838385612</v>
      </c>
      <c r="DD146" s="32">
        <f t="shared" si="691"/>
        <v>0.5560881588155443</v>
      </c>
      <c r="DE146" s="32">
        <f t="shared" si="692"/>
        <v>0.64624534818672053</v>
      </c>
      <c r="DF146" s="32">
        <f t="shared" si="693"/>
        <v>0.73728080167316479</v>
      </c>
      <c r="DG146" s="32">
        <f t="shared" si="694"/>
        <v>0.83279202420857168</v>
      </c>
      <c r="DH146" s="32">
        <f t="shared" si="695"/>
        <v>0.91874367964317549</v>
      </c>
      <c r="DI146" s="32">
        <f t="shared" si="696"/>
        <v>1</v>
      </c>
      <c r="DK146" s="32">
        <f t="shared" si="591"/>
        <v>4.7721177677312897E-2</v>
      </c>
      <c r="DL146" s="32">
        <f t="shared" si="592"/>
        <v>0.11673419796761023</v>
      </c>
      <c r="DM146" s="32">
        <f t="shared" si="593"/>
        <v>0.20219006942197365</v>
      </c>
      <c r="DN146" s="32">
        <f t="shared" si="594"/>
        <v>0.28817971943935067</v>
      </c>
      <c r="DO146" s="32">
        <f t="shared" si="595"/>
        <v>0.3737158510761962</v>
      </c>
      <c r="DP146" s="32">
        <f t="shared" si="596"/>
        <v>0.45684941934307771</v>
      </c>
      <c r="DQ146" s="32">
        <f t="shared" si="597"/>
        <v>0.54639077328860752</v>
      </c>
      <c r="DR146" s="32">
        <f t="shared" si="598"/>
        <v>0.64464969612253087</v>
      </c>
      <c r="DS146" s="32">
        <f t="shared" si="599"/>
        <v>0.73012791013879008</v>
      </c>
      <c r="DT146" s="32">
        <f t="shared" si="600"/>
        <v>0.82840546025666306</v>
      </c>
      <c r="DU146" s="32">
        <f t="shared" si="601"/>
        <v>0.91211647432598097</v>
      </c>
      <c r="DV146" s="32">
        <f t="shared" si="602"/>
        <v>1</v>
      </c>
      <c r="DW146" s="39"/>
      <c r="DX146" s="32">
        <f t="shared" si="603"/>
        <v>4.5243689919925736E-2</v>
      </c>
      <c r="DY146" s="32">
        <f t="shared" si="604"/>
        <v>0.10946710329774557</v>
      </c>
      <c r="DZ146" s="32">
        <f t="shared" si="605"/>
        <v>0.19668016713372455</v>
      </c>
      <c r="EA146" s="32">
        <f t="shared" si="606"/>
        <v>0.26939903596513376</v>
      </c>
      <c r="EB146" s="32">
        <f t="shared" si="607"/>
        <v>0.3637353827012369</v>
      </c>
      <c r="EC146" s="32">
        <f t="shared" si="608"/>
        <v>0.44810934844623584</v>
      </c>
      <c r="ED146" s="32">
        <f t="shared" si="609"/>
        <v>0.53986746099244665</v>
      </c>
      <c r="EE146" s="32">
        <f t="shared" si="610"/>
        <v>0.64059480063972152</v>
      </c>
      <c r="EF146" s="32">
        <f t="shared" si="611"/>
        <v>0.73289491460611278</v>
      </c>
      <c r="EG146" s="32">
        <f t="shared" si="612"/>
        <v>0.82855124631556532</v>
      </c>
      <c r="EH146" s="32">
        <f t="shared" si="613"/>
        <v>0.91518794381642943</v>
      </c>
      <c r="EI146" s="32">
        <f t="shared" si="614"/>
        <v>1</v>
      </c>
      <c r="EK146" s="32">
        <f t="shared" si="697"/>
        <v>4.7814377043580901E-2</v>
      </c>
      <c r="EL146" s="32">
        <f t="shared" si="615"/>
        <v>0.11720074990301309</v>
      </c>
      <c r="EM146" s="32">
        <f t="shared" si="616"/>
        <v>0.20219718537041417</v>
      </c>
      <c r="EN146" s="32">
        <f t="shared" si="617"/>
        <v>0.28434734600473921</v>
      </c>
      <c r="EO146" s="32">
        <f t="shared" si="618"/>
        <v>0.37502156323740671</v>
      </c>
      <c r="EP146" s="32">
        <f t="shared" si="619"/>
        <v>0.4566141920577233</v>
      </c>
      <c r="EQ146" s="32">
        <f t="shared" si="620"/>
        <v>0.54744879769886612</v>
      </c>
      <c r="ER146" s="32">
        <f t="shared" si="621"/>
        <v>0.64382994831632423</v>
      </c>
      <c r="ES146" s="32">
        <f t="shared" si="622"/>
        <v>0.73343454213935588</v>
      </c>
      <c r="ET146" s="32">
        <f t="shared" si="623"/>
        <v>0.82991624359359994</v>
      </c>
      <c r="EU146" s="32">
        <f t="shared" si="624"/>
        <v>0.91534936592852867</v>
      </c>
      <c r="EV146" s="32">
        <f t="shared" si="625"/>
        <v>1</v>
      </c>
      <c r="EX146" s="32">
        <f t="shared" si="626"/>
        <v>5.0143329079812962E-2</v>
      </c>
      <c r="EY146" s="32">
        <f t="shared" si="627"/>
        <v>0.12124535617466908</v>
      </c>
      <c r="EZ146" s="32">
        <f t="shared" si="628"/>
        <v>0.20373031295577138</v>
      </c>
      <c r="FA146" s="32">
        <f t="shared" si="629"/>
        <v>0.27921581313930077</v>
      </c>
      <c r="FB146" s="32">
        <f t="shared" si="630"/>
        <v>0.36584188334139467</v>
      </c>
      <c r="FC146" s="32">
        <f t="shared" si="631"/>
        <v>0.44753683725474758</v>
      </c>
      <c r="FD146" s="32">
        <f t="shared" si="632"/>
        <v>0.53798496749942926</v>
      </c>
      <c r="FE146" s="32">
        <f t="shared" si="633"/>
        <v>0.63486058864460382</v>
      </c>
      <c r="FF146" s="32">
        <f t="shared" si="634"/>
        <v>0.72675748937734441</v>
      </c>
      <c r="FG146" s="32">
        <f t="shared" si="635"/>
        <v>0.82608905029479829</v>
      </c>
      <c r="FH146" s="32">
        <f t="shared" si="636"/>
        <v>0.9134146039904375</v>
      </c>
      <c r="FI146" s="32">
        <f t="shared" si="637"/>
        <v>1</v>
      </c>
      <c r="FK146" s="32">
        <f t="shared" si="698"/>
        <v>5.1776542133108706E-2</v>
      </c>
      <c r="FL146" s="32">
        <f t="shared" si="638"/>
        <v>0.1251714404669769</v>
      </c>
      <c r="FM146" s="32">
        <f t="shared" si="639"/>
        <v>0.20608036156312029</v>
      </c>
      <c r="FN146" s="32">
        <f t="shared" si="640"/>
        <v>0.28248807219735644</v>
      </c>
      <c r="FO146" s="32">
        <f t="shared" si="641"/>
        <v>0.36654405022144726</v>
      </c>
      <c r="FP146" s="32">
        <f t="shared" si="642"/>
        <v>0.44734600019091814</v>
      </c>
      <c r="FQ146" s="32">
        <f t="shared" si="643"/>
        <v>0.53735746966842357</v>
      </c>
      <c r="FR146" s="32">
        <f t="shared" si="644"/>
        <v>0.63294918464623118</v>
      </c>
      <c r="FS146" s="32">
        <f t="shared" si="645"/>
        <v>0.72471168096775507</v>
      </c>
      <c r="FT146" s="32">
        <f t="shared" si="646"/>
        <v>0.82526831828787595</v>
      </c>
      <c r="FU146" s="32">
        <f t="shared" si="647"/>
        <v>0.91282349071510682</v>
      </c>
      <c r="FV146" s="32">
        <f t="shared" si="648"/>
        <v>1</v>
      </c>
      <c r="FX146" s="32">
        <f t="shared" si="649"/>
        <v>5.3233107582211274E-2</v>
      </c>
      <c r="FY146" s="32">
        <f t="shared" si="650"/>
        <v>0.12774917295462532</v>
      </c>
      <c r="FZ146" s="32">
        <f t="shared" si="651"/>
        <v>0.20960350082262968</v>
      </c>
      <c r="GA146" s="32">
        <f t="shared" si="652"/>
        <v>0.28426668305704661</v>
      </c>
      <c r="GB146" s="32">
        <f t="shared" si="653"/>
        <v>0.36896399123158607</v>
      </c>
      <c r="GC146" s="32">
        <f t="shared" si="654"/>
        <v>0.45293236621020094</v>
      </c>
      <c r="GD146" s="32">
        <f t="shared" si="655"/>
        <v>0.54343173819675517</v>
      </c>
      <c r="GE146" s="32">
        <f t="shared" si="656"/>
        <v>0.63731388592097094</v>
      </c>
      <c r="GF146" s="32">
        <f t="shared" si="657"/>
        <v>0.73101914508732724</v>
      </c>
      <c r="GG146" s="32">
        <f t="shared" si="658"/>
        <v>0.82793078315948743</v>
      </c>
      <c r="GH146" s="32">
        <f t="shared" si="659"/>
        <v>0.91584740931834785</v>
      </c>
      <c r="GI146" s="32">
        <f t="shared" si="660"/>
        <v>1</v>
      </c>
    </row>
    <row r="147" spans="1:191">
      <c r="A147" s="724" t="s">
        <v>101</v>
      </c>
      <c r="B147" s="399">
        <v>2134107.23</v>
      </c>
      <c r="C147" s="400">
        <v>2609358.42</v>
      </c>
      <c r="D147" s="400">
        <v>2799493.4299999997</v>
      </c>
      <c r="E147" s="400">
        <v>2522922.6599999997</v>
      </c>
      <c r="F147" s="400">
        <v>2815790.59</v>
      </c>
      <c r="G147" s="400">
        <v>2950254</v>
      </c>
      <c r="H147" s="400">
        <v>3050067.29</v>
      </c>
      <c r="I147" s="400">
        <v>3318741.1999999997</v>
      </c>
      <c r="J147" s="400">
        <v>3172894.35</v>
      </c>
      <c r="K147" s="400">
        <v>2988748.35</v>
      </c>
      <c r="L147" s="400">
        <v>2926843.9499999997</v>
      </c>
      <c r="M147" s="400">
        <v>2770515.75</v>
      </c>
      <c r="N147" s="400">
        <f t="shared" si="588"/>
        <v>34059737.219999999</v>
      </c>
      <c r="P147" s="396" t="s">
        <v>101</v>
      </c>
      <c r="Q147" s="399">
        <v>2220027.7200000002</v>
      </c>
      <c r="R147" s="400">
        <v>2395954.9500000002</v>
      </c>
      <c r="S147" s="400">
        <v>2512907.25</v>
      </c>
      <c r="T147" s="400">
        <v>1275113.1000000001</v>
      </c>
      <c r="U147" s="400">
        <v>1522828.6500000001</v>
      </c>
      <c r="V147" s="400">
        <v>2156369.25</v>
      </c>
      <c r="W147" s="400">
        <v>2690490.5999999996</v>
      </c>
      <c r="X147" s="400">
        <v>2830166.6</v>
      </c>
      <c r="Y147" s="400">
        <v>2889622.95</v>
      </c>
      <c r="Z147" s="400">
        <v>3185040.15</v>
      </c>
      <c r="AA147" s="400">
        <v>2740402.12</v>
      </c>
      <c r="AB147" s="400">
        <v>2643082.8000000003</v>
      </c>
      <c r="AC147" s="400">
        <f t="shared" si="589"/>
        <v>29062006.140000001</v>
      </c>
      <c r="AE147" s="127" t="s">
        <v>101</v>
      </c>
      <c r="AF147" s="27">
        <v>1984657.6400000001</v>
      </c>
      <c r="AG147" s="27">
        <v>2434289.64</v>
      </c>
      <c r="AH147" s="27">
        <v>2454943.2999999998</v>
      </c>
      <c r="AI147" s="27">
        <v>2846874.68</v>
      </c>
      <c r="AJ147" s="27">
        <v>3100163.12</v>
      </c>
      <c r="AK147" s="27">
        <v>2500053.08</v>
      </c>
      <c r="AL147" s="27">
        <v>2909795.32</v>
      </c>
      <c r="AM147" s="27">
        <v>2990246.56</v>
      </c>
      <c r="AN147" s="27">
        <v>2848011.8</v>
      </c>
      <c r="AO147" s="27">
        <v>3014126.08</v>
      </c>
      <c r="AP147" s="27">
        <v>2483564.84</v>
      </c>
      <c r="AQ147" s="27">
        <v>2325031.36</v>
      </c>
      <c r="AR147" s="43">
        <f t="shared" si="590"/>
        <v>31891757.419999998</v>
      </c>
      <c r="AT147" s="60" t="s">
        <v>101</v>
      </c>
      <c r="AU147" s="27">
        <v>1930866.92</v>
      </c>
      <c r="AV147" s="27">
        <v>1998365.1</v>
      </c>
      <c r="AW147" s="27">
        <v>2663298.54</v>
      </c>
      <c r="AX147" s="27">
        <v>2648980</v>
      </c>
      <c r="AY147" s="27">
        <v>2666967.0499999998</v>
      </c>
      <c r="AZ147" s="27">
        <v>2390054.5299999998</v>
      </c>
      <c r="BA147" s="27">
        <v>2541998.1</v>
      </c>
      <c r="BB147" s="27">
        <v>2925547.75</v>
      </c>
      <c r="BC147" s="27">
        <v>2402204.27</v>
      </c>
      <c r="BD147" s="27">
        <v>2618272.5699999998</v>
      </c>
      <c r="BE147" s="27">
        <v>2172118.5</v>
      </c>
      <c r="BF147" s="27">
        <v>2068388.87</v>
      </c>
      <c r="BG147" s="43">
        <f t="shared" si="699"/>
        <v>29027062.199999999</v>
      </c>
      <c r="BI147" s="60" t="s">
        <v>101</v>
      </c>
      <c r="BJ147" s="27">
        <v>1613880.02</v>
      </c>
      <c r="BK147" s="27">
        <v>1743940.41</v>
      </c>
      <c r="BL147" s="27">
        <v>2437264.2599999998</v>
      </c>
      <c r="BM147" s="27">
        <v>1980429.49</v>
      </c>
      <c r="BN147" s="27">
        <v>2441361.42</v>
      </c>
      <c r="BO147" s="27">
        <v>2293984.15</v>
      </c>
      <c r="BP147" s="27">
        <v>2306509.81</v>
      </c>
      <c r="BQ147" s="27">
        <v>2685913.05</v>
      </c>
      <c r="BR147" s="27">
        <v>2293553.2200000002</v>
      </c>
      <c r="BS147" s="27">
        <v>2363350.0100000002</v>
      </c>
      <c r="BT147" s="27">
        <v>2144451.77</v>
      </c>
      <c r="BU147" s="27">
        <v>1913304.0899999999</v>
      </c>
      <c r="BV147" s="43">
        <f t="shared" si="700"/>
        <v>26217941.699999999</v>
      </c>
      <c r="BW147" s="405"/>
      <c r="BX147" s="32">
        <f t="shared" si="661"/>
        <v>6.2657771438907189E-2</v>
      </c>
      <c r="BY147" s="32">
        <f t="shared" si="662"/>
        <v>0.13926900314470483</v>
      </c>
      <c r="BZ147" s="32">
        <f t="shared" si="663"/>
        <v>0.22146263288169904</v>
      </c>
      <c r="CA147" s="32">
        <f t="shared" si="664"/>
        <v>0.29553609515487628</v>
      </c>
      <c r="CB147" s="32">
        <f t="shared" si="665"/>
        <v>0.37820821243552744</v>
      </c>
      <c r="CC147" s="32">
        <f t="shared" si="666"/>
        <v>0.46482819957587451</v>
      </c>
      <c r="CD147" s="32">
        <f t="shared" si="667"/>
        <v>0.55437872283149703</v>
      </c>
      <c r="CE147" s="32">
        <f t="shared" si="668"/>
        <v>0.65181756032350269</v>
      </c>
      <c r="CF147" s="32">
        <f t="shared" si="669"/>
        <v>0.74497430811358456</v>
      </c>
      <c r="CG147" s="32">
        <f t="shared" si="670"/>
        <v>0.83272449628136047</v>
      </c>
      <c r="CH147" s="32">
        <f t="shared" si="671"/>
        <v>0.91865716015057397</v>
      </c>
      <c r="CI147" s="32">
        <f t="shared" si="672"/>
        <v>1</v>
      </c>
      <c r="CJ147" s="405"/>
      <c r="CK147" s="32">
        <f t="shared" si="673"/>
        <v>7.6389348667311244E-2</v>
      </c>
      <c r="CL147" s="32">
        <f t="shared" si="674"/>
        <v>0.15883221026667912</v>
      </c>
      <c r="CM147" s="32">
        <f t="shared" si="675"/>
        <v>0.24529930541126779</v>
      </c>
      <c r="CN147" s="32">
        <f t="shared" si="676"/>
        <v>0.28917491034567649</v>
      </c>
      <c r="CO147" s="32">
        <f t="shared" si="677"/>
        <v>0.34157420592988696</v>
      </c>
      <c r="CP147" s="32">
        <f t="shared" si="678"/>
        <v>0.41577311840730347</v>
      </c>
      <c r="CQ147" s="32">
        <f t="shared" si="679"/>
        <v>0.50835071222650285</v>
      </c>
      <c r="CR147" s="32">
        <f t="shared" si="680"/>
        <v>0.60573444363053186</v>
      </c>
      <c r="CS147" s="32">
        <f t="shared" si="681"/>
        <v>0.70516401969213816</v>
      </c>
      <c r="CT147" s="32">
        <f t="shared" si="682"/>
        <v>0.8147586613922585</v>
      </c>
      <c r="CU147" s="32">
        <f t="shared" si="683"/>
        <v>0.90905367002995197</v>
      </c>
      <c r="CV147" s="32">
        <f t="shared" si="684"/>
        <v>1</v>
      </c>
      <c r="CX147" s="32">
        <f t="shared" si="685"/>
        <v>6.2231052803486432E-2</v>
      </c>
      <c r="CY147" s="32">
        <f t="shared" si="686"/>
        <v>0.13856079556245415</v>
      </c>
      <c r="CZ147" s="32">
        <f t="shared" si="687"/>
        <v>0.21553815581480743</v>
      </c>
      <c r="DA147" s="32">
        <f t="shared" si="688"/>
        <v>0.30480494166508054</v>
      </c>
      <c r="DB147" s="32">
        <f t="shared" si="689"/>
        <v>0.4020138561558142</v>
      </c>
      <c r="DC147" s="32">
        <f t="shared" si="690"/>
        <v>0.48040568157563768</v>
      </c>
      <c r="DD147" s="32">
        <f t="shared" si="691"/>
        <v>0.57164541106684486</v>
      </c>
      <c r="DE147" s="32">
        <f t="shared" si="692"/>
        <v>0.66540777482183666</v>
      </c>
      <c r="DF147" s="32">
        <f t="shared" si="693"/>
        <v>0.75471021628007851</v>
      </c>
      <c r="DG147" s="32">
        <f t="shared" si="694"/>
        <v>0.84922134780241287</v>
      </c>
      <c r="DH147" s="32">
        <f t="shared" si="695"/>
        <v>0.92709616690669039</v>
      </c>
      <c r="DI147" s="32">
        <f t="shared" si="696"/>
        <v>1</v>
      </c>
      <c r="DK147" s="32">
        <f t="shared" si="591"/>
        <v>6.651954326952178E-2</v>
      </c>
      <c r="DL147" s="32">
        <f t="shared" si="592"/>
        <v>0.13536444001556588</v>
      </c>
      <c r="DM147" s="32">
        <f t="shared" si="593"/>
        <v>0.22711669939509072</v>
      </c>
      <c r="DN147" s="32">
        <f t="shared" si="594"/>
        <v>0.31837567633695979</v>
      </c>
      <c r="DO147" s="32">
        <f t="shared" si="595"/>
        <v>0.41025431812386443</v>
      </c>
      <c r="DP147" s="32">
        <f t="shared" si="596"/>
        <v>0.49259315467343434</v>
      </c>
      <c r="DQ147" s="32">
        <f t="shared" si="597"/>
        <v>0.58016653989875688</v>
      </c>
      <c r="DR147" s="32">
        <f t="shared" si="598"/>
        <v>0.68095344454114271</v>
      </c>
      <c r="DS147" s="32">
        <f t="shared" si="599"/>
        <v>0.76371084704534786</v>
      </c>
      <c r="DT147" s="32">
        <f t="shared" si="600"/>
        <v>0.85391193429144197</v>
      </c>
      <c r="DU147" s="32">
        <f t="shared" si="601"/>
        <v>0.92874274166126258</v>
      </c>
      <c r="DV147" s="32">
        <f t="shared" si="602"/>
        <v>1</v>
      </c>
      <c r="DW147" s="39"/>
      <c r="DX147" s="32">
        <f t="shared" si="603"/>
        <v>6.1556320418547583E-2</v>
      </c>
      <c r="DY147" s="32">
        <f t="shared" si="604"/>
        <v>0.12807338075665947</v>
      </c>
      <c r="DZ147" s="32">
        <f t="shared" si="605"/>
        <v>0.22103507423696803</v>
      </c>
      <c r="EA147" s="32">
        <f t="shared" si="606"/>
        <v>0.29657225837831502</v>
      </c>
      <c r="EB147" s="32">
        <f t="shared" si="607"/>
        <v>0.38969022499580885</v>
      </c>
      <c r="EC147" s="32">
        <f t="shared" si="608"/>
        <v>0.477186954382464</v>
      </c>
      <c r="ED147" s="32">
        <f t="shared" si="609"/>
        <v>0.5651614352319656</v>
      </c>
      <c r="EE147" s="32">
        <f t="shared" si="610"/>
        <v>0.66760704597950948</v>
      </c>
      <c r="EF147" s="32">
        <f t="shared" si="611"/>
        <v>0.75508733891188717</v>
      </c>
      <c r="EG147" s="32">
        <f t="shared" si="612"/>
        <v>0.84522980841016981</v>
      </c>
      <c r="EH147" s="32">
        <f t="shared" si="613"/>
        <v>0.92702310074936201</v>
      </c>
      <c r="EI147" s="32">
        <f t="shared" si="614"/>
        <v>1</v>
      </c>
      <c r="EK147" s="32">
        <f t="shared" si="697"/>
        <v>6.3435638830518601E-2</v>
      </c>
      <c r="EL147" s="32">
        <f t="shared" si="615"/>
        <v>0.13399953877822651</v>
      </c>
      <c r="EM147" s="32">
        <f t="shared" si="616"/>
        <v>0.2212299764822887</v>
      </c>
      <c r="EN147" s="32">
        <f t="shared" si="617"/>
        <v>0.30658429212678512</v>
      </c>
      <c r="EO147" s="32">
        <f t="shared" si="618"/>
        <v>0.40065279975849588</v>
      </c>
      <c r="EP147" s="32">
        <f t="shared" si="619"/>
        <v>0.48339526354384538</v>
      </c>
      <c r="EQ147" s="32">
        <f t="shared" si="620"/>
        <v>0.57232446206585574</v>
      </c>
      <c r="ER147" s="32">
        <f t="shared" si="621"/>
        <v>0.67132275511416284</v>
      </c>
      <c r="ES147" s="32">
        <f t="shared" si="622"/>
        <v>0.75783613407910444</v>
      </c>
      <c r="ET147" s="32">
        <f t="shared" si="623"/>
        <v>0.84945436350134151</v>
      </c>
      <c r="EU147" s="32">
        <f t="shared" si="624"/>
        <v>0.9276206697724384</v>
      </c>
      <c r="EV147" s="32">
        <f t="shared" si="625"/>
        <v>1</v>
      </c>
      <c r="EX147" s="32">
        <f t="shared" si="626"/>
        <v>6.6674066289716755E-2</v>
      </c>
      <c r="EY147" s="32">
        <f t="shared" si="627"/>
        <v>0.14020770665033966</v>
      </c>
      <c r="EZ147" s="32">
        <f t="shared" si="628"/>
        <v>0.22724730871453347</v>
      </c>
      <c r="FA147" s="32">
        <f t="shared" si="629"/>
        <v>0.30223194668150799</v>
      </c>
      <c r="FB147" s="32">
        <f t="shared" si="630"/>
        <v>0.3858831513013436</v>
      </c>
      <c r="FC147" s="32">
        <f t="shared" si="631"/>
        <v>0.46648972725970989</v>
      </c>
      <c r="FD147" s="32">
        <f t="shared" si="632"/>
        <v>0.55633102460601747</v>
      </c>
      <c r="FE147" s="32">
        <f t="shared" si="633"/>
        <v>0.65492567724325512</v>
      </c>
      <c r="FF147" s="32">
        <f t="shared" si="634"/>
        <v>0.74466810548236284</v>
      </c>
      <c r="FG147" s="32">
        <f t="shared" si="635"/>
        <v>0.84078043797407087</v>
      </c>
      <c r="FH147" s="32">
        <f t="shared" si="636"/>
        <v>0.92297891983681679</v>
      </c>
      <c r="FI147" s="32">
        <f t="shared" si="637"/>
        <v>1</v>
      </c>
      <c r="FK147" s="32">
        <f t="shared" si="698"/>
        <v>6.8379981580106483E-2</v>
      </c>
      <c r="FL147" s="32">
        <f t="shared" si="638"/>
        <v>0.14425248194823306</v>
      </c>
      <c r="FM147" s="32">
        <f t="shared" si="639"/>
        <v>0.22931805354038862</v>
      </c>
      <c r="FN147" s="32">
        <f t="shared" si="640"/>
        <v>0.30411850944923891</v>
      </c>
      <c r="FO147" s="32">
        <f t="shared" si="641"/>
        <v>0.3846141267365219</v>
      </c>
      <c r="FP147" s="32">
        <f t="shared" si="642"/>
        <v>0.46292398488545849</v>
      </c>
      <c r="FQ147" s="32">
        <f t="shared" si="643"/>
        <v>0.5533875543973682</v>
      </c>
      <c r="FR147" s="32">
        <f t="shared" si="644"/>
        <v>0.65069855433117041</v>
      </c>
      <c r="FS147" s="32">
        <f t="shared" si="645"/>
        <v>0.74119502767252143</v>
      </c>
      <c r="FT147" s="32">
        <f t="shared" si="646"/>
        <v>0.83929731449537115</v>
      </c>
      <c r="FU147" s="32">
        <f t="shared" si="647"/>
        <v>0.92163085953263491</v>
      </c>
      <c r="FV147" s="32">
        <f t="shared" si="648"/>
        <v>1</v>
      </c>
      <c r="FX147" s="32">
        <f t="shared" si="649"/>
        <v>6.7092724303234957E-2</v>
      </c>
      <c r="FY147" s="32">
        <f t="shared" si="650"/>
        <v>0.14555400299127938</v>
      </c>
      <c r="FZ147" s="32">
        <f t="shared" si="651"/>
        <v>0.22743336470259143</v>
      </c>
      <c r="GA147" s="32">
        <f t="shared" si="652"/>
        <v>0.29650531572187777</v>
      </c>
      <c r="GB147" s="32">
        <f t="shared" si="653"/>
        <v>0.37393209150707624</v>
      </c>
      <c r="GC147" s="32">
        <f t="shared" si="654"/>
        <v>0.45366899985293857</v>
      </c>
      <c r="GD147" s="32">
        <f t="shared" si="655"/>
        <v>0.54479161537494825</v>
      </c>
      <c r="GE147" s="32">
        <f t="shared" si="656"/>
        <v>0.64098659292529037</v>
      </c>
      <c r="GF147" s="32">
        <f t="shared" si="657"/>
        <v>0.73494951469526704</v>
      </c>
      <c r="GG147" s="32">
        <f t="shared" si="658"/>
        <v>0.83223483515867736</v>
      </c>
      <c r="GH147" s="32">
        <f t="shared" si="659"/>
        <v>0.91826899902907222</v>
      </c>
      <c r="GI147" s="32">
        <f t="shared" si="660"/>
        <v>1</v>
      </c>
    </row>
    <row r="148" spans="1:191">
      <c r="A148" s="724" t="s">
        <v>102</v>
      </c>
      <c r="B148" s="399">
        <v>57438.57</v>
      </c>
      <c r="C148" s="400">
        <v>67095.75</v>
      </c>
      <c r="D148" s="400">
        <v>80221.05</v>
      </c>
      <c r="E148" s="400">
        <v>80123.100000000006</v>
      </c>
      <c r="F148" s="400">
        <v>69544.5</v>
      </c>
      <c r="G148" s="400">
        <v>73070.7</v>
      </c>
      <c r="H148" s="400">
        <v>82571.850000000006</v>
      </c>
      <c r="I148" s="400">
        <v>80123.099999999991</v>
      </c>
      <c r="J148" s="400">
        <v>81494.400000000009</v>
      </c>
      <c r="K148" s="400">
        <v>75519.45</v>
      </c>
      <c r="L148" s="400">
        <v>75225.600000000006</v>
      </c>
      <c r="M148" s="400">
        <v>64353.15</v>
      </c>
      <c r="N148" s="400">
        <f t="shared" si="588"/>
        <v>886781.22</v>
      </c>
      <c r="P148" s="396" t="s">
        <v>102</v>
      </c>
      <c r="Q148" s="399">
        <v>61477.51</v>
      </c>
      <c r="R148" s="400">
        <v>53284.799999999996</v>
      </c>
      <c r="S148" s="400">
        <v>53676.600000000006</v>
      </c>
      <c r="T148" s="400">
        <v>36731.25</v>
      </c>
      <c r="U148" s="400">
        <v>35359.950000000004</v>
      </c>
      <c r="V148" s="400">
        <v>46722.149999999994</v>
      </c>
      <c r="W148" s="400">
        <v>56517.15</v>
      </c>
      <c r="X148" s="400">
        <v>57594.6</v>
      </c>
      <c r="Y148" s="400">
        <v>65724.45</v>
      </c>
      <c r="Z148" s="400">
        <v>78457.95</v>
      </c>
      <c r="AA148" s="400">
        <v>65626.5</v>
      </c>
      <c r="AB148" s="400">
        <v>60924.9</v>
      </c>
      <c r="AC148" s="400">
        <f t="shared" si="589"/>
        <v>672097.81</v>
      </c>
      <c r="AE148" s="127" t="s">
        <v>102</v>
      </c>
      <c r="AF148" s="27">
        <v>43923.22</v>
      </c>
      <c r="AG148" s="27">
        <v>55150.32</v>
      </c>
      <c r="AH148" s="27">
        <v>44442.44</v>
      </c>
      <c r="AI148" s="27">
        <v>52970.84</v>
      </c>
      <c r="AJ148" s="27">
        <v>65668.679999999993</v>
      </c>
      <c r="AK148" s="27">
        <v>50317.56</v>
      </c>
      <c r="AL148" s="27">
        <v>55150.32</v>
      </c>
      <c r="AM148" s="27">
        <v>60362.12</v>
      </c>
      <c r="AN148" s="27">
        <v>58087.88</v>
      </c>
      <c r="AO148" s="27">
        <v>55908.4</v>
      </c>
      <c r="AP148" s="27">
        <v>49275.199999999997</v>
      </c>
      <c r="AQ148" s="27">
        <v>50412.32</v>
      </c>
      <c r="AR148" s="43">
        <f t="shared" si="590"/>
        <v>641669.29999999993</v>
      </c>
      <c r="AT148" s="60" t="s">
        <v>102</v>
      </c>
      <c r="AU148" s="27">
        <v>42386.2</v>
      </c>
      <c r="AV148" s="27">
        <v>47214</v>
      </c>
      <c r="AW148" s="27">
        <v>56547</v>
      </c>
      <c r="AX148" s="27">
        <v>59749.5</v>
      </c>
      <c r="AY148" s="27">
        <v>55083</v>
      </c>
      <c r="AZ148" s="27">
        <v>50233.5</v>
      </c>
      <c r="BA148" s="27">
        <v>56547.000000000007</v>
      </c>
      <c r="BB148" s="27">
        <v>61122</v>
      </c>
      <c r="BC148" s="27">
        <v>53070</v>
      </c>
      <c r="BD148" s="27">
        <v>54625.5</v>
      </c>
      <c r="BE148" s="27">
        <v>44743.5</v>
      </c>
      <c r="BF148" s="27">
        <v>45933</v>
      </c>
      <c r="BG148" s="43">
        <f t="shared" si="699"/>
        <v>627254.19999999995</v>
      </c>
      <c r="BI148" s="60" t="s">
        <v>102</v>
      </c>
      <c r="BJ148" s="27">
        <v>27813.119999999999</v>
      </c>
      <c r="BK148" s="27">
        <v>33981.25</v>
      </c>
      <c r="BL148" s="27">
        <v>45122.100000000006</v>
      </c>
      <c r="BM148" s="27">
        <v>37466.74</v>
      </c>
      <c r="BN148" s="27">
        <v>43582.600000000006</v>
      </c>
      <c r="BO148" s="27">
        <v>51319.350000000006</v>
      </c>
      <c r="BP148" s="27">
        <v>43151.8</v>
      </c>
      <c r="BQ148" s="27">
        <v>50866.3</v>
      </c>
      <c r="BR148" s="27">
        <v>51875.5</v>
      </c>
      <c r="BS148" s="27">
        <v>54657.75</v>
      </c>
      <c r="BT148" s="27">
        <v>45502.65</v>
      </c>
      <c r="BU148" s="27">
        <v>42451.75</v>
      </c>
      <c r="BV148" s="43">
        <f t="shared" si="700"/>
        <v>527790.91</v>
      </c>
      <c r="BW148" s="405"/>
      <c r="BX148" s="32">
        <f t="shared" si="661"/>
        <v>6.4771973858445048E-2</v>
      </c>
      <c r="BY148" s="32">
        <f t="shared" si="662"/>
        <v>0.14043409714968932</v>
      </c>
      <c r="BZ148" s="32">
        <f t="shared" si="663"/>
        <v>0.23089727813586308</v>
      </c>
      <c r="CA148" s="32">
        <f t="shared" si="664"/>
        <v>0.32125000346759708</v>
      </c>
      <c r="CB148" s="32">
        <f t="shared" si="665"/>
        <v>0.39967351811983565</v>
      </c>
      <c r="CC148" s="32">
        <f t="shared" si="666"/>
        <v>0.48207343633190608</v>
      </c>
      <c r="CD148" s="32">
        <f t="shared" si="667"/>
        <v>0.57518755302463442</v>
      </c>
      <c r="CE148" s="32">
        <f t="shared" si="668"/>
        <v>0.66554027835636842</v>
      </c>
      <c r="CF148" s="32">
        <f t="shared" si="669"/>
        <v>0.75743938285025936</v>
      </c>
      <c r="CG148" s="32">
        <f t="shared" si="670"/>
        <v>0.84260069242332403</v>
      </c>
      <c r="CH148" s="32">
        <f t="shared" si="671"/>
        <v>0.92743063503306933</v>
      </c>
      <c r="CI148" s="32">
        <f t="shared" si="672"/>
        <v>1</v>
      </c>
      <c r="CJ148" s="405"/>
      <c r="CK148" s="32">
        <f t="shared" si="673"/>
        <v>9.1471076211362745E-2</v>
      </c>
      <c r="CL148" s="32">
        <f t="shared" si="674"/>
        <v>0.17075239391123739</v>
      </c>
      <c r="CM148" s="32">
        <f t="shared" si="675"/>
        <v>0.25061666247655234</v>
      </c>
      <c r="CN148" s="32">
        <f t="shared" si="676"/>
        <v>0.30526830611157624</v>
      </c>
      <c r="CO148" s="32">
        <f t="shared" si="677"/>
        <v>0.35787962171755922</v>
      </c>
      <c r="CP148" s="32">
        <f t="shared" si="678"/>
        <v>0.4273965124213096</v>
      </c>
      <c r="CQ148" s="32">
        <f t="shared" si="679"/>
        <v>0.51148717476106642</v>
      </c>
      <c r="CR148" s="32">
        <f t="shared" si="680"/>
        <v>0.5971809519807838</v>
      </c>
      <c r="CS148" s="32">
        <f t="shared" si="681"/>
        <v>0.69497095965838662</v>
      </c>
      <c r="CT148" s="32">
        <f t="shared" si="682"/>
        <v>0.81170687046279766</v>
      </c>
      <c r="CU148" s="32">
        <f t="shared" si="683"/>
        <v>0.90935114042404031</v>
      </c>
      <c r="CV148" s="32">
        <f t="shared" si="684"/>
        <v>1</v>
      </c>
      <c r="CX148" s="32">
        <f t="shared" si="685"/>
        <v>6.8451490510766225E-2</v>
      </c>
      <c r="CY148" s="32">
        <f t="shared" si="686"/>
        <v>0.15439968843764229</v>
      </c>
      <c r="CZ148" s="32">
        <f t="shared" si="687"/>
        <v>0.22366034965363005</v>
      </c>
      <c r="DA148" s="32">
        <f t="shared" si="688"/>
        <v>0.30621196931191819</v>
      </c>
      <c r="DB148" s="32">
        <f t="shared" si="689"/>
        <v>0.4085523493176314</v>
      </c>
      <c r="DC148" s="32">
        <f t="shared" si="690"/>
        <v>0.4869690041272039</v>
      </c>
      <c r="DD148" s="32">
        <f t="shared" si="691"/>
        <v>0.57291720205407992</v>
      </c>
      <c r="DE148" s="32">
        <f t="shared" si="692"/>
        <v>0.66698765236236179</v>
      </c>
      <c r="DF148" s="32">
        <f t="shared" si="693"/>
        <v>0.7575138470860302</v>
      </c>
      <c r="DG148" s="32">
        <f t="shared" si="694"/>
        <v>0.84464346354111075</v>
      </c>
      <c r="DH148" s="32">
        <f t="shared" si="695"/>
        <v>0.92143566787440201</v>
      </c>
      <c r="DI148" s="32">
        <f t="shared" si="696"/>
        <v>1</v>
      </c>
      <c r="DK148" s="32">
        <f t="shared" si="591"/>
        <v>6.7574198785755435E-2</v>
      </c>
      <c r="DL148" s="32">
        <f t="shared" si="592"/>
        <v>0.14284511765724328</v>
      </c>
      <c r="DM148" s="32">
        <f t="shared" si="593"/>
        <v>0.23299517165449035</v>
      </c>
      <c r="DN148" s="32">
        <f t="shared" si="594"/>
        <v>0.32825081123410577</v>
      </c>
      <c r="DO148" s="32">
        <f t="shared" si="595"/>
        <v>0.41606688325084157</v>
      </c>
      <c r="DP148" s="32">
        <f t="shared" si="596"/>
        <v>0.49615163995713385</v>
      </c>
      <c r="DQ148" s="32">
        <f t="shared" si="597"/>
        <v>0.58630169395438092</v>
      </c>
      <c r="DR148" s="32">
        <f t="shared" si="598"/>
        <v>0.68374544164072559</v>
      </c>
      <c r="DS148" s="32">
        <f t="shared" si="599"/>
        <v>0.76835228843425851</v>
      </c>
      <c r="DT148" s="32">
        <f t="shared" si="600"/>
        <v>0.85543899108208443</v>
      </c>
      <c r="DU148" s="32">
        <f t="shared" si="601"/>
        <v>0.92677131536145951</v>
      </c>
      <c r="DV148" s="32">
        <f t="shared" si="602"/>
        <v>1</v>
      </c>
      <c r="DW148" s="39"/>
      <c r="DX148" s="32">
        <f t="shared" si="603"/>
        <v>5.2697231939822529E-2</v>
      </c>
      <c r="DY148" s="32">
        <f t="shared" si="604"/>
        <v>0.1170811562480301</v>
      </c>
      <c r="DZ148" s="32">
        <f t="shared" si="605"/>
        <v>0.2025735342808386</v>
      </c>
      <c r="EA148" s="32">
        <f t="shared" si="606"/>
        <v>0.27356138058535334</v>
      </c>
      <c r="EB148" s="32">
        <f t="shared" si="607"/>
        <v>0.35613688382772635</v>
      </c>
      <c r="EC148" s="32">
        <f t="shared" si="608"/>
        <v>0.45337112759293258</v>
      </c>
      <c r="ED148" s="32">
        <f t="shared" si="609"/>
        <v>0.53513039851330524</v>
      </c>
      <c r="EE148" s="32">
        <f t="shared" si="610"/>
        <v>0.63150625311072517</v>
      </c>
      <c r="EF148" s="32">
        <f t="shared" si="611"/>
        <v>0.72979422855160581</v>
      </c>
      <c r="EG148" s="32">
        <f t="shared" si="612"/>
        <v>0.83335370440540546</v>
      </c>
      <c r="EH148" s="32">
        <f t="shared" si="613"/>
        <v>0.91956710660287799</v>
      </c>
      <c r="EI148" s="32">
        <f t="shared" si="614"/>
        <v>1</v>
      </c>
      <c r="EK148" s="32">
        <f t="shared" si="697"/>
        <v>6.2907640412114732E-2</v>
      </c>
      <c r="EL148" s="32">
        <f t="shared" si="615"/>
        <v>0.13810865411430523</v>
      </c>
      <c r="EM148" s="32">
        <f t="shared" si="616"/>
        <v>0.21974301852965297</v>
      </c>
      <c r="EN148" s="32">
        <f t="shared" si="617"/>
        <v>0.30267472037712578</v>
      </c>
      <c r="EO148" s="32">
        <f t="shared" si="618"/>
        <v>0.3935853721320664</v>
      </c>
      <c r="EP148" s="32">
        <f t="shared" si="619"/>
        <v>0.47883059055909011</v>
      </c>
      <c r="EQ148" s="32">
        <f t="shared" si="620"/>
        <v>0.56478309817392203</v>
      </c>
      <c r="ER148" s="32">
        <f t="shared" si="621"/>
        <v>0.66074644903793756</v>
      </c>
      <c r="ES148" s="32">
        <f t="shared" si="622"/>
        <v>0.75188678802396491</v>
      </c>
      <c r="ET148" s="32">
        <f t="shared" si="623"/>
        <v>0.84447871967620014</v>
      </c>
      <c r="EU148" s="32">
        <f t="shared" si="624"/>
        <v>0.9225913632795798</v>
      </c>
      <c r="EV148" s="32">
        <f t="shared" si="625"/>
        <v>1</v>
      </c>
      <c r="EX148" s="32">
        <f t="shared" si="626"/>
        <v>7.0048499361926739E-2</v>
      </c>
      <c r="EY148" s="32">
        <f t="shared" si="627"/>
        <v>0.14626958906353826</v>
      </c>
      <c r="EZ148" s="32">
        <f t="shared" si="628"/>
        <v>0.22746142951637782</v>
      </c>
      <c r="FA148" s="32">
        <f t="shared" si="629"/>
        <v>0.30332311681073837</v>
      </c>
      <c r="FB148" s="32">
        <f t="shared" si="630"/>
        <v>0.38465893452843969</v>
      </c>
      <c r="FC148" s="32">
        <f t="shared" si="631"/>
        <v>0.465972071024645</v>
      </c>
      <c r="FD148" s="32">
        <f t="shared" si="632"/>
        <v>0.55145911732070807</v>
      </c>
      <c r="FE148" s="32">
        <f t="shared" si="633"/>
        <v>0.64485507477364912</v>
      </c>
      <c r="FF148" s="32">
        <f t="shared" si="634"/>
        <v>0.73765783093257031</v>
      </c>
      <c r="FG148" s="32">
        <f t="shared" si="635"/>
        <v>0.83628575737284949</v>
      </c>
      <c r="FH148" s="32">
        <f t="shared" si="636"/>
        <v>0.91928130756569493</v>
      </c>
      <c r="FI148" s="32">
        <f t="shared" si="637"/>
        <v>1</v>
      </c>
      <c r="FK148" s="32">
        <f t="shared" si="698"/>
        <v>7.5832255169294802E-2</v>
      </c>
      <c r="FL148" s="32">
        <f t="shared" si="638"/>
        <v>0.15599906666870766</v>
      </c>
      <c r="FM148" s="32">
        <f t="shared" si="639"/>
        <v>0.2357573945948909</v>
      </c>
      <c r="FN148" s="32">
        <f t="shared" si="640"/>
        <v>0.31324369555253334</v>
      </c>
      <c r="FO148" s="32">
        <f t="shared" si="641"/>
        <v>0.39416628476201071</v>
      </c>
      <c r="FP148" s="32">
        <f t="shared" si="642"/>
        <v>0.47017238550188245</v>
      </c>
      <c r="FQ148" s="32">
        <f t="shared" si="643"/>
        <v>0.55690202358984242</v>
      </c>
      <c r="FR148" s="32">
        <f t="shared" si="644"/>
        <v>0.64930468199462377</v>
      </c>
      <c r="FS148" s="32">
        <f t="shared" si="645"/>
        <v>0.740279031726225</v>
      </c>
      <c r="FT148" s="32">
        <f t="shared" si="646"/>
        <v>0.83726310836199769</v>
      </c>
      <c r="FU148" s="32">
        <f t="shared" si="647"/>
        <v>0.91918604121996728</v>
      </c>
      <c r="FV148" s="32">
        <f t="shared" si="648"/>
        <v>1</v>
      </c>
      <c r="FX148" s="32">
        <f t="shared" si="649"/>
        <v>7.4898180193524663E-2</v>
      </c>
      <c r="FY148" s="32">
        <f t="shared" si="650"/>
        <v>0.15519539316618969</v>
      </c>
      <c r="FZ148" s="32">
        <f t="shared" si="651"/>
        <v>0.23505809675534847</v>
      </c>
      <c r="GA148" s="32">
        <f t="shared" si="652"/>
        <v>0.3109100929636972</v>
      </c>
      <c r="GB148" s="32">
        <f t="shared" si="653"/>
        <v>0.38870182971834205</v>
      </c>
      <c r="GC148" s="32">
        <f t="shared" si="654"/>
        <v>0.46547965096013982</v>
      </c>
      <c r="GD148" s="32">
        <f t="shared" si="655"/>
        <v>0.55319730994659355</v>
      </c>
      <c r="GE148" s="32">
        <f t="shared" si="656"/>
        <v>0.6432362942331713</v>
      </c>
      <c r="GF148" s="32">
        <f t="shared" si="657"/>
        <v>0.73664139653155869</v>
      </c>
      <c r="GG148" s="32">
        <f t="shared" si="658"/>
        <v>0.83298367547574415</v>
      </c>
      <c r="GH148" s="32">
        <f t="shared" si="659"/>
        <v>0.91940581444383718</v>
      </c>
      <c r="GI148" s="32">
        <f t="shared" si="660"/>
        <v>1</v>
      </c>
    </row>
    <row r="149" spans="1:191">
      <c r="A149" s="724" t="s">
        <v>103</v>
      </c>
      <c r="B149" s="399">
        <v>30083.57</v>
      </c>
      <c r="C149" s="400">
        <v>36535.350000000006</v>
      </c>
      <c r="D149" s="400">
        <v>45154.950000000004</v>
      </c>
      <c r="E149" s="400">
        <v>43783.65</v>
      </c>
      <c r="F149" s="400">
        <v>43685.7</v>
      </c>
      <c r="G149" s="400">
        <v>51521.700000000004</v>
      </c>
      <c r="H149" s="400">
        <v>62785.950000000004</v>
      </c>
      <c r="I149" s="400">
        <v>46918.049999999996</v>
      </c>
      <c r="J149" s="400">
        <v>46526.25</v>
      </c>
      <c r="K149" s="400">
        <v>49268.85</v>
      </c>
      <c r="L149" s="400">
        <v>40649.25</v>
      </c>
      <c r="M149" s="400">
        <v>41530.800000000003</v>
      </c>
      <c r="N149" s="400">
        <f t="shared" si="588"/>
        <v>538444.07000000007</v>
      </c>
      <c r="P149" s="396" t="s">
        <v>103</v>
      </c>
      <c r="Q149" s="399">
        <v>27065.16</v>
      </c>
      <c r="R149" s="400">
        <v>33400.949999999997</v>
      </c>
      <c r="S149" s="400">
        <v>35164.049999999996</v>
      </c>
      <c r="T149" s="400">
        <v>18610.5</v>
      </c>
      <c r="U149" s="400">
        <v>33596.85</v>
      </c>
      <c r="V149" s="400">
        <v>37514.85</v>
      </c>
      <c r="W149" s="400">
        <v>47309.85</v>
      </c>
      <c r="X149" s="400">
        <v>48191.399999999994</v>
      </c>
      <c r="Y149" s="400">
        <v>40159.5</v>
      </c>
      <c r="Z149" s="400">
        <v>45644.7</v>
      </c>
      <c r="AA149" s="400">
        <v>44371.35</v>
      </c>
      <c r="AB149" s="400">
        <v>42412.35</v>
      </c>
      <c r="AC149" s="400">
        <f t="shared" si="589"/>
        <v>453441.50999999995</v>
      </c>
      <c r="AE149" s="127" t="s">
        <v>103</v>
      </c>
      <c r="AF149" s="27">
        <v>20719.84</v>
      </c>
      <c r="AG149" s="27">
        <v>34587.4</v>
      </c>
      <c r="AH149" s="27">
        <v>35061.199999999997</v>
      </c>
      <c r="AI149" s="27">
        <v>32786.959999999999</v>
      </c>
      <c r="AJ149" s="27">
        <v>45484.800000000003</v>
      </c>
      <c r="AK149" s="27">
        <v>37524.959999999999</v>
      </c>
      <c r="AL149" s="27">
        <v>41220.6</v>
      </c>
      <c r="AM149" s="27">
        <v>41978.68</v>
      </c>
      <c r="AN149" s="27">
        <v>39230.639999999999</v>
      </c>
      <c r="AO149" s="27">
        <v>42642</v>
      </c>
      <c r="AP149" s="27">
        <v>37430.199999999997</v>
      </c>
      <c r="AQ149" s="27">
        <v>27669.919999999998</v>
      </c>
      <c r="AR149" s="43">
        <f t="shared" si="590"/>
        <v>436337.2</v>
      </c>
      <c r="AT149" s="60" t="s">
        <v>103</v>
      </c>
      <c r="AU149" s="27">
        <v>29591.75</v>
      </c>
      <c r="AV149" s="27">
        <v>32208</v>
      </c>
      <c r="AW149" s="27">
        <v>39985.5</v>
      </c>
      <c r="AX149" s="27">
        <v>41083.5</v>
      </c>
      <c r="AY149" s="27">
        <v>40992</v>
      </c>
      <c r="AZ149" s="27">
        <v>33397.5</v>
      </c>
      <c r="BA149" s="27">
        <v>38430</v>
      </c>
      <c r="BB149" s="27">
        <v>38247</v>
      </c>
      <c r="BC149" s="27">
        <v>29829</v>
      </c>
      <c r="BD149" s="27">
        <v>37057.5</v>
      </c>
      <c r="BE149" s="27">
        <v>33306</v>
      </c>
      <c r="BF149" s="27">
        <v>31110</v>
      </c>
      <c r="BG149" s="43">
        <f t="shared" si="699"/>
        <v>425237.75</v>
      </c>
      <c r="BI149" s="60" t="s">
        <v>103</v>
      </c>
      <c r="BJ149" s="27">
        <v>23772.85</v>
      </c>
      <c r="BK149" s="27">
        <v>27605.199999999997</v>
      </c>
      <c r="BL149" s="27">
        <v>30858.199999999997</v>
      </c>
      <c r="BM149" s="27">
        <v>27823.260000000002</v>
      </c>
      <c r="BN149" s="27">
        <v>48705.619999999995</v>
      </c>
      <c r="BO149" s="27">
        <v>49883</v>
      </c>
      <c r="BP149" s="27">
        <v>42577.37</v>
      </c>
      <c r="BQ149" s="27">
        <v>45862.25</v>
      </c>
      <c r="BR149" s="27">
        <v>32489.599999999999</v>
      </c>
      <c r="BS149" s="27">
        <v>40926</v>
      </c>
      <c r="BT149" s="27">
        <v>33566.5</v>
      </c>
      <c r="BU149" s="27">
        <v>35271.75</v>
      </c>
      <c r="BV149" s="43">
        <f t="shared" si="700"/>
        <v>439341.6</v>
      </c>
      <c r="BW149" s="405"/>
      <c r="BX149" s="32">
        <f t="shared" si="661"/>
        <v>5.5871299687635143E-2</v>
      </c>
      <c r="BY149" s="32">
        <f t="shared" si="662"/>
        <v>0.12372486523994963</v>
      </c>
      <c r="BZ149" s="32">
        <f t="shared" si="663"/>
        <v>0.2075867786973678</v>
      </c>
      <c r="CA149" s="32">
        <f t="shared" si="664"/>
        <v>0.28890190953351941</v>
      </c>
      <c r="CB149" s="32">
        <f t="shared" si="665"/>
        <v>0.37003512732529492</v>
      </c>
      <c r="CC149" s="32">
        <f t="shared" si="666"/>
        <v>0.46572138866716467</v>
      </c>
      <c r="CD149" s="32">
        <f t="shared" si="667"/>
        <v>0.58232765011229493</v>
      </c>
      <c r="CE149" s="32">
        <f t="shared" si="668"/>
        <v>0.66946399836848425</v>
      </c>
      <c r="CF149" s="32">
        <f t="shared" si="669"/>
        <v>0.75587269444716887</v>
      </c>
      <c r="CG149" s="32">
        <f t="shared" si="670"/>
        <v>0.8473749557683864</v>
      </c>
      <c r="CH149" s="32">
        <f t="shared" si="671"/>
        <v>0.9228688691845004</v>
      </c>
      <c r="CI149" s="32">
        <f t="shared" si="672"/>
        <v>1</v>
      </c>
      <c r="CJ149" s="405"/>
      <c r="CK149" s="32">
        <f t="shared" si="673"/>
        <v>5.96883156991957E-2</v>
      </c>
      <c r="CL149" s="32">
        <f t="shared" si="674"/>
        <v>0.13334930452220842</v>
      </c>
      <c r="CM149" s="32">
        <f t="shared" si="675"/>
        <v>0.21089855668485227</v>
      </c>
      <c r="CN149" s="32">
        <f t="shared" si="676"/>
        <v>0.25194133638095906</v>
      </c>
      <c r="CO149" s="32">
        <f t="shared" si="677"/>
        <v>0.32603435446393081</v>
      </c>
      <c r="CP149" s="32">
        <f t="shared" si="678"/>
        <v>0.40876795774608293</v>
      </c>
      <c r="CQ149" s="32">
        <f t="shared" si="679"/>
        <v>0.51310302402618602</v>
      </c>
      <c r="CR149" s="32">
        <f t="shared" si="680"/>
        <v>0.61938222197610449</v>
      </c>
      <c r="CS149" s="32">
        <f t="shared" si="681"/>
        <v>0.70794822026770332</v>
      </c>
      <c r="CT149" s="32">
        <f t="shared" si="682"/>
        <v>0.8086110378381548</v>
      </c>
      <c r="CU149" s="32">
        <f t="shared" si="683"/>
        <v>0.90646566521887251</v>
      </c>
      <c r="CV149" s="32">
        <f t="shared" si="684"/>
        <v>1</v>
      </c>
      <c r="CX149" s="32">
        <f t="shared" si="685"/>
        <v>4.7485843517353091E-2</v>
      </c>
      <c r="CY149" s="32">
        <f t="shared" si="686"/>
        <v>0.12675343747908729</v>
      </c>
      <c r="CZ149" s="32">
        <f t="shared" si="687"/>
        <v>0.20710688889235207</v>
      </c>
      <c r="DA149" s="32">
        <f t="shared" si="688"/>
        <v>0.28224822453826992</v>
      </c>
      <c r="DB149" s="32">
        <f t="shared" si="689"/>
        <v>0.38649053988520804</v>
      </c>
      <c r="DC149" s="32">
        <f t="shared" si="690"/>
        <v>0.47249045004643198</v>
      </c>
      <c r="DD149" s="32">
        <f t="shared" si="691"/>
        <v>0.56696004832959468</v>
      </c>
      <c r="DE149" s="32">
        <f t="shared" si="692"/>
        <v>0.66316701853520621</v>
      </c>
      <c r="DF149" s="32">
        <f t="shared" si="693"/>
        <v>0.75307601552194037</v>
      </c>
      <c r="DG149" s="32">
        <f t="shared" si="694"/>
        <v>0.85080318615969486</v>
      </c>
      <c r="DH149" s="32">
        <f t="shared" si="695"/>
        <v>0.93658592483061265</v>
      </c>
      <c r="DI149" s="32">
        <f t="shared" si="696"/>
        <v>1</v>
      </c>
      <c r="DK149" s="32">
        <f t="shared" si="591"/>
        <v>6.9588718311109493E-2</v>
      </c>
      <c r="DL149" s="32">
        <f t="shared" si="592"/>
        <v>0.1453298772275039</v>
      </c>
      <c r="DM149" s="32">
        <f t="shared" si="593"/>
        <v>0.23936080463223219</v>
      </c>
      <c r="DN149" s="32">
        <f t="shared" si="594"/>
        <v>0.33597381700001938</v>
      </c>
      <c r="DO149" s="32">
        <f t="shared" si="595"/>
        <v>0.43237165562088503</v>
      </c>
      <c r="DP149" s="32">
        <f t="shared" si="596"/>
        <v>0.5109100732472599</v>
      </c>
      <c r="DQ149" s="32">
        <f t="shared" si="597"/>
        <v>0.60128304695432144</v>
      </c>
      <c r="DR149" s="32">
        <f t="shared" si="598"/>
        <v>0.6912256731675398</v>
      </c>
      <c r="DS149" s="32">
        <f t="shared" si="599"/>
        <v>0.76137231466397326</v>
      </c>
      <c r="DT149" s="32">
        <f t="shared" si="600"/>
        <v>0.84851768216721113</v>
      </c>
      <c r="DU149" s="32">
        <f t="shared" si="601"/>
        <v>0.92684092604666446</v>
      </c>
      <c r="DV149" s="32">
        <f t="shared" si="602"/>
        <v>1</v>
      </c>
      <c r="DW149" s="39"/>
      <c r="DX149" s="32">
        <f t="shared" si="603"/>
        <v>5.4110173040750068E-2</v>
      </c>
      <c r="DY149" s="32">
        <f t="shared" si="604"/>
        <v>0.11694328513393677</v>
      </c>
      <c r="DZ149" s="32">
        <f t="shared" si="605"/>
        <v>0.18718065851264712</v>
      </c>
      <c r="EA149" s="32">
        <f t="shared" si="606"/>
        <v>0.25051010421048225</v>
      </c>
      <c r="EB149" s="32">
        <f t="shared" si="607"/>
        <v>0.36137058270830719</v>
      </c>
      <c r="EC149" s="32">
        <f t="shared" si="608"/>
        <v>0.47491093490805336</v>
      </c>
      <c r="ED149" s="32">
        <f t="shared" si="609"/>
        <v>0.57182270014949643</v>
      </c>
      <c r="EE149" s="32">
        <f t="shared" si="610"/>
        <v>0.67621128980274126</v>
      </c>
      <c r="EF149" s="32">
        <f t="shared" si="611"/>
        <v>0.7501619468768721</v>
      </c>
      <c r="EG149" s="32">
        <f t="shared" si="612"/>
        <v>0.84331497404297706</v>
      </c>
      <c r="EH149" s="32">
        <f t="shared" si="613"/>
        <v>0.91971679895552805</v>
      </c>
      <c r="EI149" s="32">
        <f t="shared" si="614"/>
        <v>1</v>
      </c>
      <c r="EK149" s="32">
        <f t="shared" si="697"/>
        <v>5.7061578289737548E-2</v>
      </c>
      <c r="EL149" s="32">
        <f t="shared" si="615"/>
        <v>0.12967553328017598</v>
      </c>
      <c r="EM149" s="32">
        <f t="shared" si="616"/>
        <v>0.21121611734574378</v>
      </c>
      <c r="EN149" s="32">
        <f t="shared" si="617"/>
        <v>0.2895773819162572</v>
      </c>
      <c r="EO149" s="32">
        <f t="shared" si="618"/>
        <v>0.39341092607146672</v>
      </c>
      <c r="EP149" s="32">
        <f t="shared" si="619"/>
        <v>0.48610381940058173</v>
      </c>
      <c r="EQ149" s="32">
        <f t="shared" si="620"/>
        <v>0.58002193181113759</v>
      </c>
      <c r="ER149" s="32">
        <f t="shared" si="621"/>
        <v>0.67686799383516238</v>
      </c>
      <c r="ES149" s="32">
        <f t="shared" si="622"/>
        <v>0.75487009235426183</v>
      </c>
      <c r="ET149" s="32">
        <f t="shared" si="623"/>
        <v>0.84754528078996094</v>
      </c>
      <c r="EU149" s="32">
        <f t="shared" si="624"/>
        <v>0.92771454994426839</v>
      </c>
      <c r="EV149" s="32">
        <f t="shared" si="625"/>
        <v>1</v>
      </c>
      <c r="EX149" s="32">
        <f t="shared" si="626"/>
        <v>5.7718262642102086E-2</v>
      </c>
      <c r="EY149" s="32">
        <f t="shared" si="627"/>
        <v>0.1305939760906841</v>
      </c>
      <c r="EZ149" s="32">
        <f t="shared" si="628"/>
        <v>0.2111367271805209</v>
      </c>
      <c r="FA149" s="32">
        <f t="shared" si="629"/>
        <v>0.28016837053243265</v>
      </c>
      <c r="FB149" s="32">
        <f t="shared" si="630"/>
        <v>0.37656678316958275</v>
      </c>
      <c r="FC149" s="32">
        <f t="shared" si="631"/>
        <v>0.46676985398695703</v>
      </c>
      <c r="FD149" s="32">
        <f t="shared" si="632"/>
        <v>0.56329220486489961</v>
      </c>
      <c r="FE149" s="32">
        <f t="shared" si="633"/>
        <v>0.66249655087039794</v>
      </c>
      <c r="FF149" s="32">
        <f t="shared" si="634"/>
        <v>0.74313962433262226</v>
      </c>
      <c r="FG149" s="32">
        <f t="shared" si="635"/>
        <v>0.83781172005200943</v>
      </c>
      <c r="FH149" s="32">
        <f t="shared" si="636"/>
        <v>0.9224023287629195</v>
      </c>
      <c r="FI149" s="32">
        <f t="shared" si="637"/>
        <v>1</v>
      </c>
      <c r="FK149" s="32">
        <f t="shared" si="698"/>
        <v>5.8920959175886099E-2</v>
      </c>
      <c r="FL149" s="32">
        <f t="shared" si="638"/>
        <v>0.13514420640959987</v>
      </c>
      <c r="FM149" s="32">
        <f t="shared" si="639"/>
        <v>0.21912208340314551</v>
      </c>
      <c r="FN149" s="32">
        <f t="shared" si="640"/>
        <v>0.2900544593064161</v>
      </c>
      <c r="FO149" s="32">
        <f t="shared" si="641"/>
        <v>0.38163218332334131</v>
      </c>
      <c r="FP149" s="32">
        <f t="shared" si="642"/>
        <v>0.46405616034659158</v>
      </c>
      <c r="FQ149" s="32">
        <f t="shared" si="643"/>
        <v>0.56044870643670075</v>
      </c>
      <c r="FR149" s="32">
        <f t="shared" si="644"/>
        <v>0.65792497122628346</v>
      </c>
      <c r="FS149" s="32">
        <f t="shared" si="645"/>
        <v>0.74079885015120561</v>
      </c>
      <c r="FT149" s="32">
        <f t="shared" si="646"/>
        <v>0.8359773020550203</v>
      </c>
      <c r="FU149" s="32">
        <f t="shared" si="647"/>
        <v>0.92329750536538313</v>
      </c>
      <c r="FV149" s="32">
        <f t="shared" si="648"/>
        <v>1</v>
      </c>
      <c r="FX149" s="32">
        <f t="shared" si="649"/>
        <v>5.434848630139464E-2</v>
      </c>
      <c r="FY149" s="32">
        <f t="shared" si="650"/>
        <v>0.12794253574708178</v>
      </c>
      <c r="FZ149" s="32">
        <f t="shared" si="651"/>
        <v>0.20853074142485739</v>
      </c>
      <c r="GA149" s="32">
        <f t="shared" si="652"/>
        <v>0.27436382348424943</v>
      </c>
      <c r="GB149" s="32">
        <f t="shared" si="653"/>
        <v>0.36085334055814461</v>
      </c>
      <c r="GC149" s="32">
        <f t="shared" si="654"/>
        <v>0.44899326548655988</v>
      </c>
      <c r="GD149" s="32">
        <f t="shared" si="655"/>
        <v>0.55413024082269191</v>
      </c>
      <c r="GE149" s="32">
        <f t="shared" si="656"/>
        <v>0.65067107962659831</v>
      </c>
      <c r="GF149" s="32">
        <f t="shared" si="657"/>
        <v>0.73896564341227089</v>
      </c>
      <c r="GG149" s="32">
        <f t="shared" si="658"/>
        <v>0.83559639325541202</v>
      </c>
      <c r="GH149" s="32">
        <f t="shared" si="659"/>
        <v>0.92197348641132848</v>
      </c>
      <c r="GI149" s="32">
        <f t="shared" si="660"/>
        <v>1</v>
      </c>
    </row>
    <row r="150" spans="1:191">
      <c r="A150" s="724" t="s">
        <v>224</v>
      </c>
      <c r="N150" s="401">
        <f t="shared" si="588"/>
        <v>0</v>
      </c>
      <c r="P150" s="396" t="s">
        <v>224</v>
      </c>
      <c r="AC150" s="401">
        <f t="shared" si="589"/>
        <v>0</v>
      </c>
      <c r="AE150" s="127" t="s">
        <v>224</v>
      </c>
      <c r="AR150" s="41">
        <f t="shared" si="590"/>
        <v>0</v>
      </c>
      <c r="AT150" s="118" t="s">
        <v>224</v>
      </c>
      <c r="BG150" s="41">
        <f t="shared" si="699"/>
        <v>0</v>
      </c>
      <c r="BV150" s="41">
        <f t="shared" si="700"/>
        <v>0</v>
      </c>
      <c r="BW150" s="406"/>
      <c r="BX150" s="39">
        <f>AVERAGE(BX123:BX149)</f>
        <v>5.7592232902312232E-2</v>
      </c>
      <c r="BY150" s="39">
        <f t="shared" ref="BY150:CI150" si="701">AVERAGE(BY123:BY149)</f>
        <v>0.12817225456601944</v>
      </c>
      <c r="BZ150" s="39">
        <f t="shared" si="701"/>
        <v>0.2130081108566203</v>
      </c>
      <c r="CA150" s="39">
        <f t="shared" si="701"/>
        <v>0.28970328638610282</v>
      </c>
      <c r="CB150" s="39">
        <f t="shared" si="701"/>
        <v>0.37426031981395952</v>
      </c>
      <c r="CC150" s="39">
        <f t="shared" si="701"/>
        <v>0.46244256108094706</v>
      </c>
      <c r="CD150" s="39">
        <f t="shared" si="701"/>
        <v>0.55859637299601927</v>
      </c>
      <c r="CE150" s="39">
        <f t="shared" si="701"/>
        <v>0.65372897545927366</v>
      </c>
      <c r="CF150" s="39">
        <f t="shared" si="701"/>
        <v>0.74625097403473428</v>
      </c>
      <c r="CG150" s="39">
        <f t="shared" si="701"/>
        <v>0.83328955685325468</v>
      </c>
      <c r="CH150" s="39">
        <f t="shared" si="701"/>
        <v>0.91857987996988277</v>
      </c>
      <c r="CI150" s="39">
        <f t="shared" si="701"/>
        <v>1</v>
      </c>
      <c r="CJ150" s="406"/>
      <c r="CK150" s="39">
        <f>AVERAGE(CK123:CK149)</f>
        <v>7.5262454765282955E-2</v>
      </c>
      <c r="CL150" s="39">
        <f t="shared" ref="CL150:CV150" si="702">AVERAGE(CL123:CL149)</f>
        <v>0.15264833454542787</v>
      </c>
      <c r="CM150" s="39">
        <f t="shared" si="702"/>
        <v>0.22967465125490505</v>
      </c>
      <c r="CN150" s="39">
        <f t="shared" si="702"/>
        <v>0.2751714976109132</v>
      </c>
      <c r="CO150" s="39">
        <f t="shared" si="702"/>
        <v>0.33145728889259385</v>
      </c>
      <c r="CP150" s="39">
        <f t="shared" si="702"/>
        <v>0.40409704336938318</v>
      </c>
      <c r="CQ150" s="39">
        <f t="shared" si="702"/>
        <v>0.49715815574716338</v>
      </c>
      <c r="CR150" s="39">
        <f t="shared" si="702"/>
        <v>0.59843690255345217</v>
      </c>
      <c r="CS150" s="39">
        <f t="shared" si="702"/>
        <v>0.69711435868457139</v>
      </c>
      <c r="CT150" s="39">
        <f t="shared" si="702"/>
        <v>0.80634188957404929</v>
      </c>
      <c r="CU150" s="39">
        <f t="shared" si="702"/>
        <v>0.90478545806113686</v>
      </c>
      <c r="CV150" s="39">
        <f t="shared" si="702"/>
        <v>1</v>
      </c>
      <c r="CX150" s="39">
        <f>AVERAGE(CX123:CX149)</f>
        <v>6.0010909331618484E-2</v>
      </c>
      <c r="CY150" s="39">
        <f t="shared" ref="CY150:DI150" si="703">AVERAGE(CY123:CY149)</f>
        <v>0.13499598041000599</v>
      </c>
      <c r="CZ150" s="39">
        <f t="shared" si="703"/>
        <v>0.20646347197829171</v>
      </c>
      <c r="DA150" s="39">
        <f t="shared" si="703"/>
        <v>0.29267759942528504</v>
      </c>
      <c r="DB150" s="39">
        <f t="shared" si="703"/>
        <v>0.38588114922185568</v>
      </c>
      <c r="DC150" s="39">
        <f t="shared" si="703"/>
        <v>0.46301573836136584</v>
      </c>
      <c r="DD150" s="39">
        <f t="shared" si="703"/>
        <v>0.56000367474496016</v>
      </c>
      <c r="DE150" s="39">
        <f t="shared" si="703"/>
        <v>0.65242760370601138</v>
      </c>
      <c r="DF150" s="39">
        <f t="shared" si="703"/>
        <v>0.74184489461150349</v>
      </c>
      <c r="DG150" s="39">
        <f t="shared" si="703"/>
        <v>0.83888479011646433</v>
      </c>
      <c r="DH150" s="39">
        <f t="shared" si="703"/>
        <v>0.92364950356259368</v>
      </c>
      <c r="DI150" s="39">
        <f t="shared" si="703"/>
        <v>1</v>
      </c>
      <c r="DK150" s="39">
        <f>AVERAGE(DK123:DK149)</f>
        <v>6.5726381895400907E-2</v>
      </c>
      <c r="DL150" s="39">
        <f t="shared" ref="DL150" si="704">AVERAGE(DL123:DL149)</f>
        <v>0.13101722831729928</v>
      </c>
      <c r="DM150" s="39">
        <f t="shared" ref="DM150" si="705">AVERAGE(DM123:DM149)</f>
        <v>0.21617125918967822</v>
      </c>
      <c r="DN150" s="39">
        <f t="shared" ref="DN150" si="706">AVERAGE(DN123:DN149)</f>
        <v>0.30145684786594401</v>
      </c>
      <c r="DO150" s="39">
        <f t="shared" ref="DO150" si="707">AVERAGE(DO123:DO149)</f>
        <v>0.39064567476251794</v>
      </c>
      <c r="DP150" s="39">
        <f t="shared" ref="DP150" si="708">AVERAGE(DP123:DP149)</f>
        <v>0.47584325115321496</v>
      </c>
      <c r="DQ150" s="39">
        <f t="shared" ref="DQ150" si="709">AVERAGE(DQ123:DQ149)</f>
        <v>0.56412628213885552</v>
      </c>
      <c r="DR150" s="39">
        <f t="shared" ref="DR150" si="710">AVERAGE(DR123:DR149)</f>
        <v>0.66196257955551874</v>
      </c>
      <c r="DS150" s="39">
        <f t="shared" ref="DS150" si="711">AVERAGE(DS123:DS149)</f>
        <v>0.74420357395501879</v>
      </c>
      <c r="DT150" s="39">
        <f t="shared" ref="DT150" si="712">AVERAGE(DT123:DT149)</f>
        <v>0.83969624418364586</v>
      </c>
      <c r="DU150" s="39">
        <f t="shared" ref="DU150" si="713">AVERAGE(DU123:DU149)</f>
        <v>0.92301779039354337</v>
      </c>
      <c r="DV150" s="39">
        <f t="shared" ref="DV150" si="714">AVERAGE(DV123:DV149)</f>
        <v>1</v>
      </c>
      <c r="DW150" s="39"/>
      <c r="DX150" s="39">
        <f>AVERAGE(DX123:DX149)</f>
        <v>6.1813100194929811E-2</v>
      </c>
      <c r="DY150" s="39">
        <f t="shared" ref="DY150" si="715">AVERAGE(DY123:DY149)</f>
        <v>0.12800220821805799</v>
      </c>
      <c r="DZ150" s="39">
        <f t="shared" ref="DZ150" si="716">AVERAGE(DZ123:DZ149)</f>
        <v>0.21450643518352239</v>
      </c>
      <c r="EA150" s="39">
        <f t="shared" ref="EA150" si="717">AVERAGE(EA123:EA149)</f>
        <v>0.28782448789416593</v>
      </c>
      <c r="EB150" s="39">
        <f t="shared" ref="EB150" si="718">AVERAGE(EB123:EB149)</f>
        <v>0.38205550169489189</v>
      </c>
      <c r="EC150" s="39">
        <f t="shared" ref="EC150" si="719">AVERAGE(EC123:EC149)</f>
        <v>0.47703815718660147</v>
      </c>
      <c r="ED150" s="39">
        <f t="shared" ref="ED150" si="720">AVERAGE(ED123:ED149)</f>
        <v>0.56102945507405366</v>
      </c>
      <c r="EE150" s="39">
        <f t="shared" ref="EE150" si="721">AVERAGE(EE123:EE149)</f>
        <v>0.6609693333191603</v>
      </c>
      <c r="EF150" s="39">
        <f t="shared" ref="EF150" si="722">AVERAGE(EF123:EF149)</f>
        <v>0.74745483053768469</v>
      </c>
      <c r="EG150" s="39">
        <f t="shared" ref="EG150" si="723">AVERAGE(EG123:EG149)</f>
        <v>0.83832635108304732</v>
      </c>
      <c r="EH150" s="39">
        <f t="shared" ref="EH150" si="724">AVERAGE(EH123:EH149)</f>
        <v>0.92258767628240179</v>
      </c>
      <c r="EI150" s="39">
        <f t="shared" ref="EI150" si="725">AVERAGE(EI123:EI149)</f>
        <v>1</v>
      </c>
      <c r="EK150" s="39">
        <f>AVERAGE(EK123:EK149)</f>
        <v>6.2516797140649741E-2</v>
      </c>
      <c r="EL150" s="39">
        <f t="shared" ref="EL150" si="726">AVERAGE(EL123:EL149)</f>
        <v>0.13133847231512108</v>
      </c>
      <c r="EM150" s="39">
        <f t="shared" ref="EM150" si="727">AVERAGE(EM123:EM149)</f>
        <v>0.21238038878383081</v>
      </c>
      <c r="EN150" s="39">
        <f t="shared" ref="EN150" si="728">AVERAGE(EN123:EN149)</f>
        <v>0.2939863117284649</v>
      </c>
      <c r="EO150" s="39">
        <f t="shared" ref="EO150" si="729">AVERAGE(EO123:EO149)</f>
        <v>0.38619410855975511</v>
      </c>
      <c r="EP150" s="39">
        <f t="shared" ref="EP150" si="730">AVERAGE(EP123:EP149)</f>
        <v>0.47196571556706074</v>
      </c>
      <c r="EQ150" s="39">
        <f t="shared" ref="EQ150" si="731">AVERAGE(EQ123:EQ149)</f>
        <v>0.56171980398595645</v>
      </c>
      <c r="ER150" s="39">
        <f t="shared" ref="ER150" si="732">AVERAGE(ER123:ER149)</f>
        <v>0.65845317219356347</v>
      </c>
      <c r="ES150" s="39">
        <f t="shared" ref="ES150" si="733">AVERAGE(ES123:ES149)</f>
        <v>0.74450109970140232</v>
      </c>
      <c r="ET150" s="39">
        <f t="shared" ref="ET150" si="734">AVERAGE(ET123:ET149)</f>
        <v>0.83896912846105254</v>
      </c>
      <c r="EU150" s="39">
        <f t="shared" ref="EU150" si="735">AVERAGE(EU123:EU149)</f>
        <v>0.92308499007951295</v>
      </c>
      <c r="EV150" s="39">
        <f t="shared" ref="EV150" si="736">AVERAGE(EV123:EV149)</f>
        <v>1</v>
      </c>
      <c r="EX150" s="32">
        <f t="shared" si="626"/>
        <v>6.5703211546808041E-2</v>
      </c>
      <c r="EY150" s="32">
        <f t="shared" si="627"/>
        <v>0.13666593787269779</v>
      </c>
      <c r="EZ150" s="32">
        <f t="shared" si="628"/>
        <v>0.21670395440159934</v>
      </c>
      <c r="FA150" s="32">
        <f t="shared" si="629"/>
        <v>0.28928260819907703</v>
      </c>
      <c r="FB150" s="32">
        <f t="shared" si="630"/>
        <v>0.37250990364296488</v>
      </c>
      <c r="FC150" s="32">
        <f t="shared" si="631"/>
        <v>0.45499854751764135</v>
      </c>
      <c r="FD150" s="32">
        <f t="shared" si="632"/>
        <v>0.54557939192625815</v>
      </c>
      <c r="FE150" s="32">
        <f t="shared" si="633"/>
        <v>0.64344910478353556</v>
      </c>
      <c r="FF150" s="32">
        <f t="shared" si="634"/>
        <v>0.73265441444719459</v>
      </c>
      <c r="FG150" s="32">
        <f t="shared" si="635"/>
        <v>0.83081231873930173</v>
      </c>
      <c r="FH150" s="32">
        <f t="shared" si="636"/>
        <v>0.91851010707491898</v>
      </c>
      <c r="FI150" s="32">
        <f t="shared" si="637"/>
        <v>1</v>
      </c>
      <c r="FK150" s="32">
        <f t="shared" si="698"/>
        <v>6.6999915330767448E-2</v>
      </c>
      <c r="FL150" s="32">
        <f t="shared" si="638"/>
        <v>0.1395538477575777</v>
      </c>
      <c r="FM150" s="32">
        <f t="shared" si="639"/>
        <v>0.21743646080762499</v>
      </c>
      <c r="FN150" s="32">
        <f t="shared" si="640"/>
        <v>0.28976864830071408</v>
      </c>
      <c r="FO150" s="32">
        <f t="shared" si="641"/>
        <v>0.3693280376256558</v>
      </c>
      <c r="FP150" s="32">
        <f t="shared" si="642"/>
        <v>0.44765201096132134</v>
      </c>
      <c r="FQ150" s="32">
        <f t="shared" si="643"/>
        <v>0.54042937087699305</v>
      </c>
      <c r="FR150" s="32">
        <f t="shared" si="644"/>
        <v>0.63760902860499413</v>
      </c>
      <c r="FS150" s="32">
        <f t="shared" si="645"/>
        <v>0.72772094241703122</v>
      </c>
      <c r="FT150" s="32">
        <f t="shared" si="646"/>
        <v>0.82830764129138645</v>
      </c>
      <c r="FU150" s="32">
        <f t="shared" si="647"/>
        <v>0.91715091733909127</v>
      </c>
      <c r="FV150" s="32">
        <f t="shared" si="648"/>
        <v>1</v>
      </c>
      <c r="FX150" s="32">
        <f t="shared" si="649"/>
        <v>6.4288532333071233E-2</v>
      </c>
      <c r="FY150" s="32">
        <f t="shared" si="650"/>
        <v>0.13860552317381777</v>
      </c>
      <c r="FZ150" s="32">
        <f t="shared" si="651"/>
        <v>0.21638207802993903</v>
      </c>
      <c r="GA150" s="32">
        <f t="shared" si="652"/>
        <v>0.28585079447410039</v>
      </c>
      <c r="GB150" s="32">
        <f t="shared" si="653"/>
        <v>0.36386625264280298</v>
      </c>
      <c r="GC150" s="32">
        <f t="shared" si="654"/>
        <v>0.44318511427056534</v>
      </c>
      <c r="GD150" s="32">
        <f t="shared" si="655"/>
        <v>0.5385860678293809</v>
      </c>
      <c r="GE150" s="32">
        <f t="shared" si="656"/>
        <v>0.63486449390624577</v>
      </c>
      <c r="GF150" s="32">
        <f t="shared" si="657"/>
        <v>0.72840340911026968</v>
      </c>
      <c r="GG150" s="32">
        <f t="shared" si="658"/>
        <v>0.82617207884792287</v>
      </c>
      <c r="GH150" s="32">
        <f t="shared" si="659"/>
        <v>0.91567161386453788</v>
      </c>
      <c r="GI150" s="32">
        <f t="shared" si="660"/>
        <v>1</v>
      </c>
    </row>
    <row r="151" spans="1:191">
      <c r="B151" s="975" t="s">
        <v>571</v>
      </c>
      <c r="C151" s="975"/>
      <c r="D151" s="975"/>
      <c r="E151" s="975"/>
      <c r="F151" s="975"/>
      <c r="G151" s="975"/>
      <c r="H151" s="975"/>
      <c r="I151" s="975"/>
      <c r="J151" s="975"/>
      <c r="K151" s="975"/>
      <c r="L151" s="975"/>
      <c r="M151" s="975"/>
      <c r="N151" s="975">
        <f t="shared" si="588"/>
        <v>0</v>
      </c>
      <c r="Q151" s="975" t="s">
        <v>410</v>
      </c>
      <c r="R151" s="975"/>
      <c r="S151" s="975"/>
      <c r="T151" s="975"/>
      <c r="U151" s="975"/>
      <c r="V151" s="975"/>
      <c r="W151" s="975"/>
      <c r="X151" s="975"/>
      <c r="Y151" s="975"/>
      <c r="Z151" s="975"/>
      <c r="AA151" s="975"/>
      <c r="AB151" s="975"/>
      <c r="AC151" s="975">
        <f t="shared" si="589"/>
        <v>0</v>
      </c>
      <c r="AF151" s="976" t="s">
        <v>278</v>
      </c>
      <c r="AG151" s="976"/>
      <c r="AH151" s="976"/>
      <c r="AI151" s="976"/>
      <c r="AJ151" s="976"/>
      <c r="AK151" s="976"/>
      <c r="AL151" s="976"/>
      <c r="AM151" s="976"/>
      <c r="AN151" s="976"/>
      <c r="AO151" s="976"/>
      <c r="AP151" s="976"/>
      <c r="AQ151" s="976"/>
      <c r="AR151" s="976">
        <f t="shared" si="590"/>
        <v>0</v>
      </c>
      <c r="AU151" s="976" t="s">
        <v>164</v>
      </c>
      <c r="AV151" s="976"/>
      <c r="AW151" s="976"/>
      <c r="AX151" s="976"/>
      <c r="AY151" s="976"/>
      <c r="AZ151" s="976"/>
      <c r="BA151" s="976"/>
      <c r="BB151" s="976"/>
      <c r="BC151" s="976"/>
      <c r="BD151" s="976"/>
      <c r="BE151" s="976"/>
      <c r="BF151" s="976"/>
      <c r="BG151" s="976">
        <f t="shared" si="699"/>
        <v>0</v>
      </c>
      <c r="BJ151" s="976" t="s">
        <v>165</v>
      </c>
      <c r="BK151" s="976"/>
      <c r="BL151" s="976"/>
      <c r="BM151" s="976"/>
      <c r="BN151" s="976"/>
      <c r="BO151" s="976"/>
      <c r="BP151" s="976"/>
      <c r="BQ151" s="976"/>
      <c r="BR151" s="976"/>
      <c r="BS151" s="976"/>
      <c r="BT151" s="976"/>
      <c r="BU151" s="976"/>
      <c r="BV151" s="976">
        <f t="shared" si="700"/>
        <v>0</v>
      </c>
      <c r="BW151" s="403"/>
      <c r="BX151" s="973" t="s">
        <v>578</v>
      </c>
      <c r="BY151" s="973"/>
      <c r="BZ151" s="973"/>
      <c r="CA151" s="973"/>
      <c r="CB151" s="973"/>
      <c r="CC151" s="973"/>
      <c r="CD151" s="973"/>
      <c r="CE151" s="973"/>
      <c r="CF151" s="973"/>
      <c r="CG151" s="973"/>
      <c r="CH151" s="973"/>
      <c r="CI151" s="973"/>
      <c r="CJ151" s="403"/>
      <c r="CK151" s="973" t="s">
        <v>411</v>
      </c>
      <c r="CL151" s="973"/>
      <c r="CM151" s="973"/>
      <c r="CN151" s="973"/>
      <c r="CO151" s="973"/>
      <c r="CP151" s="973"/>
      <c r="CQ151" s="973"/>
      <c r="CR151" s="973"/>
      <c r="CS151" s="973"/>
      <c r="CT151" s="973"/>
      <c r="CU151" s="973"/>
      <c r="CV151" s="973"/>
      <c r="CX151" s="973" t="s">
        <v>294</v>
      </c>
      <c r="CY151" s="973"/>
      <c r="CZ151" s="973"/>
      <c r="DA151" s="973"/>
      <c r="DB151" s="973"/>
      <c r="DC151" s="973"/>
      <c r="DD151" s="973"/>
      <c r="DE151" s="973"/>
      <c r="DF151" s="973"/>
      <c r="DG151" s="973"/>
      <c r="DH151" s="973"/>
      <c r="DI151" s="973"/>
      <c r="DK151" s="973" t="s">
        <v>134</v>
      </c>
      <c r="DL151" s="973"/>
      <c r="DM151" s="973"/>
      <c r="DN151" s="973"/>
      <c r="DO151" s="973"/>
      <c r="DP151" s="973"/>
      <c r="DQ151" s="973"/>
      <c r="DR151" s="973"/>
      <c r="DS151" s="973"/>
      <c r="DT151" s="973"/>
      <c r="DU151" s="973"/>
      <c r="DV151" s="973"/>
      <c r="DW151" s="39"/>
      <c r="DX151" s="973" t="s">
        <v>135</v>
      </c>
      <c r="DY151" s="973"/>
      <c r="DZ151" s="973"/>
      <c r="EA151" s="973"/>
      <c r="EB151" s="973"/>
      <c r="EC151" s="973"/>
      <c r="ED151" s="973"/>
      <c r="EE151" s="973"/>
      <c r="EF151" s="973"/>
      <c r="EG151" s="973"/>
      <c r="EH151" s="973"/>
      <c r="EI151" s="973"/>
      <c r="EK151" s="973" t="s">
        <v>300</v>
      </c>
      <c r="EL151" s="973"/>
      <c r="EM151" s="973"/>
      <c r="EN151" s="973"/>
      <c r="EO151" s="973"/>
      <c r="EP151" s="973"/>
      <c r="EQ151" s="973"/>
      <c r="ER151" s="973"/>
      <c r="ES151" s="973"/>
      <c r="ET151" s="973"/>
      <c r="EU151" s="973"/>
      <c r="EV151" s="973"/>
      <c r="EX151" s="973" t="s">
        <v>428</v>
      </c>
      <c r="EY151" s="973"/>
      <c r="EZ151" s="973"/>
      <c r="FA151" s="973"/>
      <c r="FB151" s="973"/>
      <c r="FC151" s="973"/>
      <c r="FD151" s="973"/>
      <c r="FE151" s="973"/>
      <c r="FF151" s="973"/>
      <c r="FG151" s="973"/>
      <c r="FH151" s="973"/>
      <c r="FI151" s="973"/>
      <c r="FK151" s="973" t="s">
        <v>433</v>
      </c>
      <c r="FL151" s="973"/>
      <c r="FM151" s="973"/>
      <c r="FN151" s="973"/>
      <c r="FO151" s="973"/>
      <c r="FP151" s="973"/>
      <c r="FQ151" s="973"/>
      <c r="FR151" s="973"/>
      <c r="FS151" s="973"/>
      <c r="FT151" s="973"/>
      <c r="FU151" s="973"/>
      <c r="FV151" s="973"/>
      <c r="FX151" s="973" t="s">
        <v>580</v>
      </c>
      <c r="FY151" s="973"/>
      <c r="FZ151" s="973"/>
      <c r="GA151" s="973"/>
      <c r="GB151" s="973"/>
      <c r="GC151" s="973"/>
      <c r="GD151" s="973"/>
      <c r="GE151" s="973"/>
      <c r="GF151" s="973"/>
      <c r="GG151" s="973"/>
      <c r="GH151" s="973"/>
      <c r="GI151" s="973"/>
    </row>
    <row r="152" spans="1:191">
      <c r="B152" s="398" t="s">
        <v>120</v>
      </c>
      <c r="C152" s="398" t="s">
        <v>136</v>
      </c>
      <c r="D152" s="398" t="s">
        <v>137</v>
      </c>
      <c r="E152" s="398" t="s">
        <v>138</v>
      </c>
      <c r="F152" s="398" t="s">
        <v>139</v>
      </c>
      <c r="G152" s="398" t="s">
        <v>140</v>
      </c>
      <c r="H152" s="398" t="s">
        <v>141</v>
      </c>
      <c r="I152" s="398" t="s">
        <v>142</v>
      </c>
      <c r="J152" s="398" t="s">
        <v>143</v>
      </c>
      <c r="K152" s="398" t="s">
        <v>144</v>
      </c>
      <c r="L152" s="398" t="s">
        <v>145</v>
      </c>
      <c r="M152" s="398" t="s">
        <v>146</v>
      </c>
      <c r="N152" s="398" t="s">
        <v>118</v>
      </c>
      <c r="Q152" s="398" t="s">
        <v>120</v>
      </c>
      <c r="R152" s="398" t="s">
        <v>136</v>
      </c>
      <c r="S152" s="398" t="s">
        <v>137</v>
      </c>
      <c r="T152" s="398" t="s">
        <v>138</v>
      </c>
      <c r="U152" s="398" t="s">
        <v>139</v>
      </c>
      <c r="V152" s="398" t="s">
        <v>140</v>
      </c>
      <c r="W152" s="398" t="s">
        <v>141</v>
      </c>
      <c r="X152" s="398" t="s">
        <v>142</v>
      </c>
      <c r="Y152" s="398" t="s">
        <v>143</v>
      </c>
      <c r="Z152" s="398" t="s">
        <v>144</v>
      </c>
      <c r="AA152" s="398" t="s">
        <v>145</v>
      </c>
      <c r="AB152" s="398" t="s">
        <v>146</v>
      </c>
      <c r="AC152" s="398" t="s">
        <v>118</v>
      </c>
      <c r="AF152" s="127" t="s">
        <v>120</v>
      </c>
      <c r="AG152" s="127" t="s">
        <v>136</v>
      </c>
      <c r="AH152" s="127" t="s">
        <v>137</v>
      </c>
      <c r="AI152" s="127" t="s">
        <v>138</v>
      </c>
      <c r="AJ152" s="127" t="s">
        <v>139</v>
      </c>
      <c r="AK152" s="127" t="s">
        <v>140</v>
      </c>
      <c r="AL152" s="127" t="s">
        <v>141</v>
      </c>
      <c r="AM152" s="127" t="s">
        <v>142</v>
      </c>
      <c r="AN152" s="127" t="s">
        <v>143</v>
      </c>
      <c r="AO152" s="127" t="s">
        <v>144</v>
      </c>
      <c r="AP152" s="127" t="s">
        <v>145</v>
      </c>
      <c r="AQ152" s="127" t="s">
        <v>146</v>
      </c>
      <c r="AR152" s="127" t="s">
        <v>118</v>
      </c>
      <c r="AU152" s="60" t="s">
        <v>120</v>
      </c>
      <c r="AV152" s="60" t="s">
        <v>136</v>
      </c>
      <c r="AW152" s="60" t="s">
        <v>137</v>
      </c>
      <c r="AX152" s="60" t="s">
        <v>138</v>
      </c>
      <c r="AY152" s="60" t="s">
        <v>139</v>
      </c>
      <c r="AZ152" s="60" t="s">
        <v>140</v>
      </c>
      <c r="BA152" s="60" t="s">
        <v>141</v>
      </c>
      <c r="BB152" s="60" t="s">
        <v>142</v>
      </c>
      <c r="BC152" s="60" t="s">
        <v>143</v>
      </c>
      <c r="BD152" s="60" t="s">
        <v>144</v>
      </c>
      <c r="BE152" s="60" t="s">
        <v>145</v>
      </c>
      <c r="BF152" s="60" t="s">
        <v>146</v>
      </c>
      <c r="BG152" s="60" t="s">
        <v>118</v>
      </c>
      <c r="BJ152" s="60" t="s">
        <v>120</v>
      </c>
      <c r="BK152" s="60" t="s">
        <v>136</v>
      </c>
      <c r="BL152" s="60" t="s">
        <v>137</v>
      </c>
      <c r="BM152" s="60" t="s">
        <v>138</v>
      </c>
      <c r="BN152" s="60" t="s">
        <v>139</v>
      </c>
      <c r="BO152" s="60" t="s">
        <v>140</v>
      </c>
      <c r="BP152" s="60" t="s">
        <v>141</v>
      </c>
      <c r="BQ152" s="60" t="s">
        <v>142</v>
      </c>
      <c r="BR152" s="60" t="s">
        <v>143</v>
      </c>
      <c r="BS152" s="60" t="s">
        <v>144</v>
      </c>
      <c r="BT152" s="60" t="s">
        <v>145</v>
      </c>
      <c r="BU152" s="60" t="s">
        <v>146</v>
      </c>
      <c r="BV152" s="60">
        <f t="shared" si="700"/>
        <v>0</v>
      </c>
      <c r="BW152" s="404"/>
      <c r="BX152" s="731" t="s">
        <v>147</v>
      </c>
      <c r="BY152" s="731" t="s">
        <v>148</v>
      </c>
      <c r="BZ152" s="731" t="s">
        <v>149</v>
      </c>
      <c r="CA152" s="731" t="s">
        <v>150</v>
      </c>
      <c r="CB152" s="731" t="s">
        <v>151</v>
      </c>
      <c r="CC152" s="731" t="s">
        <v>152</v>
      </c>
      <c r="CD152" s="731" t="s">
        <v>153</v>
      </c>
      <c r="CE152" s="731" t="s">
        <v>154</v>
      </c>
      <c r="CF152" s="731" t="s">
        <v>155</v>
      </c>
      <c r="CG152" s="731" t="s">
        <v>156</v>
      </c>
      <c r="CH152" s="731" t="s">
        <v>157</v>
      </c>
      <c r="CI152" s="731" t="s">
        <v>158</v>
      </c>
      <c r="CJ152" s="404"/>
      <c r="CK152" s="396" t="s">
        <v>147</v>
      </c>
      <c r="CL152" s="396" t="s">
        <v>148</v>
      </c>
      <c r="CM152" s="396" t="s">
        <v>149</v>
      </c>
      <c r="CN152" s="396" t="s">
        <v>150</v>
      </c>
      <c r="CO152" s="396" t="s">
        <v>151</v>
      </c>
      <c r="CP152" s="396" t="s">
        <v>152</v>
      </c>
      <c r="CQ152" s="396" t="s">
        <v>153</v>
      </c>
      <c r="CR152" s="396" t="s">
        <v>154</v>
      </c>
      <c r="CS152" s="396" t="s">
        <v>155</v>
      </c>
      <c r="CT152" s="396" t="s">
        <v>156</v>
      </c>
      <c r="CU152" s="396" t="s">
        <v>157</v>
      </c>
      <c r="CV152" s="396" t="s">
        <v>158</v>
      </c>
      <c r="CX152" s="129" t="s">
        <v>147</v>
      </c>
      <c r="CY152" s="129" t="s">
        <v>148</v>
      </c>
      <c r="CZ152" s="129" t="s">
        <v>149</v>
      </c>
      <c r="DA152" s="129" t="s">
        <v>150</v>
      </c>
      <c r="DB152" s="129" t="s">
        <v>151</v>
      </c>
      <c r="DC152" s="129" t="s">
        <v>152</v>
      </c>
      <c r="DD152" s="129" t="s">
        <v>153</v>
      </c>
      <c r="DE152" s="129" t="s">
        <v>154</v>
      </c>
      <c r="DF152" s="129" t="s">
        <v>155</v>
      </c>
      <c r="DG152" s="129" t="s">
        <v>156</v>
      </c>
      <c r="DH152" s="129" t="s">
        <v>157</v>
      </c>
      <c r="DI152" s="129" t="s">
        <v>158</v>
      </c>
      <c r="DK152" s="60" t="s">
        <v>147</v>
      </c>
      <c r="DL152" s="60" t="s">
        <v>148</v>
      </c>
      <c r="DM152" s="60" t="s">
        <v>149</v>
      </c>
      <c r="DN152" s="60" t="s">
        <v>150</v>
      </c>
      <c r="DO152" s="60" t="s">
        <v>151</v>
      </c>
      <c r="DP152" s="60" t="s">
        <v>152</v>
      </c>
      <c r="DQ152" s="60" t="s">
        <v>153</v>
      </c>
      <c r="DR152" s="60" t="s">
        <v>154</v>
      </c>
      <c r="DS152" s="60" t="s">
        <v>155</v>
      </c>
      <c r="DT152" s="60" t="s">
        <v>156</v>
      </c>
      <c r="DU152" s="60" t="s">
        <v>157</v>
      </c>
      <c r="DV152" s="60" t="s">
        <v>158</v>
      </c>
      <c r="DW152" s="39"/>
      <c r="DX152" s="60" t="s">
        <v>147</v>
      </c>
      <c r="DY152" s="60" t="s">
        <v>148</v>
      </c>
      <c r="DZ152" s="60" t="s">
        <v>180</v>
      </c>
      <c r="EA152" s="60" t="s">
        <v>181</v>
      </c>
      <c r="EB152" s="60" t="s">
        <v>182</v>
      </c>
      <c r="EC152" s="60" t="s">
        <v>152</v>
      </c>
      <c r="ED152" s="60" t="s">
        <v>153</v>
      </c>
      <c r="EE152" s="60" t="s">
        <v>154</v>
      </c>
      <c r="EF152" s="60" t="s">
        <v>155</v>
      </c>
      <c r="EG152" s="60" t="s">
        <v>156</v>
      </c>
      <c r="EH152" s="60" t="s">
        <v>157</v>
      </c>
      <c r="EI152" s="60" t="s">
        <v>158</v>
      </c>
      <c r="EK152" s="60" t="s">
        <v>147</v>
      </c>
      <c r="EL152" s="60" t="s">
        <v>148</v>
      </c>
      <c r="EM152" s="60" t="s">
        <v>180</v>
      </c>
      <c r="EN152" s="60" t="s">
        <v>181</v>
      </c>
      <c r="EO152" s="60" t="s">
        <v>182</v>
      </c>
      <c r="EP152" s="60" t="s">
        <v>152</v>
      </c>
      <c r="EQ152" s="60" t="s">
        <v>153</v>
      </c>
      <c r="ER152" s="60" t="s">
        <v>154</v>
      </c>
      <c r="ES152" s="60" t="s">
        <v>155</v>
      </c>
      <c r="ET152" s="60" t="s">
        <v>156</v>
      </c>
      <c r="EU152" s="60" t="s">
        <v>157</v>
      </c>
      <c r="EV152" s="60" t="s">
        <v>158</v>
      </c>
      <c r="EX152" s="397" t="s">
        <v>147</v>
      </c>
      <c r="EY152" s="397" t="s">
        <v>148</v>
      </c>
      <c r="EZ152" s="397" t="s">
        <v>180</v>
      </c>
      <c r="FA152" s="397" t="s">
        <v>181</v>
      </c>
      <c r="FB152" s="397" t="s">
        <v>182</v>
      </c>
      <c r="FC152" s="397" t="s">
        <v>152</v>
      </c>
      <c r="FD152" s="397" t="s">
        <v>153</v>
      </c>
      <c r="FE152" s="397" t="s">
        <v>154</v>
      </c>
      <c r="FF152" s="397" t="s">
        <v>155</v>
      </c>
      <c r="FG152" s="397" t="s">
        <v>156</v>
      </c>
      <c r="FH152" s="397" t="s">
        <v>157</v>
      </c>
      <c r="FI152" s="397" t="s">
        <v>158</v>
      </c>
      <c r="FK152" s="397" t="s">
        <v>147</v>
      </c>
      <c r="FL152" s="397" t="s">
        <v>148</v>
      </c>
      <c r="FM152" s="397" t="s">
        <v>180</v>
      </c>
      <c r="FN152" s="397" t="s">
        <v>181</v>
      </c>
      <c r="FO152" s="397" t="s">
        <v>182</v>
      </c>
      <c r="FP152" s="397" t="s">
        <v>152</v>
      </c>
      <c r="FQ152" s="397" t="s">
        <v>153</v>
      </c>
      <c r="FR152" s="397" t="s">
        <v>154</v>
      </c>
      <c r="FS152" s="397" t="s">
        <v>155</v>
      </c>
      <c r="FT152" s="397" t="s">
        <v>156</v>
      </c>
      <c r="FU152" s="397" t="s">
        <v>157</v>
      </c>
      <c r="FV152" s="397" t="s">
        <v>158</v>
      </c>
      <c r="FX152" s="731" t="s">
        <v>147</v>
      </c>
      <c r="FY152" s="731" t="s">
        <v>148</v>
      </c>
      <c r="FZ152" s="731" t="s">
        <v>180</v>
      </c>
      <c r="GA152" s="731" t="s">
        <v>181</v>
      </c>
      <c r="GB152" s="731" t="s">
        <v>182</v>
      </c>
      <c r="GC152" s="731" t="s">
        <v>152</v>
      </c>
      <c r="GD152" s="731" t="s">
        <v>153</v>
      </c>
      <c r="GE152" s="731" t="s">
        <v>154</v>
      </c>
      <c r="GF152" s="731" t="s">
        <v>155</v>
      </c>
      <c r="GG152" s="731" t="s">
        <v>156</v>
      </c>
      <c r="GH152" s="731" t="s">
        <v>157</v>
      </c>
      <c r="GI152" s="731" t="s">
        <v>158</v>
      </c>
    </row>
    <row r="153" spans="1:191">
      <c r="A153" s="724" t="s">
        <v>77</v>
      </c>
      <c r="B153" s="400">
        <v>2396.9500000000016</v>
      </c>
      <c r="C153" s="400">
        <v>1277.0400000000002</v>
      </c>
      <c r="D153" s="400">
        <v>889.2</v>
      </c>
      <c r="E153" s="400">
        <v>2030.4</v>
      </c>
      <c r="F153" s="400">
        <v>2517.84</v>
      </c>
      <c r="G153" s="400">
        <v>4295.3900000000003</v>
      </c>
      <c r="H153" s="400">
        <v>5787.57</v>
      </c>
      <c r="I153" s="400">
        <v>4283.49</v>
      </c>
      <c r="J153" s="400">
        <v>6009.49</v>
      </c>
      <c r="K153" s="400">
        <v>2983.63</v>
      </c>
      <c r="L153" s="400">
        <v>2497.96</v>
      </c>
      <c r="M153" s="400">
        <v>2716.23</v>
      </c>
      <c r="N153" s="400">
        <f t="shared" ref="N153:N179" si="737">SUM(B153:M153)</f>
        <v>37685.19000000001</v>
      </c>
      <c r="P153" s="396" t="s">
        <v>77</v>
      </c>
      <c r="Q153" s="400">
        <v>1679.7000000000003</v>
      </c>
      <c r="R153" s="400">
        <v>1348.49</v>
      </c>
      <c r="S153" s="400">
        <v>1358.79</v>
      </c>
      <c r="T153" s="400">
        <v>474.85999999999996</v>
      </c>
      <c r="U153" s="400">
        <v>866.82999999999993</v>
      </c>
      <c r="V153" s="400">
        <v>1313.8200000000002</v>
      </c>
      <c r="W153" s="400">
        <v>1003.4300000000001</v>
      </c>
      <c r="X153" s="400">
        <v>2591.9500000000003</v>
      </c>
      <c r="Y153" s="400">
        <v>1535.0800000000002</v>
      </c>
      <c r="Z153" s="400">
        <v>2414.38</v>
      </c>
      <c r="AA153" s="400">
        <v>1220.3300000000002</v>
      </c>
      <c r="AB153" s="400">
        <v>1669.88</v>
      </c>
      <c r="AC153" s="400">
        <f t="shared" ref="AC153:AC179" si="738">SUM(Q153:AB153)</f>
        <v>17477.54</v>
      </c>
      <c r="AE153" s="127" t="s">
        <v>77</v>
      </c>
      <c r="AF153" s="27">
        <v>2094.08</v>
      </c>
      <c r="AG153" s="27">
        <v>1072.4000000000001</v>
      </c>
      <c r="AH153" s="27">
        <v>2078.7400000000002</v>
      </c>
      <c r="AI153" s="27">
        <v>1604.1299999999999</v>
      </c>
      <c r="AJ153" s="27">
        <v>2477.3999999999996</v>
      </c>
      <c r="AK153" s="27">
        <v>1924.9599999999998</v>
      </c>
      <c r="AL153" s="27">
        <v>2001.2600000000002</v>
      </c>
      <c r="AM153" s="27">
        <v>1435.85</v>
      </c>
      <c r="AN153" s="27">
        <v>1895.65</v>
      </c>
      <c r="AO153" s="27">
        <v>3314.36</v>
      </c>
      <c r="AP153" s="27">
        <v>5691.2400000000007</v>
      </c>
      <c r="AQ153" s="27">
        <v>2627.3</v>
      </c>
      <c r="AR153" s="43">
        <f t="shared" ref="AR153:AR179" si="739">SUM(AF153:AQ153)</f>
        <v>28217.370000000003</v>
      </c>
      <c r="AT153" s="60" t="s">
        <v>77</v>
      </c>
      <c r="AU153" s="27">
        <v>1273.44</v>
      </c>
      <c r="AV153" s="27">
        <v>1240.49</v>
      </c>
      <c r="AW153" s="27">
        <v>1025.31</v>
      </c>
      <c r="AX153" s="27">
        <v>2818.59</v>
      </c>
      <c r="AY153" s="27">
        <v>735.38</v>
      </c>
      <c r="AZ153" s="27">
        <v>960.93000000000006</v>
      </c>
      <c r="BA153" s="27">
        <v>4663.08</v>
      </c>
      <c r="BB153" s="27">
        <v>2579.08</v>
      </c>
      <c r="BC153" s="27">
        <v>1741.72</v>
      </c>
      <c r="BD153" s="27">
        <v>2491.9700000000003</v>
      </c>
      <c r="BE153" s="27">
        <v>2780.6600000000003</v>
      </c>
      <c r="BF153" s="27">
        <v>1532.67</v>
      </c>
      <c r="BG153" s="43">
        <f t="shared" si="699"/>
        <v>23843.32</v>
      </c>
      <c r="BI153" s="60" t="s">
        <v>77</v>
      </c>
      <c r="BJ153" s="27">
        <v>1082.02</v>
      </c>
      <c r="BK153" s="27">
        <v>1470.8899999999999</v>
      </c>
      <c r="BL153" s="27">
        <v>1009.06</v>
      </c>
      <c r="BM153" s="27">
        <v>1243.28</v>
      </c>
      <c r="BN153" s="27">
        <v>2239.42</v>
      </c>
      <c r="BO153" s="27">
        <v>887.26</v>
      </c>
      <c r="BP153" s="27">
        <v>1331.16</v>
      </c>
      <c r="BQ153" s="27">
        <v>1392.46</v>
      </c>
      <c r="BR153" s="27">
        <v>1326.9299999999998</v>
      </c>
      <c r="BS153" s="27">
        <v>1626.9299999999998</v>
      </c>
      <c r="BT153" s="27">
        <v>2731.2799999999997</v>
      </c>
      <c r="BU153" s="27">
        <v>3635.59</v>
      </c>
      <c r="BV153" s="43">
        <f t="shared" si="700"/>
        <v>19976.28</v>
      </c>
      <c r="BW153" s="405"/>
      <c r="BX153" s="32">
        <f>B153/$N153</f>
        <v>6.360456189818868E-2</v>
      </c>
      <c r="BY153" s="32">
        <f>SUM(B153:C153)/$N153</f>
        <v>9.7491614079695518E-2</v>
      </c>
      <c r="BZ153" s="32">
        <f>SUM(B153:D153)/$N153</f>
        <v>0.12108709018051919</v>
      </c>
      <c r="CA153" s="32">
        <f>SUM(B153:E153)/$N153</f>
        <v>0.17496501941478868</v>
      </c>
      <c r="CB153" s="32">
        <f>SUM(B153:F153)/$N153</f>
        <v>0.24177747279501577</v>
      </c>
      <c r="CC153" s="32">
        <f>SUM(B153:G153)/$N153</f>
        <v>0.35575832309721672</v>
      </c>
      <c r="CD153" s="32">
        <f>SUM(B153:H153)/$N153</f>
        <v>0.50933509954440981</v>
      </c>
      <c r="CE153" s="32">
        <f>SUM(B153:I153)/$N153</f>
        <v>0.6230001759311814</v>
      </c>
      <c r="CF153" s="32">
        <f>SUM(B153:J153)/$N153</f>
        <v>0.78246573786678519</v>
      </c>
      <c r="CG153" s="32">
        <f>SUM(B153:K153)/$N153</f>
        <v>0.86163821915187355</v>
      </c>
      <c r="CH153" s="32">
        <f>SUM(B153:L153)/$N153</f>
        <v>0.92792314434397172</v>
      </c>
      <c r="CI153" s="32">
        <f>SUM(B153:M153)/$N153</f>
        <v>1</v>
      </c>
      <c r="CJ153" s="405"/>
      <c r="CK153" s="32">
        <f>Q153/$AC153</f>
        <v>9.6106202589151576E-2</v>
      </c>
      <c r="CL153" s="32">
        <f>SUM(Q153:R153)/$AC153</f>
        <v>0.17326179771295047</v>
      </c>
      <c r="CM153" s="32">
        <f>SUM(Q153:S153)/$AC153</f>
        <v>0.25100672062544271</v>
      </c>
      <c r="CN153" s="32">
        <f>SUM(Q153:T153)/$AC153</f>
        <v>0.27817644817291221</v>
      </c>
      <c r="CO153" s="32">
        <f>SUM(Q153:U153)/$AC153</f>
        <v>0.32777324497612365</v>
      </c>
      <c r="CP153" s="32">
        <f>SUM(Q153:V153)/$AC153</f>
        <v>0.40294515131992259</v>
      </c>
      <c r="CQ153" s="32">
        <f>SUM(Q153:W153)/$AC153</f>
        <v>0.46035769335959176</v>
      </c>
      <c r="CR153" s="32">
        <f>SUM(Q153:X153)/$AC153</f>
        <v>0.60865945665122212</v>
      </c>
      <c r="CS153" s="32">
        <f>SUM(Q153:Y153)/$AC153</f>
        <v>0.69649103935679735</v>
      </c>
      <c r="CT153" s="32">
        <f>SUM(Q153:Z153)/$AC153</f>
        <v>0.83463290600393425</v>
      </c>
      <c r="CU153" s="32">
        <f>SUM(Q153:AA153)/$AC153</f>
        <v>0.9044556613802629</v>
      </c>
      <c r="CV153" s="32">
        <f>SUM(Q153:AB153)/$AC153</f>
        <v>1</v>
      </c>
      <c r="CX153" s="32">
        <f>AF153/$AR153</f>
        <v>7.4212444320643625E-2</v>
      </c>
      <c r="CY153" s="32">
        <f>SUM(AF153:AG153)/$AR153</f>
        <v>0.11221740367723851</v>
      </c>
      <c r="CZ153" s="32">
        <f>SUM(AF153:AH153)/$AR153</f>
        <v>0.18588621122379584</v>
      </c>
      <c r="DA153" s="32">
        <f>SUM(AF153:AI153)/$AR153</f>
        <v>0.24273523719609588</v>
      </c>
      <c r="DB153" s="32">
        <f>SUM(AF153:AJ153)/$AR153</f>
        <v>0.33053222181939701</v>
      </c>
      <c r="DC153" s="32">
        <f>SUM(AF153:AK153)/$AR153</f>
        <v>0.39875119474281262</v>
      </c>
      <c r="DD153" s="32">
        <f>SUM(AF153:AL153)/$AR153</f>
        <v>0.46967417587110344</v>
      </c>
      <c r="DE153" s="32">
        <f>SUM(AF153:AM153)/$AR153</f>
        <v>0.52055949934384382</v>
      </c>
      <c r="DF153" s="32">
        <f>SUM(AF153:AN153)/$AR153</f>
        <v>0.58773975037361736</v>
      </c>
      <c r="DG153" s="32">
        <f>SUM(AF153:AO153)/$AR153</f>
        <v>0.70519789760704132</v>
      </c>
      <c r="DH153" s="32">
        <f>SUM(AF153:AP153)/$AR153</f>
        <v>0.90689068470945378</v>
      </c>
      <c r="DI153" s="32">
        <f>SUM(AF153:AQ153)/$AR153</f>
        <v>1</v>
      </c>
      <c r="DK153" s="32">
        <f t="shared" ref="DK153:DK179" si="740">AU153/BG153</f>
        <v>5.3408669598025781E-2</v>
      </c>
      <c r="DL153" s="32">
        <f t="shared" ref="DL153:DL179" si="741">SUM(AU153:AV153)/$BG153</f>
        <v>0.10543540077472434</v>
      </c>
      <c r="DM153" s="32">
        <f t="shared" ref="DM153:DM179" si="742">SUM(AU153:AW153)/$BG153</f>
        <v>0.1484373820424337</v>
      </c>
      <c r="DN153" s="32">
        <f t="shared" ref="DN153:DN179" si="743">SUM(AU153:AX153)/$BG153</f>
        <v>0.26665036580476209</v>
      </c>
      <c r="DO153" s="32">
        <f t="shared" ref="DO153:DO179" si="744">SUM(AU153:AY153)/$BG153</f>
        <v>0.2974925471788325</v>
      </c>
      <c r="DP153" s="32">
        <f t="shared" ref="DP153:DP179" si="745">SUM(AU153:AZ153)/$BG153</f>
        <v>0.33779440111528092</v>
      </c>
      <c r="DQ153" s="32">
        <f t="shared" ref="DQ153:DQ179" si="746">SUM(AU153:BA153)/$BG153</f>
        <v>0.53336615873963866</v>
      </c>
      <c r="DR153" s="32">
        <f t="shared" ref="DR153:DR179" si="747">SUM(AU153:BB153)/$BG153</f>
        <v>0.6415339810060009</v>
      </c>
      <c r="DS153" s="32">
        <f t="shared" ref="DS153:DS179" si="748">SUM(AU153:BC153)/$BG153</f>
        <v>0.71458253296940188</v>
      </c>
      <c r="DT153" s="32">
        <f t="shared" ref="DT153:DT179" si="749">SUM(AU153:BD153)/$BG153</f>
        <v>0.81909692106636167</v>
      </c>
      <c r="DU153" s="32">
        <f t="shared" ref="DU153:DU179" si="750">SUM(AU153:BE153)/$BG153</f>
        <v>0.93571910287661286</v>
      </c>
      <c r="DV153" s="32">
        <f t="shared" ref="DV153:DV179" si="751">SUM(AU153:BF153)/$BG153</f>
        <v>1</v>
      </c>
      <c r="DW153" s="39"/>
      <c r="DX153" s="32">
        <f t="shared" ref="DX153:DX179" si="752">BJ153/BV153</f>
        <v>5.416523997460989E-2</v>
      </c>
      <c r="DY153" s="32">
        <f t="shared" ref="DY153:DY179" si="753">SUM(BJ153:BK153)/$BV153</f>
        <v>0.1277970673218437</v>
      </c>
      <c r="DZ153" s="32">
        <f t="shared" ref="DZ153:DZ179" si="754">SUM(BJ153:BL153)/$BV153</f>
        <v>0.17830997563109849</v>
      </c>
      <c r="EA153" s="32">
        <f t="shared" ref="EA153:EA179" si="755">SUM(BJ153:BM153)/$BV153</f>
        <v>0.24054778967855878</v>
      </c>
      <c r="EB153" s="32">
        <f t="shared" ref="EB153:EB179" si="756">SUM(BJ153:BN153)/$BV153</f>
        <v>0.35265174496953389</v>
      </c>
      <c r="EC153" s="32">
        <f t="shared" ref="EC153:EC179" si="757">SUM(BJ153:BO153)/$BV153</f>
        <v>0.39706742196244749</v>
      </c>
      <c r="ED153" s="32">
        <f t="shared" ref="ED153:ED179" si="758">SUM(BJ153:BP153)/$BV153</f>
        <v>0.46370445348182948</v>
      </c>
      <c r="EE153" s="32">
        <f t="shared" ref="EE153:EE179" si="759">SUM(BJ153:BQ153)/$BV153</f>
        <v>0.53341012440754731</v>
      </c>
      <c r="EF153" s="32">
        <f t="shared" ref="EF153:EF179" si="760">SUM(BJ153:BR153)/$BV153</f>
        <v>0.59983540479008102</v>
      </c>
      <c r="EG153" s="32">
        <f t="shared" ref="EG153:EG179" si="761">SUM(BJ153:BS153)/$BV153</f>
        <v>0.68127849629660786</v>
      </c>
      <c r="EH153" s="32">
        <f t="shared" ref="EH153:EH179" si="762">SUM(BJ153:BT153)/$BV153</f>
        <v>0.81800465351907359</v>
      </c>
      <c r="EI153" s="32">
        <f t="shared" ref="EI153:EI179" si="763">SUM(BJ153:BU153)/$BV153</f>
        <v>1</v>
      </c>
      <c r="EK153" s="32">
        <f>(CX153+DK153+DX153)/3</f>
        <v>6.0595451297759763E-2</v>
      </c>
      <c r="EL153" s="32">
        <f t="shared" ref="EL153:EL179" si="764">(CY153+DL153+DY153)/3</f>
        <v>0.11514995725793552</v>
      </c>
      <c r="EM153" s="32">
        <f t="shared" ref="EM153:EM179" si="765">(CZ153+DM153+DZ153)/3</f>
        <v>0.17087785629910934</v>
      </c>
      <c r="EN153" s="32">
        <f t="shared" ref="EN153:EN179" si="766">(DA153+DN153+EA153)/3</f>
        <v>0.24997779755980556</v>
      </c>
      <c r="EO153" s="32">
        <f t="shared" ref="EO153:EO179" si="767">(DB153+DO153+EB153)/3</f>
        <v>0.3268921713225878</v>
      </c>
      <c r="EP153" s="32">
        <f t="shared" ref="EP153:EP179" si="768">(DC153+DP153+EC153)/3</f>
        <v>0.37787100594018036</v>
      </c>
      <c r="EQ153" s="32">
        <f t="shared" ref="EQ153:EQ179" si="769">(DD153+DQ153+ED153)/3</f>
        <v>0.48891492936419056</v>
      </c>
      <c r="ER153" s="32">
        <f t="shared" ref="ER153:ER179" si="770">(DE153+DR153+EE153)/3</f>
        <v>0.56516786825246401</v>
      </c>
      <c r="ES153" s="32">
        <f t="shared" ref="ES153:ES179" si="771">(DF153+DS153+EF153)/3</f>
        <v>0.63405256271103339</v>
      </c>
      <c r="ET153" s="32">
        <f t="shared" ref="ET153:ET179" si="772">(DG153+DT153+EG153)/3</f>
        <v>0.73519110499000373</v>
      </c>
      <c r="EU153" s="32">
        <f t="shared" ref="EU153:EU179" si="773">(DH153+DU153+EH153)/3</f>
        <v>0.88687148036838004</v>
      </c>
      <c r="EV153" s="32">
        <f t="shared" ref="EV153:EV179" si="774">(DI153+DV153+EI153)/3</f>
        <v>1</v>
      </c>
      <c r="EX153" s="32">
        <f t="shared" ref="EX153:EX180" si="775">(DK153+DX153+CX153+CK153)/4</f>
        <v>6.9473139120607721E-2</v>
      </c>
      <c r="EY153" s="32">
        <f t="shared" ref="EY153:EY180" si="776">(DL153+DY153+CY153+CL153)/4</f>
        <v>0.12967791737168927</v>
      </c>
      <c r="EZ153" s="32">
        <f t="shared" ref="EZ153:EZ180" si="777">(DM153+DZ153+CZ153+CM153)/4</f>
        <v>0.19091007238069269</v>
      </c>
      <c r="FA153" s="32">
        <f t="shared" ref="FA153:FA180" si="778">(DN153+EA153+DA153+CN153)/4</f>
        <v>0.25702746021308226</v>
      </c>
      <c r="FB153" s="32">
        <f t="shared" ref="FB153:FB180" si="779">(DO153+EB153+DB153+CO153)/4</f>
        <v>0.32711243973597176</v>
      </c>
      <c r="FC153" s="32">
        <f t="shared" ref="FC153:FC180" si="780">(DP153+EC153+DC153+CP153)/4</f>
        <v>0.38413954228511593</v>
      </c>
      <c r="FD153" s="32">
        <f t="shared" ref="FD153:FD180" si="781">(DQ153+ED153+DD153+CQ153)/4</f>
        <v>0.48177562036304078</v>
      </c>
      <c r="FE153" s="32">
        <f t="shared" ref="FE153:FE180" si="782">(DR153+EE153+DE153+CR153)/4</f>
        <v>0.57604076535215354</v>
      </c>
      <c r="FF153" s="32">
        <f t="shared" ref="FF153:FF180" si="783">(DS153+EF153+DF153+CS153)/4</f>
        <v>0.64966218187247438</v>
      </c>
      <c r="FG153" s="32">
        <f t="shared" ref="FG153:FG180" si="784">(DT153+EG153+DG153+CT153)/4</f>
        <v>0.76005155524348622</v>
      </c>
      <c r="FH153" s="32">
        <f t="shared" ref="FH153:FH180" si="785">(DU153+EH153+DH153+CU153)/4</f>
        <v>0.89126752562135081</v>
      </c>
      <c r="FI153" s="32">
        <f t="shared" ref="FI153:FI180" si="786">(DV153+EI153+DI153+CV153)/4</f>
        <v>1</v>
      </c>
      <c r="FK153" s="32">
        <f>(DK153+CX153+CK153)/3</f>
        <v>7.4575772169273649E-2</v>
      </c>
      <c r="FL153" s="32">
        <f t="shared" ref="FL153:FL180" si="787">(DL153+CY153+CL153)/3</f>
        <v>0.13030486738830444</v>
      </c>
      <c r="FM153" s="32">
        <f t="shared" ref="FM153:FM180" si="788">(DM153+CZ153+CM153)/3</f>
        <v>0.19511010463055742</v>
      </c>
      <c r="FN153" s="32">
        <f t="shared" ref="FN153:FN180" si="789">(DN153+DA153+CN153)/3</f>
        <v>0.26252068372459009</v>
      </c>
      <c r="FO153" s="32">
        <f t="shared" ref="FO153:FO180" si="790">(DO153+DB153+CO153)/3</f>
        <v>0.31859933799145107</v>
      </c>
      <c r="FP153" s="32">
        <f t="shared" ref="FP153:FP180" si="791">(DP153+DC153+CP153)/3</f>
        <v>0.37983024905933876</v>
      </c>
      <c r="FQ153" s="32">
        <f t="shared" ref="FQ153:FQ180" si="792">(DQ153+DD153+CQ153)/3</f>
        <v>0.48779934265677793</v>
      </c>
      <c r="FR153" s="32">
        <f t="shared" ref="FR153:FR180" si="793">(DR153+DE153+CR153)/3</f>
        <v>0.59025097900035561</v>
      </c>
      <c r="FS153" s="32">
        <f t="shared" ref="FS153:FS180" si="794">(DS153+DF153+CS153)/3</f>
        <v>0.66627110756660557</v>
      </c>
      <c r="FT153" s="32">
        <f t="shared" ref="FT153:FT180" si="795">(DT153+DG153+CT153)/3</f>
        <v>0.78630924155911242</v>
      </c>
      <c r="FU153" s="32">
        <f t="shared" ref="FU153:FU180" si="796">(DU153+DH153+CU153)/3</f>
        <v>0.91568848298877648</v>
      </c>
      <c r="FV153" s="32">
        <f t="shared" ref="FV153:FV180" si="797">(DV153+DI153+CV153)/3</f>
        <v>1</v>
      </c>
      <c r="FX153" s="32">
        <f t="shared" ref="FX153:FX180" si="798">(CX153+CK153+BX153)/3</f>
        <v>7.7974402935994627E-2</v>
      </c>
      <c r="FY153" s="32">
        <f t="shared" ref="FY153:FY180" si="799">(CY153+CL153+BY153)/3</f>
        <v>0.12765693848996151</v>
      </c>
      <c r="FZ153" s="32">
        <f t="shared" ref="FZ153:FZ180" si="800">(CZ153+CM153+BZ153)/3</f>
        <v>0.18599334067658591</v>
      </c>
      <c r="GA153" s="32">
        <f t="shared" ref="GA153:GA180" si="801">(DA153+CN153+CA153)/3</f>
        <v>0.23195890159459895</v>
      </c>
      <c r="GB153" s="32">
        <f t="shared" ref="GB153:GB180" si="802">(DB153+CO153+CB153)/3</f>
        <v>0.30002764653017877</v>
      </c>
      <c r="GC153" s="32">
        <f t="shared" ref="GC153:GC180" si="803">(DC153+CP153+CC153)/3</f>
        <v>0.38581822305331731</v>
      </c>
      <c r="GD153" s="32">
        <f t="shared" ref="GD153:GD180" si="804">(DD153+CQ153+CD153)/3</f>
        <v>0.47978898959170174</v>
      </c>
      <c r="GE153" s="32">
        <f t="shared" ref="GE153:GE180" si="805">(DE153+CR153+CE153)/3</f>
        <v>0.58407304397541582</v>
      </c>
      <c r="GF153" s="32">
        <f t="shared" ref="GF153:GF180" si="806">(DF153+CS153+CF153)/3</f>
        <v>0.68889884253239997</v>
      </c>
      <c r="GG153" s="32">
        <f t="shared" ref="GG153:GG180" si="807">(DG153+CT153+CG153)/3</f>
        <v>0.80048967425428297</v>
      </c>
      <c r="GH153" s="32">
        <f t="shared" ref="GH153:GH180" si="808">(DH153+CU153+CH153)/3</f>
        <v>0.9130898301445628</v>
      </c>
      <c r="GI153" s="32">
        <f t="shared" ref="GI153:GI180" si="809">(DI153+CV153+CI153)/3</f>
        <v>1</v>
      </c>
    </row>
    <row r="154" spans="1:191">
      <c r="A154" s="724" t="s">
        <v>78</v>
      </c>
      <c r="B154" s="400">
        <v>13745.339999999982</v>
      </c>
      <c r="C154" s="400">
        <v>7097.3899999999994</v>
      </c>
      <c r="D154" s="400">
        <v>9864.09</v>
      </c>
      <c r="E154" s="400">
        <v>8068.4599999999991</v>
      </c>
      <c r="F154" s="400">
        <v>13641.68</v>
      </c>
      <c r="G154" s="400">
        <v>11101.540000000003</v>
      </c>
      <c r="H154" s="400">
        <v>11732.57</v>
      </c>
      <c r="I154" s="400">
        <v>11541.109999999999</v>
      </c>
      <c r="J154" s="400">
        <v>10886.66</v>
      </c>
      <c r="K154" s="400">
        <v>13450.37</v>
      </c>
      <c r="L154" s="400">
        <v>11916.140000000001</v>
      </c>
      <c r="M154" s="400">
        <v>14567.470000000001</v>
      </c>
      <c r="N154" s="400">
        <f t="shared" si="737"/>
        <v>137612.81999999998</v>
      </c>
      <c r="P154" s="396" t="s">
        <v>78</v>
      </c>
      <c r="Q154" s="400">
        <v>9351.89</v>
      </c>
      <c r="R154" s="400">
        <v>5704.4000000000005</v>
      </c>
      <c r="S154" s="400">
        <v>4793.4799999999996</v>
      </c>
      <c r="T154" s="400">
        <v>4244.59</v>
      </c>
      <c r="U154" s="400">
        <v>3079.87</v>
      </c>
      <c r="V154" s="400">
        <v>4263.13</v>
      </c>
      <c r="W154" s="400">
        <v>4400.0600000000004</v>
      </c>
      <c r="X154" s="400">
        <v>5673.73</v>
      </c>
      <c r="Y154" s="400">
        <v>6744.4800000000005</v>
      </c>
      <c r="Z154" s="400">
        <v>6794.78</v>
      </c>
      <c r="AA154" s="400">
        <v>6262.6399999999994</v>
      </c>
      <c r="AB154" s="400">
        <v>8107.7599999999993</v>
      </c>
      <c r="AC154" s="400">
        <f t="shared" si="738"/>
        <v>69420.81</v>
      </c>
      <c r="AE154" s="127" t="s">
        <v>78</v>
      </c>
      <c r="AF154" s="27">
        <v>4983.91</v>
      </c>
      <c r="AG154" s="27">
        <v>6676.14</v>
      </c>
      <c r="AH154" s="27">
        <v>4035.83</v>
      </c>
      <c r="AI154" s="27">
        <v>5269.6000000000013</v>
      </c>
      <c r="AJ154" s="27">
        <v>6344.21</v>
      </c>
      <c r="AK154" s="27">
        <v>5660.64</v>
      </c>
      <c r="AL154" s="27">
        <v>10028.060000000001</v>
      </c>
      <c r="AM154" s="27">
        <v>7722.0899999999992</v>
      </c>
      <c r="AN154" s="27">
        <v>7057.630000000001</v>
      </c>
      <c r="AO154" s="27">
        <v>10505.289999999999</v>
      </c>
      <c r="AP154" s="27">
        <v>13655.34</v>
      </c>
      <c r="AQ154" s="27">
        <v>13534.470000000001</v>
      </c>
      <c r="AR154" s="43">
        <f t="shared" si="739"/>
        <v>95473.209999999992</v>
      </c>
      <c r="AT154" s="60" t="s">
        <v>78</v>
      </c>
      <c r="AU154" s="27">
        <v>9853.74</v>
      </c>
      <c r="AV154" s="27">
        <v>11162.22</v>
      </c>
      <c r="AW154" s="27">
        <v>6164.29</v>
      </c>
      <c r="AX154" s="27">
        <v>6508.03</v>
      </c>
      <c r="AY154" s="27">
        <v>17131.16</v>
      </c>
      <c r="AZ154" s="27">
        <v>4340.4699999999993</v>
      </c>
      <c r="BA154" s="27">
        <v>7657.7300000000014</v>
      </c>
      <c r="BB154" s="27">
        <v>8615.2099999999991</v>
      </c>
      <c r="BC154" s="27">
        <v>11074.119999999999</v>
      </c>
      <c r="BD154" s="27">
        <v>15281.340000000002</v>
      </c>
      <c r="BE154" s="27">
        <v>5008.6399999999994</v>
      </c>
      <c r="BF154" s="27">
        <v>7278.93</v>
      </c>
      <c r="BG154" s="43">
        <f t="shared" si="699"/>
        <v>110075.88</v>
      </c>
      <c r="BI154" s="60" t="s">
        <v>78</v>
      </c>
      <c r="BJ154" s="27">
        <v>8801.44</v>
      </c>
      <c r="BK154" s="27">
        <v>9580.7800000000007</v>
      </c>
      <c r="BL154" s="27">
        <v>7949.1100000000006</v>
      </c>
      <c r="BM154" s="27">
        <v>5842.0300000000007</v>
      </c>
      <c r="BN154" s="27">
        <v>5850.99</v>
      </c>
      <c r="BO154" s="27">
        <v>6504.29</v>
      </c>
      <c r="BP154" s="27">
        <v>4643.32</v>
      </c>
      <c r="BQ154" s="27">
        <v>8094.68</v>
      </c>
      <c r="BR154" s="27">
        <v>7082.38</v>
      </c>
      <c r="BS154" s="27">
        <v>9236.68</v>
      </c>
      <c r="BT154" s="27">
        <v>10768.95</v>
      </c>
      <c r="BU154" s="27">
        <v>6664.7800000000007</v>
      </c>
      <c r="BV154" s="43">
        <f t="shared" si="700"/>
        <v>91019.43</v>
      </c>
      <c r="BW154" s="405"/>
      <c r="BX154" s="32">
        <f t="shared" ref="BX154:BX179" si="810">B154/$N154</f>
        <v>9.9884153235141784E-2</v>
      </c>
      <c r="BY154" s="32">
        <f t="shared" ref="BY154:BY179" si="811">SUM(B154:C154)/$N154</f>
        <v>0.15145921724443975</v>
      </c>
      <c r="BZ154" s="32">
        <f t="shared" ref="BZ154:BZ179" si="812">SUM(B154:D154)/$N154</f>
        <v>0.22313923949818038</v>
      </c>
      <c r="CA154" s="32">
        <f t="shared" ref="CA154:CA179" si="813">SUM(B154:E154)/$N154</f>
        <v>0.28177084082718451</v>
      </c>
      <c r="CB154" s="32">
        <f t="shared" ref="CB154:CB179" si="814">SUM(B154:F154)/$N154</f>
        <v>0.38090172122045018</v>
      </c>
      <c r="CC154" s="32">
        <f t="shared" ref="CC154:CC179" si="815">SUM(B154:G154)/$N154</f>
        <v>0.46157400160828038</v>
      </c>
      <c r="CD154" s="32">
        <f t="shared" ref="CD154:CD179" si="816">SUM(B154:H154)/$N154</f>
        <v>0.54683182860434076</v>
      </c>
      <c r="CE154" s="32">
        <f t="shared" ref="CE154:CE179" si="817">SUM(B154:I154)/$N154</f>
        <v>0.63069836080679109</v>
      </c>
      <c r="CF154" s="32">
        <f t="shared" ref="CF154:CF179" si="818">SUM(B154:J154)/$N154</f>
        <v>0.70980915876878325</v>
      </c>
      <c r="CG154" s="32">
        <f t="shared" ref="CG154:CG179" si="819">SUM(B154:K154)/$N154</f>
        <v>0.80754983438316286</v>
      </c>
      <c r="CH154" s="32">
        <f t="shared" ref="CH154:CH179" si="820">SUM(B154:L154)/$N154</f>
        <v>0.89414162139835518</v>
      </c>
      <c r="CI154" s="32">
        <f t="shared" ref="CI154:CI179" si="821">SUM(B154:M154)/$N154</f>
        <v>1</v>
      </c>
      <c r="CJ154" s="405"/>
      <c r="CK154" s="32">
        <f t="shared" ref="CK154:CK179" si="822">Q154/$AC154</f>
        <v>0.13471306370524919</v>
      </c>
      <c r="CL154" s="32">
        <f t="shared" ref="CL154:CL179" si="823">SUM(Q154:R154)/$AC154</f>
        <v>0.21688438956560721</v>
      </c>
      <c r="CM154" s="32">
        <f t="shared" ref="CM154:CM179" si="824">SUM(Q154:S154)/$AC154</f>
        <v>0.28593400163438026</v>
      </c>
      <c r="CN154" s="32">
        <f t="shared" ref="CN154:CN179" si="825">SUM(Q154:T154)/$AC154</f>
        <v>0.34707690676614117</v>
      </c>
      <c r="CO154" s="32">
        <f t="shared" ref="CO154:CO179" si="826">SUM(Q154:U154)/$AC154</f>
        <v>0.39144213385006599</v>
      </c>
      <c r="CP154" s="32">
        <f t="shared" ref="CP154:CP179" si="827">SUM(Q154:V154)/$AC154</f>
        <v>0.45285210587430486</v>
      </c>
      <c r="CQ154" s="32">
        <f t="shared" ref="CQ154:CQ179" si="828">SUM(Q154:W154)/$AC154</f>
        <v>0.5162345411988134</v>
      </c>
      <c r="CR154" s="32">
        <f t="shared" ref="CR154:CR179" si="829">SUM(Q154:X154)/$AC154</f>
        <v>0.59796406869928476</v>
      </c>
      <c r="CS154" s="32">
        <f t="shared" ref="CS154:CS179" si="830">SUM(Q154:Y154)/$AC154</f>
        <v>0.695117645559019</v>
      </c>
      <c r="CT154" s="32">
        <f t="shared" ref="CT154:CT179" si="831">SUM(Q154:Z154)/$AC154</f>
        <v>0.79299578901485013</v>
      </c>
      <c r="CU154" s="32">
        <f t="shared" ref="CU154:CU179" si="832">SUM(Q154:AA154)/$AC154</f>
        <v>0.88320850765065972</v>
      </c>
      <c r="CV154" s="32">
        <f t="shared" ref="CV154:CV179" si="833">SUM(Q154:AB154)/$AC154</f>
        <v>1</v>
      </c>
      <c r="CX154" s="32">
        <f t="shared" ref="CX154:CX179" si="834">AF154/$AR154</f>
        <v>5.2202183209300285E-2</v>
      </c>
      <c r="CY154" s="32">
        <f t="shared" ref="CY154:CY179" si="835">SUM(AF154:AG154)/$AR154</f>
        <v>0.12212902446665405</v>
      </c>
      <c r="CZ154" s="32">
        <f t="shared" ref="CZ154:CZ179" si="836">SUM(AF154:AH154)/$AR154</f>
        <v>0.16440088271882763</v>
      </c>
      <c r="DA154" s="32">
        <f t="shared" ref="DA154:DA179" si="837">SUM(AF154:AI154)/$AR154</f>
        <v>0.21959542367958509</v>
      </c>
      <c r="DB154" s="32">
        <f t="shared" ref="DB154:DB179" si="838">SUM(AF154:AJ154)/$AR154</f>
        <v>0.28604558283941645</v>
      </c>
      <c r="DC154" s="32">
        <f t="shared" ref="DC154:DC179" si="839">SUM(AF154:AK154)/$AR154</f>
        <v>0.34533593245686411</v>
      </c>
      <c r="DD154" s="32">
        <f t="shared" ref="DD154:DD179" si="840">SUM(AF154:AL154)/$AR154</f>
        <v>0.4503712612155808</v>
      </c>
      <c r="DE154" s="32">
        <f t="shared" ref="DE154:DE179" si="841">SUM(AF154:AM154)/$AR154</f>
        <v>0.53125353174990131</v>
      </c>
      <c r="DF154" s="32">
        <f t="shared" ref="DF154:DF179" si="842">SUM(AF154:AN154)/$AR154</f>
        <v>0.60517615360371779</v>
      </c>
      <c r="DG154" s="32">
        <f t="shared" ref="DG154:DG179" si="843">SUM(AF154:AO154)/$AR154</f>
        <v>0.71521005735535659</v>
      </c>
      <c r="DH154" s="32">
        <f t="shared" ref="DH154:DH179" si="844">SUM(AF154:AP154)/$AR154</f>
        <v>0.85823803347556871</v>
      </c>
      <c r="DI154" s="32">
        <f t="shared" ref="DI154:DI179" si="845">SUM(AF154:AQ154)/$AR154</f>
        <v>1</v>
      </c>
      <c r="DK154" s="32">
        <f t="shared" si="740"/>
        <v>8.9517703605912574E-2</v>
      </c>
      <c r="DL154" s="32">
        <f t="shared" si="741"/>
        <v>0.19092248002014608</v>
      </c>
      <c r="DM154" s="32">
        <f t="shared" si="742"/>
        <v>0.24692284994678215</v>
      </c>
      <c r="DN154" s="32">
        <f t="shared" si="743"/>
        <v>0.30604597483118007</v>
      </c>
      <c r="DO154" s="32">
        <f t="shared" si="744"/>
        <v>0.46167643629103849</v>
      </c>
      <c r="DP154" s="32">
        <f t="shared" si="745"/>
        <v>0.50110805382614254</v>
      </c>
      <c r="DQ154" s="32">
        <f t="shared" si="746"/>
        <v>0.57067579200820384</v>
      </c>
      <c r="DR154" s="32">
        <f t="shared" si="747"/>
        <v>0.64894189353743981</v>
      </c>
      <c r="DS154" s="32">
        <f t="shared" si="748"/>
        <v>0.74954631296156793</v>
      </c>
      <c r="DT154" s="32">
        <f t="shared" si="749"/>
        <v>0.88837182132906856</v>
      </c>
      <c r="DU154" s="32">
        <f t="shared" si="750"/>
        <v>0.93387352433612147</v>
      </c>
      <c r="DV154" s="32">
        <f t="shared" si="751"/>
        <v>1</v>
      </c>
      <c r="DW154" s="39"/>
      <c r="DX154" s="32">
        <f t="shared" si="752"/>
        <v>9.669847416095663E-2</v>
      </c>
      <c r="DY154" s="32">
        <f t="shared" si="753"/>
        <v>0.20195929594373424</v>
      </c>
      <c r="DZ154" s="32">
        <f t="shared" si="754"/>
        <v>0.28929350579321367</v>
      </c>
      <c r="EA154" s="32">
        <f t="shared" si="755"/>
        <v>0.35347793322810311</v>
      </c>
      <c r="EB154" s="32">
        <f t="shared" si="756"/>
        <v>0.41776080118278042</v>
      </c>
      <c r="EC154" s="32">
        <f t="shared" si="757"/>
        <v>0.48922125748315498</v>
      </c>
      <c r="ED154" s="32">
        <f t="shared" si="758"/>
        <v>0.54023585953021247</v>
      </c>
      <c r="EE154" s="32">
        <f t="shared" si="759"/>
        <v>0.62916939822629081</v>
      </c>
      <c r="EF154" s="32">
        <f t="shared" si="760"/>
        <v>0.70698113578606236</v>
      </c>
      <c r="EG154" s="32">
        <f t="shared" si="761"/>
        <v>0.80846144608903836</v>
      </c>
      <c r="EH154" s="32">
        <f t="shared" si="762"/>
        <v>0.92677629380891535</v>
      </c>
      <c r="EI154" s="32">
        <f t="shared" si="763"/>
        <v>1</v>
      </c>
      <c r="EK154" s="32">
        <f t="shared" ref="EK154:EK179" si="846">(CX154+DK154+DX154)/3</f>
        <v>7.9472786992056496E-2</v>
      </c>
      <c r="EL154" s="32">
        <f t="shared" si="764"/>
        <v>0.17167026681017813</v>
      </c>
      <c r="EM154" s="32">
        <f t="shared" si="765"/>
        <v>0.23353907948627448</v>
      </c>
      <c r="EN154" s="32">
        <f t="shared" si="766"/>
        <v>0.29303977724628943</v>
      </c>
      <c r="EO154" s="32">
        <f t="shared" si="767"/>
        <v>0.38849427343774517</v>
      </c>
      <c r="EP154" s="32">
        <f t="shared" si="768"/>
        <v>0.44522174792205388</v>
      </c>
      <c r="EQ154" s="32">
        <f t="shared" si="769"/>
        <v>0.5204276375846657</v>
      </c>
      <c r="ER154" s="32">
        <f t="shared" si="770"/>
        <v>0.60312160783787727</v>
      </c>
      <c r="ES154" s="32">
        <f t="shared" si="771"/>
        <v>0.68723453411711599</v>
      </c>
      <c r="ET154" s="32">
        <f t="shared" si="772"/>
        <v>0.80401444159115443</v>
      </c>
      <c r="EU154" s="32">
        <f t="shared" si="773"/>
        <v>0.90629595054020184</v>
      </c>
      <c r="EV154" s="32">
        <f t="shared" si="774"/>
        <v>1</v>
      </c>
      <c r="EX154" s="32">
        <f t="shared" si="775"/>
        <v>9.3282856170354672E-2</v>
      </c>
      <c r="EY154" s="32">
        <f t="shared" si="776"/>
        <v>0.18297379749903539</v>
      </c>
      <c r="EZ154" s="32">
        <f t="shared" si="777"/>
        <v>0.24663781002330093</v>
      </c>
      <c r="FA154" s="32">
        <f t="shared" si="778"/>
        <v>0.30654905962625234</v>
      </c>
      <c r="FB154" s="32">
        <f t="shared" si="779"/>
        <v>0.38923123854082531</v>
      </c>
      <c r="FC154" s="32">
        <f t="shared" si="780"/>
        <v>0.44712933741011662</v>
      </c>
      <c r="FD154" s="32">
        <f t="shared" si="781"/>
        <v>0.51937936348820268</v>
      </c>
      <c r="FE154" s="32">
        <f t="shared" si="782"/>
        <v>0.60183222305322914</v>
      </c>
      <c r="FF154" s="32">
        <f t="shared" si="783"/>
        <v>0.68920531197759172</v>
      </c>
      <c r="FG154" s="32">
        <f t="shared" si="784"/>
        <v>0.80125977844707852</v>
      </c>
      <c r="FH154" s="32">
        <f t="shared" si="785"/>
        <v>0.9005240898178164</v>
      </c>
      <c r="FI154" s="32">
        <f t="shared" si="786"/>
        <v>1</v>
      </c>
      <c r="FK154" s="32">
        <f t="shared" ref="FK154:FK180" si="847">(DK154+CX154+CK154)/3</f>
        <v>9.2144316840154006E-2</v>
      </c>
      <c r="FL154" s="32">
        <f t="shared" si="787"/>
        <v>0.17664529801746912</v>
      </c>
      <c r="FM154" s="32">
        <f t="shared" si="788"/>
        <v>0.23241924476666334</v>
      </c>
      <c r="FN154" s="32">
        <f t="shared" si="789"/>
        <v>0.29090610175896875</v>
      </c>
      <c r="FO154" s="32">
        <f t="shared" si="790"/>
        <v>0.37972138432684033</v>
      </c>
      <c r="FP154" s="32">
        <f t="shared" si="791"/>
        <v>0.4330986973857705</v>
      </c>
      <c r="FQ154" s="32">
        <f t="shared" si="792"/>
        <v>0.51242719814086601</v>
      </c>
      <c r="FR154" s="32">
        <f t="shared" si="793"/>
        <v>0.59271983132887529</v>
      </c>
      <c r="FS154" s="32">
        <f t="shared" si="794"/>
        <v>0.68328003737476817</v>
      </c>
      <c r="FT154" s="32">
        <f t="shared" si="795"/>
        <v>0.79885922256642505</v>
      </c>
      <c r="FU154" s="32">
        <f t="shared" si="796"/>
        <v>0.8917733551541166</v>
      </c>
      <c r="FV154" s="32">
        <f t="shared" si="797"/>
        <v>1</v>
      </c>
      <c r="FX154" s="32">
        <f t="shared" si="798"/>
        <v>9.5599800049897085E-2</v>
      </c>
      <c r="FY154" s="32">
        <f t="shared" si="799"/>
        <v>0.16349087709223367</v>
      </c>
      <c r="FZ154" s="32">
        <f t="shared" si="800"/>
        <v>0.22449137461712942</v>
      </c>
      <c r="GA154" s="32">
        <f t="shared" si="801"/>
        <v>0.28281439042430362</v>
      </c>
      <c r="GB154" s="32">
        <f t="shared" si="802"/>
        <v>0.35279647930331087</v>
      </c>
      <c r="GC154" s="32">
        <f t="shared" si="803"/>
        <v>0.41992067997981647</v>
      </c>
      <c r="GD154" s="32">
        <f t="shared" si="804"/>
        <v>0.50447921033957832</v>
      </c>
      <c r="GE154" s="32">
        <f t="shared" si="805"/>
        <v>0.58663865375199242</v>
      </c>
      <c r="GF154" s="32">
        <f t="shared" si="806"/>
        <v>0.67003431931050672</v>
      </c>
      <c r="GG154" s="32">
        <f t="shared" si="807"/>
        <v>0.77191856025112315</v>
      </c>
      <c r="GH154" s="32">
        <f t="shared" si="808"/>
        <v>0.87852938750819465</v>
      </c>
      <c r="GI154" s="32">
        <f t="shared" si="809"/>
        <v>1</v>
      </c>
    </row>
    <row r="155" spans="1:191">
      <c r="A155" s="724" t="s">
        <v>79</v>
      </c>
      <c r="B155" s="400">
        <v>4072.5200000000114</v>
      </c>
      <c r="C155" s="400">
        <v>1776.1200000000001</v>
      </c>
      <c r="D155" s="400">
        <v>2318.09</v>
      </c>
      <c r="E155" s="400">
        <v>1943.28</v>
      </c>
      <c r="F155" s="400">
        <v>3108.3999999999996</v>
      </c>
      <c r="G155" s="400">
        <v>4578.4700000000012</v>
      </c>
      <c r="H155" s="400">
        <v>3504.57</v>
      </c>
      <c r="I155" s="400">
        <v>3243.34</v>
      </c>
      <c r="J155" s="400">
        <v>8232.9600000000009</v>
      </c>
      <c r="K155" s="400">
        <v>4268.45</v>
      </c>
      <c r="L155" s="400">
        <v>4465.1899999999996</v>
      </c>
      <c r="M155" s="400">
        <v>3621.63</v>
      </c>
      <c r="N155" s="400">
        <f t="shared" si="737"/>
        <v>45133.020000000011</v>
      </c>
      <c r="P155" s="396" t="s">
        <v>79</v>
      </c>
      <c r="Q155" s="400">
        <v>2897.3</v>
      </c>
      <c r="R155" s="400">
        <v>2551.9700000000003</v>
      </c>
      <c r="S155" s="400">
        <v>1597.6299999999999</v>
      </c>
      <c r="T155" s="400">
        <v>1784.38</v>
      </c>
      <c r="U155" s="400">
        <v>1019.5600000000001</v>
      </c>
      <c r="V155" s="400">
        <v>1849.46</v>
      </c>
      <c r="W155" s="400">
        <v>2843.63</v>
      </c>
      <c r="X155" s="400">
        <v>3233.54</v>
      </c>
      <c r="Y155" s="400">
        <v>2609.2999999999997</v>
      </c>
      <c r="Z155" s="400">
        <v>2372.5</v>
      </c>
      <c r="AA155" s="400">
        <v>2512.87</v>
      </c>
      <c r="AB155" s="400">
        <v>1891.88</v>
      </c>
      <c r="AC155" s="400">
        <f t="shared" si="738"/>
        <v>27164.02</v>
      </c>
      <c r="AE155" s="127" t="s">
        <v>79</v>
      </c>
      <c r="AF155" s="27">
        <v>4640.33</v>
      </c>
      <c r="AG155" s="27">
        <v>5762.66</v>
      </c>
      <c r="AH155" s="27">
        <v>3656.3199999999997</v>
      </c>
      <c r="AI155" s="27">
        <v>2736.3799999999997</v>
      </c>
      <c r="AJ155" s="27">
        <v>4712.16</v>
      </c>
      <c r="AK155" s="27">
        <v>3385.2999999999997</v>
      </c>
      <c r="AL155" s="27">
        <v>4457.42</v>
      </c>
      <c r="AM155" s="27">
        <v>4241.1900000000005</v>
      </c>
      <c r="AN155" s="27">
        <v>4143.33</v>
      </c>
      <c r="AO155" s="27">
        <v>3794.5299999999997</v>
      </c>
      <c r="AP155" s="27">
        <v>4294.88</v>
      </c>
      <c r="AQ155" s="27">
        <v>4193.75</v>
      </c>
      <c r="AR155" s="43">
        <f t="shared" si="739"/>
        <v>50018.25</v>
      </c>
      <c r="AT155" s="60" t="s">
        <v>79</v>
      </c>
      <c r="AU155" s="27">
        <v>2989.25</v>
      </c>
      <c r="AV155" s="27">
        <v>3705.07</v>
      </c>
      <c r="AW155" s="27">
        <v>2249.89</v>
      </c>
      <c r="AX155" s="27">
        <v>2153.17</v>
      </c>
      <c r="AY155" s="27">
        <v>2835.01</v>
      </c>
      <c r="AZ155" s="27">
        <v>3317.9100000000003</v>
      </c>
      <c r="BA155" s="27">
        <v>3818.73</v>
      </c>
      <c r="BB155" s="27">
        <v>4083.99</v>
      </c>
      <c r="BC155" s="27">
        <v>2705.71</v>
      </c>
      <c r="BD155" s="27">
        <v>3956.11</v>
      </c>
      <c r="BE155" s="27">
        <v>3840</v>
      </c>
      <c r="BF155" s="27">
        <v>4089.4300000000003</v>
      </c>
      <c r="BG155" s="43">
        <f t="shared" si="699"/>
        <v>39744.269999999997</v>
      </c>
      <c r="BI155" s="60" t="s">
        <v>79</v>
      </c>
      <c r="BJ155" s="27">
        <v>1729.69</v>
      </c>
      <c r="BK155" s="27">
        <v>2319.66</v>
      </c>
      <c r="BL155" s="27">
        <v>4052.56</v>
      </c>
      <c r="BM155" s="27">
        <v>1590.53</v>
      </c>
      <c r="BN155" s="27">
        <v>2413.8200000000002</v>
      </c>
      <c r="BO155" s="27">
        <v>3320.5000000000005</v>
      </c>
      <c r="BP155" s="27">
        <v>1261.1100000000001</v>
      </c>
      <c r="BQ155" s="27">
        <v>7897.8499999999995</v>
      </c>
      <c r="BR155" s="27">
        <v>4350.5600000000004</v>
      </c>
      <c r="BS155" s="27">
        <v>3131.84</v>
      </c>
      <c r="BT155" s="27">
        <v>3013.85</v>
      </c>
      <c r="BU155" s="27">
        <v>3001.3700000000003</v>
      </c>
      <c r="BV155" s="43">
        <f t="shared" si="700"/>
        <v>38083.340000000004</v>
      </c>
      <c r="BW155" s="405"/>
      <c r="BX155" s="32">
        <f t="shared" si="810"/>
        <v>9.0233713587081266E-2</v>
      </c>
      <c r="BY155" s="32">
        <f t="shared" si="811"/>
        <v>0.12958671943512776</v>
      </c>
      <c r="BZ155" s="32">
        <f t="shared" si="812"/>
        <v>0.18094800658143437</v>
      </c>
      <c r="CA155" s="32">
        <f t="shared" si="813"/>
        <v>0.22400473090433587</v>
      </c>
      <c r="CB155" s="32">
        <f t="shared" si="814"/>
        <v>0.29287670091653534</v>
      </c>
      <c r="CC155" s="32">
        <f t="shared" si="815"/>
        <v>0.39432061049759148</v>
      </c>
      <c r="CD155" s="32">
        <f t="shared" si="816"/>
        <v>0.47197041102057885</v>
      </c>
      <c r="CE155" s="32">
        <f t="shared" si="817"/>
        <v>0.54383220976571045</v>
      </c>
      <c r="CF155" s="32">
        <f t="shared" si="818"/>
        <v>0.72624765637220834</v>
      </c>
      <c r="CG155" s="32">
        <f t="shared" si="819"/>
        <v>0.82082253746813316</v>
      </c>
      <c r="CH155" s="32">
        <f t="shared" si="820"/>
        <v>0.91975653302172122</v>
      </c>
      <c r="CI155" s="32">
        <f t="shared" si="821"/>
        <v>1</v>
      </c>
      <c r="CJ155" s="405"/>
      <c r="CK155" s="32">
        <f t="shared" si="822"/>
        <v>0.10665947087360414</v>
      </c>
      <c r="CL155" s="32">
        <f t="shared" si="823"/>
        <v>0.2006061694844872</v>
      </c>
      <c r="CM155" s="32">
        <f t="shared" si="824"/>
        <v>0.25942036561598764</v>
      </c>
      <c r="CN155" s="32">
        <f t="shared" si="825"/>
        <v>0.32510946465213914</v>
      </c>
      <c r="CO155" s="32">
        <f t="shared" si="826"/>
        <v>0.36264293723830271</v>
      </c>
      <c r="CP155" s="32">
        <f t="shared" si="827"/>
        <v>0.43072785250489432</v>
      </c>
      <c r="CQ155" s="32">
        <f t="shared" si="828"/>
        <v>0.53541154806983648</v>
      </c>
      <c r="CR155" s="32">
        <f t="shared" si="829"/>
        <v>0.65444915737803167</v>
      </c>
      <c r="CS155" s="32">
        <f t="shared" si="830"/>
        <v>0.75050636835048712</v>
      </c>
      <c r="CT155" s="32">
        <f t="shared" si="831"/>
        <v>0.83784616562644265</v>
      </c>
      <c r="CU155" s="32">
        <f t="shared" si="832"/>
        <v>0.93035346020213494</v>
      </c>
      <c r="CV155" s="32">
        <f t="shared" si="833"/>
        <v>1</v>
      </c>
      <c r="CX155" s="32">
        <f t="shared" si="834"/>
        <v>9.2772737950648013E-2</v>
      </c>
      <c r="CY155" s="32">
        <f t="shared" si="835"/>
        <v>0.2079838858816532</v>
      </c>
      <c r="CZ155" s="32">
        <f t="shared" si="836"/>
        <v>0.2810836044843632</v>
      </c>
      <c r="DA155" s="32">
        <f t="shared" si="837"/>
        <v>0.33579123619878742</v>
      </c>
      <c r="DB155" s="32">
        <f t="shared" si="838"/>
        <v>0.43000004998175662</v>
      </c>
      <c r="DC155" s="32">
        <f t="shared" si="839"/>
        <v>0.49768134630859734</v>
      </c>
      <c r="DD155" s="32">
        <f t="shared" si="840"/>
        <v>0.58679721901505955</v>
      </c>
      <c r="DE155" s="32">
        <f t="shared" si="841"/>
        <v>0.67159006962458712</v>
      </c>
      <c r="DF155" s="32">
        <f t="shared" si="842"/>
        <v>0.75442643435146184</v>
      </c>
      <c r="DG155" s="32">
        <f t="shared" si="843"/>
        <v>0.83028934438929791</v>
      </c>
      <c r="DH155" s="32">
        <f t="shared" si="844"/>
        <v>0.91615560320483025</v>
      </c>
      <c r="DI155" s="32">
        <f t="shared" si="845"/>
        <v>1</v>
      </c>
      <c r="DK155" s="32">
        <f t="shared" si="740"/>
        <v>7.5212099756769971E-2</v>
      </c>
      <c r="DL155" s="32">
        <f t="shared" si="741"/>
        <v>0.16843484607969905</v>
      </c>
      <c r="DM155" s="32">
        <f t="shared" si="742"/>
        <v>0.22504401263377086</v>
      </c>
      <c r="DN155" s="32">
        <f t="shared" si="743"/>
        <v>0.27921962084094137</v>
      </c>
      <c r="DO155" s="32">
        <f t="shared" si="744"/>
        <v>0.35055090960281821</v>
      </c>
      <c r="DP155" s="32">
        <f t="shared" si="745"/>
        <v>0.43403237749743551</v>
      </c>
      <c r="DQ155" s="32">
        <f t="shared" si="746"/>
        <v>0.53011490713000897</v>
      </c>
      <c r="DR155" s="32">
        <f t="shared" si="747"/>
        <v>0.63287160639760143</v>
      </c>
      <c r="DS155" s="32">
        <f t="shared" si="748"/>
        <v>0.70094959600465667</v>
      </c>
      <c r="DT155" s="32">
        <f t="shared" si="749"/>
        <v>0.80048872453815356</v>
      </c>
      <c r="DU155" s="32">
        <f t="shared" si="750"/>
        <v>0.8971064256558241</v>
      </c>
      <c r="DV155" s="32">
        <f t="shared" si="751"/>
        <v>1</v>
      </c>
      <c r="DW155" s="39"/>
      <c r="DX155" s="32">
        <f t="shared" si="752"/>
        <v>4.5418547847956611E-2</v>
      </c>
      <c r="DY155" s="32">
        <f t="shared" si="753"/>
        <v>0.10632864659454763</v>
      </c>
      <c r="DZ155" s="32">
        <f t="shared" si="754"/>
        <v>0.21274158201460269</v>
      </c>
      <c r="EA155" s="32">
        <f t="shared" si="755"/>
        <v>0.25450603859850529</v>
      </c>
      <c r="EB155" s="32">
        <f t="shared" si="756"/>
        <v>0.31788860955998077</v>
      </c>
      <c r="EC155" s="32">
        <f t="shared" si="757"/>
        <v>0.40507896628814594</v>
      </c>
      <c r="ED155" s="32">
        <f t="shared" si="758"/>
        <v>0.43819344626810564</v>
      </c>
      <c r="EE155" s="32">
        <f t="shared" si="759"/>
        <v>0.64557677976774086</v>
      </c>
      <c r="EF155" s="32">
        <f t="shared" si="760"/>
        <v>0.75981465911340751</v>
      </c>
      <c r="EG155" s="32">
        <f t="shared" si="761"/>
        <v>0.84205114362343203</v>
      </c>
      <c r="EH155" s="32">
        <f t="shared" si="762"/>
        <v>0.92118942298653417</v>
      </c>
      <c r="EI155" s="32">
        <f t="shared" si="763"/>
        <v>1</v>
      </c>
      <c r="EK155" s="32">
        <f t="shared" si="846"/>
        <v>7.1134461851791522E-2</v>
      </c>
      <c r="EL155" s="32">
        <f t="shared" si="764"/>
        <v>0.16091579285196664</v>
      </c>
      <c r="EM155" s="32">
        <f t="shared" si="765"/>
        <v>0.23962306637757891</v>
      </c>
      <c r="EN155" s="32">
        <f t="shared" si="766"/>
        <v>0.28983896521274471</v>
      </c>
      <c r="EO155" s="32">
        <f t="shared" si="767"/>
        <v>0.36614652304818512</v>
      </c>
      <c r="EP155" s="32">
        <f t="shared" si="768"/>
        <v>0.44559756336472628</v>
      </c>
      <c r="EQ155" s="32">
        <f t="shared" si="769"/>
        <v>0.51836852413772472</v>
      </c>
      <c r="ER155" s="32">
        <f t="shared" si="770"/>
        <v>0.65001281859664317</v>
      </c>
      <c r="ES155" s="32">
        <f t="shared" si="771"/>
        <v>0.73839689648984208</v>
      </c>
      <c r="ET155" s="32">
        <f t="shared" si="772"/>
        <v>0.8242764041836278</v>
      </c>
      <c r="EU155" s="32">
        <f t="shared" si="773"/>
        <v>0.91148381728239614</v>
      </c>
      <c r="EV155" s="32">
        <f t="shared" si="774"/>
        <v>1</v>
      </c>
      <c r="EX155" s="32">
        <f t="shared" si="775"/>
        <v>8.0015714107244673E-2</v>
      </c>
      <c r="EY155" s="32">
        <f t="shared" si="776"/>
        <v>0.17083838701009676</v>
      </c>
      <c r="EZ155" s="32">
        <f t="shared" si="777"/>
        <v>0.2445723911871811</v>
      </c>
      <c r="FA155" s="32">
        <f t="shared" si="778"/>
        <v>0.29865659007259326</v>
      </c>
      <c r="FB155" s="32">
        <f t="shared" si="779"/>
        <v>0.36527062659571458</v>
      </c>
      <c r="FC155" s="32">
        <f t="shared" si="780"/>
        <v>0.4418801356497683</v>
      </c>
      <c r="FD155" s="32">
        <f t="shared" si="781"/>
        <v>0.5226292801207526</v>
      </c>
      <c r="FE155" s="32">
        <f t="shared" si="782"/>
        <v>0.65112190329199027</v>
      </c>
      <c r="FF155" s="32">
        <f t="shared" si="783"/>
        <v>0.74142426445500331</v>
      </c>
      <c r="FG155" s="32">
        <f t="shared" si="784"/>
        <v>0.82766884454433154</v>
      </c>
      <c r="FH155" s="32">
        <f t="shared" si="785"/>
        <v>0.91620122801233084</v>
      </c>
      <c r="FI155" s="32">
        <f t="shared" si="786"/>
        <v>1</v>
      </c>
      <c r="FK155" s="32">
        <f t="shared" si="847"/>
        <v>9.1548102860340708E-2</v>
      </c>
      <c r="FL155" s="32">
        <f t="shared" si="787"/>
        <v>0.1923416338152798</v>
      </c>
      <c r="FM155" s="32">
        <f t="shared" si="788"/>
        <v>0.25518266091137387</v>
      </c>
      <c r="FN155" s="32">
        <f t="shared" si="789"/>
        <v>0.31337344056395594</v>
      </c>
      <c r="FO155" s="32">
        <f t="shared" si="790"/>
        <v>0.38106463227429249</v>
      </c>
      <c r="FP155" s="32">
        <f t="shared" si="791"/>
        <v>0.45414719210364241</v>
      </c>
      <c r="FQ155" s="32">
        <f t="shared" si="792"/>
        <v>0.550774558071635</v>
      </c>
      <c r="FR155" s="32">
        <f t="shared" si="793"/>
        <v>0.65297027780007344</v>
      </c>
      <c r="FS155" s="32">
        <f t="shared" si="794"/>
        <v>0.7352941329022018</v>
      </c>
      <c r="FT155" s="32">
        <f t="shared" si="795"/>
        <v>0.82287474485129808</v>
      </c>
      <c r="FU155" s="32">
        <f t="shared" si="796"/>
        <v>0.91453849635426299</v>
      </c>
      <c r="FV155" s="32">
        <f t="shared" si="797"/>
        <v>1</v>
      </c>
      <c r="FX155" s="32">
        <f t="shared" si="798"/>
        <v>9.6555307470444482E-2</v>
      </c>
      <c r="FY155" s="32">
        <f t="shared" si="799"/>
        <v>0.17939225826708938</v>
      </c>
      <c r="FZ155" s="32">
        <f t="shared" si="800"/>
        <v>0.24048399222726177</v>
      </c>
      <c r="GA155" s="32">
        <f t="shared" si="801"/>
        <v>0.29496847725175418</v>
      </c>
      <c r="GB155" s="32">
        <f t="shared" si="802"/>
        <v>0.36183989604553157</v>
      </c>
      <c r="GC155" s="32">
        <f t="shared" si="803"/>
        <v>0.44090993643702775</v>
      </c>
      <c r="GD155" s="32">
        <f t="shared" si="804"/>
        <v>0.53139305936849168</v>
      </c>
      <c r="GE155" s="32">
        <f t="shared" si="805"/>
        <v>0.62329047892277634</v>
      </c>
      <c r="GF155" s="32">
        <f t="shared" si="806"/>
        <v>0.74372681969138588</v>
      </c>
      <c r="GG155" s="32">
        <f t="shared" si="807"/>
        <v>0.82965268249462465</v>
      </c>
      <c r="GH155" s="32">
        <f t="shared" si="808"/>
        <v>0.92208853214289555</v>
      </c>
      <c r="GI155" s="32">
        <f t="shared" si="809"/>
        <v>1</v>
      </c>
    </row>
    <row r="156" spans="1:191">
      <c r="A156" s="724" t="s">
        <v>80</v>
      </c>
      <c r="B156" s="400">
        <v>6312.7699999999977</v>
      </c>
      <c r="C156" s="400">
        <v>9788.119999999999</v>
      </c>
      <c r="D156" s="400">
        <v>8054.9400000000005</v>
      </c>
      <c r="E156" s="400">
        <v>9829.76</v>
      </c>
      <c r="F156" s="400">
        <v>9599.2199999999993</v>
      </c>
      <c r="G156" s="400">
        <v>13267.689999999999</v>
      </c>
      <c r="H156" s="400">
        <v>10997.06</v>
      </c>
      <c r="I156" s="400">
        <v>12604.72</v>
      </c>
      <c r="J156" s="400">
        <v>9665.6800000000021</v>
      </c>
      <c r="K156" s="400">
        <v>6801.61</v>
      </c>
      <c r="L156" s="400">
        <v>5978.5199999999995</v>
      </c>
      <c r="M156" s="400">
        <v>10131.41</v>
      </c>
      <c r="N156" s="400">
        <f t="shared" si="737"/>
        <v>113031.50000000001</v>
      </c>
      <c r="P156" s="396" t="s">
        <v>80</v>
      </c>
      <c r="Q156" s="400">
        <v>6445.8</v>
      </c>
      <c r="R156" s="400">
        <v>4274.25</v>
      </c>
      <c r="S156" s="400">
        <v>6208.26</v>
      </c>
      <c r="T156" s="400">
        <v>2560.7600000000002</v>
      </c>
      <c r="U156" s="400">
        <v>3665.0399999999995</v>
      </c>
      <c r="V156" s="400">
        <v>7799.54</v>
      </c>
      <c r="W156" s="400">
        <v>5550.17</v>
      </c>
      <c r="X156" s="400">
        <v>8288.3900000000012</v>
      </c>
      <c r="Y156" s="400">
        <v>7719.3099999999995</v>
      </c>
      <c r="Z156" s="400">
        <v>7175.59</v>
      </c>
      <c r="AA156" s="400">
        <v>7491.65</v>
      </c>
      <c r="AB156" s="400">
        <v>9956.07</v>
      </c>
      <c r="AC156" s="400">
        <f t="shared" si="738"/>
        <v>77134.829999999987</v>
      </c>
      <c r="AE156" s="127" t="s">
        <v>80</v>
      </c>
      <c r="AF156" s="27">
        <v>6672.8099999999995</v>
      </c>
      <c r="AG156" s="27">
        <v>8786.0399999999991</v>
      </c>
      <c r="AH156" s="27">
        <v>6803.96</v>
      </c>
      <c r="AI156" s="27">
        <v>7462.1799999999994</v>
      </c>
      <c r="AJ156" s="27">
        <v>7731.59</v>
      </c>
      <c r="AK156" s="27">
        <v>5060.2700000000004</v>
      </c>
      <c r="AL156" s="27">
        <v>7959.7699999999995</v>
      </c>
      <c r="AM156" s="27">
        <v>8984.0399999999991</v>
      </c>
      <c r="AN156" s="27">
        <v>6928.0800000000008</v>
      </c>
      <c r="AO156" s="27">
        <v>9522.19</v>
      </c>
      <c r="AP156" s="27">
        <v>7989.07</v>
      </c>
      <c r="AQ156" s="27">
        <v>9338.4400000000023</v>
      </c>
      <c r="AR156" s="43">
        <f t="shared" si="739"/>
        <v>93238.44</v>
      </c>
      <c r="AT156" s="60" t="s">
        <v>80</v>
      </c>
      <c r="AU156" s="27">
        <v>9302.1900000000023</v>
      </c>
      <c r="AV156" s="27">
        <v>7831.63</v>
      </c>
      <c r="AW156" s="27">
        <v>6546.15</v>
      </c>
      <c r="AX156" s="27">
        <v>6556.0499999999993</v>
      </c>
      <c r="AY156" s="27">
        <v>5976.6000000000013</v>
      </c>
      <c r="AZ156" s="27">
        <v>7164.44</v>
      </c>
      <c r="BA156" s="27">
        <v>8088.2300000000005</v>
      </c>
      <c r="BB156" s="27">
        <v>8529.27</v>
      </c>
      <c r="BC156" s="27">
        <v>4198.0999999999995</v>
      </c>
      <c r="BD156" s="27">
        <v>6261.3899999999994</v>
      </c>
      <c r="BE156" s="27">
        <v>4909.38</v>
      </c>
      <c r="BF156" s="27">
        <v>8668.33</v>
      </c>
      <c r="BG156" s="43">
        <f t="shared" si="699"/>
        <v>84031.760000000024</v>
      </c>
      <c r="BI156" s="60" t="s">
        <v>80</v>
      </c>
      <c r="BJ156" s="27">
        <v>6781.2300000000005</v>
      </c>
      <c r="BK156" s="27">
        <v>7840.44</v>
      </c>
      <c r="BL156" s="27">
        <v>7364.29</v>
      </c>
      <c r="BM156" s="27">
        <v>4615.59</v>
      </c>
      <c r="BN156" s="27">
        <v>5760.73</v>
      </c>
      <c r="BO156" s="27">
        <v>5107.25</v>
      </c>
      <c r="BP156" s="27">
        <v>4538.53</v>
      </c>
      <c r="BQ156" s="27">
        <v>10957.539999999999</v>
      </c>
      <c r="BR156" s="27">
        <v>11910.23</v>
      </c>
      <c r="BS156" s="27">
        <v>13177.72</v>
      </c>
      <c r="BT156" s="27">
        <v>11741.97</v>
      </c>
      <c r="BU156" s="27">
        <v>9982.09</v>
      </c>
      <c r="BV156" s="43">
        <f t="shared" si="700"/>
        <v>99777.61</v>
      </c>
      <c r="BW156" s="405"/>
      <c r="BX156" s="32">
        <f t="shared" si="810"/>
        <v>5.5849652530489263E-2</v>
      </c>
      <c r="BY156" s="32">
        <f t="shared" si="811"/>
        <v>0.14244604380194895</v>
      </c>
      <c r="BZ156" s="32">
        <f t="shared" si="812"/>
        <v>0.21370883337830598</v>
      </c>
      <c r="CA156" s="32">
        <f t="shared" si="813"/>
        <v>0.30067361753139604</v>
      </c>
      <c r="CB156" s="32">
        <f t="shared" si="814"/>
        <v>0.38559879325674695</v>
      </c>
      <c r="CC156" s="32">
        <f t="shared" si="815"/>
        <v>0.50297925799445276</v>
      </c>
      <c r="CD156" s="32">
        <f t="shared" si="816"/>
        <v>0.60027125181918306</v>
      </c>
      <c r="CE156" s="32">
        <f t="shared" si="817"/>
        <v>0.7117863604393464</v>
      </c>
      <c r="CF156" s="32">
        <f t="shared" si="818"/>
        <v>0.79729951385233311</v>
      </c>
      <c r="CG156" s="32">
        <f t="shared" si="819"/>
        <v>0.857473978492721</v>
      </c>
      <c r="CH156" s="32">
        <f t="shared" si="820"/>
        <v>0.91036649075700138</v>
      </c>
      <c r="CI156" s="32">
        <f t="shared" si="821"/>
        <v>1</v>
      </c>
      <c r="CJ156" s="405"/>
      <c r="CK156" s="32">
        <f t="shared" si="822"/>
        <v>8.3565362106845911E-2</v>
      </c>
      <c r="CL156" s="32">
        <f t="shared" si="823"/>
        <v>0.13897807255166053</v>
      </c>
      <c r="CM156" s="32">
        <f t="shared" si="824"/>
        <v>0.21946389199276126</v>
      </c>
      <c r="CN156" s="32">
        <f t="shared" si="825"/>
        <v>0.25266238351727749</v>
      </c>
      <c r="CO156" s="32">
        <f t="shared" si="826"/>
        <v>0.30017710546584475</v>
      </c>
      <c r="CP156" s="32">
        <f t="shared" si="827"/>
        <v>0.40129277526118884</v>
      </c>
      <c r="CQ156" s="32">
        <f t="shared" si="828"/>
        <v>0.47324691063686802</v>
      </c>
      <c r="CR156" s="32">
        <f t="shared" si="829"/>
        <v>0.58070018433955206</v>
      </c>
      <c r="CS156" s="32">
        <f t="shared" si="830"/>
        <v>0.68077572738541081</v>
      </c>
      <c r="CT156" s="32">
        <f t="shared" si="831"/>
        <v>0.77380231472604544</v>
      </c>
      <c r="CU156" s="32">
        <f t="shared" si="832"/>
        <v>0.87092640250843889</v>
      </c>
      <c r="CV156" s="32">
        <f t="shared" si="833"/>
        <v>1</v>
      </c>
      <c r="CX156" s="32">
        <f t="shared" si="834"/>
        <v>7.1567156207246699E-2</v>
      </c>
      <c r="CY156" s="32">
        <f t="shared" si="835"/>
        <v>0.16579910603394907</v>
      </c>
      <c r="CZ156" s="32">
        <f t="shared" si="836"/>
        <v>0.23877287093177446</v>
      </c>
      <c r="DA156" s="32">
        <f t="shared" si="837"/>
        <v>0.31880617050220916</v>
      </c>
      <c r="DB156" s="32">
        <f t="shared" si="838"/>
        <v>0.40172894355589822</v>
      </c>
      <c r="DC156" s="32">
        <f t="shared" si="839"/>
        <v>0.45600130160907887</v>
      </c>
      <c r="DD156" s="32">
        <f t="shared" si="840"/>
        <v>0.54137134855538127</v>
      </c>
      <c r="DE156" s="32">
        <f t="shared" si="841"/>
        <v>0.63772688603541627</v>
      </c>
      <c r="DF156" s="32">
        <f t="shared" si="842"/>
        <v>0.71203186153693698</v>
      </c>
      <c r="DG156" s="32">
        <f t="shared" si="843"/>
        <v>0.81415916010606793</v>
      </c>
      <c r="DH156" s="32">
        <f t="shared" si="844"/>
        <v>0.89984345512430275</v>
      </c>
      <c r="DI156" s="32">
        <f t="shared" si="845"/>
        <v>1</v>
      </c>
      <c r="DK156" s="32">
        <f t="shared" si="740"/>
        <v>0.1106985025661726</v>
      </c>
      <c r="DL156" s="32">
        <f t="shared" si="741"/>
        <v>0.20389695515124279</v>
      </c>
      <c r="DM156" s="32">
        <f t="shared" si="742"/>
        <v>0.28179785833356336</v>
      </c>
      <c r="DN156" s="32">
        <f t="shared" si="743"/>
        <v>0.35981657411435858</v>
      </c>
      <c r="DO156" s="32">
        <f t="shared" si="744"/>
        <v>0.43093968280564388</v>
      </c>
      <c r="DP156" s="32">
        <f t="shared" si="745"/>
        <v>0.51619839927189426</v>
      </c>
      <c r="DQ156" s="32">
        <f t="shared" si="746"/>
        <v>0.61245045920732821</v>
      </c>
      <c r="DR156" s="32">
        <f t="shared" si="747"/>
        <v>0.71395101090349644</v>
      </c>
      <c r="DS156" s="32">
        <f t="shared" si="748"/>
        <v>0.76390950278799341</v>
      </c>
      <c r="DT156" s="32">
        <f t="shared" si="749"/>
        <v>0.83842168722873345</v>
      </c>
      <c r="DU156" s="32">
        <f t="shared" si="750"/>
        <v>0.89684459780444914</v>
      </c>
      <c r="DV156" s="32">
        <f t="shared" si="751"/>
        <v>1</v>
      </c>
      <c r="DW156" s="39"/>
      <c r="DX156" s="32">
        <f t="shared" si="752"/>
        <v>6.7963443902895659E-2</v>
      </c>
      <c r="DY156" s="32">
        <f t="shared" si="753"/>
        <v>0.14654259607942102</v>
      </c>
      <c r="DZ156" s="32">
        <f t="shared" si="754"/>
        <v>0.22034963555450968</v>
      </c>
      <c r="EA156" s="32">
        <f t="shared" si="755"/>
        <v>0.26660841044398637</v>
      </c>
      <c r="EB156" s="32">
        <f t="shared" si="756"/>
        <v>0.32434410886370196</v>
      </c>
      <c r="EC156" s="32">
        <f t="shared" si="757"/>
        <v>0.37553044215029802</v>
      </c>
      <c r="ED156" s="32">
        <f t="shared" si="758"/>
        <v>0.42101689948275967</v>
      </c>
      <c r="EE156" s="32">
        <f t="shared" si="759"/>
        <v>0.53083652735318076</v>
      </c>
      <c r="EF156" s="32">
        <f t="shared" si="760"/>
        <v>0.65020428931901653</v>
      </c>
      <c r="EG156" s="32">
        <f t="shared" si="761"/>
        <v>0.78227520182133048</v>
      </c>
      <c r="EH156" s="32">
        <f t="shared" si="762"/>
        <v>0.8999566135127911</v>
      </c>
      <c r="EI156" s="32">
        <f t="shared" si="763"/>
        <v>1</v>
      </c>
      <c r="EK156" s="32">
        <f t="shared" si="846"/>
        <v>8.3409700892104977E-2</v>
      </c>
      <c r="EL156" s="32">
        <f t="shared" si="764"/>
        <v>0.17207955242153761</v>
      </c>
      <c r="EM156" s="32">
        <f t="shared" si="765"/>
        <v>0.24697345493994918</v>
      </c>
      <c r="EN156" s="32">
        <f t="shared" si="766"/>
        <v>0.31507705168685135</v>
      </c>
      <c r="EO156" s="32">
        <f t="shared" si="767"/>
        <v>0.38567091174174806</v>
      </c>
      <c r="EP156" s="32">
        <f t="shared" si="768"/>
        <v>0.44924338101042371</v>
      </c>
      <c r="EQ156" s="32">
        <f t="shared" si="769"/>
        <v>0.52494623574848964</v>
      </c>
      <c r="ER156" s="32">
        <f t="shared" si="770"/>
        <v>0.62750480809736453</v>
      </c>
      <c r="ES156" s="32">
        <f t="shared" si="771"/>
        <v>0.70871521788131575</v>
      </c>
      <c r="ET156" s="32">
        <f t="shared" si="772"/>
        <v>0.81161868305204399</v>
      </c>
      <c r="EU156" s="32">
        <f t="shared" si="773"/>
        <v>0.89888155548051429</v>
      </c>
      <c r="EV156" s="32">
        <f t="shared" si="774"/>
        <v>1</v>
      </c>
      <c r="EX156" s="32">
        <f t="shared" si="775"/>
        <v>8.3448616195790207E-2</v>
      </c>
      <c r="EY156" s="32">
        <f t="shared" si="776"/>
        <v>0.16380418245406836</v>
      </c>
      <c r="EZ156" s="32">
        <f t="shared" si="777"/>
        <v>0.24009606420315219</v>
      </c>
      <c r="FA156" s="32">
        <f t="shared" si="778"/>
        <v>0.29947338464445789</v>
      </c>
      <c r="FB156" s="32">
        <f t="shared" si="779"/>
        <v>0.3642974601727722</v>
      </c>
      <c r="FC156" s="32">
        <f t="shared" si="780"/>
        <v>0.43725572957311498</v>
      </c>
      <c r="FD156" s="32">
        <f t="shared" si="781"/>
        <v>0.51202140447058431</v>
      </c>
      <c r="FE156" s="32">
        <f t="shared" si="782"/>
        <v>0.61580365215791133</v>
      </c>
      <c r="FF156" s="32">
        <f t="shared" si="783"/>
        <v>0.70173034525733946</v>
      </c>
      <c r="FG156" s="32">
        <f t="shared" si="784"/>
        <v>0.80216459097054438</v>
      </c>
      <c r="FH156" s="32">
        <f t="shared" si="785"/>
        <v>0.89189276723749544</v>
      </c>
      <c r="FI156" s="32">
        <f t="shared" si="786"/>
        <v>1</v>
      </c>
      <c r="FK156" s="32">
        <f t="shared" si="847"/>
        <v>8.8610340293421741E-2</v>
      </c>
      <c r="FL156" s="32">
        <f t="shared" si="787"/>
        <v>0.16955804457895077</v>
      </c>
      <c r="FM156" s="32">
        <f t="shared" si="788"/>
        <v>0.24667820708603305</v>
      </c>
      <c r="FN156" s="32">
        <f t="shared" si="789"/>
        <v>0.3104283760446151</v>
      </c>
      <c r="FO156" s="32">
        <f t="shared" si="790"/>
        <v>0.37761524394246226</v>
      </c>
      <c r="FP156" s="32">
        <f t="shared" si="791"/>
        <v>0.45783082538072062</v>
      </c>
      <c r="FQ156" s="32">
        <f t="shared" si="792"/>
        <v>0.54235623946652578</v>
      </c>
      <c r="FR156" s="32">
        <f t="shared" si="793"/>
        <v>0.64412602709282163</v>
      </c>
      <c r="FS156" s="32">
        <f t="shared" si="794"/>
        <v>0.71890569723678033</v>
      </c>
      <c r="FT156" s="32">
        <f t="shared" si="795"/>
        <v>0.80879438735361564</v>
      </c>
      <c r="FU156" s="32">
        <f t="shared" si="796"/>
        <v>0.88920481847906352</v>
      </c>
      <c r="FV156" s="32">
        <f t="shared" si="797"/>
        <v>1</v>
      </c>
      <c r="FX156" s="32">
        <f t="shared" si="798"/>
        <v>7.0327390281527291E-2</v>
      </c>
      <c r="FY156" s="32">
        <f t="shared" si="799"/>
        <v>0.14907440746251951</v>
      </c>
      <c r="FZ156" s="32">
        <f t="shared" si="800"/>
        <v>0.22398186543428059</v>
      </c>
      <c r="GA156" s="32">
        <f t="shared" si="801"/>
        <v>0.29071405718362753</v>
      </c>
      <c r="GB156" s="32">
        <f t="shared" si="802"/>
        <v>0.36250161409283005</v>
      </c>
      <c r="GC156" s="32">
        <f t="shared" si="803"/>
        <v>0.4534244449549068</v>
      </c>
      <c r="GD156" s="32">
        <f t="shared" si="804"/>
        <v>0.53829650367047743</v>
      </c>
      <c r="GE156" s="32">
        <f t="shared" si="805"/>
        <v>0.64340447693810487</v>
      </c>
      <c r="GF156" s="32">
        <f t="shared" si="806"/>
        <v>0.73003570092489356</v>
      </c>
      <c r="GG156" s="32">
        <f t="shared" si="807"/>
        <v>0.81514515110827812</v>
      </c>
      <c r="GH156" s="32">
        <f t="shared" si="808"/>
        <v>0.89371211612991441</v>
      </c>
      <c r="GI156" s="32">
        <f t="shared" si="809"/>
        <v>1</v>
      </c>
    </row>
    <row r="157" spans="1:191">
      <c r="A157" s="724" t="s">
        <v>81</v>
      </c>
      <c r="B157" s="400">
        <v>26031.369999999981</v>
      </c>
      <c r="C157" s="400">
        <v>22237.82</v>
      </c>
      <c r="D157" s="400">
        <v>18036.600000000002</v>
      </c>
      <c r="E157" s="400">
        <v>23378.639999999999</v>
      </c>
      <c r="F157" s="400">
        <v>20249.310000000001</v>
      </c>
      <c r="G157" s="400">
        <v>29534.539999999997</v>
      </c>
      <c r="H157" s="400">
        <v>28548.760000000002</v>
      </c>
      <c r="I157" s="400">
        <v>37720.29</v>
      </c>
      <c r="J157" s="400">
        <v>35191.56</v>
      </c>
      <c r="K157" s="400">
        <v>29744.25</v>
      </c>
      <c r="L157" s="400">
        <v>22747.32</v>
      </c>
      <c r="M157" s="400">
        <v>38003.329999999994</v>
      </c>
      <c r="N157" s="400">
        <f t="shared" si="737"/>
        <v>331423.79000000004</v>
      </c>
      <c r="P157" s="396" t="s">
        <v>81</v>
      </c>
      <c r="Q157" s="400">
        <v>19543.86</v>
      </c>
      <c r="R157" s="400">
        <v>19797.210000000003</v>
      </c>
      <c r="S157" s="400">
        <v>12526.090000000002</v>
      </c>
      <c r="T157" s="400">
        <v>7413.4300000000012</v>
      </c>
      <c r="U157" s="400">
        <v>6187.46</v>
      </c>
      <c r="V157" s="400">
        <v>6747.35</v>
      </c>
      <c r="W157" s="400">
        <v>10404.92</v>
      </c>
      <c r="X157" s="400">
        <v>11276.689999999999</v>
      </c>
      <c r="Y157" s="400">
        <v>12669.67</v>
      </c>
      <c r="Z157" s="400">
        <v>13266.480000000001</v>
      </c>
      <c r="AA157" s="400">
        <v>17558.740000000002</v>
      </c>
      <c r="AB157" s="400">
        <v>16308.619999999999</v>
      </c>
      <c r="AC157" s="400">
        <f t="shared" si="738"/>
        <v>153700.51999999999</v>
      </c>
      <c r="AE157" s="127" t="s">
        <v>81</v>
      </c>
      <c r="AF157" s="27">
        <v>17645.89</v>
      </c>
      <c r="AG157" s="27">
        <v>19036.38</v>
      </c>
      <c r="AH157" s="27">
        <v>14732.97</v>
      </c>
      <c r="AI157" s="27">
        <v>11955.279999999999</v>
      </c>
      <c r="AJ157" s="27">
        <v>13149.650000000001</v>
      </c>
      <c r="AK157" s="27">
        <v>13773.070000000003</v>
      </c>
      <c r="AL157" s="27">
        <v>17806.370000000003</v>
      </c>
      <c r="AM157" s="27">
        <v>16133</v>
      </c>
      <c r="AN157" s="27">
        <v>15122.140000000001</v>
      </c>
      <c r="AO157" s="27">
        <v>18681.210000000006</v>
      </c>
      <c r="AP157" s="27">
        <v>26746.9</v>
      </c>
      <c r="AQ157" s="27">
        <v>26362.22</v>
      </c>
      <c r="AR157" s="43">
        <f t="shared" si="739"/>
        <v>211145.08000000002</v>
      </c>
      <c r="AT157" s="60" t="s">
        <v>81</v>
      </c>
      <c r="AU157" s="27">
        <v>27961.77</v>
      </c>
      <c r="AV157" s="27">
        <v>25265.339999999997</v>
      </c>
      <c r="AW157" s="27">
        <v>19084.93</v>
      </c>
      <c r="AX157" s="27">
        <v>22285.52</v>
      </c>
      <c r="AY157" s="27">
        <v>18606.91</v>
      </c>
      <c r="AZ157" s="27">
        <v>15606.41</v>
      </c>
      <c r="BA157" s="27">
        <v>20107.079999999998</v>
      </c>
      <c r="BB157" s="27">
        <v>34134.020000000004</v>
      </c>
      <c r="BC157" s="27">
        <v>14000.28</v>
      </c>
      <c r="BD157" s="27">
        <v>23090.45</v>
      </c>
      <c r="BE157" s="27">
        <v>13907.65</v>
      </c>
      <c r="BF157" s="27">
        <v>16133.83</v>
      </c>
      <c r="BG157" s="43">
        <f t="shared" si="699"/>
        <v>250184.19000000003</v>
      </c>
      <c r="BI157" s="60" t="s">
        <v>81</v>
      </c>
      <c r="BJ157" s="27">
        <v>19331.07</v>
      </c>
      <c r="BK157" s="27">
        <v>16370.189999999997</v>
      </c>
      <c r="BL157" s="27">
        <v>13335.870000000003</v>
      </c>
      <c r="BM157" s="27">
        <v>9705.06</v>
      </c>
      <c r="BN157" s="27">
        <v>11219.66</v>
      </c>
      <c r="BO157" s="27">
        <v>11421.490000000002</v>
      </c>
      <c r="BP157" s="27">
        <v>14915.300000000001</v>
      </c>
      <c r="BQ157" s="27">
        <v>13362.310000000001</v>
      </c>
      <c r="BR157" s="27">
        <v>15225.54</v>
      </c>
      <c r="BS157" s="27">
        <v>18345.810000000001</v>
      </c>
      <c r="BT157" s="27">
        <v>23172.03</v>
      </c>
      <c r="BU157" s="27">
        <v>26976.86</v>
      </c>
      <c r="BV157" s="43">
        <f t="shared" si="700"/>
        <v>193381.19</v>
      </c>
      <c r="BW157" s="405"/>
      <c r="BX157" s="32">
        <f t="shared" si="810"/>
        <v>7.8544059857622098E-2</v>
      </c>
      <c r="BY157" s="32">
        <f t="shared" si="811"/>
        <v>0.14564189854928633</v>
      </c>
      <c r="BZ157" s="32">
        <f t="shared" si="812"/>
        <v>0.2000634595362028</v>
      </c>
      <c r="CA157" s="32">
        <f t="shared" si="813"/>
        <v>0.27060347719757827</v>
      </c>
      <c r="CB157" s="32">
        <f t="shared" si="814"/>
        <v>0.33170141467515041</v>
      </c>
      <c r="CC157" s="32">
        <f t="shared" si="815"/>
        <v>0.4208155365068994</v>
      </c>
      <c r="CD157" s="32">
        <f t="shared" si="816"/>
        <v>0.50695527922120487</v>
      </c>
      <c r="CE157" s="32">
        <f t="shared" si="817"/>
        <v>0.62076814099555122</v>
      </c>
      <c r="CF157" s="32">
        <f t="shared" si="818"/>
        <v>0.72695110390234796</v>
      </c>
      <c r="CG157" s="32">
        <f t="shared" si="819"/>
        <v>0.81669798055233145</v>
      </c>
      <c r="CH157" s="32">
        <f t="shared" si="820"/>
        <v>0.88533312590505342</v>
      </c>
      <c r="CI157" s="32">
        <f t="shared" si="821"/>
        <v>1</v>
      </c>
      <c r="CJ157" s="405"/>
      <c r="CK157" s="32">
        <f t="shared" si="822"/>
        <v>0.1271554578995569</v>
      </c>
      <c r="CL157" s="32">
        <f t="shared" si="823"/>
        <v>0.25595925114632018</v>
      </c>
      <c r="CM157" s="32">
        <f t="shared" si="824"/>
        <v>0.33745598258223208</v>
      </c>
      <c r="CN157" s="32">
        <f t="shared" si="825"/>
        <v>0.38568893586046432</v>
      </c>
      <c r="CO157" s="32">
        <f t="shared" si="826"/>
        <v>0.42594553356097958</v>
      </c>
      <c r="CP157" s="32">
        <f t="shared" si="827"/>
        <v>0.46984486454567631</v>
      </c>
      <c r="CQ157" s="32">
        <f t="shared" si="828"/>
        <v>0.53754092699230949</v>
      </c>
      <c r="CR157" s="32">
        <f t="shared" si="829"/>
        <v>0.61090886354841234</v>
      </c>
      <c r="CS157" s="32">
        <f t="shared" si="830"/>
        <v>0.69333974927345732</v>
      </c>
      <c r="CT157" s="32">
        <f t="shared" si="831"/>
        <v>0.77965357566779869</v>
      </c>
      <c r="CU157" s="32">
        <f t="shared" si="832"/>
        <v>0.8938935274909936</v>
      </c>
      <c r="CV157" s="32">
        <f t="shared" si="833"/>
        <v>1</v>
      </c>
      <c r="CX157" s="32">
        <f t="shared" si="834"/>
        <v>8.3572347506273875E-2</v>
      </c>
      <c r="CY157" s="32">
        <f t="shared" si="835"/>
        <v>0.17373016695439933</v>
      </c>
      <c r="CZ157" s="32">
        <f t="shared" si="836"/>
        <v>0.24350669217582527</v>
      </c>
      <c r="DA157" s="32">
        <f t="shared" si="837"/>
        <v>0.30012785521689633</v>
      </c>
      <c r="DB157" s="32">
        <f t="shared" si="838"/>
        <v>0.36240565018138243</v>
      </c>
      <c r="DC157" s="32">
        <f t="shared" si="839"/>
        <v>0.42763601216755803</v>
      </c>
      <c r="DD157" s="32">
        <f t="shared" si="840"/>
        <v>0.51196840579946268</v>
      </c>
      <c r="DE157" s="32">
        <f t="shared" si="841"/>
        <v>0.58837558516637001</v>
      </c>
      <c r="DF157" s="32">
        <f t="shared" si="842"/>
        <v>0.65999525065893094</v>
      </c>
      <c r="DG157" s="32">
        <f t="shared" si="843"/>
        <v>0.74847095655745333</v>
      </c>
      <c r="DH157" s="32">
        <f t="shared" si="844"/>
        <v>0.87514641591459297</v>
      </c>
      <c r="DI157" s="32">
        <f t="shared" si="845"/>
        <v>1</v>
      </c>
      <c r="DK157" s="32">
        <f t="shared" si="740"/>
        <v>0.11176473621294773</v>
      </c>
      <c r="DL157" s="32">
        <f t="shared" si="741"/>
        <v>0.21275169306261915</v>
      </c>
      <c r="DM157" s="32">
        <f t="shared" si="742"/>
        <v>0.28903521041837216</v>
      </c>
      <c r="DN157" s="32">
        <f t="shared" si="743"/>
        <v>0.37811166245157218</v>
      </c>
      <c r="DO157" s="32">
        <f t="shared" si="744"/>
        <v>0.45248450751424379</v>
      </c>
      <c r="DP157" s="32">
        <f t="shared" si="745"/>
        <v>0.51486418866036265</v>
      </c>
      <c r="DQ157" s="32">
        <f t="shared" si="746"/>
        <v>0.59523329591690022</v>
      </c>
      <c r="DR157" s="32">
        <f t="shared" si="747"/>
        <v>0.73166885565390849</v>
      </c>
      <c r="DS157" s="32">
        <f t="shared" si="748"/>
        <v>0.78762874664462212</v>
      </c>
      <c r="DT157" s="32">
        <f t="shared" si="749"/>
        <v>0.8799225482633416</v>
      </c>
      <c r="DU157" s="32">
        <f t="shared" si="750"/>
        <v>0.93551219203739455</v>
      </c>
      <c r="DV157" s="32">
        <f t="shared" si="751"/>
        <v>1</v>
      </c>
      <c r="DW157" s="39"/>
      <c r="DX157" s="32">
        <f t="shared" si="752"/>
        <v>9.9963548678131522E-2</v>
      </c>
      <c r="DY157" s="32">
        <f t="shared" si="753"/>
        <v>0.18461599083137298</v>
      </c>
      <c r="DZ157" s="32">
        <f t="shared" si="754"/>
        <v>0.25357755839645002</v>
      </c>
      <c r="EA157" s="32">
        <f t="shared" si="755"/>
        <v>0.30376372179734745</v>
      </c>
      <c r="EB157" s="32">
        <f t="shared" si="756"/>
        <v>0.36178208438990367</v>
      </c>
      <c r="EC157" s="32">
        <f t="shared" si="757"/>
        <v>0.42084413690907579</v>
      </c>
      <c r="ED157" s="32">
        <f t="shared" si="758"/>
        <v>0.4979731482674194</v>
      </c>
      <c r="EE157" s="32">
        <f t="shared" si="759"/>
        <v>0.56707144060908921</v>
      </c>
      <c r="EF157" s="32">
        <f t="shared" si="760"/>
        <v>0.64580474450488168</v>
      </c>
      <c r="EG157" s="32">
        <f t="shared" si="761"/>
        <v>0.74067338193544052</v>
      </c>
      <c r="EH157" s="32">
        <f t="shared" si="762"/>
        <v>0.8604990485372439</v>
      </c>
      <c r="EI157" s="32">
        <f t="shared" si="763"/>
        <v>1</v>
      </c>
      <c r="EK157" s="32">
        <f t="shared" si="846"/>
        <v>9.8433544132451034E-2</v>
      </c>
      <c r="EL157" s="32">
        <f t="shared" si="764"/>
        <v>0.19036595028279715</v>
      </c>
      <c r="EM157" s="32">
        <f t="shared" si="765"/>
        <v>0.26203982033021583</v>
      </c>
      <c r="EN157" s="32">
        <f t="shared" si="766"/>
        <v>0.32733441315527201</v>
      </c>
      <c r="EO157" s="32">
        <f t="shared" si="767"/>
        <v>0.39222408069517661</v>
      </c>
      <c r="EP157" s="32">
        <f t="shared" si="768"/>
        <v>0.45444811257899881</v>
      </c>
      <c r="EQ157" s="32">
        <f t="shared" si="769"/>
        <v>0.53505828332792749</v>
      </c>
      <c r="ER157" s="32">
        <f t="shared" si="770"/>
        <v>0.62903862714312264</v>
      </c>
      <c r="ES157" s="32">
        <f t="shared" si="771"/>
        <v>0.69780958060281162</v>
      </c>
      <c r="ET157" s="32">
        <f t="shared" si="772"/>
        <v>0.78968896225207852</v>
      </c>
      <c r="EU157" s="32">
        <f t="shared" si="773"/>
        <v>0.89038588549641051</v>
      </c>
      <c r="EV157" s="32">
        <f t="shared" si="774"/>
        <v>1</v>
      </c>
      <c r="EX157" s="32">
        <f t="shared" si="775"/>
        <v>0.10561402257422751</v>
      </c>
      <c r="EY157" s="32">
        <f t="shared" si="776"/>
        <v>0.20676427549867793</v>
      </c>
      <c r="EZ157" s="32">
        <f t="shared" si="777"/>
        <v>0.28089386089321988</v>
      </c>
      <c r="FA157" s="32">
        <f t="shared" si="778"/>
        <v>0.34192304383157007</v>
      </c>
      <c r="FB157" s="32">
        <f t="shared" si="779"/>
        <v>0.40065444391162736</v>
      </c>
      <c r="FC157" s="32">
        <f t="shared" si="780"/>
        <v>0.4582973005706682</v>
      </c>
      <c r="FD157" s="32">
        <f t="shared" si="781"/>
        <v>0.53567894424402296</v>
      </c>
      <c r="FE157" s="32">
        <f t="shared" si="782"/>
        <v>0.62450618624444498</v>
      </c>
      <c r="FF157" s="32">
        <f t="shared" si="783"/>
        <v>0.69669212277047299</v>
      </c>
      <c r="FG157" s="32">
        <f t="shared" si="784"/>
        <v>0.78718011560600853</v>
      </c>
      <c r="FH157" s="32">
        <f t="shared" si="785"/>
        <v>0.89126279599505631</v>
      </c>
      <c r="FI157" s="32">
        <f t="shared" si="786"/>
        <v>1</v>
      </c>
      <c r="FK157" s="32">
        <f t="shared" si="847"/>
        <v>0.10749751387292616</v>
      </c>
      <c r="FL157" s="32">
        <f t="shared" si="787"/>
        <v>0.21414703705444618</v>
      </c>
      <c r="FM157" s="32">
        <f t="shared" si="788"/>
        <v>0.28999929505880984</v>
      </c>
      <c r="FN157" s="32">
        <f t="shared" si="789"/>
        <v>0.35464281784297763</v>
      </c>
      <c r="FO157" s="32">
        <f t="shared" si="790"/>
        <v>0.41361189708553531</v>
      </c>
      <c r="FP157" s="32">
        <f t="shared" si="791"/>
        <v>0.47078168845786567</v>
      </c>
      <c r="FQ157" s="32">
        <f t="shared" si="792"/>
        <v>0.54824754290289079</v>
      </c>
      <c r="FR157" s="32">
        <f t="shared" si="793"/>
        <v>0.64365110145623028</v>
      </c>
      <c r="FS157" s="32">
        <f t="shared" si="794"/>
        <v>0.71365458219233691</v>
      </c>
      <c r="FT157" s="32">
        <f t="shared" si="795"/>
        <v>0.80268236016286443</v>
      </c>
      <c r="FU157" s="32">
        <f t="shared" si="796"/>
        <v>0.90151737848099367</v>
      </c>
      <c r="FV157" s="32">
        <f t="shared" si="797"/>
        <v>1</v>
      </c>
      <c r="FX157" s="32">
        <f t="shared" si="798"/>
        <v>9.6423955087817634E-2</v>
      </c>
      <c r="FY157" s="32">
        <f t="shared" si="799"/>
        <v>0.19177710555000194</v>
      </c>
      <c r="FZ157" s="32">
        <f t="shared" si="800"/>
        <v>0.26034204476475337</v>
      </c>
      <c r="GA157" s="32">
        <f t="shared" si="801"/>
        <v>0.31880675609164633</v>
      </c>
      <c r="GB157" s="32">
        <f t="shared" si="802"/>
        <v>0.37335086613917084</v>
      </c>
      <c r="GC157" s="32">
        <f t="shared" si="803"/>
        <v>0.43943213774004458</v>
      </c>
      <c r="GD157" s="32">
        <f t="shared" si="804"/>
        <v>0.51882153733765901</v>
      </c>
      <c r="GE157" s="32">
        <f t="shared" si="805"/>
        <v>0.60668419657011119</v>
      </c>
      <c r="GF157" s="32">
        <f t="shared" si="806"/>
        <v>0.69342870127824552</v>
      </c>
      <c r="GG157" s="32">
        <f t="shared" si="807"/>
        <v>0.78160750425919445</v>
      </c>
      <c r="GH157" s="32">
        <f t="shared" si="808"/>
        <v>0.88479102310354663</v>
      </c>
      <c r="GI157" s="32">
        <f t="shared" si="809"/>
        <v>1</v>
      </c>
    </row>
    <row r="158" spans="1:191">
      <c r="A158" s="724" t="s">
        <v>82</v>
      </c>
      <c r="B158" s="400">
        <v>19816.320000000022</v>
      </c>
      <c r="C158" s="400">
        <v>11085.98</v>
      </c>
      <c r="D158" s="400">
        <v>10536.230000000001</v>
      </c>
      <c r="E158" s="400">
        <v>12706.55</v>
      </c>
      <c r="F158" s="400">
        <v>11037.86</v>
      </c>
      <c r="G158" s="400">
        <v>16335.839999999998</v>
      </c>
      <c r="H158" s="400">
        <v>16530.150000000001</v>
      </c>
      <c r="I158" s="400">
        <v>15401.71</v>
      </c>
      <c r="J158" s="400">
        <v>13814.130000000001</v>
      </c>
      <c r="K158" s="400">
        <v>14759.93</v>
      </c>
      <c r="L158" s="400">
        <v>19394.82</v>
      </c>
      <c r="M158" s="400">
        <v>29744.190000000002</v>
      </c>
      <c r="N158" s="400">
        <f t="shared" si="737"/>
        <v>191163.71000000002</v>
      </c>
      <c r="P158" s="396" t="s">
        <v>82</v>
      </c>
      <c r="Q158" s="400">
        <v>8404.2800000000007</v>
      </c>
      <c r="R158" s="400">
        <v>10729.469999999998</v>
      </c>
      <c r="S158" s="400">
        <v>5178.6200000000008</v>
      </c>
      <c r="T158" s="400">
        <v>3640.95</v>
      </c>
      <c r="U158" s="400">
        <v>4547.74</v>
      </c>
      <c r="V158" s="400">
        <v>8755.3799999999992</v>
      </c>
      <c r="W158" s="400">
        <v>5146.6900000000014</v>
      </c>
      <c r="X158" s="400">
        <v>7280.56</v>
      </c>
      <c r="Y158" s="400">
        <v>9743.93</v>
      </c>
      <c r="Z158" s="400">
        <v>8759.4700000000012</v>
      </c>
      <c r="AA158" s="400">
        <v>8445.8999999999978</v>
      </c>
      <c r="AB158" s="400">
        <v>6947.87</v>
      </c>
      <c r="AC158" s="400">
        <f t="shared" si="738"/>
        <v>87580.859999999986</v>
      </c>
      <c r="AE158" s="127" t="s">
        <v>82</v>
      </c>
      <c r="AF158" s="27">
        <v>9532.9500000000007</v>
      </c>
      <c r="AG158" s="27">
        <v>11944</v>
      </c>
      <c r="AH158" s="27">
        <v>5317.24</v>
      </c>
      <c r="AI158" s="27">
        <v>6000.2500000000009</v>
      </c>
      <c r="AJ158" s="27">
        <v>9103.66</v>
      </c>
      <c r="AK158" s="27">
        <v>6426.9800000000005</v>
      </c>
      <c r="AL158" s="27">
        <v>7586.369999999999</v>
      </c>
      <c r="AM158" s="27">
        <v>8800.9299999999985</v>
      </c>
      <c r="AN158" s="27">
        <v>9603.9</v>
      </c>
      <c r="AO158" s="27">
        <v>15930.5</v>
      </c>
      <c r="AP158" s="27">
        <v>10164.1</v>
      </c>
      <c r="AQ158" s="27">
        <v>8433.9400000000023</v>
      </c>
      <c r="AR158" s="43">
        <f t="shared" si="739"/>
        <v>108844.82000000002</v>
      </c>
      <c r="AT158" s="60" t="s">
        <v>82</v>
      </c>
      <c r="AU158" s="27">
        <v>9417.42</v>
      </c>
      <c r="AV158" s="27">
        <v>14041.17</v>
      </c>
      <c r="AW158" s="27">
        <v>7728.1799999999994</v>
      </c>
      <c r="AX158" s="27">
        <v>5147.79</v>
      </c>
      <c r="AY158" s="27">
        <v>4541.5900000000011</v>
      </c>
      <c r="AZ158" s="27">
        <v>8640.42</v>
      </c>
      <c r="BA158" s="27">
        <v>12984.9</v>
      </c>
      <c r="BB158" s="27">
        <v>10104.75</v>
      </c>
      <c r="BC158" s="27">
        <v>7479.9400000000005</v>
      </c>
      <c r="BD158" s="27">
        <v>9881.07</v>
      </c>
      <c r="BE158" s="27">
        <v>8065.63</v>
      </c>
      <c r="BF158" s="27">
        <v>10980.11</v>
      </c>
      <c r="BG158" s="43">
        <f t="shared" si="699"/>
        <v>109012.97000000002</v>
      </c>
      <c r="BI158" s="60" t="s">
        <v>82</v>
      </c>
      <c r="BJ158" s="27">
        <v>4850.079999999999</v>
      </c>
      <c r="BK158" s="27">
        <v>15711.319999999998</v>
      </c>
      <c r="BL158" s="27">
        <v>13502.93</v>
      </c>
      <c r="BM158" s="27">
        <v>7465.08</v>
      </c>
      <c r="BN158" s="27">
        <v>6748.93</v>
      </c>
      <c r="BO158" s="27">
        <v>7870.19</v>
      </c>
      <c r="BP158" s="27">
        <v>7126.0400000000009</v>
      </c>
      <c r="BQ158" s="27">
        <v>9020.16</v>
      </c>
      <c r="BR158" s="27">
        <v>6593.14</v>
      </c>
      <c r="BS158" s="27">
        <v>6864.3</v>
      </c>
      <c r="BT158" s="27">
        <v>10435.969999999999</v>
      </c>
      <c r="BU158" s="27">
        <v>9397.5999999999985</v>
      </c>
      <c r="BV158" s="43">
        <f t="shared" si="700"/>
        <v>105585.74000000002</v>
      </c>
      <c r="BW158" s="405"/>
      <c r="BX158" s="32">
        <f t="shared" si="810"/>
        <v>0.10366151609005715</v>
      </c>
      <c r="BY158" s="32">
        <f t="shared" si="811"/>
        <v>0.16165359000408611</v>
      </c>
      <c r="BZ158" s="32">
        <f t="shared" si="812"/>
        <v>0.21676985657999637</v>
      </c>
      <c r="CA158" s="32">
        <f t="shared" si="813"/>
        <v>0.28323932403278851</v>
      </c>
      <c r="CB158" s="32">
        <f t="shared" si="814"/>
        <v>0.34097967652960914</v>
      </c>
      <c r="CC158" s="32">
        <f t="shared" si="815"/>
        <v>0.42643438966527697</v>
      </c>
      <c r="CD158" s="32">
        <f t="shared" si="816"/>
        <v>0.5129055614164425</v>
      </c>
      <c r="CE158" s="32">
        <f t="shared" si="817"/>
        <v>0.5934737299249947</v>
      </c>
      <c r="CF158" s="32">
        <f t="shared" si="818"/>
        <v>0.66573707949066274</v>
      </c>
      <c r="CG158" s="32">
        <f t="shared" si="819"/>
        <v>0.74294802083512601</v>
      </c>
      <c r="CH158" s="32">
        <f t="shared" si="820"/>
        <v>0.84440462052133225</v>
      </c>
      <c r="CI158" s="32">
        <f t="shared" si="821"/>
        <v>1</v>
      </c>
      <c r="CJ158" s="405"/>
      <c r="CK158" s="32">
        <f t="shared" si="822"/>
        <v>9.5960236060710094E-2</v>
      </c>
      <c r="CL158" s="32">
        <f t="shared" si="823"/>
        <v>0.21846953775059988</v>
      </c>
      <c r="CM158" s="32">
        <f t="shared" si="824"/>
        <v>0.27759912382682705</v>
      </c>
      <c r="CN158" s="32">
        <f t="shared" si="825"/>
        <v>0.31917156328448942</v>
      </c>
      <c r="CO158" s="32">
        <f t="shared" si="826"/>
        <v>0.3710977489830542</v>
      </c>
      <c r="CP158" s="32">
        <f t="shared" si="827"/>
        <v>0.47106685182127706</v>
      </c>
      <c r="CQ158" s="32">
        <f t="shared" si="828"/>
        <v>0.52983186052295006</v>
      </c>
      <c r="CR158" s="32">
        <f t="shared" si="829"/>
        <v>0.61296143929164448</v>
      </c>
      <c r="CS158" s="32">
        <f t="shared" si="830"/>
        <v>0.72421782567561011</v>
      </c>
      <c r="CT158" s="32">
        <f t="shared" si="831"/>
        <v>0.8242336282151147</v>
      </c>
      <c r="CU158" s="32">
        <f t="shared" si="832"/>
        <v>0.92066908226295108</v>
      </c>
      <c r="CV158" s="32">
        <f t="shared" si="833"/>
        <v>1</v>
      </c>
      <c r="CX158" s="32">
        <f t="shared" si="834"/>
        <v>8.7582946069459239E-2</v>
      </c>
      <c r="CY158" s="32">
        <f t="shared" si="835"/>
        <v>0.19731715298899843</v>
      </c>
      <c r="CZ158" s="32">
        <f t="shared" si="836"/>
        <v>0.24616871983434763</v>
      </c>
      <c r="DA158" s="32">
        <f t="shared" si="837"/>
        <v>0.30129536711071775</v>
      </c>
      <c r="DB158" s="32">
        <f t="shared" si="838"/>
        <v>0.38493425778093987</v>
      </c>
      <c r="DC158" s="32">
        <f t="shared" si="839"/>
        <v>0.44398144073369777</v>
      </c>
      <c r="DD158" s="32">
        <f t="shared" si="840"/>
        <v>0.5136803937936596</v>
      </c>
      <c r="DE158" s="32">
        <f t="shared" si="841"/>
        <v>0.59453798536301494</v>
      </c>
      <c r="DF158" s="32">
        <f t="shared" si="842"/>
        <v>0.68277277687629045</v>
      </c>
      <c r="DG158" s="32">
        <f t="shared" si="843"/>
        <v>0.82913252095965606</v>
      </c>
      <c r="DH158" s="32">
        <f t="shared" si="844"/>
        <v>0.92251408932459988</v>
      </c>
      <c r="DI158" s="32">
        <f t="shared" si="845"/>
        <v>1</v>
      </c>
      <c r="DK158" s="32">
        <f t="shared" si="740"/>
        <v>8.6388069236165196E-2</v>
      </c>
      <c r="DL158" s="32">
        <f t="shared" si="741"/>
        <v>0.21519081628543829</v>
      </c>
      <c r="DM158" s="32">
        <f t="shared" si="742"/>
        <v>0.28608311469726949</v>
      </c>
      <c r="DN158" s="32">
        <f t="shared" si="743"/>
        <v>0.33330492692750224</v>
      </c>
      <c r="DO158" s="32">
        <f t="shared" si="744"/>
        <v>0.3749659329527486</v>
      </c>
      <c r="DP158" s="32">
        <f t="shared" si="745"/>
        <v>0.45422640994002816</v>
      </c>
      <c r="DQ158" s="32">
        <f t="shared" si="746"/>
        <v>0.57333975947999571</v>
      </c>
      <c r="DR158" s="32">
        <f t="shared" si="747"/>
        <v>0.66603285829199943</v>
      </c>
      <c r="DS158" s="32">
        <f t="shared" si="748"/>
        <v>0.73464799647234624</v>
      </c>
      <c r="DT158" s="32">
        <f t="shared" si="749"/>
        <v>0.82528922934582916</v>
      </c>
      <c r="DU158" s="32">
        <f t="shared" si="750"/>
        <v>0.89927703098080902</v>
      </c>
      <c r="DV158" s="32">
        <f t="shared" si="751"/>
        <v>1</v>
      </c>
      <c r="DW158" s="39"/>
      <c r="DX158" s="32">
        <f t="shared" si="752"/>
        <v>4.5934990842513373E-2</v>
      </c>
      <c r="DY158" s="32">
        <f t="shared" si="753"/>
        <v>0.19473652407986147</v>
      </c>
      <c r="DZ158" s="32">
        <f t="shared" si="754"/>
        <v>0.32262244882689645</v>
      </c>
      <c r="EA158" s="32">
        <f t="shared" si="755"/>
        <v>0.39332404167456697</v>
      </c>
      <c r="EB158" s="32">
        <f t="shared" si="756"/>
        <v>0.45724299512415212</v>
      </c>
      <c r="EC158" s="32">
        <f t="shared" si="757"/>
        <v>0.53178137502280132</v>
      </c>
      <c r="ED158" s="32">
        <f t="shared" si="758"/>
        <v>0.59927192819787967</v>
      </c>
      <c r="EE158" s="32">
        <f t="shared" si="759"/>
        <v>0.68470164626397467</v>
      </c>
      <c r="EF158" s="32">
        <f t="shared" si="760"/>
        <v>0.7471451163765106</v>
      </c>
      <c r="EG158" s="32">
        <f t="shared" si="761"/>
        <v>0.81215673631685492</v>
      </c>
      <c r="EH158" s="32">
        <f t="shared" si="762"/>
        <v>0.91099555678636146</v>
      </c>
      <c r="EI158" s="32">
        <f t="shared" si="763"/>
        <v>1</v>
      </c>
      <c r="EK158" s="32">
        <f t="shared" si="846"/>
        <v>7.330200204937927E-2</v>
      </c>
      <c r="EL158" s="32">
        <f t="shared" si="764"/>
        <v>0.20241483111809941</v>
      </c>
      <c r="EM158" s="32">
        <f t="shared" si="765"/>
        <v>0.28495809445283787</v>
      </c>
      <c r="EN158" s="32">
        <f t="shared" si="766"/>
        <v>0.34264144523759565</v>
      </c>
      <c r="EO158" s="32">
        <f t="shared" si="767"/>
        <v>0.40571439528594683</v>
      </c>
      <c r="EP158" s="32">
        <f t="shared" si="768"/>
        <v>0.47666307523217571</v>
      </c>
      <c r="EQ158" s="32">
        <f t="shared" si="769"/>
        <v>0.56209736049051173</v>
      </c>
      <c r="ER158" s="32">
        <f t="shared" si="770"/>
        <v>0.64842416330632968</v>
      </c>
      <c r="ES158" s="32">
        <f t="shared" si="771"/>
        <v>0.7215219632417158</v>
      </c>
      <c r="ET158" s="32">
        <f t="shared" si="772"/>
        <v>0.82219282887411327</v>
      </c>
      <c r="EU158" s="32">
        <f t="shared" si="773"/>
        <v>0.91092889236392338</v>
      </c>
      <c r="EV158" s="32">
        <f t="shared" si="774"/>
        <v>1</v>
      </c>
      <c r="EX158" s="32">
        <f t="shared" si="775"/>
        <v>7.8966560552211976E-2</v>
      </c>
      <c r="EY158" s="32">
        <f t="shared" si="776"/>
        <v>0.20642850777622451</v>
      </c>
      <c r="EZ158" s="32">
        <f t="shared" si="777"/>
        <v>0.28311835179633515</v>
      </c>
      <c r="FA158" s="32">
        <f t="shared" si="778"/>
        <v>0.33677397474931908</v>
      </c>
      <c r="FB158" s="32">
        <f t="shared" si="779"/>
        <v>0.3970602337102237</v>
      </c>
      <c r="FC158" s="32">
        <f t="shared" si="780"/>
        <v>0.47526401937945106</v>
      </c>
      <c r="FD158" s="32">
        <f t="shared" si="781"/>
        <v>0.55403098549862129</v>
      </c>
      <c r="FE158" s="32">
        <f t="shared" si="782"/>
        <v>0.63955848230265833</v>
      </c>
      <c r="FF158" s="32">
        <f t="shared" si="783"/>
        <v>0.72219592885018935</v>
      </c>
      <c r="FG158" s="32">
        <f t="shared" si="784"/>
        <v>0.82270302870936363</v>
      </c>
      <c r="FH158" s="32">
        <f t="shared" si="785"/>
        <v>0.91336393983868036</v>
      </c>
      <c r="FI158" s="32">
        <f t="shared" si="786"/>
        <v>1</v>
      </c>
      <c r="FK158" s="32">
        <f t="shared" si="847"/>
        <v>8.9977083788778167E-2</v>
      </c>
      <c r="FL158" s="32">
        <f t="shared" si="787"/>
        <v>0.2103258356750122</v>
      </c>
      <c r="FM158" s="32">
        <f t="shared" si="788"/>
        <v>0.26995031945281472</v>
      </c>
      <c r="FN158" s="32">
        <f t="shared" si="789"/>
        <v>0.31792395244090316</v>
      </c>
      <c r="FO158" s="32">
        <f t="shared" si="790"/>
        <v>0.37699931323891422</v>
      </c>
      <c r="FP158" s="32">
        <f t="shared" si="791"/>
        <v>0.45642490083166765</v>
      </c>
      <c r="FQ158" s="32">
        <f t="shared" si="792"/>
        <v>0.53895067126553509</v>
      </c>
      <c r="FR158" s="32">
        <f t="shared" si="793"/>
        <v>0.62451076098221958</v>
      </c>
      <c r="FS158" s="32">
        <f t="shared" si="794"/>
        <v>0.71387953300808216</v>
      </c>
      <c r="FT158" s="32">
        <f t="shared" si="795"/>
        <v>0.82621845950686668</v>
      </c>
      <c r="FU158" s="32">
        <f t="shared" si="796"/>
        <v>0.91415340085611996</v>
      </c>
      <c r="FV158" s="32">
        <f t="shared" si="797"/>
        <v>1</v>
      </c>
      <c r="FX158" s="32">
        <f t="shared" si="798"/>
        <v>9.5734899406742166E-2</v>
      </c>
      <c r="FY158" s="32">
        <f t="shared" si="799"/>
        <v>0.19248009358122811</v>
      </c>
      <c r="FZ158" s="32">
        <f t="shared" si="800"/>
        <v>0.24684590008039034</v>
      </c>
      <c r="GA158" s="32">
        <f t="shared" si="801"/>
        <v>0.30123541814266525</v>
      </c>
      <c r="GB158" s="32">
        <f t="shared" si="802"/>
        <v>0.36567056109786772</v>
      </c>
      <c r="GC158" s="32">
        <f t="shared" si="803"/>
        <v>0.44716089407341725</v>
      </c>
      <c r="GD158" s="32">
        <f t="shared" si="804"/>
        <v>0.51880593857768409</v>
      </c>
      <c r="GE158" s="32">
        <f t="shared" si="805"/>
        <v>0.6003243848598846</v>
      </c>
      <c r="GF158" s="32">
        <f t="shared" si="806"/>
        <v>0.69090922734752114</v>
      </c>
      <c r="GG158" s="32">
        <f t="shared" si="807"/>
        <v>0.798771390003299</v>
      </c>
      <c r="GH158" s="32">
        <f t="shared" si="808"/>
        <v>0.8958625973696277</v>
      </c>
      <c r="GI158" s="32">
        <f t="shared" si="809"/>
        <v>1</v>
      </c>
    </row>
    <row r="159" spans="1:191">
      <c r="A159" s="724" t="s">
        <v>83</v>
      </c>
      <c r="B159" s="400">
        <v>27268.230000000036</v>
      </c>
      <c r="C159" s="400">
        <v>23554.98</v>
      </c>
      <c r="D159" s="400">
        <v>19591.710000000003</v>
      </c>
      <c r="E159" s="400">
        <v>20582.570000000003</v>
      </c>
      <c r="F159" s="400">
        <v>24522.660000000003</v>
      </c>
      <c r="G159" s="400">
        <v>27328.780000000002</v>
      </c>
      <c r="H159" s="400">
        <v>28753.49</v>
      </c>
      <c r="I159" s="400">
        <v>27087.300000000003</v>
      </c>
      <c r="J159" s="400">
        <v>24017.339999999997</v>
      </c>
      <c r="K159" s="400">
        <v>16788.62</v>
      </c>
      <c r="L159" s="400">
        <v>16966.12</v>
      </c>
      <c r="M159" s="400">
        <v>23423.409999999996</v>
      </c>
      <c r="N159" s="400">
        <f t="shared" si="737"/>
        <v>279885.21000000002</v>
      </c>
      <c r="P159" s="396" t="s">
        <v>83</v>
      </c>
      <c r="Q159" s="400">
        <v>24049.379999999997</v>
      </c>
      <c r="R159" s="400">
        <v>17286.120000000003</v>
      </c>
      <c r="S159" s="400">
        <v>16882.149999999998</v>
      </c>
      <c r="T159" s="400">
        <v>11102.199999999999</v>
      </c>
      <c r="U159" s="400">
        <v>15837.019999999999</v>
      </c>
      <c r="V159" s="400">
        <v>10816.98</v>
      </c>
      <c r="W159" s="400">
        <v>10022.449999999999</v>
      </c>
      <c r="X159" s="400">
        <v>18436.239999999998</v>
      </c>
      <c r="Y159" s="400">
        <v>12994.089999999998</v>
      </c>
      <c r="Z159" s="400">
        <v>19519.379999999997</v>
      </c>
      <c r="AA159" s="400">
        <v>18085.990000000002</v>
      </c>
      <c r="AB159" s="400">
        <v>13601.92</v>
      </c>
      <c r="AC159" s="400">
        <f t="shared" si="738"/>
        <v>188633.91999999998</v>
      </c>
      <c r="AE159" s="127" t="s">
        <v>83</v>
      </c>
      <c r="AF159" s="27">
        <v>18831.18</v>
      </c>
      <c r="AG159" s="27">
        <v>20279.07</v>
      </c>
      <c r="AH159" s="27">
        <v>14244.56</v>
      </c>
      <c r="AI159" s="27">
        <v>15411.8</v>
      </c>
      <c r="AJ159" s="27">
        <v>17069.679999999997</v>
      </c>
      <c r="AK159" s="27">
        <v>20191.29</v>
      </c>
      <c r="AL159" s="27">
        <v>28201.110000000004</v>
      </c>
      <c r="AM159" s="27">
        <v>24202.120000000003</v>
      </c>
      <c r="AN159" s="27">
        <v>23960.550000000003</v>
      </c>
      <c r="AO159" s="27">
        <v>25798.370000000003</v>
      </c>
      <c r="AP159" s="27">
        <v>23411.329999999998</v>
      </c>
      <c r="AQ159" s="27">
        <v>27165.51</v>
      </c>
      <c r="AR159" s="43">
        <f t="shared" si="739"/>
        <v>258766.56999999998</v>
      </c>
      <c r="AT159" s="60" t="s">
        <v>83</v>
      </c>
      <c r="AU159" s="27">
        <v>25939.510000000002</v>
      </c>
      <c r="AV159" s="27">
        <v>27754.6</v>
      </c>
      <c r="AW159" s="27">
        <v>24768.91</v>
      </c>
      <c r="AX159" s="27">
        <v>20901.62</v>
      </c>
      <c r="AY159" s="27">
        <v>17578.599999999999</v>
      </c>
      <c r="AZ159" s="27">
        <v>21552.360000000004</v>
      </c>
      <c r="BA159" s="27">
        <v>19028.7</v>
      </c>
      <c r="BB159" s="27">
        <v>17753.769999999997</v>
      </c>
      <c r="BC159" s="27">
        <v>9958.9999999999982</v>
      </c>
      <c r="BD159" s="27">
        <v>14695.210000000001</v>
      </c>
      <c r="BE159" s="27">
        <v>16332.5</v>
      </c>
      <c r="BF159" s="27">
        <v>21317.31</v>
      </c>
      <c r="BG159" s="43">
        <f t="shared" si="699"/>
        <v>237582.09</v>
      </c>
      <c r="BI159" s="60" t="s">
        <v>83</v>
      </c>
      <c r="BJ159" s="27">
        <v>15823.83</v>
      </c>
      <c r="BK159" s="27">
        <v>15491.25</v>
      </c>
      <c r="BL159" s="27">
        <v>16871.030000000002</v>
      </c>
      <c r="BM159" s="27">
        <v>11916.75</v>
      </c>
      <c r="BN159" s="27">
        <v>16485.330000000002</v>
      </c>
      <c r="BO159" s="27">
        <v>14555.75</v>
      </c>
      <c r="BP159" s="27">
        <v>17140.309999999998</v>
      </c>
      <c r="BQ159" s="27">
        <v>24172.73</v>
      </c>
      <c r="BR159" s="27">
        <v>21123.010000000002</v>
      </c>
      <c r="BS159" s="27">
        <v>30031.02</v>
      </c>
      <c r="BT159" s="27">
        <v>31936.71</v>
      </c>
      <c r="BU159" s="27">
        <v>29046.440000000002</v>
      </c>
      <c r="BV159" s="43">
        <f t="shared" si="700"/>
        <v>244594.16</v>
      </c>
      <c r="BW159" s="405"/>
      <c r="BX159" s="32">
        <f t="shared" si="810"/>
        <v>9.7426477090375857E-2</v>
      </c>
      <c r="BY159" s="32">
        <f t="shared" si="811"/>
        <v>0.18158590802279273</v>
      </c>
      <c r="BZ159" s="32">
        <f t="shared" si="812"/>
        <v>0.25158499800686157</v>
      </c>
      <c r="CA159" s="32">
        <f t="shared" si="813"/>
        <v>0.32512432507598399</v>
      </c>
      <c r="CB159" s="32">
        <f t="shared" si="814"/>
        <v>0.41274117342606292</v>
      </c>
      <c r="CC159" s="32">
        <f t="shared" si="815"/>
        <v>0.51038398920757566</v>
      </c>
      <c r="CD159" s="32">
        <f t="shared" si="816"/>
        <v>0.61311714184540167</v>
      </c>
      <c r="CE159" s="32">
        <f t="shared" si="817"/>
        <v>0.70989717534556407</v>
      </c>
      <c r="CF159" s="32">
        <f t="shared" si="818"/>
        <v>0.79570856923808164</v>
      </c>
      <c r="CG159" s="32">
        <f t="shared" si="819"/>
        <v>0.85569251765750687</v>
      </c>
      <c r="CH159" s="32">
        <f t="shared" si="820"/>
        <v>0.91631065464302308</v>
      </c>
      <c r="CI159" s="32">
        <f t="shared" si="821"/>
        <v>1</v>
      </c>
      <c r="CJ159" s="405"/>
      <c r="CK159" s="32">
        <f t="shared" si="822"/>
        <v>0.12749234072005713</v>
      </c>
      <c r="CL159" s="32">
        <f t="shared" si="823"/>
        <v>0.21913079047501108</v>
      </c>
      <c r="CM159" s="32">
        <f t="shared" si="824"/>
        <v>0.30862768477694785</v>
      </c>
      <c r="CN159" s="32">
        <f t="shared" si="825"/>
        <v>0.3674834833523048</v>
      </c>
      <c r="CO159" s="32">
        <f t="shared" si="826"/>
        <v>0.45143985768837336</v>
      </c>
      <c r="CP159" s="32">
        <f t="shared" si="827"/>
        <v>0.5087836270380216</v>
      </c>
      <c r="CQ159" s="32">
        <f t="shared" si="828"/>
        <v>0.56191537555917836</v>
      </c>
      <c r="CR159" s="32">
        <f t="shared" si="829"/>
        <v>0.65965092598404351</v>
      </c>
      <c r="CS159" s="32">
        <f t="shared" si="830"/>
        <v>0.72853615086830614</v>
      </c>
      <c r="CT159" s="32">
        <f t="shared" si="831"/>
        <v>0.83201372266451334</v>
      </c>
      <c r="CU159" s="32">
        <f t="shared" si="832"/>
        <v>0.927892502048412</v>
      </c>
      <c r="CV159" s="32">
        <f t="shared" si="833"/>
        <v>1</v>
      </c>
      <c r="CX159" s="32">
        <f t="shared" si="834"/>
        <v>7.277284697169345E-2</v>
      </c>
      <c r="CY159" s="32">
        <f t="shared" si="835"/>
        <v>0.15114104576955209</v>
      </c>
      <c r="CZ159" s="32">
        <f t="shared" si="836"/>
        <v>0.20618896018910016</v>
      </c>
      <c r="DA159" s="32">
        <f t="shared" si="837"/>
        <v>0.26574765820793622</v>
      </c>
      <c r="DB159" s="32">
        <f t="shared" si="838"/>
        <v>0.3317132116409009</v>
      </c>
      <c r="DC159" s="32">
        <f t="shared" si="839"/>
        <v>0.40974218578543586</v>
      </c>
      <c r="DD159" s="32">
        <f t="shared" si="840"/>
        <v>0.51872500377463759</v>
      </c>
      <c r="DE159" s="32">
        <f t="shared" si="841"/>
        <v>0.61225377760349808</v>
      </c>
      <c r="DF159" s="32">
        <f t="shared" si="842"/>
        <v>0.70484900735052447</v>
      </c>
      <c r="DG159" s="32">
        <f t="shared" si="843"/>
        <v>0.8045464682706116</v>
      </c>
      <c r="DH159" s="32">
        <f t="shared" si="844"/>
        <v>0.8950192445647055</v>
      </c>
      <c r="DI159" s="32">
        <f t="shared" si="845"/>
        <v>1</v>
      </c>
      <c r="DK159" s="32">
        <f t="shared" si="740"/>
        <v>0.10918125183594438</v>
      </c>
      <c r="DL159" s="32">
        <f t="shared" si="741"/>
        <v>0.22600234723080348</v>
      </c>
      <c r="DM159" s="32">
        <f t="shared" si="742"/>
        <v>0.33025645998820874</v>
      </c>
      <c r="DN159" s="32">
        <f t="shared" si="743"/>
        <v>0.41823287268834114</v>
      </c>
      <c r="DO159" s="32">
        <f t="shared" si="744"/>
        <v>0.4922224566675038</v>
      </c>
      <c r="DP159" s="32">
        <f t="shared" si="745"/>
        <v>0.58293788054478357</v>
      </c>
      <c r="DQ159" s="32">
        <f t="shared" si="746"/>
        <v>0.66303103908211269</v>
      </c>
      <c r="DR159" s="32">
        <f t="shared" si="747"/>
        <v>0.73775792611303326</v>
      </c>
      <c r="DS159" s="32">
        <f t="shared" si="748"/>
        <v>0.77967606901681863</v>
      </c>
      <c r="DT159" s="32">
        <f t="shared" si="749"/>
        <v>0.84152925837128545</v>
      </c>
      <c r="DU159" s="32">
        <f t="shared" si="750"/>
        <v>0.91027391837490779</v>
      </c>
      <c r="DV159" s="32">
        <f t="shared" si="751"/>
        <v>1</v>
      </c>
      <c r="DW159" s="39"/>
      <c r="DX159" s="32">
        <f t="shared" si="752"/>
        <v>6.4694226550625733E-2</v>
      </c>
      <c r="DY159" s="32">
        <f t="shared" si="753"/>
        <v>0.12802873134828729</v>
      </c>
      <c r="DZ159" s="32">
        <f t="shared" si="754"/>
        <v>0.19700433567179201</v>
      </c>
      <c r="EA159" s="32">
        <f t="shared" si="755"/>
        <v>0.24572483660280359</v>
      </c>
      <c r="EB159" s="32">
        <f t="shared" si="756"/>
        <v>0.31312354309685891</v>
      </c>
      <c r="EC159" s="32">
        <f t="shared" si="757"/>
        <v>0.37263334496620854</v>
      </c>
      <c r="ED159" s="32">
        <f t="shared" si="758"/>
        <v>0.44270987500273923</v>
      </c>
      <c r="EE159" s="32">
        <f t="shared" si="759"/>
        <v>0.54153778651133788</v>
      </c>
      <c r="EF159" s="32">
        <f t="shared" si="760"/>
        <v>0.62789720735769006</v>
      </c>
      <c r="EG159" s="32">
        <f t="shared" si="761"/>
        <v>0.75067618131193325</v>
      </c>
      <c r="EH159" s="32">
        <f t="shared" si="762"/>
        <v>0.88124638789413445</v>
      </c>
      <c r="EI159" s="32">
        <f t="shared" si="763"/>
        <v>1</v>
      </c>
      <c r="EK159" s="32">
        <f t="shared" si="846"/>
        <v>8.2216108452754524E-2</v>
      </c>
      <c r="EL159" s="32">
        <f t="shared" si="764"/>
        <v>0.16839070811621429</v>
      </c>
      <c r="EM159" s="32">
        <f t="shared" si="765"/>
        <v>0.2444832519497003</v>
      </c>
      <c r="EN159" s="32">
        <f t="shared" si="766"/>
        <v>0.3099017891663603</v>
      </c>
      <c r="EO159" s="32">
        <f t="shared" si="767"/>
        <v>0.37901973713508785</v>
      </c>
      <c r="EP159" s="32">
        <f t="shared" si="768"/>
        <v>0.45510447043214269</v>
      </c>
      <c r="EQ159" s="32">
        <f t="shared" si="769"/>
        <v>0.54148863928649649</v>
      </c>
      <c r="ER159" s="32">
        <f t="shared" si="770"/>
        <v>0.63051649674262311</v>
      </c>
      <c r="ES159" s="32">
        <f t="shared" si="771"/>
        <v>0.70414076124167779</v>
      </c>
      <c r="ET159" s="32">
        <f t="shared" si="772"/>
        <v>0.79891730265127681</v>
      </c>
      <c r="EU159" s="32">
        <f t="shared" si="773"/>
        <v>0.89551318361124921</v>
      </c>
      <c r="EV159" s="32">
        <f t="shared" si="774"/>
        <v>1</v>
      </c>
      <c r="EX159" s="32">
        <f t="shared" si="775"/>
        <v>9.3535166519580173E-2</v>
      </c>
      <c r="EY159" s="32">
        <f t="shared" si="776"/>
        <v>0.18107572870591349</v>
      </c>
      <c r="EZ159" s="32">
        <f t="shared" si="777"/>
        <v>0.26051936015651217</v>
      </c>
      <c r="FA159" s="32">
        <f t="shared" si="778"/>
        <v>0.32429721271284645</v>
      </c>
      <c r="FB159" s="32">
        <f t="shared" si="779"/>
        <v>0.39712476727340923</v>
      </c>
      <c r="FC159" s="32">
        <f t="shared" si="780"/>
        <v>0.46852425958361243</v>
      </c>
      <c r="FD159" s="32">
        <f t="shared" si="781"/>
        <v>0.54659532335466698</v>
      </c>
      <c r="FE159" s="32">
        <f t="shared" si="782"/>
        <v>0.63780010405297816</v>
      </c>
      <c r="FF159" s="32">
        <f t="shared" si="783"/>
        <v>0.71023960864833491</v>
      </c>
      <c r="FG159" s="32">
        <f t="shared" si="784"/>
        <v>0.80719140765458597</v>
      </c>
      <c r="FH159" s="32">
        <f t="shared" si="785"/>
        <v>0.90360801322053996</v>
      </c>
      <c r="FI159" s="32">
        <f t="shared" si="786"/>
        <v>1</v>
      </c>
      <c r="FK159" s="32">
        <f t="shared" si="847"/>
        <v>0.10314881317589832</v>
      </c>
      <c r="FL159" s="32">
        <f t="shared" si="787"/>
        <v>0.19875806115845554</v>
      </c>
      <c r="FM159" s="32">
        <f t="shared" si="788"/>
        <v>0.28169103498475229</v>
      </c>
      <c r="FN159" s="32">
        <f t="shared" si="789"/>
        <v>0.3504880047495274</v>
      </c>
      <c r="FO159" s="32">
        <f t="shared" si="790"/>
        <v>0.42512517533225935</v>
      </c>
      <c r="FP159" s="32">
        <f t="shared" si="791"/>
        <v>0.50048789778941372</v>
      </c>
      <c r="FQ159" s="32">
        <f t="shared" si="792"/>
        <v>0.58122380613864288</v>
      </c>
      <c r="FR159" s="32">
        <f t="shared" si="793"/>
        <v>0.66988754323352495</v>
      </c>
      <c r="FS159" s="32">
        <f t="shared" si="794"/>
        <v>0.73768707574521653</v>
      </c>
      <c r="FT159" s="32">
        <f t="shared" si="795"/>
        <v>0.82602981643547013</v>
      </c>
      <c r="FU159" s="32">
        <f t="shared" si="796"/>
        <v>0.91106188832934176</v>
      </c>
      <c r="FV159" s="32">
        <f t="shared" si="797"/>
        <v>1</v>
      </c>
      <c r="FX159" s="32">
        <f t="shared" si="798"/>
        <v>9.9230554927375481E-2</v>
      </c>
      <c r="FY159" s="32">
        <f t="shared" si="799"/>
        <v>0.18395258142245197</v>
      </c>
      <c r="FZ159" s="32">
        <f t="shared" si="800"/>
        <v>0.25546721432430325</v>
      </c>
      <c r="GA159" s="32">
        <f t="shared" si="801"/>
        <v>0.31945182221207497</v>
      </c>
      <c r="GB159" s="32">
        <f t="shared" si="802"/>
        <v>0.39863141425177906</v>
      </c>
      <c r="GC159" s="32">
        <f t="shared" si="803"/>
        <v>0.47630326734367773</v>
      </c>
      <c r="GD159" s="32">
        <f t="shared" si="804"/>
        <v>0.56458584039307258</v>
      </c>
      <c r="GE159" s="32">
        <f t="shared" si="805"/>
        <v>0.66060062631103522</v>
      </c>
      <c r="GF159" s="32">
        <f t="shared" si="806"/>
        <v>0.74303124248563746</v>
      </c>
      <c r="GG159" s="32">
        <f t="shared" si="807"/>
        <v>0.83075090286421061</v>
      </c>
      <c r="GH159" s="32">
        <f t="shared" si="808"/>
        <v>0.91307413375204682</v>
      </c>
      <c r="GI159" s="32">
        <f t="shared" si="809"/>
        <v>1</v>
      </c>
    </row>
    <row r="160" spans="1:191">
      <c r="A160" s="724" t="s">
        <v>84</v>
      </c>
      <c r="B160" s="400">
        <v>15820.840000000009</v>
      </c>
      <c r="C160" s="400">
        <v>8971.4700000000012</v>
      </c>
      <c r="D160" s="400">
        <v>8716.76</v>
      </c>
      <c r="E160" s="400">
        <v>11063.82</v>
      </c>
      <c r="F160" s="400">
        <v>13087.720000000001</v>
      </c>
      <c r="G160" s="400">
        <v>20699.18</v>
      </c>
      <c r="H160" s="400">
        <v>21209.070000000003</v>
      </c>
      <c r="I160" s="400">
        <v>24553.829999999998</v>
      </c>
      <c r="J160" s="400">
        <v>20900.89</v>
      </c>
      <c r="K160" s="400">
        <v>19989.760000000002</v>
      </c>
      <c r="L160" s="400">
        <v>15932.050000000001</v>
      </c>
      <c r="M160" s="400">
        <v>24072.699999999997</v>
      </c>
      <c r="N160" s="400">
        <f t="shared" si="737"/>
        <v>205018.09000000003</v>
      </c>
      <c r="P160" s="396" t="s">
        <v>84</v>
      </c>
      <c r="Q160" s="400">
        <v>10782.63</v>
      </c>
      <c r="R160" s="400">
        <v>11828.59</v>
      </c>
      <c r="S160" s="400">
        <v>8429.69</v>
      </c>
      <c r="T160" s="400">
        <v>7750.2699999999995</v>
      </c>
      <c r="U160" s="400">
        <v>4216.37</v>
      </c>
      <c r="V160" s="400">
        <v>5410.9400000000005</v>
      </c>
      <c r="W160" s="400">
        <v>5126.68</v>
      </c>
      <c r="X160" s="400">
        <v>7437.95</v>
      </c>
      <c r="Y160" s="400">
        <v>6079.09</v>
      </c>
      <c r="Z160" s="400">
        <v>7676.4</v>
      </c>
      <c r="AA160" s="400">
        <v>7735.579999999999</v>
      </c>
      <c r="AB160" s="400">
        <v>10580.88</v>
      </c>
      <c r="AC160" s="400">
        <f t="shared" si="738"/>
        <v>93055.07</v>
      </c>
      <c r="AE160" s="127" t="s">
        <v>84</v>
      </c>
      <c r="AF160" s="27">
        <v>14703.45</v>
      </c>
      <c r="AG160" s="27">
        <v>13480.82</v>
      </c>
      <c r="AH160" s="27">
        <v>12189.45</v>
      </c>
      <c r="AI160" s="27">
        <v>12341.52</v>
      </c>
      <c r="AJ160" s="27">
        <v>9452.1100000000024</v>
      </c>
      <c r="AK160" s="27">
        <v>10811.529999999999</v>
      </c>
      <c r="AL160" s="27">
        <v>15579.730000000001</v>
      </c>
      <c r="AM160" s="27">
        <v>16892.2</v>
      </c>
      <c r="AN160" s="27">
        <v>15949.730000000001</v>
      </c>
      <c r="AO160" s="27">
        <v>23982.399999999998</v>
      </c>
      <c r="AP160" s="27">
        <v>24250.54</v>
      </c>
      <c r="AQ160" s="27">
        <v>23471.19</v>
      </c>
      <c r="AR160" s="43">
        <f t="shared" si="739"/>
        <v>193104.67</v>
      </c>
      <c r="AT160" s="60" t="s">
        <v>84</v>
      </c>
      <c r="AU160" s="27">
        <v>11118.359999999999</v>
      </c>
      <c r="AV160" s="27">
        <v>10215.890000000001</v>
      </c>
      <c r="AW160" s="27">
        <v>11028.06</v>
      </c>
      <c r="AX160" s="27">
        <v>9503.8300000000017</v>
      </c>
      <c r="AY160" s="27">
        <v>10550.640000000001</v>
      </c>
      <c r="AZ160" s="27">
        <v>10300.720000000001</v>
      </c>
      <c r="BA160" s="27">
        <v>14682.310000000001</v>
      </c>
      <c r="BB160" s="27">
        <v>24485.600000000002</v>
      </c>
      <c r="BC160" s="27">
        <v>14628.999999999998</v>
      </c>
      <c r="BD160" s="27">
        <v>18727.169999999998</v>
      </c>
      <c r="BE160" s="27">
        <v>16181.83</v>
      </c>
      <c r="BF160" s="27">
        <v>25163.279999999999</v>
      </c>
      <c r="BG160" s="43">
        <f t="shared" si="699"/>
        <v>176586.69</v>
      </c>
      <c r="BI160" s="60" t="s">
        <v>84</v>
      </c>
      <c r="BJ160" s="27">
        <v>7381.77</v>
      </c>
      <c r="BK160" s="27">
        <v>5161.55</v>
      </c>
      <c r="BL160" s="27">
        <v>6788.15</v>
      </c>
      <c r="BM160" s="27">
        <v>3507.5</v>
      </c>
      <c r="BN160" s="27">
        <v>5315.9500000000007</v>
      </c>
      <c r="BO160" s="27">
        <v>6146.9800000000005</v>
      </c>
      <c r="BP160" s="27">
        <v>6317.77</v>
      </c>
      <c r="BQ160" s="27">
        <v>9367.0500000000011</v>
      </c>
      <c r="BR160" s="27">
        <v>13030.48</v>
      </c>
      <c r="BS160" s="27">
        <v>10399.44</v>
      </c>
      <c r="BT160" s="27">
        <v>17006.240000000002</v>
      </c>
      <c r="BU160" s="27">
        <v>14234.349999999999</v>
      </c>
      <c r="BV160" s="43">
        <f t="shared" si="700"/>
        <v>104657.23000000001</v>
      </c>
      <c r="BW160" s="405"/>
      <c r="BX160" s="32">
        <f t="shared" si="810"/>
        <v>7.7168019661094336E-2</v>
      </c>
      <c r="BY160" s="32">
        <f t="shared" si="811"/>
        <v>0.12092742645295354</v>
      </c>
      <c r="BZ160" s="32">
        <f t="shared" si="812"/>
        <v>0.16344445507223293</v>
      </c>
      <c r="CA160" s="32">
        <f t="shared" si="813"/>
        <v>0.21740954664049406</v>
      </c>
      <c r="CB160" s="32">
        <f t="shared" si="814"/>
        <v>0.28124645000838711</v>
      </c>
      <c r="CC160" s="32">
        <f t="shared" si="815"/>
        <v>0.38220915042179937</v>
      </c>
      <c r="CD160" s="32">
        <f t="shared" si="816"/>
        <v>0.48565889966100068</v>
      </c>
      <c r="CE160" s="32">
        <f t="shared" si="817"/>
        <v>0.60542311168736374</v>
      </c>
      <c r="CF160" s="32">
        <f t="shared" si="818"/>
        <v>0.70736967650025417</v>
      </c>
      <c r="CG160" s="32">
        <f t="shared" si="819"/>
        <v>0.80487209689642514</v>
      </c>
      <c r="CH160" s="32">
        <f t="shared" si="820"/>
        <v>0.88258255649538042</v>
      </c>
      <c r="CI160" s="32">
        <f t="shared" si="821"/>
        <v>1</v>
      </c>
      <c r="CJ160" s="405"/>
      <c r="CK160" s="32">
        <f t="shared" si="822"/>
        <v>0.11587364342426477</v>
      </c>
      <c r="CL160" s="32">
        <f t="shared" si="823"/>
        <v>0.2429875126632004</v>
      </c>
      <c r="CM160" s="32">
        <f t="shared" si="824"/>
        <v>0.33357569877707899</v>
      </c>
      <c r="CN160" s="32">
        <f t="shared" si="825"/>
        <v>0.41686261694284898</v>
      </c>
      <c r="CO160" s="32">
        <f t="shared" si="826"/>
        <v>0.46217309814500168</v>
      </c>
      <c r="CP160" s="32">
        <f t="shared" si="827"/>
        <v>0.52032081647996187</v>
      </c>
      <c r="CQ160" s="32">
        <f t="shared" si="828"/>
        <v>0.57541378454715042</v>
      </c>
      <c r="CR160" s="32">
        <f t="shared" si="829"/>
        <v>0.6553444105732229</v>
      </c>
      <c r="CS160" s="32">
        <f t="shared" si="830"/>
        <v>0.72067228577658371</v>
      </c>
      <c r="CT160" s="32">
        <f t="shared" si="831"/>
        <v>0.80316537293454293</v>
      </c>
      <c r="CU160" s="32">
        <f t="shared" si="832"/>
        <v>0.88629442759002808</v>
      </c>
      <c r="CV160" s="32">
        <f t="shared" si="833"/>
        <v>1</v>
      </c>
      <c r="CX160" s="32">
        <f t="shared" si="834"/>
        <v>7.6142384334879104E-2</v>
      </c>
      <c r="CY160" s="32">
        <f t="shared" si="835"/>
        <v>0.14595333194168736</v>
      </c>
      <c r="CZ160" s="32">
        <f t="shared" si="836"/>
        <v>0.2090768700725881</v>
      </c>
      <c r="DA160" s="32">
        <f t="shared" si="837"/>
        <v>0.27298790857828553</v>
      </c>
      <c r="DB160" s="32">
        <f t="shared" si="838"/>
        <v>0.32193602567975182</v>
      </c>
      <c r="DC160" s="32">
        <f t="shared" si="839"/>
        <v>0.37792395181328342</v>
      </c>
      <c r="DD160" s="32">
        <f t="shared" si="840"/>
        <v>0.45860418600958741</v>
      </c>
      <c r="DE160" s="32">
        <f t="shared" si="841"/>
        <v>0.54608109684763184</v>
      </c>
      <c r="DF160" s="32">
        <f t="shared" si="842"/>
        <v>0.62867739035001058</v>
      </c>
      <c r="DG160" s="32">
        <f t="shared" si="843"/>
        <v>0.75287117603111309</v>
      </c>
      <c r="DH160" s="32">
        <f t="shared" si="844"/>
        <v>0.87845353506986656</v>
      </c>
      <c r="DI160" s="32">
        <f t="shared" si="845"/>
        <v>1</v>
      </c>
      <c r="DK160" s="32">
        <f t="shared" si="740"/>
        <v>6.2962616265132998E-2</v>
      </c>
      <c r="DL160" s="32">
        <f t="shared" si="741"/>
        <v>0.1208145982010309</v>
      </c>
      <c r="DM160" s="32">
        <f t="shared" si="742"/>
        <v>0.18326585089736944</v>
      </c>
      <c r="DN160" s="32">
        <f t="shared" si="743"/>
        <v>0.23708547909245029</v>
      </c>
      <c r="DO160" s="32">
        <f t="shared" si="744"/>
        <v>0.29683313051510279</v>
      </c>
      <c r="DP160" s="32">
        <f t="shared" si="745"/>
        <v>0.35516549973273748</v>
      </c>
      <c r="DQ160" s="32">
        <f t="shared" si="746"/>
        <v>0.43831055443646399</v>
      </c>
      <c r="DR160" s="32">
        <f t="shared" si="747"/>
        <v>0.57697106163550604</v>
      </c>
      <c r="DS160" s="32">
        <f t="shared" si="748"/>
        <v>0.65981422495659214</v>
      </c>
      <c r="DT160" s="32">
        <f t="shared" si="749"/>
        <v>0.76586508303655287</v>
      </c>
      <c r="DU160" s="32">
        <f t="shared" si="750"/>
        <v>0.85750183097038624</v>
      </c>
      <c r="DV160" s="32">
        <f t="shared" si="751"/>
        <v>1</v>
      </c>
      <c r="DW160" s="39"/>
      <c r="DX160" s="32">
        <f t="shared" si="752"/>
        <v>7.0532824153668114E-2</v>
      </c>
      <c r="DY160" s="32">
        <f t="shared" si="753"/>
        <v>0.11985144265713892</v>
      </c>
      <c r="DZ160" s="32">
        <f t="shared" si="754"/>
        <v>0.18471222676159113</v>
      </c>
      <c r="EA160" s="32">
        <f t="shared" si="755"/>
        <v>0.21822639487018716</v>
      </c>
      <c r="EB160" s="32">
        <f t="shared" si="756"/>
        <v>0.26902030562054813</v>
      </c>
      <c r="EC160" s="32">
        <f t="shared" si="757"/>
        <v>0.32775470934975059</v>
      </c>
      <c r="ED160" s="32">
        <f t="shared" si="758"/>
        <v>0.38812101180205127</v>
      </c>
      <c r="EE160" s="32">
        <f t="shared" si="759"/>
        <v>0.47762318953024074</v>
      </c>
      <c r="EF160" s="32">
        <f t="shared" si="760"/>
        <v>0.60212944676636282</v>
      </c>
      <c r="EG160" s="32">
        <f t="shared" si="761"/>
        <v>0.70149611259537437</v>
      </c>
      <c r="EH160" s="32">
        <f t="shared" si="762"/>
        <v>0.86399076298885413</v>
      </c>
      <c r="EI160" s="32">
        <f t="shared" si="763"/>
        <v>1</v>
      </c>
      <c r="EK160" s="32">
        <f t="shared" si="846"/>
        <v>6.9879274917893405E-2</v>
      </c>
      <c r="EL160" s="32">
        <f t="shared" si="764"/>
        <v>0.12887312426661907</v>
      </c>
      <c r="EM160" s="32">
        <f t="shared" si="765"/>
        <v>0.19235164924384954</v>
      </c>
      <c r="EN160" s="32">
        <f t="shared" si="766"/>
        <v>0.24276659418030766</v>
      </c>
      <c r="EO160" s="32">
        <f t="shared" si="767"/>
        <v>0.29592982060513423</v>
      </c>
      <c r="EP160" s="32">
        <f t="shared" si="768"/>
        <v>0.35361472029859048</v>
      </c>
      <c r="EQ160" s="32">
        <f t="shared" si="769"/>
        <v>0.42834525074936752</v>
      </c>
      <c r="ER160" s="32">
        <f t="shared" si="770"/>
        <v>0.53355844933779284</v>
      </c>
      <c r="ES160" s="32">
        <f t="shared" si="771"/>
        <v>0.63020702069098844</v>
      </c>
      <c r="ET160" s="32">
        <f t="shared" si="772"/>
        <v>0.74007745722101348</v>
      </c>
      <c r="EU160" s="32">
        <f t="shared" si="773"/>
        <v>0.86664870967636898</v>
      </c>
      <c r="EV160" s="32">
        <f t="shared" si="774"/>
        <v>1</v>
      </c>
      <c r="EX160" s="32">
        <f t="shared" si="775"/>
        <v>8.1377867044486255E-2</v>
      </c>
      <c r="EY160" s="32">
        <f t="shared" si="776"/>
        <v>0.15740172136576439</v>
      </c>
      <c r="EZ160" s="32">
        <f t="shared" si="777"/>
        <v>0.22765766162715689</v>
      </c>
      <c r="FA160" s="32">
        <f t="shared" si="778"/>
        <v>0.28629059987094296</v>
      </c>
      <c r="FB160" s="32">
        <f t="shared" si="779"/>
        <v>0.33749063999010109</v>
      </c>
      <c r="FC160" s="32">
        <f t="shared" si="780"/>
        <v>0.39529124434393337</v>
      </c>
      <c r="FD160" s="32">
        <f t="shared" si="781"/>
        <v>0.46511238419881329</v>
      </c>
      <c r="FE160" s="32">
        <f t="shared" si="782"/>
        <v>0.56400493964665033</v>
      </c>
      <c r="FF160" s="32">
        <f t="shared" si="783"/>
        <v>0.65282333696238737</v>
      </c>
      <c r="FG160" s="32">
        <f t="shared" si="784"/>
        <v>0.7558494361493957</v>
      </c>
      <c r="FH160" s="32">
        <f t="shared" si="785"/>
        <v>0.87156013915478381</v>
      </c>
      <c r="FI160" s="32">
        <f t="shared" si="786"/>
        <v>1</v>
      </c>
      <c r="FK160" s="32">
        <f t="shared" si="847"/>
        <v>8.499288134142563E-2</v>
      </c>
      <c r="FL160" s="32">
        <f t="shared" si="787"/>
        <v>0.16991848093530623</v>
      </c>
      <c r="FM160" s="32">
        <f t="shared" si="788"/>
        <v>0.24197280658234552</v>
      </c>
      <c r="FN160" s="32">
        <f t="shared" si="789"/>
        <v>0.3089786682045283</v>
      </c>
      <c r="FO160" s="32">
        <f t="shared" si="790"/>
        <v>0.36031408477995214</v>
      </c>
      <c r="FP160" s="32">
        <f t="shared" si="791"/>
        <v>0.41780342267532761</v>
      </c>
      <c r="FQ160" s="32">
        <f t="shared" si="792"/>
        <v>0.49077617499773396</v>
      </c>
      <c r="FR160" s="32">
        <f t="shared" si="793"/>
        <v>0.59279885635212026</v>
      </c>
      <c r="FS160" s="32">
        <f t="shared" si="794"/>
        <v>0.66972130036106214</v>
      </c>
      <c r="FT160" s="32">
        <f t="shared" si="795"/>
        <v>0.77396721066740304</v>
      </c>
      <c r="FU160" s="32">
        <f t="shared" si="796"/>
        <v>0.874083264543427</v>
      </c>
      <c r="FV160" s="32">
        <f t="shared" si="797"/>
        <v>1</v>
      </c>
      <c r="FX160" s="32">
        <f t="shared" si="798"/>
        <v>8.9728015806746067E-2</v>
      </c>
      <c r="FY160" s="32">
        <f t="shared" si="799"/>
        <v>0.16995609035261375</v>
      </c>
      <c r="FZ160" s="32">
        <f t="shared" si="800"/>
        <v>0.23536567464063332</v>
      </c>
      <c r="GA160" s="32">
        <f t="shared" si="801"/>
        <v>0.30242002405387619</v>
      </c>
      <c r="GB160" s="32">
        <f t="shared" si="802"/>
        <v>0.35511852461104687</v>
      </c>
      <c r="GC160" s="32">
        <f t="shared" si="803"/>
        <v>0.42681797290501483</v>
      </c>
      <c r="GD160" s="32">
        <f t="shared" si="804"/>
        <v>0.50655895673924622</v>
      </c>
      <c r="GE160" s="32">
        <f t="shared" si="805"/>
        <v>0.60228287303607286</v>
      </c>
      <c r="GF160" s="32">
        <f t="shared" si="806"/>
        <v>0.68557311754228289</v>
      </c>
      <c r="GG160" s="32">
        <f t="shared" si="807"/>
        <v>0.78696954862069379</v>
      </c>
      <c r="GH160" s="32">
        <f t="shared" si="808"/>
        <v>0.88244350638509184</v>
      </c>
      <c r="GI160" s="32">
        <f t="shared" si="809"/>
        <v>1</v>
      </c>
    </row>
    <row r="161" spans="1:191">
      <c r="A161" s="724" t="s">
        <v>85</v>
      </c>
      <c r="B161" s="400">
        <v>21623.419999999911</v>
      </c>
      <c r="C161" s="400">
        <v>17679.72</v>
      </c>
      <c r="D161" s="400">
        <v>15672.52</v>
      </c>
      <c r="E161" s="400">
        <v>16401.5</v>
      </c>
      <c r="F161" s="400">
        <v>19241.329999999998</v>
      </c>
      <c r="G161" s="400">
        <v>32362.98</v>
      </c>
      <c r="H161" s="400">
        <v>26344.089999999997</v>
      </c>
      <c r="I161" s="400">
        <v>22236.31</v>
      </c>
      <c r="J161" s="400">
        <v>23052.38</v>
      </c>
      <c r="K161" s="400">
        <v>16792.310000000001</v>
      </c>
      <c r="L161" s="400">
        <v>16789.12</v>
      </c>
      <c r="M161" s="400">
        <v>21664.399999999998</v>
      </c>
      <c r="N161" s="400">
        <f t="shared" si="737"/>
        <v>249860.0799999999</v>
      </c>
      <c r="P161" s="396" t="s">
        <v>85</v>
      </c>
      <c r="Q161" s="400">
        <v>14350.62</v>
      </c>
      <c r="R161" s="400">
        <v>14411.89</v>
      </c>
      <c r="S161" s="400">
        <v>13833.890000000001</v>
      </c>
      <c r="T161" s="400">
        <v>12056.020000000002</v>
      </c>
      <c r="U161" s="400">
        <v>8483.3700000000008</v>
      </c>
      <c r="V161" s="400">
        <v>11369.289999999999</v>
      </c>
      <c r="W161" s="400">
        <v>11502.38</v>
      </c>
      <c r="X161" s="400">
        <v>14249.05</v>
      </c>
      <c r="Y161" s="400">
        <v>16163.64</v>
      </c>
      <c r="Z161" s="400">
        <v>18133.07</v>
      </c>
      <c r="AA161" s="400">
        <v>16740.989999999998</v>
      </c>
      <c r="AB161" s="400">
        <v>17265.249999999993</v>
      </c>
      <c r="AC161" s="400">
        <f t="shared" si="738"/>
        <v>168559.46</v>
      </c>
      <c r="AE161" s="127" t="s">
        <v>85</v>
      </c>
      <c r="AF161" s="27">
        <v>16190.35</v>
      </c>
      <c r="AG161" s="27">
        <v>22020.09</v>
      </c>
      <c r="AH161" s="27">
        <v>29097.579999999998</v>
      </c>
      <c r="AI161" s="27">
        <v>23672.91</v>
      </c>
      <c r="AJ161" s="27">
        <v>16800.82</v>
      </c>
      <c r="AK161" s="27">
        <v>14301.95</v>
      </c>
      <c r="AL161" s="27">
        <v>23528.229999999996</v>
      </c>
      <c r="AM161" s="27">
        <v>24184.54</v>
      </c>
      <c r="AN161" s="27">
        <v>22610.909999999996</v>
      </c>
      <c r="AO161" s="27">
        <v>24868.26</v>
      </c>
      <c r="AP161" s="27">
        <v>17158.809999999998</v>
      </c>
      <c r="AQ161" s="27">
        <v>22180.28</v>
      </c>
      <c r="AR161" s="43">
        <f t="shared" si="739"/>
        <v>256614.73</v>
      </c>
      <c r="AT161" s="60" t="s">
        <v>85</v>
      </c>
      <c r="AU161" s="27">
        <v>15542.9</v>
      </c>
      <c r="AV161" s="27">
        <v>13642.14</v>
      </c>
      <c r="AW161" s="27">
        <v>8557.26</v>
      </c>
      <c r="AX161" s="27">
        <v>9302.67</v>
      </c>
      <c r="AY161" s="27">
        <v>9409.84</v>
      </c>
      <c r="AZ161" s="27">
        <v>8139.77</v>
      </c>
      <c r="BA161" s="27">
        <v>12897.310000000001</v>
      </c>
      <c r="BB161" s="27">
        <v>14319.62</v>
      </c>
      <c r="BC161" s="27">
        <v>11529.949999999999</v>
      </c>
      <c r="BD161" s="27">
        <v>14895.17</v>
      </c>
      <c r="BE161" s="27">
        <v>11437.750000000002</v>
      </c>
      <c r="BF161" s="27">
        <v>23598.94</v>
      </c>
      <c r="BG161" s="43">
        <f t="shared" si="699"/>
        <v>153273.31999999998</v>
      </c>
      <c r="BI161" s="60" t="s">
        <v>85</v>
      </c>
      <c r="BJ161" s="27">
        <v>7997.6499999999987</v>
      </c>
      <c r="BK161" s="27">
        <v>10394.67</v>
      </c>
      <c r="BL161" s="27">
        <v>11408.619999999999</v>
      </c>
      <c r="BM161" s="27">
        <v>10706.12</v>
      </c>
      <c r="BN161" s="27">
        <v>8100.34</v>
      </c>
      <c r="BO161" s="27">
        <v>9564.7499999999982</v>
      </c>
      <c r="BP161" s="27">
        <v>15380.27</v>
      </c>
      <c r="BQ161" s="27">
        <v>16382.68</v>
      </c>
      <c r="BR161" s="27">
        <v>11291.869999999999</v>
      </c>
      <c r="BS161" s="27">
        <v>10928.07</v>
      </c>
      <c r="BT161" s="27">
        <v>15172.57</v>
      </c>
      <c r="BU161" s="27">
        <v>12155.45</v>
      </c>
      <c r="BV161" s="43">
        <f t="shared" si="700"/>
        <v>139483.06000000003</v>
      </c>
      <c r="BW161" s="405"/>
      <c r="BX161" s="32">
        <f t="shared" si="810"/>
        <v>8.6542115891421786E-2</v>
      </c>
      <c r="BY161" s="32">
        <f t="shared" si="811"/>
        <v>0.15730059799868762</v>
      </c>
      <c r="BZ161" s="32">
        <f t="shared" si="812"/>
        <v>0.22002578403080611</v>
      </c>
      <c r="CA161" s="32">
        <f t="shared" si="813"/>
        <v>0.28566852295892942</v>
      </c>
      <c r="CB161" s="32">
        <f t="shared" si="814"/>
        <v>0.36267694303147568</v>
      </c>
      <c r="CC161" s="32">
        <f t="shared" si="815"/>
        <v>0.4922013552545087</v>
      </c>
      <c r="CD161" s="32">
        <f t="shared" si="816"/>
        <v>0.59763672532242829</v>
      </c>
      <c r="CE161" s="32">
        <f t="shared" si="817"/>
        <v>0.68663177407131215</v>
      </c>
      <c r="CF161" s="32">
        <f t="shared" si="818"/>
        <v>0.77889293079550759</v>
      </c>
      <c r="CG161" s="32">
        <f t="shared" si="819"/>
        <v>0.84609978512774031</v>
      </c>
      <c r="CH161" s="32">
        <f t="shared" si="820"/>
        <v>0.91329387231445691</v>
      </c>
      <c r="CI161" s="32">
        <f t="shared" si="821"/>
        <v>1</v>
      </c>
      <c r="CJ161" s="405"/>
      <c r="CK161" s="32">
        <f t="shared" si="822"/>
        <v>8.5136841325903642E-2</v>
      </c>
      <c r="CL161" s="32">
        <f t="shared" si="823"/>
        <v>0.17063717456142777</v>
      </c>
      <c r="CM161" s="32">
        <f t="shared" si="824"/>
        <v>0.25270845077458126</v>
      </c>
      <c r="CN161" s="32">
        <f t="shared" si="825"/>
        <v>0.32423229167914996</v>
      </c>
      <c r="CO161" s="32">
        <f t="shared" si="826"/>
        <v>0.37456094128445838</v>
      </c>
      <c r="CP161" s="32">
        <f t="shared" si="827"/>
        <v>0.44201067089322665</v>
      </c>
      <c r="CQ161" s="32">
        <f t="shared" si="828"/>
        <v>0.51024997351083123</v>
      </c>
      <c r="CR161" s="32">
        <f t="shared" si="829"/>
        <v>0.59478423815548542</v>
      </c>
      <c r="CS161" s="32">
        <f t="shared" si="830"/>
        <v>0.69067704654488105</v>
      </c>
      <c r="CT161" s="32">
        <f t="shared" si="831"/>
        <v>0.79825374381242087</v>
      </c>
      <c r="CU161" s="32">
        <f t="shared" si="832"/>
        <v>0.89757175301819314</v>
      </c>
      <c r="CV161" s="32">
        <f t="shared" si="833"/>
        <v>1</v>
      </c>
      <c r="CX161" s="32">
        <f t="shared" si="834"/>
        <v>6.3092052432064213E-2</v>
      </c>
      <c r="CY161" s="32">
        <f t="shared" si="835"/>
        <v>0.1489019745670874</v>
      </c>
      <c r="CZ161" s="32">
        <f t="shared" si="836"/>
        <v>0.26229211394061441</v>
      </c>
      <c r="DA161" s="32">
        <f t="shared" si="837"/>
        <v>0.35454289782975434</v>
      </c>
      <c r="DB161" s="32">
        <f t="shared" si="838"/>
        <v>0.42001388618650221</v>
      </c>
      <c r="DC161" s="32">
        <f t="shared" si="839"/>
        <v>0.47574704694465508</v>
      </c>
      <c r="DD161" s="32">
        <f t="shared" si="840"/>
        <v>0.56743402843632551</v>
      </c>
      <c r="DE161" s="32">
        <f t="shared" si="841"/>
        <v>0.66167857940189168</v>
      </c>
      <c r="DF161" s="32">
        <f t="shared" si="842"/>
        <v>0.74979086352525437</v>
      </c>
      <c r="DG161" s="32">
        <f t="shared" si="843"/>
        <v>0.84669979778635474</v>
      </c>
      <c r="DH161" s="32">
        <f t="shared" si="844"/>
        <v>0.91356583466584329</v>
      </c>
      <c r="DI161" s="32">
        <f t="shared" si="845"/>
        <v>1</v>
      </c>
      <c r="DK161" s="32">
        <f t="shared" si="740"/>
        <v>0.10140642872484266</v>
      </c>
      <c r="DL161" s="32">
        <f t="shared" si="741"/>
        <v>0.19041174289171792</v>
      </c>
      <c r="DM161" s="32">
        <f t="shared" si="742"/>
        <v>0.24624181168646969</v>
      </c>
      <c r="DN161" s="32">
        <f t="shared" si="743"/>
        <v>0.3069351534892048</v>
      </c>
      <c r="DO161" s="32">
        <f t="shared" si="744"/>
        <v>0.36832770373865464</v>
      </c>
      <c r="DP161" s="32">
        <f t="shared" si="745"/>
        <v>0.42143394558165775</v>
      </c>
      <c r="DQ161" s="32">
        <f t="shared" si="746"/>
        <v>0.50557977083030503</v>
      </c>
      <c r="DR161" s="32">
        <f t="shared" si="747"/>
        <v>0.59900516280328509</v>
      </c>
      <c r="DS161" s="32">
        <f t="shared" si="748"/>
        <v>0.6742299312104677</v>
      </c>
      <c r="DT161" s="32">
        <f t="shared" si="749"/>
        <v>0.77141037983649086</v>
      </c>
      <c r="DU161" s="32">
        <f t="shared" si="750"/>
        <v>0.84603360845840625</v>
      </c>
      <c r="DV161" s="32">
        <f t="shared" si="751"/>
        <v>1</v>
      </c>
      <c r="DW161" s="39"/>
      <c r="DX161" s="32">
        <f t="shared" si="752"/>
        <v>5.733778711192597E-2</v>
      </c>
      <c r="DY161" s="32">
        <f t="shared" si="753"/>
        <v>0.13186060013309139</v>
      </c>
      <c r="DZ161" s="32">
        <f t="shared" si="754"/>
        <v>0.21365275467859676</v>
      </c>
      <c r="EA161" s="32">
        <f t="shared" si="755"/>
        <v>0.2904084553350062</v>
      </c>
      <c r="EB161" s="32">
        <f t="shared" si="756"/>
        <v>0.34848246088091261</v>
      </c>
      <c r="EC161" s="32">
        <f t="shared" si="757"/>
        <v>0.41705530406344671</v>
      </c>
      <c r="ED161" s="32">
        <f t="shared" si="758"/>
        <v>0.52732152563902734</v>
      </c>
      <c r="EE161" s="32">
        <f t="shared" si="759"/>
        <v>0.64477435467790845</v>
      </c>
      <c r="EF161" s="32">
        <f t="shared" si="760"/>
        <v>0.72572949001835763</v>
      </c>
      <c r="EG161" s="32">
        <f t="shared" si="761"/>
        <v>0.8040764233305463</v>
      </c>
      <c r="EH161" s="32">
        <f t="shared" si="762"/>
        <v>0.91285357519400556</v>
      </c>
      <c r="EI161" s="32">
        <f t="shared" si="763"/>
        <v>1</v>
      </c>
      <c r="EK161" s="32">
        <f t="shared" si="846"/>
        <v>7.3945422756277621E-2</v>
      </c>
      <c r="EL161" s="32">
        <f t="shared" si="764"/>
        <v>0.1570581058639656</v>
      </c>
      <c r="EM161" s="32">
        <f t="shared" si="765"/>
        <v>0.24072889343522696</v>
      </c>
      <c r="EN161" s="32">
        <f t="shared" si="766"/>
        <v>0.31729550221798841</v>
      </c>
      <c r="EO161" s="32">
        <f t="shared" si="767"/>
        <v>0.3789413502686898</v>
      </c>
      <c r="EP161" s="32">
        <f t="shared" si="768"/>
        <v>0.43807876552991987</v>
      </c>
      <c r="EQ161" s="32">
        <f t="shared" si="769"/>
        <v>0.53344510830188596</v>
      </c>
      <c r="ER161" s="32">
        <f t="shared" si="770"/>
        <v>0.63515269896102833</v>
      </c>
      <c r="ES161" s="32">
        <f t="shared" si="771"/>
        <v>0.71658342825136001</v>
      </c>
      <c r="ET161" s="32">
        <f t="shared" si="772"/>
        <v>0.80739553365113059</v>
      </c>
      <c r="EU161" s="32">
        <f t="shared" si="773"/>
        <v>0.89081767277275159</v>
      </c>
      <c r="EV161" s="32">
        <f t="shared" si="774"/>
        <v>1</v>
      </c>
      <c r="EX161" s="32">
        <f t="shared" si="775"/>
        <v>7.6743277398684126E-2</v>
      </c>
      <c r="EY161" s="32">
        <f t="shared" si="776"/>
        <v>0.16045287303833114</v>
      </c>
      <c r="EZ161" s="32">
        <f t="shared" si="777"/>
        <v>0.24372378277006554</v>
      </c>
      <c r="FA161" s="32">
        <f t="shared" si="778"/>
        <v>0.31902969958327881</v>
      </c>
      <c r="FB161" s="32">
        <f t="shared" si="779"/>
        <v>0.37784624802263195</v>
      </c>
      <c r="FC161" s="32">
        <f t="shared" si="780"/>
        <v>0.43906174187074654</v>
      </c>
      <c r="FD161" s="32">
        <f t="shared" si="781"/>
        <v>0.52764632460412231</v>
      </c>
      <c r="FE161" s="32">
        <f t="shared" si="782"/>
        <v>0.62506058375964257</v>
      </c>
      <c r="FF161" s="32">
        <f t="shared" si="783"/>
        <v>0.71010683282474019</v>
      </c>
      <c r="FG161" s="32">
        <f t="shared" si="784"/>
        <v>0.80511008619145319</v>
      </c>
      <c r="FH161" s="32">
        <f t="shared" si="785"/>
        <v>0.89250619283411214</v>
      </c>
      <c r="FI161" s="32">
        <f t="shared" si="786"/>
        <v>1</v>
      </c>
      <c r="FK161" s="32">
        <f t="shared" si="847"/>
        <v>8.3211774160936836E-2</v>
      </c>
      <c r="FL161" s="32">
        <f t="shared" si="787"/>
        <v>0.16998363067341105</v>
      </c>
      <c r="FM161" s="32">
        <f t="shared" si="788"/>
        <v>0.2537474588005551</v>
      </c>
      <c r="FN161" s="32">
        <f t="shared" si="789"/>
        <v>0.32857011433270306</v>
      </c>
      <c r="FO161" s="32">
        <f t="shared" si="790"/>
        <v>0.38763417706987174</v>
      </c>
      <c r="FP161" s="32">
        <f t="shared" si="791"/>
        <v>0.44639722113984642</v>
      </c>
      <c r="FQ161" s="32">
        <f t="shared" si="792"/>
        <v>0.52775459092582067</v>
      </c>
      <c r="FR161" s="32">
        <f t="shared" si="793"/>
        <v>0.61848932678688728</v>
      </c>
      <c r="FS161" s="32">
        <f t="shared" si="794"/>
        <v>0.70489928042686767</v>
      </c>
      <c r="FT161" s="32">
        <f t="shared" si="795"/>
        <v>0.80545464047842208</v>
      </c>
      <c r="FU161" s="32">
        <f t="shared" si="796"/>
        <v>0.88572373204748089</v>
      </c>
      <c r="FV161" s="32">
        <f t="shared" si="797"/>
        <v>1</v>
      </c>
      <c r="FX161" s="32">
        <f t="shared" si="798"/>
        <v>7.8257003216463214E-2</v>
      </c>
      <c r="FY161" s="32">
        <f t="shared" si="799"/>
        <v>0.15894658237573425</v>
      </c>
      <c r="FZ161" s="32">
        <f t="shared" si="800"/>
        <v>0.2450087829153339</v>
      </c>
      <c r="GA161" s="32">
        <f t="shared" si="801"/>
        <v>0.32148123748927787</v>
      </c>
      <c r="GB161" s="32">
        <f t="shared" si="802"/>
        <v>0.3857505901674787</v>
      </c>
      <c r="GC161" s="32">
        <f t="shared" si="803"/>
        <v>0.4699863576974635</v>
      </c>
      <c r="GD161" s="32">
        <f t="shared" si="804"/>
        <v>0.55844024242319501</v>
      </c>
      <c r="GE161" s="32">
        <f t="shared" si="805"/>
        <v>0.64769819720956312</v>
      </c>
      <c r="GF161" s="32">
        <f t="shared" si="806"/>
        <v>0.7397869469552143</v>
      </c>
      <c r="GG161" s="32">
        <f t="shared" si="807"/>
        <v>0.83035110890883868</v>
      </c>
      <c r="GH161" s="32">
        <f t="shared" si="808"/>
        <v>0.90814381999949789</v>
      </c>
      <c r="GI161" s="32">
        <f t="shared" si="809"/>
        <v>1</v>
      </c>
    </row>
    <row r="162" spans="1:191">
      <c r="A162" s="724" t="s">
        <v>86</v>
      </c>
      <c r="B162" s="400">
        <v>8815.8100000000049</v>
      </c>
      <c r="C162" s="400">
        <v>5925.5099999999993</v>
      </c>
      <c r="D162" s="400">
        <v>6167.1500000000005</v>
      </c>
      <c r="E162" s="400">
        <v>7052.3899999999994</v>
      </c>
      <c r="F162" s="400">
        <v>5716.91</v>
      </c>
      <c r="G162" s="400">
        <v>11883.52</v>
      </c>
      <c r="H162" s="400">
        <v>13754.840000000002</v>
      </c>
      <c r="I162" s="400">
        <v>8566.5600000000013</v>
      </c>
      <c r="J162" s="400">
        <v>6953.47</v>
      </c>
      <c r="K162" s="400">
        <v>7875.27</v>
      </c>
      <c r="L162" s="400">
        <v>7383.47</v>
      </c>
      <c r="M162" s="400">
        <v>9070.7899999999991</v>
      </c>
      <c r="N162" s="400">
        <f t="shared" si="737"/>
        <v>99165.690000000017</v>
      </c>
      <c r="P162" s="396" t="s">
        <v>86</v>
      </c>
      <c r="Q162" s="400">
        <v>5909.3899999999994</v>
      </c>
      <c r="R162" s="400">
        <v>6600.4400000000005</v>
      </c>
      <c r="S162" s="400">
        <v>11145.07</v>
      </c>
      <c r="T162" s="400">
        <v>4564.2700000000004</v>
      </c>
      <c r="U162" s="400">
        <v>2594.11</v>
      </c>
      <c r="V162" s="400">
        <v>4119.66</v>
      </c>
      <c r="W162" s="400">
        <v>4048.7599999999998</v>
      </c>
      <c r="X162" s="400">
        <v>4317.59</v>
      </c>
      <c r="Y162" s="400">
        <v>5965.579999999999</v>
      </c>
      <c r="Z162" s="400">
        <v>5635.2500000000009</v>
      </c>
      <c r="AA162" s="400">
        <v>4488.9799999999996</v>
      </c>
      <c r="AB162" s="400">
        <v>4785.0700000000006</v>
      </c>
      <c r="AC162" s="400">
        <f t="shared" si="738"/>
        <v>64174.170000000006</v>
      </c>
      <c r="AE162" s="127" t="s">
        <v>86</v>
      </c>
      <c r="AF162" s="27">
        <v>7020.9599999999991</v>
      </c>
      <c r="AG162" s="27">
        <v>5042.8900000000003</v>
      </c>
      <c r="AH162" s="27">
        <v>9041.8100000000013</v>
      </c>
      <c r="AI162" s="27">
        <v>4659.1500000000005</v>
      </c>
      <c r="AJ162" s="27">
        <v>5825.0999999999995</v>
      </c>
      <c r="AK162" s="27">
        <v>7688.87</v>
      </c>
      <c r="AL162" s="27">
        <v>8657.02</v>
      </c>
      <c r="AM162" s="27">
        <v>6846.37</v>
      </c>
      <c r="AN162" s="27">
        <v>9300.8700000000008</v>
      </c>
      <c r="AO162" s="27">
        <v>10469.149999999998</v>
      </c>
      <c r="AP162" s="27">
        <v>8280.18</v>
      </c>
      <c r="AQ162" s="27">
        <v>8862.09</v>
      </c>
      <c r="AR162" s="43">
        <f t="shared" si="739"/>
        <v>91694.459999999992</v>
      </c>
      <c r="AT162" s="60" t="s">
        <v>86</v>
      </c>
      <c r="AU162" s="27">
        <v>4402.78</v>
      </c>
      <c r="AV162" s="27">
        <v>2978.2599999999998</v>
      </c>
      <c r="AW162" s="27">
        <v>3559.49</v>
      </c>
      <c r="AX162" s="27">
        <v>3696.14</v>
      </c>
      <c r="AY162" s="27">
        <v>2549.1499999999996</v>
      </c>
      <c r="AZ162" s="27">
        <v>3591.69</v>
      </c>
      <c r="BA162" s="27">
        <v>9734.7099999999991</v>
      </c>
      <c r="BB162" s="27">
        <v>6435.79</v>
      </c>
      <c r="BC162" s="27">
        <v>5195.7299999999996</v>
      </c>
      <c r="BD162" s="27">
        <v>5161.2899999999991</v>
      </c>
      <c r="BE162" s="27">
        <v>5656.18</v>
      </c>
      <c r="BF162" s="27">
        <v>7133.5299999999988</v>
      </c>
      <c r="BG162" s="43">
        <f t="shared" si="699"/>
        <v>60094.739999999991</v>
      </c>
      <c r="BI162" s="60" t="s">
        <v>86</v>
      </c>
      <c r="BJ162" s="27">
        <v>6525.97</v>
      </c>
      <c r="BK162" s="27">
        <v>4496.59</v>
      </c>
      <c r="BL162" s="27">
        <v>5685.9</v>
      </c>
      <c r="BM162" s="27">
        <v>2648.2599999999998</v>
      </c>
      <c r="BN162" s="27">
        <v>4098.7400000000007</v>
      </c>
      <c r="BO162" s="27">
        <v>3568.02</v>
      </c>
      <c r="BP162" s="27">
        <v>5339.0700000000006</v>
      </c>
      <c r="BQ162" s="27">
        <v>7097.42</v>
      </c>
      <c r="BR162" s="27">
        <v>6179.3099999999995</v>
      </c>
      <c r="BS162" s="27">
        <v>7779.56</v>
      </c>
      <c r="BT162" s="27">
        <v>9341.06</v>
      </c>
      <c r="BU162" s="27">
        <v>6876.14</v>
      </c>
      <c r="BV162" s="43">
        <f t="shared" si="700"/>
        <v>69636.039999999994</v>
      </c>
      <c r="BW162" s="405"/>
      <c r="BX162" s="32">
        <f t="shared" si="810"/>
        <v>8.8899799920718586E-2</v>
      </c>
      <c r="BY162" s="32">
        <f t="shared" si="811"/>
        <v>0.14865343043546614</v>
      </c>
      <c r="BZ162" s="32">
        <f t="shared" si="812"/>
        <v>0.21084379083128449</v>
      </c>
      <c r="CA162" s="32">
        <f t="shared" si="813"/>
        <v>0.28196102906156351</v>
      </c>
      <c r="CB162" s="32">
        <f t="shared" si="814"/>
        <v>0.33961110944722916</v>
      </c>
      <c r="CC162" s="32">
        <f t="shared" si="815"/>
        <v>0.45944610479693127</v>
      </c>
      <c r="CD162" s="32">
        <f t="shared" si="816"/>
        <v>0.5981517397801599</v>
      </c>
      <c r="CE162" s="32">
        <f t="shared" si="817"/>
        <v>0.68453806956821461</v>
      </c>
      <c r="CF162" s="32">
        <f t="shared" si="818"/>
        <v>0.7546577853691131</v>
      </c>
      <c r="CG162" s="32">
        <f t="shared" si="819"/>
        <v>0.83407305490437278</v>
      </c>
      <c r="CH162" s="32">
        <f t="shared" si="820"/>
        <v>0.90852894786493199</v>
      </c>
      <c r="CI162" s="32">
        <f t="shared" si="821"/>
        <v>1</v>
      </c>
      <c r="CJ162" s="405"/>
      <c r="CK162" s="32">
        <f t="shared" si="822"/>
        <v>9.2083621806094237E-2</v>
      </c>
      <c r="CL162" s="32">
        <f t="shared" si="823"/>
        <v>0.19493559480395303</v>
      </c>
      <c r="CM162" s="32">
        <f t="shared" si="824"/>
        <v>0.36860468939450247</v>
      </c>
      <c r="CN162" s="32">
        <f t="shared" si="825"/>
        <v>0.43972785312221413</v>
      </c>
      <c r="CO162" s="32">
        <f t="shared" si="826"/>
        <v>0.48015081457228043</v>
      </c>
      <c r="CP162" s="32">
        <f t="shared" si="827"/>
        <v>0.54434580143381672</v>
      </c>
      <c r="CQ162" s="32">
        <f t="shared" si="828"/>
        <v>0.60743598242096475</v>
      </c>
      <c r="CR162" s="32">
        <f t="shared" si="829"/>
        <v>0.6747152320006633</v>
      </c>
      <c r="CS162" s="32">
        <f t="shared" si="830"/>
        <v>0.76767443973174887</v>
      </c>
      <c r="CT162" s="32">
        <f t="shared" si="831"/>
        <v>0.85548624937416418</v>
      </c>
      <c r="CU162" s="32">
        <f t="shared" si="832"/>
        <v>0.92543619964231716</v>
      </c>
      <c r="CV162" s="32">
        <f t="shared" si="833"/>
        <v>1</v>
      </c>
      <c r="CX162" s="32">
        <f t="shared" si="834"/>
        <v>7.6569075165500725E-2</v>
      </c>
      <c r="CY162" s="32">
        <f t="shared" si="835"/>
        <v>0.13156574562956147</v>
      </c>
      <c r="CZ162" s="32">
        <f t="shared" si="836"/>
        <v>0.23017377494779948</v>
      </c>
      <c r="DA162" s="32">
        <f t="shared" si="837"/>
        <v>0.28098545975405714</v>
      </c>
      <c r="DB162" s="32">
        <f t="shared" si="838"/>
        <v>0.34451274373609925</v>
      </c>
      <c r="DC162" s="32">
        <f t="shared" si="839"/>
        <v>0.42836590127691471</v>
      </c>
      <c r="DD162" s="32">
        <f t="shared" si="840"/>
        <v>0.52277749386386052</v>
      </c>
      <c r="DE162" s="32">
        <f t="shared" si="841"/>
        <v>0.59744252815273691</v>
      </c>
      <c r="DF162" s="32">
        <f t="shared" si="842"/>
        <v>0.69887580994533383</v>
      </c>
      <c r="DG162" s="32">
        <f t="shared" si="843"/>
        <v>0.81305010139107647</v>
      </c>
      <c r="DH162" s="32">
        <f t="shared" si="844"/>
        <v>0.90335195823171877</v>
      </c>
      <c r="DI162" s="32">
        <f t="shared" si="845"/>
        <v>1</v>
      </c>
      <c r="DK162" s="32">
        <f t="shared" si="740"/>
        <v>7.3263982837765848E-2</v>
      </c>
      <c r="DL162" s="32">
        <f t="shared" si="741"/>
        <v>0.12282339519232466</v>
      </c>
      <c r="DM162" s="32">
        <f t="shared" si="742"/>
        <v>0.182054702291748</v>
      </c>
      <c r="DN162" s="32">
        <f t="shared" si="743"/>
        <v>0.24355991888807574</v>
      </c>
      <c r="DO162" s="32">
        <f t="shared" si="744"/>
        <v>0.28597877285100165</v>
      </c>
      <c r="DP162" s="32">
        <f t="shared" si="745"/>
        <v>0.3457459005563549</v>
      </c>
      <c r="DQ162" s="32">
        <f t="shared" si="746"/>
        <v>0.50773528598343221</v>
      </c>
      <c r="DR162" s="32">
        <f t="shared" si="747"/>
        <v>0.61482935112124626</v>
      </c>
      <c r="DS162" s="32">
        <f t="shared" si="748"/>
        <v>0.70128833238982313</v>
      </c>
      <c r="DT162" s="32">
        <f t="shared" si="749"/>
        <v>0.78717421857553582</v>
      </c>
      <c r="DU162" s="32">
        <f t="shared" si="750"/>
        <v>0.88129526810499559</v>
      </c>
      <c r="DV162" s="32">
        <f t="shared" si="751"/>
        <v>1</v>
      </c>
      <c r="DW162" s="39"/>
      <c r="DX162" s="32">
        <f t="shared" si="752"/>
        <v>9.3715409434539945E-2</v>
      </c>
      <c r="DY162" s="32">
        <f t="shared" si="753"/>
        <v>0.1582881507908836</v>
      </c>
      <c r="DZ162" s="32">
        <f t="shared" si="754"/>
        <v>0.23993983575171707</v>
      </c>
      <c r="EA162" s="32">
        <f t="shared" si="755"/>
        <v>0.27796985583901668</v>
      </c>
      <c r="EB162" s="32">
        <f t="shared" si="756"/>
        <v>0.33682931999005117</v>
      </c>
      <c r="EC162" s="32">
        <f t="shared" si="757"/>
        <v>0.3880674432377258</v>
      </c>
      <c r="ED162" s="32">
        <f t="shared" si="758"/>
        <v>0.46473851758371099</v>
      </c>
      <c r="EE162" s="32">
        <f t="shared" si="759"/>
        <v>0.56666016620129467</v>
      </c>
      <c r="EF162" s="32">
        <f t="shared" si="760"/>
        <v>0.65539740628559584</v>
      </c>
      <c r="EG162" s="32">
        <f t="shared" si="761"/>
        <v>0.76711484455463008</v>
      </c>
      <c r="EH162" s="32">
        <f t="shared" si="762"/>
        <v>0.90125601628122454</v>
      </c>
      <c r="EI162" s="32">
        <f t="shared" si="763"/>
        <v>1</v>
      </c>
      <c r="EK162" s="32">
        <f t="shared" si="846"/>
        <v>8.1182822479268835E-2</v>
      </c>
      <c r="EL162" s="32">
        <f t="shared" si="764"/>
        <v>0.13755909720425658</v>
      </c>
      <c r="EM162" s="32">
        <f t="shared" si="765"/>
        <v>0.21738943766375485</v>
      </c>
      <c r="EN162" s="32">
        <f t="shared" si="766"/>
        <v>0.26750507816038321</v>
      </c>
      <c r="EO162" s="32">
        <f t="shared" si="767"/>
        <v>0.32244027885905069</v>
      </c>
      <c r="EP162" s="32">
        <f t="shared" si="768"/>
        <v>0.38739308169033176</v>
      </c>
      <c r="EQ162" s="32">
        <f t="shared" si="769"/>
        <v>0.498417099143668</v>
      </c>
      <c r="ER162" s="32">
        <f t="shared" si="770"/>
        <v>0.59297734849175932</v>
      </c>
      <c r="ES162" s="32">
        <f t="shared" si="771"/>
        <v>0.68518718287358427</v>
      </c>
      <c r="ET162" s="32">
        <f t="shared" si="772"/>
        <v>0.78911305484041405</v>
      </c>
      <c r="EU162" s="32">
        <f t="shared" si="773"/>
        <v>0.89530108087264626</v>
      </c>
      <c r="EV162" s="32">
        <f t="shared" si="774"/>
        <v>1</v>
      </c>
      <c r="EX162" s="32">
        <f t="shared" si="775"/>
        <v>8.3908022310975189E-2</v>
      </c>
      <c r="EY162" s="32">
        <f t="shared" si="776"/>
        <v>0.15190322160418068</v>
      </c>
      <c r="EZ162" s="32">
        <f t="shared" si="777"/>
        <v>0.25519325059644177</v>
      </c>
      <c r="FA162" s="32">
        <f t="shared" si="778"/>
        <v>0.31056077190084092</v>
      </c>
      <c r="FB162" s="32">
        <f t="shared" si="779"/>
        <v>0.36186791278735814</v>
      </c>
      <c r="FC162" s="32">
        <f t="shared" si="780"/>
        <v>0.42663126162620302</v>
      </c>
      <c r="FD162" s="32">
        <f t="shared" si="781"/>
        <v>0.52567181996299217</v>
      </c>
      <c r="FE162" s="32">
        <f t="shared" si="782"/>
        <v>0.61341181936898526</v>
      </c>
      <c r="FF162" s="32">
        <f t="shared" si="783"/>
        <v>0.70580899708812539</v>
      </c>
      <c r="FG162" s="32">
        <f t="shared" si="784"/>
        <v>0.80570635347385156</v>
      </c>
      <c r="FH162" s="32">
        <f t="shared" si="785"/>
        <v>0.90283486056506401</v>
      </c>
      <c r="FI162" s="32">
        <f t="shared" si="786"/>
        <v>1</v>
      </c>
      <c r="FK162" s="32">
        <f t="shared" si="847"/>
        <v>8.0638893269786946E-2</v>
      </c>
      <c r="FL162" s="32">
        <f t="shared" si="787"/>
        <v>0.14977491187527972</v>
      </c>
      <c r="FM162" s="32">
        <f t="shared" si="788"/>
        <v>0.26027772221134998</v>
      </c>
      <c r="FN162" s="32">
        <f t="shared" si="789"/>
        <v>0.32142441058811566</v>
      </c>
      <c r="FO162" s="32">
        <f t="shared" si="790"/>
        <v>0.37021411038646046</v>
      </c>
      <c r="FP162" s="32">
        <f t="shared" si="791"/>
        <v>0.43948586775569543</v>
      </c>
      <c r="FQ162" s="32">
        <f t="shared" si="792"/>
        <v>0.5459829207560859</v>
      </c>
      <c r="FR162" s="32">
        <f t="shared" si="793"/>
        <v>0.62899570375821556</v>
      </c>
      <c r="FS162" s="32">
        <f t="shared" si="794"/>
        <v>0.72261286068896868</v>
      </c>
      <c r="FT162" s="32">
        <f t="shared" si="795"/>
        <v>0.81857018978025875</v>
      </c>
      <c r="FU162" s="32">
        <f t="shared" si="796"/>
        <v>0.90336114199301054</v>
      </c>
      <c r="FV162" s="32">
        <f t="shared" si="797"/>
        <v>1</v>
      </c>
      <c r="FX162" s="32">
        <f t="shared" si="798"/>
        <v>8.585083229743784E-2</v>
      </c>
      <c r="FY162" s="32">
        <f t="shared" si="799"/>
        <v>0.15838492362299356</v>
      </c>
      <c r="FZ162" s="32">
        <f t="shared" si="800"/>
        <v>0.26987408505786215</v>
      </c>
      <c r="GA162" s="32">
        <f t="shared" si="801"/>
        <v>0.33422478064594491</v>
      </c>
      <c r="GB162" s="32">
        <f t="shared" si="802"/>
        <v>0.38809155591853628</v>
      </c>
      <c r="GC162" s="32">
        <f t="shared" si="803"/>
        <v>0.47738593583588756</v>
      </c>
      <c r="GD162" s="32">
        <f t="shared" si="804"/>
        <v>0.57612173868832839</v>
      </c>
      <c r="GE162" s="32">
        <f t="shared" si="805"/>
        <v>0.65223194324053824</v>
      </c>
      <c r="GF162" s="32">
        <f t="shared" si="806"/>
        <v>0.74040267834873197</v>
      </c>
      <c r="GG162" s="32">
        <f t="shared" si="807"/>
        <v>0.83420313522320455</v>
      </c>
      <c r="GH162" s="32">
        <f t="shared" si="808"/>
        <v>0.91243903524632264</v>
      </c>
      <c r="GI162" s="32">
        <f t="shared" si="809"/>
        <v>1</v>
      </c>
    </row>
    <row r="163" spans="1:191">
      <c r="A163" s="724" t="s">
        <v>87</v>
      </c>
      <c r="B163" s="400">
        <v>15498.139999999939</v>
      </c>
      <c r="C163" s="400">
        <v>13330.109999999999</v>
      </c>
      <c r="D163" s="400">
        <v>10622.55</v>
      </c>
      <c r="E163" s="400">
        <v>15893.53</v>
      </c>
      <c r="F163" s="400">
        <v>14033.43</v>
      </c>
      <c r="G163" s="400">
        <v>22550.010000000002</v>
      </c>
      <c r="H163" s="400">
        <v>22247.96</v>
      </c>
      <c r="I163" s="400">
        <v>17594.91</v>
      </c>
      <c r="J163" s="400">
        <v>22693.42</v>
      </c>
      <c r="K163" s="400">
        <v>14202.3</v>
      </c>
      <c r="L163" s="400">
        <v>17801.120000000003</v>
      </c>
      <c r="M163" s="400">
        <v>26173.009999999995</v>
      </c>
      <c r="N163" s="400">
        <f t="shared" si="737"/>
        <v>212640.48999999993</v>
      </c>
      <c r="P163" s="396" t="s">
        <v>87</v>
      </c>
      <c r="Q163" s="400">
        <v>6096.8200000000006</v>
      </c>
      <c r="R163" s="400">
        <v>6316.5899999999992</v>
      </c>
      <c r="S163" s="400">
        <v>6499.4900000000007</v>
      </c>
      <c r="T163" s="400">
        <v>3219.06</v>
      </c>
      <c r="U163" s="400">
        <v>5915.3200000000006</v>
      </c>
      <c r="V163" s="400">
        <v>11980.729999999998</v>
      </c>
      <c r="W163" s="400">
        <v>10110.66</v>
      </c>
      <c r="X163" s="400">
        <v>15888.08</v>
      </c>
      <c r="Y163" s="400">
        <v>11250.98</v>
      </c>
      <c r="Z163" s="400">
        <v>8883.17</v>
      </c>
      <c r="AA163" s="400">
        <v>10668.08</v>
      </c>
      <c r="AB163" s="400">
        <v>13009.59</v>
      </c>
      <c r="AC163" s="400">
        <f t="shared" si="738"/>
        <v>109838.56999999999</v>
      </c>
      <c r="AE163" s="127" t="s">
        <v>87</v>
      </c>
      <c r="AF163" s="27">
        <v>6580.4500000000007</v>
      </c>
      <c r="AG163" s="27">
        <v>13242.32</v>
      </c>
      <c r="AH163" s="27">
        <v>8374.6</v>
      </c>
      <c r="AI163" s="27">
        <v>6314.6100000000015</v>
      </c>
      <c r="AJ163" s="27">
        <v>6311.9500000000007</v>
      </c>
      <c r="AK163" s="27">
        <v>6261.47</v>
      </c>
      <c r="AL163" s="27">
        <v>7097.16</v>
      </c>
      <c r="AM163" s="27">
        <v>6680.64</v>
      </c>
      <c r="AN163" s="27">
        <v>7722.5000000000009</v>
      </c>
      <c r="AO163" s="27">
        <v>11219.69</v>
      </c>
      <c r="AP163" s="27">
        <v>8903.14</v>
      </c>
      <c r="AQ163" s="27">
        <v>10957.490000000002</v>
      </c>
      <c r="AR163" s="43">
        <f t="shared" si="739"/>
        <v>99666.020000000019</v>
      </c>
      <c r="AT163" s="60" t="s">
        <v>87</v>
      </c>
      <c r="AU163" s="27">
        <v>6561.88</v>
      </c>
      <c r="AV163" s="27">
        <v>8146.97</v>
      </c>
      <c r="AW163" s="27">
        <v>9229.91</v>
      </c>
      <c r="AX163" s="27">
        <v>7234.2099999999991</v>
      </c>
      <c r="AY163" s="27">
        <v>9098.5800000000017</v>
      </c>
      <c r="AZ163" s="27">
        <v>6505.7599999999993</v>
      </c>
      <c r="BA163" s="27">
        <v>5375.4800000000005</v>
      </c>
      <c r="BB163" s="27">
        <v>5479.27</v>
      </c>
      <c r="BC163" s="27">
        <v>5670.1399999999994</v>
      </c>
      <c r="BD163" s="27">
        <v>8330.8499999999985</v>
      </c>
      <c r="BE163" s="27">
        <v>8167.5700000000006</v>
      </c>
      <c r="BF163" s="27">
        <v>8437.010000000002</v>
      </c>
      <c r="BG163" s="43">
        <f t="shared" si="699"/>
        <v>88237.630000000034</v>
      </c>
      <c r="BI163" s="60" t="s">
        <v>87</v>
      </c>
      <c r="BJ163" s="27">
        <v>8338.52</v>
      </c>
      <c r="BK163" s="27">
        <v>6723</v>
      </c>
      <c r="BL163" s="27">
        <v>6847.579999999999</v>
      </c>
      <c r="BM163" s="27">
        <v>3637.14</v>
      </c>
      <c r="BN163" s="27">
        <v>4796.24</v>
      </c>
      <c r="BO163" s="27">
        <v>5666.27</v>
      </c>
      <c r="BP163" s="27">
        <v>4242.97</v>
      </c>
      <c r="BQ163" s="27">
        <v>9741.49</v>
      </c>
      <c r="BR163" s="27">
        <v>6392.6100000000006</v>
      </c>
      <c r="BS163" s="27">
        <v>8652.59</v>
      </c>
      <c r="BT163" s="27">
        <v>11943.509999999998</v>
      </c>
      <c r="BU163" s="27">
        <v>7204.2300000000005</v>
      </c>
      <c r="BV163" s="43">
        <f t="shared" si="700"/>
        <v>84186.15</v>
      </c>
      <c r="BW163" s="405"/>
      <c r="BX163" s="32">
        <f t="shared" si="810"/>
        <v>7.2884237616269346E-2</v>
      </c>
      <c r="BY163" s="32">
        <f t="shared" si="811"/>
        <v>0.13557272182734317</v>
      </c>
      <c r="BZ163" s="32">
        <f t="shared" si="812"/>
        <v>0.18552816540255315</v>
      </c>
      <c r="CA163" s="32">
        <f t="shared" si="813"/>
        <v>0.26027183251882063</v>
      </c>
      <c r="CB163" s="32">
        <f t="shared" si="814"/>
        <v>0.32626787118483391</v>
      </c>
      <c r="CC163" s="32">
        <f t="shared" si="815"/>
        <v>0.43231545412635175</v>
      </c>
      <c r="CD163" s="32">
        <f t="shared" si="816"/>
        <v>0.53694256441941024</v>
      </c>
      <c r="CE163" s="32">
        <f t="shared" si="817"/>
        <v>0.61968743582184171</v>
      </c>
      <c r="CF163" s="32">
        <f t="shared" si="818"/>
        <v>0.72640944346958558</v>
      </c>
      <c r="CG163" s="32">
        <f t="shared" si="819"/>
        <v>0.79319963944778338</v>
      </c>
      <c r="CH163" s="32">
        <f t="shared" si="820"/>
        <v>0.87691426971410746</v>
      </c>
      <c r="CI163" s="32">
        <f t="shared" si="821"/>
        <v>1</v>
      </c>
      <c r="CJ163" s="405"/>
      <c r="CK163" s="32">
        <f t="shared" si="822"/>
        <v>5.5507095549404924E-2</v>
      </c>
      <c r="CL163" s="32">
        <f t="shared" si="823"/>
        <v>0.11301503652132398</v>
      </c>
      <c r="CM163" s="32">
        <f t="shared" si="824"/>
        <v>0.17218814848008313</v>
      </c>
      <c r="CN163" s="32">
        <f t="shared" si="825"/>
        <v>0.20149533993386845</v>
      </c>
      <c r="CO163" s="32">
        <f t="shared" si="826"/>
        <v>0.25535001047446271</v>
      </c>
      <c r="CP163" s="32">
        <f t="shared" si="827"/>
        <v>0.36442581144310243</v>
      </c>
      <c r="CQ163" s="32">
        <f t="shared" si="828"/>
        <v>0.45647599017357932</v>
      </c>
      <c r="CR163" s="32">
        <f t="shared" si="829"/>
        <v>0.60112536060875521</v>
      </c>
      <c r="CS163" s="32">
        <f t="shared" si="830"/>
        <v>0.70355732052957354</v>
      </c>
      <c r="CT163" s="32">
        <f t="shared" si="831"/>
        <v>0.78443209885197884</v>
      </c>
      <c r="CU163" s="32">
        <f t="shared" si="832"/>
        <v>0.88155717977755899</v>
      </c>
      <c r="CV163" s="32">
        <f t="shared" si="833"/>
        <v>1</v>
      </c>
      <c r="CX163" s="32">
        <f t="shared" si="834"/>
        <v>6.6025010329498451E-2</v>
      </c>
      <c r="CY163" s="32">
        <f t="shared" si="835"/>
        <v>0.19889195936589016</v>
      </c>
      <c r="CZ163" s="32">
        <f t="shared" si="836"/>
        <v>0.28291859151193155</v>
      </c>
      <c r="DA163" s="32">
        <f t="shared" si="837"/>
        <v>0.34627629356524919</v>
      </c>
      <c r="DB163" s="32">
        <f t="shared" si="838"/>
        <v>0.40960730648218924</v>
      </c>
      <c r="DC163" s="32">
        <f t="shared" si="839"/>
        <v>0.47243182781854837</v>
      </c>
      <c r="DD163" s="32">
        <f t="shared" si="840"/>
        <v>0.54364125305695965</v>
      </c>
      <c r="DE163" s="32">
        <f t="shared" si="841"/>
        <v>0.6106715207449841</v>
      </c>
      <c r="DF163" s="32">
        <f t="shared" si="842"/>
        <v>0.68815530107452871</v>
      </c>
      <c r="DG163" s="32">
        <f t="shared" si="843"/>
        <v>0.80072817194867418</v>
      </c>
      <c r="DH163" s="32">
        <f t="shared" si="844"/>
        <v>0.89005791542593948</v>
      </c>
      <c r="DI163" s="32">
        <f t="shared" si="845"/>
        <v>1</v>
      </c>
      <c r="DK163" s="32">
        <f t="shared" si="740"/>
        <v>7.4366004617304401E-2</v>
      </c>
      <c r="DL163" s="32">
        <f t="shared" si="741"/>
        <v>0.16669588700421797</v>
      </c>
      <c r="DM163" s="32">
        <f t="shared" si="742"/>
        <v>0.2712987644840415</v>
      </c>
      <c r="DN163" s="32">
        <f t="shared" si="743"/>
        <v>0.35328430738676897</v>
      </c>
      <c r="DO163" s="32">
        <f t="shared" si="744"/>
        <v>0.45639881760196854</v>
      </c>
      <c r="DP163" s="32">
        <f t="shared" si="745"/>
        <v>0.5301288123899065</v>
      </c>
      <c r="DQ163" s="32">
        <f t="shared" si="746"/>
        <v>0.59104930628803143</v>
      </c>
      <c r="DR163" s="32">
        <f t="shared" si="747"/>
        <v>0.65314605571341833</v>
      </c>
      <c r="DS163" s="32">
        <f t="shared" si="748"/>
        <v>0.7174059412067163</v>
      </c>
      <c r="DT163" s="32">
        <f t="shared" si="749"/>
        <v>0.81181974175870308</v>
      </c>
      <c r="DU163" s="32">
        <f t="shared" si="750"/>
        <v>0.90438308463180617</v>
      </c>
      <c r="DV163" s="32">
        <f t="shared" si="751"/>
        <v>1</v>
      </c>
      <c r="DW163" s="39"/>
      <c r="DX163" s="32">
        <f t="shared" si="752"/>
        <v>9.9048596473410425E-2</v>
      </c>
      <c r="DY163" s="32">
        <f t="shared" si="753"/>
        <v>0.17890733808352088</v>
      </c>
      <c r="DZ163" s="32">
        <f t="shared" si="754"/>
        <v>0.26024589555407868</v>
      </c>
      <c r="EA163" s="32">
        <f t="shared" si="755"/>
        <v>0.30344943912983313</v>
      </c>
      <c r="EB163" s="32">
        <f t="shared" si="756"/>
        <v>0.36042128069759694</v>
      </c>
      <c r="EC163" s="32">
        <f t="shared" si="757"/>
        <v>0.42772772005846571</v>
      </c>
      <c r="ED163" s="32">
        <f t="shared" si="758"/>
        <v>0.47812757799234201</v>
      </c>
      <c r="EE163" s="32">
        <f t="shared" si="759"/>
        <v>0.59384126723932618</v>
      </c>
      <c r="EF163" s="32">
        <f t="shared" si="760"/>
        <v>0.6697754915743267</v>
      </c>
      <c r="EG163" s="32">
        <f t="shared" si="761"/>
        <v>0.77255474920755973</v>
      </c>
      <c r="EH163" s="32">
        <f t="shared" si="762"/>
        <v>0.91442499746098382</v>
      </c>
      <c r="EI163" s="32">
        <f t="shared" si="763"/>
        <v>1</v>
      </c>
      <c r="EK163" s="32">
        <f t="shared" si="846"/>
        <v>7.9813203806737745E-2</v>
      </c>
      <c r="EL163" s="32">
        <f t="shared" si="764"/>
        <v>0.18149839481787633</v>
      </c>
      <c r="EM163" s="32">
        <f t="shared" si="765"/>
        <v>0.27148775051668395</v>
      </c>
      <c r="EN163" s="32">
        <f t="shared" si="766"/>
        <v>0.33433668002728378</v>
      </c>
      <c r="EO163" s="32">
        <f t="shared" si="767"/>
        <v>0.40880913492725157</v>
      </c>
      <c r="EP163" s="32">
        <f t="shared" si="768"/>
        <v>0.47676278675564016</v>
      </c>
      <c r="EQ163" s="32">
        <f t="shared" si="769"/>
        <v>0.53760604577911109</v>
      </c>
      <c r="ER163" s="32">
        <f t="shared" si="770"/>
        <v>0.61921961456590946</v>
      </c>
      <c r="ES163" s="32">
        <f t="shared" si="771"/>
        <v>0.69177891128519053</v>
      </c>
      <c r="ET163" s="32">
        <f t="shared" si="772"/>
        <v>0.79503422097164567</v>
      </c>
      <c r="EU163" s="32">
        <f t="shared" si="773"/>
        <v>0.90295533250624327</v>
      </c>
      <c r="EV163" s="32">
        <f t="shared" si="774"/>
        <v>1</v>
      </c>
      <c r="EX163" s="32">
        <f t="shared" si="775"/>
        <v>7.3736676742404555E-2</v>
      </c>
      <c r="EY163" s="32">
        <f t="shared" si="776"/>
        <v>0.16437755524373823</v>
      </c>
      <c r="EZ163" s="32">
        <f t="shared" si="777"/>
        <v>0.24666285000753371</v>
      </c>
      <c r="FA163" s="32">
        <f t="shared" si="778"/>
        <v>0.30112634500392993</v>
      </c>
      <c r="FB163" s="32">
        <f t="shared" si="779"/>
        <v>0.37044435381405438</v>
      </c>
      <c r="FC163" s="32">
        <f t="shared" si="780"/>
        <v>0.44867854292750575</v>
      </c>
      <c r="FD163" s="32">
        <f t="shared" si="781"/>
        <v>0.51732353187772806</v>
      </c>
      <c r="FE163" s="32">
        <f t="shared" si="782"/>
        <v>0.61469605107662084</v>
      </c>
      <c r="FF163" s="32">
        <f t="shared" si="783"/>
        <v>0.69472351359628637</v>
      </c>
      <c r="FG163" s="32">
        <f t="shared" si="784"/>
        <v>0.79238369044172896</v>
      </c>
      <c r="FH163" s="32">
        <f t="shared" si="785"/>
        <v>0.89760579432407217</v>
      </c>
      <c r="FI163" s="32">
        <f t="shared" si="786"/>
        <v>1</v>
      </c>
      <c r="FK163" s="32">
        <f t="shared" si="847"/>
        <v>6.529937016540259E-2</v>
      </c>
      <c r="FL163" s="32">
        <f t="shared" si="787"/>
        <v>0.15953429429714402</v>
      </c>
      <c r="FM163" s="32">
        <f t="shared" si="788"/>
        <v>0.24213516815868541</v>
      </c>
      <c r="FN163" s="32">
        <f t="shared" si="789"/>
        <v>0.30035198029529553</v>
      </c>
      <c r="FO163" s="32">
        <f t="shared" si="790"/>
        <v>0.37378537818620683</v>
      </c>
      <c r="FP163" s="32">
        <f t="shared" si="791"/>
        <v>0.45566215055051912</v>
      </c>
      <c r="FQ163" s="32">
        <f t="shared" si="792"/>
        <v>0.5303888498395235</v>
      </c>
      <c r="FR163" s="32">
        <f t="shared" si="793"/>
        <v>0.62164764568905251</v>
      </c>
      <c r="FS163" s="32">
        <f t="shared" si="794"/>
        <v>0.70303952093693944</v>
      </c>
      <c r="FT163" s="32">
        <f t="shared" si="795"/>
        <v>0.79899333751978541</v>
      </c>
      <c r="FU163" s="32">
        <f t="shared" si="796"/>
        <v>0.89199939327843492</v>
      </c>
      <c r="FV163" s="32">
        <f t="shared" si="797"/>
        <v>1</v>
      </c>
      <c r="FX163" s="32">
        <f t="shared" si="798"/>
        <v>6.4805447831724247E-2</v>
      </c>
      <c r="FY163" s="32">
        <f t="shared" si="799"/>
        <v>0.14915990590485242</v>
      </c>
      <c r="FZ163" s="32">
        <f t="shared" si="800"/>
        <v>0.21354496846485593</v>
      </c>
      <c r="GA163" s="32">
        <f t="shared" si="801"/>
        <v>0.26934782200597945</v>
      </c>
      <c r="GB163" s="32">
        <f t="shared" si="802"/>
        <v>0.33040839604716193</v>
      </c>
      <c r="GC163" s="32">
        <f t="shared" si="803"/>
        <v>0.42305769779600083</v>
      </c>
      <c r="GD163" s="32">
        <f t="shared" si="804"/>
        <v>0.51235326921664981</v>
      </c>
      <c r="GE163" s="32">
        <f t="shared" si="805"/>
        <v>0.61049477239186034</v>
      </c>
      <c r="GF163" s="32">
        <f t="shared" si="806"/>
        <v>0.70604068835789591</v>
      </c>
      <c r="GG163" s="32">
        <f t="shared" si="807"/>
        <v>0.7927866367494788</v>
      </c>
      <c r="GH163" s="32">
        <f t="shared" si="808"/>
        <v>0.88284312163920209</v>
      </c>
      <c r="GI163" s="32">
        <f t="shared" si="809"/>
        <v>1</v>
      </c>
    </row>
    <row r="164" spans="1:191">
      <c r="A164" s="724" t="s">
        <v>88</v>
      </c>
      <c r="B164" s="400">
        <v>20244.329999999965</v>
      </c>
      <c r="C164" s="400">
        <v>12880.689999999999</v>
      </c>
      <c r="D164" s="400">
        <v>10338.810000000001</v>
      </c>
      <c r="E164" s="400">
        <v>10571.000000000002</v>
      </c>
      <c r="F164" s="400">
        <v>12040.629999999997</v>
      </c>
      <c r="G164" s="400">
        <v>17203.97</v>
      </c>
      <c r="H164" s="400">
        <v>21118.62</v>
      </c>
      <c r="I164" s="400">
        <v>17761.98</v>
      </c>
      <c r="J164" s="400">
        <v>14427.09</v>
      </c>
      <c r="K164" s="400">
        <v>13554.06</v>
      </c>
      <c r="L164" s="400">
        <v>14798.39</v>
      </c>
      <c r="M164" s="400">
        <v>15146.910000000002</v>
      </c>
      <c r="N164" s="400">
        <f t="shared" si="737"/>
        <v>180086.47999999995</v>
      </c>
      <c r="P164" s="396" t="s">
        <v>88</v>
      </c>
      <c r="Q164" s="400">
        <v>12647.029999999999</v>
      </c>
      <c r="R164" s="400">
        <v>8477.5799999999981</v>
      </c>
      <c r="S164" s="400">
        <v>10184</v>
      </c>
      <c r="T164" s="400">
        <v>8062.04</v>
      </c>
      <c r="U164" s="400">
        <v>5965.0399999999991</v>
      </c>
      <c r="V164" s="400">
        <v>6841.58</v>
      </c>
      <c r="W164" s="400">
        <v>7283.2</v>
      </c>
      <c r="X164" s="400">
        <v>9207.8799999999992</v>
      </c>
      <c r="Y164" s="400">
        <v>15073.699999999999</v>
      </c>
      <c r="Z164" s="400">
        <v>11948.6</v>
      </c>
      <c r="AA164" s="400">
        <v>11129.67</v>
      </c>
      <c r="AB164" s="400">
        <v>9361.91</v>
      </c>
      <c r="AC164" s="400">
        <f t="shared" si="738"/>
        <v>116182.23</v>
      </c>
      <c r="AE164" s="127" t="s">
        <v>88</v>
      </c>
      <c r="AF164" s="27">
        <v>8590.99</v>
      </c>
      <c r="AG164" s="27">
        <v>11999.73</v>
      </c>
      <c r="AH164" s="27">
        <v>10296.6</v>
      </c>
      <c r="AI164" s="27">
        <v>11454.38</v>
      </c>
      <c r="AJ164" s="27">
        <v>13676.8</v>
      </c>
      <c r="AK164" s="27">
        <v>8769.6800000000021</v>
      </c>
      <c r="AL164" s="27">
        <v>11640.35</v>
      </c>
      <c r="AM164" s="27">
        <v>10535.729999999998</v>
      </c>
      <c r="AN164" s="27">
        <v>22435.72</v>
      </c>
      <c r="AO164" s="27">
        <v>13276.71</v>
      </c>
      <c r="AP164" s="27">
        <v>13016.650000000001</v>
      </c>
      <c r="AQ164" s="27">
        <v>25837.1</v>
      </c>
      <c r="AR164" s="43">
        <f t="shared" si="739"/>
        <v>161530.44</v>
      </c>
      <c r="AT164" s="60" t="s">
        <v>88</v>
      </c>
      <c r="AU164" s="27">
        <v>17775.96</v>
      </c>
      <c r="AV164" s="27">
        <v>18140.940000000002</v>
      </c>
      <c r="AW164" s="27">
        <v>12622.95</v>
      </c>
      <c r="AX164" s="27">
        <v>15153.380000000001</v>
      </c>
      <c r="AY164" s="27">
        <v>11329.04</v>
      </c>
      <c r="AZ164" s="27">
        <v>19739.310000000001</v>
      </c>
      <c r="BA164" s="27">
        <v>14448.449999999999</v>
      </c>
      <c r="BB164" s="27">
        <v>14049.210000000001</v>
      </c>
      <c r="BC164" s="27">
        <v>10733.199999999999</v>
      </c>
      <c r="BD164" s="27">
        <v>15669.58</v>
      </c>
      <c r="BE164" s="27">
        <v>12369.199999999999</v>
      </c>
      <c r="BF164" s="27">
        <v>15988.79</v>
      </c>
      <c r="BG164" s="43">
        <f t="shared" si="699"/>
        <v>178020.01000000004</v>
      </c>
      <c r="BI164" s="60" t="s">
        <v>88</v>
      </c>
      <c r="BJ164" s="27">
        <v>6587.5</v>
      </c>
      <c r="BK164" s="27">
        <v>7499.52</v>
      </c>
      <c r="BL164" s="27">
        <v>6956.43</v>
      </c>
      <c r="BM164" s="27">
        <v>10267.43</v>
      </c>
      <c r="BN164" s="27">
        <v>13639.24</v>
      </c>
      <c r="BO164" s="27">
        <v>17759.060000000001</v>
      </c>
      <c r="BP164" s="27">
        <v>10985.820000000002</v>
      </c>
      <c r="BQ164" s="27">
        <v>16485.129999999997</v>
      </c>
      <c r="BR164" s="27">
        <v>17731.84</v>
      </c>
      <c r="BS164" s="27">
        <v>16115.679999999998</v>
      </c>
      <c r="BT164" s="27">
        <v>17623.629999999997</v>
      </c>
      <c r="BU164" s="27">
        <v>12376.03</v>
      </c>
      <c r="BV164" s="43">
        <f t="shared" si="700"/>
        <v>154027.31</v>
      </c>
      <c r="BW164" s="405"/>
      <c r="BX164" s="32">
        <f t="shared" si="810"/>
        <v>0.11241449108228431</v>
      </c>
      <c r="BY164" s="32">
        <f t="shared" si="811"/>
        <v>0.18393951617023094</v>
      </c>
      <c r="BZ164" s="32">
        <f t="shared" si="812"/>
        <v>0.24134976706746653</v>
      </c>
      <c r="CA164" s="32">
        <f t="shared" si="813"/>
        <v>0.30004934296011543</v>
      </c>
      <c r="CB164" s="32">
        <f t="shared" si="814"/>
        <v>0.36690960920553267</v>
      </c>
      <c r="CC164" s="32">
        <f t="shared" si="815"/>
        <v>0.46244132263565807</v>
      </c>
      <c r="CD164" s="32">
        <f t="shared" si="816"/>
        <v>0.57971064790649462</v>
      </c>
      <c r="CE164" s="32">
        <f t="shared" si="817"/>
        <v>0.6783409282029389</v>
      </c>
      <c r="CF164" s="32">
        <f t="shared" si="818"/>
        <v>0.75845293883249876</v>
      </c>
      <c r="CG164" s="32">
        <f t="shared" si="819"/>
        <v>0.83371711191201026</v>
      </c>
      <c r="CH164" s="32">
        <f t="shared" si="820"/>
        <v>0.9158909097451402</v>
      </c>
      <c r="CI164" s="32">
        <f t="shared" si="821"/>
        <v>1</v>
      </c>
      <c r="CJ164" s="405"/>
      <c r="CK164" s="32">
        <f t="shared" si="822"/>
        <v>0.10885511493453</v>
      </c>
      <c r="CL164" s="32">
        <f t="shared" si="823"/>
        <v>0.18182307225468128</v>
      </c>
      <c r="CM164" s="32">
        <f t="shared" si="824"/>
        <v>0.26947847360134158</v>
      </c>
      <c r="CN164" s="32">
        <f t="shared" si="825"/>
        <v>0.33886980823143087</v>
      </c>
      <c r="CO164" s="32">
        <f t="shared" si="826"/>
        <v>0.39021191106419628</v>
      </c>
      <c r="CP164" s="32">
        <f t="shared" si="827"/>
        <v>0.44909854114523362</v>
      </c>
      <c r="CQ164" s="32">
        <f t="shared" si="828"/>
        <v>0.5117862688640078</v>
      </c>
      <c r="CR164" s="32">
        <f t="shared" si="829"/>
        <v>0.59104004114914988</v>
      </c>
      <c r="CS164" s="32">
        <f t="shared" si="830"/>
        <v>0.720781913034377</v>
      </c>
      <c r="CT164" s="32">
        <f t="shared" si="831"/>
        <v>0.8236255234556954</v>
      </c>
      <c r="CU164" s="32">
        <f t="shared" si="832"/>
        <v>0.91942046559099444</v>
      </c>
      <c r="CV164" s="32">
        <f t="shared" si="833"/>
        <v>1</v>
      </c>
      <c r="CX164" s="32">
        <f t="shared" si="834"/>
        <v>5.3184960060778635E-2</v>
      </c>
      <c r="CY164" s="32">
        <f t="shared" si="835"/>
        <v>0.12747269183443072</v>
      </c>
      <c r="CZ164" s="32">
        <f t="shared" si="836"/>
        <v>0.19121671432331888</v>
      </c>
      <c r="DA164" s="32">
        <f t="shared" si="837"/>
        <v>0.26212830225683775</v>
      </c>
      <c r="DB164" s="32">
        <f t="shared" si="838"/>
        <v>0.34679841149445267</v>
      </c>
      <c r="DC164" s="32">
        <f t="shared" si="839"/>
        <v>0.40108960267798438</v>
      </c>
      <c r="DD164" s="32">
        <f t="shared" si="840"/>
        <v>0.47315249063891607</v>
      </c>
      <c r="DE164" s="32">
        <f t="shared" si="841"/>
        <v>0.53837691521177056</v>
      </c>
      <c r="DF164" s="32">
        <f t="shared" si="842"/>
        <v>0.67727160280130483</v>
      </c>
      <c r="DG164" s="32">
        <f t="shared" si="843"/>
        <v>0.75946484142555426</v>
      </c>
      <c r="DH164" s="32">
        <f t="shared" si="844"/>
        <v>0.84004810486494064</v>
      </c>
      <c r="DI164" s="32">
        <f t="shared" si="845"/>
        <v>1</v>
      </c>
      <c r="DK164" s="32">
        <f t="shared" si="740"/>
        <v>9.9853718691511106E-2</v>
      </c>
      <c r="DL164" s="32">
        <f t="shared" si="741"/>
        <v>0.2017576563443626</v>
      </c>
      <c r="DM164" s="32">
        <f t="shared" si="742"/>
        <v>0.27266513466660292</v>
      </c>
      <c r="DN164" s="32">
        <f t="shared" si="743"/>
        <v>0.35778691395422346</v>
      </c>
      <c r="DO164" s="32">
        <f t="shared" si="744"/>
        <v>0.42142605204886802</v>
      </c>
      <c r="DP164" s="32">
        <f t="shared" si="745"/>
        <v>0.53230858710770768</v>
      </c>
      <c r="DQ164" s="32">
        <f t="shared" si="746"/>
        <v>0.61347053064427981</v>
      </c>
      <c r="DR164" s="32">
        <f t="shared" si="747"/>
        <v>0.69238980494383751</v>
      </c>
      <c r="DS164" s="32">
        <f t="shared" si="748"/>
        <v>0.75268190356803144</v>
      </c>
      <c r="DT164" s="32">
        <f t="shared" si="749"/>
        <v>0.84070335688667797</v>
      </c>
      <c r="DU164" s="32">
        <f t="shared" si="750"/>
        <v>0.91018543364872295</v>
      </c>
      <c r="DV164" s="32">
        <f t="shared" si="751"/>
        <v>1</v>
      </c>
      <c r="DW164" s="39"/>
      <c r="DX164" s="32">
        <f t="shared" si="752"/>
        <v>4.2768389579744007E-2</v>
      </c>
      <c r="DY164" s="32">
        <f t="shared" si="753"/>
        <v>9.145793690742246E-2</v>
      </c>
      <c r="DZ164" s="32">
        <f t="shared" si="754"/>
        <v>0.13662155107428678</v>
      </c>
      <c r="EA164" s="32">
        <f t="shared" si="755"/>
        <v>0.20328135315743684</v>
      </c>
      <c r="EB164" s="32">
        <f t="shared" si="756"/>
        <v>0.29183214327381296</v>
      </c>
      <c r="EC164" s="32">
        <f t="shared" si="757"/>
        <v>0.40713026800247315</v>
      </c>
      <c r="ED164" s="32">
        <f t="shared" si="758"/>
        <v>0.47845411310500724</v>
      </c>
      <c r="EE164" s="32">
        <f t="shared" si="759"/>
        <v>0.58548143183179657</v>
      </c>
      <c r="EF164" s="32">
        <f t="shared" si="760"/>
        <v>0.70060283465315343</v>
      </c>
      <c r="EG164" s="32">
        <f t="shared" si="761"/>
        <v>0.80523155276814218</v>
      </c>
      <c r="EH164" s="32">
        <f t="shared" si="762"/>
        <v>0.9196504178382392</v>
      </c>
      <c r="EI164" s="32">
        <f t="shared" si="763"/>
        <v>1</v>
      </c>
      <c r="EK164" s="32">
        <f t="shared" si="846"/>
        <v>6.5269022777344587E-2</v>
      </c>
      <c r="EL164" s="32">
        <f t="shared" si="764"/>
        <v>0.14022942836207195</v>
      </c>
      <c r="EM164" s="32">
        <f t="shared" si="765"/>
        <v>0.20016780002140286</v>
      </c>
      <c r="EN164" s="32">
        <f t="shared" si="766"/>
        <v>0.27439885645616607</v>
      </c>
      <c r="EO164" s="32">
        <f t="shared" si="767"/>
        <v>0.35335220227237785</v>
      </c>
      <c r="EP164" s="32">
        <f t="shared" si="768"/>
        <v>0.44684281926272168</v>
      </c>
      <c r="EQ164" s="32">
        <f t="shared" si="769"/>
        <v>0.52169237812940106</v>
      </c>
      <c r="ER164" s="32">
        <f t="shared" si="770"/>
        <v>0.60541605066246829</v>
      </c>
      <c r="ES164" s="32">
        <f t="shared" si="771"/>
        <v>0.71018544700749653</v>
      </c>
      <c r="ET164" s="32">
        <f t="shared" si="772"/>
        <v>0.80179991702679143</v>
      </c>
      <c r="EU164" s="32">
        <f t="shared" si="773"/>
        <v>0.88996131878396767</v>
      </c>
      <c r="EV164" s="32">
        <f t="shared" si="774"/>
        <v>1</v>
      </c>
      <c r="EX164" s="32">
        <f t="shared" si="775"/>
        <v>7.6165545816640937E-2</v>
      </c>
      <c r="EY164" s="32">
        <f t="shared" si="776"/>
        <v>0.15062783933522425</v>
      </c>
      <c r="EZ164" s="32">
        <f t="shared" si="777"/>
        <v>0.21749546841638753</v>
      </c>
      <c r="FA164" s="32">
        <f t="shared" si="778"/>
        <v>0.29051659439998223</v>
      </c>
      <c r="FB164" s="32">
        <f t="shared" si="779"/>
        <v>0.36256712947033254</v>
      </c>
      <c r="FC164" s="32">
        <f t="shared" si="780"/>
        <v>0.44740674973334971</v>
      </c>
      <c r="FD164" s="32">
        <f t="shared" si="781"/>
        <v>0.51921585081305277</v>
      </c>
      <c r="FE164" s="32">
        <f t="shared" si="782"/>
        <v>0.60182204828413854</v>
      </c>
      <c r="FF164" s="32">
        <f t="shared" si="783"/>
        <v>0.7128345635142167</v>
      </c>
      <c r="FG164" s="32">
        <f t="shared" si="784"/>
        <v>0.80725631863401748</v>
      </c>
      <c r="FH164" s="32">
        <f t="shared" si="785"/>
        <v>0.89732610548572433</v>
      </c>
      <c r="FI164" s="32">
        <f t="shared" si="786"/>
        <v>1</v>
      </c>
      <c r="FK164" s="32">
        <f t="shared" si="847"/>
        <v>8.7297931228939918E-2</v>
      </c>
      <c r="FL164" s="32">
        <f t="shared" si="787"/>
        <v>0.17035114014449151</v>
      </c>
      <c r="FM164" s="32">
        <f t="shared" si="788"/>
        <v>0.24445344086375445</v>
      </c>
      <c r="FN164" s="32">
        <f t="shared" si="789"/>
        <v>0.31959500814749736</v>
      </c>
      <c r="FO164" s="32">
        <f t="shared" si="790"/>
        <v>0.38614545820250568</v>
      </c>
      <c r="FP164" s="32">
        <f t="shared" si="791"/>
        <v>0.46083224364364189</v>
      </c>
      <c r="FQ164" s="32">
        <f t="shared" si="792"/>
        <v>0.53280309671573456</v>
      </c>
      <c r="FR164" s="32">
        <f t="shared" si="793"/>
        <v>0.60726892043491931</v>
      </c>
      <c r="FS164" s="32">
        <f t="shared" si="794"/>
        <v>0.71691180646790442</v>
      </c>
      <c r="FT164" s="32">
        <f t="shared" si="795"/>
        <v>0.80793124058930921</v>
      </c>
      <c r="FU164" s="32">
        <f t="shared" si="796"/>
        <v>0.88988466803488597</v>
      </c>
      <c r="FV164" s="32">
        <f t="shared" si="797"/>
        <v>1</v>
      </c>
      <c r="FX164" s="32">
        <f t="shared" si="798"/>
        <v>9.1484855359197648E-2</v>
      </c>
      <c r="FY164" s="32">
        <f t="shared" si="799"/>
        <v>0.16441176008644764</v>
      </c>
      <c r="FZ164" s="32">
        <f t="shared" si="800"/>
        <v>0.23401498499737569</v>
      </c>
      <c r="GA164" s="32">
        <f t="shared" si="801"/>
        <v>0.30034915114946137</v>
      </c>
      <c r="GB164" s="32">
        <f t="shared" si="802"/>
        <v>0.36797331058806054</v>
      </c>
      <c r="GC164" s="32">
        <f t="shared" si="803"/>
        <v>0.43754315548629202</v>
      </c>
      <c r="GD164" s="32">
        <f t="shared" si="804"/>
        <v>0.52154980246980609</v>
      </c>
      <c r="GE164" s="32">
        <f t="shared" si="805"/>
        <v>0.60258596152128641</v>
      </c>
      <c r="GF164" s="32">
        <f t="shared" si="806"/>
        <v>0.71883548488939353</v>
      </c>
      <c r="GG164" s="32">
        <f t="shared" si="807"/>
        <v>0.80560249226441993</v>
      </c>
      <c r="GH164" s="32">
        <f t="shared" si="808"/>
        <v>0.89178649340035843</v>
      </c>
      <c r="GI164" s="32">
        <f t="shared" si="809"/>
        <v>1</v>
      </c>
    </row>
    <row r="165" spans="1:191">
      <c r="A165" s="724" t="s">
        <v>89</v>
      </c>
      <c r="B165" s="400">
        <v>82421.999999999796</v>
      </c>
      <c r="C165" s="400">
        <v>62452.15</v>
      </c>
      <c r="D165" s="400">
        <v>60898.170000000006</v>
      </c>
      <c r="E165" s="400">
        <v>63246.87</v>
      </c>
      <c r="F165" s="400">
        <v>63620.459999999992</v>
      </c>
      <c r="G165" s="400">
        <v>77961.22</v>
      </c>
      <c r="H165" s="400">
        <v>85051.41</v>
      </c>
      <c r="I165" s="400">
        <v>79724.599999999991</v>
      </c>
      <c r="J165" s="400">
        <v>74426.13</v>
      </c>
      <c r="K165" s="400">
        <v>53549.49</v>
      </c>
      <c r="L165" s="400">
        <v>60486.400000000001</v>
      </c>
      <c r="M165" s="400">
        <v>73511.360000000001</v>
      </c>
      <c r="N165" s="400">
        <f t="shared" si="737"/>
        <v>837350.25999999978</v>
      </c>
      <c r="P165" s="396" t="s">
        <v>89</v>
      </c>
      <c r="Q165" s="400">
        <v>71765.16</v>
      </c>
      <c r="R165" s="400">
        <v>54565.07</v>
      </c>
      <c r="S165" s="400">
        <v>53167.990000000005</v>
      </c>
      <c r="T165" s="400">
        <v>34627.67</v>
      </c>
      <c r="U165" s="400">
        <v>34696.71</v>
      </c>
      <c r="V165" s="400">
        <v>39043.43</v>
      </c>
      <c r="W165" s="400">
        <v>39106.979999999996</v>
      </c>
      <c r="X165" s="400">
        <v>41988.43</v>
      </c>
      <c r="Y165" s="400">
        <v>44250.04</v>
      </c>
      <c r="Z165" s="400">
        <v>48029.47</v>
      </c>
      <c r="AA165" s="400">
        <v>56774.079999999994</v>
      </c>
      <c r="AB165" s="400">
        <v>56437.920000000006</v>
      </c>
      <c r="AC165" s="400">
        <f t="shared" si="738"/>
        <v>574452.94999999995</v>
      </c>
      <c r="AE165" s="127" t="s">
        <v>89</v>
      </c>
      <c r="AF165" s="27">
        <v>68969.010000000009</v>
      </c>
      <c r="AG165" s="27">
        <v>57280.82</v>
      </c>
      <c r="AH165" s="27">
        <v>41106.870000000003</v>
      </c>
      <c r="AI165" s="27">
        <v>48888.12000000001</v>
      </c>
      <c r="AJ165" s="27">
        <v>47424.75</v>
      </c>
      <c r="AK165" s="27">
        <v>41172.660000000003</v>
      </c>
      <c r="AL165" s="27">
        <v>54091.48</v>
      </c>
      <c r="AM165" s="27">
        <v>40568.980000000003</v>
      </c>
      <c r="AN165" s="27">
        <v>57587.19999999999</v>
      </c>
      <c r="AO165" s="27">
        <v>80759.070000000007</v>
      </c>
      <c r="AP165" s="27">
        <v>79369.180000000008</v>
      </c>
      <c r="AQ165" s="27">
        <v>93985.52</v>
      </c>
      <c r="AR165" s="43">
        <f t="shared" si="739"/>
        <v>711203.66</v>
      </c>
      <c r="AT165" s="60" t="s">
        <v>89</v>
      </c>
      <c r="AU165" s="27">
        <v>61048.35</v>
      </c>
      <c r="AV165" s="27">
        <v>65152.86</v>
      </c>
      <c r="AW165" s="27">
        <v>56768.959999999999</v>
      </c>
      <c r="AX165" s="27">
        <v>51728.460000000006</v>
      </c>
      <c r="AY165" s="27">
        <v>49655.109999999993</v>
      </c>
      <c r="AZ165" s="27">
        <v>50331.100000000006</v>
      </c>
      <c r="BA165" s="27">
        <v>54245.83</v>
      </c>
      <c r="BB165" s="27">
        <v>41180.490000000005</v>
      </c>
      <c r="BC165" s="27">
        <v>40175.350000000006</v>
      </c>
      <c r="BD165" s="27">
        <v>51199.209999999992</v>
      </c>
      <c r="BE165" s="27">
        <v>48193.42</v>
      </c>
      <c r="BF165" s="27">
        <v>41855.32</v>
      </c>
      <c r="BG165" s="43">
        <f t="shared" si="699"/>
        <v>611534.46</v>
      </c>
      <c r="BI165" s="60" t="s">
        <v>89</v>
      </c>
      <c r="BJ165" s="27">
        <v>64377.630000000012</v>
      </c>
      <c r="BK165" s="27">
        <v>25456.569999999996</v>
      </c>
      <c r="BL165" s="27">
        <v>41392.599999999991</v>
      </c>
      <c r="BM165" s="27">
        <v>20439.84</v>
      </c>
      <c r="BN165" s="27">
        <v>38784.040000000008</v>
      </c>
      <c r="BO165" s="27">
        <v>30262.350000000002</v>
      </c>
      <c r="BP165" s="27">
        <v>26457.410000000003</v>
      </c>
      <c r="BQ165" s="27">
        <v>45850.159999999996</v>
      </c>
      <c r="BR165" s="27">
        <v>40570.170000000006</v>
      </c>
      <c r="BS165" s="27">
        <v>49833.919999999998</v>
      </c>
      <c r="BT165" s="27">
        <v>64441.46</v>
      </c>
      <c r="BU165" s="27">
        <v>50727.070000000007</v>
      </c>
      <c r="BV165" s="43">
        <f t="shared" si="700"/>
        <v>498593.22</v>
      </c>
      <c r="BW165" s="405"/>
      <c r="BX165" s="32">
        <f t="shared" si="810"/>
        <v>9.8431927399174418E-2</v>
      </c>
      <c r="BY165" s="32">
        <f t="shared" si="811"/>
        <v>0.1730149937494494</v>
      </c>
      <c r="BZ165" s="32">
        <f t="shared" si="812"/>
        <v>0.24574222978088028</v>
      </c>
      <c r="CA165" s="32">
        <f t="shared" si="813"/>
        <v>0.32127438522560425</v>
      </c>
      <c r="CB165" s="32">
        <f t="shared" si="814"/>
        <v>0.39725269805254482</v>
      </c>
      <c r="CC165" s="32">
        <f t="shared" si="815"/>
        <v>0.49035736849236766</v>
      </c>
      <c r="CD165" s="32">
        <f t="shared" si="816"/>
        <v>0.59192945136244413</v>
      </c>
      <c r="CE165" s="32">
        <f t="shared" si="817"/>
        <v>0.68714002668369611</v>
      </c>
      <c r="CF165" s="32">
        <f t="shared" si="818"/>
        <v>0.77602293931335253</v>
      </c>
      <c r="CG165" s="32">
        <f t="shared" si="819"/>
        <v>0.8399740629446989</v>
      </c>
      <c r="CH165" s="32">
        <f t="shared" si="820"/>
        <v>0.91220954538188115</v>
      </c>
      <c r="CI165" s="32">
        <f t="shared" si="821"/>
        <v>1</v>
      </c>
      <c r="CJ165" s="405"/>
      <c r="CK165" s="32">
        <f t="shared" si="822"/>
        <v>0.12492782916338059</v>
      </c>
      <c r="CL165" s="32">
        <f t="shared" si="823"/>
        <v>0.21991397206681595</v>
      </c>
      <c r="CM165" s="32">
        <f t="shared" si="824"/>
        <v>0.3124680968215065</v>
      </c>
      <c r="CN165" s="32">
        <f t="shared" si="825"/>
        <v>0.37274748088594556</v>
      </c>
      <c r="CO165" s="32">
        <f t="shared" si="826"/>
        <v>0.43314704885752614</v>
      </c>
      <c r="CP165" s="32">
        <f t="shared" si="827"/>
        <v>0.50111332877653436</v>
      </c>
      <c r="CQ165" s="32">
        <f t="shared" si="828"/>
        <v>0.569190235684228</v>
      </c>
      <c r="CR165" s="32">
        <f t="shared" si="829"/>
        <v>0.64228313215207622</v>
      </c>
      <c r="CS165" s="32">
        <f t="shared" si="830"/>
        <v>0.71931300901144302</v>
      </c>
      <c r="CT165" s="32">
        <f t="shared" si="831"/>
        <v>0.80292206698564261</v>
      </c>
      <c r="CU165" s="32">
        <f t="shared" si="832"/>
        <v>0.90175362490522504</v>
      </c>
      <c r="CV165" s="32">
        <f t="shared" si="833"/>
        <v>1</v>
      </c>
      <c r="CX165" s="32">
        <f t="shared" si="834"/>
        <v>9.6975049312878966E-2</v>
      </c>
      <c r="CY165" s="32">
        <f t="shared" si="835"/>
        <v>0.17751572032123683</v>
      </c>
      <c r="CZ165" s="32">
        <f t="shared" si="836"/>
        <v>0.23531473389774177</v>
      </c>
      <c r="DA165" s="32">
        <f t="shared" si="837"/>
        <v>0.30405470635513882</v>
      </c>
      <c r="DB165" s="32">
        <f t="shared" si="838"/>
        <v>0.37073708253976084</v>
      </c>
      <c r="DC165" s="32">
        <f t="shared" si="839"/>
        <v>0.42862860126450975</v>
      </c>
      <c r="DD165" s="32">
        <f t="shared" si="840"/>
        <v>0.50468484653186396</v>
      </c>
      <c r="DE165" s="32">
        <f t="shared" si="841"/>
        <v>0.5617275507271714</v>
      </c>
      <c r="DF165" s="32">
        <f t="shared" si="842"/>
        <v>0.64269901254445161</v>
      </c>
      <c r="DG165" s="32">
        <f t="shared" si="843"/>
        <v>0.75625167620762801</v>
      </c>
      <c r="DH165" s="32">
        <f t="shared" si="844"/>
        <v>0.86785006140153997</v>
      </c>
      <c r="DI165" s="32">
        <f t="shared" si="845"/>
        <v>1</v>
      </c>
      <c r="DK165" s="32">
        <f t="shared" si="740"/>
        <v>9.9828143781137052E-2</v>
      </c>
      <c r="DL165" s="32">
        <f t="shared" si="741"/>
        <v>0.20636810883887066</v>
      </c>
      <c r="DM165" s="32">
        <f t="shared" si="742"/>
        <v>0.29919846217660406</v>
      </c>
      <c r="DN165" s="32">
        <f t="shared" si="743"/>
        <v>0.38378643453714778</v>
      </c>
      <c r="DO165" s="32">
        <f t="shared" si="744"/>
        <v>0.46498400106512394</v>
      </c>
      <c r="DP165" s="32">
        <f t="shared" si="745"/>
        <v>0.5472869672789985</v>
      </c>
      <c r="DQ165" s="32">
        <f t="shared" si="746"/>
        <v>0.6359914206633589</v>
      </c>
      <c r="DR165" s="32">
        <f t="shared" si="747"/>
        <v>0.70333102733082287</v>
      </c>
      <c r="DS165" s="32">
        <f t="shared" si="748"/>
        <v>0.76902699808609321</v>
      </c>
      <c r="DT165" s="32">
        <f t="shared" si="749"/>
        <v>0.85274952453210895</v>
      </c>
      <c r="DU165" s="32">
        <f t="shared" si="750"/>
        <v>0.93155689051439561</v>
      </c>
      <c r="DV165" s="32">
        <f t="shared" si="751"/>
        <v>1</v>
      </c>
      <c r="DW165" s="39"/>
      <c r="DX165" s="32">
        <f t="shared" si="752"/>
        <v>0.12911854276718809</v>
      </c>
      <c r="DY165" s="32">
        <f t="shared" si="753"/>
        <v>0.18017533411304715</v>
      </c>
      <c r="DZ165" s="32">
        <f t="shared" si="754"/>
        <v>0.26319411242696</v>
      </c>
      <c r="EA165" s="32">
        <f t="shared" si="755"/>
        <v>0.30418913438092882</v>
      </c>
      <c r="EB165" s="32">
        <f t="shared" si="756"/>
        <v>0.38197607259882116</v>
      </c>
      <c r="EC165" s="32">
        <f t="shared" si="757"/>
        <v>0.44267154294637223</v>
      </c>
      <c r="ED165" s="32">
        <f t="shared" si="758"/>
        <v>0.49573566202925906</v>
      </c>
      <c r="EE165" s="32">
        <f t="shared" si="759"/>
        <v>0.58769471434047982</v>
      </c>
      <c r="EF165" s="32">
        <f t="shared" si="760"/>
        <v>0.66906399168444364</v>
      </c>
      <c r="EG165" s="32">
        <f t="shared" si="761"/>
        <v>0.76901304434103612</v>
      </c>
      <c r="EH165" s="32">
        <f t="shared" si="762"/>
        <v>0.89825960730071697</v>
      </c>
      <c r="EI165" s="32">
        <f t="shared" si="763"/>
        <v>1</v>
      </c>
      <c r="EK165" s="32">
        <f t="shared" si="846"/>
        <v>0.10864057862040137</v>
      </c>
      <c r="EL165" s="32">
        <f t="shared" si="764"/>
        <v>0.18801972109105156</v>
      </c>
      <c r="EM165" s="32">
        <f t="shared" si="765"/>
        <v>0.26590243616710196</v>
      </c>
      <c r="EN165" s="32">
        <f t="shared" si="766"/>
        <v>0.33067675842440519</v>
      </c>
      <c r="EO165" s="32">
        <f t="shared" si="767"/>
        <v>0.40589905206790194</v>
      </c>
      <c r="EP165" s="32">
        <f t="shared" si="768"/>
        <v>0.47286237049662683</v>
      </c>
      <c r="EQ165" s="32">
        <f t="shared" si="769"/>
        <v>0.54547064307482729</v>
      </c>
      <c r="ER165" s="32">
        <f t="shared" si="770"/>
        <v>0.61758443079949132</v>
      </c>
      <c r="ES165" s="32">
        <f t="shared" si="771"/>
        <v>0.69359666743832948</v>
      </c>
      <c r="ET165" s="32">
        <f t="shared" si="772"/>
        <v>0.79267141502692429</v>
      </c>
      <c r="EU165" s="32">
        <f t="shared" si="773"/>
        <v>0.89922218640555085</v>
      </c>
      <c r="EV165" s="32">
        <f t="shared" si="774"/>
        <v>1</v>
      </c>
      <c r="EX165" s="32">
        <f t="shared" si="775"/>
        <v>0.11271239125614617</v>
      </c>
      <c r="EY165" s="32">
        <f t="shared" si="776"/>
        <v>0.19599328383499265</v>
      </c>
      <c r="EZ165" s="32">
        <f t="shared" si="777"/>
        <v>0.27754385133070308</v>
      </c>
      <c r="FA165" s="32">
        <f t="shared" si="778"/>
        <v>0.3411944390397903</v>
      </c>
      <c r="FB165" s="32">
        <f t="shared" si="779"/>
        <v>0.41271105126530805</v>
      </c>
      <c r="FC165" s="32">
        <f t="shared" si="780"/>
        <v>0.47992511006660371</v>
      </c>
      <c r="FD165" s="32">
        <f t="shared" si="781"/>
        <v>0.55140054122717752</v>
      </c>
      <c r="FE165" s="32">
        <f t="shared" si="782"/>
        <v>0.62375910613763763</v>
      </c>
      <c r="FF165" s="32">
        <f t="shared" si="783"/>
        <v>0.70002575283160784</v>
      </c>
      <c r="FG165" s="32">
        <f t="shared" si="784"/>
        <v>0.79523407801660384</v>
      </c>
      <c r="FH165" s="32">
        <f t="shared" si="785"/>
        <v>0.8998550460304694</v>
      </c>
      <c r="FI165" s="32">
        <f t="shared" si="786"/>
        <v>1</v>
      </c>
      <c r="FK165" s="32">
        <f t="shared" si="847"/>
        <v>0.10724367408579887</v>
      </c>
      <c r="FL165" s="32">
        <f t="shared" si="787"/>
        <v>0.20126593374230781</v>
      </c>
      <c r="FM165" s="32">
        <f t="shared" si="788"/>
        <v>0.2823270976319508</v>
      </c>
      <c r="FN165" s="32">
        <f t="shared" si="789"/>
        <v>0.35352954059274405</v>
      </c>
      <c r="FO165" s="32">
        <f t="shared" si="790"/>
        <v>0.42295604415413696</v>
      </c>
      <c r="FP165" s="32">
        <f t="shared" si="791"/>
        <v>0.49234296577334752</v>
      </c>
      <c r="FQ165" s="32">
        <f t="shared" si="792"/>
        <v>0.56995550095981695</v>
      </c>
      <c r="FR165" s="32">
        <f t="shared" si="793"/>
        <v>0.63578057007002353</v>
      </c>
      <c r="FS165" s="32">
        <f t="shared" si="794"/>
        <v>0.71034633988066265</v>
      </c>
      <c r="FT165" s="32">
        <f t="shared" si="795"/>
        <v>0.80397442257512652</v>
      </c>
      <c r="FU165" s="32">
        <f t="shared" si="796"/>
        <v>0.90038685894038695</v>
      </c>
      <c r="FV165" s="32">
        <f t="shared" si="797"/>
        <v>1</v>
      </c>
      <c r="FX165" s="32">
        <f t="shared" si="798"/>
        <v>0.10677826862514465</v>
      </c>
      <c r="FY165" s="32">
        <f t="shared" si="799"/>
        <v>0.19014822871250073</v>
      </c>
      <c r="FZ165" s="32">
        <f t="shared" si="800"/>
        <v>0.26450835350004281</v>
      </c>
      <c r="GA165" s="32">
        <f t="shared" si="801"/>
        <v>0.33269219082222951</v>
      </c>
      <c r="GB165" s="32">
        <f t="shared" si="802"/>
        <v>0.40037894314994399</v>
      </c>
      <c r="GC165" s="32">
        <f t="shared" si="803"/>
        <v>0.47336643284447061</v>
      </c>
      <c r="GD165" s="32">
        <f t="shared" si="804"/>
        <v>0.55526817785951199</v>
      </c>
      <c r="GE165" s="32">
        <f t="shared" si="805"/>
        <v>0.63038356985431454</v>
      </c>
      <c r="GF165" s="32">
        <f t="shared" si="806"/>
        <v>0.71267832028974898</v>
      </c>
      <c r="GG165" s="32">
        <f t="shared" si="807"/>
        <v>0.79971593537932317</v>
      </c>
      <c r="GH165" s="32">
        <f t="shared" si="808"/>
        <v>0.89393774389621539</v>
      </c>
      <c r="GI165" s="32">
        <f t="shared" si="809"/>
        <v>1</v>
      </c>
    </row>
    <row r="166" spans="1:191">
      <c r="A166" s="724" t="s">
        <v>90</v>
      </c>
      <c r="B166" s="400">
        <v>13483.110000000024</v>
      </c>
      <c r="C166" s="400">
        <v>12293.660000000002</v>
      </c>
      <c r="D166" s="400">
        <v>9537.09</v>
      </c>
      <c r="E166" s="400">
        <v>11771.349999999999</v>
      </c>
      <c r="F166" s="400">
        <v>10256.219999999999</v>
      </c>
      <c r="G166" s="400">
        <v>13037.66</v>
      </c>
      <c r="H166" s="400">
        <v>15830.99</v>
      </c>
      <c r="I166" s="400">
        <v>16630.650000000001</v>
      </c>
      <c r="J166" s="400">
        <v>15244.079999999998</v>
      </c>
      <c r="K166" s="400">
        <v>11364.000000000002</v>
      </c>
      <c r="L166" s="400">
        <v>16014.88</v>
      </c>
      <c r="M166" s="400">
        <v>16323.979999999998</v>
      </c>
      <c r="N166" s="400">
        <f t="shared" si="737"/>
        <v>161787.67000000004</v>
      </c>
      <c r="P166" s="396" t="s">
        <v>90</v>
      </c>
      <c r="Q166" s="400">
        <v>12626.16</v>
      </c>
      <c r="R166" s="400">
        <v>9127.39</v>
      </c>
      <c r="S166" s="400">
        <v>10605.569999999998</v>
      </c>
      <c r="T166" s="400">
        <v>6377.3</v>
      </c>
      <c r="U166" s="400">
        <v>4387.83</v>
      </c>
      <c r="V166" s="400">
        <v>5553.11</v>
      </c>
      <c r="W166" s="400">
        <v>7544.9600000000009</v>
      </c>
      <c r="X166" s="400">
        <v>11785.609999999999</v>
      </c>
      <c r="Y166" s="400">
        <v>9464.260000000002</v>
      </c>
      <c r="Z166" s="400">
        <v>11709.32</v>
      </c>
      <c r="AA166" s="400">
        <v>10376.300000000001</v>
      </c>
      <c r="AB166" s="400">
        <v>8546.1299999999992</v>
      </c>
      <c r="AC166" s="400">
        <f t="shared" si="738"/>
        <v>108103.94000000002</v>
      </c>
      <c r="AE166" s="127" t="s">
        <v>90</v>
      </c>
      <c r="AF166" s="27">
        <v>9116.1</v>
      </c>
      <c r="AG166" s="27">
        <v>11703.86</v>
      </c>
      <c r="AH166" s="27">
        <v>8483.33</v>
      </c>
      <c r="AI166" s="27">
        <v>10027.869999999999</v>
      </c>
      <c r="AJ166" s="27">
        <v>7450.62</v>
      </c>
      <c r="AK166" s="27">
        <v>8579.81</v>
      </c>
      <c r="AL166" s="27">
        <v>9648.0800000000017</v>
      </c>
      <c r="AM166" s="27">
        <v>8492.3700000000008</v>
      </c>
      <c r="AN166" s="27">
        <v>8274.8300000000017</v>
      </c>
      <c r="AO166" s="27">
        <v>12971.25</v>
      </c>
      <c r="AP166" s="27">
        <v>12470.400000000001</v>
      </c>
      <c r="AQ166" s="27">
        <v>16857.670000000002</v>
      </c>
      <c r="AR166" s="43">
        <f t="shared" si="739"/>
        <v>124076.19000000002</v>
      </c>
      <c r="AT166" s="60" t="s">
        <v>90</v>
      </c>
      <c r="AU166" s="27">
        <v>13904.65</v>
      </c>
      <c r="AV166" s="27">
        <v>9218.08</v>
      </c>
      <c r="AW166" s="27">
        <v>8673.73</v>
      </c>
      <c r="AX166" s="27">
        <v>8249.02</v>
      </c>
      <c r="AY166" s="27">
        <v>6809.71</v>
      </c>
      <c r="AZ166" s="27">
        <v>5969.44</v>
      </c>
      <c r="BA166" s="27">
        <v>7576.0600000000013</v>
      </c>
      <c r="BB166" s="27">
        <v>8202.0999999999985</v>
      </c>
      <c r="BC166" s="27">
        <v>8966.8700000000008</v>
      </c>
      <c r="BD166" s="27">
        <v>8335.57</v>
      </c>
      <c r="BE166" s="27">
        <v>10814.839999999998</v>
      </c>
      <c r="BF166" s="27">
        <v>9536.4200000000019</v>
      </c>
      <c r="BG166" s="43">
        <f t="shared" si="699"/>
        <v>106256.49</v>
      </c>
      <c r="BI166" s="60" t="s">
        <v>90</v>
      </c>
      <c r="BJ166" s="27">
        <v>7891.7</v>
      </c>
      <c r="BK166" s="27">
        <v>9291.02</v>
      </c>
      <c r="BL166" s="27">
        <v>7431.77</v>
      </c>
      <c r="BM166" s="27">
        <v>3975.7400000000002</v>
      </c>
      <c r="BN166" s="27">
        <v>8816.2900000000009</v>
      </c>
      <c r="BO166" s="27">
        <v>8504.51</v>
      </c>
      <c r="BP166" s="27">
        <v>7398.83</v>
      </c>
      <c r="BQ166" s="27">
        <v>7997.8399999999992</v>
      </c>
      <c r="BR166" s="27">
        <v>10469.41</v>
      </c>
      <c r="BS166" s="27">
        <v>9656.26</v>
      </c>
      <c r="BT166" s="27">
        <v>13334.830000000002</v>
      </c>
      <c r="BU166" s="27">
        <v>7214.2100000000009</v>
      </c>
      <c r="BV166" s="43">
        <f t="shared" si="700"/>
        <v>101982.41</v>
      </c>
      <c r="BW166" s="405"/>
      <c r="BX166" s="32">
        <f t="shared" si="810"/>
        <v>8.3338303839841574E-2</v>
      </c>
      <c r="BY166" s="32">
        <f t="shared" si="811"/>
        <v>0.15932468772187658</v>
      </c>
      <c r="BZ166" s="32">
        <f t="shared" si="812"/>
        <v>0.21827287580073326</v>
      </c>
      <c r="CA166" s="32">
        <f t="shared" si="813"/>
        <v>0.29103089252722419</v>
      </c>
      <c r="CB166" s="32">
        <f t="shared" si="814"/>
        <v>0.35442398051718044</v>
      </c>
      <c r="CC166" s="32">
        <f t="shared" si="815"/>
        <v>0.43500898430640611</v>
      </c>
      <c r="CD166" s="32">
        <f t="shared" si="816"/>
        <v>0.53285939528024606</v>
      </c>
      <c r="CE166" s="32">
        <f t="shared" si="817"/>
        <v>0.63565245732261311</v>
      </c>
      <c r="CF166" s="32">
        <f t="shared" si="818"/>
        <v>0.72987521236939756</v>
      </c>
      <c r="CG166" s="32">
        <f t="shared" si="819"/>
        <v>0.8001154228872942</v>
      </c>
      <c r="CH166" s="32">
        <f t="shared" si="820"/>
        <v>0.89910244705297993</v>
      </c>
      <c r="CI166" s="32">
        <f t="shared" si="821"/>
        <v>1</v>
      </c>
      <c r="CJ166" s="405"/>
      <c r="CK166" s="32">
        <f t="shared" si="822"/>
        <v>0.11679648308840546</v>
      </c>
      <c r="CL166" s="32">
        <f t="shared" si="823"/>
        <v>0.20122809584923543</v>
      </c>
      <c r="CM166" s="32">
        <f t="shared" si="824"/>
        <v>0.29933340079926773</v>
      </c>
      <c r="CN166" s="32">
        <f t="shared" si="825"/>
        <v>0.35832570024737298</v>
      </c>
      <c r="CO166" s="32">
        <f t="shared" si="826"/>
        <v>0.39891469265597529</v>
      </c>
      <c r="CP166" s="32">
        <f t="shared" si="827"/>
        <v>0.45028294065877705</v>
      </c>
      <c r="CQ166" s="32">
        <f t="shared" si="828"/>
        <v>0.52007651154990275</v>
      </c>
      <c r="CR166" s="32">
        <f t="shared" si="829"/>
        <v>0.62909760735825149</v>
      </c>
      <c r="CS166" s="32">
        <f t="shared" si="830"/>
        <v>0.71664538776292508</v>
      </c>
      <c r="CT166" s="32">
        <f t="shared" si="831"/>
        <v>0.82496077386263622</v>
      </c>
      <c r="CU166" s="32">
        <f t="shared" si="832"/>
        <v>0.92094524954409618</v>
      </c>
      <c r="CV166" s="32">
        <f t="shared" si="833"/>
        <v>1</v>
      </c>
      <c r="CX166" s="32">
        <f t="shared" si="834"/>
        <v>7.34717918079206E-2</v>
      </c>
      <c r="CY166" s="32">
        <f t="shared" si="835"/>
        <v>0.16779980107384015</v>
      </c>
      <c r="CZ166" s="32">
        <f t="shared" si="836"/>
        <v>0.23617174253980555</v>
      </c>
      <c r="DA166" s="32">
        <f t="shared" si="837"/>
        <v>0.31699200305876574</v>
      </c>
      <c r="DB166" s="32">
        <f t="shared" si="838"/>
        <v>0.37704075213785981</v>
      </c>
      <c r="DC166" s="32">
        <f t="shared" si="839"/>
        <v>0.44619028034306984</v>
      </c>
      <c r="DD166" s="32">
        <f t="shared" si="840"/>
        <v>0.52394959903265881</v>
      </c>
      <c r="DE166" s="32">
        <f t="shared" si="841"/>
        <v>0.59239439895760826</v>
      </c>
      <c r="DF166" s="32">
        <f t="shared" si="842"/>
        <v>0.65908592131979549</v>
      </c>
      <c r="DG166" s="32">
        <f t="shared" si="843"/>
        <v>0.76362854146311232</v>
      </c>
      <c r="DH166" s="32">
        <f t="shared" si="844"/>
        <v>0.86413452895354059</v>
      </c>
      <c r="DI166" s="32">
        <f t="shared" si="845"/>
        <v>1</v>
      </c>
      <c r="DK166" s="32">
        <f t="shared" si="740"/>
        <v>0.1308593009236424</v>
      </c>
      <c r="DL166" s="32">
        <f t="shared" si="741"/>
        <v>0.21761240184011346</v>
      </c>
      <c r="DM166" s="32">
        <f t="shared" si="742"/>
        <v>0.29924252156268288</v>
      </c>
      <c r="DN166" s="32">
        <f t="shared" si="743"/>
        <v>0.3768756148447967</v>
      </c>
      <c r="DO166" s="32">
        <f t="shared" si="744"/>
        <v>0.44096308846640797</v>
      </c>
      <c r="DP166" s="32">
        <f t="shared" si="745"/>
        <v>0.49714262159421974</v>
      </c>
      <c r="DQ166" s="32">
        <f t="shared" si="746"/>
        <v>0.56844236055604702</v>
      </c>
      <c r="DR166" s="32">
        <f t="shared" si="747"/>
        <v>0.64563388081048045</v>
      </c>
      <c r="DS166" s="32">
        <f t="shared" si="748"/>
        <v>0.73002279672516945</v>
      </c>
      <c r="DT166" s="32">
        <f t="shared" si="749"/>
        <v>0.80847042848865047</v>
      </c>
      <c r="DU166" s="32">
        <f t="shared" si="750"/>
        <v>0.91025094090723313</v>
      </c>
      <c r="DV166" s="32">
        <f t="shared" si="751"/>
        <v>1</v>
      </c>
      <c r="DW166" s="39"/>
      <c r="DX166" s="32">
        <f t="shared" si="752"/>
        <v>7.738295260918035E-2</v>
      </c>
      <c r="DY166" s="32">
        <f t="shared" si="753"/>
        <v>0.16848709498039907</v>
      </c>
      <c r="DZ166" s="32">
        <f t="shared" si="754"/>
        <v>0.24136015220664034</v>
      </c>
      <c r="EA166" s="32">
        <f t="shared" si="755"/>
        <v>0.28034471827053314</v>
      </c>
      <c r="EB166" s="32">
        <f t="shared" si="756"/>
        <v>0.36679384219298211</v>
      </c>
      <c r="EC166" s="32">
        <f t="shared" si="757"/>
        <v>0.45018577223268214</v>
      </c>
      <c r="ED166" s="32">
        <f t="shared" si="758"/>
        <v>0.52273583258132461</v>
      </c>
      <c r="EE166" s="32">
        <f t="shared" si="759"/>
        <v>0.60115955290721212</v>
      </c>
      <c r="EF166" s="32">
        <f t="shared" si="760"/>
        <v>0.70381853105844427</v>
      </c>
      <c r="EG166" s="32">
        <f t="shared" si="761"/>
        <v>0.79850407535966239</v>
      </c>
      <c r="EH166" s="32">
        <f t="shared" si="762"/>
        <v>0.92926025184146943</v>
      </c>
      <c r="EI166" s="32">
        <f t="shared" si="763"/>
        <v>1</v>
      </c>
      <c r="EK166" s="32">
        <f t="shared" si="846"/>
        <v>9.3904681780247787E-2</v>
      </c>
      <c r="EL166" s="32">
        <f t="shared" si="764"/>
        <v>0.18463309929811755</v>
      </c>
      <c r="EM166" s="32">
        <f t="shared" si="765"/>
        <v>0.25892480543637625</v>
      </c>
      <c r="EN166" s="32">
        <f t="shared" si="766"/>
        <v>0.32473744539136518</v>
      </c>
      <c r="EO166" s="32">
        <f t="shared" si="767"/>
        <v>0.39493256093241663</v>
      </c>
      <c r="EP166" s="32">
        <f t="shared" si="768"/>
        <v>0.46450622472332387</v>
      </c>
      <c r="EQ166" s="32">
        <f t="shared" si="769"/>
        <v>0.53837593072334355</v>
      </c>
      <c r="ER166" s="32">
        <f t="shared" si="770"/>
        <v>0.61306261089176683</v>
      </c>
      <c r="ES166" s="32">
        <f t="shared" si="771"/>
        <v>0.69764241636780311</v>
      </c>
      <c r="ET166" s="32">
        <f t="shared" si="772"/>
        <v>0.79020101510380847</v>
      </c>
      <c r="EU166" s="32">
        <f t="shared" si="773"/>
        <v>0.90121524056741442</v>
      </c>
      <c r="EV166" s="32">
        <f t="shared" si="774"/>
        <v>1</v>
      </c>
      <c r="EX166" s="32">
        <f t="shared" si="775"/>
        <v>9.9627632107287201E-2</v>
      </c>
      <c r="EY166" s="32">
        <f t="shared" si="776"/>
        <v>0.18878184843589702</v>
      </c>
      <c r="EZ166" s="32">
        <f t="shared" si="777"/>
        <v>0.26902695427709911</v>
      </c>
      <c r="FA166" s="32">
        <f t="shared" si="778"/>
        <v>0.33313450910536713</v>
      </c>
      <c r="FB166" s="32">
        <f t="shared" si="779"/>
        <v>0.3959280938633063</v>
      </c>
      <c r="FC166" s="32">
        <f t="shared" si="780"/>
        <v>0.46095040370718721</v>
      </c>
      <c r="FD166" s="32">
        <f t="shared" si="781"/>
        <v>0.53380107592998327</v>
      </c>
      <c r="FE166" s="32">
        <f t="shared" si="782"/>
        <v>0.61707136000838814</v>
      </c>
      <c r="FF166" s="32">
        <f t="shared" si="783"/>
        <v>0.70239315921658363</v>
      </c>
      <c r="FG166" s="32">
        <f t="shared" si="784"/>
        <v>0.79889095479351535</v>
      </c>
      <c r="FH166" s="32">
        <f t="shared" si="785"/>
        <v>0.90614774281158483</v>
      </c>
      <c r="FI166" s="32">
        <f t="shared" si="786"/>
        <v>1</v>
      </c>
      <c r="FK166" s="32">
        <f t="shared" si="847"/>
        <v>0.10704252527332281</v>
      </c>
      <c r="FL166" s="32">
        <f t="shared" si="787"/>
        <v>0.19554676625439635</v>
      </c>
      <c r="FM166" s="32">
        <f t="shared" si="788"/>
        <v>0.27824922163391869</v>
      </c>
      <c r="FN166" s="32">
        <f t="shared" si="789"/>
        <v>0.35073110605031177</v>
      </c>
      <c r="FO166" s="32">
        <f t="shared" si="790"/>
        <v>0.40563951108674767</v>
      </c>
      <c r="FP166" s="32">
        <f t="shared" si="791"/>
        <v>0.46453861419868892</v>
      </c>
      <c r="FQ166" s="32">
        <f t="shared" si="792"/>
        <v>0.53748949037953631</v>
      </c>
      <c r="FR166" s="32">
        <f t="shared" si="793"/>
        <v>0.62237529570878003</v>
      </c>
      <c r="FS166" s="32">
        <f t="shared" si="794"/>
        <v>0.70191803526929675</v>
      </c>
      <c r="FT166" s="32">
        <f t="shared" si="795"/>
        <v>0.79901991460479971</v>
      </c>
      <c r="FU166" s="32">
        <f t="shared" si="796"/>
        <v>0.89844357313495671</v>
      </c>
      <c r="FV166" s="32">
        <f t="shared" si="797"/>
        <v>1</v>
      </c>
      <c r="FX166" s="32">
        <f t="shared" si="798"/>
        <v>9.1202192912055877E-2</v>
      </c>
      <c r="FY166" s="32">
        <f t="shared" si="799"/>
        <v>0.17611752821498405</v>
      </c>
      <c r="FZ166" s="32">
        <f t="shared" si="800"/>
        <v>0.25125933971326886</v>
      </c>
      <c r="GA166" s="32">
        <f t="shared" si="801"/>
        <v>0.32211619861112095</v>
      </c>
      <c r="GB166" s="32">
        <f t="shared" si="802"/>
        <v>0.37679314177033851</v>
      </c>
      <c r="GC166" s="32">
        <f t="shared" si="803"/>
        <v>0.44382740176941765</v>
      </c>
      <c r="GD166" s="32">
        <f t="shared" si="804"/>
        <v>0.52562850195426913</v>
      </c>
      <c r="GE166" s="32">
        <f t="shared" si="805"/>
        <v>0.61904815454615758</v>
      </c>
      <c r="GF166" s="32">
        <f t="shared" si="806"/>
        <v>0.70186884048403941</v>
      </c>
      <c r="GG166" s="32">
        <f t="shared" si="807"/>
        <v>0.79623491273768077</v>
      </c>
      <c r="GH166" s="32">
        <f t="shared" si="808"/>
        <v>0.89472740851687227</v>
      </c>
      <c r="GI166" s="32">
        <f t="shared" si="809"/>
        <v>1</v>
      </c>
    </row>
    <row r="167" spans="1:191">
      <c r="A167" s="724" t="s">
        <v>91</v>
      </c>
      <c r="B167" s="400">
        <v>11771.59</v>
      </c>
      <c r="C167" s="400">
        <v>8944.61</v>
      </c>
      <c r="D167" s="400">
        <v>6352.0599999999995</v>
      </c>
      <c r="E167" s="400">
        <v>8387.16</v>
      </c>
      <c r="F167" s="400">
        <v>10855.710000000001</v>
      </c>
      <c r="G167" s="400">
        <v>14696.58</v>
      </c>
      <c r="H167" s="400">
        <v>17098.36</v>
      </c>
      <c r="I167" s="400">
        <v>13860.57</v>
      </c>
      <c r="J167" s="400">
        <v>14294.189999999999</v>
      </c>
      <c r="K167" s="400">
        <v>12703.93</v>
      </c>
      <c r="L167" s="400">
        <v>13036.74</v>
      </c>
      <c r="M167" s="400">
        <v>22075.24</v>
      </c>
      <c r="N167" s="400">
        <f t="shared" si="737"/>
        <v>154076.74</v>
      </c>
      <c r="P167" s="396" t="s">
        <v>91</v>
      </c>
      <c r="Q167" s="400">
        <v>11182.24</v>
      </c>
      <c r="R167" s="400">
        <v>10106.039999999999</v>
      </c>
      <c r="S167" s="400">
        <v>8045.4500000000007</v>
      </c>
      <c r="T167" s="400">
        <v>5978.6200000000008</v>
      </c>
      <c r="U167" s="400">
        <v>2990.4700000000003</v>
      </c>
      <c r="V167" s="400">
        <v>4217.83</v>
      </c>
      <c r="W167" s="400">
        <v>5453.76</v>
      </c>
      <c r="X167" s="400">
        <v>7676.69</v>
      </c>
      <c r="Y167" s="400">
        <v>8435.2999999999993</v>
      </c>
      <c r="Z167" s="400">
        <v>12012.909999999998</v>
      </c>
      <c r="AA167" s="400">
        <v>8685.239999999998</v>
      </c>
      <c r="AB167" s="400">
        <v>11007.169999999998</v>
      </c>
      <c r="AC167" s="400">
        <f t="shared" si="738"/>
        <v>95791.720000000016</v>
      </c>
      <c r="AE167" s="127" t="s">
        <v>91</v>
      </c>
      <c r="AF167" s="27">
        <v>9901.369999999999</v>
      </c>
      <c r="AG167" s="27">
        <v>7758.3099999999995</v>
      </c>
      <c r="AH167" s="27">
        <v>8532.2000000000007</v>
      </c>
      <c r="AI167" s="27">
        <v>4753.21</v>
      </c>
      <c r="AJ167" s="27">
        <v>8670.0499999999993</v>
      </c>
      <c r="AK167" s="27">
        <v>5448.63</v>
      </c>
      <c r="AL167" s="27">
        <v>7445.79</v>
      </c>
      <c r="AM167" s="27">
        <v>7648.1799999999994</v>
      </c>
      <c r="AN167" s="27">
        <v>7561.2000000000007</v>
      </c>
      <c r="AO167" s="27">
        <v>10192.259999999998</v>
      </c>
      <c r="AP167" s="27">
        <v>12759.719999999998</v>
      </c>
      <c r="AQ167" s="27">
        <v>10698.02</v>
      </c>
      <c r="AR167" s="43">
        <f t="shared" si="739"/>
        <v>101368.94</v>
      </c>
      <c r="AT167" s="60" t="s">
        <v>91</v>
      </c>
      <c r="AU167" s="27">
        <v>7977.3799999999992</v>
      </c>
      <c r="AV167" s="27">
        <v>7666.7120000000004</v>
      </c>
      <c r="AW167" s="27">
        <v>11209.56</v>
      </c>
      <c r="AX167" s="27">
        <v>6990.29</v>
      </c>
      <c r="AY167" s="27">
        <v>7857.1</v>
      </c>
      <c r="AZ167" s="27">
        <v>8319.6299999999992</v>
      </c>
      <c r="BA167" s="27">
        <v>8343.9700000000012</v>
      </c>
      <c r="BB167" s="27">
        <v>9412.1200000000008</v>
      </c>
      <c r="BC167" s="27">
        <v>5170.6799999999994</v>
      </c>
      <c r="BD167" s="27">
        <v>9251.52</v>
      </c>
      <c r="BE167" s="27">
        <v>6689.69</v>
      </c>
      <c r="BF167" s="27">
        <v>9020.869999999999</v>
      </c>
      <c r="BG167" s="43">
        <f t="shared" si="699"/>
        <v>97909.521999999997</v>
      </c>
      <c r="BI167" s="60" t="s">
        <v>91</v>
      </c>
      <c r="BJ167" s="27">
        <v>7270.71</v>
      </c>
      <c r="BK167" s="27">
        <v>5385.22</v>
      </c>
      <c r="BL167" s="27">
        <v>5535.51</v>
      </c>
      <c r="BM167" s="27">
        <v>11892.86</v>
      </c>
      <c r="BN167" s="27">
        <v>4835.01</v>
      </c>
      <c r="BO167" s="27">
        <v>9823.25</v>
      </c>
      <c r="BP167" s="27">
        <v>5338.86</v>
      </c>
      <c r="BQ167" s="27">
        <v>7599.54</v>
      </c>
      <c r="BR167" s="27">
        <v>9041.2000000000007</v>
      </c>
      <c r="BS167" s="27">
        <v>7837.25</v>
      </c>
      <c r="BT167" s="27">
        <v>9946.2800000000007</v>
      </c>
      <c r="BU167" s="27">
        <v>8167.62</v>
      </c>
      <c r="BV167" s="43">
        <f t="shared" si="700"/>
        <v>92673.31</v>
      </c>
      <c r="BW167" s="405"/>
      <c r="BX167" s="32">
        <f t="shared" si="810"/>
        <v>7.6400824679961427E-2</v>
      </c>
      <c r="BY167" s="32">
        <f t="shared" si="811"/>
        <v>0.13445377933100092</v>
      </c>
      <c r="BZ167" s="32">
        <f t="shared" si="812"/>
        <v>0.17568037849191256</v>
      </c>
      <c r="CA167" s="32">
        <f t="shared" si="813"/>
        <v>0.23011533084098224</v>
      </c>
      <c r="CB167" s="32">
        <f t="shared" si="814"/>
        <v>0.30057184491312577</v>
      </c>
      <c r="CC167" s="32">
        <f t="shared" si="815"/>
        <v>0.39595665121159757</v>
      </c>
      <c r="CD167" s="32">
        <f t="shared" si="816"/>
        <v>0.50692966375067394</v>
      </c>
      <c r="CE167" s="32">
        <f t="shared" si="817"/>
        <v>0.59688853749112303</v>
      </c>
      <c r="CF167" s="32">
        <f t="shared" si="818"/>
        <v>0.68966172311278151</v>
      </c>
      <c r="CG167" s="32">
        <f t="shared" si="819"/>
        <v>0.77211368828286486</v>
      </c>
      <c r="CH167" s="32">
        <f t="shared" si="820"/>
        <v>0.85672568098208723</v>
      </c>
      <c r="CI167" s="32">
        <f t="shared" si="821"/>
        <v>1</v>
      </c>
      <c r="CJ167" s="405"/>
      <c r="CK167" s="32">
        <f t="shared" si="822"/>
        <v>0.11673493283135535</v>
      </c>
      <c r="CL167" s="32">
        <f t="shared" si="823"/>
        <v>0.22223507417968896</v>
      </c>
      <c r="CM167" s="32">
        <f t="shared" si="824"/>
        <v>0.30622406613014147</v>
      </c>
      <c r="CN167" s="32">
        <f t="shared" si="825"/>
        <v>0.36863676735316991</v>
      </c>
      <c r="CO167" s="32">
        <f t="shared" si="826"/>
        <v>0.3998552275708171</v>
      </c>
      <c r="CP167" s="32">
        <f t="shared" si="827"/>
        <v>0.44388648622239996</v>
      </c>
      <c r="CQ167" s="32">
        <f t="shared" si="828"/>
        <v>0.50082000824288353</v>
      </c>
      <c r="CR167" s="32">
        <f t="shared" si="829"/>
        <v>0.58095939816092657</v>
      </c>
      <c r="CS167" s="32">
        <f t="shared" si="830"/>
        <v>0.66901815731046477</v>
      </c>
      <c r="CT167" s="32">
        <f t="shared" si="831"/>
        <v>0.79442471645774815</v>
      </c>
      <c r="CU167" s="32">
        <f t="shared" si="832"/>
        <v>0.88509267815631665</v>
      </c>
      <c r="CV167" s="32">
        <f t="shared" si="833"/>
        <v>1</v>
      </c>
      <c r="CX167" s="32">
        <f t="shared" si="834"/>
        <v>9.7676566411762797E-2</v>
      </c>
      <c r="CY167" s="32">
        <f t="shared" si="835"/>
        <v>0.17421194302712448</v>
      </c>
      <c r="CZ167" s="32">
        <f t="shared" si="836"/>
        <v>0.25838170942697042</v>
      </c>
      <c r="DA167" s="32">
        <f t="shared" si="837"/>
        <v>0.30527191070558696</v>
      </c>
      <c r="DB167" s="32">
        <f t="shared" si="838"/>
        <v>0.39080156110934966</v>
      </c>
      <c r="DC167" s="32">
        <f t="shared" si="839"/>
        <v>0.44455204917798286</v>
      </c>
      <c r="DD167" s="32">
        <f t="shared" si="840"/>
        <v>0.51800443015385178</v>
      </c>
      <c r="DE167" s="32">
        <f t="shared" si="841"/>
        <v>0.59345337930928344</v>
      </c>
      <c r="DF167" s="32">
        <f t="shared" si="842"/>
        <v>0.66804427470584182</v>
      </c>
      <c r="DG167" s="32">
        <f t="shared" si="843"/>
        <v>0.76859045778716828</v>
      </c>
      <c r="DH167" s="32">
        <f t="shared" si="844"/>
        <v>0.89446451743502498</v>
      </c>
      <c r="DI167" s="32">
        <f t="shared" si="845"/>
        <v>1</v>
      </c>
      <c r="DK167" s="32">
        <f t="shared" si="740"/>
        <v>8.1477060014653116E-2</v>
      </c>
      <c r="DL167" s="32">
        <f t="shared" si="741"/>
        <v>0.15978110893034492</v>
      </c>
      <c r="DM167" s="32">
        <f t="shared" si="742"/>
        <v>0.27427007559080924</v>
      </c>
      <c r="DN167" s="32">
        <f t="shared" si="743"/>
        <v>0.34566548083035276</v>
      </c>
      <c r="DO167" s="32">
        <f t="shared" si="744"/>
        <v>0.42591405971729696</v>
      </c>
      <c r="DP167" s="32">
        <f t="shared" si="745"/>
        <v>0.51088669394178021</v>
      </c>
      <c r="DQ167" s="32">
        <f t="shared" si="746"/>
        <v>0.59610792502898746</v>
      </c>
      <c r="DR167" s="32">
        <f t="shared" si="747"/>
        <v>0.6922387181095625</v>
      </c>
      <c r="DS167" s="32">
        <f t="shared" si="748"/>
        <v>0.74504951622580695</v>
      </c>
      <c r="DT167" s="32">
        <f t="shared" si="749"/>
        <v>0.83954001940689693</v>
      </c>
      <c r="DU167" s="32">
        <f t="shared" si="750"/>
        <v>0.90786524317828865</v>
      </c>
      <c r="DV167" s="32">
        <f t="shared" si="751"/>
        <v>1</v>
      </c>
      <c r="DW167" s="39"/>
      <c r="DX167" s="32">
        <f t="shared" si="752"/>
        <v>7.8455274771128819E-2</v>
      </c>
      <c r="DY167" s="32">
        <f t="shared" si="753"/>
        <v>0.1365649937398373</v>
      </c>
      <c r="DZ167" s="32">
        <f t="shared" si="754"/>
        <v>0.19629643097888705</v>
      </c>
      <c r="EA167" s="32">
        <f t="shared" si="755"/>
        <v>0.32462744667261806</v>
      </c>
      <c r="EB167" s="32">
        <f t="shared" si="756"/>
        <v>0.37680007328970988</v>
      </c>
      <c r="EC167" s="32">
        <f t="shared" si="757"/>
        <v>0.48279876913860104</v>
      </c>
      <c r="ED167" s="32">
        <f t="shared" si="758"/>
        <v>0.54040823620090839</v>
      </c>
      <c r="EE167" s="32">
        <f t="shared" si="759"/>
        <v>0.62241178177406209</v>
      </c>
      <c r="EF167" s="32">
        <f t="shared" si="760"/>
        <v>0.71997169411559814</v>
      </c>
      <c r="EG167" s="32">
        <f t="shared" si="761"/>
        <v>0.80454027162728947</v>
      </c>
      <c r="EH167" s="32">
        <f t="shared" si="762"/>
        <v>0.91186653417256813</v>
      </c>
      <c r="EI167" s="32">
        <f t="shared" si="763"/>
        <v>1</v>
      </c>
      <c r="EK167" s="32">
        <f t="shared" si="846"/>
        <v>8.5869633732514924E-2</v>
      </c>
      <c r="EL167" s="32">
        <f t="shared" si="764"/>
        <v>0.15685268189910226</v>
      </c>
      <c r="EM167" s="32">
        <f t="shared" si="765"/>
        <v>0.24298273866555556</v>
      </c>
      <c r="EN167" s="32">
        <f t="shared" si="766"/>
        <v>0.32518827940285261</v>
      </c>
      <c r="EO167" s="32">
        <f t="shared" si="767"/>
        <v>0.39783856470545215</v>
      </c>
      <c r="EP167" s="32">
        <f t="shared" si="768"/>
        <v>0.4794125040861214</v>
      </c>
      <c r="EQ167" s="32">
        <f t="shared" si="769"/>
        <v>0.55150686379458247</v>
      </c>
      <c r="ER167" s="32">
        <f t="shared" si="770"/>
        <v>0.63603462639763597</v>
      </c>
      <c r="ES167" s="32">
        <f t="shared" si="771"/>
        <v>0.71102182834908234</v>
      </c>
      <c r="ET167" s="32">
        <f t="shared" si="772"/>
        <v>0.80422358294045149</v>
      </c>
      <c r="EU167" s="32">
        <f t="shared" si="773"/>
        <v>0.90473209826196055</v>
      </c>
      <c r="EV167" s="32">
        <f t="shared" si="774"/>
        <v>1</v>
      </c>
      <c r="EX167" s="32">
        <f t="shared" si="775"/>
        <v>9.3585958507225023E-2</v>
      </c>
      <c r="EY167" s="32">
        <f t="shared" si="776"/>
        <v>0.17319827996924891</v>
      </c>
      <c r="EZ167" s="32">
        <f t="shared" si="777"/>
        <v>0.25879307053170203</v>
      </c>
      <c r="FA167" s="32">
        <f t="shared" si="778"/>
        <v>0.33605040139043191</v>
      </c>
      <c r="FB167" s="32">
        <f t="shared" si="779"/>
        <v>0.39834273042179341</v>
      </c>
      <c r="FC167" s="32">
        <f t="shared" si="780"/>
        <v>0.47053099962019101</v>
      </c>
      <c r="FD167" s="32">
        <f t="shared" si="781"/>
        <v>0.53883514990665782</v>
      </c>
      <c r="FE167" s="32">
        <f t="shared" si="782"/>
        <v>0.62226581933845859</v>
      </c>
      <c r="FF167" s="32">
        <f t="shared" si="783"/>
        <v>0.70052091058942789</v>
      </c>
      <c r="FG167" s="32">
        <f t="shared" si="784"/>
        <v>0.80177386631977565</v>
      </c>
      <c r="FH167" s="32">
        <f t="shared" si="785"/>
        <v>0.8998222432355496</v>
      </c>
      <c r="FI167" s="32">
        <f t="shared" si="786"/>
        <v>1</v>
      </c>
      <c r="FK167" s="32">
        <f t="shared" si="847"/>
        <v>9.8629519752590419E-2</v>
      </c>
      <c r="FL167" s="32">
        <f t="shared" si="787"/>
        <v>0.1854093753790528</v>
      </c>
      <c r="FM167" s="32">
        <f t="shared" si="788"/>
        <v>0.27962528371597367</v>
      </c>
      <c r="FN167" s="32">
        <f t="shared" si="789"/>
        <v>0.33985805296303656</v>
      </c>
      <c r="FO167" s="32">
        <f t="shared" si="790"/>
        <v>0.40552361613248794</v>
      </c>
      <c r="FP167" s="32">
        <f t="shared" si="791"/>
        <v>0.46644174311405434</v>
      </c>
      <c r="FQ167" s="32">
        <f t="shared" si="792"/>
        <v>0.53831078780857422</v>
      </c>
      <c r="FR167" s="32">
        <f t="shared" si="793"/>
        <v>0.62221716519325743</v>
      </c>
      <c r="FS167" s="32">
        <f t="shared" si="794"/>
        <v>0.69403731608070451</v>
      </c>
      <c r="FT167" s="32">
        <f t="shared" si="795"/>
        <v>0.80085173121727105</v>
      </c>
      <c r="FU167" s="32">
        <f t="shared" si="796"/>
        <v>0.89580747958987672</v>
      </c>
      <c r="FV167" s="32">
        <f t="shared" si="797"/>
        <v>1</v>
      </c>
      <c r="FX167" s="32">
        <f t="shared" si="798"/>
        <v>9.6937441307693176E-2</v>
      </c>
      <c r="FY167" s="32">
        <f t="shared" si="799"/>
        <v>0.17696693217927142</v>
      </c>
      <c r="FZ167" s="32">
        <f t="shared" si="800"/>
        <v>0.2467620513496748</v>
      </c>
      <c r="GA167" s="32">
        <f t="shared" si="801"/>
        <v>0.30134133629991305</v>
      </c>
      <c r="GB167" s="32">
        <f t="shared" si="802"/>
        <v>0.36374287786443088</v>
      </c>
      <c r="GC167" s="32">
        <f t="shared" si="803"/>
        <v>0.42813172887066009</v>
      </c>
      <c r="GD167" s="32">
        <f t="shared" si="804"/>
        <v>0.50858470071580308</v>
      </c>
      <c r="GE167" s="32">
        <f t="shared" si="805"/>
        <v>0.59043377165377764</v>
      </c>
      <c r="GF167" s="32">
        <f t="shared" si="806"/>
        <v>0.67557471837636263</v>
      </c>
      <c r="GG167" s="32">
        <f t="shared" si="807"/>
        <v>0.77837628750926047</v>
      </c>
      <c r="GH167" s="32">
        <f t="shared" si="808"/>
        <v>0.87876095885780969</v>
      </c>
      <c r="GI167" s="32">
        <f t="shared" si="809"/>
        <v>1</v>
      </c>
    </row>
    <row r="168" spans="1:191">
      <c r="A168" s="724" t="s">
        <v>92</v>
      </c>
      <c r="B168" s="400">
        <v>64109.469999999841</v>
      </c>
      <c r="C168" s="400">
        <v>48893.16</v>
      </c>
      <c r="D168" s="400">
        <v>42560.840000000004</v>
      </c>
      <c r="E168" s="400">
        <v>44007.100000000006</v>
      </c>
      <c r="F168" s="400">
        <v>50702.27</v>
      </c>
      <c r="G168" s="400">
        <v>67052.180000000008</v>
      </c>
      <c r="H168" s="400">
        <v>63952.35</v>
      </c>
      <c r="I168" s="400">
        <v>83851.759999999995</v>
      </c>
      <c r="J168" s="400">
        <v>56821.049999999996</v>
      </c>
      <c r="K168" s="400">
        <v>49511.38</v>
      </c>
      <c r="L168" s="400">
        <v>54504.28</v>
      </c>
      <c r="M168" s="400">
        <v>58434.92</v>
      </c>
      <c r="N168" s="400">
        <f t="shared" si="737"/>
        <v>684400.75999999989</v>
      </c>
      <c r="P168" s="396" t="s">
        <v>92</v>
      </c>
      <c r="Q168" s="400">
        <v>68684.179999999993</v>
      </c>
      <c r="R168" s="400">
        <v>47246.41</v>
      </c>
      <c r="S168" s="400">
        <v>46463.4</v>
      </c>
      <c r="T168" s="400">
        <v>25768.67</v>
      </c>
      <c r="U168" s="400">
        <v>27092.799999999996</v>
      </c>
      <c r="V168" s="400">
        <v>28113.829999999998</v>
      </c>
      <c r="W168" s="400">
        <v>26873.78</v>
      </c>
      <c r="X168" s="400">
        <v>33267.31</v>
      </c>
      <c r="Y168" s="400">
        <v>36594.679999999993</v>
      </c>
      <c r="Z168" s="400">
        <v>34930.589999999997</v>
      </c>
      <c r="AA168" s="400">
        <v>41183.990000000005</v>
      </c>
      <c r="AB168" s="400">
        <v>34698.11</v>
      </c>
      <c r="AC168" s="400">
        <f t="shared" si="738"/>
        <v>450917.74999999988</v>
      </c>
      <c r="AE168" s="127" t="s">
        <v>92</v>
      </c>
      <c r="AF168" s="27">
        <v>38439.800000000003</v>
      </c>
      <c r="AG168" s="27">
        <v>34366.92</v>
      </c>
      <c r="AH168" s="27">
        <v>25592.71</v>
      </c>
      <c r="AI168" s="27">
        <v>31952.52</v>
      </c>
      <c r="AJ168" s="27">
        <v>31814.99</v>
      </c>
      <c r="AK168" s="27">
        <v>26550.16</v>
      </c>
      <c r="AL168" s="27">
        <v>37211.689999999995</v>
      </c>
      <c r="AM168" s="27">
        <v>34567.4</v>
      </c>
      <c r="AN168" s="27">
        <v>33453.06</v>
      </c>
      <c r="AO168" s="27">
        <v>61076.770000000004</v>
      </c>
      <c r="AP168" s="27">
        <v>68983.42</v>
      </c>
      <c r="AQ168" s="27">
        <v>110944.04999999999</v>
      </c>
      <c r="AR168" s="43">
        <f t="shared" si="739"/>
        <v>534953.49</v>
      </c>
      <c r="AT168" s="60" t="s">
        <v>92</v>
      </c>
      <c r="AU168" s="27">
        <v>46879.17</v>
      </c>
      <c r="AV168" s="27">
        <v>40835.32</v>
      </c>
      <c r="AW168" s="27">
        <v>34842.959999999999</v>
      </c>
      <c r="AX168" s="27">
        <v>40003.839999999997</v>
      </c>
      <c r="AY168" s="27">
        <v>25849.63</v>
      </c>
      <c r="AZ168" s="27">
        <v>33926.729999999996</v>
      </c>
      <c r="BA168" s="27">
        <v>37992.89</v>
      </c>
      <c r="BB168" s="27">
        <v>34568.170000000006</v>
      </c>
      <c r="BC168" s="27">
        <v>34319.46</v>
      </c>
      <c r="BD168" s="27">
        <v>37316.01</v>
      </c>
      <c r="BE168" s="27">
        <v>29139.47</v>
      </c>
      <c r="BF168" s="27">
        <v>34053.230000000003</v>
      </c>
      <c r="BG168" s="43">
        <f t="shared" si="699"/>
        <v>429726.88</v>
      </c>
      <c r="BI168" s="60" t="s">
        <v>92</v>
      </c>
      <c r="BJ168" s="27">
        <v>27184.959999999995</v>
      </c>
      <c r="BK168" s="27">
        <v>28701.540000000005</v>
      </c>
      <c r="BL168" s="27">
        <v>24747.569999999996</v>
      </c>
      <c r="BM168" s="27">
        <v>24317.56</v>
      </c>
      <c r="BN168" s="27">
        <v>22262.480000000003</v>
      </c>
      <c r="BO168" s="27">
        <v>24912.73</v>
      </c>
      <c r="BP168" s="27">
        <v>24320.760000000002</v>
      </c>
      <c r="BQ168" s="27">
        <v>34808.200000000004</v>
      </c>
      <c r="BR168" s="27">
        <v>23908.649999999998</v>
      </c>
      <c r="BS168" s="27">
        <v>42116.17</v>
      </c>
      <c r="BT168" s="27">
        <v>49050.7</v>
      </c>
      <c r="BU168" s="27">
        <v>54241.210000000006</v>
      </c>
      <c r="BV168" s="43">
        <f t="shared" si="700"/>
        <v>380572.53</v>
      </c>
      <c r="BW168" s="405"/>
      <c r="BX168" s="32">
        <f t="shared" si="810"/>
        <v>9.3672412052844378E-2</v>
      </c>
      <c r="BY168" s="32">
        <f t="shared" si="811"/>
        <v>0.16511178333583362</v>
      </c>
      <c r="BZ168" s="32">
        <f t="shared" si="812"/>
        <v>0.22729879785639029</v>
      </c>
      <c r="CA168" s="32">
        <f t="shared" si="813"/>
        <v>0.29159898945758023</v>
      </c>
      <c r="CB168" s="32">
        <f t="shared" si="814"/>
        <v>0.36568170964626029</v>
      </c>
      <c r="CC168" s="32">
        <f t="shared" si="815"/>
        <v>0.4636538100863592</v>
      </c>
      <c r="CD168" s="32">
        <f t="shared" si="816"/>
        <v>0.55709664904521716</v>
      </c>
      <c r="CE168" s="32">
        <f t="shared" si="817"/>
        <v>0.67961515706090081</v>
      </c>
      <c r="CF168" s="32">
        <f t="shared" si="818"/>
        <v>0.76263822383832525</v>
      </c>
      <c r="CG168" s="32">
        <f t="shared" si="819"/>
        <v>0.83498089628071115</v>
      </c>
      <c r="CH168" s="32">
        <f t="shared" si="820"/>
        <v>0.91461885577099589</v>
      </c>
      <c r="CI168" s="32">
        <f t="shared" si="821"/>
        <v>1</v>
      </c>
      <c r="CJ168" s="405"/>
      <c r="CK168" s="32">
        <f t="shared" si="822"/>
        <v>0.15232086117701069</v>
      </c>
      <c r="CL168" s="32">
        <f t="shared" si="823"/>
        <v>0.25709919381084473</v>
      </c>
      <c r="CM168" s="32">
        <f t="shared" si="824"/>
        <v>0.36014104567850797</v>
      </c>
      <c r="CN168" s="32">
        <f t="shared" si="825"/>
        <v>0.41728820832624136</v>
      </c>
      <c r="CO168" s="32">
        <f t="shared" si="826"/>
        <v>0.47737189321112333</v>
      </c>
      <c r="CP168" s="32">
        <f t="shared" si="827"/>
        <v>0.53971991566089383</v>
      </c>
      <c r="CQ168" s="32">
        <f t="shared" si="828"/>
        <v>0.59931788003466269</v>
      </c>
      <c r="CR168" s="32">
        <f t="shared" si="829"/>
        <v>0.67309477171834553</v>
      </c>
      <c r="CS168" s="32">
        <f t="shared" si="830"/>
        <v>0.75425076968027993</v>
      </c>
      <c r="CT168" s="32">
        <f t="shared" si="831"/>
        <v>0.83171631633485266</v>
      </c>
      <c r="CU168" s="32">
        <f t="shared" si="832"/>
        <v>0.92305002408975922</v>
      </c>
      <c r="CV168" s="32">
        <f t="shared" si="833"/>
        <v>1</v>
      </c>
      <c r="CX168" s="32">
        <f t="shared" si="834"/>
        <v>7.1856340258664358E-2</v>
      </c>
      <c r="CY168" s="32">
        <f t="shared" si="835"/>
        <v>0.13609915882593832</v>
      </c>
      <c r="CZ168" s="32">
        <f t="shared" si="836"/>
        <v>0.18394015898466237</v>
      </c>
      <c r="DA168" s="32">
        <f t="shared" si="837"/>
        <v>0.24366968799474512</v>
      </c>
      <c r="DB168" s="32">
        <f t="shared" si="838"/>
        <v>0.30314212923444989</v>
      </c>
      <c r="DC168" s="32">
        <f t="shared" si="839"/>
        <v>0.35277291115532305</v>
      </c>
      <c r="DD168" s="32">
        <f t="shared" si="840"/>
        <v>0.42233351912518602</v>
      </c>
      <c r="DE168" s="32">
        <f t="shared" si="841"/>
        <v>0.48695109924416047</v>
      </c>
      <c r="DF168" s="32">
        <f t="shared" si="842"/>
        <v>0.54948561976855226</v>
      </c>
      <c r="DG168" s="32">
        <f t="shared" si="843"/>
        <v>0.66365773218901702</v>
      </c>
      <c r="DH168" s="32">
        <f t="shared" si="844"/>
        <v>0.79260991455537566</v>
      </c>
      <c r="DI168" s="32">
        <f t="shared" si="845"/>
        <v>1</v>
      </c>
      <c r="DK168" s="32">
        <f t="shared" si="740"/>
        <v>0.10909061588141751</v>
      </c>
      <c r="DL168" s="32">
        <f t="shared" si="741"/>
        <v>0.20411683346408302</v>
      </c>
      <c r="DM168" s="32">
        <f t="shared" si="742"/>
        <v>0.28519847303943374</v>
      </c>
      <c r="DN168" s="32">
        <f t="shared" si="743"/>
        <v>0.37828978722485307</v>
      </c>
      <c r="DO168" s="32">
        <f t="shared" si="744"/>
        <v>0.43844341317443297</v>
      </c>
      <c r="DP168" s="32">
        <f t="shared" si="745"/>
        <v>0.51739293106356288</v>
      </c>
      <c r="DQ168" s="32">
        <f t="shared" si="746"/>
        <v>0.60580464503407372</v>
      </c>
      <c r="DR168" s="32">
        <f t="shared" si="747"/>
        <v>0.68624683194125524</v>
      </c>
      <c r="DS168" s="32">
        <f t="shared" si="748"/>
        <v>0.76611025589090442</v>
      </c>
      <c r="DT168" s="32">
        <f t="shared" si="749"/>
        <v>0.85294682985621006</v>
      </c>
      <c r="DU168" s="32">
        <f t="shared" si="750"/>
        <v>0.92075610908956873</v>
      </c>
      <c r="DV168" s="32">
        <f t="shared" si="751"/>
        <v>1</v>
      </c>
      <c r="DW168" s="39"/>
      <c r="DX168" s="32">
        <f t="shared" si="752"/>
        <v>7.1431745218184808E-2</v>
      </c>
      <c r="DY168" s="32">
        <f t="shared" si="753"/>
        <v>0.14684848641072437</v>
      </c>
      <c r="DZ168" s="32">
        <f t="shared" si="754"/>
        <v>0.21187569686125265</v>
      </c>
      <c r="EA168" s="32">
        <f t="shared" si="755"/>
        <v>0.27577300442572661</v>
      </c>
      <c r="EB168" s="32">
        <f t="shared" si="756"/>
        <v>0.3342703426335053</v>
      </c>
      <c r="EC168" s="32">
        <f t="shared" si="757"/>
        <v>0.39973153080701851</v>
      </c>
      <c r="ED168" s="32">
        <f t="shared" si="758"/>
        <v>0.46363724675556589</v>
      </c>
      <c r="EE168" s="32">
        <f t="shared" si="759"/>
        <v>0.55509997003724887</v>
      </c>
      <c r="EF168" s="32">
        <f t="shared" si="760"/>
        <v>0.61792281749815203</v>
      </c>
      <c r="EG168" s="32">
        <f t="shared" si="761"/>
        <v>0.7285881090787083</v>
      </c>
      <c r="EH168" s="32">
        <f t="shared" si="762"/>
        <v>0.85747471053677993</v>
      </c>
      <c r="EI168" s="32">
        <f t="shared" si="763"/>
        <v>1</v>
      </c>
      <c r="EK168" s="32">
        <f t="shared" si="846"/>
        <v>8.4126233786088897E-2</v>
      </c>
      <c r="EL168" s="32">
        <f t="shared" si="764"/>
        <v>0.16235482623358188</v>
      </c>
      <c r="EM168" s="32">
        <f t="shared" si="765"/>
        <v>0.22700477629511626</v>
      </c>
      <c r="EN168" s="32">
        <f t="shared" si="766"/>
        <v>0.29924415988177494</v>
      </c>
      <c r="EO168" s="32">
        <f t="shared" si="767"/>
        <v>0.35861862834746266</v>
      </c>
      <c r="EP168" s="32">
        <f t="shared" si="768"/>
        <v>0.42329912434196815</v>
      </c>
      <c r="EQ168" s="32">
        <f t="shared" si="769"/>
        <v>0.49725847030494186</v>
      </c>
      <c r="ER168" s="32">
        <f t="shared" si="770"/>
        <v>0.57609930040755486</v>
      </c>
      <c r="ES168" s="32">
        <f t="shared" si="771"/>
        <v>0.64450623105253613</v>
      </c>
      <c r="ET168" s="32">
        <f t="shared" si="772"/>
        <v>0.74839755704131183</v>
      </c>
      <c r="EU168" s="32">
        <f t="shared" si="773"/>
        <v>0.85694691139390811</v>
      </c>
      <c r="EV168" s="32">
        <f t="shared" si="774"/>
        <v>1</v>
      </c>
      <c r="EX168" s="32">
        <f t="shared" si="775"/>
        <v>0.10117489063381935</v>
      </c>
      <c r="EY168" s="32">
        <f t="shared" si="776"/>
        <v>0.18604091812789761</v>
      </c>
      <c r="EZ168" s="32">
        <f t="shared" si="777"/>
        <v>0.26028884364096416</v>
      </c>
      <c r="FA168" s="32">
        <f t="shared" si="778"/>
        <v>0.3287551719928915</v>
      </c>
      <c r="FB168" s="32">
        <f t="shared" si="779"/>
        <v>0.38830694456337783</v>
      </c>
      <c r="FC168" s="32">
        <f t="shared" si="780"/>
        <v>0.45240432217169957</v>
      </c>
      <c r="FD168" s="32">
        <f t="shared" si="781"/>
        <v>0.52277332273737209</v>
      </c>
      <c r="FE168" s="32">
        <f t="shared" si="782"/>
        <v>0.6003481682352525</v>
      </c>
      <c r="FF168" s="32">
        <f t="shared" si="783"/>
        <v>0.67194236570947219</v>
      </c>
      <c r="FG168" s="32">
        <f t="shared" si="784"/>
        <v>0.76922724686469701</v>
      </c>
      <c r="FH168" s="32">
        <f t="shared" si="785"/>
        <v>0.87347268956787083</v>
      </c>
      <c r="FI168" s="32">
        <f t="shared" si="786"/>
        <v>1</v>
      </c>
      <c r="FK168" s="32">
        <f t="shared" si="847"/>
        <v>0.11108927243903084</v>
      </c>
      <c r="FL168" s="32">
        <f t="shared" si="787"/>
        <v>0.19910506203362202</v>
      </c>
      <c r="FM168" s="32">
        <f t="shared" si="788"/>
        <v>0.2764265592342014</v>
      </c>
      <c r="FN168" s="32">
        <f t="shared" si="789"/>
        <v>0.34641589451527982</v>
      </c>
      <c r="FO168" s="32">
        <f t="shared" si="790"/>
        <v>0.40631914520666873</v>
      </c>
      <c r="FP168" s="32">
        <f t="shared" si="791"/>
        <v>0.46996191929325998</v>
      </c>
      <c r="FQ168" s="32">
        <f t="shared" si="792"/>
        <v>0.54248534806464077</v>
      </c>
      <c r="FR168" s="32">
        <f t="shared" si="793"/>
        <v>0.61543090096792041</v>
      </c>
      <c r="FS168" s="32">
        <f t="shared" si="794"/>
        <v>0.68994888177991209</v>
      </c>
      <c r="FT168" s="32">
        <f t="shared" si="795"/>
        <v>0.78277362612669332</v>
      </c>
      <c r="FU168" s="32">
        <f t="shared" si="796"/>
        <v>0.87880534924490128</v>
      </c>
      <c r="FV168" s="32">
        <f t="shared" si="797"/>
        <v>1</v>
      </c>
      <c r="FX168" s="32">
        <f t="shared" si="798"/>
        <v>0.10594987116283981</v>
      </c>
      <c r="FY168" s="32">
        <f t="shared" si="799"/>
        <v>0.1861033786575389</v>
      </c>
      <c r="FZ168" s="32">
        <f t="shared" si="800"/>
        <v>0.25712666750652019</v>
      </c>
      <c r="GA168" s="32">
        <f t="shared" si="801"/>
        <v>0.31751896192618889</v>
      </c>
      <c r="GB168" s="32">
        <f t="shared" si="802"/>
        <v>0.38206524403061115</v>
      </c>
      <c r="GC168" s="32">
        <f t="shared" si="803"/>
        <v>0.45204887896752538</v>
      </c>
      <c r="GD168" s="32">
        <f t="shared" si="804"/>
        <v>0.52624934940168855</v>
      </c>
      <c r="GE168" s="32">
        <f t="shared" si="805"/>
        <v>0.6132203426744689</v>
      </c>
      <c r="GF168" s="32">
        <f t="shared" si="806"/>
        <v>0.68879153776238577</v>
      </c>
      <c r="GG168" s="32">
        <f t="shared" si="807"/>
        <v>0.77678498160152698</v>
      </c>
      <c r="GH168" s="32">
        <f t="shared" si="808"/>
        <v>0.87675959813871029</v>
      </c>
      <c r="GI168" s="32">
        <f t="shared" si="809"/>
        <v>1</v>
      </c>
    </row>
    <row r="169" spans="1:191">
      <c r="A169" s="724" t="s">
        <v>93</v>
      </c>
      <c r="B169" s="400">
        <v>22070.080000000042</v>
      </c>
      <c r="C169" s="400">
        <v>7329.5899999999992</v>
      </c>
      <c r="D169" s="400">
        <v>20938.39</v>
      </c>
      <c r="E169" s="400">
        <v>23268.74</v>
      </c>
      <c r="F169" s="400">
        <v>10443.09</v>
      </c>
      <c r="G169" s="400">
        <v>30308.87</v>
      </c>
      <c r="H169" s="400">
        <v>23188.870000000003</v>
      </c>
      <c r="I169" s="400">
        <v>22402.28</v>
      </c>
      <c r="J169" s="400">
        <v>22545.060000000005</v>
      </c>
      <c r="K169" s="400">
        <v>19161.14</v>
      </c>
      <c r="L169" s="400">
        <v>22828.620000000003</v>
      </c>
      <c r="M169" s="400">
        <v>32338.82</v>
      </c>
      <c r="N169" s="400">
        <f t="shared" si="737"/>
        <v>256823.55000000005</v>
      </c>
      <c r="P169" s="396" t="s">
        <v>93</v>
      </c>
      <c r="Q169" s="400">
        <v>25963.739999999998</v>
      </c>
      <c r="R169" s="400">
        <v>15641.41</v>
      </c>
      <c r="S169" s="400">
        <v>14580.119999999997</v>
      </c>
      <c r="T169" s="400">
        <v>7155.57</v>
      </c>
      <c r="U169" s="400">
        <v>6177.42</v>
      </c>
      <c r="V169" s="400">
        <v>7650.94</v>
      </c>
      <c r="W169" s="400">
        <v>11957.439999999999</v>
      </c>
      <c r="X169" s="400">
        <v>11711.430000000002</v>
      </c>
      <c r="Y169" s="400">
        <v>14448.66</v>
      </c>
      <c r="Z169" s="400">
        <v>14198.460000000001</v>
      </c>
      <c r="AA169" s="400">
        <v>14707.63</v>
      </c>
      <c r="AB169" s="400">
        <v>12502.86</v>
      </c>
      <c r="AC169" s="400">
        <f t="shared" si="738"/>
        <v>156695.67999999999</v>
      </c>
      <c r="AE169" s="127" t="s">
        <v>93</v>
      </c>
      <c r="AF169" s="27">
        <v>18655.839999999997</v>
      </c>
      <c r="AG169" s="27">
        <v>23815.289999999997</v>
      </c>
      <c r="AH169" s="27">
        <v>16274.81</v>
      </c>
      <c r="AI169" s="27">
        <v>18605.97</v>
      </c>
      <c r="AJ169" s="27">
        <v>23805.47</v>
      </c>
      <c r="AK169" s="27">
        <v>15314.17</v>
      </c>
      <c r="AL169" s="27">
        <v>38440.279999999992</v>
      </c>
      <c r="AM169" s="27">
        <v>21140.31</v>
      </c>
      <c r="AN169" s="27">
        <v>17436.909999999996</v>
      </c>
      <c r="AO169" s="27">
        <v>19357.47</v>
      </c>
      <c r="AP169" s="27">
        <v>17945.739999999998</v>
      </c>
      <c r="AQ169" s="27">
        <v>18134.490000000002</v>
      </c>
      <c r="AR169" s="43">
        <f t="shared" si="739"/>
        <v>248926.74999999997</v>
      </c>
      <c r="AT169" s="60" t="s">
        <v>93</v>
      </c>
      <c r="AU169" s="27">
        <v>18575.27</v>
      </c>
      <c r="AV169" s="27">
        <v>13309.269999999999</v>
      </c>
      <c r="AW169" s="27">
        <v>12036.71</v>
      </c>
      <c r="AX169" s="27">
        <v>11677.08</v>
      </c>
      <c r="AY169" s="27">
        <v>10209.68</v>
      </c>
      <c r="AZ169" s="27">
        <v>8438.85</v>
      </c>
      <c r="BA169" s="27">
        <v>11485.87</v>
      </c>
      <c r="BB169" s="27">
        <v>16817.23</v>
      </c>
      <c r="BC169" s="27">
        <v>11520.269999999999</v>
      </c>
      <c r="BD169" s="27">
        <v>10417.699999999999</v>
      </c>
      <c r="BE169" s="27">
        <v>11162.09</v>
      </c>
      <c r="BF169" s="27">
        <v>17137.68</v>
      </c>
      <c r="BG169" s="43">
        <f t="shared" si="699"/>
        <v>152787.70000000001</v>
      </c>
      <c r="BI169" s="60" t="s">
        <v>93</v>
      </c>
      <c r="BJ169" s="27">
        <v>13824.720000000001</v>
      </c>
      <c r="BK169" s="27">
        <v>12727.43</v>
      </c>
      <c r="BL169" s="27">
        <v>14779.71</v>
      </c>
      <c r="BM169" s="27">
        <v>11605.710000000001</v>
      </c>
      <c r="BN169" s="27">
        <v>14323.03</v>
      </c>
      <c r="BO169" s="27">
        <v>12990.5</v>
      </c>
      <c r="BP169" s="27">
        <v>11541.789999999999</v>
      </c>
      <c r="BQ169" s="27">
        <v>13867.79</v>
      </c>
      <c r="BR169" s="27">
        <v>9140.69</v>
      </c>
      <c r="BS169" s="27">
        <v>10328.540000000001</v>
      </c>
      <c r="BT169" s="27">
        <v>13901.570000000002</v>
      </c>
      <c r="BU169" s="27">
        <v>11877.23</v>
      </c>
      <c r="BV169" s="43">
        <f t="shared" si="700"/>
        <v>150908.71000000002</v>
      </c>
      <c r="BW169" s="405"/>
      <c r="BX169" s="32">
        <f t="shared" si="810"/>
        <v>8.5934798424833078E-2</v>
      </c>
      <c r="BY169" s="32">
        <f t="shared" si="811"/>
        <v>0.11447419833578359</v>
      </c>
      <c r="BZ169" s="32">
        <f t="shared" si="812"/>
        <v>0.19600250833694977</v>
      </c>
      <c r="CA169" s="32">
        <f t="shared" si="813"/>
        <v>0.28660455787640982</v>
      </c>
      <c r="CB169" s="32">
        <f t="shared" si="814"/>
        <v>0.32726706721404647</v>
      </c>
      <c r="CC169" s="32">
        <f t="shared" si="815"/>
        <v>0.44528143933840963</v>
      </c>
      <c r="CD169" s="32">
        <f t="shared" si="816"/>
        <v>0.53557249714833399</v>
      </c>
      <c r="CE169" s="32">
        <f t="shared" si="817"/>
        <v>0.62280079065957927</v>
      </c>
      <c r="CF169" s="32">
        <f t="shared" si="818"/>
        <v>0.71058503007220331</v>
      </c>
      <c r="CG169" s="32">
        <f t="shared" si="819"/>
        <v>0.78519321923554131</v>
      </c>
      <c r="CH169" s="32">
        <f t="shared" si="820"/>
        <v>0.87408156300308126</v>
      </c>
      <c r="CI169" s="32">
        <f t="shared" si="821"/>
        <v>1</v>
      </c>
      <c r="CJ169" s="405"/>
      <c r="CK169" s="32">
        <f t="shared" si="822"/>
        <v>0.16569531463790194</v>
      </c>
      <c r="CL169" s="32">
        <f t="shared" si="823"/>
        <v>0.2655156160016664</v>
      </c>
      <c r="CM169" s="32">
        <f t="shared" si="824"/>
        <v>0.35856298016639637</v>
      </c>
      <c r="CN169" s="32">
        <f t="shared" si="825"/>
        <v>0.40422837438785797</v>
      </c>
      <c r="CO169" s="32">
        <f t="shared" si="826"/>
        <v>0.44365141400196867</v>
      </c>
      <c r="CP169" s="32">
        <f t="shared" si="827"/>
        <v>0.49247815893839575</v>
      </c>
      <c r="CQ169" s="32">
        <f t="shared" si="828"/>
        <v>0.5687881120909013</v>
      </c>
      <c r="CR169" s="32">
        <f t="shared" si="829"/>
        <v>0.64352807939567969</v>
      </c>
      <c r="CS169" s="32">
        <f t="shared" si="830"/>
        <v>0.73573649254401918</v>
      </c>
      <c r="CT169" s="32">
        <f t="shared" si="831"/>
        <v>0.82634818011575062</v>
      </c>
      <c r="CU169" s="32">
        <f t="shared" si="832"/>
        <v>0.92020928719923878</v>
      </c>
      <c r="CV169" s="32">
        <f t="shared" si="833"/>
        <v>1</v>
      </c>
      <c r="CX169" s="32">
        <f t="shared" si="834"/>
        <v>7.4945099311343591E-2</v>
      </c>
      <c r="CY169" s="32">
        <f t="shared" si="835"/>
        <v>0.17061697868951406</v>
      </c>
      <c r="CZ169" s="32">
        <f t="shared" si="836"/>
        <v>0.23599689466881318</v>
      </c>
      <c r="DA169" s="32">
        <f t="shared" si="837"/>
        <v>0.31074165392027975</v>
      </c>
      <c r="DB169" s="32">
        <f t="shared" si="838"/>
        <v>0.40637408394236457</v>
      </c>
      <c r="DC169" s="32">
        <f t="shared" si="839"/>
        <v>0.46789487268845154</v>
      </c>
      <c r="DD169" s="32">
        <f t="shared" si="840"/>
        <v>0.62231893518876535</v>
      </c>
      <c r="DE169" s="32">
        <f t="shared" si="841"/>
        <v>0.70724476176224538</v>
      </c>
      <c r="DF169" s="32">
        <f t="shared" si="842"/>
        <v>0.77729311936141865</v>
      </c>
      <c r="DG169" s="32">
        <f t="shared" si="843"/>
        <v>0.8550568390098694</v>
      </c>
      <c r="DH169" s="32">
        <f t="shared" si="844"/>
        <v>0.92714929191017037</v>
      </c>
      <c r="DI169" s="32">
        <f t="shared" si="845"/>
        <v>1</v>
      </c>
      <c r="DK169" s="32">
        <f t="shared" si="740"/>
        <v>0.12157568966611841</v>
      </c>
      <c r="DL169" s="32">
        <f t="shared" si="741"/>
        <v>0.2086852541140419</v>
      </c>
      <c r="DM169" s="32">
        <f t="shared" si="742"/>
        <v>0.28746587585257188</v>
      </c>
      <c r="DN169" s="32">
        <f t="shared" si="743"/>
        <v>0.36389270864081336</v>
      </c>
      <c r="DO169" s="32">
        <f t="shared" si="744"/>
        <v>0.4307153651766471</v>
      </c>
      <c r="DP169" s="32">
        <f t="shared" si="745"/>
        <v>0.48594788716630993</v>
      </c>
      <c r="DQ169" s="32">
        <f t="shared" si="746"/>
        <v>0.56112324486853327</v>
      </c>
      <c r="DR169" s="32">
        <f t="shared" si="747"/>
        <v>0.67119251091547294</v>
      </c>
      <c r="DS169" s="32">
        <f t="shared" si="748"/>
        <v>0.74659301763165486</v>
      </c>
      <c r="DT169" s="32">
        <f t="shared" si="749"/>
        <v>0.81477717119899051</v>
      </c>
      <c r="DU169" s="32">
        <f t="shared" si="750"/>
        <v>0.88783337925762351</v>
      </c>
      <c r="DV169" s="32">
        <f t="shared" si="751"/>
        <v>1</v>
      </c>
      <c r="DW169" s="39"/>
      <c r="DX169" s="32">
        <f t="shared" si="752"/>
        <v>9.160982159346534E-2</v>
      </c>
      <c r="DY169" s="32">
        <f t="shared" si="753"/>
        <v>0.17594842603849703</v>
      </c>
      <c r="DZ169" s="32">
        <f t="shared" si="754"/>
        <v>0.27388651059305985</v>
      </c>
      <c r="EA169" s="32">
        <f t="shared" si="755"/>
        <v>0.35079201193887344</v>
      </c>
      <c r="EB169" s="32">
        <f t="shared" si="756"/>
        <v>0.44570389608393046</v>
      </c>
      <c r="EC169" s="32">
        <f t="shared" si="757"/>
        <v>0.53178573986882527</v>
      </c>
      <c r="ED169" s="32">
        <f t="shared" si="758"/>
        <v>0.60826767388045389</v>
      </c>
      <c r="EE169" s="32">
        <f t="shared" si="759"/>
        <v>0.700162899808765</v>
      </c>
      <c r="EF169" s="32">
        <f t="shared" si="760"/>
        <v>0.76073389004518011</v>
      </c>
      <c r="EG169" s="32">
        <f t="shared" si="761"/>
        <v>0.82917619533027609</v>
      </c>
      <c r="EH169" s="32">
        <f t="shared" si="762"/>
        <v>0.92129526519708493</v>
      </c>
      <c r="EI169" s="32">
        <f t="shared" si="763"/>
        <v>1</v>
      </c>
      <c r="EK169" s="32">
        <f t="shared" si="846"/>
        <v>9.6043536856975795E-2</v>
      </c>
      <c r="EL169" s="32">
        <f t="shared" si="764"/>
        <v>0.18508355294735099</v>
      </c>
      <c r="EM169" s="32">
        <f t="shared" si="765"/>
        <v>0.26578309370481495</v>
      </c>
      <c r="EN169" s="32">
        <f t="shared" si="766"/>
        <v>0.34180879149998883</v>
      </c>
      <c r="EO169" s="32">
        <f t="shared" si="767"/>
        <v>0.42759778173431401</v>
      </c>
      <c r="EP169" s="32">
        <f t="shared" si="768"/>
        <v>0.49520949990786223</v>
      </c>
      <c r="EQ169" s="32">
        <f t="shared" si="769"/>
        <v>0.59723661797925087</v>
      </c>
      <c r="ER169" s="32">
        <f t="shared" si="770"/>
        <v>0.69286672416216122</v>
      </c>
      <c r="ES169" s="32">
        <f t="shared" si="771"/>
        <v>0.76154000901275121</v>
      </c>
      <c r="ET169" s="32">
        <f t="shared" si="772"/>
        <v>0.83300340184637867</v>
      </c>
      <c r="EU169" s="32">
        <f t="shared" si="773"/>
        <v>0.91209264545495961</v>
      </c>
      <c r="EV169" s="32">
        <f t="shared" si="774"/>
        <v>1</v>
      </c>
      <c r="EX169" s="32">
        <f t="shared" si="775"/>
        <v>0.11345648130220731</v>
      </c>
      <c r="EY169" s="32">
        <f t="shared" si="776"/>
        <v>0.20519156871092986</v>
      </c>
      <c r="EZ169" s="32">
        <f t="shared" si="777"/>
        <v>0.28897806532021031</v>
      </c>
      <c r="FA169" s="32">
        <f t="shared" si="778"/>
        <v>0.3574136872219561</v>
      </c>
      <c r="FB169" s="32">
        <f t="shared" si="779"/>
        <v>0.4316111898012277</v>
      </c>
      <c r="FC169" s="32">
        <f t="shared" si="780"/>
        <v>0.49452666466549561</v>
      </c>
      <c r="FD169" s="32">
        <f t="shared" si="781"/>
        <v>0.59012449150716351</v>
      </c>
      <c r="FE169" s="32">
        <f t="shared" si="782"/>
        <v>0.68053206297054081</v>
      </c>
      <c r="FF169" s="32">
        <f t="shared" si="783"/>
        <v>0.7550891298955682</v>
      </c>
      <c r="FG169" s="32">
        <f t="shared" si="784"/>
        <v>0.83133959641372168</v>
      </c>
      <c r="FH169" s="32">
        <f t="shared" si="785"/>
        <v>0.91412180589102943</v>
      </c>
      <c r="FI169" s="32">
        <f t="shared" si="786"/>
        <v>1</v>
      </c>
      <c r="FK169" s="32">
        <f t="shared" si="847"/>
        <v>0.12073870120512131</v>
      </c>
      <c r="FL169" s="32">
        <f t="shared" si="787"/>
        <v>0.21493928293507411</v>
      </c>
      <c r="FM169" s="32">
        <f t="shared" si="788"/>
        <v>0.29400858356259379</v>
      </c>
      <c r="FN169" s="32">
        <f t="shared" si="789"/>
        <v>0.35962091231631704</v>
      </c>
      <c r="FO169" s="32">
        <f t="shared" si="790"/>
        <v>0.42691362104032682</v>
      </c>
      <c r="FP169" s="32">
        <f t="shared" si="791"/>
        <v>0.48210697293105237</v>
      </c>
      <c r="FQ169" s="32">
        <f t="shared" si="792"/>
        <v>0.58407676404940001</v>
      </c>
      <c r="FR169" s="32">
        <f t="shared" si="793"/>
        <v>0.67398845069113256</v>
      </c>
      <c r="FS169" s="32">
        <f t="shared" si="794"/>
        <v>0.75320754317903083</v>
      </c>
      <c r="FT169" s="32">
        <f t="shared" si="795"/>
        <v>0.83206073010820347</v>
      </c>
      <c r="FU169" s="32">
        <f t="shared" si="796"/>
        <v>0.91173065278901089</v>
      </c>
      <c r="FV169" s="32">
        <f t="shared" si="797"/>
        <v>1</v>
      </c>
      <c r="FX169" s="32">
        <f t="shared" si="798"/>
        <v>0.10885840412469287</v>
      </c>
      <c r="FY169" s="32">
        <f t="shared" si="799"/>
        <v>0.18353559767565467</v>
      </c>
      <c r="FZ169" s="32">
        <f t="shared" si="800"/>
        <v>0.26352079439071979</v>
      </c>
      <c r="GA169" s="32">
        <f t="shared" si="801"/>
        <v>0.33385819539484918</v>
      </c>
      <c r="GB169" s="32">
        <f t="shared" si="802"/>
        <v>0.39243085505279324</v>
      </c>
      <c r="GC169" s="32">
        <f t="shared" si="803"/>
        <v>0.46855149032175231</v>
      </c>
      <c r="GD169" s="32">
        <f t="shared" si="804"/>
        <v>0.57555984814266681</v>
      </c>
      <c r="GE169" s="32">
        <f t="shared" si="805"/>
        <v>0.65785787727250156</v>
      </c>
      <c r="GF169" s="32">
        <f t="shared" si="806"/>
        <v>0.74120488065921375</v>
      </c>
      <c r="GG169" s="32">
        <f t="shared" si="807"/>
        <v>0.82219941278705377</v>
      </c>
      <c r="GH169" s="32">
        <f t="shared" si="808"/>
        <v>0.9071467140374968</v>
      </c>
      <c r="GI169" s="32">
        <f t="shared" si="809"/>
        <v>1</v>
      </c>
    </row>
    <row r="170" spans="1:191">
      <c r="A170" s="724" t="s">
        <v>94</v>
      </c>
      <c r="B170" s="400">
        <v>12632.119999999983</v>
      </c>
      <c r="C170" s="400">
        <v>6903.6100000000006</v>
      </c>
      <c r="D170" s="400">
        <v>5194.9800000000005</v>
      </c>
      <c r="E170" s="400">
        <v>6565.5800000000008</v>
      </c>
      <c r="F170" s="400">
        <v>6961.24</v>
      </c>
      <c r="G170" s="400">
        <v>10076.51</v>
      </c>
      <c r="H170" s="400">
        <v>10138.08</v>
      </c>
      <c r="I170" s="400">
        <v>6478.46</v>
      </c>
      <c r="J170" s="400">
        <v>4423.92</v>
      </c>
      <c r="K170" s="400">
        <v>3603.25</v>
      </c>
      <c r="L170" s="400">
        <v>4667.0800000000008</v>
      </c>
      <c r="M170" s="400">
        <v>4843.2699999999995</v>
      </c>
      <c r="N170" s="400">
        <f t="shared" si="737"/>
        <v>82488.099999999991</v>
      </c>
      <c r="P170" s="396" t="s">
        <v>94</v>
      </c>
      <c r="Q170" s="400">
        <v>4251.21</v>
      </c>
      <c r="R170" s="400">
        <v>3111.32</v>
      </c>
      <c r="S170" s="400">
        <v>1914.7799999999997</v>
      </c>
      <c r="T170" s="400">
        <v>2317.6</v>
      </c>
      <c r="U170" s="400">
        <v>1397.35</v>
      </c>
      <c r="V170" s="400">
        <v>893.13000000000011</v>
      </c>
      <c r="W170" s="400">
        <v>1507.15</v>
      </c>
      <c r="X170" s="400">
        <v>4863.91</v>
      </c>
      <c r="Y170" s="400">
        <v>3483.56</v>
      </c>
      <c r="Z170" s="400">
        <v>3405.1</v>
      </c>
      <c r="AA170" s="400">
        <v>3365.29</v>
      </c>
      <c r="AB170" s="400">
        <v>8051.5599999999995</v>
      </c>
      <c r="AC170" s="400">
        <f t="shared" si="738"/>
        <v>38561.960000000006</v>
      </c>
      <c r="AE170" s="127" t="s">
        <v>94</v>
      </c>
      <c r="AF170" s="27">
        <v>3988.2499999999995</v>
      </c>
      <c r="AG170" s="27">
        <v>4893.62</v>
      </c>
      <c r="AH170" s="27">
        <v>3696.62</v>
      </c>
      <c r="AI170" s="27">
        <v>10503.68</v>
      </c>
      <c r="AJ170" s="27">
        <v>5384.72</v>
      </c>
      <c r="AK170" s="27">
        <v>3136.2500000000005</v>
      </c>
      <c r="AL170" s="27">
        <v>5221.9800000000005</v>
      </c>
      <c r="AM170" s="27">
        <v>4657.45</v>
      </c>
      <c r="AN170" s="27">
        <v>3412.9</v>
      </c>
      <c r="AO170" s="27">
        <v>4417.04</v>
      </c>
      <c r="AP170" s="27">
        <v>7195.88</v>
      </c>
      <c r="AQ170" s="27">
        <v>4096.8600000000006</v>
      </c>
      <c r="AR170" s="43">
        <f t="shared" si="739"/>
        <v>60605.25</v>
      </c>
      <c r="AT170" s="60" t="s">
        <v>94</v>
      </c>
      <c r="AU170" s="27">
        <v>6492.97</v>
      </c>
      <c r="AV170" s="27">
        <v>4172.78</v>
      </c>
      <c r="AW170" s="27">
        <v>7304.83</v>
      </c>
      <c r="AX170" s="27">
        <v>4204.58</v>
      </c>
      <c r="AY170" s="27">
        <v>6889.53</v>
      </c>
      <c r="AZ170" s="27">
        <v>10310.120000000001</v>
      </c>
      <c r="BA170" s="27">
        <v>6317.48</v>
      </c>
      <c r="BB170" s="27">
        <v>6856.45</v>
      </c>
      <c r="BC170" s="27">
        <v>6822.5199999999995</v>
      </c>
      <c r="BD170" s="27">
        <v>6475.4299999999994</v>
      </c>
      <c r="BE170" s="27">
        <v>7882.9</v>
      </c>
      <c r="BF170" s="27">
        <v>8797.23</v>
      </c>
      <c r="BG170" s="43">
        <f t="shared" si="699"/>
        <v>82526.819999999992</v>
      </c>
      <c r="BI170" s="60" t="s">
        <v>94</v>
      </c>
      <c r="BJ170" s="27">
        <v>8960.85</v>
      </c>
      <c r="BK170" s="27">
        <v>11922.68</v>
      </c>
      <c r="BL170" s="27">
        <v>4420.54</v>
      </c>
      <c r="BM170" s="27">
        <v>3996.93</v>
      </c>
      <c r="BN170" s="27">
        <v>6084.7099999999991</v>
      </c>
      <c r="BO170" s="27">
        <v>3023.39</v>
      </c>
      <c r="BP170" s="27">
        <v>4385</v>
      </c>
      <c r="BQ170" s="27">
        <v>6817.08</v>
      </c>
      <c r="BR170" s="27">
        <v>4542.71</v>
      </c>
      <c r="BS170" s="27">
        <v>3071.4</v>
      </c>
      <c r="BT170" s="27">
        <v>3808.48</v>
      </c>
      <c r="BU170" s="27">
        <v>3518.27</v>
      </c>
      <c r="BV170" s="43">
        <f t="shared" si="700"/>
        <v>64552.04</v>
      </c>
      <c r="BW170" s="405"/>
      <c r="BX170" s="32">
        <f t="shared" si="810"/>
        <v>0.15313869515724066</v>
      </c>
      <c r="BY170" s="32">
        <f t="shared" si="811"/>
        <v>0.23683088833419588</v>
      </c>
      <c r="BZ170" s="32">
        <f t="shared" si="812"/>
        <v>0.29980942705675101</v>
      </c>
      <c r="CA170" s="32">
        <f t="shared" si="813"/>
        <v>0.37940369580581912</v>
      </c>
      <c r="CB170" s="32">
        <f t="shared" si="814"/>
        <v>0.46379453521174557</v>
      </c>
      <c r="CC170" s="32">
        <f t="shared" si="815"/>
        <v>0.58595167060460829</v>
      </c>
      <c r="CD170" s="32">
        <f t="shared" si="816"/>
        <v>0.70885521669186213</v>
      </c>
      <c r="CE170" s="32">
        <f t="shared" si="817"/>
        <v>0.78739333309895598</v>
      </c>
      <c r="CF170" s="32">
        <f t="shared" si="818"/>
        <v>0.84102434169292284</v>
      </c>
      <c r="CG170" s="32">
        <f t="shared" si="819"/>
        <v>0.88470640007467738</v>
      </c>
      <c r="CH170" s="32">
        <f t="shared" si="820"/>
        <v>0.94128522780861723</v>
      </c>
      <c r="CI170" s="32">
        <f t="shared" si="821"/>
        <v>1</v>
      </c>
      <c r="CJ170" s="405"/>
      <c r="CK170" s="32">
        <f t="shared" si="822"/>
        <v>0.11024361832230517</v>
      </c>
      <c r="CL170" s="32">
        <f t="shared" si="823"/>
        <v>0.19092727651810229</v>
      </c>
      <c r="CM170" s="32">
        <f t="shared" si="824"/>
        <v>0.24058191025559902</v>
      </c>
      <c r="CN170" s="32">
        <f t="shared" si="825"/>
        <v>0.30068258978537399</v>
      </c>
      <c r="CO170" s="32">
        <f t="shared" si="826"/>
        <v>0.33691907776471941</v>
      </c>
      <c r="CP170" s="32">
        <f t="shared" si="827"/>
        <v>0.36007998556089993</v>
      </c>
      <c r="CQ170" s="32">
        <f t="shared" si="828"/>
        <v>0.39916383918244819</v>
      </c>
      <c r="CR170" s="32">
        <f t="shared" si="829"/>
        <v>0.52529617270491435</v>
      </c>
      <c r="CS170" s="32">
        <f t="shared" si="830"/>
        <v>0.61563286720903199</v>
      </c>
      <c r="CT170" s="32">
        <f t="shared" si="831"/>
        <v>0.70393491409669007</v>
      </c>
      <c r="CU170" s="32">
        <f t="shared" si="832"/>
        <v>0.79120459644686114</v>
      </c>
      <c r="CV170" s="32">
        <f t="shared" si="833"/>
        <v>1</v>
      </c>
      <c r="CX170" s="32">
        <f t="shared" si="834"/>
        <v>6.580700516869413E-2</v>
      </c>
      <c r="CY170" s="32">
        <f t="shared" si="835"/>
        <v>0.14655281514390253</v>
      </c>
      <c r="CZ170" s="32">
        <f t="shared" si="836"/>
        <v>0.20754786095264022</v>
      </c>
      <c r="DA170" s="32">
        <f t="shared" si="837"/>
        <v>0.3808608990145243</v>
      </c>
      <c r="DB170" s="32">
        <f t="shared" si="838"/>
        <v>0.46970996737081355</v>
      </c>
      <c r="DC170" s="32">
        <f t="shared" si="839"/>
        <v>0.52145878451124283</v>
      </c>
      <c r="DD170" s="32">
        <f t="shared" si="840"/>
        <v>0.60762260695236803</v>
      </c>
      <c r="DE170" s="32">
        <f t="shared" si="841"/>
        <v>0.68447155980711238</v>
      </c>
      <c r="DF170" s="32">
        <f t="shared" si="842"/>
        <v>0.74078516300155517</v>
      </c>
      <c r="DG170" s="32">
        <f t="shared" si="843"/>
        <v>0.81366729780010816</v>
      </c>
      <c r="DH170" s="32">
        <f t="shared" si="844"/>
        <v>0.93240090586211588</v>
      </c>
      <c r="DI170" s="32">
        <f t="shared" si="845"/>
        <v>1</v>
      </c>
      <c r="DK170" s="32">
        <f t="shared" si="740"/>
        <v>7.8677089460129454E-2</v>
      </c>
      <c r="DL170" s="32">
        <f t="shared" si="741"/>
        <v>0.12923980349660874</v>
      </c>
      <c r="DM170" s="32">
        <f t="shared" si="742"/>
        <v>0.21775442213816071</v>
      </c>
      <c r="DN170" s="32">
        <f t="shared" si="743"/>
        <v>0.26870246545304916</v>
      </c>
      <c r="DO170" s="32">
        <f t="shared" si="744"/>
        <v>0.35218478065676112</v>
      </c>
      <c r="DP170" s="32">
        <f t="shared" si="745"/>
        <v>0.47711531838982779</v>
      </c>
      <c r="DQ170" s="32">
        <f t="shared" si="746"/>
        <v>0.55366594762769261</v>
      </c>
      <c r="DR170" s="32">
        <f t="shared" si="747"/>
        <v>0.63674742344367574</v>
      </c>
      <c r="DS170" s="32">
        <f t="shared" si="748"/>
        <v>0.71941776018996018</v>
      </c>
      <c r="DT170" s="32">
        <f t="shared" si="749"/>
        <v>0.79788231268331933</v>
      </c>
      <c r="DU170" s="32">
        <f t="shared" si="750"/>
        <v>0.8934015632736122</v>
      </c>
      <c r="DV170" s="32">
        <f t="shared" si="751"/>
        <v>1</v>
      </c>
      <c r="DW170" s="39"/>
      <c r="DX170" s="32">
        <f t="shared" si="752"/>
        <v>0.13881590728968443</v>
      </c>
      <c r="DY170" s="32">
        <f t="shared" si="753"/>
        <v>0.3235146402809268</v>
      </c>
      <c r="DZ170" s="32">
        <f t="shared" si="754"/>
        <v>0.39199489280276811</v>
      </c>
      <c r="EA170" s="32">
        <f t="shared" si="755"/>
        <v>0.45391284303331081</v>
      </c>
      <c r="EB170" s="32">
        <f t="shared" si="756"/>
        <v>0.54817338073281652</v>
      </c>
      <c r="EC170" s="32">
        <f t="shared" si="757"/>
        <v>0.59500985561416797</v>
      </c>
      <c r="ED170" s="32">
        <f t="shared" si="758"/>
        <v>0.66293954459068993</v>
      </c>
      <c r="EE170" s="32">
        <f t="shared" si="759"/>
        <v>0.76854550220256401</v>
      </c>
      <c r="EF170" s="32">
        <f t="shared" si="760"/>
        <v>0.83891833627566226</v>
      </c>
      <c r="EG170" s="32">
        <f t="shared" si="761"/>
        <v>0.88649855217588791</v>
      </c>
      <c r="EH170" s="32">
        <f t="shared" si="762"/>
        <v>0.94549715237504506</v>
      </c>
      <c r="EI170" s="32">
        <f t="shared" si="763"/>
        <v>1</v>
      </c>
      <c r="EK170" s="32">
        <f t="shared" si="846"/>
        <v>9.4433333972836001E-2</v>
      </c>
      <c r="EL170" s="32">
        <f t="shared" si="764"/>
        <v>0.19976908630714604</v>
      </c>
      <c r="EM170" s="32">
        <f t="shared" si="765"/>
        <v>0.27243239196452301</v>
      </c>
      <c r="EN170" s="32">
        <f t="shared" si="766"/>
        <v>0.36782540250029472</v>
      </c>
      <c r="EO170" s="32">
        <f t="shared" si="767"/>
        <v>0.45668937625346367</v>
      </c>
      <c r="EP170" s="32">
        <f t="shared" si="768"/>
        <v>0.53119465283841283</v>
      </c>
      <c r="EQ170" s="32">
        <f t="shared" si="769"/>
        <v>0.60807603305691682</v>
      </c>
      <c r="ER170" s="32">
        <f t="shared" si="770"/>
        <v>0.69658816181778394</v>
      </c>
      <c r="ES170" s="32">
        <f t="shared" si="771"/>
        <v>0.76637375315572598</v>
      </c>
      <c r="ET170" s="32">
        <f t="shared" si="772"/>
        <v>0.83268272088643835</v>
      </c>
      <c r="EU170" s="32">
        <f t="shared" si="773"/>
        <v>0.92376654050359097</v>
      </c>
      <c r="EV170" s="32">
        <f t="shared" si="774"/>
        <v>1</v>
      </c>
      <c r="EX170" s="32">
        <f t="shared" si="775"/>
        <v>9.8385905060203296E-2</v>
      </c>
      <c r="EY170" s="32">
        <f t="shared" si="776"/>
        <v>0.19755863385988509</v>
      </c>
      <c r="EZ170" s="32">
        <f t="shared" si="777"/>
        <v>0.26446977153729201</v>
      </c>
      <c r="FA170" s="32">
        <f t="shared" si="778"/>
        <v>0.35103969932156459</v>
      </c>
      <c r="FB170" s="32">
        <f t="shared" si="779"/>
        <v>0.42674680163127765</v>
      </c>
      <c r="FC170" s="32">
        <f t="shared" si="780"/>
        <v>0.48841598601903469</v>
      </c>
      <c r="FD170" s="32">
        <f t="shared" si="781"/>
        <v>0.55584798458829965</v>
      </c>
      <c r="FE170" s="32">
        <f t="shared" si="782"/>
        <v>0.65376516453956668</v>
      </c>
      <c r="FF170" s="32">
        <f t="shared" si="783"/>
        <v>0.72868853166905234</v>
      </c>
      <c r="FG170" s="32">
        <f t="shared" si="784"/>
        <v>0.80049576918900145</v>
      </c>
      <c r="FH170" s="32">
        <f t="shared" si="785"/>
        <v>0.89062605448940857</v>
      </c>
      <c r="FI170" s="32">
        <f t="shared" si="786"/>
        <v>1</v>
      </c>
      <c r="FK170" s="32">
        <f t="shared" si="847"/>
        <v>8.4909237650376237E-2</v>
      </c>
      <c r="FL170" s="32">
        <f t="shared" si="787"/>
        <v>0.15557329838620451</v>
      </c>
      <c r="FM170" s="32">
        <f t="shared" si="788"/>
        <v>0.22196139778213331</v>
      </c>
      <c r="FN170" s="32">
        <f t="shared" si="789"/>
        <v>0.31674865141764913</v>
      </c>
      <c r="FO170" s="32">
        <f t="shared" si="790"/>
        <v>0.38627127526409799</v>
      </c>
      <c r="FP170" s="32">
        <f t="shared" si="791"/>
        <v>0.45288469615399024</v>
      </c>
      <c r="FQ170" s="32">
        <f t="shared" si="792"/>
        <v>0.52015079792083629</v>
      </c>
      <c r="FR170" s="32">
        <f t="shared" si="793"/>
        <v>0.6155050519852342</v>
      </c>
      <c r="FS170" s="32">
        <f t="shared" si="794"/>
        <v>0.69194526346684915</v>
      </c>
      <c r="FT170" s="32">
        <f t="shared" si="795"/>
        <v>0.77182817486003918</v>
      </c>
      <c r="FU170" s="32">
        <f t="shared" si="796"/>
        <v>0.87233568852752974</v>
      </c>
      <c r="FV170" s="32">
        <f t="shared" si="797"/>
        <v>1</v>
      </c>
      <c r="FX170" s="32">
        <f t="shared" si="798"/>
        <v>0.10972977288274666</v>
      </c>
      <c r="FY170" s="32">
        <f t="shared" si="799"/>
        <v>0.1914369933320669</v>
      </c>
      <c r="FZ170" s="32">
        <f t="shared" si="800"/>
        <v>0.24931306608833012</v>
      </c>
      <c r="GA170" s="32">
        <f t="shared" si="801"/>
        <v>0.35364906153523917</v>
      </c>
      <c r="GB170" s="32">
        <f t="shared" si="802"/>
        <v>0.4234745267824262</v>
      </c>
      <c r="GC170" s="32">
        <f t="shared" si="803"/>
        <v>0.4891634802255837</v>
      </c>
      <c r="GD170" s="32">
        <f t="shared" si="804"/>
        <v>0.57188055427555939</v>
      </c>
      <c r="GE170" s="32">
        <f t="shared" si="805"/>
        <v>0.66572035520366091</v>
      </c>
      <c r="GF170" s="32">
        <f t="shared" si="806"/>
        <v>0.73248079063450333</v>
      </c>
      <c r="GG170" s="32">
        <f t="shared" si="807"/>
        <v>0.80076953732382528</v>
      </c>
      <c r="GH170" s="32">
        <f t="shared" si="808"/>
        <v>0.8882969100391982</v>
      </c>
      <c r="GI170" s="32">
        <f t="shared" si="809"/>
        <v>1</v>
      </c>
    </row>
    <row r="171" spans="1:191">
      <c r="A171" s="724" t="s">
        <v>95</v>
      </c>
      <c r="B171" s="400">
        <v>70773.409999999974</v>
      </c>
      <c r="C171" s="400">
        <v>49440.159999999996</v>
      </c>
      <c r="D171" s="400">
        <v>58217.429999999993</v>
      </c>
      <c r="E171" s="400">
        <v>51506.310000000012</v>
      </c>
      <c r="F171" s="400">
        <v>91700</v>
      </c>
      <c r="G171" s="400">
        <v>136565.82999999999</v>
      </c>
      <c r="H171" s="400">
        <v>117907.02</v>
      </c>
      <c r="I171" s="400">
        <v>95099.520000000019</v>
      </c>
      <c r="J171" s="400">
        <v>82474.469999999987</v>
      </c>
      <c r="K171" s="400">
        <v>70987.87</v>
      </c>
      <c r="L171" s="400">
        <v>71553.619999999981</v>
      </c>
      <c r="M171" s="400">
        <v>91621.17</v>
      </c>
      <c r="N171" s="400">
        <f t="shared" si="737"/>
        <v>987846.81</v>
      </c>
      <c r="P171" s="396" t="s">
        <v>95</v>
      </c>
      <c r="Q171" s="400">
        <v>63446.28</v>
      </c>
      <c r="R171" s="400">
        <v>49176.37</v>
      </c>
      <c r="S171" s="400">
        <v>47162.87</v>
      </c>
      <c r="T171" s="400">
        <v>26282.379999999997</v>
      </c>
      <c r="U171" s="400">
        <v>21525.439999999999</v>
      </c>
      <c r="V171" s="400">
        <v>29170.89</v>
      </c>
      <c r="W171" s="400">
        <v>32395.319999999996</v>
      </c>
      <c r="X171" s="400">
        <v>36750.459999999992</v>
      </c>
      <c r="Y171" s="400">
        <v>47341.789999999994</v>
      </c>
      <c r="Z171" s="400">
        <v>43831.950000000004</v>
      </c>
      <c r="AA171" s="400">
        <v>50029.219999999994</v>
      </c>
      <c r="AB171" s="400">
        <v>46620.200000000012</v>
      </c>
      <c r="AC171" s="400">
        <f t="shared" si="738"/>
        <v>493733.17</v>
      </c>
      <c r="AE171" s="127" t="s">
        <v>95</v>
      </c>
      <c r="AF171" s="27">
        <v>69339.67</v>
      </c>
      <c r="AG171" s="27">
        <v>67007.820000000007</v>
      </c>
      <c r="AH171" s="27">
        <v>52397.02</v>
      </c>
      <c r="AI171" s="27">
        <v>50239.28</v>
      </c>
      <c r="AJ171" s="27">
        <v>45956.990000000005</v>
      </c>
      <c r="AK171" s="27">
        <v>45984.130000000005</v>
      </c>
      <c r="AL171" s="27">
        <v>122608.68</v>
      </c>
      <c r="AM171" s="27">
        <v>120450.31999999999</v>
      </c>
      <c r="AN171" s="27">
        <v>92435.079999999987</v>
      </c>
      <c r="AO171" s="27">
        <v>113669.55</v>
      </c>
      <c r="AP171" s="27">
        <v>88683.15</v>
      </c>
      <c r="AQ171" s="27">
        <v>104424.65999999999</v>
      </c>
      <c r="AR171" s="43">
        <f t="shared" si="739"/>
        <v>973196.35</v>
      </c>
      <c r="AT171" s="60" t="s">
        <v>95</v>
      </c>
      <c r="AU171" s="27">
        <v>97409.25</v>
      </c>
      <c r="AV171" s="27">
        <v>75718.760000000009</v>
      </c>
      <c r="AW171" s="27">
        <v>61100.359999999993</v>
      </c>
      <c r="AX171" s="27">
        <v>66209.27</v>
      </c>
      <c r="AY171" s="27">
        <v>57707.770000000004</v>
      </c>
      <c r="AZ171" s="27">
        <v>52296.990000000005</v>
      </c>
      <c r="BA171" s="27">
        <v>52946.170000000006</v>
      </c>
      <c r="BB171" s="27">
        <v>80475.47</v>
      </c>
      <c r="BC171" s="27">
        <v>63252.44</v>
      </c>
      <c r="BD171" s="27">
        <v>84118.400000000009</v>
      </c>
      <c r="BE171" s="27">
        <v>62664.71</v>
      </c>
      <c r="BF171" s="27">
        <v>77320.36</v>
      </c>
      <c r="BG171" s="43">
        <f t="shared" si="699"/>
        <v>831219.95</v>
      </c>
      <c r="BI171" s="60" t="s">
        <v>95</v>
      </c>
      <c r="BJ171" s="27">
        <v>57930.22</v>
      </c>
      <c r="BK171" s="27">
        <v>56227.21</v>
      </c>
      <c r="BL171" s="27">
        <v>47143.360000000001</v>
      </c>
      <c r="BM171" s="27">
        <v>66290.450000000012</v>
      </c>
      <c r="BN171" s="27">
        <v>84061.37000000001</v>
      </c>
      <c r="BO171" s="27">
        <v>104142.54</v>
      </c>
      <c r="BP171" s="27">
        <v>101144.75</v>
      </c>
      <c r="BQ171" s="27">
        <v>127118.22</v>
      </c>
      <c r="BR171" s="27">
        <v>94126.51999999999</v>
      </c>
      <c r="BS171" s="27">
        <v>117908.57</v>
      </c>
      <c r="BT171" s="27">
        <v>104545.11000000002</v>
      </c>
      <c r="BU171" s="27">
        <v>109224.22</v>
      </c>
      <c r="BV171" s="43">
        <f t="shared" si="700"/>
        <v>1069862.54</v>
      </c>
      <c r="BW171" s="405"/>
      <c r="BX171" s="32">
        <f t="shared" si="810"/>
        <v>7.1644114536341896E-2</v>
      </c>
      <c r="BY171" s="32">
        <f t="shared" si="811"/>
        <v>0.12169252234564586</v>
      </c>
      <c r="BZ171" s="32">
        <f t="shared" si="812"/>
        <v>0.18062618433722527</v>
      </c>
      <c r="CA171" s="32">
        <f t="shared" si="813"/>
        <v>0.2327661613848811</v>
      </c>
      <c r="CB171" s="32">
        <f t="shared" si="814"/>
        <v>0.32559431962937652</v>
      </c>
      <c r="CC171" s="32">
        <f t="shared" si="815"/>
        <v>0.4638402790408363</v>
      </c>
      <c r="CD171" s="32">
        <f t="shared" si="816"/>
        <v>0.58319787457733452</v>
      </c>
      <c r="CE171" s="32">
        <f t="shared" si="817"/>
        <v>0.67946737612079755</v>
      </c>
      <c r="CF171" s="32">
        <f t="shared" si="818"/>
        <v>0.76295650537151605</v>
      </c>
      <c r="CG171" s="32">
        <f t="shared" si="819"/>
        <v>0.83481771834643059</v>
      </c>
      <c r="CH171" s="32">
        <f t="shared" si="820"/>
        <v>0.90725164157790816</v>
      </c>
      <c r="CI171" s="32">
        <f t="shared" si="821"/>
        <v>1</v>
      </c>
      <c r="CJ171" s="405"/>
      <c r="CK171" s="32">
        <f t="shared" si="822"/>
        <v>0.12850317510569526</v>
      </c>
      <c r="CL171" s="32">
        <f t="shared" si="823"/>
        <v>0.22810428150897782</v>
      </c>
      <c r="CM171" s="32">
        <f t="shared" si="824"/>
        <v>0.32362727422182308</v>
      </c>
      <c r="CN171" s="32">
        <f t="shared" si="825"/>
        <v>0.37685922539901462</v>
      </c>
      <c r="CO171" s="32">
        <f t="shared" si="826"/>
        <v>0.42045653930846899</v>
      </c>
      <c r="CP171" s="32">
        <f t="shared" si="827"/>
        <v>0.47953883673645015</v>
      </c>
      <c r="CQ171" s="32">
        <f t="shared" si="828"/>
        <v>0.54515184791007665</v>
      </c>
      <c r="CR171" s="32">
        <f t="shared" si="829"/>
        <v>0.6195856964602966</v>
      </c>
      <c r="CS171" s="32">
        <f t="shared" si="830"/>
        <v>0.7154710711455744</v>
      </c>
      <c r="CT171" s="32">
        <f t="shared" si="831"/>
        <v>0.80424766681161008</v>
      </c>
      <c r="CU171" s="32">
        <f t="shared" si="832"/>
        <v>0.90557612323271697</v>
      </c>
      <c r="CV171" s="32">
        <f t="shared" si="833"/>
        <v>1</v>
      </c>
      <c r="CX171" s="32">
        <f t="shared" si="834"/>
        <v>7.1249414365353925E-2</v>
      </c>
      <c r="CY171" s="32">
        <f t="shared" si="835"/>
        <v>0.14010275521481352</v>
      </c>
      <c r="CZ171" s="32">
        <f t="shared" si="836"/>
        <v>0.19394288727038483</v>
      </c>
      <c r="DA171" s="32">
        <f t="shared" si="837"/>
        <v>0.24556585112552054</v>
      </c>
      <c r="DB171" s="32">
        <f t="shared" si="838"/>
        <v>0.2927885826945405</v>
      </c>
      <c r="DC171" s="32">
        <f t="shared" si="839"/>
        <v>0.34003920174998598</v>
      </c>
      <c r="DD171" s="32">
        <f t="shared" si="840"/>
        <v>0.46602475440850138</v>
      </c>
      <c r="DE171" s="32">
        <f t="shared" si="841"/>
        <v>0.58979250179062004</v>
      </c>
      <c r="DF171" s="32">
        <f t="shared" si="842"/>
        <v>0.68477341699853256</v>
      </c>
      <c r="DG171" s="32">
        <f t="shared" si="843"/>
        <v>0.80157363927639058</v>
      </c>
      <c r="DH171" s="32">
        <f t="shared" si="844"/>
        <v>0.89269928930580145</v>
      </c>
      <c r="DI171" s="32">
        <f t="shared" si="845"/>
        <v>1</v>
      </c>
      <c r="DK171" s="32">
        <f t="shared" si="740"/>
        <v>0.11718829655135203</v>
      </c>
      <c r="DL171" s="32">
        <f t="shared" si="741"/>
        <v>0.20828182721071603</v>
      </c>
      <c r="DM171" s="32">
        <f t="shared" si="742"/>
        <v>0.2817886769921728</v>
      </c>
      <c r="DN171" s="32">
        <f t="shared" si="743"/>
        <v>0.36144180610679522</v>
      </c>
      <c r="DO171" s="32">
        <f t="shared" si="744"/>
        <v>0.43086719706378562</v>
      </c>
      <c r="DP171" s="32">
        <f t="shared" si="745"/>
        <v>0.49378314367935955</v>
      </c>
      <c r="DQ171" s="32">
        <f t="shared" si="746"/>
        <v>0.55748008694930873</v>
      </c>
      <c r="DR171" s="32">
        <f t="shared" si="747"/>
        <v>0.65429618237627729</v>
      </c>
      <c r="DS171" s="32">
        <f t="shared" si="748"/>
        <v>0.7303920941743518</v>
      </c>
      <c r="DT171" s="32">
        <f t="shared" si="749"/>
        <v>0.83159082021551578</v>
      </c>
      <c r="DU171" s="32">
        <f t="shared" si="750"/>
        <v>0.90697966284375153</v>
      </c>
      <c r="DV171" s="32">
        <f t="shared" si="751"/>
        <v>1</v>
      </c>
      <c r="DW171" s="39"/>
      <c r="DX171" s="32">
        <f t="shared" si="752"/>
        <v>5.414734868649574E-2</v>
      </c>
      <c r="DY171" s="32">
        <f t="shared" si="753"/>
        <v>0.10670289474758129</v>
      </c>
      <c r="DZ171" s="32">
        <f t="shared" si="754"/>
        <v>0.15076777059602439</v>
      </c>
      <c r="EA171" s="32">
        <f t="shared" si="755"/>
        <v>0.21272942223026145</v>
      </c>
      <c r="EB171" s="32">
        <f t="shared" si="756"/>
        <v>0.29130154421520355</v>
      </c>
      <c r="EC171" s="32">
        <f t="shared" si="757"/>
        <v>0.38864352611130765</v>
      </c>
      <c r="ED171" s="32">
        <f t="shared" si="758"/>
        <v>0.48318347514064747</v>
      </c>
      <c r="EE171" s="32">
        <f t="shared" si="759"/>
        <v>0.60200081404850381</v>
      </c>
      <c r="EF171" s="32">
        <f t="shared" si="760"/>
        <v>0.68998082688267592</v>
      </c>
      <c r="EG171" s="32">
        <f t="shared" si="761"/>
        <v>0.80018991037858</v>
      </c>
      <c r="EH171" s="32">
        <f t="shared" si="762"/>
        <v>0.89790817425947067</v>
      </c>
      <c r="EI171" s="32">
        <f t="shared" si="763"/>
        <v>1</v>
      </c>
      <c r="EK171" s="32">
        <f t="shared" si="846"/>
        <v>8.0861686534400568E-2</v>
      </c>
      <c r="EL171" s="32">
        <f t="shared" si="764"/>
        <v>0.15169582572437026</v>
      </c>
      <c r="EM171" s="32">
        <f t="shared" si="765"/>
        <v>0.20883311161952733</v>
      </c>
      <c r="EN171" s="32">
        <f t="shared" si="766"/>
        <v>0.27324569315419239</v>
      </c>
      <c r="EO171" s="32">
        <f t="shared" si="767"/>
        <v>0.33831910799117654</v>
      </c>
      <c r="EP171" s="32">
        <f t="shared" si="768"/>
        <v>0.40748862384688439</v>
      </c>
      <c r="EQ171" s="32">
        <f t="shared" si="769"/>
        <v>0.50222943883281912</v>
      </c>
      <c r="ER171" s="32">
        <f t="shared" si="770"/>
        <v>0.61536316607180042</v>
      </c>
      <c r="ES171" s="32">
        <f t="shared" si="771"/>
        <v>0.70171544601852009</v>
      </c>
      <c r="ET171" s="32">
        <f t="shared" si="772"/>
        <v>0.81111812329016209</v>
      </c>
      <c r="EU171" s="32">
        <f t="shared" si="773"/>
        <v>0.89919570880300792</v>
      </c>
      <c r="EV171" s="32">
        <f t="shared" si="774"/>
        <v>1</v>
      </c>
      <c r="EX171" s="32">
        <f t="shared" si="775"/>
        <v>9.2772058677224239E-2</v>
      </c>
      <c r="EY171" s="32">
        <f t="shared" si="776"/>
        <v>0.17079793967052215</v>
      </c>
      <c r="EZ171" s="32">
        <f t="shared" si="777"/>
        <v>0.23753165227010131</v>
      </c>
      <c r="FA171" s="32">
        <f t="shared" si="778"/>
        <v>0.29914907621539799</v>
      </c>
      <c r="FB171" s="32">
        <f t="shared" si="779"/>
        <v>0.35885346582049965</v>
      </c>
      <c r="FC171" s="32">
        <f t="shared" si="780"/>
        <v>0.42550117706927582</v>
      </c>
      <c r="FD171" s="32">
        <f t="shared" si="781"/>
        <v>0.51296004110213356</v>
      </c>
      <c r="FE171" s="32">
        <f t="shared" si="782"/>
        <v>0.61641879866892446</v>
      </c>
      <c r="FF171" s="32">
        <f t="shared" si="783"/>
        <v>0.70515435230028367</v>
      </c>
      <c r="FG171" s="32">
        <f t="shared" si="784"/>
        <v>0.8094005091705242</v>
      </c>
      <c r="FH171" s="32">
        <f t="shared" si="785"/>
        <v>0.90079081241043513</v>
      </c>
      <c r="FI171" s="32">
        <f t="shared" si="786"/>
        <v>1</v>
      </c>
      <c r="FK171" s="32">
        <f t="shared" si="847"/>
        <v>0.10564696200746708</v>
      </c>
      <c r="FL171" s="32">
        <f t="shared" si="787"/>
        <v>0.19216295464483579</v>
      </c>
      <c r="FM171" s="32">
        <f t="shared" si="788"/>
        <v>0.26645294616146026</v>
      </c>
      <c r="FN171" s="32">
        <f t="shared" si="789"/>
        <v>0.32795562754377677</v>
      </c>
      <c r="FO171" s="32">
        <f t="shared" si="790"/>
        <v>0.38137077302226502</v>
      </c>
      <c r="FP171" s="32">
        <f t="shared" si="791"/>
        <v>0.43778706072193191</v>
      </c>
      <c r="FQ171" s="32">
        <f t="shared" si="792"/>
        <v>0.52288556308929557</v>
      </c>
      <c r="FR171" s="32">
        <f t="shared" si="793"/>
        <v>0.62122479354239801</v>
      </c>
      <c r="FS171" s="32">
        <f t="shared" si="794"/>
        <v>0.71021219410615288</v>
      </c>
      <c r="FT171" s="32">
        <f t="shared" si="795"/>
        <v>0.81247070876783878</v>
      </c>
      <c r="FU171" s="32">
        <f t="shared" si="796"/>
        <v>0.90175169179408998</v>
      </c>
      <c r="FV171" s="32">
        <f t="shared" si="797"/>
        <v>1</v>
      </c>
      <c r="FX171" s="32">
        <f t="shared" si="798"/>
        <v>9.0465568002463692E-2</v>
      </c>
      <c r="FY171" s="32">
        <f t="shared" si="799"/>
        <v>0.16329985302314573</v>
      </c>
      <c r="FZ171" s="32">
        <f t="shared" si="800"/>
        <v>0.23273211527647772</v>
      </c>
      <c r="GA171" s="32">
        <f t="shared" si="801"/>
        <v>0.28506374596980538</v>
      </c>
      <c r="GB171" s="32">
        <f t="shared" si="802"/>
        <v>0.34627981387746204</v>
      </c>
      <c r="GC171" s="32">
        <f t="shared" si="803"/>
        <v>0.42780610584242412</v>
      </c>
      <c r="GD171" s="32">
        <f t="shared" si="804"/>
        <v>0.53145815896530413</v>
      </c>
      <c r="GE171" s="32">
        <f t="shared" si="805"/>
        <v>0.62961519145723799</v>
      </c>
      <c r="GF171" s="32">
        <f t="shared" si="806"/>
        <v>0.721066997838541</v>
      </c>
      <c r="GG171" s="32">
        <f t="shared" si="807"/>
        <v>0.81354634147814375</v>
      </c>
      <c r="GH171" s="32">
        <f t="shared" si="808"/>
        <v>0.90184235137214219</v>
      </c>
      <c r="GI171" s="32">
        <f t="shared" si="809"/>
        <v>1</v>
      </c>
    </row>
    <row r="172" spans="1:191">
      <c r="A172" s="724" t="s">
        <v>96</v>
      </c>
      <c r="B172" s="400">
        <v>9103.5100000000057</v>
      </c>
      <c r="C172" s="400">
        <v>12267.54</v>
      </c>
      <c r="D172" s="400">
        <v>7413.5</v>
      </c>
      <c r="E172" s="400">
        <v>9219.8800000000028</v>
      </c>
      <c r="F172" s="400">
        <v>13536.650000000001</v>
      </c>
      <c r="G172" s="400">
        <v>15876.51</v>
      </c>
      <c r="H172" s="400">
        <v>15363.9</v>
      </c>
      <c r="I172" s="400">
        <v>15059.86</v>
      </c>
      <c r="J172" s="400">
        <v>12582.58</v>
      </c>
      <c r="K172" s="400">
        <v>9678.2800000000007</v>
      </c>
      <c r="L172" s="400">
        <v>9095.7999999999993</v>
      </c>
      <c r="M172" s="400">
        <v>14057.259999999998</v>
      </c>
      <c r="N172" s="400">
        <f t="shared" si="737"/>
        <v>143255.27000000002</v>
      </c>
      <c r="P172" s="396" t="s">
        <v>96</v>
      </c>
      <c r="Q172" s="400">
        <v>12520.29</v>
      </c>
      <c r="R172" s="400">
        <v>9844.75</v>
      </c>
      <c r="S172" s="400">
        <v>10760.5</v>
      </c>
      <c r="T172" s="400">
        <v>6444.19</v>
      </c>
      <c r="U172" s="400">
        <v>4197.24</v>
      </c>
      <c r="V172" s="400">
        <v>5483.44</v>
      </c>
      <c r="W172" s="400">
        <v>5738.17</v>
      </c>
      <c r="X172" s="400">
        <v>5890.74</v>
      </c>
      <c r="Y172" s="400">
        <v>5920.0999999999995</v>
      </c>
      <c r="Z172" s="400">
        <v>7137.25</v>
      </c>
      <c r="AA172" s="400">
        <v>6932.2400000000007</v>
      </c>
      <c r="AB172" s="400">
        <v>12602.259999999998</v>
      </c>
      <c r="AC172" s="400">
        <f t="shared" si="738"/>
        <v>93471.17</v>
      </c>
      <c r="AE172" s="127" t="s">
        <v>96</v>
      </c>
      <c r="AF172" s="27">
        <v>7323.8600000000006</v>
      </c>
      <c r="AG172" s="27">
        <v>12129.56</v>
      </c>
      <c r="AH172" s="27">
        <v>6888.63</v>
      </c>
      <c r="AI172" s="27">
        <v>8746.4600000000009</v>
      </c>
      <c r="AJ172" s="27">
        <v>8850.4599999999991</v>
      </c>
      <c r="AK172" s="27">
        <v>7133.9599999999991</v>
      </c>
      <c r="AL172" s="27">
        <v>8073.41</v>
      </c>
      <c r="AM172" s="27">
        <v>7175.1399999999994</v>
      </c>
      <c r="AN172" s="27">
        <v>7023.1500000000005</v>
      </c>
      <c r="AO172" s="27">
        <v>13153.570000000002</v>
      </c>
      <c r="AP172" s="27">
        <v>15346.97</v>
      </c>
      <c r="AQ172" s="27">
        <v>13652.28</v>
      </c>
      <c r="AR172" s="43">
        <f t="shared" si="739"/>
        <v>115497.45</v>
      </c>
      <c r="AT172" s="60" t="s">
        <v>96</v>
      </c>
      <c r="AU172" s="27">
        <v>14340.42</v>
      </c>
      <c r="AV172" s="27">
        <v>12871.449999999999</v>
      </c>
      <c r="AW172" s="27">
        <v>16818.87</v>
      </c>
      <c r="AX172" s="27">
        <v>8085.42</v>
      </c>
      <c r="AY172" s="27">
        <v>9083.0199999999986</v>
      </c>
      <c r="AZ172" s="27">
        <v>8403.34</v>
      </c>
      <c r="BA172" s="27">
        <v>11765.97</v>
      </c>
      <c r="BB172" s="27">
        <v>9140.1200000000008</v>
      </c>
      <c r="BC172" s="27">
        <v>8580.9599999999991</v>
      </c>
      <c r="BD172" s="27">
        <v>7797.2899999999991</v>
      </c>
      <c r="BE172" s="27">
        <v>10179.08</v>
      </c>
      <c r="BF172" s="27">
        <v>6812.14</v>
      </c>
      <c r="BG172" s="43">
        <f t="shared" si="699"/>
        <v>123878.07999999997</v>
      </c>
      <c r="BI172" s="60" t="s">
        <v>96</v>
      </c>
      <c r="BJ172" s="27">
        <v>9440.16</v>
      </c>
      <c r="BK172" s="27">
        <v>10580.7</v>
      </c>
      <c r="BL172" s="27">
        <v>9026.2299999999977</v>
      </c>
      <c r="BM172" s="27">
        <v>5746.8700000000008</v>
      </c>
      <c r="BN172" s="27">
        <v>6077.4900000000007</v>
      </c>
      <c r="BO172" s="27">
        <v>6993.1</v>
      </c>
      <c r="BP172" s="27">
        <v>9581.64</v>
      </c>
      <c r="BQ172" s="27">
        <v>12359.44</v>
      </c>
      <c r="BR172" s="27">
        <v>13506.679999999998</v>
      </c>
      <c r="BS172" s="27">
        <v>11391.729999999998</v>
      </c>
      <c r="BT172" s="27">
        <v>14737.58</v>
      </c>
      <c r="BU172" s="27">
        <v>12518.69</v>
      </c>
      <c r="BV172" s="43">
        <f t="shared" si="700"/>
        <v>121960.30999999998</v>
      </c>
      <c r="BW172" s="405"/>
      <c r="BX172" s="32">
        <f t="shared" si="810"/>
        <v>6.3547470190799996E-2</v>
      </c>
      <c r="BY172" s="32">
        <f t="shared" si="811"/>
        <v>0.14918159729830535</v>
      </c>
      <c r="BZ172" s="32">
        <f t="shared" si="812"/>
        <v>0.20093187496697332</v>
      </c>
      <c r="CA172" s="32">
        <f t="shared" si="813"/>
        <v>0.26529167129418696</v>
      </c>
      <c r="CB172" s="32">
        <f t="shared" si="814"/>
        <v>0.3597848791182342</v>
      </c>
      <c r="CC172" s="32">
        <f t="shared" si="815"/>
        <v>0.47061158727354324</v>
      </c>
      <c r="CD172" s="32">
        <f t="shared" si="816"/>
        <v>0.57785999775086805</v>
      </c>
      <c r="CE172" s="32">
        <f t="shared" si="817"/>
        <v>0.68298604302654964</v>
      </c>
      <c r="CF172" s="32">
        <f t="shared" si="818"/>
        <v>0.7708193213415464</v>
      </c>
      <c r="CG172" s="32">
        <f t="shared" si="819"/>
        <v>0.83837899994883258</v>
      </c>
      <c r="CH172" s="32">
        <f t="shared" si="820"/>
        <v>0.90187265013007889</v>
      </c>
      <c r="CI172" s="32">
        <f t="shared" si="821"/>
        <v>1</v>
      </c>
      <c r="CJ172" s="405"/>
      <c r="CK172" s="32">
        <f t="shared" si="822"/>
        <v>0.13394814679221412</v>
      </c>
      <c r="CL172" s="32">
        <f t="shared" si="823"/>
        <v>0.23927206645642718</v>
      </c>
      <c r="CM172" s="32">
        <f t="shared" si="824"/>
        <v>0.35439312463939415</v>
      </c>
      <c r="CN172" s="32">
        <f t="shared" si="825"/>
        <v>0.42333620088418711</v>
      </c>
      <c r="CO172" s="32">
        <f t="shared" si="826"/>
        <v>0.46824031409898903</v>
      </c>
      <c r="CP172" s="32">
        <f t="shared" si="827"/>
        <v>0.52690481995678462</v>
      </c>
      <c r="CQ172" s="32">
        <f t="shared" si="828"/>
        <v>0.58829455114341678</v>
      </c>
      <c r="CR172" s="32">
        <f t="shared" si="829"/>
        <v>0.65131655033311342</v>
      </c>
      <c r="CS172" s="32">
        <f t="shared" si="830"/>
        <v>0.71465265707062398</v>
      </c>
      <c r="CT172" s="32">
        <f t="shared" si="831"/>
        <v>0.79101042599552351</v>
      </c>
      <c r="CU172" s="32">
        <f t="shared" si="832"/>
        <v>0.86517489831356564</v>
      </c>
      <c r="CV172" s="32">
        <f t="shared" si="833"/>
        <v>1</v>
      </c>
      <c r="CX172" s="32">
        <f t="shared" si="834"/>
        <v>6.3411443282946942E-2</v>
      </c>
      <c r="CY172" s="32">
        <f t="shared" si="835"/>
        <v>0.16843159740756181</v>
      </c>
      <c r="CZ172" s="32">
        <f t="shared" si="836"/>
        <v>0.22807473238586654</v>
      </c>
      <c r="DA172" s="32">
        <f t="shared" si="837"/>
        <v>0.30380333072288612</v>
      </c>
      <c r="DB172" s="32">
        <f t="shared" si="838"/>
        <v>0.38043238184046491</v>
      </c>
      <c r="DC172" s="32">
        <f t="shared" si="839"/>
        <v>0.44219963297890996</v>
      </c>
      <c r="DD172" s="32">
        <f t="shared" si="840"/>
        <v>0.51210082993174311</v>
      </c>
      <c r="DE172" s="32">
        <f t="shared" si="841"/>
        <v>0.57422462573849031</v>
      </c>
      <c r="DF172" s="32">
        <f t="shared" si="842"/>
        <v>0.63503246175564909</v>
      </c>
      <c r="DG172" s="32">
        <f t="shared" si="843"/>
        <v>0.7489186990708453</v>
      </c>
      <c r="DH172" s="32">
        <f t="shared" si="844"/>
        <v>0.88179583185602795</v>
      </c>
      <c r="DI172" s="32">
        <f t="shared" si="845"/>
        <v>1</v>
      </c>
      <c r="DK172" s="32">
        <f t="shared" si="740"/>
        <v>0.1157623689356503</v>
      </c>
      <c r="DL172" s="32">
        <f t="shared" si="741"/>
        <v>0.21966654633329807</v>
      </c>
      <c r="DM172" s="32">
        <f t="shared" si="742"/>
        <v>0.35543608683634753</v>
      </c>
      <c r="DN172" s="32">
        <f t="shared" si="743"/>
        <v>0.42070526117292106</v>
      </c>
      <c r="DO172" s="32">
        <f t="shared" si="744"/>
        <v>0.49402751479519225</v>
      </c>
      <c r="DP172" s="32">
        <f t="shared" si="745"/>
        <v>0.56186308344462554</v>
      </c>
      <c r="DQ172" s="32">
        <f t="shared" si="746"/>
        <v>0.65684332530823863</v>
      </c>
      <c r="DR172" s="32">
        <f t="shared" si="747"/>
        <v>0.73062651600670603</v>
      </c>
      <c r="DS172" s="32">
        <f t="shared" si="748"/>
        <v>0.79989591378878333</v>
      </c>
      <c r="DT172" s="32">
        <f t="shared" si="749"/>
        <v>0.86283917219252992</v>
      </c>
      <c r="DU172" s="32">
        <f t="shared" si="750"/>
        <v>0.94500931883994321</v>
      </c>
      <c r="DV172" s="32">
        <f t="shared" si="751"/>
        <v>1</v>
      </c>
      <c r="DW172" s="39"/>
      <c r="DX172" s="32">
        <f t="shared" si="752"/>
        <v>7.740354218515845E-2</v>
      </c>
      <c r="DY172" s="32">
        <f t="shared" si="753"/>
        <v>0.16415881527359191</v>
      </c>
      <c r="DZ172" s="32">
        <f t="shared" si="754"/>
        <v>0.23816838445228616</v>
      </c>
      <c r="EA172" s="32">
        <f t="shared" si="755"/>
        <v>0.28528920597200846</v>
      </c>
      <c r="EB172" s="32">
        <f t="shared" si="756"/>
        <v>0.33512090941717027</v>
      </c>
      <c r="EC172" s="32">
        <f t="shared" si="757"/>
        <v>0.39246005524256211</v>
      </c>
      <c r="ED172" s="32">
        <f t="shared" si="758"/>
        <v>0.47102364695530868</v>
      </c>
      <c r="EE172" s="32">
        <f t="shared" si="759"/>
        <v>0.57236350087991739</v>
      </c>
      <c r="EF172" s="32">
        <f t="shared" si="760"/>
        <v>0.6831100216127689</v>
      </c>
      <c r="EG172" s="32">
        <f t="shared" si="761"/>
        <v>0.77651524500060709</v>
      </c>
      <c r="EH172" s="32">
        <f t="shared" si="762"/>
        <v>0.89735439340880652</v>
      </c>
      <c r="EI172" s="32">
        <f t="shared" si="763"/>
        <v>1</v>
      </c>
      <c r="EK172" s="32">
        <f t="shared" si="846"/>
        <v>8.5525784801251892E-2</v>
      </c>
      <c r="EL172" s="32">
        <f t="shared" si="764"/>
        <v>0.18408565300481727</v>
      </c>
      <c r="EM172" s="32">
        <f t="shared" si="765"/>
        <v>0.27389306789150009</v>
      </c>
      <c r="EN172" s="32">
        <f t="shared" si="766"/>
        <v>0.33659926595593853</v>
      </c>
      <c r="EO172" s="32">
        <f t="shared" si="767"/>
        <v>0.40319360201760918</v>
      </c>
      <c r="EP172" s="32">
        <f t="shared" si="768"/>
        <v>0.46550759055536584</v>
      </c>
      <c r="EQ172" s="32">
        <f t="shared" si="769"/>
        <v>0.54665593406509683</v>
      </c>
      <c r="ER172" s="32">
        <f t="shared" si="770"/>
        <v>0.62573821420837117</v>
      </c>
      <c r="ES172" s="32">
        <f t="shared" si="771"/>
        <v>0.70601279905240044</v>
      </c>
      <c r="ET172" s="32">
        <f t="shared" si="772"/>
        <v>0.79609103875466081</v>
      </c>
      <c r="EU172" s="32">
        <f t="shared" si="773"/>
        <v>0.90805318136825919</v>
      </c>
      <c r="EV172" s="32">
        <f t="shared" si="774"/>
        <v>1</v>
      </c>
      <c r="EX172" s="32">
        <f t="shared" si="775"/>
        <v>9.7631375298992448E-2</v>
      </c>
      <c r="EY172" s="32">
        <f t="shared" si="776"/>
        <v>0.19788225636771972</v>
      </c>
      <c r="EZ172" s="32">
        <f t="shared" si="777"/>
        <v>0.29401808207847357</v>
      </c>
      <c r="FA172" s="32">
        <f t="shared" si="778"/>
        <v>0.35828349968800066</v>
      </c>
      <c r="FB172" s="32">
        <f t="shared" si="779"/>
        <v>0.41945528003795413</v>
      </c>
      <c r="FC172" s="32">
        <f t="shared" si="780"/>
        <v>0.48085689790572061</v>
      </c>
      <c r="FD172" s="32">
        <f t="shared" si="781"/>
        <v>0.55706558833467679</v>
      </c>
      <c r="FE172" s="32">
        <f t="shared" si="782"/>
        <v>0.63213279823955681</v>
      </c>
      <c r="FF172" s="32">
        <f t="shared" si="783"/>
        <v>0.70817276355695635</v>
      </c>
      <c r="FG172" s="32">
        <f t="shared" si="784"/>
        <v>0.7948208855648764</v>
      </c>
      <c r="FH172" s="32">
        <f t="shared" si="785"/>
        <v>0.89733361060458572</v>
      </c>
      <c r="FI172" s="32">
        <f t="shared" si="786"/>
        <v>1</v>
      </c>
      <c r="FK172" s="32">
        <f t="shared" si="847"/>
        <v>0.10437398633693712</v>
      </c>
      <c r="FL172" s="32">
        <f t="shared" si="787"/>
        <v>0.20912340339909571</v>
      </c>
      <c r="FM172" s="32">
        <f t="shared" si="788"/>
        <v>0.31263464795386936</v>
      </c>
      <c r="FN172" s="32">
        <f t="shared" si="789"/>
        <v>0.38261493092666471</v>
      </c>
      <c r="FO172" s="32">
        <f t="shared" si="790"/>
        <v>0.44756673691154875</v>
      </c>
      <c r="FP172" s="32">
        <f t="shared" si="791"/>
        <v>0.51032251212677338</v>
      </c>
      <c r="FQ172" s="32">
        <f t="shared" si="792"/>
        <v>0.5857462354611328</v>
      </c>
      <c r="FR172" s="32">
        <f t="shared" si="793"/>
        <v>0.65205589735943648</v>
      </c>
      <c r="FS172" s="32">
        <f t="shared" si="794"/>
        <v>0.71652701087168547</v>
      </c>
      <c r="FT172" s="32">
        <f t="shared" si="795"/>
        <v>0.80092276575296617</v>
      </c>
      <c r="FU172" s="32">
        <f t="shared" si="796"/>
        <v>0.89732668300317897</v>
      </c>
      <c r="FV172" s="32">
        <f t="shared" si="797"/>
        <v>1</v>
      </c>
      <c r="FX172" s="32">
        <f t="shared" si="798"/>
        <v>8.696902008865369E-2</v>
      </c>
      <c r="FY172" s="32">
        <f t="shared" si="799"/>
        <v>0.18562842038743144</v>
      </c>
      <c r="FZ172" s="32">
        <f t="shared" si="800"/>
        <v>0.26113324399741134</v>
      </c>
      <c r="GA172" s="32">
        <f t="shared" si="801"/>
        <v>0.33081040096708675</v>
      </c>
      <c r="GB172" s="32">
        <f t="shared" si="802"/>
        <v>0.40281919168589608</v>
      </c>
      <c r="GC172" s="32">
        <f t="shared" si="803"/>
        <v>0.47990534673641266</v>
      </c>
      <c r="GD172" s="32">
        <f t="shared" si="804"/>
        <v>0.55941845960867598</v>
      </c>
      <c r="GE172" s="32">
        <f t="shared" si="805"/>
        <v>0.63617573969938446</v>
      </c>
      <c r="GF172" s="32">
        <f t="shared" si="806"/>
        <v>0.70683481338927312</v>
      </c>
      <c r="GG172" s="32">
        <f t="shared" si="807"/>
        <v>0.79276937500506717</v>
      </c>
      <c r="GH172" s="32">
        <f t="shared" si="808"/>
        <v>0.88294779343322416</v>
      </c>
      <c r="GI172" s="32">
        <f t="shared" si="809"/>
        <v>1</v>
      </c>
    </row>
    <row r="173" spans="1:191">
      <c r="A173" s="724" t="s">
        <v>97</v>
      </c>
      <c r="B173" s="400">
        <v>81479.239999999991</v>
      </c>
      <c r="C173" s="400">
        <v>46314.12</v>
      </c>
      <c r="D173" s="400">
        <v>43464.210000000014</v>
      </c>
      <c r="E173" s="400">
        <v>50582.37</v>
      </c>
      <c r="F173" s="400">
        <v>63624.430000000008</v>
      </c>
      <c r="G173" s="400">
        <v>73300.97</v>
      </c>
      <c r="H173" s="400">
        <v>72230.720000000001</v>
      </c>
      <c r="I173" s="400">
        <v>73427.210000000006</v>
      </c>
      <c r="J173" s="400">
        <v>57753.05</v>
      </c>
      <c r="K173" s="400">
        <v>63801.919999999998</v>
      </c>
      <c r="L173" s="400">
        <v>64363.919999999991</v>
      </c>
      <c r="M173" s="400">
        <v>87970.31</v>
      </c>
      <c r="N173" s="400">
        <f t="shared" si="737"/>
        <v>778312.47</v>
      </c>
      <c r="P173" s="396" t="s">
        <v>97</v>
      </c>
      <c r="Q173" s="400">
        <v>54900.130000000005</v>
      </c>
      <c r="R173" s="400">
        <v>37204.83</v>
      </c>
      <c r="S173" s="400">
        <v>41726.120000000003</v>
      </c>
      <c r="T173" s="400">
        <v>22623.429999999997</v>
      </c>
      <c r="U173" s="400">
        <v>19875.949999999997</v>
      </c>
      <c r="V173" s="400">
        <v>23867.070000000003</v>
      </c>
      <c r="W173" s="400">
        <v>30654.379999999997</v>
      </c>
      <c r="X173" s="400">
        <v>39918.03</v>
      </c>
      <c r="Y173" s="400">
        <v>37710.5</v>
      </c>
      <c r="Z173" s="400">
        <v>41333.39</v>
      </c>
      <c r="AA173" s="400">
        <v>51680.94</v>
      </c>
      <c r="AB173" s="400">
        <v>58919.32</v>
      </c>
      <c r="AC173" s="400">
        <f t="shared" si="738"/>
        <v>460414.09000000008</v>
      </c>
      <c r="AE173" s="127" t="s">
        <v>97</v>
      </c>
      <c r="AF173" s="27">
        <v>64501.819999999992</v>
      </c>
      <c r="AG173" s="27">
        <v>57100.320000000007</v>
      </c>
      <c r="AH173" s="27">
        <v>39211.950000000004</v>
      </c>
      <c r="AI173" s="27">
        <v>54878.05999999999</v>
      </c>
      <c r="AJ173" s="27">
        <v>48524.960000000006</v>
      </c>
      <c r="AK173" s="27">
        <v>41556.36</v>
      </c>
      <c r="AL173" s="27">
        <v>62240.040000000008</v>
      </c>
      <c r="AM173" s="27">
        <v>50052.26</v>
      </c>
      <c r="AN173" s="27">
        <v>43174.439999999995</v>
      </c>
      <c r="AO173" s="27">
        <v>69124.090000000011</v>
      </c>
      <c r="AP173" s="27">
        <v>61613.25</v>
      </c>
      <c r="AQ173" s="27">
        <v>80599.01999999999</v>
      </c>
      <c r="AR173" s="43">
        <f t="shared" si="739"/>
        <v>672576.57000000007</v>
      </c>
      <c r="AT173" s="60" t="s">
        <v>97</v>
      </c>
      <c r="AU173" s="27">
        <v>72721.09</v>
      </c>
      <c r="AV173" s="27">
        <v>59002.73</v>
      </c>
      <c r="AW173" s="27">
        <v>56152.1</v>
      </c>
      <c r="AX173" s="27">
        <v>61045.020000000004</v>
      </c>
      <c r="AY173" s="27">
        <v>66722.61</v>
      </c>
      <c r="AZ173" s="27">
        <v>57492.799999999996</v>
      </c>
      <c r="BA173" s="27">
        <v>74963.97</v>
      </c>
      <c r="BB173" s="27">
        <v>62224.03</v>
      </c>
      <c r="BC173" s="27">
        <v>55027.56</v>
      </c>
      <c r="BD173" s="27">
        <v>56776.2</v>
      </c>
      <c r="BE173" s="27">
        <v>57630.240000000013</v>
      </c>
      <c r="BF173" s="27">
        <v>75498.709999999992</v>
      </c>
      <c r="BG173" s="43">
        <f t="shared" si="699"/>
        <v>755257.05999999982</v>
      </c>
      <c r="BI173" s="60" t="s">
        <v>97</v>
      </c>
      <c r="BJ173" s="27">
        <v>51144.1</v>
      </c>
      <c r="BK173" s="27">
        <v>40013.119999999995</v>
      </c>
      <c r="BL173" s="27">
        <v>40563.68</v>
      </c>
      <c r="BM173" s="27">
        <v>33546.160000000003</v>
      </c>
      <c r="BN173" s="27">
        <v>41445.730000000003</v>
      </c>
      <c r="BO173" s="27">
        <v>41191.919999999998</v>
      </c>
      <c r="BP173" s="27">
        <v>50708.469999999994</v>
      </c>
      <c r="BQ173" s="27">
        <v>57415.71</v>
      </c>
      <c r="BR173" s="27">
        <v>50994.06</v>
      </c>
      <c r="BS173" s="27">
        <v>81596.759999999995</v>
      </c>
      <c r="BT173" s="27">
        <v>75610.460000000006</v>
      </c>
      <c r="BU173" s="27">
        <v>69469.8</v>
      </c>
      <c r="BV173" s="43">
        <f t="shared" si="700"/>
        <v>633699.97000000009</v>
      </c>
      <c r="BW173" s="405"/>
      <c r="BX173" s="32">
        <f t="shared" si="810"/>
        <v>0.10468705454507236</v>
      </c>
      <c r="BY173" s="32">
        <f t="shared" si="811"/>
        <v>0.16419287230487262</v>
      </c>
      <c r="BZ173" s="32">
        <f t="shared" si="812"/>
        <v>0.22003703730970675</v>
      </c>
      <c r="CA173" s="32">
        <f t="shared" si="813"/>
        <v>0.28502683504479892</v>
      </c>
      <c r="CB173" s="32">
        <f t="shared" si="814"/>
        <v>0.36677347595368737</v>
      </c>
      <c r="CC173" s="32">
        <f t="shared" si="815"/>
        <v>0.4609528355623031</v>
      </c>
      <c r="CD173" s="32">
        <f t="shared" si="816"/>
        <v>0.55375710477823892</v>
      </c>
      <c r="CE173" s="32">
        <f t="shared" si="817"/>
        <v>0.64809866145405581</v>
      </c>
      <c r="CF173" s="32">
        <f t="shared" si="818"/>
        <v>0.72230157124425876</v>
      </c>
      <c r="CG173" s="32">
        <f t="shared" si="819"/>
        <v>0.80427625680981318</v>
      </c>
      <c r="CH173" s="32">
        <f t="shared" si="820"/>
        <v>0.88697301740520751</v>
      </c>
      <c r="CI173" s="32">
        <f t="shared" si="821"/>
        <v>1</v>
      </c>
      <c r="CJ173" s="405"/>
      <c r="CK173" s="32">
        <f t="shared" si="822"/>
        <v>0.11924076867412983</v>
      </c>
      <c r="CL173" s="32">
        <f t="shared" si="823"/>
        <v>0.2000480914908577</v>
      </c>
      <c r="CM173" s="32">
        <f t="shared" si="824"/>
        <v>0.29067546564441588</v>
      </c>
      <c r="CN173" s="32">
        <f t="shared" si="825"/>
        <v>0.33981260217296994</v>
      </c>
      <c r="CO173" s="32">
        <f t="shared" si="826"/>
        <v>0.38298232793005965</v>
      </c>
      <c r="CP173" s="32">
        <f t="shared" si="827"/>
        <v>0.43482059812722063</v>
      </c>
      <c r="CQ173" s="32">
        <f t="shared" si="828"/>
        <v>0.50140061960310556</v>
      </c>
      <c r="CR173" s="32">
        <f t="shared" si="829"/>
        <v>0.58810089847597846</v>
      </c>
      <c r="CS173" s="32">
        <f t="shared" si="830"/>
        <v>0.67000651522198207</v>
      </c>
      <c r="CT173" s="32">
        <f t="shared" si="831"/>
        <v>0.75978089636657298</v>
      </c>
      <c r="CU173" s="32">
        <f t="shared" si="832"/>
        <v>0.872029720028768</v>
      </c>
      <c r="CV173" s="32">
        <f t="shared" si="833"/>
        <v>1</v>
      </c>
      <c r="CX173" s="32">
        <f t="shared" si="834"/>
        <v>9.5902567643710787E-2</v>
      </c>
      <c r="CY173" s="32">
        <f t="shared" si="835"/>
        <v>0.18080044031269182</v>
      </c>
      <c r="CZ173" s="32">
        <f t="shared" si="836"/>
        <v>0.23910153456579669</v>
      </c>
      <c r="DA173" s="32">
        <f t="shared" si="837"/>
        <v>0.32069530759895482</v>
      </c>
      <c r="DB173" s="32">
        <f t="shared" si="838"/>
        <v>0.39284316728428403</v>
      </c>
      <c r="DC173" s="32">
        <f t="shared" si="839"/>
        <v>0.45462997618248868</v>
      </c>
      <c r="DD173" s="32">
        <f t="shared" si="840"/>
        <v>0.5471696850813581</v>
      </c>
      <c r="DE173" s="32">
        <f t="shared" si="841"/>
        <v>0.62158836428096209</v>
      </c>
      <c r="DF173" s="32">
        <f t="shared" si="842"/>
        <v>0.68578096617311535</v>
      </c>
      <c r="DG173" s="32">
        <f t="shared" si="843"/>
        <v>0.7885560152652954</v>
      </c>
      <c r="DH173" s="32">
        <f t="shared" si="844"/>
        <v>0.88016380053203458</v>
      </c>
      <c r="DI173" s="32">
        <f t="shared" si="845"/>
        <v>1</v>
      </c>
      <c r="DK173" s="32">
        <f t="shared" si="740"/>
        <v>9.6286541167850875E-2</v>
      </c>
      <c r="DL173" s="32">
        <f t="shared" si="741"/>
        <v>0.17440925345338718</v>
      </c>
      <c r="DM173" s="32">
        <f t="shared" si="742"/>
        <v>0.24875758195494399</v>
      </c>
      <c r="DN173" s="32">
        <f t="shared" si="743"/>
        <v>0.32958439342493545</v>
      </c>
      <c r="DO173" s="32">
        <f t="shared" si="744"/>
        <v>0.41792863214016174</v>
      </c>
      <c r="DP173" s="32">
        <f t="shared" si="745"/>
        <v>0.49405211783124553</v>
      </c>
      <c r="DQ173" s="32">
        <f t="shared" si="746"/>
        <v>0.59330834987494196</v>
      </c>
      <c r="DR173" s="32">
        <f t="shared" si="747"/>
        <v>0.67569623248540056</v>
      </c>
      <c r="DS173" s="32">
        <f t="shared" si="748"/>
        <v>0.74855561098627799</v>
      </c>
      <c r="DT173" s="32">
        <f t="shared" si="749"/>
        <v>0.82373028065437748</v>
      </c>
      <c r="DU173" s="32">
        <f t="shared" si="750"/>
        <v>0.9000357441213459</v>
      </c>
      <c r="DV173" s="32">
        <f t="shared" si="751"/>
        <v>1</v>
      </c>
      <c r="DW173" s="39"/>
      <c r="DX173" s="32">
        <f t="shared" si="752"/>
        <v>8.0707120753059192E-2</v>
      </c>
      <c r="DY173" s="32">
        <f t="shared" si="753"/>
        <v>0.14384917834223662</v>
      </c>
      <c r="DZ173" s="32">
        <f t="shared" si="754"/>
        <v>0.20786003824491261</v>
      </c>
      <c r="EA173" s="32">
        <f t="shared" si="755"/>
        <v>0.26079701408223199</v>
      </c>
      <c r="EB173" s="32">
        <f t="shared" si="756"/>
        <v>0.32619977873756245</v>
      </c>
      <c r="EC173" s="32">
        <f t="shared" si="757"/>
        <v>0.39120202262278786</v>
      </c>
      <c r="ED173" s="32">
        <f t="shared" si="758"/>
        <v>0.47122170449211154</v>
      </c>
      <c r="EE173" s="32">
        <f t="shared" si="759"/>
        <v>0.56182563808548069</v>
      </c>
      <c r="EF173" s="32">
        <f t="shared" si="760"/>
        <v>0.64229599064049181</v>
      </c>
      <c r="EG173" s="32">
        <f t="shared" si="761"/>
        <v>0.77105843953251241</v>
      </c>
      <c r="EH173" s="32">
        <f t="shared" si="762"/>
        <v>0.89037430442043408</v>
      </c>
      <c r="EI173" s="32">
        <f t="shared" si="763"/>
        <v>1</v>
      </c>
      <c r="EK173" s="32">
        <f t="shared" si="846"/>
        <v>9.0965409854873613E-2</v>
      </c>
      <c r="EL173" s="32">
        <f t="shared" si="764"/>
        <v>0.16635295736943856</v>
      </c>
      <c r="EM173" s="32">
        <f t="shared" si="765"/>
        <v>0.23190638492188442</v>
      </c>
      <c r="EN173" s="32">
        <f t="shared" si="766"/>
        <v>0.30369223836870746</v>
      </c>
      <c r="EO173" s="32">
        <f t="shared" si="767"/>
        <v>0.37899052605400274</v>
      </c>
      <c r="EP173" s="32">
        <f t="shared" si="768"/>
        <v>0.44662803887884067</v>
      </c>
      <c r="EQ173" s="32">
        <f t="shared" si="769"/>
        <v>0.53723324648280391</v>
      </c>
      <c r="ER173" s="32">
        <f t="shared" si="770"/>
        <v>0.61970341161728115</v>
      </c>
      <c r="ES173" s="32">
        <f t="shared" si="771"/>
        <v>0.69221085593329501</v>
      </c>
      <c r="ET173" s="32">
        <f t="shared" si="772"/>
        <v>0.79444824515072854</v>
      </c>
      <c r="EU173" s="32">
        <f t="shared" si="773"/>
        <v>0.89019128302460482</v>
      </c>
      <c r="EV173" s="32">
        <f t="shared" si="774"/>
        <v>1</v>
      </c>
      <c r="EX173" s="32">
        <f t="shared" si="775"/>
        <v>9.8034249559687675E-2</v>
      </c>
      <c r="EY173" s="32">
        <f t="shared" si="776"/>
        <v>0.17477674089979334</v>
      </c>
      <c r="EZ173" s="32">
        <f t="shared" si="777"/>
        <v>0.24659865510251733</v>
      </c>
      <c r="FA173" s="32">
        <f t="shared" si="778"/>
        <v>0.31272232931977306</v>
      </c>
      <c r="FB173" s="32">
        <f t="shared" si="779"/>
        <v>0.37998847652301698</v>
      </c>
      <c r="FC173" s="32">
        <f t="shared" si="780"/>
        <v>0.44367617869093567</v>
      </c>
      <c r="FD173" s="32">
        <f t="shared" si="781"/>
        <v>0.52827508976287929</v>
      </c>
      <c r="FE173" s="32">
        <f t="shared" si="782"/>
        <v>0.61180278333195548</v>
      </c>
      <c r="FF173" s="32">
        <f t="shared" si="783"/>
        <v>0.68665977075546691</v>
      </c>
      <c r="FG173" s="32">
        <f t="shared" si="784"/>
        <v>0.78578140795468965</v>
      </c>
      <c r="FH173" s="32">
        <f t="shared" si="785"/>
        <v>0.88565089227564564</v>
      </c>
      <c r="FI173" s="32">
        <f t="shared" si="786"/>
        <v>1</v>
      </c>
      <c r="FK173" s="32">
        <f t="shared" si="847"/>
        <v>0.10380995916189717</v>
      </c>
      <c r="FL173" s="32">
        <f t="shared" si="787"/>
        <v>0.18508592841897889</v>
      </c>
      <c r="FM173" s="32">
        <f t="shared" si="788"/>
        <v>0.25951152738838551</v>
      </c>
      <c r="FN173" s="32">
        <f t="shared" si="789"/>
        <v>0.33003076773228673</v>
      </c>
      <c r="FO173" s="32">
        <f t="shared" si="790"/>
        <v>0.39791804245150181</v>
      </c>
      <c r="FP173" s="32">
        <f t="shared" si="791"/>
        <v>0.46116756404698495</v>
      </c>
      <c r="FQ173" s="32">
        <f t="shared" si="792"/>
        <v>0.54729288485313521</v>
      </c>
      <c r="FR173" s="32">
        <f t="shared" si="793"/>
        <v>0.62846183174744708</v>
      </c>
      <c r="FS173" s="32">
        <f t="shared" si="794"/>
        <v>0.70144769746045854</v>
      </c>
      <c r="FT173" s="32">
        <f t="shared" si="795"/>
        <v>0.79068906409541528</v>
      </c>
      <c r="FU173" s="32">
        <f t="shared" si="796"/>
        <v>0.88407642156071609</v>
      </c>
      <c r="FV173" s="32">
        <f t="shared" si="797"/>
        <v>1</v>
      </c>
      <c r="FX173" s="32">
        <f t="shared" si="798"/>
        <v>0.10661013028763766</v>
      </c>
      <c r="FY173" s="32">
        <f t="shared" si="799"/>
        <v>0.18168046803614071</v>
      </c>
      <c r="FZ173" s="32">
        <f t="shared" si="800"/>
        <v>0.2499380125066398</v>
      </c>
      <c r="GA173" s="32">
        <f t="shared" si="801"/>
        <v>0.31517824827224122</v>
      </c>
      <c r="GB173" s="32">
        <f t="shared" si="802"/>
        <v>0.38086632372267704</v>
      </c>
      <c r="GC173" s="32">
        <f t="shared" si="803"/>
        <v>0.45013446995733747</v>
      </c>
      <c r="GD173" s="32">
        <f t="shared" si="804"/>
        <v>0.53410913648756753</v>
      </c>
      <c r="GE173" s="32">
        <f t="shared" si="805"/>
        <v>0.61926264140366549</v>
      </c>
      <c r="GF173" s="32">
        <f t="shared" si="806"/>
        <v>0.69269635087978543</v>
      </c>
      <c r="GG173" s="32">
        <f t="shared" si="807"/>
        <v>0.78420438948056059</v>
      </c>
      <c r="GH173" s="32">
        <f t="shared" si="808"/>
        <v>0.87972217932200325</v>
      </c>
      <c r="GI173" s="32">
        <f t="shared" si="809"/>
        <v>1</v>
      </c>
    </row>
    <row r="174" spans="1:191">
      <c r="A174" s="724" t="s">
        <v>98</v>
      </c>
      <c r="B174" s="400">
        <v>5098.0699999999924</v>
      </c>
      <c r="C174" s="400">
        <v>3210.3300000000004</v>
      </c>
      <c r="D174" s="400">
        <v>4556.22</v>
      </c>
      <c r="E174" s="400">
        <v>3877.8</v>
      </c>
      <c r="F174" s="400">
        <v>5467.69</v>
      </c>
      <c r="G174" s="400">
        <v>5447.26</v>
      </c>
      <c r="H174" s="400">
        <v>6429.78</v>
      </c>
      <c r="I174" s="400">
        <v>7137.6900000000005</v>
      </c>
      <c r="J174" s="400">
        <v>4577.91</v>
      </c>
      <c r="K174" s="400">
        <v>4156.6900000000005</v>
      </c>
      <c r="L174" s="400">
        <v>4484.93</v>
      </c>
      <c r="M174" s="400">
        <v>5841.72</v>
      </c>
      <c r="N174" s="400">
        <f t="shared" si="737"/>
        <v>60286.089999999989</v>
      </c>
      <c r="P174" s="396" t="s">
        <v>98</v>
      </c>
      <c r="Q174" s="400">
        <v>3884.52</v>
      </c>
      <c r="R174" s="400">
        <v>3587.2500000000005</v>
      </c>
      <c r="S174" s="400">
        <v>1922.01</v>
      </c>
      <c r="T174" s="400">
        <v>2754.92</v>
      </c>
      <c r="U174" s="400">
        <v>1911.8099999999997</v>
      </c>
      <c r="V174" s="400">
        <v>3255.3900000000003</v>
      </c>
      <c r="W174" s="400">
        <v>2155.9</v>
      </c>
      <c r="X174" s="400">
        <v>2393.65</v>
      </c>
      <c r="Y174" s="400">
        <v>2495.7399999999998</v>
      </c>
      <c r="Z174" s="400">
        <v>2804.2</v>
      </c>
      <c r="AA174" s="400">
        <v>3050.0599999999995</v>
      </c>
      <c r="AB174" s="400">
        <v>3446.97</v>
      </c>
      <c r="AC174" s="400">
        <f t="shared" si="738"/>
        <v>33662.420000000006</v>
      </c>
      <c r="AE174" s="127" t="s">
        <v>98</v>
      </c>
      <c r="AF174" s="27">
        <v>2466.86</v>
      </c>
      <c r="AG174" s="27">
        <v>2583.67</v>
      </c>
      <c r="AH174" s="27">
        <v>2290.33</v>
      </c>
      <c r="AI174" s="27">
        <v>1912.8700000000001</v>
      </c>
      <c r="AJ174" s="27">
        <v>2228.8600000000006</v>
      </c>
      <c r="AK174" s="27">
        <v>3494.73</v>
      </c>
      <c r="AL174" s="27">
        <v>3127.9</v>
      </c>
      <c r="AM174" s="27">
        <v>2073.8700000000003</v>
      </c>
      <c r="AN174" s="27">
        <v>3140.8099999999995</v>
      </c>
      <c r="AO174" s="27">
        <v>8938.7999999999993</v>
      </c>
      <c r="AP174" s="27">
        <v>3531.9000000000005</v>
      </c>
      <c r="AQ174" s="27">
        <v>4868.1800000000012</v>
      </c>
      <c r="AR174" s="43">
        <f t="shared" si="739"/>
        <v>40658.78</v>
      </c>
      <c r="AT174" s="60" t="s">
        <v>98</v>
      </c>
      <c r="AU174" s="27">
        <v>3160.94</v>
      </c>
      <c r="AV174" s="27">
        <v>1402.15</v>
      </c>
      <c r="AW174" s="27">
        <v>1680.97</v>
      </c>
      <c r="AX174" s="27">
        <v>1513.71</v>
      </c>
      <c r="AY174" s="27">
        <v>1802.95</v>
      </c>
      <c r="AZ174" s="27">
        <v>2271.5300000000002</v>
      </c>
      <c r="BA174" s="27">
        <v>1275.6800000000003</v>
      </c>
      <c r="BB174" s="27">
        <v>2257.8700000000003</v>
      </c>
      <c r="BC174" s="27">
        <v>1368.23</v>
      </c>
      <c r="BD174" s="27">
        <v>1693.08</v>
      </c>
      <c r="BE174" s="27">
        <v>1803.38</v>
      </c>
      <c r="BF174" s="27">
        <v>2403.21</v>
      </c>
      <c r="BG174" s="43">
        <f t="shared" si="699"/>
        <v>22633.7</v>
      </c>
      <c r="BI174" s="60" t="s">
        <v>98</v>
      </c>
      <c r="BJ174" s="27">
        <v>1455.17</v>
      </c>
      <c r="BK174" s="27">
        <v>578.85</v>
      </c>
      <c r="BL174" s="27">
        <v>1054.06</v>
      </c>
      <c r="BM174" s="27">
        <v>702.76</v>
      </c>
      <c r="BN174" s="27">
        <v>1435.4399999999998</v>
      </c>
      <c r="BO174" s="27">
        <v>1563.1200000000001</v>
      </c>
      <c r="BP174" s="27">
        <v>2401.84</v>
      </c>
      <c r="BQ174" s="27">
        <v>2976.04</v>
      </c>
      <c r="BR174" s="27">
        <v>3108.49</v>
      </c>
      <c r="BS174" s="27">
        <v>2455.4500000000003</v>
      </c>
      <c r="BT174" s="27">
        <v>2533.9499999999998</v>
      </c>
      <c r="BU174" s="27">
        <v>2787.6</v>
      </c>
      <c r="BV174" s="43">
        <f t="shared" si="700"/>
        <v>23052.769999999997</v>
      </c>
      <c r="BW174" s="405"/>
      <c r="BX174" s="32">
        <f t="shared" si="810"/>
        <v>8.4564615154175585E-2</v>
      </c>
      <c r="BY174" s="32">
        <f t="shared" si="811"/>
        <v>0.13781620270944747</v>
      </c>
      <c r="BZ174" s="32">
        <f t="shared" si="812"/>
        <v>0.21339284070338604</v>
      </c>
      <c r="CA174" s="32">
        <f t="shared" si="813"/>
        <v>0.27771613650843824</v>
      </c>
      <c r="CB174" s="32">
        <f t="shared" si="814"/>
        <v>0.36841185089296707</v>
      </c>
      <c r="CC174" s="32">
        <f t="shared" si="815"/>
        <v>0.45876868113357483</v>
      </c>
      <c r="CD174" s="32">
        <f t="shared" si="816"/>
        <v>0.56542313492216845</v>
      </c>
      <c r="CE174" s="32">
        <f t="shared" si="817"/>
        <v>0.68382009846715874</v>
      </c>
      <c r="CF174" s="32">
        <f t="shared" si="818"/>
        <v>0.75975652094869639</v>
      </c>
      <c r="CG174" s="32">
        <f t="shared" si="819"/>
        <v>0.8287059253635457</v>
      </c>
      <c r="CH174" s="32">
        <f t="shared" si="820"/>
        <v>0.90310003518224513</v>
      </c>
      <c r="CI174" s="32">
        <f t="shared" si="821"/>
        <v>1</v>
      </c>
      <c r="CJ174" s="405"/>
      <c r="CK174" s="32">
        <f t="shared" si="822"/>
        <v>0.11539633811235198</v>
      </c>
      <c r="CL174" s="32">
        <f t="shared" si="823"/>
        <v>0.22196176032501522</v>
      </c>
      <c r="CM174" s="32">
        <f t="shared" si="824"/>
        <v>0.27905836835260206</v>
      </c>
      <c r="CN174" s="32">
        <f t="shared" si="825"/>
        <v>0.36089799842079084</v>
      </c>
      <c r="CO174" s="32">
        <f t="shared" si="826"/>
        <v>0.41769159793027349</v>
      </c>
      <c r="CP174" s="32">
        <f t="shared" si="827"/>
        <v>0.51439854888626546</v>
      </c>
      <c r="CQ174" s="32">
        <f t="shared" si="828"/>
        <v>0.57844326106085064</v>
      </c>
      <c r="CR174" s="32">
        <f t="shared" si="829"/>
        <v>0.64955074531183443</v>
      </c>
      <c r="CS174" s="32">
        <f t="shared" si="830"/>
        <v>0.72369098834843126</v>
      </c>
      <c r="CT174" s="32">
        <f t="shared" si="831"/>
        <v>0.80699456545310766</v>
      </c>
      <c r="CU174" s="32">
        <f t="shared" si="832"/>
        <v>0.89760183611279287</v>
      </c>
      <c r="CV174" s="32">
        <f t="shared" si="833"/>
        <v>1</v>
      </c>
      <c r="CX174" s="32">
        <f t="shared" si="834"/>
        <v>6.0672258242869072E-2</v>
      </c>
      <c r="CY174" s="32">
        <f t="shared" si="835"/>
        <v>0.1242174506957661</v>
      </c>
      <c r="CZ174" s="32">
        <f t="shared" si="836"/>
        <v>0.18054796528572675</v>
      </c>
      <c r="DA174" s="32">
        <f t="shared" si="837"/>
        <v>0.22759487618664412</v>
      </c>
      <c r="DB174" s="32">
        <f t="shared" si="838"/>
        <v>0.2824135401996814</v>
      </c>
      <c r="DC174" s="32">
        <f t="shared" si="839"/>
        <v>0.36836619298463952</v>
      </c>
      <c r="DD174" s="32">
        <f t="shared" si="840"/>
        <v>0.44529668622619767</v>
      </c>
      <c r="DE174" s="32">
        <f t="shared" si="841"/>
        <v>0.49630338145906006</v>
      </c>
      <c r="DF174" s="32">
        <f t="shared" si="842"/>
        <v>0.57355139529518595</v>
      </c>
      <c r="DG174" s="32">
        <f t="shared" si="843"/>
        <v>0.79340058899947319</v>
      </c>
      <c r="DH174" s="32">
        <f t="shared" si="844"/>
        <v>0.8802674354715021</v>
      </c>
      <c r="DI174" s="32">
        <f t="shared" si="845"/>
        <v>1</v>
      </c>
      <c r="DK174" s="32">
        <f t="shared" si="740"/>
        <v>0.1396563531371362</v>
      </c>
      <c r="DL174" s="32">
        <f t="shared" si="741"/>
        <v>0.20160601227373343</v>
      </c>
      <c r="DM174" s="32">
        <f t="shared" si="742"/>
        <v>0.27587447036940493</v>
      </c>
      <c r="DN174" s="32">
        <f t="shared" si="743"/>
        <v>0.34275306291061558</v>
      </c>
      <c r="DO174" s="32">
        <f t="shared" si="744"/>
        <v>0.42241082986873557</v>
      </c>
      <c r="DP174" s="32">
        <f t="shared" si="745"/>
        <v>0.52277135421959298</v>
      </c>
      <c r="DQ174" s="32">
        <f t="shared" si="746"/>
        <v>0.57913332773695869</v>
      </c>
      <c r="DR174" s="32">
        <f t="shared" si="747"/>
        <v>0.6788903272553759</v>
      </c>
      <c r="DS174" s="32">
        <f t="shared" si="748"/>
        <v>0.73934133614919351</v>
      </c>
      <c r="DT174" s="32">
        <f t="shared" si="749"/>
        <v>0.81414483712340446</v>
      </c>
      <c r="DU174" s="32">
        <f t="shared" si="750"/>
        <v>0.89382160230099372</v>
      </c>
      <c r="DV174" s="32">
        <f t="shared" si="751"/>
        <v>1</v>
      </c>
      <c r="DW174" s="39"/>
      <c r="DX174" s="32">
        <f t="shared" si="752"/>
        <v>6.3123433756550745E-2</v>
      </c>
      <c r="DY174" s="32">
        <f t="shared" si="753"/>
        <v>8.8233214490059123E-2</v>
      </c>
      <c r="DZ174" s="32">
        <f t="shared" si="754"/>
        <v>0.1339570038654791</v>
      </c>
      <c r="EA174" s="32">
        <f t="shared" si="755"/>
        <v>0.16444184364829045</v>
      </c>
      <c r="EB174" s="32">
        <f t="shared" si="756"/>
        <v>0.2267094149640152</v>
      </c>
      <c r="EC174" s="32">
        <f t="shared" si="757"/>
        <v>0.29451558315985454</v>
      </c>
      <c r="ED174" s="32">
        <f t="shared" si="758"/>
        <v>0.39870436394411607</v>
      </c>
      <c r="EE174" s="32">
        <f t="shared" si="759"/>
        <v>0.5278012143443066</v>
      </c>
      <c r="EF174" s="32">
        <f t="shared" si="760"/>
        <v>0.66264357819038666</v>
      </c>
      <c r="EG174" s="32">
        <f t="shared" si="761"/>
        <v>0.76915789295603088</v>
      </c>
      <c r="EH174" s="32">
        <f t="shared" si="762"/>
        <v>0.87907743841629449</v>
      </c>
      <c r="EI174" s="32">
        <f t="shared" si="763"/>
        <v>1</v>
      </c>
      <c r="EK174" s="32">
        <f t="shared" si="846"/>
        <v>8.7817348378852009E-2</v>
      </c>
      <c r="EL174" s="32">
        <f t="shared" si="764"/>
        <v>0.13801889248651955</v>
      </c>
      <c r="EM174" s="32">
        <f t="shared" si="765"/>
        <v>0.19679314650687027</v>
      </c>
      <c r="EN174" s="32">
        <f t="shared" si="766"/>
        <v>0.24492992758185003</v>
      </c>
      <c r="EO174" s="32">
        <f t="shared" si="767"/>
        <v>0.31051126167747739</v>
      </c>
      <c r="EP174" s="32">
        <f t="shared" si="768"/>
        <v>0.39521771012136231</v>
      </c>
      <c r="EQ174" s="32">
        <f t="shared" si="769"/>
        <v>0.47437812596909085</v>
      </c>
      <c r="ER174" s="32">
        <f t="shared" si="770"/>
        <v>0.56766497435291419</v>
      </c>
      <c r="ES174" s="32">
        <f t="shared" si="771"/>
        <v>0.65851210321158871</v>
      </c>
      <c r="ET174" s="32">
        <f t="shared" si="772"/>
        <v>0.79223443969296958</v>
      </c>
      <c r="EU174" s="32">
        <f t="shared" si="773"/>
        <v>0.8843888253962634</v>
      </c>
      <c r="EV174" s="32">
        <f t="shared" si="774"/>
        <v>1</v>
      </c>
      <c r="EX174" s="32">
        <f t="shared" si="775"/>
        <v>9.4712095812227004E-2</v>
      </c>
      <c r="EY174" s="32">
        <f t="shared" si="776"/>
        <v>0.15900460944614347</v>
      </c>
      <c r="EZ174" s="32">
        <f t="shared" si="777"/>
        <v>0.2173594519683032</v>
      </c>
      <c r="FA174" s="32">
        <f t="shared" si="778"/>
        <v>0.27392194529158526</v>
      </c>
      <c r="FB174" s="32">
        <f t="shared" si="779"/>
        <v>0.33730634574067642</v>
      </c>
      <c r="FC174" s="32">
        <f t="shared" si="780"/>
        <v>0.42501291981258815</v>
      </c>
      <c r="FD174" s="32">
        <f t="shared" si="781"/>
        <v>0.50039440974203075</v>
      </c>
      <c r="FE174" s="32">
        <f t="shared" si="782"/>
        <v>0.5881364170926443</v>
      </c>
      <c r="FF174" s="32">
        <f t="shared" si="783"/>
        <v>0.67480682449579943</v>
      </c>
      <c r="FG174" s="32">
        <f t="shared" si="784"/>
        <v>0.79592447113300402</v>
      </c>
      <c r="FH174" s="32">
        <f t="shared" si="785"/>
        <v>0.88769207807539585</v>
      </c>
      <c r="FI174" s="32">
        <f t="shared" si="786"/>
        <v>1</v>
      </c>
      <c r="FK174" s="32">
        <f t="shared" si="847"/>
        <v>0.10524164983078575</v>
      </c>
      <c r="FL174" s="32">
        <f t="shared" si="787"/>
        <v>0.18259507443150491</v>
      </c>
      <c r="FM174" s="32">
        <f t="shared" si="788"/>
        <v>0.24516026800257792</v>
      </c>
      <c r="FN174" s="32">
        <f t="shared" si="789"/>
        <v>0.31041531250601684</v>
      </c>
      <c r="FO174" s="32">
        <f t="shared" si="790"/>
        <v>0.3741719893328968</v>
      </c>
      <c r="FP174" s="32">
        <f t="shared" si="791"/>
        <v>0.46851203203016595</v>
      </c>
      <c r="FQ174" s="32">
        <f t="shared" si="792"/>
        <v>0.53429109167466893</v>
      </c>
      <c r="FR174" s="32">
        <f t="shared" si="793"/>
        <v>0.60824815134209009</v>
      </c>
      <c r="FS174" s="32">
        <f t="shared" si="794"/>
        <v>0.67886123993093683</v>
      </c>
      <c r="FT174" s="32">
        <f t="shared" si="795"/>
        <v>0.80484666385866177</v>
      </c>
      <c r="FU174" s="32">
        <f t="shared" si="796"/>
        <v>0.89056362462842953</v>
      </c>
      <c r="FV174" s="32">
        <f t="shared" si="797"/>
        <v>1</v>
      </c>
      <c r="FX174" s="32">
        <f t="shared" si="798"/>
        <v>8.6877737169798866E-2</v>
      </c>
      <c r="FY174" s="32">
        <f t="shared" si="799"/>
        <v>0.16133180457674293</v>
      </c>
      <c r="FZ174" s="32">
        <f t="shared" si="800"/>
        <v>0.22433305811390494</v>
      </c>
      <c r="GA174" s="32">
        <f t="shared" si="801"/>
        <v>0.28873633703862439</v>
      </c>
      <c r="GB174" s="32">
        <f t="shared" si="802"/>
        <v>0.35617232967430734</v>
      </c>
      <c r="GC174" s="32">
        <f t="shared" si="803"/>
        <v>0.44717780766816001</v>
      </c>
      <c r="GD174" s="32">
        <f t="shared" si="804"/>
        <v>0.52972102740307225</v>
      </c>
      <c r="GE174" s="32">
        <f t="shared" si="805"/>
        <v>0.60989140841268441</v>
      </c>
      <c r="GF174" s="32">
        <f t="shared" si="806"/>
        <v>0.68566630153077124</v>
      </c>
      <c r="GG174" s="32">
        <f t="shared" si="807"/>
        <v>0.80970035993870881</v>
      </c>
      <c r="GH174" s="32">
        <f t="shared" si="808"/>
        <v>0.89365643558884678</v>
      </c>
      <c r="GI174" s="32">
        <f t="shared" si="809"/>
        <v>1</v>
      </c>
    </row>
    <row r="175" spans="1:191">
      <c r="A175" s="724" t="s">
        <v>99</v>
      </c>
      <c r="B175" s="400">
        <v>170.15</v>
      </c>
      <c r="C175" s="400">
        <v>979.96999999999991</v>
      </c>
      <c r="D175" s="400">
        <v>559.99</v>
      </c>
      <c r="E175" s="400">
        <v>684.45</v>
      </c>
      <c r="F175" s="400">
        <v>844.24</v>
      </c>
      <c r="G175" s="400">
        <v>1454.0900000000001</v>
      </c>
      <c r="H175" s="400">
        <v>929.63</v>
      </c>
      <c r="I175" s="400">
        <v>932.40000000000009</v>
      </c>
      <c r="J175" s="400">
        <v>625.07000000000005</v>
      </c>
      <c r="K175" s="400">
        <v>356.38</v>
      </c>
      <c r="L175" s="400">
        <v>1951.82</v>
      </c>
      <c r="M175" s="400">
        <v>715.40000000000009</v>
      </c>
      <c r="N175" s="400">
        <f t="shared" si="737"/>
        <v>10203.59</v>
      </c>
      <c r="P175" s="396" t="s">
        <v>99</v>
      </c>
      <c r="Q175" s="400">
        <v>202.88</v>
      </c>
      <c r="R175" s="400">
        <v>302.13</v>
      </c>
      <c r="S175" s="400">
        <v>129.82999999999998</v>
      </c>
      <c r="T175" s="400">
        <v>0</v>
      </c>
      <c r="U175" s="400">
        <v>265.57</v>
      </c>
      <c r="V175" s="400">
        <v>161.03000000000003</v>
      </c>
      <c r="W175" s="400">
        <v>16.73</v>
      </c>
      <c r="X175" s="400">
        <v>346.51</v>
      </c>
      <c r="Y175" s="400">
        <v>777.07999999999993</v>
      </c>
      <c r="Z175" s="400">
        <v>281.47999999999996</v>
      </c>
      <c r="AA175" s="400">
        <v>756.89</v>
      </c>
      <c r="AB175" s="400">
        <v>326.8</v>
      </c>
      <c r="AC175" s="400">
        <f t="shared" si="738"/>
        <v>3566.93</v>
      </c>
      <c r="AE175" s="127" t="s">
        <v>99</v>
      </c>
      <c r="AF175" s="27">
        <v>641.53</v>
      </c>
      <c r="AG175" s="27">
        <v>391.06999999999994</v>
      </c>
      <c r="AH175" s="27">
        <v>103.86</v>
      </c>
      <c r="AI175" s="27">
        <v>381.87</v>
      </c>
      <c r="AJ175" s="27">
        <v>0</v>
      </c>
      <c r="AK175" s="27">
        <v>1865.0300000000002</v>
      </c>
      <c r="AL175" s="27">
        <v>1436.45</v>
      </c>
      <c r="AM175" s="27">
        <v>331.90999999999997</v>
      </c>
      <c r="AN175" s="27">
        <v>214.61999999999998</v>
      </c>
      <c r="AO175" s="27">
        <v>387.22999999999996</v>
      </c>
      <c r="AP175" s="27">
        <v>377.54</v>
      </c>
      <c r="AQ175" s="27">
        <v>745.9</v>
      </c>
      <c r="AR175" s="43">
        <f t="shared" si="739"/>
        <v>6877.0099999999993</v>
      </c>
      <c r="AT175" s="60" t="s">
        <v>99</v>
      </c>
      <c r="AU175" s="27">
        <v>591.26</v>
      </c>
      <c r="AV175" s="27">
        <v>591.02</v>
      </c>
      <c r="AW175" s="27">
        <v>640.87</v>
      </c>
      <c r="AX175" s="27">
        <v>358.91999999999996</v>
      </c>
      <c r="AY175" s="27">
        <v>214.13</v>
      </c>
      <c r="AZ175" s="27">
        <v>367.74</v>
      </c>
      <c r="BA175" s="27">
        <v>771.56999999999994</v>
      </c>
      <c r="BB175" s="27">
        <v>171.59</v>
      </c>
      <c r="BC175" s="27">
        <v>502.32</v>
      </c>
      <c r="BD175" s="27">
        <v>0</v>
      </c>
      <c r="BE175" s="27">
        <v>278.31</v>
      </c>
      <c r="BF175" s="27">
        <v>65.13</v>
      </c>
      <c r="BG175" s="43">
        <f t="shared" si="699"/>
        <v>4552.8600000000006</v>
      </c>
      <c r="BI175" s="60" t="s">
        <v>99</v>
      </c>
      <c r="BJ175" s="27">
        <v>429.16999999999996</v>
      </c>
      <c r="BK175" s="27">
        <v>231.91</v>
      </c>
      <c r="BL175" s="27">
        <v>423.48</v>
      </c>
      <c r="BM175" s="27">
        <v>292.92</v>
      </c>
      <c r="BN175" s="27">
        <v>27.310000000000002</v>
      </c>
      <c r="BO175" s="27">
        <v>166.55</v>
      </c>
      <c r="BP175" s="27">
        <v>522.75</v>
      </c>
      <c r="BQ175" s="27">
        <v>323.45000000000005</v>
      </c>
      <c r="BR175" s="27">
        <v>201.58</v>
      </c>
      <c r="BS175" s="27">
        <v>732.41</v>
      </c>
      <c r="BT175" s="27">
        <v>1127.1500000000001</v>
      </c>
      <c r="BU175" s="27">
        <v>839.03</v>
      </c>
      <c r="BV175" s="43">
        <f t="shared" si="700"/>
        <v>5317.71</v>
      </c>
      <c r="BW175" s="405"/>
      <c r="BX175" s="32">
        <f t="shared" si="810"/>
        <v>1.6675503425755054E-2</v>
      </c>
      <c r="BY175" s="32">
        <f t="shared" si="811"/>
        <v>0.1127171907142486</v>
      </c>
      <c r="BZ175" s="32">
        <f t="shared" si="812"/>
        <v>0.16759885491282969</v>
      </c>
      <c r="CA175" s="32">
        <f t="shared" si="813"/>
        <v>0.23467818679503977</v>
      </c>
      <c r="CB175" s="32">
        <f t="shared" si="814"/>
        <v>0.31741769318445762</v>
      </c>
      <c r="CC175" s="32">
        <f t="shared" si="815"/>
        <v>0.45992537920477011</v>
      </c>
      <c r="CD175" s="32">
        <f t="shared" si="816"/>
        <v>0.55103350879445379</v>
      </c>
      <c r="CE175" s="32">
        <f t="shared" si="817"/>
        <v>0.64241311146371027</v>
      </c>
      <c r="CF175" s="32">
        <f t="shared" si="818"/>
        <v>0.70367292296142825</v>
      </c>
      <c r="CG175" s="32">
        <f t="shared" si="819"/>
        <v>0.73859984574056781</v>
      </c>
      <c r="CH175" s="32">
        <f t="shared" si="820"/>
        <v>0.92988742197599084</v>
      </c>
      <c r="CI175" s="32">
        <f t="shared" si="821"/>
        <v>1</v>
      </c>
      <c r="CJ175" s="405"/>
      <c r="CK175" s="32">
        <f t="shared" si="822"/>
        <v>5.6878043583698031E-2</v>
      </c>
      <c r="CL175" s="32">
        <f t="shared" si="823"/>
        <v>0.14158113559839974</v>
      </c>
      <c r="CM175" s="32">
        <f t="shared" si="824"/>
        <v>0.17797938283061343</v>
      </c>
      <c r="CN175" s="32">
        <f t="shared" si="825"/>
        <v>0.17797938283061343</v>
      </c>
      <c r="CO175" s="32">
        <f t="shared" si="826"/>
        <v>0.25243276430992473</v>
      </c>
      <c r="CP175" s="32">
        <f t="shared" si="827"/>
        <v>0.29757802928568822</v>
      </c>
      <c r="CQ175" s="32">
        <f t="shared" si="828"/>
        <v>0.30226833719753399</v>
      </c>
      <c r="CR175" s="32">
        <f t="shared" si="829"/>
        <v>0.39941350124616964</v>
      </c>
      <c r="CS175" s="32">
        <f t="shared" si="830"/>
        <v>0.61727031368712026</v>
      </c>
      <c r="CT175" s="32">
        <f t="shared" si="831"/>
        <v>0.69618411350937637</v>
      </c>
      <c r="CU175" s="32">
        <f t="shared" si="832"/>
        <v>0.90838059619897216</v>
      </c>
      <c r="CV175" s="32">
        <f t="shared" si="833"/>
        <v>1</v>
      </c>
      <c r="CX175" s="32">
        <f t="shared" si="834"/>
        <v>9.3286181058337858E-2</v>
      </c>
      <c r="CY175" s="32">
        <f t="shared" si="835"/>
        <v>0.15015246451582884</v>
      </c>
      <c r="CZ175" s="32">
        <f t="shared" si="836"/>
        <v>0.16525495818677011</v>
      </c>
      <c r="DA175" s="32">
        <f t="shared" si="837"/>
        <v>0.2207834509474321</v>
      </c>
      <c r="DB175" s="32">
        <f t="shared" si="838"/>
        <v>0.2207834509474321</v>
      </c>
      <c r="DC175" s="32">
        <f t="shared" si="839"/>
        <v>0.49198125348080057</v>
      </c>
      <c r="DD175" s="32">
        <f t="shared" si="840"/>
        <v>0.70085836722645467</v>
      </c>
      <c r="DE175" s="32">
        <f t="shared" si="841"/>
        <v>0.7491220748552061</v>
      </c>
      <c r="DF175" s="32">
        <f t="shared" si="842"/>
        <v>0.78033040521971042</v>
      </c>
      <c r="DG175" s="32">
        <f t="shared" si="843"/>
        <v>0.8366383064733075</v>
      </c>
      <c r="DH175" s="32">
        <f t="shared" si="844"/>
        <v>0.89153716513426629</v>
      </c>
      <c r="DI175" s="32">
        <f t="shared" si="845"/>
        <v>1</v>
      </c>
      <c r="DK175" s="32">
        <f t="shared" si="740"/>
        <v>0.12986562292712711</v>
      </c>
      <c r="DL175" s="32">
        <f t="shared" si="741"/>
        <v>0.25967853173609551</v>
      </c>
      <c r="DM175" s="32">
        <f t="shared" si="742"/>
        <v>0.40044060217094307</v>
      </c>
      <c r="DN175" s="32">
        <f t="shared" si="743"/>
        <v>0.47927456587727274</v>
      </c>
      <c r="DO175" s="32">
        <f t="shared" si="744"/>
        <v>0.52630654138277921</v>
      </c>
      <c r="DP175" s="32">
        <f t="shared" si="745"/>
        <v>0.60707774893144095</v>
      </c>
      <c r="DQ175" s="32">
        <f t="shared" si="746"/>
        <v>0.77654704954687814</v>
      </c>
      <c r="DR175" s="32">
        <f t="shared" si="747"/>
        <v>0.81423544760875577</v>
      </c>
      <c r="DS175" s="32">
        <f t="shared" si="748"/>
        <v>0.9245660969149061</v>
      </c>
      <c r="DT175" s="32">
        <f t="shared" si="749"/>
        <v>0.9245660969149061</v>
      </c>
      <c r="DU175" s="32">
        <f t="shared" si="750"/>
        <v>0.98569470618468391</v>
      </c>
      <c r="DV175" s="32">
        <f t="shared" si="751"/>
        <v>1</v>
      </c>
      <c r="DW175" s="39"/>
      <c r="DX175" s="32">
        <f t="shared" si="752"/>
        <v>8.0705792530995482E-2</v>
      </c>
      <c r="DY175" s="32">
        <f t="shared" si="753"/>
        <v>0.12431667014560778</v>
      </c>
      <c r="DZ175" s="32">
        <f t="shared" si="754"/>
        <v>0.20395245321764444</v>
      </c>
      <c r="EA175" s="32">
        <f t="shared" si="755"/>
        <v>0.25903631450379955</v>
      </c>
      <c r="EB175" s="32">
        <f t="shared" si="756"/>
        <v>0.26417198380505896</v>
      </c>
      <c r="EC175" s="32">
        <f t="shared" si="757"/>
        <v>0.29549185645700871</v>
      </c>
      <c r="ED175" s="32">
        <f t="shared" si="758"/>
        <v>0.39379544954501094</v>
      </c>
      <c r="EE175" s="32">
        <f t="shared" si="759"/>
        <v>0.4546205039387255</v>
      </c>
      <c r="EF175" s="32">
        <f t="shared" si="760"/>
        <v>0.49252779862008267</v>
      </c>
      <c r="EG175" s="32">
        <f t="shared" si="761"/>
        <v>0.63025813743133785</v>
      </c>
      <c r="EH175" s="32">
        <f t="shared" si="762"/>
        <v>0.84221967726709435</v>
      </c>
      <c r="EI175" s="32">
        <f t="shared" si="763"/>
        <v>1</v>
      </c>
      <c r="EK175" s="32">
        <f t="shared" si="846"/>
        <v>0.10128586550548681</v>
      </c>
      <c r="EL175" s="32">
        <f t="shared" si="764"/>
        <v>0.1780492221325107</v>
      </c>
      <c r="EM175" s="32">
        <f t="shared" si="765"/>
        <v>0.25654933785845252</v>
      </c>
      <c r="EN175" s="32">
        <f t="shared" si="766"/>
        <v>0.31969811044283475</v>
      </c>
      <c r="EO175" s="32">
        <f t="shared" si="767"/>
        <v>0.33708732537842345</v>
      </c>
      <c r="EP175" s="32">
        <f t="shared" si="768"/>
        <v>0.46485028628975006</v>
      </c>
      <c r="EQ175" s="32">
        <f t="shared" si="769"/>
        <v>0.6237336221061146</v>
      </c>
      <c r="ER175" s="32">
        <f t="shared" si="770"/>
        <v>0.67265934213422918</v>
      </c>
      <c r="ES175" s="32">
        <f t="shared" si="771"/>
        <v>0.7324747669182331</v>
      </c>
      <c r="ET175" s="32">
        <f t="shared" si="772"/>
        <v>0.79715418027318385</v>
      </c>
      <c r="EU175" s="32">
        <f t="shared" si="773"/>
        <v>0.90648384952868144</v>
      </c>
      <c r="EV175" s="32">
        <f t="shared" si="774"/>
        <v>1</v>
      </c>
      <c r="EX175" s="32">
        <f t="shared" si="775"/>
        <v>9.0183910025039615E-2</v>
      </c>
      <c r="EY175" s="32">
        <f t="shared" si="776"/>
        <v>0.16893220049898294</v>
      </c>
      <c r="EZ175" s="32">
        <f t="shared" si="777"/>
        <v>0.23690684910149276</v>
      </c>
      <c r="FA175" s="32">
        <f t="shared" si="778"/>
        <v>0.28426842853977946</v>
      </c>
      <c r="FB175" s="32">
        <f t="shared" si="779"/>
        <v>0.3159236851112987</v>
      </c>
      <c r="FC175" s="32">
        <f t="shared" si="780"/>
        <v>0.42303222203873458</v>
      </c>
      <c r="FD175" s="32">
        <f t="shared" si="781"/>
        <v>0.54336730087896945</v>
      </c>
      <c r="FE175" s="32">
        <f t="shared" si="782"/>
        <v>0.60434788191221422</v>
      </c>
      <c r="FF175" s="32">
        <f t="shared" si="783"/>
        <v>0.70367365361045486</v>
      </c>
      <c r="FG175" s="32">
        <f t="shared" si="784"/>
        <v>0.77191166358223195</v>
      </c>
      <c r="FH175" s="32">
        <f t="shared" si="785"/>
        <v>0.90695803619625415</v>
      </c>
      <c r="FI175" s="32">
        <f t="shared" si="786"/>
        <v>1</v>
      </c>
      <c r="FK175" s="32">
        <f t="shared" si="847"/>
        <v>9.3343282523054336E-2</v>
      </c>
      <c r="FL175" s="32">
        <f t="shared" si="787"/>
        <v>0.18380404395010799</v>
      </c>
      <c r="FM175" s="32">
        <f t="shared" si="788"/>
        <v>0.24789164772944219</v>
      </c>
      <c r="FN175" s="32">
        <f t="shared" si="789"/>
        <v>0.29267913321843941</v>
      </c>
      <c r="FO175" s="32">
        <f t="shared" si="790"/>
        <v>0.33317425221337871</v>
      </c>
      <c r="FP175" s="32">
        <f t="shared" si="791"/>
        <v>0.46554567723264323</v>
      </c>
      <c r="FQ175" s="32">
        <f t="shared" si="792"/>
        <v>0.5932245846569556</v>
      </c>
      <c r="FR175" s="32">
        <f t="shared" si="793"/>
        <v>0.65425700790337715</v>
      </c>
      <c r="FS175" s="32">
        <f t="shared" si="794"/>
        <v>0.77405560527391215</v>
      </c>
      <c r="FT175" s="32">
        <f t="shared" si="795"/>
        <v>0.81912950563252995</v>
      </c>
      <c r="FU175" s="32">
        <f t="shared" si="796"/>
        <v>0.9285374891726409</v>
      </c>
      <c r="FV175" s="32">
        <f t="shared" si="797"/>
        <v>1</v>
      </c>
      <c r="FX175" s="32">
        <f t="shared" si="798"/>
        <v>5.5613242689263646E-2</v>
      </c>
      <c r="FY175" s="32">
        <f t="shared" si="799"/>
        <v>0.13481693027615904</v>
      </c>
      <c r="FZ175" s="32">
        <f t="shared" si="800"/>
        <v>0.17027773197673776</v>
      </c>
      <c r="GA175" s="32">
        <f t="shared" si="801"/>
        <v>0.21114700685769514</v>
      </c>
      <c r="GB175" s="32">
        <f t="shared" si="802"/>
        <v>0.26354463614727147</v>
      </c>
      <c r="GC175" s="32">
        <f t="shared" si="803"/>
        <v>0.416494887323753</v>
      </c>
      <c r="GD175" s="32">
        <f t="shared" si="804"/>
        <v>0.51805340440614744</v>
      </c>
      <c r="GE175" s="32">
        <f t="shared" si="805"/>
        <v>0.59698289585502862</v>
      </c>
      <c r="GF175" s="32">
        <f t="shared" si="806"/>
        <v>0.70042454728941961</v>
      </c>
      <c r="GG175" s="32">
        <f t="shared" si="807"/>
        <v>0.75714075524108393</v>
      </c>
      <c r="GH175" s="32">
        <f t="shared" si="808"/>
        <v>0.90993506110307643</v>
      </c>
      <c r="GI175" s="32">
        <f t="shared" si="809"/>
        <v>1</v>
      </c>
    </row>
    <row r="176" spans="1:191">
      <c r="A176" s="724" t="s">
        <v>100</v>
      </c>
      <c r="B176" s="400">
        <v>46360.770000000382</v>
      </c>
      <c r="C176" s="400">
        <v>30641.5</v>
      </c>
      <c r="D176" s="400">
        <v>30981.97</v>
      </c>
      <c r="E176" s="400">
        <v>35133.5</v>
      </c>
      <c r="F176" s="400">
        <v>36829.979999999996</v>
      </c>
      <c r="G176" s="400">
        <v>49629.94</v>
      </c>
      <c r="H176" s="400">
        <v>56133.880000000005</v>
      </c>
      <c r="I176" s="400">
        <v>50221.86</v>
      </c>
      <c r="J176" s="400">
        <v>43464.54</v>
      </c>
      <c r="K176" s="400">
        <v>38379.049999999996</v>
      </c>
      <c r="L176" s="400">
        <v>42833.35</v>
      </c>
      <c r="M176" s="400">
        <v>58850.49</v>
      </c>
      <c r="N176" s="400">
        <f t="shared" si="737"/>
        <v>519460.83000000031</v>
      </c>
      <c r="P176" s="396" t="s">
        <v>100</v>
      </c>
      <c r="Q176" s="400">
        <v>23286.840000000004</v>
      </c>
      <c r="R176" s="400">
        <v>18335.409999999996</v>
      </c>
      <c r="S176" s="400">
        <v>14715.919999999998</v>
      </c>
      <c r="T176" s="400">
        <v>9436.07</v>
      </c>
      <c r="U176" s="400">
        <v>10681.719999999998</v>
      </c>
      <c r="V176" s="400">
        <v>14276.470000000001</v>
      </c>
      <c r="W176" s="400">
        <v>14313.54</v>
      </c>
      <c r="X176" s="400">
        <v>17848.43</v>
      </c>
      <c r="Y176" s="400">
        <v>23161.06</v>
      </c>
      <c r="Z176" s="400">
        <v>23456.560000000001</v>
      </c>
      <c r="AA176" s="400">
        <v>26768.59</v>
      </c>
      <c r="AB176" s="400">
        <v>28445.589999999997</v>
      </c>
      <c r="AC176" s="400">
        <f t="shared" si="738"/>
        <v>224726.19999999998</v>
      </c>
      <c r="AE176" s="127" t="s">
        <v>100</v>
      </c>
      <c r="AF176" s="27">
        <v>27316.519999999997</v>
      </c>
      <c r="AG176" s="27">
        <v>22412.699999999997</v>
      </c>
      <c r="AH176" s="27">
        <v>19511.59</v>
      </c>
      <c r="AI176" s="27">
        <v>16203.84</v>
      </c>
      <c r="AJ176" s="27">
        <v>19043.469999999998</v>
      </c>
      <c r="AK176" s="27">
        <v>19339.079999999998</v>
      </c>
      <c r="AL176" s="27">
        <v>19756.440000000002</v>
      </c>
      <c r="AM176" s="27">
        <v>24212.42</v>
      </c>
      <c r="AN176" s="27">
        <v>18606.600000000002</v>
      </c>
      <c r="AO176" s="27">
        <v>27588.62</v>
      </c>
      <c r="AP176" s="27">
        <v>19574.409999999996</v>
      </c>
      <c r="AQ176" s="27">
        <v>28531.079999999998</v>
      </c>
      <c r="AR176" s="43">
        <f t="shared" si="739"/>
        <v>262096.77</v>
      </c>
      <c r="AT176" s="60" t="s">
        <v>100</v>
      </c>
      <c r="AU176" s="27">
        <v>25206</v>
      </c>
      <c r="AV176" s="27">
        <v>24300.18</v>
      </c>
      <c r="AW176" s="27">
        <v>20486.64</v>
      </c>
      <c r="AX176" s="27">
        <v>19694.62</v>
      </c>
      <c r="AY176" s="27">
        <v>16056.090000000004</v>
      </c>
      <c r="AZ176" s="27">
        <v>19167.88</v>
      </c>
      <c r="BA176" s="27">
        <v>20964.580000000002</v>
      </c>
      <c r="BB176" s="27">
        <v>20686.019999999997</v>
      </c>
      <c r="BC176" s="27">
        <v>19102.05</v>
      </c>
      <c r="BD176" s="27">
        <v>21638.33</v>
      </c>
      <c r="BE176" s="27">
        <v>21191.94</v>
      </c>
      <c r="BF176" s="27">
        <v>24507.47</v>
      </c>
      <c r="BG176" s="43">
        <f t="shared" si="699"/>
        <v>253001.79999999996</v>
      </c>
      <c r="BI176" s="60" t="s">
        <v>100</v>
      </c>
      <c r="BJ176" s="27">
        <v>19882.54</v>
      </c>
      <c r="BK176" s="27">
        <v>19280.04</v>
      </c>
      <c r="BL176" s="27">
        <v>21992.210000000003</v>
      </c>
      <c r="BM176" s="27">
        <v>16847.349999999999</v>
      </c>
      <c r="BN176" s="27">
        <v>17451.100000000002</v>
      </c>
      <c r="BO176" s="27">
        <v>23351.850000000002</v>
      </c>
      <c r="BP176" s="27">
        <v>24320.760000000002</v>
      </c>
      <c r="BQ176" s="27">
        <v>27017.820000000003</v>
      </c>
      <c r="BR176" s="27">
        <v>21716.239999999998</v>
      </c>
      <c r="BS176" s="27">
        <v>26536.5</v>
      </c>
      <c r="BT176" s="27">
        <v>30623.34</v>
      </c>
      <c r="BU176" s="27">
        <v>33568.11</v>
      </c>
      <c r="BV176" s="43">
        <f t="shared" si="700"/>
        <v>282587.86000000004</v>
      </c>
      <c r="BW176" s="405"/>
      <c r="BX176" s="32">
        <f t="shared" si="810"/>
        <v>8.9247864944889788E-2</v>
      </c>
      <c r="BY176" s="32">
        <f t="shared" si="811"/>
        <v>0.14823498818958175</v>
      </c>
      <c r="BZ176" s="32">
        <f t="shared" si="812"/>
        <v>0.20787754102653</v>
      </c>
      <c r="CA176" s="32">
        <f t="shared" si="813"/>
        <v>0.27551209202819066</v>
      </c>
      <c r="CB176" s="32">
        <f t="shared" si="814"/>
        <v>0.34641249081283043</v>
      </c>
      <c r="CC176" s="32">
        <f t="shared" si="815"/>
        <v>0.4419537465413903</v>
      </c>
      <c r="CD176" s="32">
        <f t="shared" si="816"/>
        <v>0.55001556132730978</v>
      </c>
      <c r="CE176" s="32">
        <f t="shared" si="817"/>
        <v>0.64669630624507368</v>
      </c>
      <c r="CF176" s="32">
        <f t="shared" si="818"/>
        <v>0.73036871711770857</v>
      </c>
      <c r="CG176" s="32">
        <f t="shared" si="819"/>
        <v>0.80425118867961631</v>
      </c>
      <c r="CH176" s="32">
        <f t="shared" si="820"/>
        <v>0.88670851274772733</v>
      </c>
      <c r="CI176" s="32">
        <f t="shared" si="821"/>
        <v>1</v>
      </c>
      <c r="CJ176" s="405"/>
      <c r="CK176" s="32">
        <f t="shared" si="822"/>
        <v>0.10362316454423207</v>
      </c>
      <c r="CL176" s="32">
        <f t="shared" si="823"/>
        <v>0.18521316161622456</v>
      </c>
      <c r="CM176" s="32">
        <f t="shared" si="824"/>
        <v>0.25069693698376072</v>
      </c>
      <c r="CN176" s="32">
        <f t="shared" si="825"/>
        <v>0.29268612204540456</v>
      </c>
      <c r="CO176" s="32">
        <f t="shared" si="826"/>
        <v>0.34021827450470837</v>
      </c>
      <c r="CP176" s="32">
        <f t="shared" si="827"/>
        <v>0.40374655914619656</v>
      </c>
      <c r="CQ176" s="32">
        <f t="shared" si="828"/>
        <v>0.46743980007671559</v>
      </c>
      <c r="CR176" s="32">
        <f t="shared" si="829"/>
        <v>0.54686280460400261</v>
      </c>
      <c r="CS176" s="32">
        <f t="shared" si="830"/>
        <v>0.6499262658292625</v>
      </c>
      <c r="CT176" s="32">
        <f t="shared" si="831"/>
        <v>0.75430466051577427</v>
      </c>
      <c r="CU176" s="32">
        <f t="shared" si="832"/>
        <v>0.87342112312672038</v>
      </c>
      <c r="CV176" s="32">
        <f t="shared" si="833"/>
        <v>1</v>
      </c>
      <c r="CX176" s="32">
        <f t="shared" si="834"/>
        <v>0.10422303182141465</v>
      </c>
      <c r="CY176" s="32">
        <f t="shared" si="835"/>
        <v>0.18973610395885457</v>
      </c>
      <c r="CZ176" s="32">
        <f t="shared" si="836"/>
        <v>0.26418032545765446</v>
      </c>
      <c r="DA176" s="32">
        <f t="shared" si="837"/>
        <v>0.32600420829299043</v>
      </c>
      <c r="DB176" s="32">
        <f t="shared" si="838"/>
        <v>0.3986623719170595</v>
      </c>
      <c r="DC176" s="32">
        <f t="shared" si="839"/>
        <v>0.47244840140532829</v>
      </c>
      <c r="DD176" s="32">
        <f t="shared" si="840"/>
        <v>0.54782681984215231</v>
      </c>
      <c r="DE176" s="32">
        <f t="shared" si="841"/>
        <v>0.64020651608945811</v>
      </c>
      <c r="DF176" s="32">
        <f t="shared" si="842"/>
        <v>0.71119785260993496</v>
      </c>
      <c r="DG176" s="32">
        <f t="shared" si="843"/>
        <v>0.81645905060180635</v>
      </c>
      <c r="DH176" s="32">
        <f t="shared" si="844"/>
        <v>0.89114295456597958</v>
      </c>
      <c r="DI176" s="32">
        <f t="shared" si="845"/>
        <v>1</v>
      </c>
      <c r="DK176" s="32">
        <f t="shared" si="740"/>
        <v>9.9627749683994363E-2</v>
      </c>
      <c r="DL176" s="32">
        <f t="shared" si="741"/>
        <v>0.19567520863487931</v>
      </c>
      <c r="DM176" s="32">
        <f t="shared" si="742"/>
        <v>0.27664949419332202</v>
      </c>
      <c r="DN176" s="32">
        <f t="shared" si="743"/>
        <v>0.35449328819004455</v>
      </c>
      <c r="DO176" s="32">
        <f t="shared" si="744"/>
        <v>0.41795564300333049</v>
      </c>
      <c r="DP176" s="32">
        <f t="shared" si="745"/>
        <v>0.49371747552784218</v>
      </c>
      <c r="DQ176" s="32">
        <f t="shared" si="746"/>
        <v>0.57658083855529885</v>
      </c>
      <c r="DR176" s="32">
        <f t="shared" si="747"/>
        <v>0.65834318174811413</v>
      </c>
      <c r="DS176" s="32">
        <f t="shared" si="748"/>
        <v>0.73384481849536243</v>
      </c>
      <c r="DT176" s="32">
        <f t="shared" si="749"/>
        <v>0.81937120605466041</v>
      </c>
      <c r="DU176" s="32">
        <f t="shared" si="750"/>
        <v>0.90313321881504394</v>
      </c>
      <c r="DV176" s="32">
        <f t="shared" si="751"/>
        <v>1</v>
      </c>
      <c r="DW176" s="39"/>
      <c r="DX176" s="32">
        <f t="shared" si="752"/>
        <v>7.035879035992558E-2</v>
      </c>
      <c r="DY176" s="32">
        <f t="shared" si="753"/>
        <v>0.13858550045285029</v>
      </c>
      <c r="DZ176" s="32">
        <f t="shared" si="754"/>
        <v>0.21640982737191894</v>
      </c>
      <c r="EA176" s="32">
        <f t="shared" si="755"/>
        <v>0.27602792278479338</v>
      </c>
      <c r="EB176" s="32">
        <f t="shared" si="756"/>
        <v>0.33778252186771224</v>
      </c>
      <c r="EC176" s="32">
        <f t="shared" si="757"/>
        <v>0.42041823735810874</v>
      </c>
      <c r="ED176" s="32">
        <f t="shared" si="758"/>
        <v>0.50648265640286183</v>
      </c>
      <c r="EE176" s="32">
        <f t="shared" si="759"/>
        <v>0.602091222177768</v>
      </c>
      <c r="EF176" s="32">
        <f t="shared" si="760"/>
        <v>0.67893896786648944</v>
      </c>
      <c r="EG176" s="32">
        <f t="shared" si="761"/>
        <v>0.77284427575905068</v>
      </c>
      <c r="EH176" s="32">
        <f t="shared" si="762"/>
        <v>0.88121177604727952</v>
      </c>
      <c r="EI176" s="32">
        <f t="shared" si="763"/>
        <v>1</v>
      </c>
      <c r="EK176" s="32">
        <f t="shared" si="846"/>
        <v>9.1403190621778208E-2</v>
      </c>
      <c r="EL176" s="32">
        <f t="shared" si="764"/>
        <v>0.17466560434886139</v>
      </c>
      <c r="EM176" s="32">
        <f t="shared" si="765"/>
        <v>0.25241321567429847</v>
      </c>
      <c r="EN176" s="32">
        <f t="shared" si="766"/>
        <v>0.31884180642260945</v>
      </c>
      <c r="EO176" s="32">
        <f t="shared" si="767"/>
        <v>0.38480017892936741</v>
      </c>
      <c r="EP176" s="32">
        <f t="shared" si="768"/>
        <v>0.46219470476375973</v>
      </c>
      <c r="EQ176" s="32">
        <f t="shared" si="769"/>
        <v>0.54363010493343766</v>
      </c>
      <c r="ER176" s="32">
        <f t="shared" si="770"/>
        <v>0.63354697333844667</v>
      </c>
      <c r="ES176" s="32">
        <f t="shared" si="771"/>
        <v>0.70799387965726235</v>
      </c>
      <c r="ET176" s="32">
        <f t="shared" si="772"/>
        <v>0.80289151080517251</v>
      </c>
      <c r="EU176" s="32">
        <f t="shared" si="773"/>
        <v>0.89182931647610098</v>
      </c>
      <c r="EV176" s="32">
        <f t="shared" si="774"/>
        <v>1</v>
      </c>
      <c r="EX176" s="32">
        <f t="shared" si="775"/>
        <v>9.4458184102391651E-2</v>
      </c>
      <c r="EY176" s="32">
        <f t="shared" si="776"/>
        <v>0.17730249366570219</v>
      </c>
      <c r="EZ176" s="32">
        <f t="shared" si="777"/>
        <v>0.25198414600166408</v>
      </c>
      <c r="FA176" s="32">
        <f t="shared" si="778"/>
        <v>0.31230288532830819</v>
      </c>
      <c r="FB176" s="32">
        <f t="shared" si="779"/>
        <v>0.37365470282320268</v>
      </c>
      <c r="FC176" s="32">
        <f t="shared" si="780"/>
        <v>0.44758266835936894</v>
      </c>
      <c r="FD176" s="32">
        <f t="shared" si="781"/>
        <v>0.52458252871925715</v>
      </c>
      <c r="FE176" s="32">
        <f t="shared" si="782"/>
        <v>0.61187593115483574</v>
      </c>
      <c r="FF176" s="32">
        <f t="shared" si="783"/>
        <v>0.69347697620026227</v>
      </c>
      <c r="FG176" s="32">
        <f t="shared" si="784"/>
        <v>0.79074479823282295</v>
      </c>
      <c r="FH176" s="32">
        <f t="shared" si="785"/>
        <v>0.88722726813875585</v>
      </c>
      <c r="FI176" s="32">
        <f t="shared" si="786"/>
        <v>1</v>
      </c>
      <c r="FK176" s="32">
        <f t="shared" si="847"/>
        <v>0.10249131534988036</v>
      </c>
      <c r="FL176" s="32">
        <f t="shared" si="787"/>
        <v>0.19020815806998614</v>
      </c>
      <c r="FM176" s="32">
        <f t="shared" si="788"/>
        <v>0.26384225221157903</v>
      </c>
      <c r="FN176" s="32">
        <f t="shared" si="789"/>
        <v>0.32439453950947988</v>
      </c>
      <c r="FO176" s="32">
        <f t="shared" si="790"/>
        <v>0.38561209647503275</v>
      </c>
      <c r="FP176" s="32">
        <f t="shared" si="791"/>
        <v>0.45663747869312238</v>
      </c>
      <c r="FQ176" s="32">
        <f t="shared" si="792"/>
        <v>0.53061581949138892</v>
      </c>
      <c r="FR176" s="32">
        <f t="shared" si="793"/>
        <v>0.61513750081385821</v>
      </c>
      <c r="FS176" s="32">
        <f t="shared" si="794"/>
        <v>0.69832297897818663</v>
      </c>
      <c r="FT176" s="32">
        <f t="shared" si="795"/>
        <v>0.79671163905741371</v>
      </c>
      <c r="FU176" s="32">
        <f t="shared" si="796"/>
        <v>0.88923243216924808</v>
      </c>
      <c r="FV176" s="32">
        <f t="shared" si="797"/>
        <v>1</v>
      </c>
      <c r="FX176" s="32">
        <f t="shared" si="798"/>
        <v>9.903135377017884E-2</v>
      </c>
      <c r="FY176" s="32">
        <f t="shared" si="799"/>
        <v>0.17439475125488699</v>
      </c>
      <c r="FZ176" s="32">
        <f t="shared" si="800"/>
        <v>0.24091826782264839</v>
      </c>
      <c r="GA176" s="32">
        <f t="shared" si="801"/>
        <v>0.2980674741221952</v>
      </c>
      <c r="GB176" s="32">
        <f t="shared" si="802"/>
        <v>0.36176437907819947</v>
      </c>
      <c r="GC176" s="32">
        <f t="shared" si="803"/>
        <v>0.43938290236430505</v>
      </c>
      <c r="GD176" s="32">
        <f t="shared" si="804"/>
        <v>0.52176072708205912</v>
      </c>
      <c r="GE176" s="32">
        <f t="shared" si="805"/>
        <v>0.61125520897951147</v>
      </c>
      <c r="GF176" s="32">
        <f t="shared" si="806"/>
        <v>0.69716427851896867</v>
      </c>
      <c r="GG176" s="32">
        <f t="shared" si="807"/>
        <v>0.79167163326573231</v>
      </c>
      <c r="GH176" s="32">
        <f t="shared" si="808"/>
        <v>0.88375753014680913</v>
      </c>
      <c r="GI176" s="32">
        <f t="shared" si="809"/>
        <v>1</v>
      </c>
    </row>
    <row r="177" spans="1:191">
      <c r="A177" s="724" t="s">
        <v>101</v>
      </c>
      <c r="B177" s="400">
        <v>261295.64000000228</v>
      </c>
      <c r="C177" s="400">
        <v>249051.45</v>
      </c>
      <c r="D177" s="400">
        <v>225348.71999999997</v>
      </c>
      <c r="E177" s="400">
        <v>222327.33000000002</v>
      </c>
      <c r="F177" s="400">
        <v>256936.53</v>
      </c>
      <c r="G177" s="400">
        <v>426298.36</v>
      </c>
      <c r="H177" s="400">
        <v>401234.94999999995</v>
      </c>
      <c r="I177" s="400">
        <v>513482.7099999999</v>
      </c>
      <c r="J177" s="400">
        <v>355192.76</v>
      </c>
      <c r="K177" s="400">
        <v>324442.36</v>
      </c>
      <c r="L177" s="400">
        <v>355838.54999999987</v>
      </c>
      <c r="M177" s="400">
        <v>417261.69999999995</v>
      </c>
      <c r="N177" s="400">
        <f t="shared" si="737"/>
        <v>4008711.0600000015</v>
      </c>
      <c r="P177" s="396" t="s">
        <v>101</v>
      </c>
      <c r="Q177" s="400">
        <v>242858.30000000002</v>
      </c>
      <c r="R177" s="400">
        <v>192868.02000000002</v>
      </c>
      <c r="S177" s="400">
        <v>180342.47999999995</v>
      </c>
      <c r="T177" s="400">
        <v>98564.300000000017</v>
      </c>
      <c r="U177" s="400">
        <v>86136.48</v>
      </c>
      <c r="V177" s="400">
        <v>124701.80000000002</v>
      </c>
      <c r="W177" s="400">
        <v>186401.61000000004</v>
      </c>
      <c r="X177" s="400">
        <v>191166.16</v>
      </c>
      <c r="Y177" s="400">
        <v>204900.56999999998</v>
      </c>
      <c r="Z177" s="400">
        <v>222846.26</v>
      </c>
      <c r="AA177" s="400">
        <v>216047.76999999996</v>
      </c>
      <c r="AB177" s="400">
        <v>216759.54999999996</v>
      </c>
      <c r="AC177" s="400">
        <f t="shared" si="738"/>
        <v>2163593.3000000003</v>
      </c>
      <c r="AE177" s="127" t="s">
        <v>101</v>
      </c>
      <c r="AF177" s="27">
        <v>201480.96999999997</v>
      </c>
      <c r="AG177" s="27">
        <v>177872.01999999996</v>
      </c>
      <c r="AH177" s="27">
        <v>133083.97999999998</v>
      </c>
      <c r="AI177" s="27">
        <v>154355.25299999997</v>
      </c>
      <c r="AJ177" s="27">
        <v>163712.07999999999</v>
      </c>
      <c r="AK177" s="27">
        <v>145435.54999999999</v>
      </c>
      <c r="AL177" s="27">
        <v>364284.82000000007</v>
      </c>
      <c r="AM177" s="27">
        <v>359099.07</v>
      </c>
      <c r="AN177" s="27">
        <v>302538.58000000007</v>
      </c>
      <c r="AO177" s="27">
        <v>338203.02999999997</v>
      </c>
      <c r="AP177" s="27">
        <v>298125.02</v>
      </c>
      <c r="AQ177" s="27">
        <v>381315.9</v>
      </c>
      <c r="AR177" s="43">
        <f t="shared" si="739"/>
        <v>3019506.273</v>
      </c>
      <c r="AT177" s="60" t="s">
        <v>101</v>
      </c>
      <c r="AU177" s="27">
        <v>371474.49</v>
      </c>
      <c r="AV177" s="27">
        <v>231778.66999999998</v>
      </c>
      <c r="AW177" s="27">
        <v>129337.14</v>
      </c>
      <c r="AX177" s="27">
        <v>237933.15</v>
      </c>
      <c r="AY177" s="27">
        <v>145760.25</v>
      </c>
      <c r="AZ177" s="27">
        <v>165141.49000000005</v>
      </c>
      <c r="BA177" s="27">
        <v>194269.71</v>
      </c>
      <c r="BB177" s="27">
        <v>180706.38000000003</v>
      </c>
      <c r="BC177" s="27">
        <v>149407.53</v>
      </c>
      <c r="BD177" s="27">
        <v>205713.88</v>
      </c>
      <c r="BE177" s="27">
        <v>172583.83999999997</v>
      </c>
      <c r="BF177" s="27">
        <v>221494.94000000003</v>
      </c>
      <c r="BG177" s="43">
        <f t="shared" si="699"/>
        <v>2405601.4699999997</v>
      </c>
      <c r="BI177" s="60" t="s">
        <v>101</v>
      </c>
      <c r="BJ177" s="27">
        <v>353830.77</v>
      </c>
      <c r="BK177" s="27">
        <v>134829.67000000001</v>
      </c>
      <c r="BL177" s="27">
        <v>236366.44999999998</v>
      </c>
      <c r="BM177" s="27">
        <v>111216.18000000002</v>
      </c>
      <c r="BN177" s="27">
        <v>218493.93</v>
      </c>
      <c r="BO177" s="27">
        <v>175736.38</v>
      </c>
      <c r="BP177" s="27">
        <v>188837.28</v>
      </c>
      <c r="BQ177" s="27">
        <v>254618.71000000002</v>
      </c>
      <c r="BR177" s="27">
        <v>189813.6</v>
      </c>
      <c r="BS177" s="27">
        <v>421145.01000000007</v>
      </c>
      <c r="BT177" s="27">
        <v>308267.85000000003</v>
      </c>
      <c r="BU177" s="27">
        <v>175163.59</v>
      </c>
      <c r="BV177" s="43">
        <f t="shared" si="700"/>
        <v>2768319.42</v>
      </c>
      <c r="BW177" s="405"/>
      <c r="BX177" s="32">
        <f t="shared" si="810"/>
        <v>6.5181959011034879E-2</v>
      </c>
      <c r="BY177" s="32">
        <f t="shared" si="811"/>
        <v>0.12730952227821632</v>
      </c>
      <c r="BZ177" s="32">
        <f t="shared" si="812"/>
        <v>0.18352427974691746</v>
      </c>
      <c r="CA177" s="32">
        <f t="shared" si="813"/>
        <v>0.23898533111039483</v>
      </c>
      <c r="CB177" s="32">
        <f t="shared" si="814"/>
        <v>0.30307988074351305</v>
      </c>
      <c r="CC177" s="32">
        <f t="shared" si="815"/>
        <v>0.40942288068025573</v>
      </c>
      <c r="CD177" s="32">
        <f t="shared" si="816"/>
        <v>0.50951364401903321</v>
      </c>
      <c r="CE177" s="32">
        <f t="shared" si="817"/>
        <v>0.6376053678460929</v>
      </c>
      <c r="CF177" s="32">
        <f t="shared" si="818"/>
        <v>0.72621059648035624</v>
      </c>
      <c r="CG177" s="32">
        <f t="shared" si="819"/>
        <v>0.8071449305203855</v>
      </c>
      <c r="CH177" s="32">
        <f t="shared" si="820"/>
        <v>0.89591125582396069</v>
      </c>
      <c r="CI177" s="32">
        <f t="shared" si="821"/>
        <v>1</v>
      </c>
      <c r="CJ177" s="405"/>
      <c r="CK177" s="32">
        <f t="shared" si="822"/>
        <v>0.11224766687898322</v>
      </c>
      <c r="CL177" s="32">
        <f t="shared" si="823"/>
        <v>0.20139012262609612</v>
      </c>
      <c r="CM177" s="32">
        <f t="shared" si="824"/>
        <v>0.28474334802201501</v>
      </c>
      <c r="CN177" s="32">
        <f t="shared" si="825"/>
        <v>0.33029918330769464</v>
      </c>
      <c r="CO177" s="32">
        <f t="shared" si="826"/>
        <v>0.37011095384700998</v>
      </c>
      <c r="CP177" s="32">
        <f t="shared" si="827"/>
        <v>0.42774738672004575</v>
      </c>
      <c r="CQ177" s="32">
        <f t="shared" si="828"/>
        <v>0.51390110609050232</v>
      </c>
      <c r="CR177" s="32">
        <f t="shared" si="829"/>
        <v>0.60225697223225827</v>
      </c>
      <c r="CS177" s="32">
        <f t="shared" si="830"/>
        <v>0.69696080127443549</v>
      </c>
      <c r="CT177" s="32">
        <f t="shared" si="831"/>
        <v>0.79995902187347312</v>
      </c>
      <c r="CU177" s="32">
        <f t="shared" si="832"/>
        <v>0.89981502068803776</v>
      </c>
      <c r="CV177" s="32">
        <f t="shared" si="833"/>
        <v>1</v>
      </c>
      <c r="CX177" s="32">
        <f t="shared" si="834"/>
        <v>6.6726461806559056E-2</v>
      </c>
      <c r="CY177" s="32">
        <f t="shared" si="835"/>
        <v>0.12563411223620263</v>
      </c>
      <c r="CZ177" s="32">
        <f t="shared" si="836"/>
        <v>0.16970886087640855</v>
      </c>
      <c r="DA177" s="32">
        <f t="shared" si="837"/>
        <v>0.22082822909240563</v>
      </c>
      <c r="DB177" s="32">
        <f t="shared" si="838"/>
        <v>0.2750463910031426</v>
      </c>
      <c r="DC177" s="32">
        <f t="shared" si="839"/>
        <v>0.32321173223805383</v>
      </c>
      <c r="DD177" s="32">
        <f t="shared" si="840"/>
        <v>0.44385556837026646</v>
      </c>
      <c r="DE177" s="32">
        <f t="shared" si="841"/>
        <v>0.56278198796773948</v>
      </c>
      <c r="DF177" s="32">
        <f t="shared" si="842"/>
        <v>0.66297670612588921</v>
      </c>
      <c r="DG177" s="32">
        <f t="shared" si="843"/>
        <v>0.77498277580163855</v>
      </c>
      <c r="DH177" s="32">
        <f t="shared" si="844"/>
        <v>0.87371581128687392</v>
      </c>
      <c r="DI177" s="32">
        <f t="shared" si="845"/>
        <v>1</v>
      </c>
      <c r="DK177" s="32">
        <f t="shared" si="740"/>
        <v>0.1544206281184223</v>
      </c>
      <c r="DL177" s="32">
        <f t="shared" si="741"/>
        <v>0.25077019927161914</v>
      </c>
      <c r="DM177" s="32">
        <f t="shared" si="742"/>
        <v>0.30453518969623844</v>
      </c>
      <c r="DN177" s="32">
        <f t="shared" si="743"/>
        <v>0.40344315635956113</v>
      </c>
      <c r="DO177" s="32">
        <f t="shared" si="744"/>
        <v>0.4640351753692602</v>
      </c>
      <c r="DP177" s="32">
        <f t="shared" si="745"/>
        <v>0.53268390711450642</v>
      </c>
      <c r="DQ177" s="32">
        <f t="shared" si="746"/>
        <v>0.61344113661520172</v>
      </c>
      <c r="DR177" s="32">
        <f t="shared" si="747"/>
        <v>0.6885601379350671</v>
      </c>
      <c r="DS177" s="32">
        <f t="shared" si="748"/>
        <v>0.75066831830627379</v>
      </c>
      <c r="DT177" s="32">
        <f t="shared" si="749"/>
        <v>0.83618284869105941</v>
      </c>
      <c r="DU177" s="32">
        <f t="shared" si="750"/>
        <v>0.90792533893820748</v>
      </c>
      <c r="DV177" s="32">
        <f t="shared" si="751"/>
        <v>1</v>
      </c>
      <c r="DW177" s="39"/>
      <c r="DX177" s="32">
        <f t="shared" si="752"/>
        <v>0.12781428596848843</v>
      </c>
      <c r="DY177" s="32">
        <f t="shared" si="753"/>
        <v>0.17651880648946214</v>
      </c>
      <c r="DZ177" s="32">
        <f t="shared" si="754"/>
        <v>0.26190145716638435</v>
      </c>
      <c r="EA177" s="32">
        <f t="shared" si="755"/>
        <v>0.3020760769001144</v>
      </c>
      <c r="EB177" s="32">
        <f t="shared" si="756"/>
        <v>0.38100263733294187</v>
      </c>
      <c r="EC177" s="32">
        <f t="shared" si="757"/>
        <v>0.44448388835129432</v>
      </c>
      <c r="ED177" s="32">
        <f t="shared" si="758"/>
        <v>0.51269757736265853</v>
      </c>
      <c r="EE177" s="32">
        <f t="shared" si="759"/>
        <v>0.60467349176057139</v>
      </c>
      <c r="EF177" s="32">
        <f t="shared" si="760"/>
        <v>0.67323985683704091</v>
      </c>
      <c r="EG177" s="32">
        <f t="shared" si="761"/>
        <v>0.82537006513504141</v>
      </c>
      <c r="EH177" s="32">
        <f t="shared" si="762"/>
        <v>0.93672565790836382</v>
      </c>
      <c r="EI177" s="32">
        <f t="shared" si="763"/>
        <v>1</v>
      </c>
      <c r="EK177" s="32">
        <f t="shared" si="846"/>
        <v>0.11632045863115659</v>
      </c>
      <c r="EL177" s="32">
        <f t="shared" si="764"/>
        <v>0.18430770599909463</v>
      </c>
      <c r="EM177" s="32">
        <f t="shared" si="765"/>
        <v>0.24538183591301044</v>
      </c>
      <c r="EN177" s="32">
        <f t="shared" si="766"/>
        <v>0.30878248745069375</v>
      </c>
      <c r="EO177" s="32">
        <f t="shared" si="767"/>
        <v>0.37336140123511491</v>
      </c>
      <c r="EP177" s="32">
        <f t="shared" si="768"/>
        <v>0.4334598425679515</v>
      </c>
      <c r="EQ177" s="32">
        <f t="shared" si="769"/>
        <v>0.52333142744937555</v>
      </c>
      <c r="ER177" s="32">
        <f t="shared" si="770"/>
        <v>0.61867187255445932</v>
      </c>
      <c r="ES177" s="32">
        <f t="shared" si="771"/>
        <v>0.69562829375640123</v>
      </c>
      <c r="ET177" s="32">
        <f t="shared" si="772"/>
        <v>0.81217856320924653</v>
      </c>
      <c r="EU177" s="32">
        <f t="shared" si="773"/>
        <v>0.90612226937781504</v>
      </c>
      <c r="EV177" s="32">
        <f t="shared" si="774"/>
        <v>1</v>
      </c>
      <c r="EX177" s="32">
        <f t="shared" si="775"/>
        <v>0.11530226069311325</v>
      </c>
      <c r="EY177" s="32">
        <f t="shared" si="776"/>
        <v>0.18857831015584503</v>
      </c>
      <c r="EZ177" s="32">
        <f t="shared" si="777"/>
        <v>0.25522221394026157</v>
      </c>
      <c r="FA177" s="32">
        <f t="shared" si="778"/>
        <v>0.31416166141494395</v>
      </c>
      <c r="FB177" s="32">
        <f t="shared" si="779"/>
        <v>0.37254878938808866</v>
      </c>
      <c r="FC177" s="32">
        <f t="shared" si="780"/>
        <v>0.43203172860597505</v>
      </c>
      <c r="FD177" s="32">
        <f t="shared" si="781"/>
        <v>0.52097384710965722</v>
      </c>
      <c r="FE177" s="32">
        <f t="shared" si="782"/>
        <v>0.61456814747390909</v>
      </c>
      <c r="FF177" s="32">
        <f t="shared" si="783"/>
        <v>0.69596142063590982</v>
      </c>
      <c r="FG177" s="32">
        <f t="shared" si="784"/>
        <v>0.80912367787530315</v>
      </c>
      <c r="FH177" s="32">
        <f t="shared" si="785"/>
        <v>0.90454545720537072</v>
      </c>
      <c r="FI177" s="32">
        <f t="shared" si="786"/>
        <v>1</v>
      </c>
      <c r="FK177" s="32">
        <f t="shared" si="847"/>
        <v>0.11113158560132153</v>
      </c>
      <c r="FL177" s="32">
        <f t="shared" si="787"/>
        <v>0.19259814471130596</v>
      </c>
      <c r="FM177" s="32">
        <f t="shared" si="788"/>
        <v>0.25299579953155399</v>
      </c>
      <c r="FN177" s="32">
        <f t="shared" si="789"/>
        <v>0.31819018958655382</v>
      </c>
      <c r="FO177" s="32">
        <f t="shared" si="790"/>
        <v>0.36973084007313761</v>
      </c>
      <c r="FP177" s="32">
        <f t="shared" si="791"/>
        <v>0.42788100869086865</v>
      </c>
      <c r="FQ177" s="32">
        <f t="shared" si="792"/>
        <v>0.52373260369199015</v>
      </c>
      <c r="FR177" s="32">
        <f t="shared" si="793"/>
        <v>0.61786636604502165</v>
      </c>
      <c r="FS177" s="32">
        <f t="shared" si="794"/>
        <v>0.70353527523553294</v>
      </c>
      <c r="FT177" s="32">
        <f t="shared" si="795"/>
        <v>0.8037082154553904</v>
      </c>
      <c r="FU177" s="32">
        <f t="shared" si="796"/>
        <v>0.89381872363770631</v>
      </c>
      <c r="FV177" s="32">
        <f t="shared" si="797"/>
        <v>1</v>
      </c>
      <c r="FX177" s="32">
        <f t="shared" si="798"/>
        <v>8.1385362565525712E-2</v>
      </c>
      <c r="FY177" s="32">
        <f t="shared" si="799"/>
        <v>0.15144458571350503</v>
      </c>
      <c r="FZ177" s="32">
        <f t="shared" si="800"/>
        <v>0.21265882954844698</v>
      </c>
      <c r="GA177" s="32">
        <f t="shared" si="801"/>
        <v>0.26337091450349837</v>
      </c>
      <c r="GB177" s="32">
        <f t="shared" si="802"/>
        <v>0.31607907519788858</v>
      </c>
      <c r="GC177" s="32">
        <f t="shared" si="803"/>
        <v>0.38679399987945179</v>
      </c>
      <c r="GD177" s="32">
        <f t="shared" si="804"/>
        <v>0.48909010615993403</v>
      </c>
      <c r="GE177" s="32">
        <f t="shared" si="805"/>
        <v>0.60088144268203025</v>
      </c>
      <c r="GF177" s="32">
        <f t="shared" si="806"/>
        <v>0.69538270129356039</v>
      </c>
      <c r="GG177" s="32">
        <f t="shared" si="807"/>
        <v>0.79402890939849902</v>
      </c>
      <c r="GH177" s="32">
        <f t="shared" si="808"/>
        <v>0.88981402926629072</v>
      </c>
      <c r="GI177" s="32">
        <f t="shared" si="809"/>
        <v>1</v>
      </c>
    </row>
    <row r="178" spans="1:191">
      <c r="A178" s="724" t="s">
        <v>102</v>
      </c>
      <c r="B178" s="400">
        <v>9005.2999999999938</v>
      </c>
      <c r="C178" s="400">
        <v>5359.58</v>
      </c>
      <c r="D178" s="400">
        <v>6992.39</v>
      </c>
      <c r="E178" s="400">
        <v>5650.2699999999995</v>
      </c>
      <c r="F178" s="400">
        <v>5778.51</v>
      </c>
      <c r="G178" s="400">
        <v>8518.2900000000009</v>
      </c>
      <c r="H178" s="400">
        <v>10102.07</v>
      </c>
      <c r="I178" s="400">
        <v>10312.73</v>
      </c>
      <c r="J178" s="400">
        <v>9143.9999999999982</v>
      </c>
      <c r="K178" s="400">
        <v>6758.2800000000007</v>
      </c>
      <c r="L178" s="400">
        <v>10965.779999999999</v>
      </c>
      <c r="M178" s="400">
        <v>8686.99</v>
      </c>
      <c r="N178" s="400">
        <f t="shared" si="737"/>
        <v>97274.19</v>
      </c>
      <c r="P178" s="396" t="s">
        <v>102</v>
      </c>
      <c r="Q178" s="400">
        <v>4105.5599999999995</v>
      </c>
      <c r="R178" s="400">
        <v>3572.14</v>
      </c>
      <c r="S178" s="400">
        <v>2587.62</v>
      </c>
      <c r="T178" s="400">
        <v>1612.7800000000002</v>
      </c>
      <c r="U178" s="400">
        <v>1463.13</v>
      </c>
      <c r="V178" s="400">
        <v>3288.12</v>
      </c>
      <c r="W178" s="400">
        <v>5035.7399999999989</v>
      </c>
      <c r="X178" s="400">
        <v>7309.0599999999995</v>
      </c>
      <c r="Y178" s="400">
        <v>6196.2100000000009</v>
      </c>
      <c r="Z178" s="400">
        <v>5884.39</v>
      </c>
      <c r="AA178" s="400">
        <v>7563.75</v>
      </c>
      <c r="AB178" s="400">
        <v>5355.1100000000006</v>
      </c>
      <c r="AC178" s="400">
        <f t="shared" si="738"/>
        <v>53973.609999999993</v>
      </c>
      <c r="AE178" s="127" t="s">
        <v>102</v>
      </c>
      <c r="AF178" s="27">
        <v>4319.2900000000009</v>
      </c>
      <c r="AG178" s="27">
        <v>5871.62</v>
      </c>
      <c r="AH178" s="27">
        <v>5345.0699999999988</v>
      </c>
      <c r="AI178" s="27">
        <v>5209.5599999999995</v>
      </c>
      <c r="AJ178" s="27">
        <v>4072.0099999999998</v>
      </c>
      <c r="AK178" s="27">
        <v>4510.26</v>
      </c>
      <c r="AL178" s="27">
        <v>4942.8899999999994</v>
      </c>
      <c r="AM178" s="27">
        <v>3550.8100000000004</v>
      </c>
      <c r="AN178" s="27">
        <v>2982.26</v>
      </c>
      <c r="AO178" s="27">
        <v>5307.81</v>
      </c>
      <c r="AP178" s="27">
        <v>4324.45</v>
      </c>
      <c r="AQ178" s="27">
        <v>4522.2299999999996</v>
      </c>
      <c r="AR178" s="43">
        <f t="shared" si="739"/>
        <v>54958.259999999995</v>
      </c>
      <c r="AT178" s="60" t="s">
        <v>102</v>
      </c>
      <c r="AU178" s="27">
        <v>8224.2199999999993</v>
      </c>
      <c r="AV178" s="27">
        <v>4538.32</v>
      </c>
      <c r="AW178" s="27">
        <v>6058.52</v>
      </c>
      <c r="AX178" s="27">
        <v>3106.0899999999997</v>
      </c>
      <c r="AY178" s="27">
        <v>2353.31</v>
      </c>
      <c r="AZ178" s="27">
        <v>4214.9800000000005</v>
      </c>
      <c r="BA178" s="27">
        <v>4895.1000000000004</v>
      </c>
      <c r="BB178" s="27">
        <v>2462.11</v>
      </c>
      <c r="BC178" s="27">
        <v>2556.63</v>
      </c>
      <c r="BD178" s="27">
        <v>5190.0199999999995</v>
      </c>
      <c r="BE178" s="27">
        <v>4060.1</v>
      </c>
      <c r="BF178" s="27">
        <v>3642.9100000000003</v>
      </c>
      <c r="BG178" s="43">
        <f t="shared" si="699"/>
        <v>51302.31</v>
      </c>
      <c r="BI178" s="60" t="s">
        <v>102</v>
      </c>
      <c r="BJ178" s="27">
        <v>4369.8900000000003</v>
      </c>
      <c r="BK178" s="27">
        <v>3472.5600000000004</v>
      </c>
      <c r="BL178" s="27">
        <v>3322.8</v>
      </c>
      <c r="BM178" s="27">
        <v>2108.15</v>
      </c>
      <c r="BN178" s="27">
        <v>2598.85</v>
      </c>
      <c r="BO178" s="27">
        <v>3496.7899999999995</v>
      </c>
      <c r="BP178" s="27">
        <v>4052.7799999999997</v>
      </c>
      <c r="BQ178" s="27">
        <v>4258.83</v>
      </c>
      <c r="BR178" s="27">
        <v>3782.24</v>
      </c>
      <c r="BS178" s="27">
        <v>3831.54</v>
      </c>
      <c r="BT178" s="27">
        <v>3070.96</v>
      </c>
      <c r="BU178" s="27">
        <v>6624.99</v>
      </c>
      <c r="BV178" s="43">
        <f t="shared" si="700"/>
        <v>44990.38</v>
      </c>
      <c r="BW178" s="405"/>
      <c r="BX178" s="32">
        <f t="shared" si="810"/>
        <v>9.2576458359612077E-2</v>
      </c>
      <c r="BY178" s="32">
        <f t="shared" si="811"/>
        <v>0.14767411581633313</v>
      </c>
      <c r="BZ178" s="32">
        <f t="shared" si="812"/>
        <v>0.21955741805714335</v>
      </c>
      <c r="CA178" s="32">
        <f t="shared" si="813"/>
        <v>0.27764343244595502</v>
      </c>
      <c r="CB178" s="32">
        <f t="shared" si="814"/>
        <v>0.3370477821506403</v>
      </c>
      <c r="CC178" s="32">
        <f t="shared" si="815"/>
        <v>0.4246176709361445</v>
      </c>
      <c r="CD178" s="32">
        <f t="shared" si="816"/>
        <v>0.5284691653561957</v>
      </c>
      <c r="CE178" s="32">
        <f t="shared" si="817"/>
        <v>0.63448629076222585</v>
      </c>
      <c r="CF178" s="32">
        <f t="shared" si="818"/>
        <v>0.72848861553100563</v>
      </c>
      <c r="CG178" s="32">
        <f t="shared" si="819"/>
        <v>0.79796521564456102</v>
      </c>
      <c r="CH178" s="32">
        <f t="shared" si="820"/>
        <v>0.91069583822800271</v>
      </c>
      <c r="CI178" s="32">
        <f t="shared" si="821"/>
        <v>1</v>
      </c>
      <c r="CJ178" s="405"/>
      <c r="CK178" s="32">
        <f t="shared" si="822"/>
        <v>7.6066062655434752E-2</v>
      </c>
      <c r="CL178" s="32">
        <f t="shared" si="823"/>
        <v>0.14224914731477106</v>
      </c>
      <c r="CM178" s="32">
        <f t="shared" si="824"/>
        <v>0.19019146579226406</v>
      </c>
      <c r="CN178" s="32">
        <f t="shared" si="825"/>
        <v>0.22007236499467059</v>
      </c>
      <c r="CO178" s="32">
        <f t="shared" si="826"/>
        <v>0.24718061289582077</v>
      </c>
      <c r="CP178" s="32">
        <f t="shared" si="827"/>
        <v>0.30810149626826888</v>
      </c>
      <c r="CQ178" s="32">
        <f t="shared" si="828"/>
        <v>0.40140153678807106</v>
      </c>
      <c r="CR178" s="32">
        <f t="shared" si="829"/>
        <v>0.53682067958767254</v>
      </c>
      <c r="CS178" s="32">
        <f t="shared" si="830"/>
        <v>0.65162141276079177</v>
      </c>
      <c r="CT178" s="32">
        <f t="shared" si="831"/>
        <v>0.76064487811728732</v>
      </c>
      <c r="CU178" s="32">
        <f t="shared" si="832"/>
        <v>0.90078280848733294</v>
      </c>
      <c r="CV178" s="32">
        <f t="shared" si="833"/>
        <v>1</v>
      </c>
      <c r="CX178" s="32">
        <f t="shared" si="834"/>
        <v>7.8592189781845373E-2</v>
      </c>
      <c r="CY178" s="32">
        <f t="shared" si="835"/>
        <v>0.18542999723790385</v>
      </c>
      <c r="CZ178" s="32">
        <f t="shared" si="836"/>
        <v>0.28268689729259988</v>
      </c>
      <c r="DA178" s="32">
        <f t="shared" si="837"/>
        <v>0.37747810793136471</v>
      </c>
      <c r="DB178" s="32">
        <f t="shared" si="838"/>
        <v>0.45157088306653087</v>
      </c>
      <c r="DC178" s="32">
        <f t="shared" si="839"/>
        <v>0.53363789173820275</v>
      </c>
      <c r="DD178" s="32">
        <f t="shared" si="840"/>
        <v>0.62357687452259225</v>
      </c>
      <c r="DE178" s="32">
        <f t="shared" si="841"/>
        <v>0.68818608886089183</v>
      </c>
      <c r="DF178" s="32">
        <f t="shared" si="842"/>
        <v>0.74245017946346925</v>
      </c>
      <c r="DG178" s="32">
        <f t="shared" si="843"/>
        <v>0.83902911045582595</v>
      </c>
      <c r="DH178" s="32">
        <f t="shared" si="844"/>
        <v>0.91771518967303545</v>
      </c>
      <c r="DI178" s="32">
        <f t="shared" si="845"/>
        <v>1</v>
      </c>
      <c r="DK178" s="32">
        <f t="shared" si="740"/>
        <v>0.16030896074660186</v>
      </c>
      <c r="DL178" s="32">
        <f t="shared" si="741"/>
        <v>0.2487712541599004</v>
      </c>
      <c r="DM178" s="32">
        <f t="shared" si="742"/>
        <v>0.36686574152313994</v>
      </c>
      <c r="DN178" s="32">
        <f t="shared" si="743"/>
        <v>0.4274105785879817</v>
      </c>
      <c r="DO178" s="32">
        <f t="shared" si="744"/>
        <v>0.47328200231139689</v>
      </c>
      <c r="DP178" s="32">
        <f t="shared" si="745"/>
        <v>0.55544165555118274</v>
      </c>
      <c r="DQ178" s="32">
        <f t="shared" si="746"/>
        <v>0.65085841163877423</v>
      </c>
      <c r="DR178" s="32">
        <f t="shared" si="747"/>
        <v>0.69885059756568468</v>
      </c>
      <c r="DS178" s="32">
        <f t="shared" si="748"/>
        <v>0.74868519565688174</v>
      </c>
      <c r="DT178" s="32">
        <f t="shared" si="749"/>
        <v>0.84985062076152118</v>
      </c>
      <c r="DU178" s="32">
        <f t="shared" si="750"/>
        <v>0.92899130662927254</v>
      </c>
      <c r="DV178" s="32">
        <f t="shared" si="751"/>
        <v>1</v>
      </c>
      <c r="DW178" s="39"/>
      <c r="DX178" s="32">
        <f t="shared" si="752"/>
        <v>9.7129430780535764E-2</v>
      </c>
      <c r="DY178" s="32">
        <f t="shared" si="753"/>
        <v>0.17431393111149543</v>
      </c>
      <c r="DZ178" s="32">
        <f t="shared" si="754"/>
        <v>0.24816971983788536</v>
      </c>
      <c r="EA178" s="32">
        <f t="shared" si="755"/>
        <v>0.29502751477093547</v>
      </c>
      <c r="EB178" s="32">
        <f t="shared" si="756"/>
        <v>0.35279208577478122</v>
      </c>
      <c r="EC178" s="32">
        <f t="shared" si="757"/>
        <v>0.4305151456822548</v>
      </c>
      <c r="ED178" s="32">
        <f t="shared" si="758"/>
        <v>0.52059618078353642</v>
      </c>
      <c r="EE178" s="32">
        <f t="shared" si="759"/>
        <v>0.61525708384770261</v>
      </c>
      <c r="EF178" s="32">
        <f t="shared" si="760"/>
        <v>0.69932483344217145</v>
      </c>
      <c r="EG178" s="32">
        <f t="shared" si="761"/>
        <v>0.78448837284770656</v>
      </c>
      <c r="EH178" s="32">
        <f t="shared" si="762"/>
        <v>0.85274652047837785</v>
      </c>
      <c r="EI178" s="32">
        <f t="shared" si="763"/>
        <v>1</v>
      </c>
      <c r="EK178" s="32">
        <f t="shared" si="846"/>
        <v>0.112010193769661</v>
      </c>
      <c r="EL178" s="32">
        <f t="shared" si="764"/>
        <v>0.20283839416976657</v>
      </c>
      <c r="EM178" s="32">
        <f t="shared" si="765"/>
        <v>0.29924078621787503</v>
      </c>
      <c r="EN178" s="32">
        <f t="shared" si="766"/>
        <v>0.36663873376342732</v>
      </c>
      <c r="EO178" s="32">
        <f t="shared" si="767"/>
        <v>0.42588165705090297</v>
      </c>
      <c r="EP178" s="32">
        <f t="shared" si="768"/>
        <v>0.50653156432388002</v>
      </c>
      <c r="EQ178" s="32">
        <f t="shared" si="769"/>
        <v>0.59834382231496763</v>
      </c>
      <c r="ER178" s="32">
        <f t="shared" si="770"/>
        <v>0.66743125675809312</v>
      </c>
      <c r="ES178" s="32">
        <f t="shared" si="771"/>
        <v>0.73015340285417418</v>
      </c>
      <c r="ET178" s="32">
        <f t="shared" si="772"/>
        <v>0.82445603468835127</v>
      </c>
      <c r="EU178" s="32">
        <f t="shared" si="773"/>
        <v>0.89981767226022857</v>
      </c>
      <c r="EV178" s="32">
        <f t="shared" si="774"/>
        <v>1</v>
      </c>
      <c r="EX178" s="32">
        <f t="shared" si="775"/>
        <v>0.10302416099110444</v>
      </c>
      <c r="EY178" s="32">
        <f t="shared" si="776"/>
        <v>0.18769108245601768</v>
      </c>
      <c r="EZ178" s="32">
        <f t="shared" si="777"/>
        <v>0.27197845611147231</v>
      </c>
      <c r="FA178" s="32">
        <f t="shared" si="778"/>
        <v>0.32999714157123811</v>
      </c>
      <c r="FB178" s="32">
        <f t="shared" si="779"/>
        <v>0.38120639601213241</v>
      </c>
      <c r="FC178" s="32">
        <f t="shared" si="780"/>
        <v>0.45692404730997727</v>
      </c>
      <c r="FD178" s="32">
        <f t="shared" si="781"/>
        <v>0.54910825093324345</v>
      </c>
      <c r="FE178" s="32">
        <f t="shared" si="782"/>
        <v>0.63477861246548795</v>
      </c>
      <c r="FF178" s="32">
        <f t="shared" si="783"/>
        <v>0.71052040533082861</v>
      </c>
      <c r="FG178" s="32">
        <f t="shared" si="784"/>
        <v>0.80850324554558528</v>
      </c>
      <c r="FH178" s="32">
        <f t="shared" si="785"/>
        <v>0.90005895631700472</v>
      </c>
      <c r="FI178" s="32">
        <f t="shared" si="786"/>
        <v>1</v>
      </c>
      <c r="FK178" s="32">
        <f t="shared" si="847"/>
        <v>0.104989071061294</v>
      </c>
      <c r="FL178" s="32">
        <f t="shared" si="787"/>
        <v>0.19215013290419178</v>
      </c>
      <c r="FM178" s="32">
        <f t="shared" si="788"/>
        <v>0.27991470153600129</v>
      </c>
      <c r="FN178" s="32">
        <f t="shared" si="789"/>
        <v>0.34165368383800571</v>
      </c>
      <c r="FO178" s="32">
        <f t="shared" si="790"/>
        <v>0.39067783275791618</v>
      </c>
      <c r="FP178" s="32">
        <f t="shared" si="791"/>
        <v>0.46572701451921811</v>
      </c>
      <c r="FQ178" s="32">
        <f t="shared" si="792"/>
        <v>0.5586122743164792</v>
      </c>
      <c r="FR178" s="32">
        <f t="shared" si="793"/>
        <v>0.64128578867141639</v>
      </c>
      <c r="FS178" s="32">
        <f t="shared" si="794"/>
        <v>0.71425226262704766</v>
      </c>
      <c r="FT178" s="32">
        <f t="shared" si="795"/>
        <v>0.81650820311154482</v>
      </c>
      <c r="FU178" s="32">
        <f t="shared" si="796"/>
        <v>0.91582976826321361</v>
      </c>
      <c r="FV178" s="32">
        <f t="shared" si="797"/>
        <v>1</v>
      </c>
      <c r="FX178" s="32">
        <f t="shared" si="798"/>
        <v>8.2411570265630729E-2</v>
      </c>
      <c r="FY178" s="32">
        <f t="shared" si="799"/>
        <v>0.15845108678966935</v>
      </c>
      <c r="FZ178" s="32">
        <f t="shared" si="800"/>
        <v>0.23081192704733577</v>
      </c>
      <c r="GA178" s="32">
        <f t="shared" si="801"/>
        <v>0.29173130179066342</v>
      </c>
      <c r="GB178" s="32">
        <f t="shared" si="802"/>
        <v>0.34526642603766394</v>
      </c>
      <c r="GC178" s="32">
        <f t="shared" si="803"/>
        <v>0.42211901964753867</v>
      </c>
      <c r="GD178" s="32">
        <f t="shared" si="804"/>
        <v>0.51781585888895298</v>
      </c>
      <c r="GE178" s="32">
        <f t="shared" si="805"/>
        <v>0.61983101973693</v>
      </c>
      <c r="GF178" s="32">
        <f t="shared" si="806"/>
        <v>0.70752006925175559</v>
      </c>
      <c r="GG178" s="32">
        <f t="shared" si="807"/>
        <v>0.7992130680725581</v>
      </c>
      <c r="GH178" s="32">
        <f t="shared" si="808"/>
        <v>0.9097312787961237</v>
      </c>
      <c r="GI178" s="32">
        <f t="shared" si="809"/>
        <v>1</v>
      </c>
    </row>
    <row r="179" spans="1:191">
      <c r="A179" s="724" t="s">
        <v>103</v>
      </c>
      <c r="B179" s="400">
        <v>2909.4800000000132</v>
      </c>
      <c r="C179" s="400">
        <v>3994.8300000000004</v>
      </c>
      <c r="D179" s="400">
        <v>1308.29</v>
      </c>
      <c r="E179" s="400">
        <v>2073.7399999999998</v>
      </c>
      <c r="F179" s="400">
        <v>3573.49</v>
      </c>
      <c r="G179" s="400">
        <v>4087.7599999999998</v>
      </c>
      <c r="H179" s="400">
        <v>4945.51</v>
      </c>
      <c r="I179" s="400">
        <v>2942.1600000000003</v>
      </c>
      <c r="J179" s="400">
        <v>4699.83</v>
      </c>
      <c r="K179" s="400">
        <v>3646.86</v>
      </c>
      <c r="L179" s="400">
        <v>2454.08</v>
      </c>
      <c r="M179" s="400">
        <v>3825.73</v>
      </c>
      <c r="N179" s="400">
        <f t="shared" si="737"/>
        <v>40461.760000000017</v>
      </c>
      <c r="P179" s="396" t="s">
        <v>103</v>
      </c>
      <c r="Q179" s="400">
        <v>2824.45</v>
      </c>
      <c r="R179" s="400">
        <v>2758.21</v>
      </c>
      <c r="S179" s="400">
        <v>3295.37</v>
      </c>
      <c r="T179" s="400">
        <v>1926.2</v>
      </c>
      <c r="U179" s="400">
        <v>3899.64</v>
      </c>
      <c r="V179" s="400">
        <v>2571.7800000000002</v>
      </c>
      <c r="W179" s="400">
        <v>1631.3</v>
      </c>
      <c r="X179" s="400">
        <v>3644.54</v>
      </c>
      <c r="Y179" s="400">
        <v>1638.2900000000002</v>
      </c>
      <c r="Z179" s="400">
        <v>3467.5600000000004</v>
      </c>
      <c r="AA179" s="400">
        <v>2838.17</v>
      </c>
      <c r="AB179" s="400">
        <v>3200.5600000000004</v>
      </c>
      <c r="AC179" s="400">
        <f t="shared" si="738"/>
        <v>33696.07</v>
      </c>
      <c r="AE179" s="127" t="s">
        <v>103</v>
      </c>
      <c r="AF179" s="27">
        <v>4744.0700000000006</v>
      </c>
      <c r="AG179" s="27">
        <v>4410.41</v>
      </c>
      <c r="AH179" s="27">
        <v>3444.4500000000003</v>
      </c>
      <c r="AI179" s="27">
        <v>3241.51</v>
      </c>
      <c r="AJ179" s="27">
        <v>4231.5199999999995</v>
      </c>
      <c r="AK179" s="27">
        <v>5397.8600000000015</v>
      </c>
      <c r="AL179" s="27">
        <v>7838.3600000000015</v>
      </c>
      <c r="AM179" s="27">
        <v>16891.579999999998</v>
      </c>
      <c r="AN179" s="27">
        <v>4490.5200000000004</v>
      </c>
      <c r="AO179" s="27">
        <v>7979.1799999999994</v>
      </c>
      <c r="AP179" s="27">
        <v>4350.6400000000003</v>
      </c>
      <c r="AQ179" s="27">
        <v>6159.1500000000005</v>
      </c>
      <c r="AR179" s="43">
        <f t="shared" si="739"/>
        <v>73179.25</v>
      </c>
      <c r="AT179" s="60" t="s">
        <v>103</v>
      </c>
      <c r="AU179" s="27">
        <v>1673.58</v>
      </c>
      <c r="AV179" s="27">
        <v>2120.9</v>
      </c>
      <c r="AW179" s="27">
        <v>1382.4199999999998</v>
      </c>
      <c r="AX179" s="27">
        <v>1751.8899999999999</v>
      </c>
      <c r="AY179" s="27">
        <v>1305.6599999999999</v>
      </c>
      <c r="AZ179" s="27">
        <v>3016.92</v>
      </c>
      <c r="BA179" s="27">
        <v>2699.41</v>
      </c>
      <c r="BB179" s="27">
        <v>3514.82</v>
      </c>
      <c r="BC179" s="27">
        <v>2342.98</v>
      </c>
      <c r="BD179" s="27">
        <v>4315.84</v>
      </c>
      <c r="BE179" s="27">
        <v>4941.1499999999996</v>
      </c>
      <c r="BF179" s="27">
        <v>4204.12</v>
      </c>
      <c r="BG179" s="43">
        <f t="shared" si="699"/>
        <v>33269.69</v>
      </c>
      <c r="BI179" s="60" t="s">
        <v>103</v>
      </c>
      <c r="BJ179" s="27">
        <v>2482.61</v>
      </c>
      <c r="BK179" s="27">
        <v>1640.44</v>
      </c>
      <c r="BL179" s="27">
        <v>2445.3199999999997</v>
      </c>
      <c r="BM179" s="27">
        <v>1148.8699999999999</v>
      </c>
      <c r="BN179" s="27">
        <v>1573.44</v>
      </c>
      <c r="BO179" s="27">
        <v>1473.06</v>
      </c>
      <c r="BP179" s="27">
        <v>2324.16</v>
      </c>
      <c r="BQ179" s="27">
        <v>2783.7099999999996</v>
      </c>
      <c r="BR179" s="27">
        <v>3113.3099999999995</v>
      </c>
      <c r="BS179" s="27">
        <v>4862.92</v>
      </c>
      <c r="BT179" s="27">
        <v>3650.08</v>
      </c>
      <c r="BU179" s="27">
        <v>2998.04</v>
      </c>
      <c r="BV179" s="43">
        <f t="shared" si="700"/>
        <v>30495.96</v>
      </c>
      <c r="BW179" s="405"/>
      <c r="BX179" s="32">
        <f t="shared" si="810"/>
        <v>7.1906906669408646E-2</v>
      </c>
      <c r="BY179" s="32">
        <f t="shared" si="811"/>
        <v>0.17063790601298637</v>
      </c>
      <c r="BZ179" s="32">
        <f t="shared" si="812"/>
        <v>0.20297189247328859</v>
      </c>
      <c r="CA179" s="32">
        <f t="shared" si="813"/>
        <v>0.25422374113236818</v>
      </c>
      <c r="CB179" s="32">
        <f t="shared" si="814"/>
        <v>0.34254145148406812</v>
      </c>
      <c r="CC179" s="32">
        <f t="shared" si="815"/>
        <v>0.44356918730178824</v>
      </c>
      <c r="CD179" s="32">
        <f t="shared" si="816"/>
        <v>0.56579595153547457</v>
      </c>
      <c r="CE179" s="32">
        <f t="shared" si="817"/>
        <v>0.63851053439099048</v>
      </c>
      <c r="CF179" s="32">
        <f t="shared" si="818"/>
        <v>0.75466539270659505</v>
      </c>
      <c r="CG179" s="32">
        <f t="shared" si="819"/>
        <v>0.8447964201260646</v>
      </c>
      <c r="CH179" s="32">
        <f t="shared" si="820"/>
        <v>0.90544825534035089</v>
      </c>
      <c r="CI179" s="32">
        <f t="shared" si="821"/>
        <v>1</v>
      </c>
      <c r="CJ179" s="405"/>
      <c r="CK179" s="32">
        <f t="shared" si="822"/>
        <v>8.3821347712062566E-2</v>
      </c>
      <c r="CL179" s="32">
        <f t="shared" si="823"/>
        <v>0.16567688754207835</v>
      </c>
      <c r="CM179" s="32">
        <f t="shared" si="824"/>
        <v>0.26347375228031039</v>
      </c>
      <c r="CN179" s="32">
        <f t="shared" si="825"/>
        <v>0.32063768860879027</v>
      </c>
      <c r="CO179" s="32">
        <f t="shared" si="826"/>
        <v>0.4363675051719681</v>
      </c>
      <c r="CP179" s="32">
        <f t="shared" si="827"/>
        <v>0.51269035231705051</v>
      </c>
      <c r="CQ179" s="32">
        <f t="shared" si="828"/>
        <v>0.56110252619964274</v>
      </c>
      <c r="CR179" s="32">
        <f t="shared" si="829"/>
        <v>0.66926172696103725</v>
      </c>
      <c r="CS179" s="32">
        <f t="shared" si="830"/>
        <v>0.71788134343263177</v>
      </c>
      <c r="CT179" s="32">
        <f t="shared" si="831"/>
        <v>0.82078829964443922</v>
      </c>
      <c r="CU179" s="32">
        <f t="shared" si="832"/>
        <v>0.90501681650115284</v>
      </c>
      <c r="CV179" s="32">
        <f t="shared" si="833"/>
        <v>1</v>
      </c>
      <c r="CX179" s="32">
        <f t="shared" si="834"/>
        <v>6.4828076264788176E-2</v>
      </c>
      <c r="CY179" s="32">
        <f t="shared" si="835"/>
        <v>0.12509666333011066</v>
      </c>
      <c r="CZ179" s="32">
        <f t="shared" si="836"/>
        <v>0.17216533375239565</v>
      </c>
      <c r="DA179" s="32">
        <f t="shared" si="837"/>
        <v>0.21646081368693995</v>
      </c>
      <c r="DB179" s="32">
        <f t="shared" si="838"/>
        <v>0.27428485533809105</v>
      </c>
      <c r="DC179" s="32">
        <f t="shared" si="839"/>
        <v>0.34804702152591066</v>
      </c>
      <c r="DD179" s="32">
        <f t="shared" si="840"/>
        <v>0.4551588052624207</v>
      </c>
      <c r="DE179" s="32">
        <f t="shared" si="841"/>
        <v>0.68598352675109397</v>
      </c>
      <c r="DF179" s="32">
        <f t="shared" si="842"/>
        <v>0.74734682304068434</v>
      </c>
      <c r="DG179" s="32">
        <f t="shared" si="843"/>
        <v>0.85638292275474259</v>
      </c>
      <c r="DH179" s="32">
        <f t="shared" si="844"/>
        <v>0.91583474823805933</v>
      </c>
      <c r="DI179" s="32">
        <f t="shared" si="845"/>
        <v>1</v>
      </c>
      <c r="DK179" s="32">
        <f t="shared" si="740"/>
        <v>5.0303444366328623E-2</v>
      </c>
      <c r="DL179" s="32">
        <f t="shared" si="741"/>
        <v>0.11405215978868453</v>
      </c>
      <c r="DM179" s="32">
        <f t="shared" si="742"/>
        <v>0.15560409489838947</v>
      </c>
      <c r="DN179" s="32">
        <f t="shared" si="743"/>
        <v>0.20826133336379143</v>
      </c>
      <c r="DO179" s="32">
        <f t="shared" si="744"/>
        <v>0.24750606332670963</v>
      </c>
      <c r="DP179" s="32">
        <f t="shared" si="745"/>
        <v>0.33818680005734947</v>
      </c>
      <c r="DQ179" s="32">
        <f t="shared" si="746"/>
        <v>0.41932401534249336</v>
      </c>
      <c r="DR179" s="32">
        <f t="shared" si="747"/>
        <v>0.52497032584313219</v>
      </c>
      <c r="DS179" s="32">
        <f t="shared" si="748"/>
        <v>0.59539418611955797</v>
      </c>
      <c r="DT179" s="32">
        <f t="shared" si="749"/>
        <v>0.72511706601414072</v>
      </c>
      <c r="DU179" s="32">
        <f t="shared" si="750"/>
        <v>0.87363513155668115</v>
      </c>
      <c r="DV179" s="32">
        <f t="shared" si="751"/>
        <v>1</v>
      </c>
      <c r="DW179" s="39"/>
      <c r="DX179" s="32">
        <f t="shared" si="752"/>
        <v>8.1407832381731882E-2</v>
      </c>
      <c r="DY179" s="32">
        <f t="shared" si="753"/>
        <v>0.13519987565566063</v>
      </c>
      <c r="DZ179" s="32">
        <f t="shared" si="754"/>
        <v>0.21538492311768509</v>
      </c>
      <c r="EA179" s="32">
        <f t="shared" si="755"/>
        <v>0.25305778207998697</v>
      </c>
      <c r="EB179" s="32">
        <f t="shared" si="756"/>
        <v>0.30465281302834868</v>
      </c>
      <c r="EC179" s="32">
        <f t="shared" si="757"/>
        <v>0.35295626043580852</v>
      </c>
      <c r="ED179" s="32">
        <f t="shared" si="758"/>
        <v>0.42916832262371801</v>
      </c>
      <c r="EE179" s="32">
        <f t="shared" si="759"/>
        <v>0.5204495939790057</v>
      </c>
      <c r="EF179" s="32">
        <f t="shared" si="760"/>
        <v>0.62253885432693379</v>
      </c>
      <c r="EG179" s="32">
        <f t="shared" si="761"/>
        <v>0.78199997639031527</v>
      </c>
      <c r="EH179" s="32">
        <f t="shared" si="762"/>
        <v>0.90169058458890949</v>
      </c>
      <c r="EI179" s="32">
        <f t="shared" si="763"/>
        <v>1</v>
      </c>
      <c r="EK179" s="32">
        <f t="shared" si="846"/>
        <v>6.5513117670949569E-2</v>
      </c>
      <c r="EL179" s="32">
        <f t="shared" si="764"/>
        <v>0.12478289959148529</v>
      </c>
      <c r="EM179" s="32">
        <f t="shared" si="765"/>
        <v>0.1810514505894901</v>
      </c>
      <c r="EN179" s="32">
        <f t="shared" si="766"/>
        <v>0.22592664304357279</v>
      </c>
      <c r="EO179" s="32">
        <f t="shared" si="767"/>
        <v>0.27548124389771644</v>
      </c>
      <c r="EP179" s="32">
        <f t="shared" si="768"/>
        <v>0.34639669400635625</v>
      </c>
      <c r="EQ179" s="32">
        <f t="shared" si="769"/>
        <v>0.43455038107621063</v>
      </c>
      <c r="ER179" s="32">
        <f t="shared" si="770"/>
        <v>0.57713448219107732</v>
      </c>
      <c r="ES179" s="32">
        <f t="shared" si="771"/>
        <v>0.65509328782905873</v>
      </c>
      <c r="ET179" s="32">
        <f t="shared" si="772"/>
        <v>0.78783332171973275</v>
      </c>
      <c r="EU179" s="32">
        <f t="shared" si="773"/>
        <v>0.89705348812788344</v>
      </c>
      <c r="EV179" s="32">
        <f t="shared" si="774"/>
        <v>1</v>
      </c>
      <c r="EX179" s="32">
        <f t="shared" si="775"/>
        <v>7.0090175181227815E-2</v>
      </c>
      <c r="EY179" s="32">
        <f t="shared" si="776"/>
        <v>0.13500639657913355</v>
      </c>
      <c r="EZ179" s="32">
        <f t="shared" si="777"/>
        <v>0.20165702601219515</v>
      </c>
      <c r="FA179" s="32">
        <f t="shared" si="778"/>
        <v>0.24960440443487716</v>
      </c>
      <c r="FB179" s="32">
        <f t="shared" si="779"/>
        <v>0.31570280921627936</v>
      </c>
      <c r="FC179" s="32">
        <f t="shared" si="780"/>
        <v>0.3879701085840298</v>
      </c>
      <c r="FD179" s="32">
        <f t="shared" si="781"/>
        <v>0.46618841735706867</v>
      </c>
      <c r="FE179" s="32">
        <f t="shared" si="782"/>
        <v>0.60016629338356731</v>
      </c>
      <c r="FF179" s="32">
        <f t="shared" si="783"/>
        <v>0.67079030172995202</v>
      </c>
      <c r="FG179" s="32">
        <f t="shared" si="784"/>
        <v>0.79607206620090953</v>
      </c>
      <c r="FH179" s="32">
        <f t="shared" si="785"/>
        <v>0.89904432022120062</v>
      </c>
      <c r="FI179" s="32">
        <f t="shared" si="786"/>
        <v>1</v>
      </c>
      <c r="FK179" s="32">
        <f t="shared" si="847"/>
        <v>6.6317622781059793E-2</v>
      </c>
      <c r="FL179" s="32">
        <f t="shared" si="787"/>
        <v>0.13494190355362454</v>
      </c>
      <c r="FM179" s="32">
        <f t="shared" si="788"/>
        <v>0.19708106031036518</v>
      </c>
      <c r="FN179" s="32">
        <f t="shared" si="789"/>
        <v>0.2484532785531739</v>
      </c>
      <c r="FO179" s="32">
        <f t="shared" si="790"/>
        <v>0.3193861412789229</v>
      </c>
      <c r="FP179" s="32">
        <f t="shared" si="791"/>
        <v>0.39964139130010357</v>
      </c>
      <c r="FQ179" s="32">
        <f t="shared" si="792"/>
        <v>0.47852844893485225</v>
      </c>
      <c r="FR179" s="32">
        <f t="shared" si="793"/>
        <v>0.62673852651842121</v>
      </c>
      <c r="FS179" s="32">
        <f t="shared" si="794"/>
        <v>0.68687411753095795</v>
      </c>
      <c r="FT179" s="32">
        <f t="shared" si="795"/>
        <v>0.80076276280444081</v>
      </c>
      <c r="FU179" s="32">
        <f t="shared" si="796"/>
        <v>0.89816223209863111</v>
      </c>
      <c r="FV179" s="32">
        <f t="shared" si="797"/>
        <v>1</v>
      </c>
      <c r="FX179" s="32">
        <f t="shared" si="798"/>
        <v>7.3518776882086467E-2</v>
      </c>
      <c r="FY179" s="32">
        <f t="shared" si="799"/>
        <v>0.15380381896172513</v>
      </c>
      <c r="FZ179" s="32">
        <f t="shared" si="800"/>
        <v>0.21287032616866489</v>
      </c>
      <c r="GA179" s="32">
        <f t="shared" si="801"/>
        <v>0.26377408114269946</v>
      </c>
      <c r="GB179" s="32">
        <f t="shared" si="802"/>
        <v>0.35106460399804246</v>
      </c>
      <c r="GC179" s="32">
        <f t="shared" si="803"/>
        <v>0.43476885371491641</v>
      </c>
      <c r="GD179" s="32">
        <f t="shared" si="804"/>
        <v>0.527352427665846</v>
      </c>
      <c r="GE179" s="32">
        <f t="shared" si="805"/>
        <v>0.66458526270104057</v>
      </c>
      <c r="GF179" s="32">
        <f t="shared" si="806"/>
        <v>0.73996451972663702</v>
      </c>
      <c r="GG179" s="32">
        <f t="shared" si="807"/>
        <v>0.8406558808417488</v>
      </c>
      <c r="GH179" s="32">
        <f t="shared" si="808"/>
        <v>0.90876660669318765</v>
      </c>
      <c r="GI179" s="32">
        <f t="shared" si="809"/>
        <v>1</v>
      </c>
    </row>
    <row r="180" spans="1:191">
      <c r="A180" s="724" t="s">
        <v>224</v>
      </c>
      <c r="I180" s="400"/>
      <c r="K180" s="400"/>
      <c r="P180" s="396" t="s">
        <v>224</v>
      </c>
      <c r="AE180" s="127" t="s">
        <v>224</v>
      </c>
      <c r="AT180" s="118" t="s">
        <v>224</v>
      </c>
      <c r="BX180" s="39">
        <f>AVERAGE(BX153:BX179)</f>
        <v>8.4372655809323377E-2</v>
      </c>
      <c r="BY180" s="39">
        <f t="shared" ref="BY180:CI180" si="848">AVERAGE(BY153:BY179)</f>
        <v>0.14884910861110504</v>
      </c>
      <c r="BZ180" s="39">
        <f t="shared" si="848"/>
        <v>0.20695620692679489</v>
      </c>
      <c r="CA180" s="39">
        <f t="shared" si="848"/>
        <v>0.27213381661488339</v>
      </c>
      <c r="CB180" s="39">
        <f t="shared" si="848"/>
        <v>0.34590165167487802</v>
      </c>
      <c r="CC180" s="39">
        <f t="shared" si="848"/>
        <v>0.45002783953803333</v>
      </c>
      <c r="CD180" s="39">
        <f t="shared" si="848"/>
        <v>0.55473318395929305</v>
      </c>
      <c r="CE180" s="39">
        <f t="shared" si="848"/>
        <v>0.65228339128349389</v>
      </c>
      <c r="CF180" s="39">
        <f t="shared" si="848"/>
        <v>0.74440923068741682</v>
      </c>
      <c r="CG180" s="39">
        <f t="shared" si="848"/>
        <v>0.81817796176721458</v>
      </c>
      <c r="CH180" s="39">
        <f t="shared" si="848"/>
        <v>0.90078958130131825</v>
      </c>
      <c r="CI180" s="39">
        <f t="shared" si="848"/>
        <v>1</v>
      </c>
      <c r="CK180" s="39">
        <f>AVERAGE(CK153:CK179)</f>
        <v>0.10909452608424199</v>
      </c>
      <c r="CL180" s="39">
        <f t="shared" ref="CL180:CV180" si="849">AVERAGE(CL153:CL179)</f>
        <v>0.20033719564431199</v>
      </c>
      <c r="CM180" s="39">
        <f t="shared" si="849"/>
        <v>0.28252643891484375</v>
      </c>
      <c r="CN180" s="39">
        <f t="shared" si="849"/>
        <v>0.33559433278390144</v>
      </c>
      <c r="CO180" s="39">
        <f t="shared" si="849"/>
        <v>0.38587057708749994</v>
      </c>
      <c r="CP180" s="39">
        <f t="shared" si="849"/>
        <v>0.45002971529712971</v>
      </c>
      <c r="CQ180" s="39">
        <f t="shared" si="849"/>
        <v>0.51454300106337114</v>
      </c>
      <c r="CR180" s="39">
        <f t="shared" si="849"/>
        <v>0.6073974857437785</v>
      </c>
      <c r="CS180" s="39">
        <f t="shared" si="849"/>
        <v>0.70149724312500994</v>
      </c>
      <c r="CT180" s="39">
        <f t="shared" si="849"/>
        <v>0.79697639209214743</v>
      </c>
      <c r="CU180" s="39">
        <f t="shared" si="849"/>
        <v>0.8967308730442406</v>
      </c>
      <c r="CV180" s="39">
        <f t="shared" si="849"/>
        <v>1</v>
      </c>
      <c r="CX180" s="39">
        <f>AVERAGE(CX153:CX179)</f>
        <v>7.5900726707299138E-2</v>
      </c>
      <c r="CY180" s="39">
        <f t="shared" ref="CY180:DI180" si="850">AVERAGE(CY153:CY179)</f>
        <v>0.15724079596675528</v>
      </c>
      <c r="CZ180" s="39">
        <f t="shared" si="850"/>
        <v>0.22202602229253796</v>
      </c>
      <c r="DA180" s="39">
        <f t="shared" si="850"/>
        <v>0.28969721654557745</v>
      </c>
      <c r="DB180" s="39">
        <f t="shared" si="850"/>
        <v>0.35766146266683374</v>
      </c>
      <c r="DC180" s="39">
        <f t="shared" si="850"/>
        <v>0.42854616843556781</v>
      </c>
      <c r="DD180" s="39">
        <f t="shared" si="850"/>
        <v>0.52218442918099683</v>
      </c>
      <c r="DE180" s="39">
        <f t="shared" si="850"/>
        <v>0.60536962195728705</v>
      </c>
      <c r="DF180" s="39">
        <f t="shared" si="850"/>
        <v>0.68187390814191462</v>
      </c>
      <c r="DG180" s="39">
        <f t="shared" si="850"/>
        <v>0.78876348692535148</v>
      </c>
      <c r="DH180" s="39">
        <f t="shared" si="850"/>
        <v>0.88899134521324874</v>
      </c>
      <c r="DI180" s="39">
        <f t="shared" si="850"/>
        <v>1</v>
      </c>
      <c r="DK180" s="39">
        <f>AVERAGE(DK153:DK179)</f>
        <v>0.10122043145592802</v>
      </c>
      <c r="DL180" s="39">
        <f t="shared" ref="DL180" si="851">AVERAGE(DL153:DL179)</f>
        <v>0.18977230821424826</v>
      </c>
      <c r="DM180" s="39">
        <f t="shared" ref="DM180" si="852">AVERAGE(DM153:DM179)</f>
        <v>0.27008092300302955</v>
      </c>
      <c r="DN180" s="39">
        <f t="shared" ref="DN180" si="853">AVERAGE(DN153:DN179)</f>
        <v>0.34387458177756713</v>
      </c>
      <c r="DO180" s="39">
        <f t="shared" ref="DO180" si="854">AVERAGE(DO153:DO179)</f>
        <v>0.41247486138097933</v>
      </c>
      <c r="DP180" s="39">
        <f t="shared" ref="DP180" si="855">AVERAGE(DP153:DP179)</f>
        <v>0.48745533933393098</v>
      </c>
      <c r="DQ180" s="39">
        <f t="shared" ref="DQ180" si="856">AVERAGE(DQ153:DQ179)</f>
        <v>0.58070403500346235</v>
      </c>
      <c r="DR180" s="39">
        <f t="shared" ref="DR180" si="857">AVERAGE(DR153:DR179)</f>
        <v>0.66922070035172443</v>
      </c>
      <c r="DS180" s="39">
        <f t="shared" ref="DS180" si="858">AVERAGE(DS153:DS179)</f>
        <v>0.74014537057519336</v>
      </c>
      <c r="DT180" s="39">
        <f t="shared" ref="DT180" si="859">AVERAGE(DT153:DT179)</f>
        <v>0.82680934092685276</v>
      </c>
      <c r="DU180" s="39">
        <f t="shared" ref="DU180" si="860">AVERAGE(DU153:DU179)</f>
        <v>0.90758874719744742</v>
      </c>
      <c r="DV180" s="39">
        <f t="shared" ref="DV180" si="861">AVERAGE(DV153:DV179)</f>
        <v>1</v>
      </c>
      <c r="DW180" s="39"/>
      <c r="DX180" s="39">
        <f>AVERAGE(DX153:DX179)</f>
        <v>7.9920492606027835E-2</v>
      </c>
      <c r="DY180" s="39">
        <f t="shared" ref="DY180" si="862">AVERAGE(DY153:DY179)</f>
        <v>0.15384415492752232</v>
      </c>
      <c r="DZ180" s="39">
        <f t="shared" ref="DZ180" si="863">AVERAGE(DZ153:DZ179)</f>
        <v>0.22830558072031937</v>
      </c>
      <c r="EA180" s="39">
        <f t="shared" ref="EA180" si="864">AVERAGE(EA153:EA179)</f>
        <v>0.28331150096480612</v>
      </c>
      <c r="EB180" s="39">
        <f t="shared" ref="EB180" si="865">AVERAGE(EB153:EB179)</f>
        <v>0.34906780349349614</v>
      </c>
      <c r="EC180" s="39">
        <f t="shared" ref="EC180" si="866">AVERAGE(EC153:EC179)</f>
        <v>0.41750971020454258</v>
      </c>
      <c r="ED180" s="39">
        <f t="shared" ref="ED180" si="867">AVERAGE(ED153:ED179)</f>
        <v>0.48964688628300945</v>
      </c>
      <c r="EE180" s="39">
        <f t="shared" ref="EE180" si="868">AVERAGE(EE153:EE179)</f>
        <v>0.58877191099081627</v>
      </c>
      <c r="EF180" s="39">
        <f t="shared" ref="EF180" si="869">AVERAGE(EF153:EF179)</f>
        <v>0.67579063761636937</v>
      </c>
      <c r="EG180" s="39">
        <f t="shared" ref="EG180" si="870">AVERAGE(EG153:EG179)</f>
        <v>0.77763884567388653</v>
      </c>
      <c r="EH180" s="39">
        <f t="shared" ref="EH180" si="871">AVERAGE(EH153:EH179)</f>
        <v>0.89532614055655768</v>
      </c>
      <c r="EI180" s="39">
        <f t="shared" ref="EI180" si="872">AVERAGE(EI153:EI179)</f>
        <v>1</v>
      </c>
      <c r="EK180" s="39">
        <f>AVERAGE(EK153:EK179)</f>
        <v>8.5680550256418311E-2</v>
      </c>
      <c r="EL180" s="39">
        <f t="shared" ref="EL180" si="873">AVERAGE(EL153:EL179)</f>
        <v>0.16695241970284197</v>
      </c>
      <c r="EM180" s="39">
        <f t="shared" ref="EM180" si="874">AVERAGE(EM153:EM179)</f>
        <v>0.24013750867196221</v>
      </c>
      <c r="EN180" s="39">
        <f t="shared" ref="EN180" si="875">AVERAGE(EN153:EN179)</f>
        <v>0.30562776642931699</v>
      </c>
      <c r="EO180" s="39">
        <f t="shared" ref="EO180" si="876">AVERAGE(EO153:EO179)</f>
        <v>0.37306804251376985</v>
      </c>
      <c r="EP180" s="39">
        <f t="shared" ref="EP180" si="877">AVERAGE(EP153:EP179)</f>
        <v>0.4445037393246804</v>
      </c>
      <c r="EQ180" s="39">
        <f t="shared" ref="EQ180" si="878">AVERAGE(EQ153:EQ179)</f>
        <v>0.53084511682248969</v>
      </c>
      <c r="ER180" s="39">
        <f t="shared" ref="ER180" si="879">AVERAGE(ER153:ER179)</f>
        <v>0.62112074443327592</v>
      </c>
      <c r="ES180" s="39">
        <f t="shared" ref="ES180" si="880">AVERAGE(ES153:ES179)</f>
        <v>0.69926997211115904</v>
      </c>
      <c r="ET180" s="39">
        <f t="shared" ref="ET180" si="881">AVERAGE(ET153:ET179)</f>
        <v>0.79773722450869688</v>
      </c>
      <c r="EU180" s="39">
        <f t="shared" ref="EU180" si="882">AVERAGE(EU153:EU179)</f>
        <v>0.89730207765575132</v>
      </c>
      <c r="EV180" s="39">
        <f t="shared" ref="EV180" si="883">AVERAGE(EV153:EV179)</f>
        <v>1</v>
      </c>
      <c r="EX180" s="32">
        <f t="shared" si="775"/>
        <v>9.1534044213374244E-2</v>
      </c>
      <c r="EY180" s="32">
        <f t="shared" si="776"/>
        <v>0.17529861368820945</v>
      </c>
      <c r="EZ180" s="32">
        <f t="shared" si="777"/>
        <v>0.25073474123268269</v>
      </c>
      <c r="FA180" s="32">
        <f t="shared" si="778"/>
        <v>0.31311940801796301</v>
      </c>
      <c r="FB180" s="32">
        <f t="shared" si="779"/>
        <v>0.37626867615720228</v>
      </c>
      <c r="FC180" s="32">
        <f t="shared" si="780"/>
        <v>0.44588523331779278</v>
      </c>
      <c r="FD180" s="32">
        <f t="shared" si="781"/>
        <v>0.52676958788270989</v>
      </c>
      <c r="FE180" s="32">
        <f t="shared" si="782"/>
        <v>0.61768992976090153</v>
      </c>
      <c r="FF180" s="32">
        <f t="shared" si="783"/>
        <v>0.69982678986462177</v>
      </c>
      <c r="FG180" s="32">
        <f t="shared" si="784"/>
        <v>0.79754701640455961</v>
      </c>
      <c r="FH180" s="32">
        <f t="shared" si="785"/>
        <v>0.89715927650287364</v>
      </c>
      <c r="FI180" s="32">
        <f t="shared" si="786"/>
        <v>1</v>
      </c>
      <c r="FK180" s="32">
        <f t="shared" si="847"/>
        <v>9.5405228082489704E-2</v>
      </c>
      <c r="FL180" s="32">
        <f t="shared" si="787"/>
        <v>0.18245009994177183</v>
      </c>
      <c r="FM180" s="32">
        <f t="shared" si="788"/>
        <v>0.25821112807013707</v>
      </c>
      <c r="FN180" s="32">
        <f t="shared" si="789"/>
        <v>0.32305537703568205</v>
      </c>
      <c r="FO180" s="32">
        <f t="shared" si="790"/>
        <v>0.38533563371177104</v>
      </c>
      <c r="FP180" s="32">
        <f t="shared" si="791"/>
        <v>0.45534374102220948</v>
      </c>
      <c r="FQ180" s="32">
        <f t="shared" si="792"/>
        <v>0.53914382174927677</v>
      </c>
      <c r="FR180" s="32">
        <f t="shared" si="793"/>
        <v>0.62732926935092992</v>
      </c>
      <c r="FS180" s="32">
        <f t="shared" si="794"/>
        <v>0.70783884061403934</v>
      </c>
      <c r="FT180" s="32">
        <f t="shared" si="795"/>
        <v>0.804183073314784</v>
      </c>
      <c r="FU180" s="32">
        <f t="shared" si="796"/>
        <v>0.89777032181831229</v>
      </c>
      <c r="FV180" s="32">
        <f t="shared" si="797"/>
        <v>1</v>
      </c>
      <c r="FX180" s="32">
        <f t="shared" si="798"/>
        <v>8.9789302866954815E-2</v>
      </c>
      <c r="FY180" s="32">
        <f t="shared" si="799"/>
        <v>0.16880903340739076</v>
      </c>
      <c r="FZ180" s="32">
        <f t="shared" si="800"/>
        <v>0.23716955604472556</v>
      </c>
      <c r="GA180" s="32">
        <f t="shared" si="801"/>
        <v>0.29914178864812074</v>
      </c>
      <c r="GB180" s="32">
        <f t="shared" si="802"/>
        <v>0.36314456380973725</v>
      </c>
      <c r="GC180" s="32">
        <f t="shared" si="803"/>
        <v>0.44286790775691026</v>
      </c>
      <c r="GD180" s="32">
        <f t="shared" si="804"/>
        <v>0.53048687140122042</v>
      </c>
      <c r="GE180" s="32">
        <f t="shared" si="805"/>
        <v>0.62168349966151981</v>
      </c>
      <c r="GF180" s="32">
        <f t="shared" si="806"/>
        <v>0.70926012731811383</v>
      </c>
      <c r="GG180" s="32">
        <f t="shared" si="807"/>
        <v>0.80130594692823787</v>
      </c>
      <c r="GH180" s="32">
        <f t="shared" si="808"/>
        <v>0.8955039331862692</v>
      </c>
      <c r="GI180" s="32">
        <f t="shared" si="809"/>
        <v>1</v>
      </c>
    </row>
    <row r="181" spans="1:191">
      <c r="N181" s="402">
        <f>SUM(N3:N29,N33:N59,N63:N89,N93:N119,N123:N149,N153:N179)</f>
        <v>198179071.23999998</v>
      </c>
      <c r="AC181" s="402">
        <f>SUM(AC3:AC29,AC33:AC59,AC63:AC89,AC93:AC119,AC123:AC149,AC153:AC179)</f>
        <v>169425814.05999997</v>
      </c>
      <c r="AR181" s="63">
        <f>SUM(AR3:AR29,AR33:AR59,AR63:AR89,AR93:AR119,AR123:AR149,AR153:AR179)</f>
        <v>174303019.5629999</v>
      </c>
    </row>
  </sheetData>
  <mergeCells count="84">
    <mergeCell ref="B151:N151"/>
    <mergeCell ref="B1:N1"/>
    <mergeCell ref="B31:N31"/>
    <mergeCell ref="B61:N61"/>
    <mergeCell ref="B91:N91"/>
    <mergeCell ref="B121:N121"/>
    <mergeCell ref="FK151:FV151"/>
    <mergeCell ref="EX1:FI1"/>
    <mergeCell ref="EX31:FI31"/>
    <mergeCell ref="EX61:FI61"/>
    <mergeCell ref="EX91:FI91"/>
    <mergeCell ref="EX121:FI121"/>
    <mergeCell ref="FK1:FV1"/>
    <mergeCell ref="FK31:FV31"/>
    <mergeCell ref="FK61:FV61"/>
    <mergeCell ref="FK91:FV91"/>
    <mergeCell ref="FK121:FV121"/>
    <mergeCell ref="DX31:EI31"/>
    <mergeCell ref="CX61:DI61"/>
    <mergeCell ref="DK1:DV1"/>
    <mergeCell ref="DK61:DV61"/>
    <mergeCell ref="EX151:FI151"/>
    <mergeCell ref="CX151:DI151"/>
    <mergeCell ref="DK91:DV91"/>
    <mergeCell ref="DK121:DV121"/>
    <mergeCell ref="DK151:DV151"/>
    <mergeCell ref="CX1:DI1"/>
    <mergeCell ref="CX31:DI31"/>
    <mergeCell ref="AU61:BG61"/>
    <mergeCell ref="AU91:BG91"/>
    <mergeCell ref="AU121:BG121"/>
    <mergeCell ref="AU151:BG151"/>
    <mergeCell ref="BJ61:BV61"/>
    <mergeCell ref="BJ91:BV91"/>
    <mergeCell ref="BJ121:BV121"/>
    <mergeCell ref="BJ151:BV151"/>
    <mergeCell ref="AF91:AR91"/>
    <mergeCell ref="AF121:AR121"/>
    <mergeCell ref="EK1:EV1"/>
    <mergeCell ref="EK31:EV31"/>
    <mergeCell ref="EK61:EV61"/>
    <mergeCell ref="EK91:EV91"/>
    <mergeCell ref="EK121:EV121"/>
    <mergeCell ref="DX61:EI61"/>
    <mergeCell ref="DX91:EI91"/>
    <mergeCell ref="DX121:EI121"/>
    <mergeCell ref="DX1:EI1"/>
    <mergeCell ref="AU1:BG1"/>
    <mergeCell ref="AU31:BG31"/>
    <mergeCell ref="BJ1:BV1"/>
    <mergeCell ref="BJ31:BV31"/>
    <mergeCell ref="DK31:DV31"/>
    <mergeCell ref="Q151:AC151"/>
    <mergeCell ref="CK1:CV1"/>
    <mergeCell ref="CK31:CV31"/>
    <mergeCell ref="CK61:CV61"/>
    <mergeCell ref="CK91:CV91"/>
    <mergeCell ref="CK121:CV121"/>
    <mergeCell ref="CK151:CV151"/>
    <mergeCell ref="Q1:AC1"/>
    <mergeCell ref="Q31:AC31"/>
    <mergeCell ref="Q61:AC61"/>
    <mergeCell ref="Q91:AC91"/>
    <mergeCell ref="Q121:AC121"/>
    <mergeCell ref="AF151:AR151"/>
    <mergeCell ref="AF1:AR1"/>
    <mergeCell ref="AF31:AR31"/>
    <mergeCell ref="AF61:AR61"/>
    <mergeCell ref="BX151:CI151"/>
    <mergeCell ref="FX1:GI1"/>
    <mergeCell ref="FX31:GI31"/>
    <mergeCell ref="FX61:GI61"/>
    <mergeCell ref="FX91:GI91"/>
    <mergeCell ref="FX121:GI121"/>
    <mergeCell ref="FX151:GI151"/>
    <mergeCell ref="BX1:CI1"/>
    <mergeCell ref="BX31:CI31"/>
    <mergeCell ref="BX61:CI61"/>
    <mergeCell ref="BX91:CI91"/>
    <mergeCell ref="BX121:CI121"/>
    <mergeCell ref="DX151:EI151"/>
    <mergeCell ref="EK151:EV151"/>
    <mergeCell ref="CX91:DI91"/>
    <mergeCell ref="CX121:DI121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8">
    <tabColor theme="6"/>
  </sheetPr>
  <dimension ref="A1:AW765"/>
  <sheetViews>
    <sheetView topLeftCell="AA178" zoomScale="80" zoomScaleNormal="80" workbookViewId="0">
      <selection sqref="A1:AC1"/>
    </sheetView>
  </sheetViews>
  <sheetFormatPr defaultRowHeight="15"/>
  <cols>
    <col min="1" max="1" width="10.42578125" style="808" customWidth="1"/>
    <col min="2" max="8" width="13" style="802" customWidth="1"/>
    <col min="9" max="14" width="12.7109375" style="802" customWidth="1"/>
    <col min="15" max="16" width="10.42578125" style="802" customWidth="1"/>
    <col min="17" max="20" width="12.42578125" style="802" customWidth="1"/>
    <col min="21" max="21" width="13.42578125" style="802" bestFit="1" customWidth="1"/>
    <col min="22" max="22" width="12.42578125" style="802" customWidth="1"/>
    <col min="23" max="23" width="13.42578125" style="802" customWidth="1"/>
    <col min="24" max="27" width="12.42578125" style="802" customWidth="1"/>
    <col min="28" max="28" width="13.85546875" style="802" customWidth="1"/>
    <col min="29" max="29" width="12.42578125" style="802" customWidth="1"/>
    <col min="30" max="31" width="10.42578125" style="802" customWidth="1"/>
    <col min="32" max="44" width="13.85546875" style="802" customWidth="1"/>
    <col min="45" max="45" width="15" style="802" bestFit="1" customWidth="1"/>
    <col min="46" max="46" width="12.42578125" style="804" bestFit="1" customWidth="1"/>
    <col min="47" max="47" width="9.140625" style="804"/>
    <col min="48" max="48" width="11.7109375" style="804" customWidth="1"/>
    <col min="49" max="16384" width="9.140625" style="804"/>
  </cols>
  <sheetData>
    <row r="1" spans="1:44">
      <c r="A1" s="998" t="s">
        <v>244</v>
      </c>
      <c r="B1" s="998"/>
      <c r="C1" s="998"/>
      <c r="D1" s="998"/>
      <c r="E1" s="998"/>
      <c r="F1" s="998"/>
      <c r="G1" s="998"/>
      <c r="H1" s="998"/>
      <c r="I1" s="998"/>
      <c r="J1" s="998"/>
      <c r="K1" s="998"/>
      <c r="L1" s="998"/>
      <c r="M1" s="998"/>
      <c r="N1" s="998"/>
      <c r="P1" s="998" t="s">
        <v>119</v>
      </c>
      <c r="Q1" s="998"/>
      <c r="R1" s="998"/>
      <c r="S1" s="998"/>
      <c r="T1" s="998"/>
      <c r="U1" s="998"/>
      <c r="V1" s="998"/>
      <c r="W1" s="998"/>
      <c r="X1" s="998"/>
      <c r="Y1" s="998"/>
      <c r="Z1" s="998"/>
      <c r="AA1" s="998"/>
      <c r="AB1" s="998"/>
      <c r="AC1" s="998"/>
      <c r="AE1" s="998" t="s">
        <v>243</v>
      </c>
      <c r="AF1" s="998"/>
      <c r="AG1" s="998"/>
      <c r="AH1" s="998"/>
      <c r="AI1" s="998"/>
      <c r="AJ1" s="998"/>
      <c r="AK1" s="998"/>
      <c r="AL1" s="998"/>
      <c r="AM1" s="998"/>
      <c r="AN1" s="998"/>
      <c r="AO1" s="998"/>
      <c r="AP1" s="998"/>
      <c r="AQ1" s="998"/>
      <c r="AR1" s="998"/>
    </row>
    <row r="3" spans="1:44" ht="15" customHeight="1">
      <c r="A3" s="999" t="s">
        <v>255</v>
      </c>
      <c r="B3" s="1002" t="s">
        <v>27</v>
      </c>
      <c r="C3" s="1003"/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P3" s="999" t="s">
        <v>255</v>
      </c>
      <c r="Q3" s="1002" t="s">
        <v>27</v>
      </c>
      <c r="R3" s="1003"/>
      <c r="S3" s="1003"/>
      <c r="T3" s="1003"/>
      <c r="U3" s="1003"/>
      <c r="V3" s="1003"/>
      <c r="W3" s="1003"/>
      <c r="X3" s="1003"/>
      <c r="Y3" s="1003"/>
      <c r="Z3" s="1003"/>
      <c r="AA3" s="1003"/>
      <c r="AB3" s="1003"/>
      <c r="AE3" s="999" t="s">
        <v>255</v>
      </c>
      <c r="AF3" s="1002" t="s">
        <v>27</v>
      </c>
      <c r="AG3" s="1003"/>
      <c r="AH3" s="1003"/>
      <c r="AI3" s="1003"/>
      <c r="AJ3" s="1003"/>
      <c r="AK3" s="1003"/>
      <c r="AL3" s="1003"/>
      <c r="AM3" s="1003"/>
      <c r="AN3" s="1003"/>
      <c r="AO3" s="1003"/>
      <c r="AP3" s="1003"/>
      <c r="AQ3" s="1003"/>
    </row>
    <row r="4" spans="1:44">
      <c r="A4" s="1000"/>
      <c r="B4" s="803" t="s">
        <v>106</v>
      </c>
      <c r="C4" s="803" t="s">
        <v>107</v>
      </c>
      <c r="D4" s="803" t="s">
        <v>108</v>
      </c>
      <c r="E4" s="803" t="s">
        <v>109</v>
      </c>
      <c r="F4" s="803" t="s">
        <v>110</v>
      </c>
      <c r="G4" s="803" t="s">
        <v>111</v>
      </c>
      <c r="H4" s="803" t="s">
        <v>112</v>
      </c>
      <c r="I4" s="803" t="s">
        <v>113</v>
      </c>
      <c r="J4" s="803" t="s">
        <v>114</v>
      </c>
      <c r="K4" s="803" t="s">
        <v>115</v>
      </c>
      <c r="L4" s="803" t="s">
        <v>116</v>
      </c>
      <c r="M4" s="803" t="s">
        <v>117</v>
      </c>
      <c r="N4" s="803" t="s">
        <v>118</v>
      </c>
      <c r="P4" s="1000"/>
      <c r="Q4" s="803" t="s">
        <v>106</v>
      </c>
      <c r="R4" s="803" t="s">
        <v>107</v>
      </c>
      <c r="S4" s="803" t="s">
        <v>108</v>
      </c>
      <c r="T4" s="803" t="s">
        <v>109</v>
      </c>
      <c r="U4" s="803" t="s">
        <v>110</v>
      </c>
      <c r="V4" s="803" t="s">
        <v>111</v>
      </c>
      <c r="W4" s="803" t="s">
        <v>112</v>
      </c>
      <c r="X4" s="803" t="s">
        <v>113</v>
      </c>
      <c r="Y4" s="803" t="s">
        <v>114</v>
      </c>
      <c r="Z4" s="803" t="s">
        <v>115</v>
      </c>
      <c r="AA4" s="803" t="s">
        <v>116</v>
      </c>
      <c r="AB4" s="803" t="s">
        <v>117</v>
      </c>
      <c r="AC4" s="803" t="s">
        <v>118</v>
      </c>
      <c r="AE4" s="1000"/>
      <c r="AF4" s="803" t="s">
        <v>106</v>
      </c>
      <c r="AG4" s="803" t="s">
        <v>107</v>
      </c>
      <c r="AH4" s="803" t="s">
        <v>108</v>
      </c>
      <c r="AI4" s="803" t="s">
        <v>109</v>
      </c>
      <c r="AJ4" s="803" t="s">
        <v>110</v>
      </c>
      <c r="AK4" s="803" t="s">
        <v>111</v>
      </c>
      <c r="AL4" s="803" t="s">
        <v>112</v>
      </c>
      <c r="AM4" s="803" t="s">
        <v>113</v>
      </c>
      <c r="AN4" s="803" t="s">
        <v>114</v>
      </c>
      <c r="AO4" s="803" t="s">
        <v>115</v>
      </c>
      <c r="AP4" s="803" t="s">
        <v>116</v>
      </c>
      <c r="AQ4" s="803" t="s">
        <v>117</v>
      </c>
      <c r="AR4" s="803" t="s">
        <v>118</v>
      </c>
    </row>
    <row r="5" spans="1:44">
      <c r="A5" s="137" t="s">
        <v>77</v>
      </c>
      <c r="B5" s="800">
        <f>$Q212*'Médias por UF'!FX3</f>
        <v>22378.428610677849</v>
      </c>
      <c r="C5" s="800">
        <f>$B212*'Médias por UF'!FY3</f>
        <v>74689.888809603071</v>
      </c>
      <c r="D5" s="800">
        <f>$B212*'Médias por UF'!FZ3</f>
        <v>105483.46752764157</v>
      </c>
      <c r="E5" s="800">
        <f>$B212*'Médias por UF'!GA3</f>
        <v>130434.51365521898</v>
      </c>
      <c r="F5" s="800">
        <f>$B212*'Médias por UF'!GB3</f>
        <v>157906.2337847118</v>
      </c>
      <c r="G5" s="800">
        <f>$B212*'Médias por UF'!GC3</f>
        <v>188629.12275176067</v>
      </c>
      <c r="H5" s="800">
        <f>$B212*'Médias por UF'!GD3</f>
        <v>214865.77201609363</v>
      </c>
      <c r="I5" s="800">
        <f>$B212*'Médias por UF'!GE3</f>
        <v>237608.61132361344</v>
      </c>
      <c r="J5" s="800">
        <f>$B212*'Médias por UF'!GF3</f>
        <v>251665.13575219706</v>
      </c>
      <c r="K5" s="800">
        <f>$B212*'Médias por UF'!GG3</f>
        <v>259395.87022012338</v>
      </c>
      <c r="L5" s="800">
        <f>$B212*'Médias por UF'!GH3</f>
        <v>268175.07709166553</v>
      </c>
      <c r="M5" s="800">
        <f>$B212*'Médias por UF'!GI3</f>
        <v>278482.73</v>
      </c>
      <c r="N5" s="800">
        <f>M5</f>
        <v>278482.73</v>
      </c>
      <c r="P5" s="138" t="s">
        <v>77</v>
      </c>
      <c r="Q5" s="800">
        <f>$Q212*'Médias por UF'!FX3</f>
        <v>22378.428610677849</v>
      </c>
      <c r="R5" s="800">
        <f>$Q212*'Médias por UF'!FY3</f>
        <v>46461.35701253415</v>
      </c>
      <c r="S5" s="800">
        <f>$Q212*'Médias por UF'!FZ3</f>
        <v>65616.713611865562</v>
      </c>
      <c r="T5" s="800">
        <f>$Q212*'Médias por UF'!GA3</f>
        <v>81137.682787823593</v>
      </c>
      <c r="U5" s="800">
        <f>$Q212*'Médias por UF'!GB3</f>
        <v>98226.654495071329</v>
      </c>
      <c r="V5" s="800">
        <f>$Q212*'Médias por UF'!GC3</f>
        <v>117338.0380505249</v>
      </c>
      <c r="W5" s="800">
        <f>$Q212*'Médias por UF'!GD3</f>
        <v>133658.72546499173</v>
      </c>
      <c r="X5" s="800">
        <f>$Q212*'Médias por UF'!GE3</f>
        <v>147806.06446075568</v>
      </c>
      <c r="Y5" s="800">
        <f>$Q212*'Médias por UF'!GF3</f>
        <v>156550.02177868201</v>
      </c>
      <c r="Z5" s="800">
        <f>$Q212*'Médias por UF'!GG3</f>
        <v>161358.97811544986</v>
      </c>
      <c r="AA5" s="800">
        <f>$Q212*'Médias por UF'!GH3</f>
        <v>166820.14389366386</v>
      </c>
      <c r="AB5" s="800">
        <f>$Q212*'Médias por UF'!GI3</f>
        <v>173232.09</v>
      </c>
      <c r="AC5" s="800">
        <f>AB5</f>
        <v>173232.09</v>
      </c>
      <c r="AE5" s="138" t="s">
        <v>77</v>
      </c>
      <c r="AF5" s="800">
        <f>JAN!$S5</f>
        <v>13954.04</v>
      </c>
      <c r="AG5" s="800">
        <f>FEV!$S5</f>
        <v>21182.608</v>
      </c>
      <c r="AH5" s="800">
        <f>MAR!$S5</f>
        <v>22564.648000000001</v>
      </c>
      <c r="AI5" s="800">
        <f>ABR!$S5</f>
        <v>14084.392000000002</v>
      </c>
      <c r="AJ5" s="800">
        <f>MAI!$S5</f>
        <v>20661.968000000001</v>
      </c>
      <c r="AK5" s="800">
        <f>JUN!$S5</f>
        <v>18805.28</v>
      </c>
      <c r="AL5" s="800">
        <f>JUL!$S5</f>
        <v>16574.488000000001</v>
      </c>
      <c r="AM5" s="800">
        <f>AGO!$S5</f>
        <v>11541.864000000001</v>
      </c>
      <c r="AN5" s="800">
        <f>SET!$S5</f>
        <v>6457.648000000001</v>
      </c>
      <c r="AO5" s="800">
        <f>OUT!$S5*0</f>
        <v>0</v>
      </c>
      <c r="AP5" s="800">
        <f>NOV!$S5*0</f>
        <v>0</v>
      </c>
      <c r="AQ5" s="800">
        <f>DEZ!$S5*0</f>
        <v>0</v>
      </c>
      <c r="AR5" s="800">
        <f>SUM(AF5:AQ5)</f>
        <v>145826.93599999999</v>
      </c>
    </row>
    <row r="6" spans="1:44">
      <c r="A6" s="137" t="s">
        <v>78</v>
      </c>
      <c r="B6" s="800">
        <f>$B213*'Médias por UF'!FX4</f>
        <v>157144.44671960222</v>
      </c>
      <c r="C6" s="800">
        <f>$B213*'Médias por UF'!FY4</f>
        <v>332527.24337199103</v>
      </c>
      <c r="D6" s="800">
        <f>$B213*'Médias por UF'!FZ4</f>
        <v>418276.1724244518</v>
      </c>
      <c r="E6" s="800">
        <f>$B213*'Médias por UF'!GA4</f>
        <v>490766.72767700936</v>
      </c>
      <c r="F6" s="800">
        <f>$B213*'Médias por UF'!GB4</f>
        <v>558687.8635586435</v>
      </c>
      <c r="G6" s="800">
        <f>$B213*'Médias por UF'!GC4</f>
        <v>621128.06406906212</v>
      </c>
      <c r="H6" s="800">
        <f>$B213*'Médias por UF'!GD4</f>
        <v>678229.90623210487</v>
      </c>
      <c r="I6" s="800">
        <f>$B213*'Médias por UF'!GE4</f>
        <v>733228.18751478277</v>
      </c>
      <c r="J6" s="800">
        <f>$B213*'Médias por UF'!GF4</f>
        <v>760989.88191818749</v>
      </c>
      <c r="K6" s="800">
        <f>$B213*'Médias por UF'!GG4</f>
        <v>781898.19366629515</v>
      </c>
      <c r="L6" s="800">
        <f>$B213*'Médias por UF'!GH4</f>
        <v>805291.05690346332</v>
      </c>
      <c r="M6" s="800">
        <f>$B213*'Médias por UF'!GI4</f>
        <v>837413.81</v>
      </c>
      <c r="N6" s="800">
        <f t="shared" ref="N6:N31" si="0">M6</f>
        <v>837413.81</v>
      </c>
      <c r="P6" s="138" t="s">
        <v>78</v>
      </c>
      <c r="Q6" s="800">
        <f>$Q213*'Médias por UF'!FX4</f>
        <v>104840.64529962625</v>
      </c>
      <c r="R6" s="800">
        <f>$Q213*'Médias por UF'!FY4</f>
        <v>221849.20627218491</v>
      </c>
      <c r="S6" s="800">
        <f>$Q213*'Médias por UF'!FZ4</f>
        <v>279057.5470266816</v>
      </c>
      <c r="T6" s="800">
        <f>$Q213*'Médias por UF'!GA4</f>
        <v>327420.41793593613</v>
      </c>
      <c r="U6" s="800">
        <f>$Q213*'Médias por UF'!GB4</f>
        <v>372734.75047496735</v>
      </c>
      <c r="V6" s="800">
        <f>$Q213*'Médias por UF'!GC4</f>
        <v>414392.41672283068</v>
      </c>
      <c r="W6" s="800">
        <f>$Q213*'Médias por UF'!GD4</f>
        <v>452488.53850849502</v>
      </c>
      <c r="X6" s="800">
        <f>$Q213*'Médias por UF'!GE4</f>
        <v>489181.24652594642</v>
      </c>
      <c r="Y6" s="800">
        <f>$Q213*'Médias por UF'!GF4</f>
        <v>507702.76616359141</v>
      </c>
      <c r="Z6" s="800">
        <f>$Q213*'Médias por UF'!GG4</f>
        <v>521651.9762155934</v>
      </c>
      <c r="AA6" s="800">
        <f>$Q213*'Médias por UF'!GH4</f>
        <v>537258.7821090701</v>
      </c>
      <c r="AB6" s="800">
        <f>$Q213*'Médias por UF'!GI4</f>
        <v>558689.82999999996</v>
      </c>
      <c r="AC6" s="800">
        <f>AB6</f>
        <v>558689.82999999996</v>
      </c>
      <c r="AE6" s="138" t="s">
        <v>78</v>
      </c>
      <c r="AF6" s="800">
        <f>JAN!$S6</f>
        <v>80737.26400000001</v>
      </c>
      <c r="AG6" s="800">
        <f>FEV!$S6</f>
        <v>110854.81599999999</v>
      </c>
      <c r="AH6" s="800">
        <f>MAR!$S6</f>
        <v>82566.872000000003</v>
      </c>
      <c r="AI6" s="800">
        <f>ABR!$S6</f>
        <v>47907.144</v>
      </c>
      <c r="AJ6" s="800">
        <f>MAI!$S6</f>
        <v>41121.4</v>
      </c>
      <c r="AK6" s="800">
        <f>JUN!$S6</f>
        <v>59599.080000000009</v>
      </c>
      <c r="AL6" s="800">
        <f>JUL!$S6</f>
        <v>41764.712</v>
      </c>
      <c r="AM6" s="800">
        <f>AGO!$S6</f>
        <v>17943.328000000001</v>
      </c>
      <c r="AN6" s="800">
        <f>SET!$S6</f>
        <v>12681.928</v>
      </c>
      <c r="AO6" s="800">
        <f>OUT!$S6*0</f>
        <v>0</v>
      </c>
      <c r="AP6" s="800">
        <f>NOV!$S6*0</f>
        <v>0</v>
      </c>
      <c r="AQ6" s="800">
        <f>DEZ!$S6*0</f>
        <v>0</v>
      </c>
      <c r="AR6" s="800">
        <f t="shared" ref="AR6:AR31" si="1">SUM(AF6:AQ6)</f>
        <v>495176.54400000005</v>
      </c>
    </row>
    <row r="7" spans="1:44">
      <c r="A7" s="137" t="s">
        <v>79</v>
      </c>
      <c r="B7" s="800">
        <f>$B214*'Médias por UF'!FX5</f>
        <v>45807.196720501575</v>
      </c>
      <c r="C7" s="800">
        <f>$B214*'Médias por UF'!FY5</f>
        <v>99410.361666960627</v>
      </c>
      <c r="D7" s="800">
        <f>$B214*'Médias por UF'!FZ5</f>
        <v>141417.1905003342</v>
      </c>
      <c r="E7" s="800">
        <f>$B214*'Médias por UF'!GA5</f>
        <v>173495.71028916759</v>
      </c>
      <c r="F7" s="800">
        <f>$B214*'Médias por UF'!GB5</f>
        <v>207134.52016685219</v>
      </c>
      <c r="G7" s="800">
        <f>$B214*'Médias por UF'!GC5</f>
        <v>244993.80523840111</v>
      </c>
      <c r="H7" s="800">
        <f>$B214*'Médias por UF'!GD5</f>
        <v>279618.20248932939</v>
      </c>
      <c r="I7" s="800">
        <f>$B214*'Médias por UF'!GE5</f>
        <v>312855.09347615647</v>
      </c>
      <c r="J7" s="800">
        <f>$B214*'Médias por UF'!GF5</f>
        <v>328691.61790518888</v>
      </c>
      <c r="K7" s="800">
        <f>$B214*'Médias por UF'!GG5</f>
        <v>336846.2120246212</v>
      </c>
      <c r="L7" s="800">
        <f>$B214*'Médias por UF'!GH5</f>
        <v>347025.31073165388</v>
      </c>
      <c r="M7" s="800">
        <f>$B214*'Médias por UF'!GI5</f>
        <v>360617.41000000003</v>
      </c>
      <c r="N7" s="800">
        <f t="shared" si="0"/>
        <v>360617.41000000003</v>
      </c>
      <c r="P7" s="138" t="s">
        <v>79</v>
      </c>
      <c r="Q7" s="800">
        <f>$Q214*'Médias por UF'!FX5</f>
        <v>24641.672081346613</v>
      </c>
      <c r="R7" s="800">
        <f>$Q214*'Médias por UF'!FY5</f>
        <v>53477.132613726346</v>
      </c>
      <c r="S7" s="800">
        <f>$Q214*'Médias por UF'!FZ5</f>
        <v>76074.422458925881</v>
      </c>
      <c r="T7" s="800">
        <f>$Q214*'Médias por UF'!GA5</f>
        <v>93330.845512154046</v>
      </c>
      <c r="U7" s="800">
        <f>$Q214*'Médias por UF'!GB5</f>
        <v>111426.61608004988</v>
      </c>
      <c r="V7" s="800">
        <f>$Q214*'Médias por UF'!GC5</f>
        <v>131792.76277223093</v>
      </c>
      <c r="W7" s="800">
        <f>$Q214*'Médias por UF'!GD5</f>
        <v>150418.72341063409</v>
      </c>
      <c r="X7" s="800">
        <f>$Q214*'Médias por UF'!GE5</f>
        <v>168298.28442586426</v>
      </c>
      <c r="Y7" s="800">
        <f>$Q214*'Médias por UF'!GF5</f>
        <v>176817.43577820613</v>
      </c>
      <c r="Z7" s="800">
        <v>100</v>
      </c>
      <c r="AA7" s="800">
        <f>$Q214*'Médias por UF'!GH5</f>
        <v>186679.92200338241</v>
      </c>
      <c r="AB7" s="800">
        <f>$Q214*'Médias por UF'!GI5</f>
        <v>193991.7</v>
      </c>
      <c r="AC7" s="800">
        <f t="shared" ref="AC7:AC31" si="2">AB7</f>
        <v>193991.7</v>
      </c>
      <c r="AE7" s="138" t="s">
        <v>79</v>
      </c>
      <c r="AF7" s="800">
        <f>JAN!$S7</f>
        <v>14083.384</v>
      </c>
      <c r="AG7" s="800">
        <f>FEV!$S7</f>
        <v>22179.928</v>
      </c>
      <c r="AH7" s="800">
        <f>MAR!$S7</f>
        <v>26225.296000000002</v>
      </c>
      <c r="AI7" s="800">
        <f>ABR!$S7</f>
        <v>16615.04</v>
      </c>
      <c r="AJ7" s="800">
        <f>MAI!$S7</f>
        <v>19574.935999999998</v>
      </c>
      <c r="AK7" s="800">
        <f>JUN!$S7</f>
        <v>20358.792000000001</v>
      </c>
      <c r="AL7" s="800">
        <f>JUL!$S7</f>
        <v>21805.864000000001</v>
      </c>
      <c r="AM7" s="800">
        <f>AGO!$S7</f>
        <v>9724.9040000000005</v>
      </c>
      <c r="AN7" s="800">
        <f>SET!$S7</f>
        <v>7783.1039999999994</v>
      </c>
      <c r="AO7" s="800">
        <f>OUT!$S7*0</f>
        <v>0</v>
      </c>
      <c r="AP7" s="800">
        <f>NOV!$S7*0</f>
        <v>0</v>
      </c>
      <c r="AQ7" s="800">
        <f>DEZ!$S7*0</f>
        <v>0</v>
      </c>
      <c r="AR7" s="800">
        <f t="shared" si="1"/>
        <v>158351.24799999999</v>
      </c>
    </row>
    <row r="8" spans="1:44">
      <c r="A8" s="137" t="s">
        <v>80</v>
      </c>
      <c r="B8" s="800">
        <f>$B215*'Médias por UF'!FX6</f>
        <v>116264.65790422134</v>
      </c>
      <c r="C8" s="800">
        <f>$B215*'Médias por UF'!FY6</f>
        <v>259103.9074887865</v>
      </c>
      <c r="D8" s="800">
        <f>$B215*'Médias por UF'!FZ6</f>
        <v>381405.15724962571</v>
      </c>
      <c r="E8" s="800">
        <f>$B215*'Médias por UF'!GA6</f>
        <v>477432.25596558308</v>
      </c>
      <c r="F8" s="800">
        <f>$B215*'Médias por UF'!GB6</f>
        <v>579765.97836162581</v>
      </c>
      <c r="G8" s="800">
        <f>$B215*'Médias por UF'!GC6</f>
        <v>687409.25645981974</v>
      </c>
      <c r="H8" s="800">
        <f>$B215*'Médias por UF'!GD6</f>
        <v>761206.41650265537</v>
      </c>
      <c r="I8" s="800">
        <f>$B215*'Médias por UF'!GE6</f>
        <v>834926.07756183471</v>
      </c>
      <c r="J8" s="800">
        <f>$B215*'Médias por UF'!GF6</f>
        <v>875754.80387370428</v>
      </c>
      <c r="K8" s="800">
        <f>$B215*'Médias por UF'!GG6</f>
        <v>905360.50014891312</v>
      </c>
      <c r="L8" s="800">
        <f>$B215*'Médias por UF'!GH6</f>
        <v>932855.24956091482</v>
      </c>
      <c r="M8" s="800">
        <f>$B215*'Médias por UF'!GI6</f>
        <v>967502.23</v>
      </c>
      <c r="N8" s="800">
        <f t="shared" si="0"/>
        <v>967502.23</v>
      </c>
      <c r="P8" s="138" t="s">
        <v>80</v>
      </c>
      <c r="Q8" s="800">
        <f>$Q215*'Médias por UF'!FX6</f>
        <v>67867.161942646067</v>
      </c>
      <c r="R8" s="800">
        <f>$Q215*'Médias por UF'!FY6</f>
        <v>151246.70872897649</v>
      </c>
      <c r="S8" s="800">
        <f>$Q215*'Médias por UF'!FZ6</f>
        <v>222637.61008220288</v>
      </c>
      <c r="T8" s="800">
        <f>$Q215*'Médias por UF'!GA6</f>
        <v>278691.5027862704</v>
      </c>
      <c r="U8" s="800">
        <f>$Q215*'Médias por UF'!GB6</f>
        <v>338426.76056140085</v>
      </c>
      <c r="V8" s="800">
        <f>$Q215*'Médias por UF'!GC6</f>
        <v>401261.36497528583</v>
      </c>
      <c r="W8" s="800">
        <f>$Q215*'Médias por UF'!GD6</f>
        <v>444338.97688087809</v>
      </c>
      <c r="X8" s="800">
        <f>$Q215*'Médias por UF'!GE6</f>
        <v>487371.35030928382</v>
      </c>
      <c r="Y8" s="800">
        <f>$Q215*'Médias por UF'!GF6</f>
        <v>511204.30032580841</v>
      </c>
      <c r="Z8" s="800">
        <f>$Q215*'Médias por UF'!GG6</f>
        <v>528486.03167696076</v>
      </c>
      <c r="AA8" s="800">
        <f>$Q215*'Médias por UF'!GH6</f>
        <v>544535.54013940343</v>
      </c>
      <c r="AB8" s="800">
        <f>$Q215*'Médias por UF'!GI6</f>
        <v>564760.02</v>
      </c>
      <c r="AC8" s="800">
        <f t="shared" si="2"/>
        <v>564760.02</v>
      </c>
      <c r="AE8" s="138" t="s">
        <v>80</v>
      </c>
      <c r="AF8" s="800">
        <f>JAN!$S8</f>
        <v>43704.776000000005</v>
      </c>
      <c r="AG8" s="800">
        <f>FEV!$S8</f>
        <v>56372.152000000002</v>
      </c>
      <c r="AH8" s="800">
        <f>MAR!$S8</f>
        <v>73756.728000000003</v>
      </c>
      <c r="AI8" s="800">
        <f>ABR!$S8</f>
        <v>50320.072</v>
      </c>
      <c r="AJ8" s="800">
        <f>MAI!$S8</f>
        <v>48918.688000000002</v>
      </c>
      <c r="AK8" s="800">
        <f>JUN!$S8</f>
        <v>67248.280000000013</v>
      </c>
      <c r="AL8" s="800">
        <f>JUL!$S8</f>
        <v>49223.200000000004</v>
      </c>
      <c r="AM8" s="800">
        <f>AGO!$S8</f>
        <v>20361.832000000002</v>
      </c>
      <c r="AN8" s="800">
        <f>SET!$S8</f>
        <v>12703.224000000002</v>
      </c>
      <c r="AO8" s="800">
        <f>OUT!$S8*0</f>
        <v>0</v>
      </c>
      <c r="AP8" s="800">
        <f>NOV!$S8*0</f>
        <v>0</v>
      </c>
      <c r="AQ8" s="800">
        <f>DEZ!$S8*0</f>
        <v>0</v>
      </c>
      <c r="AR8" s="800">
        <f t="shared" si="1"/>
        <v>422608.95200000005</v>
      </c>
    </row>
    <row r="9" spans="1:44">
      <c r="A9" s="137" t="s">
        <v>81</v>
      </c>
      <c r="B9" s="800">
        <f>$B216*'Médias por UF'!FX7</f>
        <v>428180.72426166118</v>
      </c>
      <c r="C9" s="800">
        <f>$B216*'Médias por UF'!FY7</f>
        <v>935246.38798494695</v>
      </c>
      <c r="D9" s="800">
        <f>$B216*'Médias por UF'!FZ7</f>
        <v>1221118.3551140304</v>
      </c>
      <c r="E9" s="800">
        <f>$B216*'Médias por UF'!GA7</f>
        <v>1435878.8902534351</v>
      </c>
      <c r="F9" s="800">
        <f>$B216*'Médias por UF'!GB7</f>
        <v>1639221.0738408361</v>
      </c>
      <c r="G9" s="800">
        <f>$B216*'Médias por UF'!GC7</f>
        <v>1860678.3003409994</v>
      </c>
      <c r="H9" s="800">
        <f>$B216*'Médias por UF'!GD7</f>
        <v>2042516.8428486756</v>
      </c>
      <c r="I9" s="800">
        <f>$B216*'Médias por UF'!GE7</f>
        <v>2217718.9527617358</v>
      </c>
      <c r="J9" s="800">
        <f>$B216*'Médias por UF'!GF7</f>
        <v>2322730.881970997</v>
      </c>
      <c r="K9" s="800">
        <f>$B216*'Médias por UF'!GG7</f>
        <v>2389155.0983066275</v>
      </c>
      <c r="L9" s="800">
        <f>$B216*'Médias por UF'!GH7</f>
        <v>2468547.7198471697</v>
      </c>
      <c r="M9" s="800">
        <f>$B216*'Médias por UF'!GI7</f>
        <v>2547294.12</v>
      </c>
      <c r="N9" s="800">
        <f t="shared" si="0"/>
        <v>2547294.12</v>
      </c>
      <c r="P9" s="138" t="s">
        <v>81</v>
      </c>
      <c r="Q9" s="800">
        <f>$Q216*'Médias por UF'!FX7</f>
        <v>290056.55526759179</v>
      </c>
      <c r="R9" s="800">
        <f>$Q216*'Médias por UF'!FY7</f>
        <v>633551.04574860691</v>
      </c>
      <c r="S9" s="800">
        <f>$Q216*'Médias por UF'!FZ7</f>
        <v>827205.34482060419</v>
      </c>
      <c r="T9" s="800">
        <f>$Q216*'Médias por UF'!GA7</f>
        <v>972687.60850114597</v>
      </c>
      <c r="U9" s="800">
        <f>$Q216*'Médias por UF'!GB7</f>
        <v>1110434.8959664002</v>
      </c>
      <c r="V9" s="800">
        <f>$Q216*'Médias por UF'!GC7</f>
        <v>1260453.6068005154</v>
      </c>
      <c r="W9" s="800">
        <f>$Q216*'Médias por UF'!GD7</f>
        <v>1383633.9796339844</v>
      </c>
      <c r="X9" s="800">
        <f>$Q216*'Médias por UF'!GE7</f>
        <v>1502318.7255777111</v>
      </c>
      <c r="Y9" s="800">
        <f>$Q216*'Médias por UF'!GF7</f>
        <v>1573455.5066669709</v>
      </c>
      <c r="Z9" s="800">
        <f>$Q216*'Médias por UF'!GG7</f>
        <v>1618452.3462838996</v>
      </c>
      <c r="AA9" s="800">
        <f>$Q216*'Médias por UF'!GH7</f>
        <v>1672234.1935574368</v>
      </c>
      <c r="AB9" s="800">
        <f>$Q216*'Médias por UF'!GI7</f>
        <v>1725578.28</v>
      </c>
      <c r="AC9" s="800">
        <f t="shared" si="2"/>
        <v>1725578.28</v>
      </c>
      <c r="AE9" s="138" t="s">
        <v>81</v>
      </c>
      <c r="AF9" s="800">
        <f>JAN!$S9</f>
        <v>231566.07999999999</v>
      </c>
      <c r="AG9" s="800">
        <f>FEV!$S9</f>
        <v>280273.24</v>
      </c>
      <c r="AH9" s="800">
        <f>MAR!$S9</f>
        <v>293871.56800000003</v>
      </c>
      <c r="AI9" s="800">
        <f>ABR!$S9</f>
        <v>129599.92800000001</v>
      </c>
      <c r="AJ9" s="800">
        <f>MAI!$S9</f>
        <v>161512.38400000002</v>
      </c>
      <c r="AK9" s="800">
        <f>JUN!$S9</f>
        <v>171049.74400000001</v>
      </c>
      <c r="AL9" s="800">
        <f>JUL!$S9</f>
        <v>136445.44</v>
      </c>
      <c r="AM9" s="800">
        <f>AGO!$S9</f>
        <v>66028.335999999996</v>
      </c>
      <c r="AN9" s="800">
        <f>SET!$S9</f>
        <v>59893.168000000005</v>
      </c>
      <c r="AO9" s="800">
        <f>OUT!$S9*0</f>
        <v>0</v>
      </c>
      <c r="AP9" s="800">
        <f>NOV!$S9*0</f>
        <v>0</v>
      </c>
      <c r="AQ9" s="800">
        <f>DEZ!$S9*0</f>
        <v>0</v>
      </c>
      <c r="AR9" s="800">
        <f t="shared" si="1"/>
        <v>1530239.888</v>
      </c>
    </row>
    <row r="10" spans="1:44">
      <c r="A10" s="137" t="s">
        <v>82</v>
      </c>
      <c r="B10" s="800">
        <f>$B217*'Médias por UF'!FX8</f>
        <v>364882.89010533423</v>
      </c>
      <c r="C10" s="800">
        <f>$B217*'Médias por UF'!FY8</f>
        <v>672860.29919048224</v>
      </c>
      <c r="D10" s="800">
        <f>$B217*'Médias por UF'!FZ8</f>
        <v>849102.38737490424</v>
      </c>
      <c r="E10" s="800">
        <f>$B217*'Médias por UF'!GA8</f>
        <v>978503.6107711693</v>
      </c>
      <c r="F10" s="800">
        <f>$B217*'Médias por UF'!GB8</f>
        <v>1106690.489049606</v>
      </c>
      <c r="G10" s="800">
        <f>$B217*'Médias por UF'!GC8</f>
        <v>1254592.0009784203</v>
      </c>
      <c r="H10" s="800">
        <f>$B217*'Médias por UF'!GD8</f>
        <v>1386591.2710296558</v>
      </c>
      <c r="I10" s="800">
        <f>$B217*'Médias por UF'!GE8</f>
        <v>1494440.2062455327</v>
      </c>
      <c r="J10" s="800">
        <f>$B217*'Médias por UF'!GF8</f>
        <v>1562143.1998137031</v>
      </c>
      <c r="K10" s="800">
        <f>$B217*'Médias por UF'!GG8</f>
        <v>1606956.5068472952</v>
      </c>
      <c r="L10" s="800">
        <f>$B217*'Médias por UF'!GH8</f>
        <v>1651637.3542685767</v>
      </c>
      <c r="M10" s="800">
        <f>$B217*'Médias por UF'!GI8</f>
        <v>1694723.2000000002</v>
      </c>
      <c r="N10" s="800">
        <f t="shared" si="0"/>
        <v>1694723.2000000002</v>
      </c>
      <c r="P10" s="138" t="s">
        <v>82</v>
      </c>
      <c r="Q10" s="800">
        <f>$Q217*'Médias por UF'!FX8</f>
        <v>247646.23586851521</v>
      </c>
      <c r="R10" s="800">
        <f>$Q217*'Médias por UF'!FY8</f>
        <v>456670.68771512638</v>
      </c>
      <c r="S10" s="800">
        <f>$Q217*'Médias por UF'!FZ8</f>
        <v>576286.29843307321</v>
      </c>
      <c r="T10" s="800">
        <f>$Q217*'Médias por UF'!GA8</f>
        <v>664110.98618868412</v>
      </c>
      <c r="U10" s="800">
        <f>$Q217*'Médias por UF'!GB8</f>
        <v>751111.49718613399</v>
      </c>
      <c r="V10" s="800">
        <f>$Q217*'Médias por UF'!GC8</f>
        <v>851492.34183976951</v>
      </c>
      <c r="W10" s="800">
        <f>$Q217*'Médias por UF'!GD8</f>
        <v>941080.3254148378</v>
      </c>
      <c r="X10" s="800">
        <f>$Q217*'Médias por UF'!GE8</f>
        <v>1014277.4622850514</v>
      </c>
      <c r="Y10" s="800">
        <f>$Q217*'Médias por UF'!GF8</f>
        <v>1060227.5245347435</v>
      </c>
      <c r="Z10" s="800">
        <f>$Q217*'Médias por UF'!GG8</f>
        <v>1090642.3428357206</v>
      </c>
      <c r="AA10" s="800">
        <f>$Q217*'Médias por UF'!GH8</f>
        <v>1120967.2607185559</v>
      </c>
      <c r="AB10" s="800">
        <f>$Q217*'Médias por UF'!GI8</f>
        <v>1150209.6499999999</v>
      </c>
      <c r="AC10" s="800">
        <f t="shared" si="2"/>
        <v>1150209.6499999999</v>
      </c>
      <c r="AE10" s="138" t="s">
        <v>82</v>
      </c>
      <c r="AF10" s="800">
        <f>JAN!$S10</f>
        <v>191930.12</v>
      </c>
      <c r="AG10" s="800">
        <f>FEV!$S10</f>
        <v>201744.71200000003</v>
      </c>
      <c r="AH10" s="800">
        <f>MAR!$S10</f>
        <v>175314.88</v>
      </c>
      <c r="AI10" s="800">
        <f>ABR!$S10</f>
        <v>68408.384000000005</v>
      </c>
      <c r="AJ10" s="800">
        <f>MAI!$S10</f>
        <v>93006.52</v>
      </c>
      <c r="AK10" s="800">
        <f>JUN!$S10</f>
        <v>129730.56000000001</v>
      </c>
      <c r="AL10" s="800">
        <f>JUL!$S10</f>
        <v>113325.376</v>
      </c>
      <c r="AM10" s="800">
        <f>AGO!$S10</f>
        <v>64609.376000000004</v>
      </c>
      <c r="AN10" s="800">
        <f>SET!$S10</f>
        <v>45471.415999999997</v>
      </c>
      <c r="AO10" s="800">
        <f>OUT!$S10*0</f>
        <v>0</v>
      </c>
      <c r="AP10" s="800">
        <f>NOV!$S10*0</f>
        <v>0</v>
      </c>
      <c r="AQ10" s="800">
        <f>DEZ!$S10*0</f>
        <v>0</v>
      </c>
      <c r="AR10" s="800">
        <f t="shared" si="1"/>
        <v>1083541.3440000003</v>
      </c>
    </row>
    <row r="11" spans="1:44">
      <c r="A11" s="137" t="s">
        <v>83</v>
      </c>
      <c r="B11" s="800">
        <f>$B218*'Médias por UF'!FX9</f>
        <v>456083.04467373242</v>
      </c>
      <c r="C11" s="800">
        <f>$B218*'Médias por UF'!FY9</f>
        <v>1092580.8958882098</v>
      </c>
      <c r="D11" s="800">
        <f>$B218*'Médias por UF'!FZ9</f>
        <v>1390904.8180232882</v>
      </c>
      <c r="E11" s="800">
        <f>$B218*'Médias por UF'!GA9</f>
        <v>1618856.0613608693</v>
      </c>
      <c r="F11" s="800">
        <f>$B218*'Médias por UF'!GB9</f>
        <v>1813534.0498039648</v>
      </c>
      <c r="G11" s="800">
        <f>$B218*'Médias por UF'!GC9</f>
        <v>2028047.9555616095</v>
      </c>
      <c r="H11" s="800">
        <f>$B218*'Médias por UF'!GD9</f>
        <v>2173029.3996128845</v>
      </c>
      <c r="I11" s="800">
        <f>$B218*'Médias por UF'!GE9</f>
        <v>2317095.8464550739</v>
      </c>
      <c r="J11" s="800">
        <f>$B218*'Médias por UF'!GF9</f>
        <v>2395184.4699525139</v>
      </c>
      <c r="K11" s="800">
        <f>$B218*'Médias por UF'!GG9</f>
        <v>2446019.442700367</v>
      </c>
      <c r="L11" s="800">
        <f>$B218*'Médias por UF'!GH9</f>
        <v>2505775.2407501754</v>
      </c>
      <c r="M11" s="800">
        <f>$B218*'Médias por UF'!GI9</f>
        <v>2566672.96</v>
      </c>
      <c r="N11" s="800">
        <f t="shared" si="0"/>
        <v>2566672.96</v>
      </c>
      <c r="P11" s="138" t="s">
        <v>83</v>
      </c>
      <c r="Q11" s="800">
        <f>$Q218*'Médias por UF'!FX9</f>
        <v>313448.81699461065</v>
      </c>
      <c r="R11" s="800">
        <f>$Q218*'Médias por UF'!FY9</f>
        <v>750889.98217871098</v>
      </c>
      <c r="S11" s="800">
        <f>$Q218*'Médias por UF'!FZ9</f>
        <v>955916.85517138324</v>
      </c>
      <c r="T11" s="800">
        <f>$Q218*'Médias por UF'!GA9</f>
        <v>1112579.2182893308</v>
      </c>
      <c r="U11" s="800">
        <f>$Q218*'Médias por UF'!GB9</f>
        <v>1246374.1178915112</v>
      </c>
      <c r="V11" s="800">
        <f>$Q218*'Médias por UF'!GC9</f>
        <v>1393801.5015091766</v>
      </c>
      <c r="W11" s="800">
        <f>$Q218*'Médias por UF'!GD9</f>
        <v>1493441.8250308542</v>
      </c>
      <c r="X11" s="800">
        <f>$Q218*'Médias por UF'!GE9</f>
        <v>1592453.3051958438</v>
      </c>
      <c r="Y11" s="800">
        <f>$Q218*'Médias por UF'!GF9</f>
        <v>1646120.6952509161</v>
      </c>
      <c r="Z11" s="800">
        <f>$Q218*'Médias por UF'!GG9</f>
        <v>1681057.6705580479</v>
      </c>
      <c r="AA11" s="800">
        <f>$Q218*'Médias por UF'!GH9</f>
        <v>1722125.5954151985</v>
      </c>
      <c r="AB11" s="800">
        <f>$Q218*'Médias por UF'!GI9</f>
        <v>1763978.32</v>
      </c>
      <c r="AC11" s="800">
        <f t="shared" si="2"/>
        <v>1763978.32</v>
      </c>
      <c r="AE11" s="138" t="s">
        <v>83</v>
      </c>
      <c r="AF11" s="800">
        <f>JAN!$S11</f>
        <v>252936.65600000002</v>
      </c>
      <c r="AG11" s="800">
        <f>FEV!$S11</f>
        <v>357140.37599999999</v>
      </c>
      <c r="AH11" s="800">
        <f>MAR!$S11</f>
        <v>264620.72000000003</v>
      </c>
      <c r="AI11" s="800">
        <f>ABR!$S11</f>
        <v>126403.64</v>
      </c>
      <c r="AJ11" s="800">
        <f>MAI!$S11</f>
        <v>152377.67199999999</v>
      </c>
      <c r="AK11" s="800">
        <f>JUN!$S11</f>
        <v>185119.79200000002</v>
      </c>
      <c r="AL11" s="800">
        <f>JUL!$S11</f>
        <v>163041.91200000001</v>
      </c>
      <c r="AM11" s="800">
        <f>AGO!$S11</f>
        <v>114199.80800000002</v>
      </c>
      <c r="AN11" s="800">
        <f>SET!$S11</f>
        <v>68259.248000000007</v>
      </c>
      <c r="AO11" s="800">
        <f>OUT!$S11*0</f>
        <v>0</v>
      </c>
      <c r="AP11" s="800">
        <f>NOV!$S11*0</f>
        <v>0</v>
      </c>
      <c r="AQ11" s="800">
        <f>DEZ!$S11*0</f>
        <v>0</v>
      </c>
      <c r="AR11" s="800">
        <f t="shared" si="1"/>
        <v>1684099.824</v>
      </c>
    </row>
    <row r="12" spans="1:44">
      <c r="A12" s="137" t="s">
        <v>84</v>
      </c>
      <c r="B12" s="800">
        <f>$B219*'Médias por UF'!FX10</f>
        <v>243260.94643998623</v>
      </c>
      <c r="C12" s="800">
        <f>$B219*'Médias por UF'!FY10</f>
        <v>613447.80828021269</v>
      </c>
      <c r="D12" s="800">
        <f>$B219*'Médias por UF'!FZ10</f>
        <v>770644.48574115592</v>
      </c>
      <c r="E12" s="800">
        <f>$B219*'Médias por UF'!GA10</f>
        <v>892661.46259982639</v>
      </c>
      <c r="F12" s="800">
        <f>$B219*'Médias por UF'!GB10</f>
        <v>1004239.8220108013</v>
      </c>
      <c r="G12" s="800">
        <f>$B219*'Médias por UF'!GC10</f>
        <v>1120090.5990629625</v>
      </c>
      <c r="H12" s="800">
        <f>$B219*'Médias por UF'!GD10</f>
        <v>1214829.5829809583</v>
      </c>
      <c r="I12" s="800">
        <f>$B219*'Médias por UF'!GE10</f>
        <v>1316217.8605788918</v>
      </c>
      <c r="J12" s="800">
        <f>$B219*'Médias por UF'!GF10</f>
        <v>1367374.2429019795</v>
      </c>
      <c r="K12" s="800">
        <f>$B219*'Médias por UF'!GG10</f>
        <v>1404684.8281519397</v>
      </c>
      <c r="L12" s="800">
        <f>$B219*'Médias por UF'!GH10</f>
        <v>1436860.4305890889</v>
      </c>
      <c r="M12" s="800">
        <f>$B219*'Médias por UF'!GI10</f>
        <v>1478469.8900000001</v>
      </c>
      <c r="N12" s="800">
        <f t="shared" si="0"/>
        <v>1478469.8900000001</v>
      </c>
      <c r="P12" s="138" t="s">
        <v>84</v>
      </c>
      <c r="Q12" s="800">
        <f>$Q219*'Médias por UF'!FX10</f>
        <v>233412.93564700166</v>
      </c>
      <c r="R12" s="800">
        <f>$Q219*'Médias por UF'!FY10</f>
        <v>588613.40421623504</v>
      </c>
      <c r="S12" s="800">
        <f>$Q219*'Médias por UF'!FZ10</f>
        <v>739446.23824520921</v>
      </c>
      <c r="T12" s="800">
        <f>$Q219*'Médias por UF'!GA10</f>
        <v>856523.56275681464</v>
      </c>
      <c r="U12" s="800">
        <f>$Q219*'Médias por UF'!GB10</f>
        <v>963584.85971356661</v>
      </c>
      <c r="V12" s="800">
        <f>$Q219*'Médias por UF'!GC10</f>
        <v>1074745.6126600015</v>
      </c>
      <c r="W12" s="800">
        <f>$Q219*'Médias por UF'!GD10</f>
        <v>1165649.2479542468</v>
      </c>
      <c r="X12" s="800">
        <f>$Q219*'Médias por UF'!GE10</f>
        <v>1262932.9914431146</v>
      </c>
      <c r="Y12" s="800">
        <f>$Q219*'Médias por UF'!GF10</f>
        <v>1312018.3935590603</v>
      </c>
      <c r="Z12" s="800">
        <f>$Q219*'Médias por UF'!GG10</f>
        <v>1347818.5224385615</v>
      </c>
      <c r="AA12" s="800">
        <f>$Q219*'Médias por UF'!GH10</f>
        <v>1378691.549658813</v>
      </c>
      <c r="AB12" s="800">
        <f>$Q219*'Médias por UF'!GI10</f>
        <v>1418616.52</v>
      </c>
      <c r="AC12" s="800">
        <f t="shared" si="2"/>
        <v>1418616.52</v>
      </c>
      <c r="AE12" s="138" t="s">
        <v>84</v>
      </c>
      <c r="AF12" s="800">
        <f>JAN!$S12</f>
        <v>147594.65600000002</v>
      </c>
      <c r="AG12" s="800">
        <f>FEV!$S12</f>
        <v>333021.90400000004</v>
      </c>
      <c r="AH12" s="800">
        <f>MAR!$S12</f>
        <v>280274.56800000003</v>
      </c>
      <c r="AI12" s="800">
        <f>ABR!$S12</f>
        <v>111690.144</v>
      </c>
      <c r="AJ12" s="800">
        <f>MAI!$S12</f>
        <v>112224.648</v>
      </c>
      <c r="AK12" s="800">
        <f>JUN!$S12</f>
        <v>117918.88</v>
      </c>
      <c r="AL12" s="800">
        <f>JUL!$S12</f>
        <v>109909.50400000002</v>
      </c>
      <c r="AM12" s="800">
        <f>AGO!$S12</f>
        <v>62043.448000000004</v>
      </c>
      <c r="AN12" s="800">
        <f>SET!$S12</f>
        <v>53644.296000000002</v>
      </c>
      <c r="AO12" s="800">
        <f>OUT!$S12*0</f>
        <v>0</v>
      </c>
      <c r="AP12" s="800">
        <f>NOV!$S12*0</f>
        <v>0</v>
      </c>
      <c r="AQ12" s="800">
        <f>DEZ!$S12*0</f>
        <v>0</v>
      </c>
      <c r="AR12" s="800">
        <f t="shared" si="1"/>
        <v>1328322.0480000002</v>
      </c>
    </row>
    <row r="13" spans="1:44">
      <c r="A13" s="137" t="s">
        <v>85</v>
      </c>
      <c r="B13" s="800">
        <f>$B220*'Médias por UF'!FX11</f>
        <v>321859.86773069977</v>
      </c>
      <c r="C13" s="800">
        <f>$B220*'Médias por UF'!FY11</f>
        <v>745853.91576471331</v>
      </c>
      <c r="D13" s="800">
        <f>$B220*'Médias por UF'!FZ11</f>
        <v>979061.46443540324</v>
      </c>
      <c r="E13" s="800">
        <f>$B220*'Médias por UF'!GA11</f>
        <v>1157829.7597814084</v>
      </c>
      <c r="F13" s="800">
        <f>$B220*'Médias por UF'!GB11</f>
        <v>1343051.3956833489</v>
      </c>
      <c r="G13" s="800">
        <f>$B220*'Médias por UF'!GC11</f>
        <v>1533259.0222750145</v>
      </c>
      <c r="H13" s="800">
        <f>$B220*'Médias por UF'!GD11</f>
        <v>1670959.1729740403</v>
      </c>
      <c r="I13" s="800">
        <f>$B220*'Médias por UF'!GE11</f>
        <v>1799061.6352435204</v>
      </c>
      <c r="J13" s="800">
        <f>$B220*'Médias por UF'!GF11</f>
        <v>1874806.4453465459</v>
      </c>
      <c r="K13" s="800">
        <f>$B220*'Médias por UF'!GG11</f>
        <v>1925083.6209130627</v>
      </c>
      <c r="L13" s="800">
        <f>$B220*'Médias por UF'!GH11</f>
        <v>1976352.4998429371</v>
      </c>
      <c r="M13" s="800">
        <f>$B220*'Médias por UF'!GI11</f>
        <v>2035863.61</v>
      </c>
      <c r="N13" s="800">
        <f t="shared" si="0"/>
        <v>2035863.61</v>
      </c>
      <c r="P13" s="138" t="s">
        <v>85</v>
      </c>
      <c r="Q13" s="800">
        <f>$Q220*'Médias por UF'!FX11</f>
        <v>215526.80518952149</v>
      </c>
      <c r="R13" s="800">
        <f>$Q220*'Médias por UF'!FY11</f>
        <v>499445.65234633093</v>
      </c>
      <c r="S13" s="800">
        <f>$Q220*'Médias por UF'!FZ11</f>
        <v>655608.2651798398</v>
      </c>
      <c r="T13" s="800">
        <f>$Q220*'Médias por UF'!GA11</f>
        <v>775316.75768856972</v>
      </c>
      <c r="U13" s="800">
        <f>$Q220*'Médias por UF'!GB11</f>
        <v>899346.59626205487</v>
      </c>
      <c r="V13" s="800">
        <f>$Q220*'Médias por UF'!GC11</f>
        <v>1026715.2004034187</v>
      </c>
      <c r="W13" s="800">
        <f>$Q220*'Médias por UF'!GD11</f>
        <v>1118923.259033171</v>
      </c>
      <c r="X13" s="800">
        <f>$Q220*'Médias por UF'!GE11</f>
        <v>1204704.424061652</v>
      </c>
      <c r="Y13" s="800">
        <f>$Q220*'Médias por UF'!GF11</f>
        <v>1255425.3699387915</v>
      </c>
      <c r="Z13" s="800">
        <f>$Q220*'Médias por UF'!GG11</f>
        <v>1289092.4409539034</v>
      </c>
      <c r="AA13" s="800">
        <f>$Q220*'Médias por UF'!GH11</f>
        <v>1323423.5856204065</v>
      </c>
      <c r="AB13" s="800">
        <f>$Q220*'Médias por UF'!GI11</f>
        <v>1363273.97</v>
      </c>
      <c r="AC13" s="800">
        <f t="shared" si="2"/>
        <v>1363273.97</v>
      </c>
      <c r="AE13" s="138" t="s">
        <v>85</v>
      </c>
      <c r="AF13" s="800">
        <f>JAN!$S13</f>
        <v>170713.60800000001</v>
      </c>
      <c r="AG13" s="800">
        <f>FEV!$S13</f>
        <v>222603.64800000002</v>
      </c>
      <c r="AH13" s="800">
        <f>MAR!$S13</f>
        <v>209140.17600000001</v>
      </c>
      <c r="AI13" s="800">
        <f>ABR!$S13</f>
        <v>114349.36000000002</v>
      </c>
      <c r="AJ13" s="800">
        <f>MAI!$S13</f>
        <v>117442.488</v>
      </c>
      <c r="AK13" s="800">
        <f>JUN!$S13</f>
        <v>152958.44</v>
      </c>
      <c r="AL13" s="800">
        <f>JUL!$S13</f>
        <v>145755.98400000003</v>
      </c>
      <c r="AM13" s="800">
        <f>AGO!$S13</f>
        <v>67855.648000000001</v>
      </c>
      <c r="AN13" s="800">
        <f>SET!$S13</f>
        <v>56676.135999999999</v>
      </c>
      <c r="AO13" s="800">
        <f>OUT!$S13*0</f>
        <v>0</v>
      </c>
      <c r="AP13" s="800">
        <f>NOV!$S13*0</f>
        <v>0</v>
      </c>
      <c r="AQ13" s="800">
        <f>DEZ!$S13*0</f>
        <v>0</v>
      </c>
      <c r="AR13" s="800">
        <f t="shared" si="1"/>
        <v>1257495.4879999999</v>
      </c>
    </row>
    <row r="14" spans="1:44">
      <c r="A14" s="137" t="s">
        <v>86</v>
      </c>
      <c r="B14" s="800">
        <f>$B221*'Médias por UF'!FX12</f>
        <v>134850.8283162055</v>
      </c>
      <c r="C14" s="800">
        <f>$B221*'Médias por UF'!FY12</f>
        <v>284678.28478850564</v>
      </c>
      <c r="D14" s="800">
        <f>$B221*'Médias por UF'!FZ12</f>
        <v>383975.81254679541</v>
      </c>
      <c r="E14" s="800">
        <f>$B221*'Médias por UF'!GA12</f>
        <v>461302.82770736056</v>
      </c>
      <c r="F14" s="800">
        <f>$B221*'Médias por UF'!GB12</f>
        <v>529372.90229600808</v>
      </c>
      <c r="G14" s="800">
        <f>$B221*'Médias por UF'!GC12</f>
        <v>610610.67071634345</v>
      </c>
      <c r="H14" s="800">
        <f>$B221*'Médias por UF'!GD12</f>
        <v>685286.46839618846</v>
      </c>
      <c r="I14" s="800">
        <f>$B221*'Médias por UF'!GE12</f>
        <v>742707.95544673654</v>
      </c>
      <c r="J14" s="800">
        <f>$B221*'Médias por UF'!GF12</f>
        <v>780994.06212224846</v>
      </c>
      <c r="K14" s="800">
        <f>$B221*'Médias por UF'!GG12</f>
        <v>809566.22030763945</v>
      </c>
      <c r="L14" s="800">
        <f>$B221*'Médias por UF'!GH12</f>
        <v>835653.6299275452</v>
      </c>
      <c r="M14" s="800">
        <f>$B221*'Médias por UF'!GI12</f>
        <v>864816.26</v>
      </c>
      <c r="N14" s="800">
        <f t="shared" si="0"/>
        <v>864816.26</v>
      </c>
      <c r="P14" s="138" t="s">
        <v>86</v>
      </c>
      <c r="Q14" s="800">
        <f>$Q221*'Médias por UF'!FX12</f>
        <v>79841.852959665586</v>
      </c>
      <c r="R14" s="800">
        <f>$Q221*'Médias por UF'!FY12</f>
        <v>168550.99845287506</v>
      </c>
      <c r="S14" s="800">
        <f>$Q221*'Médias por UF'!FZ12</f>
        <v>227342.6181227628</v>
      </c>
      <c r="T14" s="800">
        <f>$Q221*'Médias por UF'!GA12</f>
        <v>273126.03859818401</v>
      </c>
      <c r="U14" s="800">
        <f>$Q221*'Médias por UF'!GB12</f>
        <v>313428.65263564745</v>
      </c>
      <c r="V14" s="800">
        <f>$Q221*'Médias por UF'!GC12</f>
        <v>361527.53376212186</v>
      </c>
      <c r="W14" s="800">
        <f>$Q221*'Médias por UF'!GD12</f>
        <v>405741.23368852725</v>
      </c>
      <c r="X14" s="800">
        <f>$Q221*'Médias por UF'!GE12</f>
        <v>439739.0814070811</v>
      </c>
      <c r="Y14" s="800">
        <f>$Q221*'Médias por UF'!GF12</f>
        <v>462407.34186756908</v>
      </c>
      <c r="Z14" s="800">
        <f>$Q221*'Médias por UF'!GG12</f>
        <v>479324.21276159934</v>
      </c>
      <c r="AA14" s="800">
        <f>$Q221*'Médias por UF'!GH12</f>
        <v>494769.92524982418</v>
      </c>
      <c r="AB14" s="800">
        <f>$Q221*'Médias por UF'!GI12</f>
        <v>512036.4</v>
      </c>
      <c r="AC14" s="800">
        <f t="shared" si="2"/>
        <v>512036.4</v>
      </c>
      <c r="AE14" s="138" t="s">
        <v>86</v>
      </c>
      <c r="AF14" s="800">
        <f>JAN!$S14</f>
        <v>51888.304000000004</v>
      </c>
      <c r="AG14" s="800">
        <f>FEV!$S14</f>
        <v>71154.144</v>
      </c>
      <c r="AH14" s="800">
        <f>MAR!$S14</f>
        <v>74720.056000000011</v>
      </c>
      <c r="AI14" s="800">
        <f>ABR!$S14</f>
        <v>37325.224000000002</v>
      </c>
      <c r="AJ14" s="800">
        <f>MAI!$S14</f>
        <v>51466.904000000002</v>
      </c>
      <c r="AK14" s="800">
        <f>JUN!$S14</f>
        <v>55285.983999999997</v>
      </c>
      <c r="AL14" s="800">
        <f>JUL!$S14</f>
        <v>41241.504000000001</v>
      </c>
      <c r="AM14" s="800">
        <f>AGO!$S14</f>
        <v>22343.176000000003</v>
      </c>
      <c r="AN14" s="800">
        <f>SET!$S14</f>
        <v>14099.744000000001</v>
      </c>
      <c r="AO14" s="800">
        <f>OUT!$S14*0</f>
        <v>0</v>
      </c>
      <c r="AP14" s="800">
        <f>NOV!$S14*0</f>
        <v>0</v>
      </c>
      <c r="AQ14" s="800">
        <f>DEZ!$S14*0</f>
        <v>0</v>
      </c>
      <c r="AR14" s="800">
        <f t="shared" si="1"/>
        <v>419525.04</v>
      </c>
    </row>
    <row r="15" spans="1:44">
      <c r="A15" s="137" t="s">
        <v>87</v>
      </c>
      <c r="B15" s="800">
        <f>$B222*'Médias por UF'!FX13</f>
        <v>193699.15054917597</v>
      </c>
      <c r="C15" s="800">
        <f>$B222*'Médias por UF'!FY13</f>
        <v>447083.71859468881</v>
      </c>
      <c r="D15" s="800">
        <f>$B222*'Médias por UF'!FZ13</f>
        <v>612782.44117864163</v>
      </c>
      <c r="E15" s="800">
        <f>$B222*'Médias por UF'!GA13</f>
        <v>757189.62694593321</v>
      </c>
      <c r="F15" s="800">
        <f>$B222*'Médias por UF'!GB13</f>
        <v>890296.47195802722</v>
      </c>
      <c r="G15" s="800">
        <f>$B222*'Médias por UF'!GC13</f>
        <v>1025825.5849467614</v>
      </c>
      <c r="H15" s="800">
        <f>$B222*'Médias por UF'!GD13</f>
        <v>1121197.5429847136</v>
      </c>
      <c r="I15" s="800">
        <f>$B222*'Médias por UF'!GE13</f>
        <v>1228812.0937134295</v>
      </c>
      <c r="J15" s="800">
        <f>$B222*'Médias por UF'!GF13</f>
        <v>1288130.1310376613</v>
      </c>
      <c r="K15" s="800">
        <f>$B222*'Médias por UF'!GG13</f>
        <v>1325683.8943101764</v>
      </c>
      <c r="L15" s="800">
        <f>$B222*'Médias por UF'!GH13</f>
        <v>1364380.5004045754</v>
      </c>
      <c r="M15" s="800">
        <f>$B222*'Médias por UF'!GI13</f>
        <v>1406753.09</v>
      </c>
      <c r="N15" s="800">
        <f t="shared" si="0"/>
        <v>1406753.09</v>
      </c>
      <c r="P15" s="138" t="s">
        <v>87</v>
      </c>
      <c r="Q15" s="800">
        <f>$Q222*'Médias por UF'!FX13</f>
        <v>143098.64361751999</v>
      </c>
      <c r="R15" s="800">
        <f>$Q222*'Médias por UF'!FY13</f>
        <v>330290.93588169658</v>
      </c>
      <c r="S15" s="800">
        <f>$Q222*'Médias por UF'!FZ13</f>
        <v>452703.77240520838</v>
      </c>
      <c r="T15" s="800">
        <f>$Q222*'Médias por UF'!GA13</f>
        <v>559387.11279846635</v>
      </c>
      <c r="U15" s="800">
        <f>$Q222*'Médias por UF'!GB13</f>
        <v>657722.12832865771</v>
      </c>
      <c r="V15" s="800">
        <f>$Q222*'Médias por UF'!GC13</f>
        <v>757846.63679649308</v>
      </c>
      <c r="W15" s="800">
        <f>$Q222*'Médias por UF'!GD13</f>
        <v>828304.34296445665</v>
      </c>
      <c r="X15" s="800">
        <f>$Q222*'Médias por UF'!GE13</f>
        <v>907806.47913349711</v>
      </c>
      <c r="Y15" s="800">
        <f>$Q222*'Médias por UF'!GF13</f>
        <v>951628.71923669253</v>
      </c>
      <c r="Z15" s="800">
        <f>$Q222*'Médias por UF'!GG13</f>
        <v>979372.2202886811</v>
      </c>
      <c r="AA15" s="800">
        <f>$Q222*'Médias por UF'!GH13</f>
        <v>1007960.0165129299</v>
      </c>
      <c r="AB15" s="800">
        <f>$Q222*'Médias por UF'!GI13</f>
        <v>1039263.51</v>
      </c>
      <c r="AC15" s="800">
        <f t="shared" si="2"/>
        <v>1039263.51</v>
      </c>
      <c r="AE15" s="138" t="s">
        <v>87</v>
      </c>
      <c r="AF15" s="800">
        <f>JAN!$S15</f>
        <v>117466.10400000001</v>
      </c>
      <c r="AG15" s="800">
        <f>FEV!$S15</f>
        <v>143115.24799999999</v>
      </c>
      <c r="AH15" s="800">
        <f>MAR!$S15</f>
        <v>145075.552</v>
      </c>
      <c r="AI15" s="800">
        <f>ABR!$S15</f>
        <v>114961.88799999999</v>
      </c>
      <c r="AJ15" s="800">
        <f>MAI!$S15</f>
        <v>115179.31200000002</v>
      </c>
      <c r="AK15" s="800">
        <f>JUN!$S15</f>
        <v>121825.52800000001</v>
      </c>
      <c r="AL15" s="800">
        <f>JUL!$S15</f>
        <v>81496.864000000001</v>
      </c>
      <c r="AM15" s="800">
        <f>AGO!$S15</f>
        <v>37817.616000000002</v>
      </c>
      <c r="AN15" s="800">
        <f>SET!$S15</f>
        <v>26066.464000000004</v>
      </c>
      <c r="AO15" s="800">
        <f>OUT!$S15*0</f>
        <v>0</v>
      </c>
      <c r="AP15" s="800">
        <f>NOV!$S15*0</f>
        <v>0</v>
      </c>
      <c r="AQ15" s="800">
        <f>DEZ!$S15*0</f>
        <v>0</v>
      </c>
      <c r="AR15" s="800">
        <f t="shared" si="1"/>
        <v>903004.57600000012</v>
      </c>
    </row>
    <row r="16" spans="1:44">
      <c r="A16" s="137" t="s">
        <v>88</v>
      </c>
      <c r="B16" s="800">
        <f>$B223*'Médias por UF'!FX14</f>
        <v>305385.13305714866</v>
      </c>
      <c r="C16" s="800">
        <f>$B223*'Médias por UF'!FY14</f>
        <v>578715.15305767977</v>
      </c>
      <c r="D16" s="800">
        <f>$B223*'Médias por UF'!FZ14</f>
        <v>732278.17696789373</v>
      </c>
      <c r="E16" s="800">
        <f>$B223*'Médias por UF'!GA14</f>
        <v>865481.94006222929</v>
      </c>
      <c r="F16" s="800">
        <f>$B223*'Médias por UF'!GB14</f>
        <v>993094.67918511713</v>
      </c>
      <c r="G16" s="800">
        <f>$B223*'Médias por UF'!GC14</f>
        <v>1107812.190165956</v>
      </c>
      <c r="H16" s="800">
        <f>$B223*'Médias por UF'!GD14</f>
        <v>1208295.5191124515</v>
      </c>
      <c r="I16" s="800">
        <f>$B223*'Médias por UF'!GE14</f>
        <v>1290524.2931802119</v>
      </c>
      <c r="J16" s="800">
        <f>$B223*'Médias por UF'!GF14</f>
        <v>1345220.8187188744</v>
      </c>
      <c r="K16" s="800">
        <f>$B223*'Médias por UF'!GG14</f>
        <v>1384286.8517485128</v>
      </c>
      <c r="L16" s="800">
        <f>$B223*'Médias por UF'!GH14</f>
        <v>1421465.0995175352</v>
      </c>
      <c r="M16" s="800">
        <f>$B223*'Médias por UF'!GI14</f>
        <v>1461825.2</v>
      </c>
      <c r="N16" s="800">
        <f t="shared" si="0"/>
        <v>1461825.2</v>
      </c>
      <c r="P16" s="138" t="s">
        <v>88</v>
      </c>
      <c r="Q16" s="800">
        <f>$Q223*'Médias por UF'!FX14</f>
        <v>176426.72208837653</v>
      </c>
      <c r="R16" s="800">
        <f>$Q223*'Médias por UF'!FY14</f>
        <v>334334.6038319841</v>
      </c>
      <c r="S16" s="800">
        <f>$Q223*'Médias por UF'!FZ14</f>
        <v>423050.84444016078</v>
      </c>
      <c r="T16" s="800">
        <f>$Q223*'Médias por UF'!GA14</f>
        <v>500005.15802219248</v>
      </c>
      <c r="U16" s="800">
        <f>$Q223*'Médias por UF'!GB14</f>
        <v>573729.43213725544</v>
      </c>
      <c r="V16" s="800">
        <f>$Q223*'Médias por UF'!GC14</f>
        <v>640003.89096855442</v>
      </c>
      <c r="W16" s="800">
        <f>$Q223*'Médias por UF'!GD14</f>
        <v>698054.99572629901</v>
      </c>
      <c r="X16" s="800">
        <f>$Q223*'Médias por UF'!GE14</f>
        <v>745560.10157375946</v>
      </c>
      <c r="Y16" s="800">
        <f>$Q223*'Médias por UF'!GF14</f>
        <v>777159.31078805856</v>
      </c>
      <c r="Z16" s="800">
        <f>$Q223*'Médias por UF'!GG14</f>
        <v>799728.49116504029</v>
      </c>
      <c r="AA16" s="800">
        <f>$Q223*'Médias por UF'!GH14</f>
        <v>821207.06257162755</v>
      </c>
      <c r="AB16" s="800">
        <f>$Q223*'Médias por UF'!GI14</f>
        <v>844523.85</v>
      </c>
      <c r="AC16" s="800">
        <f t="shared" si="2"/>
        <v>844523.85</v>
      </c>
      <c r="AE16" s="138" t="s">
        <v>88</v>
      </c>
      <c r="AF16" s="800">
        <f>JAN!$S16</f>
        <v>161989.60800000001</v>
      </c>
      <c r="AG16" s="800">
        <f>FEV!$S16</f>
        <v>164712.92800000001</v>
      </c>
      <c r="AH16" s="800">
        <f>MAR!$S16</f>
        <v>107597.416</v>
      </c>
      <c r="AI16" s="800">
        <f>ABR!$S16</f>
        <v>57951.280000000006</v>
      </c>
      <c r="AJ16" s="800">
        <f>MAI!$S16</f>
        <v>71242.288</v>
      </c>
      <c r="AK16" s="800">
        <f>JUN!$S16</f>
        <v>78747.744000000006</v>
      </c>
      <c r="AL16" s="800">
        <f>JUL!$S16</f>
        <v>60606.216000000008</v>
      </c>
      <c r="AM16" s="800">
        <f>AGO!$S16</f>
        <v>26614.471999999998</v>
      </c>
      <c r="AN16" s="800">
        <f>SET!$S16</f>
        <v>19466.664000000001</v>
      </c>
      <c r="AO16" s="800">
        <f>OUT!$S16*0</f>
        <v>0</v>
      </c>
      <c r="AP16" s="800">
        <f>NOV!$S16*0</f>
        <v>0</v>
      </c>
      <c r="AQ16" s="800">
        <f>DEZ!$S16*0</f>
        <v>0</v>
      </c>
      <c r="AR16" s="800">
        <f t="shared" si="1"/>
        <v>748928.61599999992</v>
      </c>
    </row>
    <row r="17" spans="1:45">
      <c r="A17" s="137" t="s">
        <v>89</v>
      </c>
      <c r="B17" s="800">
        <f>$B224*'Médias por UF'!FX15</f>
        <v>1540971.3485491141</v>
      </c>
      <c r="C17" s="800">
        <f>$B224*'Médias por UF'!FY15</f>
        <v>2839864.2564511378</v>
      </c>
      <c r="D17" s="800">
        <f>$B224*'Médias por UF'!FZ15</f>
        <v>3545131.9843857191</v>
      </c>
      <c r="E17" s="800">
        <f>$B224*'Médias por UF'!GA15</f>
        <v>4109884.041137496</v>
      </c>
      <c r="F17" s="800">
        <f>$B224*'Médias por UF'!GB15</f>
        <v>4664837.7681490127</v>
      </c>
      <c r="G17" s="800">
        <f>$B224*'Médias por UF'!GC15</f>
        <v>5213099.1662899945</v>
      </c>
      <c r="H17" s="800">
        <f>$B224*'Médias por UF'!GD15</f>
        <v>5673755.6672070911</v>
      </c>
      <c r="I17" s="800">
        <f>$B224*'Médias por UF'!GE15</f>
        <v>6072061.6676618196</v>
      </c>
      <c r="J17" s="800">
        <f>$B224*'Médias por UF'!GF15</f>
        <v>6303594.7153851064</v>
      </c>
      <c r="K17" s="800">
        <f>$B224*'Médias por UF'!GG15</f>
        <v>6460652.4725283524</v>
      </c>
      <c r="L17" s="800">
        <f>$B224*'Médias por UF'!GH15</f>
        <v>6642928.7367836237</v>
      </c>
      <c r="M17" s="800">
        <f>$B224*'Médias por UF'!GI15</f>
        <v>6841917.0099999998</v>
      </c>
      <c r="N17" s="800">
        <f t="shared" si="0"/>
        <v>6841917.0099999998</v>
      </c>
      <c r="P17" s="138" t="s">
        <v>89</v>
      </c>
      <c r="Q17" s="800">
        <f>$Q224*'Médias por UF'!FX15</f>
        <v>1079836.0565591808</v>
      </c>
      <c r="R17" s="800">
        <f>$Q224*'Médias por UF'!FY15</f>
        <v>1990035.5855005879</v>
      </c>
      <c r="S17" s="800">
        <f>$Q224*'Médias por UF'!FZ15</f>
        <v>2484252.1216278709</v>
      </c>
      <c r="T17" s="800">
        <f>$Q224*'Médias por UF'!GA15</f>
        <v>2880002.2661524359</v>
      </c>
      <c r="U17" s="800">
        <f>$Q224*'Médias por UF'!GB15</f>
        <v>3268886.2286694306</v>
      </c>
      <c r="V17" s="800">
        <f>$Q224*'Médias por UF'!GC15</f>
        <v>3653080.5400624373</v>
      </c>
      <c r="W17" s="800">
        <f>$Q224*'Médias por UF'!GD15</f>
        <v>3975885.6978916354</v>
      </c>
      <c r="X17" s="800">
        <f>$Q224*'Médias por UF'!GE15</f>
        <v>4254998.7269819267</v>
      </c>
      <c r="Y17" s="800">
        <f>$Q224*'Médias por UF'!GF15</f>
        <v>4417245.567880068</v>
      </c>
      <c r="Z17" s="800">
        <f>$Q224*'Médias por UF'!GG15</f>
        <v>4527303.830342426</v>
      </c>
      <c r="AA17" s="800">
        <f>$Q224*'Médias por UF'!GH15</f>
        <v>4655033.9679488596</v>
      </c>
      <c r="AB17" s="800">
        <f>$Q224*'Médias por UF'!GI15</f>
        <v>4794475.05</v>
      </c>
      <c r="AC17" s="800">
        <f t="shared" si="2"/>
        <v>4794475.05</v>
      </c>
      <c r="AE17" s="138" t="s">
        <v>89</v>
      </c>
      <c r="AF17" s="800">
        <f>JAN!$S17</f>
        <v>791285.48</v>
      </c>
      <c r="AG17" s="800">
        <f>FEV!$S17</f>
        <v>854765.24000000011</v>
      </c>
      <c r="AH17" s="800">
        <f>MAR!$S17</f>
        <v>956672.93599999999</v>
      </c>
      <c r="AI17" s="800">
        <f>ABR!$S17</f>
        <v>418721.93599999999</v>
      </c>
      <c r="AJ17" s="800">
        <f>MAI!$S17</f>
        <v>441141.28</v>
      </c>
      <c r="AK17" s="800">
        <f>JUN!$S17</f>
        <v>484384.60800000001</v>
      </c>
      <c r="AL17" s="800">
        <f>JUL!$S17</f>
        <v>366756.33600000001</v>
      </c>
      <c r="AM17" s="800">
        <f>AGO!$S17</f>
        <v>158363.16800000001</v>
      </c>
      <c r="AN17" s="800">
        <f>SET!$S17</f>
        <v>91939.343999999997</v>
      </c>
      <c r="AO17" s="800">
        <f>OUT!$S17*0</f>
        <v>0</v>
      </c>
      <c r="AP17" s="800">
        <f>NOV!$S17*0</f>
        <v>0</v>
      </c>
      <c r="AQ17" s="800">
        <f>DEZ!$S17*0</f>
        <v>0</v>
      </c>
      <c r="AR17" s="800">
        <f t="shared" si="1"/>
        <v>4564030.3279999997</v>
      </c>
    </row>
    <row r="18" spans="1:45">
      <c r="A18" s="137" t="s">
        <v>90</v>
      </c>
      <c r="B18" s="800">
        <f>$B225*'Médias por UF'!FX16</f>
        <v>193737.34158105773</v>
      </c>
      <c r="C18" s="800">
        <f>$B225*'Médias por UF'!FY16</f>
        <v>422617.18668740505</v>
      </c>
      <c r="D18" s="800">
        <f>$B225*'Médias por UF'!FZ16</f>
        <v>561906.33198829391</v>
      </c>
      <c r="E18" s="800">
        <f>$B225*'Médias por UF'!GA16</f>
        <v>672514.68299955328</v>
      </c>
      <c r="F18" s="800">
        <f>$B225*'Médias por UF'!GB16</f>
        <v>780540.71482985409</v>
      </c>
      <c r="G18" s="800">
        <f>$B225*'Médias por UF'!GC16</f>
        <v>895826.55041015707</v>
      </c>
      <c r="H18" s="800">
        <f>$B225*'Médias por UF'!GD16</f>
        <v>986325.41822584695</v>
      </c>
      <c r="I18" s="800">
        <f>$B225*'Médias por UF'!GE16</f>
        <v>1065669.681995481</v>
      </c>
      <c r="J18" s="800">
        <f>$B225*'Médias por UF'!GF16</f>
        <v>1114811.2884858835</v>
      </c>
      <c r="K18" s="800">
        <f>$B225*'Médias por UF'!GG16</f>
        <v>1149153.495052574</v>
      </c>
      <c r="L18" s="800">
        <f>$B225*'Médias por UF'!GH16</f>
        <v>1190417.4454877106</v>
      </c>
      <c r="M18" s="800">
        <f>$B225*'Médias por UF'!GI16</f>
        <v>1233554.49</v>
      </c>
      <c r="N18" s="800">
        <f t="shared" si="0"/>
        <v>1233554.49</v>
      </c>
      <c r="P18" s="138" t="s">
        <v>90</v>
      </c>
      <c r="Q18" s="800">
        <f>$Q225*'Médias por UF'!FX16</f>
        <v>103916.27814464596</v>
      </c>
      <c r="R18" s="800">
        <f>$Q225*'Médias por UF'!FY16</f>
        <v>226682.19127050322</v>
      </c>
      <c r="S18" s="800">
        <f>$Q225*'Médias por UF'!FZ16</f>
        <v>301393.70247166848</v>
      </c>
      <c r="T18" s="800">
        <f>$Q225*'Médias por UF'!GA16</f>
        <v>360721.49170943751</v>
      </c>
      <c r="U18" s="800">
        <f>$Q225*'Médias por UF'!GB16</f>
        <v>418664.18401092757</v>
      </c>
      <c r="V18" s="800">
        <f>$Q225*'Médias por UF'!GC16</f>
        <v>480500.86897074652</v>
      </c>
      <c r="W18" s="800">
        <f>$Q225*'Médias por UF'!GD16</f>
        <v>529042.39144113776</v>
      </c>
      <c r="X18" s="800">
        <f>$Q225*'Médias por UF'!GE16</f>
        <v>571600.83947072295</v>
      </c>
      <c r="Y18" s="800">
        <f>$Q225*'Médias por UF'!GF16</f>
        <v>597959.27304298733</v>
      </c>
      <c r="Z18" s="800">
        <f>$Q225*'Médias por UF'!GG16</f>
        <v>616379.64704296808</v>
      </c>
      <c r="AA18" s="800">
        <f>$Q225*'Médias por UF'!GH16</f>
        <v>638512.68611417105</v>
      </c>
      <c r="AB18" s="800">
        <f>$Q225*'Médias por UF'!GI16</f>
        <v>661650.40999999992</v>
      </c>
      <c r="AC18" s="800">
        <f t="shared" si="2"/>
        <v>661650.40999999992</v>
      </c>
      <c r="AE18" s="138" t="s">
        <v>90</v>
      </c>
      <c r="AF18" s="800">
        <f>JAN!$S18</f>
        <v>82368.168000000005</v>
      </c>
      <c r="AG18" s="800">
        <f>FEV!$S18</f>
        <v>101812.25600000001</v>
      </c>
      <c r="AH18" s="800">
        <f>MAR!$S18</f>
        <v>97399.831999999995</v>
      </c>
      <c r="AI18" s="800">
        <f>ABR!$S18</f>
        <v>55695.296000000002</v>
      </c>
      <c r="AJ18" s="800">
        <f>MAI!$S18</f>
        <v>70927.407999999996</v>
      </c>
      <c r="AK18" s="800">
        <f>JUN!$S18</f>
        <v>71490.384000000005</v>
      </c>
      <c r="AL18" s="800">
        <f>JUL!$S18</f>
        <v>56972.592000000004</v>
      </c>
      <c r="AM18" s="800">
        <f>AGO!$S18</f>
        <v>26629.216</v>
      </c>
      <c r="AN18" s="800">
        <f>SET!$S18</f>
        <v>19142.768</v>
      </c>
      <c r="AO18" s="800">
        <f>OUT!$S18*0</f>
        <v>0</v>
      </c>
      <c r="AP18" s="800">
        <f>NOV!$S18*0</f>
        <v>0</v>
      </c>
      <c r="AQ18" s="800">
        <f>DEZ!$S18*0</f>
        <v>0</v>
      </c>
      <c r="AR18" s="800">
        <f t="shared" si="1"/>
        <v>582437.92000000004</v>
      </c>
    </row>
    <row r="19" spans="1:45">
      <c r="A19" s="137" t="s">
        <v>91</v>
      </c>
      <c r="B19" s="800">
        <f>$B226*'Médias por UF'!FX17</f>
        <v>195299.0269218715</v>
      </c>
      <c r="C19" s="800">
        <f>$B226*'Médias por UF'!FY17</f>
        <v>424603.38553904288</v>
      </c>
      <c r="D19" s="800">
        <f>$B226*'Médias por UF'!FZ17</f>
        <v>559157.45960147516</v>
      </c>
      <c r="E19" s="800">
        <f>$B226*'Médias por UF'!GA17</f>
        <v>662434.66922302486</v>
      </c>
      <c r="F19" s="800">
        <f>$B226*'Médias por UF'!GB17</f>
        <v>760927.082912702</v>
      </c>
      <c r="G19" s="800">
        <f>$B226*'Médias por UF'!GC17</f>
        <v>867547.39135953062</v>
      </c>
      <c r="H19" s="800">
        <f>$B226*'Médias por UF'!GD17</f>
        <v>952399.39044685406</v>
      </c>
      <c r="I19" s="800">
        <f>$B226*'Médias por UF'!GE17</f>
        <v>1041060.425825602</v>
      </c>
      <c r="J19" s="800">
        <f>$B226*'Médias por UF'!GF17</f>
        <v>1097232.3338486531</v>
      </c>
      <c r="K19" s="800">
        <f>$B226*'Médias por UF'!GG17</f>
        <v>1130983.6300238569</v>
      </c>
      <c r="L19" s="800">
        <f>$B226*'Médias por UF'!GH17</f>
        <v>1168317.2687023983</v>
      </c>
      <c r="M19" s="800">
        <f>$B226*'Médias por UF'!GI17</f>
        <v>1208483.1200000001</v>
      </c>
      <c r="N19" s="800">
        <f t="shared" si="0"/>
        <v>1208483.1200000001</v>
      </c>
      <c r="P19" s="138" t="s">
        <v>91</v>
      </c>
      <c r="Q19" s="800">
        <f>$Q226*'Médias por UF'!FX17</f>
        <v>127508.0893286763</v>
      </c>
      <c r="R19" s="800">
        <f>$Q226*'Médias por UF'!FY17</f>
        <v>277217.79911494016</v>
      </c>
      <c r="S19" s="800">
        <f>$Q226*'Médias por UF'!FZ17</f>
        <v>365066.33151932032</v>
      </c>
      <c r="T19" s="800">
        <f>$Q226*'Médias por UF'!GA17</f>
        <v>432494.62277910759</v>
      </c>
      <c r="U19" s="800">
        <f>$Q226*'Médias por UF'!GB17</f>
        <v>496798.98558560689</v>
      </c>
      <c r="V19" s="800">
        <f>$Q226*'Médias por UF'!GC17</f>
        <v>566409.94078574644</v>
      </c>
      <c r="W19" s="800">
        <f>$Q226*'Médias por UF'!GD17</f>
        <v>621808.66165941162</v>
      </c>
      <c r="X19" s="800">
        <f>$Q226*'Médias por UF'!GE17</f>
        <v>679694.25073389709</v>
      </c>
      <c r="Y19" s="800">
        <f>$Q226*'Médias por UF'!GF17</f>
        <v>716368.12862695311</v>
      </c>
      <c r="Z19" s="800">
        <f>$Q226*'Médias por UF'!GG17</f>
        <v>738403.89273441141</v>
      </c>
      <c r="AA19" s="800">
        <f>$Q226*'Médias por UF'!GH17</f>
        <v>762778.51973904239</v>
      </c>
      <c r="AB19" s="800">
        <f>$Q226*'Médias por UF'!GI17</f>
        <v>789002.26</v>
      </c>
      <c r="AC19" s="800">
        <f t="shared" si="2"/>
        <v>789002.26</v>
      </c>
      <c r="AE19" s="138" t="s">
        <v>91</v>
      </c>
      <c r="AF19" s="800">
        <f>JAN!$S19</f>
        <v>84675.912000000011</v>
      </c>
      <c r="AG19" s="800">
        <f>FEV!$S19</f>
        <v>147139.06399999998</v>
      </c>
      <c r="AH19" s="800">
        <f>MAR!$S19</f>
        <v>120666.03200000001</v>
      </c>
      <c r="AI19" s="800">
        <f>ABR!$S19</f>
        <v>59901.488000000005</v>
      </c>
      <c r="AJ19" s="800">
        <f>MAI!$S19</f>
        <v>61212.088000000003</v>
      </c>
      <c r="AK19" s="800">
        <f>JUN!$S19</f>
        <v>76885.648000000001</v>
      </c>
      <c r="AL19" s="800">
        <f>JUL!$S19</f>
        <v>76943.047999999995</v>
      </c>
      <c r="AM19" s="800">
        <f>AGO!$S19</f>
        <v>43202.240000000005</v>
      </c>
      <c r="AN19" s="800">
        <f>SET!$S19</f>
        <v>36470.103999999999</v>
      </c>
      <c r="AO19" s="800">
        <f>OUT!$S19*0</f>
        <v>0</v>
      </c>
      <c r="AP19" s="800">
        <f>NOV!$S19*0</f>
        <v>0</v>
      </c>
      <c r="AQ19" s="800">
        <f>DEZ!$S19*0</f>
        <v>0</v>
      </c>
      <c r="AR19" s="800">
        <f t="shared" si="1"/>
        <v>707095.62400000007</v>
      </c>
    </row>
    <row r="20" spans="1:45">
      <c r="A20" s="137" t="s">
        <v>92</v>
      </c>
      <c r="B20" s="800">
        <f>$B227*'Médias por UF'!FX18</f>
        <v>1105355.1242591823</v>
      </c>
      <c r="C20" s="800">
        <f>$B227*'Médias por UF'!FY18</f>
        <v>2143811.2265263312</v>
      </c>
      <c r="D20" s="800">
        <f>$B227*'Médias por UF'!FZ18</f>
        <v>2767676.0595999015</v>
      </c>
      <c r="E20" s="800">
        <f>$B227*'Médias por UF'!GA18</f>
        <v>3222423.1797920312</v>
      </c>
      <c r="F20" s="800">
        <f>$B227*'Médias por UF'!GB18</f>
        <v>3691568.2318448601</v>
      </c>
      <c r="G20" s="800">
        <f>$B227*'Médias por UF'!GC18</f>
        <v>4141286.816171898</v>
      </c>
      <c r="H20" s="800">
        <f>$B227*'Médias por UF'!GD18</f>
        <v>4496925.2867303807</v>
      </c>
      <c r="I20" s="800">
        <f>$B227*'Médias por UF'!GE18</f>
        <v>4801024.0248057758</v>
      </c>
      <c r="J20" s="800">
        <f>$B227*'Médias por UF'!GF18</f>
        <v>4952278.8160792114</v>
      </c>
      <c r="K20" s="800">
        <f>$B227*'Médias por UF'!GG18</f>
        <v>5060209.761001437</v>
      </c>
      <c r="L20" s="800">
        <f>$B227*'Médias por UF'!GH18</f>
        <v>5183503.560411701</v>
      </c>
      <c r="M20" s="800">
        <f>$B227*'Médias por UF'!GI18</f>
        <v>5335547.1999999993</v>
      </c>
      <c r="N20" s="800">
        <f t="shared" si="0"/>
        <v>5335547.1999999993</v>
      </c>
      <c r="P20" s="138" t="s">
        <v>92</v>
      </c>
      <c r="Q20" s="800">
        <f>$Q227*'Médias por UF'!FX18</f>
        <v>766412.21590760478</v>
      </c>
      <c r="R20" s="800">
        <f>$Q227*'Médias por UF'!FY18</f>
        <v>1486439.1330440757</v>
      </c>
      <c r="S20" s="800">
        <f>$Q227*'Médias por UF'!FZ18</f>
        <v>1919003.852426179</v>
      </c>
      <c r="T20" s="800">
        <f>$Q227*'Médias por UF'!GA18</f>
        <v>2234308.6268059383</v>
      </c>
      <c r="U20" s="800">
        <f>$Q227*'Médias por UF'!GB18</f>
        <v>2559596.3927326361</v>
      </c>
      <c r="V20" s="800">
        <f>$Q227*'Médias por UF'!GC18</f>
        <v>2871414.5669867401</v>
      </c>
      <c r="W20" s="800">
        <f>$Q227*'Médias por UF'!GD18</f>
        <v>3118001.0823072293</v>
      </c>
      <c r="X20" s="800">
        <f>$Q227*'Médias por UF'!GE18</f>
        <v>3328851.8601142913</v>
      </c>
      <c r="Y20" s="800">
        <f>$Q227*'Médias por UF'!GF18</f>
        <v>3433726.3182882727</v>
      </c>
      <c r="Z20" s="800">
        <f>$Q227*'Médias por UF'!GG18</f>
        <v>3508561.629445204</v>
      </c>
      <c r="AA20" s="800">
        <f>$Q227*'Médias por UF'!GH18</f>
        <v>3594048.9736840241</v>
      </c>
      <c r="AB20" s="800">
        <f>$Q227*'Médias por UF'!GI18</f>
        <v>3699470.39</v>
      </c>
      <c r="AC20" s="800">
        <f t="shared" si="2"/>
        <v>3699470.39</v>
      </c>
      <c r="AE20" s="138" t="s">
        <v>92</v>
      </c>
      <c r="AF20" s="800">
        <f>JAN!$S20</f>
        <v>654530.46400000004</v>
      </c>
      <c r="AG20" s="800">
        <f>FEV!$S20</f>
        <v>791752.32000000007</v>
      </c>
      <c r="AH20" s="800">
        <f>MAR!$S20</f>
        <v>735945.85600000003</v>
      </c>
      <c r="AI20" s="800">
        <f>ABR!$S20</f>
        <v>270465.48800000001</v>
      </c>
      <c r="AJ20" s="800">
        <f>MAI!$S20</f>
        <v>358492.76</v>
      </c>
      <c r="AK20" s="800">
        <f>JUN!$S20</f>
        <v>344727.07200000004</v>
      </c>
      <c r="AL20" s="800">
        <f>JUL!$S20</f>
        <v>243590.31200000003</v>
      </c>
      <c r="AM20" s="800">
        <f>AGO!$S20</f>
        <v>126511.72</v>
      </c>
      <c r="AN20" s="800">
        <f>SET!$S20</f>
        <v>82921.664000000004</v>
      </c>
      <c r="AO20" s="800">
        <f>OUT!$S20*0</f>
        <v>0</v>
      </c>
      <c r="AP20" s="800">
        <f>NOV!$S20*0</f>
        <v>0</v>
      </c>
      <c r="AQ20" s="800">
        <f>DEZ!$S20*0</f>
        <v>0</v>
      </c>
      <c r="AR20" s="800">
        <f t="shared" si="1"/>
        <v>3608937.6560000004</v>
      </c>
    </row>
    <row r="21" spans="1:45">
      <c r="A21" s="137" t="s">
        <v>93</v>
      </c>
      <c r="B21" s="800">
        <f>$B228*'Médias por UF'!FX19</f>
        <v>365391.57887199335</v>
      </c>
      <c r="C21" s="800">
        <f>$B228*'Médias por UF'!FY19</f>
        <v>794166.82383822801</v>
      </c>
      <c r="D21" s="800">
        <f>$B228*'Médias por UF'!FZ19</f>
        <v>1025611.1862945025</v>
      </c>
      <c r="E21" s="800">
        <f>$B228*'Médias por UF'!GA19</f>
        <v>1201333.4996648682</v>
      </c>
      <c r="F21" s="800">
        <f>$B228*'Médias por UF'!GB19</f>
        <v>1359463.7273149767</v>
      </c>
      <c r="G21" s="800">
        <f>$B228*'Médias por UF'!GC19</f>
        <v>1521117.0439191251</v>
      </c>
      <c r="H21" s="800">
        <f>$B228*'Médias por UF'!GD19</f>
        <v>1653982.1230265195</v>
      </c>
      <c r="I21" s="800">
        <f>$B228*'Médias por UF'!GE19</f>
        <v>1776158.1611261747</v>
      </c>
      <c r="J21" s="800">
        <f>$B228*'Médias por UF'!GF19</f>
        <v>1855080.1503159681</v>
      </c>
      <c r="K21" s="800">
        <f>$B228*'Médias por UF'!GG19</f>
        <v>1905449.4037342318</v>
      </c>
      <c r="L21" s="800">
        <f>$B228*'Médias por UF'!GH19</f>
        <v>1958505.1219462263</v>
      </c>
      <c r="M21" s="800">
        <f>$B228*'Médias por UF'!GI19</f>
        <v>2022690.72</v>
      </c>
      <c r="N21" s="800">
        <f t="shared" si="0"/>
        <v>2022690.72</v>
      </c>
      <c r="P21" s="138" t="s">
        <v>93</v>
      </c>
      <c r="Q21" s="800">
        <f>$Q228*'Médias por UF'!FX19</f>
        <v>265927.66895695875</v>
      </c>
      <c r="R21" s="800">
        <f>$Q228*'Médias por UF'!FY19</f>
        <v>577985.22034422052</v>
      </c>
      <c r="S21" s="800">
        <f>$Q228*'Médias por UF'!FZ19</f>
        <v>746427.689629448</v>
      </c>
      <c r="T21" s="800">
        <f>$Q228*'Médias por UF'!GA19</f>
        <v>874316.31071525638</v>
      </c>
      <c r="U21" s="800">
        <f>$Q228*'Médias por UF'!GB19</f>
        <v>989401.61990722944</v>
      </c>
      <c r="V21" s="800">
        <f>$Q228*'Médias por UF'!GC19</f>
        <v>1107050.9915660173</v>
      </c>
      <c r="W21" s="800">
        <f>$Q228*'Médias por UF'!GD19</f>
        <v>1203748.6245051422</v>
      </c>
      <c r="X21" s="800">
        <f>$Q228*'Médias por UF'!GE19</f>
        <v>1292666.8998374261</v>
      </c>
      <c r="Y21" s="800">
        <f>$Q228*'Médias por UF'!GF19</f>
        <v>1350105.3900168634</v>
      </c>
      <c r="Z21" s="800">
        <f>$Q228*'Médias por UF'!GG19</f>
        <v>1386763.5368465518</v>
      </c>
      <c r="AA21" s="800">
        <f>$Q228*'Médias por UF'!GH19</f>
        <v>1425376.8609754469</v>
      </c>
      <c r="AB21" s="800">
        <f>$Q228*'Médias por UF'!GI19</f>
        <v>1472090.38</v>
      </c>
      <c r="AC21" s="800">
        <f t="shared" si="2"/>
        <v>1472090.38</v>
      </c>
      <c r="AE21" s="138" t="s">
        <v>93</v>
      </c>
      <c r="AF21" s="800">
        <f>JAN!$S21</f>
        <v>203885.11200000002</v>
      </c>
      <c r="AG21" s="800">
        <f>FEV!$S21</f>
        <v>270845.27999999997</v>
      </c>
      <c r="AH21" s="800">
        <f>MAR!$S21</f>
        <v>209542.08799999999</v>
      </c>
      <c r="AI21" s="800">
        <f>ABR!$S21</f>
        <v>110916.8</v>
      </c>
      <c r="AJ21" s="800">
        <f>MAI!$S21</f>
        <v>130141.98400000001</v>
      </c>
      <c r="AK21" s="800">
        <f>JUN!$S21</f>
        <v>131906.25600000002</v>
      </c>
      <c r="AL21" s="800">
        <f>JUL!$S21</f>
        <v>112706.13600000001</v>
      </c>
      <c r="AM21" s="800">
        <f>AGO!$S21</f>
        <v>60733.280000000006</v>
      </c>
      <c r="AN21" s="800">
        <f>SET!$S21</f>
        <v>40429.815999999999</v>
      </c>
      <c r="AO21" s="800">
        <f>OUT!$S21*0</f>
        <v>0</v>
      </c>
      <c r="AP21" s="800">
        <f>NOV!$S21*0</f>
        <v>0</v>
      </c>
      <c r="AQ21" s="800">
        <f>DEZ!$S21*0</f>
        <v>0</v>
      </c>
      <c r="AR21" s="800">
        <f t="shared" si="1"/>
        <v>1271106.7520000001</v>
      </c>
    </row>
    <row r="22" spans="1:45">
      <c r="A22" s="137" t="s">
        <v>94</v>
      </c>
      <c r="B22" s="800">
        <f>$B229*'Médias por UF'!FX20</f>
        <v>119284.22689280802</v>
      </c>
      <c r="C22" s="800">
        <f>$B229*'Médias por UF'!FY20</f>
        <v>229084.32499922178</v>
      </c>
      <c r="D22" s="800">
        <f>$B229*'Médias por UF'!FZ20</f>
        <v>291176.36528387089</v>
      </c>
      <c r="E22" s="800">
        <f>$B229*'Médias por UF'!GA20</f>
        <v>337718.21451279975</v>
      </c>
      <c r="F22" s="800">
        <f>$B229*'Médias por UF'!GB20</f>
        <v>389490.51184439828</v>
      </c>
      <c r="G22" s="800">
        <f>$B229*'Médias por UF'!GC20</f>
        <v>448191.93014684663</v>
      </c>
      <c r="H22" s="800">
        <f>$B229*'Médias por UF'!GD20</f>
        <v>495268.20391915541</v>
      </c>
      <c r="I22" s="800">
        <f>$B229*'Médias por UF'!GE20</f>
        <v>539798.90731132508</v>
      </c>
      <c r="J22" s="800">
        <f>$B229*'Médias por UF'!GF20</f>
        <v>566209.32145605236</v>
      </c>
      <c r="K22" s="800">
        <f>$B229*'Médias por UF'!GG20</f>
        <v>580331.21852806292</v>
      </c>
      <c r="L22" s="800">
        <f>$B229*'Médias por UF'!GH20</f>
        <v>597573.35465415847</v>
      </c>
      <c r="M22" s="800">
        <f>$B229*'Médias por UF'!GI20</f>
        <v>615779.12</v>
      </c>
      <c r="N22" s="800">
        <f t="shared" si="0"/>
        <v>615779.12</v>
      </c>
      <c r="P22" s="138" t="s">
        <v>94</v>
      </c>
      <c r="Q22" s="800">
        <f>$Q229*'Médias por UF'!FX20</f>
        <v>85498.041968480728</v>
      </c>
      <c r="R22" s="800">
        <f>$Q229*'Médias por UF'!FY20</f>
        <v>164198.24936875582</v>
      </c>
      <c r="S22" s="800">
        <f>$Q229*'Médias por UF'!FZ20</f>
        <v>208703.27743869592</v>
      </c>
      <c r="T22" s="800">
        <f>$Q229*'Médias por UF'!GA20</f>
        <v>242062.56627611705</v>
      </c>
      <c r="U22" s="800">
        <f>$Q229*'Médias por UF'!GB20</f>
        <v>279170.82581188437</v>
      </c>
      <c r="V22" s="800">
        <f>$Q229*'Médias por UF'!GC20</f>
        <v>321245.59509501979</v>
      </c>
      <c r="W22" s="800">
        <f>$Q229*'Médias por UF'!GD20</f>
        <v>354987.93752828595</v>
      </c>
      <c r="X22" s="800">
        <f>$Q229*'Médias por UF'!GE20</f>
        <v>386905.71950738208</v>
      </c>
      <c r="Y22" s="800">
        <f>$Q229*'Médias por UF'!GF20</f>
        <v>405835.62127033679</v>
      </c>
      <c r="Z22" s="800">
        <f>$Q229*'Médias por UF'!GG20</f>
        <v>415957.61794993398</v>
      </c>
      <c r="AA22" s="800">
        <f>$Q229*'Médias por UF'!GH20</f>
        <v>428316.0740219166</v>
      </c>
      <c r="AB22" s="800">
        <f>$Q229*'Médias por UF'!GI20</f>
        <v>441365.22</v>
      </c>
      <c r="AC22" s="800">
        <f t="shared" si="2"/>
        <v>441365.22</v>
      </c>
      <c r="AE22" s="138" t="s">
        <v>94</v>
      </c>
      <c r="AF22" s="800">
        <f>JAN!$S22</f>
        <v>60009.648000000001</v>
      </c>
      <c r="AG22" s="800">
        <f>FEV!$S22</f>
        <v>74255.528000000006</v>
      </c>
      <c r="AH22" s="800">
        <f>MAR!$S22</f>
        <v>60187.552000000003</v>
      </c>
      <c r="AI22" s="800">
        <f>ABR!$S22</f>
        <v>26192.664000000004</v>
      </c>
      <c r="AJ22" s="800">
        <f>MAI!$S22</f>
        <v>33896.048000000003</v>
      </c>
      <c r="AK22" s="800">
        <f>JUN!$S22</f>
        <v>42503.048000000003</v>
      </c>
      <c r="AL22" s="800">
        <f>JUL!$S22</f>
        <v>25629.08</v>
      </c>
      <c r="AM22" s="800">
        <f>AGO!$S22</f>
        <v>17587.832000000002</v>
      </c>
      <c r="AN22" s="800">
        <f>SET!$S22</f>
        <v>12298.232000000002</v>
      </c>
      <c r="AO22" s="800">
        <f>OUT!$S22*0</f>
        <v>0</v>
      </c>
      <c r="AP22" s="800">
        <f>NOV!$S22*0</f>
        <v>0</v>
      </c>
      <c r="AQ22" s="800">
        <f>DEZ!$S22*0</f>
        <v>0</v>
      </c>
      <c r="AR22" s="800">
        <f t="shared" si="1"/>
        <v>352559.63200000004</v>
      </c>
    </row>
    <row r="23" spans="1:45">
      <c r="A23" s="137" t="s">
        <v>95</v>
      </c>
      <c r="B23" s="800">
        <f>$B230*'Médias por UF'!FX21</f>
        <v>1489473.6733409853</v>
      </c>
      <c r="C23" s="800">
        <f>$B230*'Médias por UF'!FY21</f>
        <v>2903903.8017752036</v>
      </c>
      <c r="D23" s="800">
        <f>$B230*'Médias por UF'!FZ21</f>
        <v>3613537.870813875</v>
      </c>
      <c r="E23" s="800">
        <f>$B230*'Médias por UF'!GA21</f>
        <v>4094593.4930666471</v>
      </c>
      <c r="F23" s="800">
        <f>$B230*'Médias por UF'!GB21</f>
        <v>4625953.6862749811</v>
      </c>
      <c r="G23" s="800">
        <f>$B230*'Médias por UF'!GC21</f>
        <v>5201777.2324469658</v>
      </c>
      <c r="H23" s="800">
        <f>$B230*'Médias por UF'!GD21</f>
        <v>5740932.3493412063</v>
      </c>
      <c r="I23" s="800">
        <f>$B230*'Médias por UF'!GE21</f>
        <v>6171144.9370542634</v>
      </c>
      <c r="J23" s="800">
        <f>$B230*'Médias por UF'!GF21</f>
        <v>6432550.8155316385</v>
      </c>
      <c r="K23" s="800">
        <f>$B230*'Médias por UF'!GG21</f>
        <v>6599937.0977819227</v>
      </c>
      <c r="L23" s="800">
        <f>$B230*'Médias por UF'!GH21</f>
        <v>6773422.3875269797</v>
      </c>
      <c r="M23" s="800">
        <f>$B230*'Médias por UF'!GI21</f>
        <v>6969152.5800000001</v>
      </c>
      <c r="N23" s="800">
        <f t="shared" si="0"/>
        <v>6969152.5800000001</v>
      </c>
      <c r="P23" s="138" t="s">
        <v>95</v>
      </c>
      <c r="Q23" s="800">
        <f>$Q230*'Médias por UF'!FX21</f>
        <v>975134.08487597911</v>
      </c>
      <c r="R23" s="800">
        <f>$Q230*'Médias por UF'!FY21</f>
        <v>1901138.3866626285</v>
      </c>
      <c r="S23" s="800">
        <f>$Q230*'Médias por UF'!FZ21</f>
        <v>2365724.2205006094</v>
      </c>
      <c r="T23" s="800">
        <f>$Q230*'Médias por UF'!GA21</f>
        <v>2680663.4788278108</v>
      </c>
      <c r="U23" s="800">
        <f>$Q230*'Médias por UF'!GB21</f>
        <v>3028536.3180848449</v>
      </c>
      <c r="V23" s="800">
        <f>$Q230*'Médias por UF'!GC21</f>
        <v>3405518.5882628509</v>
      </c>
      <c r="W23" s="800">
        <f>$Q230*'Médias por UF'!GD21</f>
        <v>3758494.6367347781</v>
      </c>
      <c r="X23" s="800">
        <f>$Q230*'Médias por UF'!GE21</f>
        <v>4040147.7908188645</v>
      </c>
      <c r="Y23" s="800">
        <f>$Q230*'Médias por UF'!GF21</f>
        <v>4211285.9496548418</v>
      </c>
      <c r="Z23" s="800">
        <f>$Q230*'Médias por UF'!GG21</f>
        <v>4320871.0145568624</v>
      </c>
      <c r="AA23" s="800">
        <f>$Q230*'Médias por UF'!GH21</f>
        <v>4434449.000044534</v>
      </c>
      <c r="AB23" s="800">
        <f>$Q230*'Médias por UF'!GI21</f>
        <v>4562590.3600000003</v>
      </c>
      <c r="AC23" s="800">
        <f t="shared" si="2"/>
        <v>4562590.3600000003</v>
      </c>
      <c r="AE23" s="138" t="s">
        <v>95</v>
      </c>
      <c r="AF23" s="800">
        <f>JAN!$S23</f>
        <v>747995.91200000001</v>
      </c>
      <c r="AG23" s="800">
        <f>FEV!$S23</f>
        <v>867383.56799999997</v>
      </c>
      <c r="AH23" s="800">
        <f>MAR!$S23</f>
        <v>797805.18400000001</v>
      </c>
      <c r="AI23" s="800">
        <f>ABR!$S23</f>
        <v>338587.45600000001</v>
      </c>
      <c r="AJ23" s="800">
        <f>MAI!$S23</f>
        <v>408230.95200000005</v>
      </c>
      <c r="AK23" s="800">
        <f>JUN!$S23</f>
        <v>419935.72000000003</v>
      </c>
      <c r="AL23" s="800">
        <f>JUL!$S23</f>
        <v>328405.46400000004</v>
      </c>
      <c r="AM23" s="800">
        <f>AGO!$S23</f>
        <v>164785.20800000001</v>
      </c>
      <c r="AN23" s="800">
        <f>SET!$S23</f>
        <v>142814.704</v>
      </c>
      <c r="AO23" s="800">
        <f>OUT!$S23*0</f>
        <v>0</v>
      </c>
      <c r="AP23" s="800">
        <f>NOV!$S23*0</f>
        <v>0</v>
      </c>
      <c r="AQ23" s="800">
        <f>DEZ!$S23*0</f>
        <v>0</v>
      </c>
      <c r="AR23" s="800">
        <f t="shared" si="1"/>
        <v>4215944.1680000005</v>
      </c>
    </row>
    <row r="24" spans="1:45">
      <c r="A24" s="137" t="s">
        <v>96</v>
      </c>
      <c r="B24" s="800">
        <f>$B231*'Médias por UF'!FX22</f>
        <v>165411.57341968868</v>
      </c>
      <c r="C24" s="800">
        <f>$B231*'Médias por UF'!FY22</f>
        <v>384988.11287711386</v>
      </c>
      <c r="D24" s="800">
        <f>$B231*'Médias por UF'!FZ22</f>
        <v>525205.02931974549</v>
      </c>
      <c r="E24" s="800">
        <f>$B231*'Médias por UF'!GA22</f>
        <v>624098.75957394892</v>
      </c>
      <c r="F24" s="800">
        <f>$B231*'Médias por UF'!GB22</f>
        <v>721618.98989331</v>
      </c>
      <c r="G24" s="800">
        <f>$B231*'Médias por UF'!GC22</f>
        <v>819422.18179611827</v>
      </c>
      <c r="H24" s="800">
        <f>$B231*'Médias por UF'!GD22</f>
        <v>897224.04232499248</v>
      </c>
      <c r="I24" s="800">
        <f>$B231*'Médias por UF'!GE22</f>
        <v>969941.0836356316</v>
      </c>
      <c r="J24" s="800">
        <f>$B231*'Médias por UF'!GF22</f>
        <v>1010350.9007853818</v>
      </c>
      <c r="K24" s="800">
        <f>$B231*'Médias por UF'!GG22</f>
        <v>1032844.6199310193</v>
      </c>
      <c r="L24" s="800">
        <f>$B231*'Médias por UF'!GH22</f>
        <v>1059272.3063083158</v>
      </c>
      <c r="M24" s="800">
        <f>$B231*'Médias por UF'!GI22</f>
        <v>1092162.3700000001</v>
      </c>
      <c r="N24" s="800">
        <f t="shared" si="0"/>
        <v>1092162.3700000001</v>
      </c>
      <c r="P24" s="138" t="s">
        <v>96</v>
      </c>
      <c r="Q24" s="800">
        <f>$Q231*'Médias por UF'!FX22</f>
        <v>105221.57573346201</v>
      </c>
      <c r="R24" s="800">
        <f>$Q231*'Médias por UF'!FY22</f>
        <v>244898.55841465641</v>
      </c>
      <c r="S24" s="800">
        <f>$Q231*'Médias por UF'!FZ22</f>
        <v>334093.31418393296</v>
      </c>
      <c r="T24" s="800">
        <f>$Q231*'Médias por UF'!GA22</f>
        <v>397001.57333642489</v>
      </c>
      <c r="U24" s="800">
        <f>$Q231*'Médias por UF'!GB22</f>
        <v>459036.12199559348</v>
      </c>
      <c r="V24" s="800">
        <f>$Q231*'Médias por UF'!GC22</f>
        <v>521250.66811846313</v>
      </c>
      <c r="W24" s="800">
        <f>$Q231*'Médias por UF'!GD22</f>
        <v>570741.97148133151</v>
      </c>
      <c r="X24" s="800">
        <f>$Q231*'Médias por UF'!GE22</f>
        <v>616998.72069903743</v>
      </c>
      <c r="Y24" s="800">
        <f>$Q231*'Médias por UF'!GF22</f>
        <v>642704.2051926133</v>
      </c>
      <c r="Z24" s="800">
        <f>$Q231*'Médias por UF'!GG22</f>
        <v>657012.90514436772</v>
      </c>
      <c r="AA24" s="800">
        <f>$Q231*'Médias por UF'!GH22</f>
        <v>673824.07951457601</v>
      </c>
      <c r="AB24" s="800">
        <f>$Q231*'Médias por UF'!GI22</f>
        <v>694746.1</v>
      </c>
      <c r="AC24" s="800">
        <f t="shared" si="2"/>
        <v>694746.1</v>
      </c>
      <c r="AE24" s="138" t="s">
        <v>96</v>
      </c>
      <c r="AF24" s="800">
        <f>JAN!$S24</f>
        <v>81070.688000000009</v>
      </c>
      <c r="AG24" s="800">
        <f>FEV!$S24</f>
        <v>108622.96799999999</v>
      </c>
      <c r="AH24" s="800">
        <f>MAR!$S24</f>
        <v>94694.432000000001</v>
      </c>
      <c r="AI24" s="800">
        <f>ABR!$S24</f>
        <v>57831.776000000005</v>
      </c>
      <c r="AJ24" s="800">
        <f>MAI!$S24</f>
        <v>72613.824000000008</v>
      </c>
      <c r="AK24" s="800">
        <f>JUN!$S24</f>
        <v>87603.392000000007</v>
      </c>
      <c r="AL24" s="800">
        <f>JUL!$S24</f>
        <v>76831.368000000002</v>
      </c>
      <c r="AM24" s="800">
        <f>AGO!$S24</f>
        <v>20956.800000000003</v>
      </c>
      <c r="AN24" s="800">
        <f>SET!$S24</f>
        <v>12992.584000000001</v>
      </c>
      <c r="AO24" s="800">
        <f>OUT!$S24*0</f>
        <v>0</v>
      </c>
      <c r="AP24" s="800">
        <f>NOV!$S24*0</f>
        <v>0</v>
      </c>
      <c r="AQ24" s="800">
        <f>DEZ!$S24*0</f>
        <v>0</v>
      </c>
      <c r="AR24" s="800">
        <f t="shared" si="1"/>
        <v>613217.83200000005</v>
      </c>
    </row>
    <row r="25" spans="1:45">
      <c r="A25" s="137" t="s">
        <v>97</v>
      </c>
      <c r="B25" s="800">
        <f>$B232*'Médias por UF'!FX23</f>
        <v>1303808.0943633544</v>
      </c>
      <c r="C25" s="800">
        <f>$B232*'Médias por UF'!FY23</f>
        <v>2664302.5204452113</v>
      </c>
      <c r="D25" s="800">
        <f>$B232*'Médias por UF'!FZ23</f>
        <v>3363283.9796749842</v>
      </c>
      <c r="E25" s="800">
        <f>$B232*'Médias por UF'!GA23</f>
        <v>3902006.651529605</v>
      </c>
      <c r="F25" s="800">
        <f>$B232*'Médias por UF'!GB23</f>
        <v>4442666.589221389</v>
      </c>
      <c r="G25" s="800">
        <f>$B232*'Médias por UF'!GC23</f>
        <v>4999750.8253351189</v>
      </c>
      <c r="H25" s="800">
        <f>$B232*'Médias por UF'!GD23</f>
        <v>5377337.245841777</v>
      </c>
      <c r="I25" s="800">
        <f>$B232*'Médias por UF'!GE23</f>
        <v>5734839.0742272399</v>
      </c>
      <c r="J25" s="800">
        <f>$B232*'Médias por UF'!GF23</f>
        <v>5927173.7782314112</v>
      </c>
      <c r="K25" s="800">
        <f>$B232*'Médias por UF'!GG23</f>
        <v>6066306.9672310119</v>
      </c>
      <c r="L25" s="800">
        <f>$B232*'Médias por UF'!GH23</f>
        <v>6216733.3256340818</v>
      </c>
      <c r="M25" s="800">
        <f>$B232*'Médias por UF'!GI23</f>
        <v>6417380.54</v>
      </c>
      <c r="N25" s="800">
        <f t="shared" si="0"/>
        <v>6417380.54</v>
      </c>
      <c r="P25" s="138" t="s">
        <v>97</v>
      </c>
      <c r="Q25" s="800">
        <f>$Q232*'Médias por UF'!FX23</f>
        <v>962237.44408097572</v>
      </c>
      <c r="R25" s="800">
        <f>$Q232*'Médias por UF'!FY23</f>
        <v>1966310.577925615</v>
      </c>
      <c r="S25" s="800">
        <f>$Q232*'Médias por UF'!FZ23</f>
        <v>2482173.4075068878</v>
      </c>
      <c r="T25" s="800">
        <f>$Q232*'Médias por UF'!GA23</f>
        <v>2879761.9246168295</v>
      </c>
      <c r="U25" s="800">
        <f>$Q232*'Médias por UF'!GB23</f>
        <v>3278780.1841372647</v>
      </c>
      <c r="V25" s="800">
        <f>$Q232*'Médias por UF'!GC23</f>
        <v>3689919.916904171</v>
      </c>
      <c r="W25" s="800">
        <f>$Q232*'Médias por UF'!GD23</f>
        <v>3968586.5349124162</v>
      </c>
      <c r="X25" s="800">
        <f>$Q232*'Médias por UF'!GE23</f>
        <v>4232430.3069269462</v>
      </c>
      <c r="Y25" s="800">
        <f>$Q232*'Médias por UF'!GF23</f>
        <v>4374377.3118497944</v>
      </c>
      <c r="Z25" s="800">
        <f>$Q232*'Médias por UF'!GG23</f>
        <v>4477060.4940977031</v>
      </c>
      <c r="AA25" s="800">
        <f>$Q232*'Médias por UF'!GH23</f>
        <v>4588078.2698408868</v>
      </c>
      <c r="AB25" s="800">
        <f>$Q232*'Médias por UF'!GI23</f>
        <v>4736160.08</v>
      </c>
      <c r="AC25" s="800">
        <f t="shared" si="2"/>
        <v>4736160.08</v>
      </c>
      <c r="AE25" s="138" t="s">
        <v>97</v>
      </c>
      <c r="AF25" s="800">
        <f>JAN!$S25</f>
        <v>988047.04800000007</v>
      </c>
      <c r="AG25" s="800">
        <f>FEV!$S25</f>
        <v>970484.2080000001</v>
      </c>
      <c r="AH25" s="800">
        <f>MAR!$S25</f>
        <v>714152.4</v>
      </c>
      <c r="AI25" s="800">
        <f>ABR!$S25</f>
        <v>349032.26400000002</v>
      </c>
      <c r="AJ25" s="800">
        <f>MAI!$S25</f>
        <v>453470.88</v>
      </c>
      <c r="AK25" s="800">
        <f>JUN!$S25</f>
        <v>524358.70400000003</v>
      </c>
      <c r="AL25" s="800">
        <f>JUL!$S25</f>
        <v>404428.78399999999</v>
      </c>
      <c r="AM25" s="800">
        <f>AGO!$S25</f>
        <v>128019.16800000001</v>
      </c>
      <c r="AN25" s="800">
        <f>SET!$S25</f>
        <v>88909.256000000008</v>
      </c>
      <c r="AO25" s="800">
        <f>OUT!$S25*0</f>
        <v>0</v>
      </c>
      <c r="AP25" s="800">
        <f>NOV!$S25*0</f>
        <v>0</v>
      </c>
      <c r="AQ25" s="800">
        <f>DEZ!$S25*0</f>
        <v>0</v>
      </c>
      <c r="AR25" s="800">
        <f t="shared" si="1"/>
        <v>4620902.7119999994</v>
      </c>
    </row>
    <row r="26" spans="1:45">
      <c r="A26" s="137" t="s">
        <v>98</v>
      </c>
      <c r="B26" s="800">
        <f>$B233*'Médias por UF'!FX24</f>
        <v>89231.450323812911</v>
      </c>
      <c r="C26" s="800">
        <f>$B233*'Médias por UF'!FY24</f>
        <v>171984.76384547068</v>
      </c>
      <c r="D26" s="800">
        <f>$B233*'Médias por UF'!FZ24</f>
        <v>235806.82821897772</v>
      </c>
      <c r="E26" s="800">
        <f>$B233*'Médias por UF'!GA24</f>
        <v>284481.14443046658</v>
      </c>
      <c r="F26" s="800">
        <f>$B233*'Médias por UF'!GB24</f>
        <v>335173.04177228449</v>
      </c>
      <c r="G26" s="800">
        <f>$B233*'Médias por UF'!GC24</f>
        <v>399881.3717015399</v>
      </c>
      <c r="H26" s="800">
        <f>$B233*'Médias por UF'!GD24</f>
        <v>448113.2302535075</v>
      </c>
      <c r="I26" s="800">
        <f>$B233*'Médias por UF'!GE24</f>
        <v>482206.28755691688</v>
      </c>
      <c r="J26" s="800">
        <f>$B233*'Médias por UF'!GF24</f>
        <v>504189.83164165867</v>
      </c>
      <c r="K26" s="800">
        <f>$B233*'Médias por UF'!GG24</f>
        <v>520867.79027576832</v>
      </c>
      <c r="L26" s="800">
        <f>$B233*'Médias por UF'!GH24</f>
        <v>536734.66771750781</v>
      </c>
      <c r="M26" s="800">
        <f>$B233*'Médias por UF'!GI24</f>
        <v>555177.37</v>
      </c>
      <c r="N26" s="800">
        <f t="shared" si="0"/>
        <v>555177.37</v>
      </c>
      <c r="P26" s="138" t="s">
        <v>98</v>
      </c>
      <c r="Q26" s="800">
        <f>$Q233*'Médias por UF'!FX24</f>
        <v>57477.313180153396</v>
      </c>
      <c r="R26" s="800">
        <f>$Q233*'Médias por UF'!FY24</f>
        <v>110781.81625299442</v>
      </c>
      <c r="S26" s="800">
        <f>$Q233*'Médias por UF'!FZ24</f>
        <v>151891.99398167603</v>
      </c>
      <c r="T26" s="800">
        <f>$Q233*'Médias por UF'!GA24</f>
        <v>183244.94080216449</v>
      </c>
      <c r="U26" s="800">
        <f>$Q233*'Médias por UF'!GB24</f>
        <v>215897.48705842879</v>
      </c>
      <c r="V26" s="800">
        <f>$Q233*'Médias por UF'!GC24</f>
        <v>257578.54156568655</v>
      </c>
      <c r="W26" s="800">
        <f>$Q233*'Médias por UF'!GD24</f>
        <v>288646.48486585816</v>
      </c>
      <c r="X26" s="800">
        <f>$Q233*'Médias por UF'!GE24</f>
        <v>310607.09768550692</v>
      </c>
      <c r="Y26" s="800">
        <f>$Q233*'Médias por UF'!GF24</f>
        <v>324767.52031209302</v>
      </c>
      <c r="Z26" s="800">
        <f>$Q233*'Médias por UF'!GG24</f>
        <v>335510.41699414485</v>
      </c>
      <c r="AA26" s="800">
        <f>$Q233*'Médias por UF'!GH24</f>
        <v>345730.86595693167</v>
      </c>
      <c r="AB26" s="800">
        <f>$Q233*'Médias por UF'!GI24</f>
        <v>357610.5</v>
      </c>
      <c r="AC26" s="800">
        <f t="shared" si="2"/>
        <v>357610.5</v>
      </c>
      <c r="AE26" s="138" t="s">
        <v>98</v>
      </c>
      <c r="AF26" s="800">
        <f>JAN!$S26</f>
        <v>41901.192000000003</v>
      </c>
      <c r="AG26" s="800">
        <f>FEV!$S26</f>
        <v>44577.128000000004</v>
      </c>
      <c r="AH26" s="800">
        <f>MAR!$S26</f>
        <v>51722.112000000001</v>
      </c>
      <c r="AI26" s="800">
        <f>ABR!$S26</f>
        <v>28183.608000000004</v>
      </c>
      <c r="AJ26" s="800">
        <f>MAI!$S26</f>
        <v>34653.408000000003</v>
      </c>
      <c r="AK26" s="800">
        <f>JUN!$S26</f>
        <v>34687.128000000004</v>
      </c>
      <c r="AL26" s="800">
        <f>JUL!$S26</f>
        <v>28630.832000000002</v>
      </c>
      <c r="AM26" s="800">
        <f>AGO!$S26</f>
        <v>25757.704000000002</v>
      </c>
      <c r="AN26" s="800">
        <f>SET!$S26</f>
        <v>28683.847999999998</v>
      </c>
      <c r="AO26" s="800">
        <f>OUT!$S26*0</f>
        <v>0</v>
      </c>
      <c r="AP26" s="800">
        <f>NOV!$S26*0</f>
        <v>0</v>
      </c>
      <c r="AQ26" s="800">
        <f>DEZ!$S26*0</f>
        <v>0</v>
      </c>
      <c r="AR26" s="800">
        <f t="shared" si="1"/>
        <v>318796.96000000002</v>
      </c>
    </row>
    <row r="27" spans="1:45">
      <c r="A27" s="137" t="s">
        <v>99</v>
      </c>
      <c r="B27" s="800">
        <f>$B234*'Médias por UF'!FX25</f>
        <v>17175.244958735882</v>
      </c>
      <c r="C27" s="800">
        <f>$B234*'Médias por UF'!FY25</f>
        <v>36699.165399864418</v>
      </c>
      <c r="D27" s="800">
        <f>$B234*'Médias por UF'!FZ25</f>
        <v>46766.814804549183</v>
      </c>
      <c r="E27" s="800">
        <f>$B234*'Médias por UF'!GA25</f>
        <v>55113.285140387205</v>
      </c>
      <c r="F27" s="800">
        <f>$B234*'Médias por UF'!GB25</f>
        <v>63422.241571997118</v>
      </c>
      <c r="G27" s="800">
        <f>$B234*'Médias por UF'!GC25</f>
        <v>69641.45650314317</v>
      </c>
      <c r="H27" s="800">
        <f>$B234*'Médias por UF'!GD25</f>
        <v>77139.836237939802</v>
      </c>
      <c r="I27" s="800">
        <f>$B234*'Médias por UF'!GE25</f>
        <v>82633.192201633545</v>
      </c>
      <c r="J27" s="800">
        <f>$B234*'Médias por UF'!GF25</f>
        <v>86629.608337288111</v>
      </c>
      <c r="K27" s="800">
        <f>$B234*'Médias por UF'!GG25</f>
        <v>89486.59314129017</v>
      </c>
      <c r="L27" s="800">
        <f>$B234*'Médias por UF'!GH25</f>
        <v>93527.731062267325</v>
      </c>
      <c r="M27" s="800">
        <f>$B234*'Médias por UF'!GI25</f>
        <v>96143.44</v>
      </c>
      <c r="N27" s="800">
        <f t="shared" si="0"/>
        <v>96143.44</v>
      </c>
      <c r="P27" s="138" t="s">
        <v>99</v>
      </c>
      <c r="Q27" s="800">
        <f>$Q234*'Médias por UF'!FX25</f>
        <v>10877.650614938409</v>
      </c>
      <c r="R27" s="800">
        <f>$Q234*'Médias por UF'!FY25</f>
        <v>23242.795083194153</v>
      </c>
      <c r="S27" s="800">
        <f>$Q234*'Médias por UF'!FZ25</f>
        <v>29618.970386717381</v>
      </c>
      <c r="T27" s="800">
        <f>$Q234*'Médias por UF'!GA25</f>
        <v>34905.06606682673</v>
      </c>
      <c r="U27" s="800">
        <f>$Q234*'Médias por UF'!GB25</f>
        <v>40167.402950809679</v>
      </c>
      <c r="V27" s="800">
        <f>$Q234*'Médias por UF'!GC25</f>
        <v>44106.23743513567</v>
      </c>
      <c r="W27" s="800">
        <f>$Q234*'Médias por UF'!GD25</f>
        <v>48855.2092913866</v>
      </c>
      <c r="X27" s="800">
        <f>$Q234*'Médias por UF'!GE25</f>
        <v>52334.333287586458</v>
      </c>
      <c r="Y27" s="800">
        <f>$Q234*'Médias por UF'!GF25</f>
        <v>54865.395787131281</v>
      </c>
      <c r="Z27" s="800">
        <f>$Q234*'Médias por UF'!GG25</f>
        <v>56674.81874353085</v>
      </c>
      <c r="AA27" s="800">
        <f>$Q234*'Médias por UF'!GH25</f>
        <v>59234.205028662676</v>
      </c>
      <c r="AB27" s="800">
        <f>$Q234*'Médias por UF'!GI25</f>
        <v>60890.82</v>
      </c>
      <c r="AC27" s="800">
        <f t="shared" si="2"/>
        <v>60890.82</v>
      </c>
      <c r="AE27" s="138" t="s">
        <v>99</v>
      </c>
      <c r="AF27" s="800">
        <f>JAN!$S27</f>
        <v>10118.168</v>
      </c>
      <c r="AG27" s="800">
        <f>FEV!$S27</f>
        <v>11839.824000000001</v>
      </c>
      <c r="AH27" s="800">
        <f>MAR!$S27</f>
        <v>8702.5360000000001</v>
      </c>
      <c r="AI27" s="800">
        <f>ABR!$S27</f>
        <v>4868.6959999999999</v>
      </c>
      <c r="AJ27" s="800">
        <f>MAI!$S27</f>
        <v>5508.3919999999998</v>
      </c>
      <c r="AK27" s="800">
        <f>JUN!$S27</f>
        <v>6043.2400000000007</v>
      </c>
      <c r="AL27" s="800">
        <f>JUL!$S27</f>
        <v>2730.6000000000004</v>
      </c>
      <c r="AM27" s="800">
        <f>AGO!$S27</f>
        <v>1384.7600000000002</v>
      </c>
      <c r="AN27" s="800">
        <f>SET!$S27</f>
        <v>1145.5040000000001</v>
      </c>
      <c r="AO27" s="800">
        <f>OUT!$S27*0</f>
        <v>0</v>
      </c>
      <c r="AP27" s="800">
        <f>NOV!$S27*0</f>
        <v>0</v>
      </c>
      <c r="AQ27" s="800">
        <f>DEZ!$S27*0</f>
        <v>0</v>
      </c>
      <c r="AR27" s="800">
        <f t="shared" si="1"/>
        <v>52341.72</v>
      </c>
    </row>
    <row r="28" spans="1:45">
      <c r="A28" s="137" t="s">
        <v>100</v>
      </c>
      <c r="B28" s="800">
        <f>$B235*'Médias por UF'!FX26</f>
        <v>820466.30136858905</v>
      </c>
      <c r="C28" s="800">
        <f>$B235*'Médias por UF'!FY26</f>
        <v>1856089.5476099108</v>
      </c>
      <c r="D28" s="800">
        <f>$B235*'Médias por UF'!FZ26</f>
        <v>2372600.1660821578</v>
      </c>
      <c r="E28" s="800">
        <f>$B235*'Médias por UF'!GA26</f>
        <v>2762910.7506662756</v>
      </c>
      <c r="F28" s="800">
        <f>$B235*'Médias por UF'!GB26</f>
        <v>3148383.8184790607</v>
      </c>
      <c r="G28" s="800">
        <f>$B235*'Médias por UF'!GC26</f>
        <v>3550159.3462299034</v>
      </c>
      <c r="H28" s="800">
        <f>$B235*'Médias por UF'!GD26</f>
        <v>3818713.0465239482</v>
      </c>
      <c r="I28" s="800">
        <f>$B235*'Médias por UF'!GE26</f>
        <v>4073820.2298554229</v>
      </c>
      <c r="J28" s="800">
        <f>$B235*'Médias por UF'!GF26</f>
        <v>4194685.8645413537</v>
      </c>
      <c r="K28" s="800">
        <f>$B235*'Médias por UF'!GG26</f>
        <v>4280129.4118211903</v>
      </c>
      <c r="L28" s="800">
        <f>$B235*'Médias por UF'!GH26</f>
        <v>4367276.1498745428</v>
      </c>
      <c r="M28" s="800">
        <f>$B235*'Médias por UF'!GI26</f>
        <v>4467462.87</v>
      </c>
      <c r="N28" s="800">
        <f t="shared" si="0"/>
        <v>4467462.87</v>
      </c>
      <c r="P28" s="138" t="s">
        <v>100</v>
      </c>
      <c r="Q28" s="800">
        <f>$Q235*'Médias por UF'!FX26</f>
        <v>609097.47613012837</v>
      </c>
      <c r="R28" s="800">
        <f>$Q235*'Médias por UF'!FY26</f>
        <v>1377923.0871943163</v>
      </c>
      <c r="S28" s="800">
        <f>$Q235*'Médias por UF'!FZ26</f>
        <v>1761370.0533659626</v>
      </c>
      <c r="T28" s="800">
        <f>$Q235*'Médias por UF'!GA26</f>
        <v>2051128.6840135599</v>
      </c>
      <c r="U28" s="800">
        <f>$Q235*'Médias por UF'!GB26</f>
        <v>2337296.0407096967</v>
      </c>
      <c r="V28" s="800">
        <f>$Q235*'Médias por UF'!GC26</f>
        <v>2635566.0117196944</v>
      </c>
      <c r="W28" s="800">
        <f>$Q235*'Médias por UF'!GD26</f>
        <v>2834934.8106352082</v>
      </c>
      <c r="X28" s="800">
        <f>$Q235*'Médias por UF'!GE26</f>
        <v>3024321.1891502975</v>
      </c>
      <c r="Y28" s="800">
        <f>$Q235*'Médias por UF'!GF26</f>
        <v>3114049.3753235331</v>
      </c>
      <c r="Z28" s="800">
        <f>$Q235*'Médias por UF'!GG26</f>
        <v>3177480.9250568273</v>
      </c>
      <c r="AA28" s="800">
        <f>$Q235*'Médias por UF'!GH26</f>
        <v>3242176.8889406919</v>
      </c>
      <c r="AB28" s="800">
        <f>$Q235*'Médias por UF'!GI26</f>
        <v>3316553.47</v>
      </c>
      <c r="AC28" s="800">
        <f t="shared" si="2"/>
        <v>3316553.47</v>
      </c>
      <c r="AE28" s="138" t="s">
        <v>100</v>
      </c>
      <c r="AF28" s="800">
        <f>JAN!$S28</f>
        <v>551830.79200000002</v>
      </c>
      <c r="AG28" s="800">
        <f>FEV!$S28</f>
        <v>692159.32000000007</v>
      </c>
      <c r="AH28" s="800">
        <f>MAR!$S28</f>
        <v>516115.12800000003</v>
      </c>
      <c r="AI28" s="800">
        <f>ABR!$S28</f>
        <v>262753.00800000003</v>
      </c>
      <c r="AJ28" s="800">
        <f>MAI!$S28</f>
        <v>315602.16000000003</v>
      </c>
      <c r="AK28" s="800">
        <f>JUN!$S28</f>
        <v>412829.95200000005</v>
      </c>
      <c r="AL28" s="800">
        <f>JUL!$S28</f>
        <v>313105.44800000003</v>
      </c>
      <c r="AM28" s="800">
        <f>AGO!$S28</f>
        <v>103556.376</v>
      </c>
      <c r="AN28" s="800">
        <f>SET!$S28</f>
        <v>70843.888000000006</v>
      </c>
      <c r="AO28" s="800">
        <f>OUT!$S28*0</f>
        <v>0</v>
      </c>
      <c r="AP28" s="800">
        <f>NOV!$S28*0</f>
        <v>0</v>
      </c>
      <c r="AQ28" s="800">
        <f>DEZ!$S28*0</f>
        <v>0</v>
      </c>
      <c r="AR28" s="800">
        <f t="shared" si="1"/>
        <v>3238796.0720000002</v>
      </c>
    </row>
    <row r="29" spans="1:45">
      <c r="A29" s="137" t="s">
        <v>101</v>
      </c>
      <c r="B29" s="800">
        <f>$B236*'Médias por UF'!FX27</f>
        <v>5321451.3844785662</v>
      </c>
      <c r="C29" s="800">
        <f>$B236*'Médias por UF'!FY27</f>
        <v>10455195.567082798</v>
      </c>
      <c r="D29" s="800">
        <f>$B236*'Médias por UF'!FZ27</f>
        <v>13300019.997342195</v>
      </c>
      <c r="E29" s="800">
        <f>$B236*'Médias por UF'!GA27</f>
        <v>15283951.77840759</v>
      </c>
      <c r="F29" s="800">
        <f>$B236*'Médias por UF'!GB27</f>
        <v>17275696.200027909</v>
      </c>
      <c r="G29" s="800">
        <f>$B236*'Médias por UF'!GC27</f>
        <v>19238143.707697239</v>
      </c>
      <c r="H29" s="800">
        <f>$B236*'Médias por UF'!GD27</f>
        <v>20763085.317115977</v>
      </c>
      <c r="I29" s="800">
        <f>$B236*'Médias por UF'!GE27</f>
        <v>22068785.800923575</v>
      </c>
      <c r="J29" s="800">
        <f>$B236*'Médias por UF'!GF27</f>
        <v>22810461.886234045</v>
      </c>
      <c r="K29" s="800">
        <f>$B236*'Médias por UF'!GG27</f>
        <v>23332867.02674453</v>
      </c>
      <c r="L29" s="800">
        <f>$B236*'Médias por UF'!GH27</f>
        <v>23985191.796468165</v>
      </c>
      <c r="M29" s="800">
        <f>$B236*'Médias por UF'!GI27</f>
        <v>24698303.699999999</v>
      </c>
      <c r="N29" s="800">
        <f t="shared" si="0"/>
        <v>24698303.699999999</v>
      </c>
      <c r="P29" s="138" t="s">
        <v>101</v>
      </c>
      <c r="Q29" s="800">
        <f>$Q236*'Médias por UF'!FX27</f>
        <v>3618700.9196806261</v>
      </c>
      <c r="R29" s="800">
        <f>$Q236*'Médias por UF'!FY27</f>
        <v>7109756.921654298</v>
      </c>
      <c r="S29" s="800">
        <f>$Q236*'Médias por UF'!FZ27</f>
        <v>9044298.4664923195</v>
      </c>
      <c r="T29" s="800">
        <f>$Q236*'Médias por UF'!GA27</f>
        <v>10393414.570731321</v>
      </c>
      <c r="U29" s="800">
        <f>$Q236*'Médias por UF'!GB27</f>
        <v>11747843.437883783</v>
      </c>
      <c r="V29" s="800">
        <f>$Q236*'Médias por UF'!GC27</f>
        <v>13082349.77604961</v>
      </c>
      <c r="W29" s="800">
        <f>$Q236*'Médias por UF'!GD27</f>
        <v>14119342.732625039</v>
      </c>
      <c r="X29" s="800">
        <f>$Q236*'Médias por UF'!GE27</f>
        <v>15007247.02793882</v>
      </c>
      <c r="Y29" s="800">
        <f>$Q236*'Médias por UF'!GF27</f>
        <v>15511602.651640741</v>
      </c>
      <c r="Z29" s="800">
        <f>$Q236*'Médias por UF'!GG27</f>
        <v>15866849.336393911</v>
      </c>
      <c r="AA29" s="800">
        <f>$Q236*'Médias por UF'!GH27</f>
        <v>16310444.151713392</v>
      </c>
      <c r="AB29" s="800">
        <f>$Q236*'Médias por UF'!GI27</f>
        <v>16795375.52</v>
      </c>
      <c r="AC29" s="800">
        <f t="shared" si="2"/>
        <v>16795375.52</v>
      </c>
      <c r="AE29" s="138" t="s">
        <v>101</v>
      </c>
      <c r="AF29" s="800">
        <f>JAN!$S29</f>
        <v>3071719.08</v>
      </c>
      <c r="AG29" s="800">
        <f>FEV!$S29</f>
        <v>3320795.6960000005</v>
      </c>
      <c r="AH29" s="800">
        <f>MAR!$S29</f>
        <v>2762173.6880000001</v>
      </c>
      <c r="AI29" s="800">
        <f>ABR!$S29</f>
        <v>1289127.952</v>
      </c>
      <c r="AJ29" s="800">
        <f>MAI!$S29</f>
        <v>1538621.6</v>
      </c>
      <c r="AK29" s="800">
        <f>JUN!$S29</f>
        <v>1593098.4160000002</v>
      </c>
      <c r="AL29" s="800">
        <f>JUL!$S29</f>
        <v>1193413.08</v>
      </c>
      <c r="AM29" s="800">
        <f>AGO!$S29</f>
        <v>536718.13600000006</v>
      </c>
      <c r="AN29" s="800">
        <f>SET!$S29</f>
        <v>408236.39199999999</v>
      </c>
      <c r="AO29" s="800">
        <f>OUT!$S29*0</f>
        <v>0</v>
      </c>
      <c r="AP29" s="800">
        <f>NOV!$S29*0</f>
        <v>0</v>
      </c>
      <c r="AQ29" s="800">
        <f>DEZ!$S29*0</f>
        <v>0</v>
      </c>
      <c r="AR29" s="800">
        <f t="shared" si="1"/>
        <v>15713904.039999999</v>
      </c>
    </row>
    <row r="30" spans="1:45">
      <c r="A30" s="137" t="s">
        <v>102</v>
      </c>
      <c r="B30" s="800">
        <f>$B237*'Médias por UF'!FX28</f>
        <v>101409.74990854615</v>
      </c>
      <c r="C30" s="800">
        <f>$B237*'Médias por UF'!FY28</f>
        <v>223773.25709736565</v>
      </c>
      <c r="D30" s="800">
        <f>$B237*'Médias por UF'!FZ28</f>
        <v>299150.74923570285</v>
      </c>
      <c r="E30" s="800">
        <f>$B237*'Médias por UF'!GA28</f>
        <v>354515.34159325465</v>
      </c>
      <c r="F30" s="800">
        <f>$B237*'Médias por UF'!GB28</f>
        <v>409536.58370046236</v>
      </c>
      <c r="G30" s="800">
        <f>$B237*'Médias por UF'!GC28</f>
        <v>470808.95762076089</v>
      </c>
      <c r="H30" s="800">
        <f>$B237*'Médias por UF'!GD28</f>
        <v>526647.62351878616</v>
      </c>
      <c r="I30" s="800">
        <f>$B237*'Médias por UF'!GE28</f>
        <v>570181.00081838132</v>
      </c>
      <c r="J30" s="800">
        <f>$B237*'Médias por UF'!GF28</f>
        <v>596874.52779259544</v>
      </c>
      <c r="K30" s="800">
        <f>$B237*'Médias por UF'!GG28</f>
        <v>613995.39485311718</v>
      </c>
      <c r="L30" s="800">
        <f>$B237*'Médias por UF'!GH28</f>
        <v>632661.15459435375</v>
      </c>
      <c r="M30" s="800">
        <f>$B237*'Médias por UF'!GI28</f>
        <v>651600.30000000005</v>
      </c>
      <c r="N30" s="800">
        <f t="shared" si="0"/>
        <v>651600.30000000005</v>
      </c>
      <c r="P30" s="138" t="s">
        <v>102</v>
      </c>
      <c r="Q30" s="800">
        <f>$Q237*'Médias por UF'!FX28</f>
        <v>68135.929869214015</v>
      </c>
      <c r="R30" s="800">
        <f>$Q237*'Médias por UF'!FY28</f>
        <v>150350.42454933407</v>
      </c>
      <c r="S30" s="800">
        <f>$Q237*'Médias por UF'!FZ28</f>
        <v>200995.60928439823</v>
      </c>
      <c r="T30" s="800">
        <f>$Q237*'Médias por UF'!GA28</f>
        <v>238194.37947674899</v>
      </c>
      <c r="U30" s="800">
        <f>$Q237*'Médias por UF'!GB28</f>
        <v>275162.45697338635</v>
      </c>
      <c r="V30" s="800">
        <f>$Q237*'Médias por UF'!GC28</f>
        <v>316330.59096561791</v>
      </c>
      <c r="W30" s="800">
        <f>$Q237*'Médias por UF'!GD28</f>
        <v>353847.88518091204</v>
      </c>
      <c r="X30" s="800">
        <f>$Q237*'Médias por UF'!GE28</f>
        <v>383097.41143780772</v>
      </c>
      <c r="Y30" s="800">
        <f>$Q237*'Médias por UF'!GF28</f>
        <v>401032.45499641291</v>
      </c>
      <c r="Z30" s="800">
        <f>$Q237*'Médias por UF'!GG28</f>
        <v>412535.7492890018</v>
      </c>
      <c r="AA30" s="800">
        <f>$Q237*'Médias por UF'!GH28</f>
        <v>425077.03745736269</v>
      </c>
      <c r="AB30" s="800">
        <f>$Q237*'Médias por UF'!GI28</f>
        <v>437802.01</v>
      </c>
      <c r="AC30" s="800">
        <f t="shared" si="2"/>
        <v>437802.01</v>
      </c>
      <c r="AE30" s="138" t="s">
        <v>102</v>
      </c>
      <c r="AF30" s="800">
        <f>JAN!$S30</f>
        <v>66389.568000000014</v>
      </c>
      <c r="AG30" s="800">
        <f>FEV!$S30</f>
        <v>62505.52</v>
      </c>
      <c r="AH30" s="800">
        <f>MAR!$S30</f>
        <v>55323.19200000001</v>
      </c>
      <c r="AI30" s="800">
        <f>ABR!$S30</f>
        <v>32430.576000000001</v>
      </c>
      <c r="AJ30" s="800">
        <f>MAI!$S30</f>
        <v>39940.984000000004</v>
      </c>
      <c r="AK30" s="800">
        <f>JUN!$S30</f>
        <v>48740.528000000006</v>
      </c>
      <c r="AL30" s="800">
        <f>JUL!$S30</f>
        <v>37506.488000000005</v>
      </c>
      <c r="AM30" s="800">
        <f>AGO!$S30</f>
        <v>18388.856</v>
      </c>
      <c r="AN30" s="800">
        <f>SET!$S30</f>
        <v>11831.24</v>
      </c>
      <c r="AO30" s="800">
        <f>OUT!$S30*0</f>
        <v>0</v>
      </c>
      <c r="AP30" s="800">
        <f>NOV!$S30*0</f>
        <v>0</v>
      </c>
      <c r="AQ30" s="800">
        <f>DEZ!$S30*0</f>
        <v>0</v>
      </c>
      <c r="AR30" s="800">
        <f t="shared" si="1"/>
        <v>373056.95200000005</v>
      </c>
    </row>
    <row r="31" spans="1:45">
      <c r="A31" s="137" t="s">
        <v>103</v>
      </c>
      <c r="B31" s="800">
        <f>$B238*'Médias por UF'!FX29</f>
        <v>39138.440090276847</v>
      </c>
      <c r="C31" s="800">
        <f>$B238*'Médias por UF'!FY29</f>
        <v>99658.920142513351</v>
      </c>
      <c r="D31" s="800">
        <f>$B238*'Médias por UF'!FZ29</f>
        <v>147482.76060857731</v>
      </c>
      <c r="E31" s="800">
        <f>$B238*'Médias por UF'!GA29</f>
        <v>177534.43822447237</v>
      </c>
      <c r="F31" s="800">
        <f>$B238*'Médias por UF'!GB29</f>
        <v>209485.12809663717</v>
      </c>
      <c r="G31" s="800">
        <f>$B238*'Médias por UF'!GC29</f>
        <v>244767.67632145141</v>
      </c>
      <c r="H31" s="800">
        <f>$B238*'Médias por UF'!GD29</f>
        <v>273620.82318723312</v>
      </c>
      <c r="I31" s="800">
        <f>$B238*'Médias por UF'!GE29</f>
        <v>305252.15529012046</v>
      </c>
      <c r="J31" s="800">
        <f>$B238*'Médias por UF'!GF29</f>
        <v>320684.4416245895</v>
      </c>
      <c r="K31" s="800">
        <f>$B238*'Médias por UF'!GG29</f>
        <v>332046.43353586434</v>
      </c>
      <c r="L31" s="800">
        <f>$B238*'Médias por UF'!GH29</f>
        <v>340417.66920291662</v>
      </c>
      <c r="M31" s="800">
        <f>$B238*'Médias por UF'!GI29</f>
        <v>351755.99</v>
      </c>
      <c r="N31" s="800">
        <f t="shared" si="0"/>
        <v>351755.99</v>
      </c>
      <c r="P31" s="138" t="s">
        <v>103</v>
      </c>
      <c r="Q31" s="800">
        <f>$Q238*'Médias por UF'!FX29</f>
        <v>25395.880986718206</v>
      </c>
      <c r="R31" s="800">
        <f>$Q238*'Médias por UF'!FY29</f>
        <v>64665.992547640657</v>
      </c>
      <c r="S31" s="800">
        <f>$Q238*'Médias por UF'!FZ29</f>
        <v>95697.596208965013</v>
      </c>
      <c r="T31" s="800">
        <f>$Q238*'Médias por UF'!GA29</f>
        <v>115197.32145156845</v>
      </c>
      <c r="U31" s="800">
        <f>$Q238*'Médias por UF'!GB29</f>
        <v>135929.26466559092</v>
      </c>
      <c r="V31" s="800">
        <f>$Q238*'Médias por UF'!GC29</f>
        <v>158823.16114073759</v>
      </c>
      <c r="W31" s="800">
        <f>$Q238*'Médias por UF'!GD29</f>
        <v>177545.19201896185</v>
      </c>
      <c r="X31" s="800">
        <f>$Q238*'Médias por UF'!GE29</f>
        <v>198069.91256692898</v>
      </c>
      <c r="Y31" s="800">
        <f>$Q238*'Médias por UF'!GF29</f>
        <v>208083.50805512772</v>
      </c>
      <c r="Z31" s="800">
        <f>$Q238*'Médias por UF'!GG29</f>
        <v>215455.99897927357</v>
      </c>
      <c r="AA31" s="800">
        <f>$Q238*'Médias por UF'!GH29</f>
        <v>220887.86862512195</v>
      </c>
      <c r="AB31" s="800">
        <f>$Q238*'Médias por UF'!GI29</f>
        <v>228245</v>
      </c>
      <c r="AC31" s="800">
        <f t="shared" si="2"/>
        <v>228245</v>
      </c>
      <c r="AE31" s="138" t="s">
        <v>103</v>
      </c>
      <c r="AF31" s="800">
        <f>JAN!$S31</f>
        <v>24559.64</v>
      </c>
      <c r="AG31" s="800">
        <f>FEV!$S31</f>
        <v>35064.384000000005</v>
      </c>
      <c r="AH31" s="800">
        <f>MAR!$S31</f>
        <v>31904.368000000002</v>
      </c>
      <c r="AI31" s="800">
        <f>ABR!$S31</f>
        <v>21321.328000000001</v>
      </c>
      <c r="AJ31" s="800">
        <f>MAI!$S31</f>
        <v>19502.896000000001</v>
      </c>
      <c r="AK31" s="800">
        <f>JUN!$S31</f>
        <v>29315.216</v>
      </c>
      <c r="AL31" s="800">
        <f>JUL!$S31</f>
        <v>17469.176000000003</v>
      </c>
      <c r="AM31" s="800">
        <f>AGO!$S31</f>
        <v>9519.2479999999996</v>
      </c>
      <c r="AN31" s="800">
        <f>SET!$S31</f>
        <v>7976.9440000000004</v>
      </c>
      <c r="AO31" s="800">
        <f>OUT!$S31*0</f>
        <v>0</v>
      </c>
      <c r="AP31" s="800">
        <f>NOV!$S31*0</f>
        <v>0</v>
      </c>
      <c r="AQ31" s="800">
        <f>DEZ!$S31*0</f>
        <v>0</v>
      </c>
      <c r="AR31" s="800">
        <f t="shared" si="1"/>
        <v>196633.19999999998</v>
      </c>
    </row>
    <row r="32" spans="1:45">
      <c r="A32" s="805" t="s">
        <v>37</v>
      </c>
      <c r="B32" s="806">
        <f>SUM(B5:B31)</f>
        <v>15657401.874417527</v>
      </c>
      <c r="C32" s="806">
        <f t="shared" ref="C32:D32" si="3">SUM(C5:C31)</f>
        <v>31786940.725203604</v>
      </c>
      <c r="D32" s="806">
        <f t="shared" si="3"/>
        <v>40640963.51233869</v>
      </c>
      <c r="E32" s="806">
        <f>SUM(E5:E31)</f>
        <v>47185347.317031629</v>
      </c>
      <c r="F32" s="806">
        <f t="shared" ref="F32:N32" si="4">SUM(F5:F31)</f>
        <v>53701759.795633376</v>
      </c>
      <c r="G32" s="806">
        <f t="shared" si="4"/>
        <v>60364498.226516917</v>
      </c>
      <c r="H32" s="806">
        <f t="shared" si="4"/>
        <v>65618095.70108097</v>
      </c>
      <c r="I32" s="806">
        <f t="shared" si="4"/>
        <v>70279773.443790898</v>
      </c>
      <c r="J32" s="806">
        <f t="shared" si="4"/>
        <v>72926493.97160466</v>
      </c>
      <c r="K32" s="806">
        <f t="shared" si="4"/>
        <v>74730198.555529788</v>
      </c>
      <c r="L32" s="806">
        <f t="shared" si="4"/>
        <v>76760501.845810264</v>
      </c>
      <c r="M32" s="806">
        <f t="shared" si="4"/>
        <v>79057545.329999968</v>
      </c>
      <c r="N32" s="806">
        <f t="shared" si="4"/>
        <v>79057545.329999968</v>
      </c>
      <c r="P32" s="807" t="s">
        <v>37</v>
      </c>
      <c r="Q32" s="806">
        <f>SUM(Q5:Q31)</f>
        <v>10780563.101584844</v>
      </c>
      <c r="R32" s="806">
        <f t="shared" ref="R32:S32" si="5">SUM(R5:R31)</f>
        <v>21907008.45392675</v>
      </c>
      <c r="S32" s="806">
        <f t="shared" si="5"/>
        <v>27991657.137022562</v>
      </c>
      <c r="T32" s="806">
        <f>SUM(T5:T31)</f>
        <v>32491734.715627119</v>
      </c>
      <c r="U32" s="806">
        <f t="shared" ref="U32:AC32" si="6">SUM(U5:U31)</f>
        <v>36967713.912909836</v>
      </c>
      <c r="V32" s="806">
        <f t="shared" si="6"/>
        <v>41542516.902889602</v>
      </c>
      <c r="W32" s="806">
        <f t="shared" si="6"/>
        <v>45140204.02679012</v>
      </c>
      <c r="X32" s="806">
        <f t="shared" si="6"/>
        <v>48342421.603557006</v>
      </c>
      <c r="Y32" s="806">
        <f t="shared" si="6"/>
        <v>50154726.057826869</v>
      </c>
      <c r="Z32" s="806">
        <f t="shared" si="6"/>
        <v>51209907.046910562</v>
      </c>
      <c r="AA32" s="806">
        <f t="shared" si="6"/>
        <v>52780643.027055927</v>
      </c>
      <c r="AB32" s="806">
        <f t="shared" si="6"/>
        <v>54356181.710000001</v>
      </c>
      <c r="AC32" s="806">
        <f t="shared" si="6"/>
        <v>54356181.710000001</v>
      </c>
      <c r="AE32" s="807" t="s">
        <v>37</v>
      </c>
      <c r="AF32" s="806">
        <f>SUM(AF5:AF31)</f>
        <v>8938951.472000001</v>
      </c>
      <c r="AG32" s="806">
        <f t="shared" ref="AG32:AL32" si="7">SUM(AG5:AG31)</f>
        <v>10338358.007999999</v>
      </c>
      <c r="AH32" s="806">
        <f t="shared" si="7"/>
        <v>8968735.8160000015</v>
      </c>
      <c r="AI32" s="806">
        <f>SUM(AI5:AI31)</f>
        <v>4215646.8319999995</v>
      </c>
      <c r="AJ32" s="806">
        <f t="shared" si="7"/>
        <v>4988685.8720000004</v>
      </c>
      <c r="AK32" s="806">
        <f t="shared" si="7"/>
        <v>5487157.4160000002</v>
      </c>
      <c r="AL32" s="806">
        <f t="shared" si="7"/>
        <v>4266309.8079999993</v>
      </c>
      <c r="AM32" s="806">
        <f t="shared" ref="AM32:AR32" si="8">SUM(AM5:AM31)</f>
        <v>1963197.52</v>
      </c>
      <c r="AN32" s="806">
        <f t="shared" si="8"/>
        <v>1439839.3279999997</v>
      </c>
      <c r="AO32" s="806">
        <f t="shared" si="8"/>
        <v>0</v>
      </c>
      <c r="AP32" s="806">
        <f t="shared" si="8"/>
        <v>0</v>
      </c>
      <c r="AQ32" s="806">
        <f t="shared" si="8"/>
        <v>0</v>
      </c>
      <c r="AR32" s="806">
        <f t="shared" si="8"/>
        <v>50606882.071999997</v>
      </c>
      <c r="AS32" s="802" t="b">
        <f>AR32='Anuid PF'!AQ32</f>
        <v>1</v>
      </c>
    </row>
    <row r="33" spans="1:45">
      <c r="N33" s="802">
        <f>N32-SUM(B212:B238)</f>
        <v>0</v>
      </c>
      <c r="Q33" s="802">
        <f>Q32</f>
        <v>10780563.101584844</v>
      </c>
      <c r="R33" s="802">
        <f>R32-Q32</f>
        <v>11126445.352341905</v>
      </c>
      <c r="S33" s="802">
        <f t="shared" ref="S33:AB33" si="9">S32-R32</f>
        <v>6084648.6830958128</v>
      </c>
      <c r="T33" s="802">
        <f t="shared" si="9"/>
        <v>4500077.5786045566</v>
      </c>
      <c r="U33" s="802">
        <f t="shared" si="9"/>
        <v>4475979.1972827166</v>
      </c>
      <c r="V33" s="802">
        <f t="shared" si="9"/>
        <v>4574802.9899797663</v>
      </c>
      <c r="W33" s="802">
        <f t="shared" si="9"/>
        <v>3597687.1239005178</v>
      </c>
      <c r="X33" s="802">
        <f t="shared" si="9"/>
        <v>3202217.5767668858</v>
      </c>
      <c r="Y33" s="802">
        <f t="shared" si="9"/>
        <v>1812304.4542698637</v>
      </c>
      <c r="Z33" s="802">
        <f t="shared" si="9"/>
        <v>1055180.9890836924</v>
      </c>
      <c r="AA33" s="802">
        <f t="shared" si="9"/>
        <v>1570735.980145365</v>
      </c>
      <c r="AB33" s="802">
        <f t="shared" si="9"/>
        <v>1575538.6829440743</v>
      </c>
      <c r="AC33" s="802">
        <f>SUM(Q33:AB33)</f>
        <v>54356181.710000001</v>
      </c>
      <c r="AR33" s="802">
        <f>AR32-'TOTAL POR UF'!B32</f>
        <v>0</v>
      </c>
    </row>
    <row r="34" spans="1:45">
      <c r="A34" s="137" t="s">
        <v>224</v>
      </c>
      <c r="B34" s="800">
        <f>$B239*'Médias por UF'!FX30</f>
        <v>2722753.6590495957</v>
      </c>
      <c r="C34" s="800">
        <f>$B239*'Médias por UF'!FY30</f>
        <v>5762198.3083181726</v>
      </c>
      <c r="D34" s="800">
        <f>$B239*'Médias por UF'!FZ30</f>
        <v>7546914.7399767563</v>
      </c>
      <c r="E34" s="800">
        <f>$B239*'Médias por UF'!GA30</f>
        <v>8910705.518114239</v>
      </c>
      <c r="F34" s="800">
        <f>$B239*'Médias por UF'!GB30</f>
        <v>10261874.715013862</v>
      </c>
      <c r="G34" s="800">
        <f>$B239*'Médias por UF'!GC30</f>
        <v>11681843.504841307</v>
      </c>
      <c r="H34" s="800">
        <f>$B239*'Médias por UF'!GD30</f>
        <v>12839381.087371942</v>
      </c>
      <c r="I34" s="800">
        <f>$B239*'Médias por UF'!GE30</f>
        <v>13887499.989199778</v>
      </c>
      <c r="J34" s="800">
        <f>$B239*'Médias por UF'!GF30</f>
        <v>14493597.677519314</v>
      </c>
      <c r="K34" s="800">
        <f>$B239*'Médias por UF'!GG30</f>
        <v>14895530.76721373</v>
      </c>
      <c r="L34" s="800">
        <f>$B239*'Médias por UF'!GH30</f>
        <v>15327009.712138603</v>
      </c>
      <c r="M34" s="800">
        <f>$B239*'Médias por UF'!GI30</f>
        <v>15811509.066</v>
      </c>
      <c r="N34" s="800">
        <f>M34</f>
        <v>15811509.066</v>
      </c>
      <c r="P34" s="137" t="s">
        <v>224</v>
      </c>
      <c r="Q34" s="800">
        <f>$Q239*'Médias por UF'!FX30</f>
        <v>2340106.090681388</v>
      </c>
      <c r="R34" s="800">
        <f>$Q239*'Médias por UF'!FY30</f>
        <v>4952396.3771721171</v>
      </c>
      <c r="S34" s="800">
        <f>$Q239*'Médias por UF'!FZ30</f>
        <v>6486294.1567168264</v>
      </c>
      <c r="T34" s="800">
        <f>$Q239*'Médias por UF'!GA30</f>
        <v>7658421.9016295373</v>
      </c>
      <c r="U34" s="800">
        <f>$Q239*'Médias por UF'!GB30</f>
        <v>8819701.8641765602</v>
      </c>
      <c r="V34" s="800">
        <f>$Q239*'Médias por UF'!GC30</f>
        <v>10040112.532842254</v>
      </c>
      <c r="W34" s="800">
        <f>$Q239*'Médias por UF'!GD30</f>
        <v>11034973.282756027</v>
      </c>
      <c r="X34" s="800">
        <f>$Q239*'Médias por UF'!GE30</f>
        <v>11935792.72258069</v>
      </c>
      <c r="Y34" s="800">
        <f>$Q239*'Médias por UF'!GF30</f>
        <v>12456711.274014954</v>
      </c>
      <c r="Z34" s="800">
        <f>$Q239*'Médias por UF'!GG30</f>
        <v>12802157.902326016</v>
      </c>
      <c r="AA34" s="800">
        <f>$Q239*'Médias por UF'!GH30</f>
        <v>13172998.100690462</v>
      </c>
      <c r="AB34" s="800">
        <f>$Q239*'Médias por UF'!GI30</f>
        <v>13589407.380000001</v>
      </c>
      <c r="AC34" s="800">
        <f t="shared" ref="AC34" si="10">AB34</f>
        <v>13589407.380000001</v>
      </c>
      <c r="AE34" s="138" t="s">
        <v>224</v>
      </c>
      <c r="AF34" s="800">
        <f>JAN!$S$67</f>
        <v>2234737.8680000002</v>
      </c>
      <c r="AG34" s="800">
        <f>FEV!$S$67</f>
        <v>2584589.5019999999</v>
      </c>
      <c r="AH34" s="800">
        <f>MAR!$S67</f>
        <v>2242183.9540000004</v>
      </c>
      <c r="AI34" s="800">
        <f>ABR!$S$67</f>
        <v>1053911.7079999999</v>
      </c>
      <c r="AJ34" s="800">
        <f>MAI!$S$67</f>
        <v>1247171.4680000001</v>
      </c>
      <c r="AK34" s="800">
        <f>JUN!$S$67</f>
        <v>1371789.3540000001</v>
      </c>
      <c r="AL34" s="800">
        <f>JUL!$S$67</f>
        <v>1066577.4519999998</v>
      </c>
      <c r="AM34" s="800">
        <f>AGO!$S$67</f>
        <v>490799.38</v>
      </c>
      <c r="AN34" s="800">
        <f>SET!$S$67</f>
        <v>359959.83199999994</v>
      </c>
      <c r="AO34" s="800">
        <f>OUT!$S$67*0</f>
        <v>0</v>
      </c>
      <c r="AP34" s="800">
        <f>NOV!$S$67*0</f>
        <v>0</v>
      </c>
      <c r="AQ34" s="800">
        <f>DEZ!$S$67*0</f>
        <v>0</v>
      </c>
      <c r="AR34" s="800">
        <f t="shared" ref="AR34" si="11">SUM(AF34:AQ34)</f>
        <v>12651720.518000001</v>
      </c>
      <c r="AS34" s="802" t="b">
        <f>AR34='Anuid PF'!AQ33</f>
        <v>1</v>
      </c>
    </row>
    <row r="35" spans="1:45">
      <c r="A35" s="998" t="s">
        <v>244</v>
      </c>
      <c r="B35" s="998"/>
      <c r="C35" s="998"/>
      <c r="D35" s="998"/>
      <c r="E35" s="998"/>
      <c r="F35" s="998"/>
      <c r="G35" s="998"/>
      <c r="H35" s="998"/>
      <c r="I35" s="998"/>
      <c r="J35" s="998"/>
      <c r="K35" s="998"/>
      <c r="L35" s="998"/>
      <c r="M35" s="998"/>
      <c r="N35" s="998"/>
      <c r="P35" s="998" t="s">
        <v>119</v>
      </c>
      <c r="Q35" s="998"/>
      <c r="R35" s="998"/>
      <c r="S35" s="998"/>
      <c r="T35" s="998"/>
      <c r="U35" s="998"/>
      <c r="V35" s="998"/>
      <c r="W35" s="998"/>
      <c r="X35" s="998"/>
      <c r="Y35" s="998"/>
      <c r="Z35" s="998"/>
      <c r="AA35" s="998"/>
      <c r="AB35" s="998"/>
      <c r="AC35" s="998"/>
      <c r="AE35" s="998" t="s">
        <v>243</v>
      </c>
      <c r="AF35" s="998"/>
      <c r="AG35" s="998"/>
      <c r="AH35" s="998"/>
      <c r="AI35" s="998"/>
      <c r="AJ35" s="998"/>
      <c r="AK35" s="998"/>
      <c r="AL35" s="998"/>
      <c r="AM35" s="998"/>
      <c r="AN35" s="998"/>
      <c r="AO35" s="998"/>
      <c r="AP35" s="998"/>
      <c r="AQ35" s="998"/>
      <c r="AR35" s="998"/>
    </row>
    <row r="37" spans="1:45">
      <c r="A37" s="999" t="s">
        <v>33</v>
      </c>
      <c r="B37" s="1002" t="s">
        <v>245</v>
      </c>
      <c r="C37" s="1003"/>
      <c r="D37" s="1003"/>
      <c r="E37" s="1003"/>
      <c r="F37" s="1003"/>
      <c r="G37" s="1003"/>
      <c r="H37" s="1003"/>
      <c r="I37" s="1003"/>
      <c r="J37" s="1003"/>
      <c r="K37" s="1003"/>
      <c r="L37" s="1003"/>
      <c r="M37" s="1003"/>
      <c r="P37" s="999" t="s">
        <v>33</v>
      </c>
      <c r="Q37" s="1002" t="s">
        <v>245</v>
      </c>
      <c r="R37" s="1003"/>
      <c r="S37" s="1003"/>
      <c r="T37" s="1003"/>
      <c r="U37" s="1003"/>
      <c r="V37" s="1003"/>
      <c r="W37" s="1003"/>
      <c r="X37" s="1003"/>
      <c r="Y37" s="1003"/>
      <c r="Z37" s="1003"/>
      <c r="AA37" s="1003"/>
      <c r="AB37" s="1003"/>
      <c r="AE37" s="999" t="s">
        <v>33</v>
      </c>
      <c r="AF37" s="1002" t="s">
        <v>245</v>
      </c>
      <c r="AG37" s="1003"/>
      <c r="AH37" s="1003"/>
      <c r="AI37" s="1003"/>
      <c r="AJ37" s="1003"/>
      <c r="AK37" s="1003"/>
      <c r="AL37" s="1003"/>
      <c r="AM37" s="1003"/>
      <c r="AN37" s="1003"/>
      <c r="AO37" s="1003"/>
      <c r="AP37" s="1003"/>
      <c r="AQ37" s="1003"/>
    </row>
    <row r="38" spans="1:45">
      <c r="A38" s="1000"/>
      <c r="B38" s="803" t="s">
        <v>106</v>
      </c>
      <c r="C38" s="803" t="s">
        <v>107</v>
      </c>
      <c r="D38" s="803" t="s">
        <v>108</v>
      </c>
      <c r="E38" s="803" t="s">
        <v>109</v>
      </c>
      <c r="F38" s="803" t="s">
        <v>110</v>
      </c>
      <c r="G38" s="803" t="s">
        <v>111</v>
      </c>
      <c r="H38" s="803" t="s">
        <v>112</v>
      </c>
      <c r="I38" s="803" t="s">
        <v>113</v>
      </c>
      <c r="J38" s="803" t="s">
        <v>114</v>
      </c>
      <c r="K38" s="803" t="s">
        <v>115</v>
      </c>
      <c r="L38" s="803" t="s">
        <v>116</v>
      </c>
      <c r="M38" s="803" t="s">
        <v>117</v>
      </c>
      <c r="N38" s="803" t="s">
        <v>118</v>
      </c>
      <c r="P38" s="1000"/>
      <c r="Q38" s="803" t="s">
        <v>106</v>
      </c>
      <c r="R38" s="803" t="s">
        <v>107</v>
      </c>
      <c r="S38" s="803" t="s">
        <v>108</v>
      </c>
      <c r="T38" s="803" t="s">
        <v>109</v>
      </c>
      <c r="U38" s="803" t="s">
        <v>110</v>
      </c>
      <c r="V38" s="803" t="s">
        <v>111</v>
      </c>
      <c r="W38" s="803" t="s">
        <v>112</v>
      </c>
      <c r="X38" s="803" t="s">
        <v>113</v>
      </c>
      <c r="Y38" s="803" t="s">
        <v>114</v>
      </c>
      <c r="Z38" s="803" t="s">
        <v>115</v>
      </c>
      <c r="AA38" s="803" t="s">
        <v>116</v>
      </c>
      <c r="AB38" s="803" t="s">
        <v>117</v>
      </c>
      <c r="AC38" s="803" t="s">
        <v>118</v>
      </c>
      <c r="AE38" s="1000"/>
      <c r="AF38" s="803" t="s">
        <v>106</v>
      </c>
      <c r="AG38" s="803" t="s">
        <v>107</v>
      </c>
      <c r="AH38" s="803" t="s">
        <v>108</v>
      </c>
      <c r="AI38" s="803" t="s">
        <v>109</v>
      </c>
      <c r="AJ38" s="803" t="s">
        <v>110</v>
      </c>
      <c r="AK38" s="803" t="s">
        <v>111</v>
      </c>
      <c r="AL38" s="803" t="s">
        <v>112</v>
      </c>
      <c r="AM38" s="803" t="s">
        <v>113</v>
      </c>
      <c r="AN38" s="803" t="s">
        <v>114</v>
      </c>
      <c r="AO38" s="803" t="s">
        <v>115</v>
      </c>
      <c r="AP38" s="803" t="s">
        <v>116</v>
      </c>
      <c r="AQ38" s="803" t="s">
        <v>117</v>
      </c>
      <c r="AR38" s="803" t="s">
        <v>118</v>
      </c>
    </row>
    <row r="39" spans="1:45">
      <c r="A39" s="137" t="s">
        <v>77</v>
      </c>
      <c r="B39" s="800">
        <f>$C212*'Médias por UF'!FX33</f>
        <v>8336.8028472214592</v>
      </c>
      <c r="C39" s="800">
        <f>$C212*'Médias por UF'!FY33</f>
        <v>15414.778995684548</v>
      </c>
      <c r="D39" s="800">
        <f>$C212*'Médias por UF'!FZ33</f>
        <v>20051.869902990798</v>
      </c>
      <c r="E39" s="800">
        <f>$C212*'Médias por UF'!GA33</f>
        <v>24519.669594373237</v>
      </c>
      <c r="F39" s="800">
        <f>$C212*'Médias por UF'!GB33</f>
        <v>28996.360266469539</v>
      </c>
      <c r="G39" s="800">
        <f>$C212*'Médias por UF'!GC33</f>
        <v>33497.957700139377</v>
      </c>
      <c r="H39" s="800">
        <f>$C212*'Médias por UF'!GD33</f>
        <v>37991.99380145537</v>
      </c>
      <c r="I39" s="800">
        <f>$C212*'Médias por UF'!GE33</f>
        <v>46138.790768203071</v>
      </c>
      <c r="J39" s="800">
        <f>$C212*'Médias por UF'!GF33</f>
        <v>51881.722589591016</v>
      </c>
      <c r="K39" s="800">
        <f>$C212*'Médias por UF'!GG33</f>
        <v>59207.079410862025</v>
      </c>
      <c r="L39" s="800">
        <f>$C212*'Médias por UF'!GH33</f>
        <v>62369.803261508045</v>
      </c>
      <c r="M39" s="800">
        <f>$C212*'Médias por UF'!GI33</f>
        <v>65999.62</v>
      </c>
      <c r="N39" s="800">
        <f>M39</f>
        <v>65999.62</v>
      </c>
      <c r="O39" s="802">
        <f t="shared" ref="O39:O65" si="12">N39-C212</f>
        <v>0</v>
      </c>
      <c r="P39" s="138" t="s">
        <v>77</v>
      </c>
      <c r="Q39" s="800">
        <f>$R212*'Médias por UF'!FX33</f>
        <v>8336.8028472214592</v>
      </c>
      <c r="R39" s="800">
        <f>$R212*'Médias por UF'!FY33</f>
        <v>15414.778995684548</v>
      </c>
      <c r="S39" s="800">
        <f>$R212*'Médias por UF'!FZ33</f>
        <v>20051.869902990798</v>
      </c>
      <c r="T39" s="800">
        <f>$R212*'Médias por UF'!GA33</f>
        <v>24519.669594373237</v>
      </c>
      <c r="U39" s="800">
        <f>$R212*'Médias por UF'!GB33</f>
        <v>28996.360266469539</v>
      </c>
      <c r="V39" s="800">
        <f>$R212*'Médias por UF'!GC33</f>
        <v>33497.957700139377</v>
      </c>
      <c r="W39" s="800">
        <f>$R212*'Médias por UF'!GD33</f>
        <v>37991.99380145537</v>
      </c>
      <c r="X39" s="800">
        <f>$R212*'Médias por UF'!GE33</f>
        <v>46138.790768203071</v>
      </c>
      <c r="Y39" s="800">
        <f>$R212*'Médias por UF'!GF33</f>
        <v>51881.722589591016</v>
      </c>
      <c r="Z39" s="800">
        <f>$R212*'Médias por UF'!GG33</f>
        <v>59207.079410862025</v>
      </c>
      <c r="AA39" s="800">
        <f>$R212*'Médias por UF'!GH33</f>
        <v>62369.803261508045</v>
      </c>
      <c r="AB39" s="800">
        <f>$R212*'Médias por UF'!GI33</f>
        <v>65999.62</v>
      </c>
      <c r="AC39" s="800">
        <f>AB39</f>
        <v>65999.62</v>
      </c>
      <c r="AE39" s="138" t="s">
        <v>77</v>
      </c>
      <c r="AF39" s="800">
        <f>JAN!$T$5</f>
        <v>6155.8240000000023</v>
      </c>
      <c r="AG39" s="800">
        <f>FEV!$T5</f>
        <v>11930.32</v>
      </c>
      <c r="AH39" s="800">
        <f>MAR!$T5</f>
        <v>10044.896000000001</v>
      </c>
      <c r="AI39" s="800">
        <f>ABR!$T5</f>
        <v>7100.2000000000007</v>
      </c>
      <c r="AJ39" s="800">
        <f>MAI!$T5</f>
        <v>9385.2960000000003</v>
      </c>
      <c r="AK39" s="800">
        <f>JUN!$T5</f>
        <v>5531.6800000000021</v>
      </c>
      <c r="AL39" s="800">
        <f>JUL!$T5</f>
        <v>4878.0080000000016</v>
      </c>
      <c r="AM39" s="800">
        <f>AGO!$T5</f>
        <v>6857.3840000000018</v>
      </c>
      <c r="AN39" s="800">
        <f>SET!$T5</f>
        <v>3265.1999999999994</v>
      </c>
      <c r="AO39" s="800">
        <f>OUT!$T5*0</f>
        <v>0</v>
      </c>
      <c r="AP39" s="800">
        <f>NOV!$T5*0</f>
        <v>0</v>
      </c>
      <c r="AQ39" s="800">
        <f>DEZ!$T5*0</f>
        <v>0</v>
      </c>
      <c r="AR39" s="800">
        <f>SUM(AF39:AQ39)</f>
        <v>65148.808000000005</v>
      </c>
    </row>
    <row r="40" spans="1:45">
      <c r="A40" s="137" t="s">
        <v>78</v>
      </c>
      <c r="B40" s="800">
        <f>$C213*'Médias por UF'!FX34</f>
        <v>14647.249170255513</v>
      </c>
      <c r="C40" s="800">
        <f>$C213*'Médias por UF'!FY34</f>
        <v>27253.377779136492</v>
      </c>
      <c r="D40" s="800">
        <f>$C213*'Médias por UF'!FZ34</f>
        <v>38639.668306413805</v>
      </c>
      <c r="E40" s="800">
        <f>$C213*'Médias por UF'!GA34</f>
        <v>46721.822660287267</v>
      </c>
      <c r="F40" s="800">
        <f>$C213*'Médias por UF'!GB34</f>
        <v>55972.015388699205</v>
      </c>
      <c r="G40" s="800">
        <f>$C213*'Médias por UF'!GC34</f>
        <v>64642.435439189525</v>
      </c>
      <c r="H40" s="800">
        <f>$C213*'Médias por UF'!GD34</f>
        <v>73075.645601512093</v>
      </c>
      <c r="I40" s="800">
        <f>$C213*'Médias por UF'!GE34</f>
        <v>81485.054392479884</v>
      </c>
      <c r="J40" s="800">
        <f>$C213*'Médias por UF'!GF34</f>
        <v>90163.512291066145</v>
      </c>
      <c r="K40" s="800">
        <f>$C213*'Médias por UF'!GG34</f>
        <v>103544.54296144353</v>
      </c>
      <c r="L40" s="800">
        <f>$C213*'Médias por UF'!GH34</f>
        <v>112431.65547464951</v>
      </c>
      <c r="M40" s="800">
        <f>$C213*'Médias por UF'!GI34</f>
        <v>123638.42</v>
      </c>
      <c r="N40" s="800">
        <f t="shared" ref="N40:N65" si="13">M40</f>
        <v>123638.42</v>
      </c>
      <c r="O40" s="802">
        <f t="shared" si="12"/>
        <v>0</v>
      </c>
      <c r="P40" s="138" t="s">
        <v>78</v>
      </c>
      <c r="Q40" s="800">
        <f>$R213*'Médias por UF'!FX34</f>
        <v>14647.249170255513</v>
      </c>
      <c r="R40" s="800">
        <f>$R213*'Médias por UF'!FY34</f>
        <v>27253.377779136492</v>
      </c>
      <c r="S40" s="800">
        <f>$R213*'Médias por UF'!FZ34</f>
        <v>38639.668306413805</v>
      </c>
      <c r="T40" s="800">
        <f>$R213*'Médias por UF'!GA34</f>
        <v>46721.822660287267</v>
      </c>
      <c r="U40" s="800">
        <f>$R213*'Médias por UF'!GB34</f>
        <v>55972.015388699205</v>
      </c>
      <c r="V40" s="800">
        <f>$R213*'Médias por UF'!GC34</f>
        <v>64642.435439189525</v>
      </c>
      <c r="W40" s="800">
        <f>$R213*'Médias por UF'!GD34</f>
        <v>73075.645601512093</v>
      </c>
      <c r="X40" s="800">
        <f>$R213*'Médias por UF'!GE34</f>
        <v>81485.054392479884</v>
      </c>
      <c r="Y40" s="800">
        <f>$R213*'Médias por UF'!GF34</f>
        <v>90163.512291066145</v>
      </c>
      <c r="Z40" s="800">
        <f>$R213*'Médias por UF'!GG34</f>
        <v>103544.54296144353</v>
      </c>
      <c r="AA40" s="800">
        <f>$R213*'Médias por UF'!GH34</f>
        <v>112431.65547464951</v>
      </c>
      <c r="AB40" s="800">
        <f>$R213*'Médias por UF'!GI34</f>
        <v>123638.42</v>
      </c>
      <c r="AC40" s="800">
        <f t="shared" ref="AC40:AC65" si="14">AB40</f>
        <v>123638.42</v>
      </c>
      <c r="AE40" s="138" t="s">
        <v>78</v>
      </c>
      <c r="AF40" s="800">
        <f>JAN!$T$6</f>
        <v>18091.863999999998</v>
      </c>
      <c r="AG40" s="800">
        <f>FEV!$T6</f>
        <v>19235.207999999984</v>
      </c>
      <c r="AH40" s="800">
        <f>MAR!$T6</f>
        <v>16746.151999999998</v>
      </c>
      <c r="AI40" s="800">
        <f>ABR!$T6</f>
        <v>12631.696</v>
      </c>
      <c r="AJ40" s="800">
        <f>MAI!$T6</f>
        <v>11193.752</v>
      </c>
      <c r="AK40" s="800">
        <f>JUN!$T6</f>
        <v>15039.304000000004</v>
      </c>
      <c r="AL40" s="800">
        <f>JUL!$T6</f>
        <v>8872.952000000003</v>
      </c>
      <c r="AM40" s="800">
        <f>AGO!$T6</f>
        <v>11295.136000000002</v>
      </c>
      <c r="AN40" s="800">
        <f>SET!$T6</f>
        <v>8812.8239999999987</v>
      </c>
      <c r="AO40" s="800">
        <f>OUT!$T6*0</f>
        <v>0</v>
      </c>
      <c r="AP40" s="800">
        <f>NOV!$T6*0</f>
        <v>0</v>
      </c>
      <c r="AQ40" s="800">
        <f>DEZ!$T6*0</f>
        <v>0</v>
      </c>
      <c r="AR40" s="800">
        <f t="shared" ref="AR40:AR65" si="15">SUM(AF40:AQ40)</f>
        <v>121918.88799999999</v>
      </c>
    </row>
    <row r="41" spans="1:45">
      <c r="A41" s="137" t="s">
        <v>79</v>
      </c>
      <c r="B41" s="800">
        <f>$C214*'Médias por UF'!FX35</f>
        <v>19307.017545860344</v>
      </c>
      <c r="C41" s="800">
        <f>$C214*'Médias por UF'!FY35</f>
        <v>33102.965185575951</v>
      </c>
      <c r="D41" s="800">
        <f>$C214*'Médias por UF'!FZ35</f>
        <v>45840.772249221576</v>
      </c>
      <c r="E41" s="800">
        <f>$C214*'Médias por UF'!GA35</f>
        <v>57052.174612480318</v>
      </c>
      <c r="F41" s="800">
        <f>$C214*'Médias por UF'!GB35</f>
        <v>70016.303713256828</v>
      </c>
      <c r="G41" s="800">
        <f>$C214*'Médias por UF'!GC35</f>
        <v>81937.501988516509</v>
      </c>
      <c r="H41" s="800">
        <f>$C214*'Médias por UF'!GD35</f>
        <v>95451.823807555702</v>
      </c>
      <c r="I41" s="800">
        <f>$C214*'Médias por UF'!GE35</f>
        <v>106306.57565860319</v>
      </c>
      <c r="J41" s="800">
        <f>$C214*'Médias por UF'!GF35</f>
        <v>119241.92422194217</v>
      </c>
      <c r="K41" s="800">
        <f>$C214*'Médias por UF'!GG35</f>
        <v>131672.97417125292</v>
      </c>
      <c r="L41" s="800">
        <f>$C214*'Médias por UF'!GH35</f>
        <v>140046.97010305178</v>
      </c>
      <c r="M41" s="800">
        <f>$C214*'Médias por UF'!GI35</f>
        <v>146693.6</v>
      </c>
      <c r="N41" s="800">
        <f t="shared" si="13"/>
        <v>146693.6</v>
      </c>
      <c r="O41" s="802">
        <f t="shared" si="12"/>
        <v>0</v>
      </c>
      <c r="P41" s="138" t="s">
        <v>79</v>
      </c>
      <c r="Q41" s="800">
        <f>$R214*'Médias por UF'!FX35</f>
        <v>9295.076188049039</v>
      </c>
      <c r="R41" s="800">
        <f>$R214*'Médias por UF'!FY35</f>
        <v>15936.929809039138</v>
      </c>
      <c r="S41" s="800">
        <f>$R214*'Médias por UF'!FZ35</f>
        <v>22069.357401442783</v>
      </c>
      <c r="T41" s="800">
        <f>$R214*'Médias por UF'!GA35</f>
        <v>27466.920173312079</v>
      </c>
      <c r="U41" s="800">
        <f>$R214*'Médias por UF'!GB35</f>
        <v>33708.307141402263</v>
      </c>
      <c r="V41" s="800">
        <f>$R214*'Médias por UF'!GC35</f>
        <v>39447.590588893421</v>
      </c>
      <c r="W41" s="800">
        <f>$R214*'Médias por UF'!GD35</f>
        <v>45953.859650875835</v>
      </c>
      <c r="X41" s="800">
        <f>$R214*'Médias por UF'!GE35</f>
        <v>51179.718342835535</v>
      </c>
      <c r="Y41" s="800">
        <f>$R214*'Médias por UF'!GF35</f>
        <v>57407.249349611171</v>
      </c>
      <c r="Z41" s="800">
        <f>$R214*'Médias por UF'!GG35</f>
        <v>63391.9932957864</v>
      </c>
      <c r="AA41" s="800">
        <f>$R214*'Médias por UF'!GH35</f>
        <v>67423.528979617186</v>
      </c>
      <c r="AB41" s="800">
        <f>$R214*'Médias por UF'!GI35</f>
        <v>70623.45</v>
      </c>
      <c r="AC41" s="800">
        <f t="shared" si="14"/>
        <v>70623.45</v>
      </c>
      <c r="AE41" s="138" t="s">
        <v>79</v>
      </c>
      <c r="AF41" s="800">
        <f>JAN!$T$7</f>
        <v>8773.4640000000018</v>
      </c>
      <c r="AG41" s="800">
        <f>FEV!$T7</f>
        <v>6035.0879999999979</v>
      </c>
      <c r="AH41" s="800">
        <f>MAR!$T7</f>
        <v>7545.5920000000006</v>
      </c>
      <c r="AI41" s="800">
        <f>ABR!$T7</f>
        <v>7248.344000000001</v>
      </c>
      <c r="AJ41" s="800">
        <f>MAI!$T7</f>
        <v>5324.4880000000003</v>
      </c>
      <c r="AK41" s="800">
        <f>JUN!$T7</f>
        <v>4547.2639999999983</v>
      </c>
      <c r="AL41" s="800">
        <f>JUL!$T7</f>
        <v>5921.7440000000006</v>
      </c>
      <c r="AM41" s="800">
        <f>AGO!$T7</f>
        <v>4433.9440000000022</v>
      </c>
      <c r="AN41" s="800">
        <f>SET!$T7</f>
        <v>6344.2400000000016</v>
      </c>
      <c r="AO41" s="800">
        <f>OUT!$T7*0</f>
        <v>0</v>
      </c>
      <c r="AP41" s="800">
        <f>NOV!$T7*0</f>
        <v>0</v>
      </c>
      <c r="AQ41" s="800">
        <f>DEZ!$T7*0</f>
        <v>0</v>
      </c>
      <c r="AR41" s="800">
        <f t="shared" si="15"/>
        <v>56174.168000000005</v>
      </c>
    </row>
    <row r="42" spans="1:45">
      <c r="A42" s="137" t="s">
        <v>80</v>
      </c>
      <c r="B42" s="800">
        <f>$C215*'Médias por UF'!FX36</f>
        <v>7067.6169749353403</v>
      </c>
      <c r="C42" s="800">
        <f>$C215*'Médias por UF'!FY36</f>
        <v>15006.039783299428</v>
      </c>
      <c r="D42" s="800">
        <f>$C215*'Médias por UF'!FZ36</f>
        <v>21965.872636594053</v>
      </c>
      <c r="E42" s="800">
        <f>$C215*'Médias por UF'!GA36</f>
        <v>28055.155364381149</v>
      </c>
      <c r="F42" s="800">
        <f>$C215*'Médias por UF'!GB36</f>
        <v>33859.854347066575</v>
      </c>
      <c r="G42" s="800">
        <f>$C215*'Médias por UF'!GC36</f>
        <v>40640.167034366605</v>
      </c>
      <c r="H42" s="800">
        <f>$C215*'Médias por UF'!GD36</f>
        <v>46250.900462958023</v>
      </c>
      <c r="I42" s="800">
        <f>$C215*'Médias por UF'!GE36</f>
        <v>52171.797686008264</v>
      </c>
      <c r="J42" s="800">
        <f>$C215*'Médias por UF'!GF36</f>
        <v>56775.908238312673</v>
      </c>
      <c r="K42" s="800">
        <f>$C215*'Médias por UF'!GG36</f>
        <v>62137.263140521718</v>
      </c>
      <c r="L42" s="800">
        <f>$C215*'Médias por UF'!GH36</f>
        <v>65606.465665388765</v>
      </c>
      <c r="M42" s="800">
        <f>$C215*'Médias por UF'!GI36</f>
        <v>70623.45</v>
      </c>
      <c r="N42" s="800">
        <f t="shared" si="13"/>
        <v>70623.45</v>
      </c>
      <c r="O42" s="802">
        <f t="shared" si="12"/>
        <v>0</v>
      </c>
      <c r="P42" s="138" t="s">
        <v>80</v>
      </c>
      <c r="Q42" s="800">
        <f>$R215*'Médias por UF'!FX36</f>
        <v>14680.310540965855</v>
      </c>
      <c r="R42" s="800">
        <f>$R215*'Médias por UF'!FY36</f>
        <v>31169.392001600219</v>
      </c>
      <c r="S42" s="800">
        <f>$R215*'Médias por UF'!FZ36</f>
        <v>45625.821652772182</v>
      </c>
      <c r="T42" s="800">
        <f>$R215*'Médias por UF'!GA36</f>
        <v>58274.01152110783</v>
      </c>
      <c r="U42" s="800">
        <f>$R215*'Médias por UF'!GB36</f>
        <v>70331.08591617721</v>
      </c>
      <c r="V42" s="800">
        <f>$R215*'Médias por UF'!GC36</f>
        <v>84414.630082112417</v>
      </c>
      <c r="W42" s="800">
        <f>$R215*'Médias por UF'!GD36</f>
        <v>96068.814142511867</v>
      </c>
      <c r="X42" s="800">
        <f>$R215*'Médias por UF'!GE36</f>
        <v>108367.24658781498</v>
      </c>
      <c r="Y42" s="800">
        <f>$R215*'Médias por UF'!GF36</f>
        <v>117930.55101029112</v>
      </c>
      <c r="Z42" s="800">
        <f>$R215*'Médias por UF'!GG36</f>
        <v>129066.74517076746</v>
      </c>
      <c r="AA42" s="800">
        <f>$R215*'Médias por UF'!GH36</f>
        <v>136272.705903383</v>
      </c>
      <c r="AB42" s="800">
        <f>$R215*'Médias por UF'!GI36</f>
        <v>146693.6</v>
      </c>
      <c r="AC42" s="800">
        <f t="shared" si="14"/>
        <v>146693.6</v>
      </c>
      <c r="AE42" s="138" t="s">
        <v>80</v>
      </c>
      <c r="AF42" s="800">
        <f>JAN!$T$8</f>
        <v>10111.896000000002</v>
      </c>
      <c r="AG42" s="800">
        <f>FEV!$T8</f>
        <v>13143.264000000003</v>
      </c>
      <c r="AH42" s="800">
        <f>MAR!$T8</f>
        <v>16104.976000000002</v>
      </c>
      <c r="AI42" s="800">
        <f>ABR!$T8</f>
        <v>12948.568000000001</v>
      </c>
      <c r="AJ42" s="800">
        <f>MAI!$T8</f>
        <v>9533.9120000000021</v>
      </c>
      <c r="AK42" s="800">
        <f>JUN!$T8</f>
        <v>11991.96</v>
      </c>
      <c r="AL42" s="800">
        <f>JUL!$T8</f>
        <v>8751.6239999999998</v>
      </c>
      <c r="AM42" s="800">
        <f>AGO!$T8</f>
        <v>8534.3520000000026</v>
      </c>
      <c r="AN42" s="800">
        <f>SET!$T8</f>
        <v>6961.1999999999989</v>
      </c>
      <c r="AO42" s="800">
        <f>OUT!$T8*0</f>
        <v>0</v>
      </c>
      <c r="AP42" s="800">
        <f>NOV!$T8*0</f>
        <v>0</v>
      </c>
      <c r="AQ42" s="800">
        <f>DEZ!$T8*0</f>
        <v>0</v>
      </c>
      <c r="AR42" s="800">
        <f t="shared" si="15"/>
        <v>98081.751999999993</v>
      </c>
    </row>
    <row r="43" spans="1:45">
      <c r="A43" s="137" t="s">
        <v>81</v>
      </c>
      <c r="B43" s="800">
        <f>$C216*'Médias por UF'!FX37</f>
        <v>51220.805625233101</v>
      </c>
      <c r="C43" s="800">
        <f>$C216*'Médias por UF'!FY37</f>
        <v>96098.153271213741</v>
      </c>
      <c r="D43" s="800">
        <f>$C216*'Médias por UF'!FZ37</f>
        <v>129933.62854377193</v>
      </c>
      <c r="E43" s="800">
        <f>$C216*'Médias por UF'!GA37</f>
        <v>158679.17110927339</v>
      </c>
      <c r="F43" s="800">
        <f>$C216*'Médias por UF'!GB37</f>
        <v>181807.93040468317</v>
      </c>
      <c r="G43" s="800">
        <f>$C216*'Médias por UF'!GC37</f>
        <v>207257.28209835145</v>
      </c>
      <c r="H43" s="800">
        <f>$C216*'Médias por UF'!GD37</f>
        <v>234337.63737538646</v>
      </c>
      <c r="I43" s="800">
        <f>$C216*'Médias por UF'!GE37</f>
        <v>259534.16571315285</v>
      </c>
      <c r="J43" s="800">
        <f>$C216*'Médias por UF'!GF37</f>
        <v>285266.1440721252</v>
      </c>
      <c r="K43" s="800">
        <f>$C216*'Médias por UF'!GG37</f>
        <v>318651.89221077482</v>
      </c>
      <c r="L43" s="800">
        <f>$C216*'Médias por UF'!GH37</f>
        <v>340635.93684421608</v>
      </c>
      <c r="M43" s="800">
        <f>$C216*'Médias por UF'!GI37</f>
        <v>369690.77</v>
      </c>
      <c r="N43" s="800">
        <f t="shared" si="13"/>
        <v>369690.77</v>
      </c>
      <c r="O43" s="802">
        <f t="shared" si="12"/>
        <v>0</v>
      </c>
      <c r="P43" s="138" t="s">
        <v>81</v>
      </c>
      <c r="Q43" s="800">
        <f>$R216*'Médias por UF'!FX37</f>
        <v>51220.805625233101</v>
      </c>
      <c r="R43" s="800">
        <f>$R216*'Médias por UF'!FY37</f>
        <v>96098.153271213741</v>
      </c>
      <c r="S43" s="800">
        <f>$R216*'Médias por UF'!FZ37</f>
        <v>129933.62854377193</v>
      </c>
      <c r="T43" s="800">
        <f>$R216*'Médias por UF'!GA37</f>
        <v>158679.17110927339</v>
      </c>
      <c r="U43" s="800">
        <f>$R216*'Médias por UF'!GB37</f>
        <v>181807.93040468317</v>
      </c>
      <c r="V43" s="800">
        <f>$R216*'Médias por UF'!GC37</f>
        <v>207257.28209835145</v>
      </c>
      <c r="W43" s="800">
        <f>$R216*'Médias por UF'!GD37</f>
        <v>234337.63737538646</v>
      </c>
      <c r="X43" s="800">
        <f>$R216*'Médias por UF'!GE37</f>
        <v>259534.16571315285</v>
      </c>
      <c r="Y43" s="800">
        <f>$R216*'Médias por UF'!GF37</f>
        <v>285266.1440721252</v>
      </c>
      <c r="Z43" s="800">
        <f>$R216*'Médias por UF'!GG37</f>
        <v>318651.89221077482</v>
      </c>
      <c r="AA43" s="800">
        <f>$R216*'Médias por UF'!GH37</f>
        <v>340635.93684421608</v>
      </c>
      <c r="AB43" s="800">
        <f>$R216*'Médias por UF'!GI37</f>
        <v>369690.77</v>
      </c>
      <c r="AC43" s="800">
        <f t="shared" si="14"/>
        <v>369690.77</v>
      </c>
      <c r="AE43" s="138" t="s">
        <v>81</v>
      </c>
      <c r="AF43" s="800">
        <f>JAN!$T$9</f>
        <v>30706.631999999998</v>
      </c>
      <c r="AG43" s="800">
        <f>FEV!$T9</f>
        <v>38622.728000000025</v>
      </c>
      <c r="AH43" s="800">
        <f>MAR!$T9</f>
        <v>45949.256000000001</v>
      </c>
      <c r="AI43" s="800">
        <f>ABR!$T9</f>
        <v>40568.336000000003</v>
      </c>
      <c r="AJ43" s="800">
        <f>MAI!$T9</f>
        <v>33000.944000000003</v>
      </c>
      <c r="AK43" s="800">
        <f>JUN!$T9</f>
        <v>26079.536000000011</v>
      </c>
      <c r="AL43" s="800">
        <f>JUL!$T9</f>
        <v>23323.896000000022</v>
      </c>
      <c r="AM43" s="800">
        <f>AGO!$T9</f>
        <v>27897.864000000001</v>
      </c>
      <c r="AN43" s="800">
        <f>SET!$T9</f>
        <v>23301.82399999999</v>
      </c>
      <c r="AO43" s="800">
        <f>OUT!$T9*0</f>
        <v>0</v>
      </c>
      <c r="AP43" s="800">
        <f>NOV!$T9*0</f>
        <v>0</v>
      </c>
      <c r="AQ43" s="800">
        <f>DEZ!$T9*0</f>
        <v>0</v>
      </c>
      <c r="AR43" s="800">
        <f t="shared" si="15"/>
        <v>289451.016</v>
      </c>
    </row>
    <row r="44" spans="1:45">
      <c r="A44" s="137" t="s">
        <v>82</v>
      </c>
      <c r="B44" s="800">
        <f>$C217*'Médias por UF'!FX38</f>
        <v>30304.53610661795</v>
      </c>
      <c r="C44" s="800">
        <f>$C217*'Médias por UF'!FY38</f>
        <v>48804.758811206397</v>
      </c>
      <c r="D44" s="800">
        <f>$C217*'Médias por UF'!FZ38</f>
        <v>67155.402568693171</v>
      </c>
      <c r="E44" s="800">
        <f>$C217*'Médias por UF'!GA38</f>
        <v>83078.299086937885</v>
      </c>
      <c r="F44" s="800">
        <f>$C217*'Médias por UF'!GB38</f>
        <v>94891.694415894468</v>
      </c>
      <c r="G44" s="800">
        <f>$C217*'Médias por UF'!GC38</f>
        <v>107011.15699112409</v>
      </c>
      <c r="H44" s="800">
        <f>$C217*'Médias por UF'!GD38</f>
        <v>122340.48846577024</v>
      </c>
      <c r="I44" s="800">
        <f>$C217*'Médias por UF'!GE38</f>
        <v>138373.9811071436</v>
      </c>
      <c r="J44" s="800">
        <f>$C217*'Médias por UF'!GF38</f>
        <v>151642.8649883967</v>
      </c>
      <c r="K44" s="800">
        <f>$C217*'Médias por UF'!GG38</f>
        <v>177448.06321080055</v>
      </c>
      <c r="L44" s="800">
        <f>$C217*'Médias por UF'!GH38</f>
        <v>191847.4160579498</v>
      </c>
      <c r="M44" s="800">
        <f>$C217*'Médias por UF'!GI38</f>
        <v>211350.33000000002</v>
      </c>
      <c r="N44" s="800">
        <f t="shared" si="13"/>
        <v>211350.33000000002</v>
      </c>
      <c r="O44" s="802">
        <f t="shared" si="12"/>
        <v>0</v>
      </c>
      <c r="P44" s="138" t="s">
        <v>82</v>
      </c>
      <c r="Q44" s="800">
        <f>$R217*'Médias por UF'!FX38</f>
        <v>30304.53610661795</v>
      </c>
      <c r="R44" s="800">
        <f>$R217*'Médias por UF'!FY38</f>
        <v>48804.758811206397</v>
      </c>
      <c r="S44" s="800">
        <f>$R217*'Médias por UF'!FZ38</f>
        <v>67155.402568693171</v>
      </c>
      <c r="T44" s="800">
        <f>$R217*'Médias por UF'!GA38</f>
        <v>83078.299086937885</v>
      </c>
      <c r="U44" s="800">
        <f>$R217*'Médias por UF'!GB38</f>
        <v>94891.694415894468</v>
      </c>
      <c r="V44" s="800">
        <f>$R217*'Médias por UF'!GC38</f>
        <v>107011.15699112409</v>
      </c>
      <c r="W44" s="800">
        <f>$R217*'Médias por UF'!GD38</f>
        <v>122340.48846577024</v>
      </c>
      <c r="X44" s="800">
        <f>$R217*'Médias por UF'!GE38</f>
        <v>138373.9811071436</v>
      </c>
      <c r="Y44" s="800">
        <f>$R217*'Médias por UF'!GF38</f>
        <v>151642.8649883967</v>
      </c>
      <c r="Z44" s="800">
        <f>$R217*'Médias por UF'!GG38</f>
        <v>177448.06321080055</v>
      </c>
      <c r="AA44" s="800">
        <f>$R217*'Médias por UF'!GH38</f>
        <v>191847.4160579498</v>
      </c>
      <c r="AB44" s="800">
        <f>$R217*'Médias por UF'!GI38</f>
        <v>211350.33000000002</v>
      </c>
      <c r="AC44" s="800">
        <f t="shared" si="14"/>
        <v>211350.33000000002</v>
      </c>
      <c r="AE44" s="138" t="s">
        <v>82</v>
      </c>
      <c r="AF44" s="800">
        <f>JAN!$T$10</f>
        <v>32234.296000000028</v>
      </c>
      <c r="AG44" s="800">
        <f>FEV!$T10</f>
        <v>26505.079999999984</v>
      </c>
      <c r="AH44" s="800">
        <f>MAR!$T10</f>
        <v>30811.256000000001</v>
      </c>
      <c r="AI44" s="800">
        <f>ABR!$T10</f>
        <v>16564.416000000001</v>
      </c>
      <c r="AJ44" s="800">
        <f>MAI!$T10</f>
        <v>24647.528000000002</v>
      </c>
      <c r="AK44" s="800">
        <f>JUN!$T10</f>
        <v>50687.815999999992</v>
      </c>
      <c r="AL44" s="800">
        <f>JUL!$T10</f>
        <v>37589.008000000009</v>
      </c>
      <c r="AM44" s="800">
        <f>AGO!$T10</f>
        <v>41165.815999999992</v>
      </c>
      <c r="AN44" s="800">
        <f>SET!$T10</f>
        <v>38420.984000000004</v>
      </c>
      <c r="AO44" s="800">
        <f>OUT!$T10*0</f>
        <v>0</v>
      </c>
      <c r="AP44" s="800">
        <f>NOV!$T10*0</f>
        <v>0</v>
      </c>
      <c r="AQ44" s="800">
        <f>DEZ!$T10*0</f>
        <v>0</v>
      </c>
      <c r="AR44" s="800">
        <f t="shared" si="15"/>
        <v>298626.2</v>
      </c>
    </row>
    <row r="45" spans="1:45">
      <c r="A45" s="137" t="s">
        <v>83</v>
      </c>
      <c r="B45" s="800">
        <f>$C218*'Médias por UF'!FX39</f>
        <v>50239.437655159883</v>
      </c>
      <c r="C45" s="800">
        <f>$C218*'Médias por UF'!FY39</f>
        <v>88767.795608625442</v>
      </c>
      <c r="D45" s="800">
        <f>$C218*'Médias por UF'!FZ39</f>
        <v>127712.11436805535</v>
      </c>
      <c r="E45" s="800">
        <f>$C218*'Médias por UF'!GA39</f>
        <v>160502.30442299371</v>
      </c>
      <c r="F45" s="800">
        <f>$C218*'Médias por UF'!GB39</f>
        <v>190626.58371231082</v>
      </c>
      <c r="G45" s="800">
        <f>$C218*'Médias por UF'!GC39</f>
        <v>219144.07330035811</v>
      </c>
      <c r="H45" s="800">
        <f>$C218*'Médias por UF'!GD39</f>
        <v>249623.61924269484</v>
      </c>
      <c r="I45" s="800">
        <f>$C218*'Médias por UF'!GE39</f>
        <v>283138.22909428016</v>
      </c>
      <c r="J45" s="800">
        <f>$C218*'Médias por UF'!GF39</f>
        <v>309886.40902198962</v>
      </c>
      <c r="K45" s="800">
        <f>$C218*'Médias por UF'!GG39</f>
        <v>348682.19858074363</v>
      </c>
      <c r="L45" s="800">
        <f>$C218*'Médias por UF'!GH39</f>
        <v>371384.66763311444</v>
      </c>
      <c r="M45" s="800">
        <f>$C218*'Médias por UF'!GI39</f>
        <v>394786.83999999997</v>
      </c>
      <c r="N45" s="800">
        <f t="shared" si="13"/>
        <v>394786.83999999997</v>
      </c>
      <c r="O45" s="802">
        <f t="shared" si="12"/>
        <v>0</v>
      </c>
      <c r="P45" s="138" t="s">
        <v>83</v>
      </c>
      <c r="Q45" s="800">
        <f>$R218*'Médias por UF'!FX39</f>
        <v>50239.437655159883</v>
      </c>
      <c r="R45" s="800">
        <f>$R218*'Médias por UF'!FY39</f>
        <v>88767.795608625442</v>
      </c>
      <c r="S45" s="800">
        <f>$R218*'Médias por UF'!FZ39</f>
        <v>127712.11436805535</v>
      </c>
      <c r="T45" s="800">
        <f>$R218*'Médias por UF'!GA39</f>
        <v>160502.30442299371</v>
      </c>
      <c r="U45" s="800">
        <f>$R218*'Médias por UF'!GB39</f>
        <v>190626.58371231082</v>
      </c>
      <c r="V45" s="800">
        <f>$R218*'Médias por UF'!GC39</f>
        <v>219144.07330035811</v>
      </c>
      <c r="W45" s="800">
        <f>$R218*'Médias por UF'!GD39</f>
        <v>249623.61924269484</v>
      </c>
      <c r="X45" s="800">
        <f>$R218*'Médias por UF'!GE39</f>
        <v>283138.22909428016</v>
      </c>
      <c r="Y45" s="800">
        <f>$R218*'Médias por UF'!GF39</f>
        <v>309886.40902198962</v>
      </c>
      <c r="Z45" s="800">
        <f>$R218*'Médias por UF'!GG39</f>
        <v>348682.19858074363</v>
      </c>
      <c r="AA45" s="800">
        <f>$R218*'Médias por UF'!GH39</f>
        <v>371384.66763311444</v>
      </c>
      <c r="AB45" s="800">
        <f>$R218*'Médias por UF'!GI39</f>
        <v>394786.83999999997</v>
      </c>
      <c r="AC45" s="800">
        <f t="shared" si="14"/>
        <v>394786.83999999997</v>
      </c>
      <c r="AE45" s="138" t="s">
        <v>83</v>
      </c>
      <c r="AF45" s="800">
        <f>JAN!$T$11</f>
        <v>43282.104000000014</v>
      </c>
      <c r="AG45" s="800">
        <f>FEV!$T11</f>
        <v>40493.136000000035</v>
      </c>
      <c r="AH45" s="800">
        <f>MAR!$T11</f>
        <v>38141.248</v>
      </c>
      <c r="AI45" s="800">
        <f>ABR!$T11</f>
        <v>30164.248</v>
      </c>
      <c r="AJ45" s="800">
        <f>MAI!$T11</f>
        <v>87297.888000000006</v>
      </c>
      <c r="AK45" s="800">
        <f>JUN!$T11</f>
        <v>59005.864000000016</v>
      </c>
      <c r="AL45" s="800">
        <f>JUL!$T11</f>
        <v>46717.120000000024</v>
      </c>
      <c r="AM45" s="800">
        <f>AGO!$T11</f>
        <v>57915.767999999996</v>
      </c>
      <c r="AN45" s="800">
        <f>SET!$T11</f>
        <v>53768.863999999994</v>
      </c>
      <c r="AO45" s="800">
        <f>OUT!$T11*0</f>
        <v>0</v>
      </c>
      <c r="AP45" s="800">
        <f>NOV!$T11*0</f>
        <v>0</v>
      </c>
      <c r="AQ45" s="800">
        <f>DEZ!$T11*0</f>
        <v>0</v>
      </c>
      <c r="AR45" s="800">
        <f t="shared" si="15"/>
        <v>456786.24000000011</v>
      </c>
    </row>
    <row r="46" spans="1:45">
      <c r="A46" s="137" t="s">
        <v>84</v>
      </c>
      <c r="B46" s="800">
        <f>$C219*'Médias por UF'!FX40</f>
        <v>30323.179836155792</v>
      </c>
      <c r="C46" s="800">
        <f>$C219*'Médias por UF'!FY40</f>
        <v>60036.94693157835</v>
      </c>
      <c r="D46" s="800">
        <f>$C219*'Médias por UF'!FZ40</f>
        <v>83206.431067686368</v>
      </c>
      <c r="E46" s="800">
        <f>$C219*'Médias por UF'!GA40</f>
        <v>97060.180642045831</v>
      </c>
      <c r="F46" s="800">
        <f>$C219*'Médias por UF'!GB40</f>
        <v>110313.02994771644</v>
      </c>
      <c r="G46" s="800">
        <f>$C219*'Médias por UF'!GC40</f>
        <v>125058.1461529888</v>
      </c>
      <c r="H46" s="800">
        <f>$C219*'Médias por UF'!GD40</f>
        <v>141881.00702150853</v>
      </c>
      <c r="I46" s="800">
        <f>$C219*'Médias por UF'!GE40</f>
        <v>159076.72428414642</v>
      </c>
      <c r="J46" s="800">
        <f>$C219*'Médias por UF'!GF40</f>
        <v>174829.40431208871</v>
      </c>
      <c r="K46" s="800">
        <f>$C219*'Médias por UF'!GG40</f>
        <v>197405.43312183404</v>
      </c>
      <c r="L46" s="800">
        <f>$C219*'Médias por UF'!GH40</f>
        <v>210389.48663828519</v>
      </c>
      <c r="M46" s="800">
        <f>$C219*'Médias por UF'!GI40</f>
        <v>230979.35</v>
      </c>
      <c r="N46" s="800">
        <f t="shared" si="13"/>
        <v>230979.35</v>
      </c>
      <c r="O46" s="802">
        <f t="shared" si="12"/>
        <v>0</v>
      </c>
      <c r="P46" s="138" t="s">
        <v>84</v>
      </c>
      <c r="Q46" s="800">
        <f>$R219*'Médias por UF'!FX40</f>
        <v>30323.179836155792</v>
      </c>
      <c r="R46" s="800">
        <f>$R219*'Médias por UF'!FY40</f>
        <v>60036.94693157835</v>
      </c>
      <c r="S46" s="800">
        <f>$R219*'Médias por UF'!FZ40</f>
        <v>83206.431067686368</v>
      </c>
      <c r="T46" s="800">
        <f>$R219*'Médias por UF'!GA40</f>
        <v>97060.180642045831</v>
      </c>
      <c r="U46" s="800">
        <f>$R219*'Médias por UF'!GB40</f>
        <v>110313.02994771644</v>
      </c>
      <c r="V46" s="800">
        <f>$R219*'Médias por UF'!GC40</f>
        <v>125058.1461529888</v>
      </c>
      <c r="W46" s="800">
        <f>$R219*'Médias por UF'!GD40</f>
        <v>141881.00702150853</v>
      </c>
      <c r="X46" s="800">
        <f>$R219*'Médias por UF'!GE40</f>
        <v>159076.72428414642</v>
      </c>
      <c r="Y46" s="800">
        <f>$R219*'Médias por UF'!GF40</f>
        <v>174829.40431208871</v>
      </c>
      <c r="Z46" s="800">
        <f>$R219*'Médias por UF'!GG40</f>
        <v>197405.43312183404</v>
      </c>
      <c r="AA46" s="800">
        <f>$R219*'Médias por UF'!GH40</f>
        <v>210389.48663828519</v>
      </c>
      <c r="AB46" s="800">
        <f>$R219*'Médias por UF'!GI40</f>
        <v>230979.35</v>
      </c>
      <c r="AC46" s="800">
        <f t="shared" si="14"/>
        <v>230979.35</v>
      </c>
      <c r="AE46" s="138" t="s">
        <v>84</v>
      </c>
      <c r="AF46" s="800">
        <f>JAN!$T$12</f>
        <v>23181.047999999995</v>
      </c>
      <c r="AG46" s="800">
        <f>FEV!$T12</f>
        <v>29789.40800000001</v>
      </c>
      <c r="AH46" s="800">
        <f>MAR!$T12</f>
        <v>28355.552000000003</v>
      </c>
      <c r="AI46" s="800">
        <f>ABR!$T12</f>
        <v>16189.800000000001</v>
      </c>
      <c r="AJ46" s="800">
        <f>MAI!$T12</f>
        <v>17392.16</v>
      </c>
      <c r="AK46" s="800">
        <f>JUN!$T12</f>
        <v>15633.576000000001</v>
      </c>
      <c r="AL46" s="800">
        <f>JUL!$T12</f>
        <v>14686.111999999988</v>
      </c>
      <c r="AM46" s="800">
        <f>AGO!$T12</f>
        <v>24432.695999999996</v>
      </c>
      <c r="AN46" s="800">
        <f>SET!$T12</f>
        <v>16443.856000000007</v>
      </c>
      <c r="AO46" s="800">
        <f>OUT!$T12*0</f>
        <v>0</v>
      </c>
      <c r="AP46" s="800">
        <f>NOV!$T12*0</f>
        <v>0</v>
      </c>
      <c r="AQ46" s="800">
        <f>DEZ!$T12*0</f>
        <v>0</v>
      </c>
      <c r="AR46" s="800">
        <f t="shared" si="15"/>
        <v>186104.20799999998</v>
      </c>
    </row>
    <row r="47" spans="1:45">
      <c r="A47" s="137" t="s">
        <v>85</v>
      </c>
      <c r="B47" s="800">
        <f>$C220*'Médias por UF'!FX41</f>
        <v>35969.719411687285</v>
      </c>
      <c r="C47" s="800">
        <f>$C220*'Médias por UF'!FY41</f>
        <v>70505.016395671671</v>
      </c>
      <c r="D47" s="800">
        <f>$C220*'Médias por UF'!FZ41</f>
        <v>98862.765185164462</v>
      </c>
      <c r="E47" s="800">
        <f>$C220*'Médias por UF'!GA41</f>
        <v>118860.67190653639</v>
      </c>
      <c r="F47" s="800">
        <f>$C220*'Médias por UF'!GB41</f>
        <v>143612.90400361028</v>
      </c>
      <c r="G47" s="800">
        <f>$C220*'Médias por UF'!GC41</f>
        <v>167065.9142032885</v>
      </c>
      <c r="H47" s="800">
        <f>$C220*'Médias por UF'!GD41</f>
        <v>193198.27758525324</v>
      </c>
      <c r="I47" s="800">
        <f>$C220*'Médias por UF'!GE41</f>
        <v>218518.39541467864</v>
      </c>
      <c r="J47" s="800">
        <f>$C220*'Médias por UF'!GF41</f>
        <v>244778.58180175687</v>
      </c>
      <c r="K47" s="800">
        <f>$C220*'Médias por UF'!GG41</f>
        <v>276423.83266402024</v>
      </c>
      <c r="L47" s="800">
        <f>$C220*'Médias por UF'!GH41</f>
        <v>293720.50018183095</v>
      </c>
      <c r="M47" s="800">
        <f>$C220*'Médias por UF'!GI41</f>
        <v>317093.52</v>
      </c>
      <c r="N47" s="800">
        <f t="shared" si="13"/>
        <v>317093.52</v>
      </c>
      <c r="O47" s="802">
        <f t="shared" si="12"/>
        <v>0</v>
      </c>
      <c r="P47" s="138" t="s">
        <v>85</v>
      </c>
      <c r="Q47" s="800">
        <f>$R220*'Médias por UF'!FX41</f>
        <v>35969.719411687285</v>
      </c>
      <c r="R47" s="800">
        <f>$R220*'Médias por UF'!FY41</f>
        <v>70505.016395671671</v>
      </c>
      <c r="S47" s="800">
        <f>$R220*'Médias por UF'!FZ41</f>
        <v>98862.765185164462</v>
      </c>
      <c r="T47" s="800">
        <f>$R220*'Médias por UF'!GA41</f>
        <v>118860.67190653639</v>
      </c>
      <c r="U47" s="800">
        <f>$R220*'Médias por UF'!GB41</f>
        <v>143612.90400361028</v>
      </c>
      <c r="V47" s="800">
        <f>$R220*'Médias por UF'!GC41</f>
        <v>167065.9142032885</v>
      </c>
      <c r="W47" s="800">
        <f>$R220*'Médias por UF'!GD41</f>
        <v>193198.27758525324</v>
      </c>
      <c r="X47" s="800">
        <f>$R220*'Médias por UF'!GE41</f>
        <v>218518.39541467864</v>
      </c>
      <c r="Y47" s="800">
        <f>$R220*'Médias por UF'!GF41</f>
        <v>244778.58180175687</v>
      </c>
      <c r="Z47" s="800">
        <f>$R220*'Médias por UF'!GG41</f>
        <v>276423.83266402024</v>
      </c>
      <c r="AA47" s="800">
        <f>$R220*'Médias por UF'!GH41</f>
        <v>293720.50018183095</v>
      </c>
      <c r="AB47" s="800">
        <f>$R220*'Médias por UF'!GI41</f>
        <v>317093.52</v>
      </c>
      <c r="AC47" s="800">
        <f t="shared" si="14"/>
        <v>317093.52</v>
      </c>
      <c r="AE47" s="138" t="s">
        <v>85</v>
      </c>
      <c r="AF47" s="800">
        <f>JAN!$T$13</f>
        <v>33011.752</v>
      </c>
      <c r="AG47" s="800">
        <f>FEV!$T13</f>
        <v>33891.439999999995</v>
      </c>
      <c r="AH47" s="800">
        <f>MAR!$T13</f>
        <v>39958.480000000003</v>
      </c>
      <c r="AI47" s="800">
        <f>ABR!$T13</f>
        <v>29428.112000000001</v>
      </c>
      <c r="AJ47" s="800">
        <f>MAI!$T13</f>
        <v>30644.144</v>
      </c>
      <c r="AK47" s="800">
        <f>JUN!$T13</f>
        <v>29775.192000000017</v>
      </c>
      <c r="AL47" s="800">
        <f>JUL!$T13</f>
        <v>43371.728000000003</v>
      </c>
      <c r="AM47" s="800">
        <f>AGO!$T13</f>
        <v>70162.439999999988</v>
      </c>
      <c r="AN47" s="800">
        <f>SET!$T13</f>
        <v>57500.592000000004</v>
      </c>
      <c r="AO47" s="800">
        <f>OUT!$T13*0</f>
        <v>0</v>
      </c>
      <c r="AP47" s="800">
        <f>NOV!$T13*0</f>
        <v>0</v>
      </c>
      <c r="AQ47" s="800">
        <f>DEZ!$T13*0</f>
        <v>0</v>
      </c>
      <c r="AR47" s="800">
        <f t="shared" si="15"/>
        <v>367743.88</v>
      </c>
    </row>
    <row r="48" spans="1:45">
      <c r="A48" s="137" t="s">
        <v>86</v>
      </c>
      <c r="B48" s="800">
        <f>$C221*'Médias por UF'!FX42</f>
        <v>19420.810379660044</v>
      </c>
      <c r="C48" s="800">
        <f>$C221*'Médias por UF'!FY42</f>
        <v>36118.744590265771</v>
      </c>
      <c r="D48" s="800">
        <f>$C221*'Médias por UF'!FZ42</f>
        <v>57961.883298556408</v>
      </c>
      <c r="E48" s="800">
        <f>$C221*'Médias por UF'!GA42</f>
        <v>70462.287548212</v>
      </c>
      <c r="F48" s="800">
        <f>$C221*'Médias por UF'!GB42</f>
        <v>80925.291359078168</v>
      </c>
      <c r="G48" s="800">
        <f>$C221*'Médias por UF'!GC42</f>
        <v>96527.478677244886</v>
      </c>
      <c r="H48" s="800">
        <f>$C221*'Médias por UF'!GD42</f>
        <v>111517.37007011712</v>
      </c>
      <c r="I48" s="800">
        <f>$C221*'Médias por UF'!GE42</f>
        <v>123102.80482324504</v>
      </c>
      <c r="J48" s="800">
        <f>$C221*'Médias por UF'!GF42</f>
        <v>133864.023782832</v>
      </c>
      <c r="K48" s="800">
        <f>$C221*'Médias por UF'!GG42</f>
        <v>147114.43019768235</v>
      </c>
      <c r="L48" s="800">
        <f>$C221*'Médias por UF'!GH42</f>
        <v>155185.55969272868</v>
      </c>
      <c r="M48" s="800">
        <f>$C221*'Médias por UF'!GI42</f>
        <v>165818.14000000001</v>
      </c>
      <c r="N48" s="800">
        <f t="shared" si="13"/>
        <v>165818.14000000001</v>
      </c>
      <c r="O48" s="802">
        <f t="shared" si="12"/>
        <v>0</v>
      </c>
      <c r="P48" s="138" t="s">
        <v>86</v>
      </c>
      <c r="Q48" s="800">
        <f>$R221*'Médias por UF'!FX42</f>
        <v>19420.810379660044</v>
      </c>
      <c r="R48" s="800">
        <f>$R221*'Médias por UF'!FY42</f>
        <v>36118.744590265771</v>
      </c>
      <c r="S48" s="800">
        <f>$R221*'Médias por UF'!FZ42</f>
        <v>57961.883298556408</v>
      </c>
      <c r="T48" s="800">
        <f>$R221*'Médias por UF'!GA42</f>
        <v>70462.287548212</v>
      </c>
      <c r="U48" s="800">
        <f>$R221*'Médias por UF'!GB42</f>
        <v>80925.291359078168</v>
      </c>
      <c r="V48" s="800">
        <f>$R221*'Médias por UF'!GC42</f>
        <v>96527.478677244886</v>
      </c>
      <c r="W48" s="800">
        <f>$R221*'Médias por UF'!GD42</f>
        <v>111517.37007011712</v>
      </c>
      <c r="X48" s="800">
        <f>$R221*'Médias por UF'!GE42</f>
        <v>123102.80482324504</v>
      </c>
      <c r="Y48" s="800">
        <f>$R221*'Médias por UF'!GF42</f>
        <v>133864.023782832</v>
      </c>
      <c r="Z48" s="800">
        <f>$R221*'Médias por UF'!GG42</f>
        <v>147114.43019768235</v>
      </c>
      <c r="AA48" s="800">
        <f>$R221*'Médias por UF'!GH42</f>
        <v>155185.55969272868</v>
      </c>
      <c r="AB48" s="800">
        <f>$R221*'Médias por UF'!GI42</f>
        <v>165818.14000000001</v>
      </c>
      <c r="AC48" s="800">
        <f t="shared" si="14"/>
        <v>165818.14000000001</v>
      </c>
      <c r="AE48" s="138" t="s">
        <v>86</v>
      </c>
      <c r="AF48" s="800">
        <f>JAN!$T$14</f>
        <v>8598.5120000000043</v>
      </c>
      <c r="AG48" s="800">
        <f>FEV!$T14</f>
        <v>14842.480000000005</v>
      </c>
      <c r="AH48" s="800">
        <f>MAR!$T14</f>
        <v>12652.992</v>
      </c>
      <c r="AI48" s="800">
        <f>ABR!$T14</f>
        <v>7447.44</v>
      </c>
      <c r="AJ48" s="800">
        <f>MAI!$T14</f>
        <v>17578.727999999999</v>
      </c>
      <c r="AK48" s="800">
        <f>JUN!$T14</f>
        <v>8488.8640000000014</v>
      </c>
      <c r="AL48" s="800">
        <f>JUL!$T14</f>
        <v>7720.4640000000072</v>
      </c>
      <c r="AM48" s="800">
        <f>AGO!$T14</f>
        <v>13310.304000000004</v>
      </c>
      <c r="AN48" s="800">
        <f>SET!$T14</f>
        <v>6775.2720000000008</v>
      </c>
      <c r="AO48" s="800">
        <f>OUT!$T14*0</f>
        <v>0</v>
      </c>
      <c r="AP48" s="800">
        <f>NOV!$T14*0</f>
        <v>0</v>
      </c>
      <c r="AQ48" s="800">
        <f>DEZ!$T14*0</f>
        <v>0</v>
      </c>
      <c r="AR48" s="800">
        <f t="shared" si="15"/>
        <v>97415.056000000026</v>
      </c>
    </row>
    <row r="49" spans="1:44">
      <c r="A49" s="137" t="s">
        <v>87</v>
      </c>
      <c r="B49" s="800">
        <f>$C222*'Médias por UF'!FX43</f>
        <v>68439.767995006056</v>
      </c>
      <c r="C49" s="800">
        <f>$C222*'Médias por UF'!FY43</f>
        <v>150020.52071584261</v>
      </c>
      <c r="D49" s="800">
        <f>$C222*'Médias por UF'!FZ43</f>
        <v>226702.87906941495</v>
      </c>
      <c r="E49" s="800">
        <f>$C222*'Médias por UF'!GA43</f>
        <v>284627.41768255923</v>
      </c>
      <c r="F49" s="800">
        <f>$C222*'Médias por UF'!GB43</f>
        <v>335087.25228246517</v>
      </c>
      <c r="G49" s="800">
        <f>$C222*'Médias por UF'!GC43</f>
        <v>400507.47869528783</v>
      </c>
      <c r="H49" s="800">
        <f>$C222*'Médias por UF'!GD43</f>
        <v>467228.74337204976</v>
      </c>
      <c r="I49" s="800">
        <f>$C222*'Médias por UF'!GE43</f>
        <v>530595.19616628101</v>
      </c>
      <c r="J49" s="800">
        <f>$C222*'Médias por UF'!GF43</f>
        <v>576568.08853393607</v>
      </c>
      <c r="K49" s="800">
        <f>$C222*'Médias por UF'!GG43</f>
        <v>627168.98578725033</v>
      </c>
      <c r="L49" s="800">
        <f>$C222*'Médias por UF'!GH43</f>
        <v>667261.90112778195</v>
      </c>
      <c r="M49" s="800">
        <f>$C222*'Médias por UF'!GI43</f>
        <v>723080.07</v>
      </c>
      <c r="N49" s="800">
        <f t="shared" si="13"/>
        <v>723080.07</v>
      </c>
      <c r="O49" s="802">
        <f t="shared" si="12"/>
        <v>0</v>
      </c>
      <c r="P49" s="138" t="s">
        <v>87</v>
      </c>
      <c r="Q49" s="800">
        <f>$R222*'Médias por UF'!FX43</f>
        <v>15885.739586203224</v>
      </c>
      <c r="R49" s="800">
        <f>$R222*'Médias por UF'!FY43</f>
        <v>34821.668665685414</v>
      </c>
      <c r="S49" s="800">
        <f>$R222*'Médias por UF'!FZ43</f>
        <v>52620.618185059182</v>
      </c>
      <c r="T49" s="800">
        <f>$R222*'Médias por UF'!GA43</f>
        <v>66065.639449984097</v>
      </c>
      <c r="U49" s="800">
        <f>$R222*'Médias por UF'!GB43</f>
        <v>77778.008084481553</v>
      </c>
      <c r="V49" s="800">
        <f>$R222*'Médias por UF'!GC43</f>
        <v>92962.873710273663</v>
      </c>
      <c r="W49" s="800">
        <f>$R222*'Médias por UF'!GD43</f>
        <v>108449.72684505519</v>
      </c>
      <c r="X49" s="800">
        <f>$R222*'Médias por UF'!GE43</f>
        <v>123157.88552355992</v>
      </c>
      <c r="Y49" s="800">
        <f>$R222*'Médias por UF'!GF43</f>
        <v>133828.77786542769</v>
      </c>
      <c r="Z49" s="800">
        <f>$R222*'Médias por UF'!GG43</f>
        <v>145573.8889337912</v>
      </c>
      <c r="AA49" s="800">
        <f>$R222*'Médias por UF'!GH43</f>
        <v>154879.96391051891</v>
      </c>
      <c r="AB49" s="800">
        <f>$R222*'Médias por UF'!GI43</f>
        <v>167836.07</v>
      </c>
      <c r="AC49" s="800">
        <f t="shared" si="14"/>
        <v>167836.07</v>
      </c>
      <c r="AE49" s="138" t="s">
        <v>87</v>
      </c>
      <c r="AF49" s="800">
        <f>JAN!$T$15</f>
        <v>24164.480000000007</v>
      </c>
      <c r="AG49" s="800">
        <f>FEV!$T15</f>
        <v>18992</v>
      </c>
      <c r="AH49" s="800">
        <f>MAR!$T15</f>
        <v>24922.904000000002</v>
      </c>
      <c r="AI49" s="800">
        <f>ABR!$T15</f>
        <v>15448.992000000002</v>
      </c>
      <c r="AJ49" s="800">
        <f>MAI!$T15</f>
        <v>15437.951999999999</v>
      </c>
      <c r="AK49" s="800">
        <f>JUN!$T15</f>
        <v>15653.26399999999</v>
      </c>
      <c r="AL49" s="800">
        <f>JUL!$T15</f>
        <v>13205.039999999992</v>
      </c>
      <c r="AM49" s="800">
        <f>AGO!$T15</f>
        <v>13494.984000000004</v>
      </c>
      <c r="AN49" s="800">
        <f>SET!$T15</f>
        <v>13386.864000000001</v>
      </c>
      <c r="AO49" s="800">
        <f>OUT!$T15*0</f>
        <v>0</v>
      </c>
      <c r="AP49" s="800">
        <f>NOV!$T15*0</f>
        <v>0</v>
      </c>
      <c r="AQ49" s="800">
        <f>DEZ!$T15*0</f>
        <v>0</v>
      </c>
      <c r="AR49" s="800">
        <f t="shared" si="15"/>
        <v>154706.48000000001</v>
      </c>
    </row>
    <row r="50" spans="1:44">
      <c r="A50" s="137" t="s">
        <v>88</v>
      </c>
      <c r="B50" s="800">
        <f>$C223*'Médias por UF'!FX44</f>
        <v>36041.247969075936</v>
      </c>
      <c r="C50" s="800">
        <f>$C223*'Médias por UF'!FY44</f>
        <v>67629.101447970388</v>
      </c>
      <c r="D50" s="800">
        <f>$C223*'Médias por UF'!FZ44</f>
        <v>94361.511764548981</v>
      </c>
      <c r="E50" s="800">
        <f>$C223*'Médias por UF'!GA44</f>
        <v>116375.44742246465</v>
      </c>
      <c r="F50" s="800">
        <f>$C223*'Médias por UF'!GB44</f>
        <v>140602.90225037583</v>
      </c>
      <c r="G50" s="800">
        <f>$C223*'Médias por UF'!GC44</f>
        <v>161041.2893503861</v>
      </c>
      <c r="H50" s="800">
        <f>$C223*'Médias por UF'!GD44</f>
        <v>184733.8194167809</v>
      </c>
      <c r="I50" s="800">
        <f>$C223*'Médias por UF'!GE44</f>
        <v>208198.36112138457</v>
      </c>
      <c r="J50" s="800">
        <f>$C223*'Médias por UF'!GF44</f>
        <v>230703.30766831504</v>
      </c>
      <c r="K50" s="800">
        <f>$C223*'Médias por UF'!GG44</f>
        <v>256334.58822697602</v>
      </c>
      <c r="L50" s="800">
        <f>$C223*'Médias por UF'!GH44</f>
        <v>276090.48467400001</v>
      </c>
      <c r="M50" s="800">
        <f>$C223*'Médias por UF'!GI44</f>
        <v>293680.92</v>
      </c>
      <c r="N50" s="800">
        <f t="shared" si="13"/>
        <v>293680.92</v>
      </c>
      <c r="O50" s="802">
        <f t="shared" si="12"/>
        <v>0</v>
      </c>
      <c r="P50" s="138" t="s">
        <v>88</v>
      </c>
      <c r="Q50" s="800">
        <f>$R223*'Médias por UF'!FX44</f>
        <v>36041.247969075936</v>
      </c>
      <c r="R50" s="800">
        <f>$R223*'Médias por UF'!FY44</f>
        <v>67629.101447970388</v>
      </c>
      <c r="S50" s="800">
        <f>$R223*'Médias por UF'!FZ44</f>
        <v>94361.511764548981</v>
      </c>
      <c r="T50" s="800">
        <f>$R223*'Médias por UF'!GA44</f>
        <v>116375.44742246465</v>
      </c>
      <c r="U50" s="800">
        <f>$R223*'Médias por UF'!GB44</f>
        <v>140602.90225037583</v>
      </c>
      <c r="V50" s="800">
        <f>$R223*'Médias por UF'!GC44</f>
        <v>161041.2893503861</v>
      </c>
      <c r="W50" s="800">
        <f>$R223*'Médias por UF'!GD44</f>
        <v>184733.8194167809</v>
      </c>
      <c r="X50" s="800">
        <f>$R223*'Médias por UF'!GE44</f>
        <v>208198.36112138457</v>
      </c>
      <c r="Y50" s="800">
        <f>$R223*'Médias por UF'!GF44</f>
        <v>230703.30766831504</v>
      </c>
      <c r="Z50" s="800">
        <f>$R223*'Médias por UF'!GG44</f>
        <v>256334.58822697602</v>
      </c>
      <c r="AA50" s="800">
        <f>$R223*'Médias por UF'!GH44</f>
        <v>276090.48467400001</v>
      </c>
      <c r="AB50" s="800">
        <f>$R223*'Médias por UF'!GI44</f>
        <v>293680.92</v>
      </c>
      <c r="AC50" s="800">
        <f t="shared" si="14"/>
        <v>293680.92</v>
      </c>
      <c r="AE50" s="138" t="s">
        <v>88</v>
      </c>
      <c r="AF50" s="800">
        <f>JAN!$T$16</f>
        <v>27042.232000000004</v>
      </c>
      <c r="AG50" s="800">
        <f>FEV!$T16</f>
        <v>29419.695999999996</v>
      </c>
      <c r="AH50" s="800">
        <f>MAR!$T16</f>
        <v>33284.455999999998</v>
      </c>
      <c r="AI50" s="800">
        <f>ABR!$T16</f>
        <v>22258.296000000002</v>
      </c>
      <c r="AJ50" s="800">
        <f>MAI!$T16</f>
        <v>23924.04</v>
      </c>
      <c r="AK50" s="800">
        <f>JUN!$T16</f>
        <v>20206.424000000014</v>
      </c>
      <c r="AL50" s="800">
        <f>JUL!$T16</f>
        <v>20391.280000000006</v>
      </c>
      <c r="AM50" s="800">
        <f>AGO!$T16</f>
        <v>27745.664000000004</v>
      </c>
      <c r="AN50" s="800">
        <f>SET!$T16</f>
        <v>17887.271999999997</v>
      </c>
      <c r="AO50" s="800">
        <f>OUT!$T16*0</f>
        <v>0</v>
      </c>
      <c r="AP50" s="800">
        <f>NOV!$T16*0</f>
        <v>0</v>
      </c>
      <c r="AQ50" s="800">
        <f>DEZ!$T16*0</f>
        <v>0</v>
      </c>
      <c r="AR50" s="800">
        <f t="shared" si="15"/>
        <v>222159.36000000004</v>
      </c>
    </row>
    <row r="51" spans="1:44">
      <c r="A51" s="137" t="s">
        <v>89</v>
      </c>
      <c r="B51" s="800">
        <f>$C224*'Médias por UF'!FX45</f>
        <v>21192.940948612817</v>
      </c>
      <c r="C51" s="800">
        <f>$C224*'Médias por UF'!FY45</f>
        <v>38855.984069677317</v>
      </c>
      <c r="D51" s="800">
        <f>$C224*'Médias por UF'!FZ45</f>
        <v>55127.020639414201</v>
      </c>
      <c r="E51" s="800">
        <f>$C224*'Médias por UF'!GA45</f>
        <v>68197.965943881602</v>
      </c>
      <c r="F51" s="800">
        <f>$C224*'Médias por UF'!GB45</f>
        <v>78967.920159659086</v>
      </c>
      <c r="G51" s="800">
        <f>$C224*'Médias por UF'!GC45</f>
        <v>90049.051240006214</v>
      </c>
      <c r="H51" s="800">
        <f>$C224*'Médias por UF'!GD45</f>
        <v>102965.17311701302</v>
      </c>
      <c r="I51" s="800">
        <f>$C224*'Médias por UF'!GE45</f>
        <v>114103.37847387792</v>
      </c>
      <c r="J51" s="800">
        <f>$C224*'Médias por UF'!GF45</f>
        <v>126356.07067584893</v>
      </c>
      <c r="K51" s="800">
        <f>$C224*'Médias por UF'!GG45</f>
        <v>141809.4143753488</v>
      </c>
      <c r="L51" s="800">
        <f>$C224*'Médias por UF'!GH45</f>
        <v>153632.36336645961</v>
      </c>
      <c r="M51" s="800">
        <f>$C224*'Médias por UF'!GI45</f>
        <v>167836.07</v>
      </c>
      <c r="N51" s="800">
        <f t="shared" si="13"/>
        <v>167836.07</v>
      </c>
      <c r="O51" s="802">
        <f t="shared" si="12"/>
        <v>0</v>
      </c>
      <c r="P51" s="138" t="s">
        <v>89</v>
      </c>
      <c r="Q51" s="800">
        <f>$R224*'Médias por UF'!FX45</f>
        <v>91304.528428417208</v>
      </c>
      <c r="R51" s="800">
        <f>$R224*'Médias por UF'!FY45</f>
        <v>167401.36778119957</v>
      </c>
      <c r="S51" s="800">
        <f>$R224*'Médias por UF'!FZ45</f>
        <v>237501.09224339595</v>
      </c>
      <c r="T51" s="800">
        <f>$R224*'Médias por UF'!GA45</f>
        <v>293814.0173835071</v>
      </c>
      <c r="U51" s="800">
        <f>$R224*'Médias por UF'!GB45</f>
        <v>340213.69325914688</v>
      </c>
      <c r="V51" s="800">
        <f>$R224*'Médias por UF'!GC45</f>
        <v>387953.99745750282</v>
      </c>
      <c r="W51" s="800">
        <f>$R224*'Médias por UF'!GD45</f>
        <v>443599.90426975494</v>
      </c>
      <c r="X51" s="800">
        <f>$R224*'Médias por UF'!GE45</f>
        <v>491586.09882922145</v>
      </c>
      <c r="Y51" s="800">
        <f>$R224*'Médias por UF'!GF45</f>
        <v>544373.78347346769</v>
      </c>
      <c r="Z51" s="800">
        <f>$R224*'Médias por UF'!GG45</f>
        <v>610950.68106150371</v>
      </c>
      <c r="AA51" s="800">
        <f>$R224*'Médias por UF'!GH45</f>
        <v>661886.92369456135</v>
      </c>
      <c r="AB51" s="800">
        <f>$R224*'Médias por UF'!GI45</f>
        <v>723080.07</v>
      </c>
      <c r="AC51" s="800">
        <f t="shared" si="14"/>
        <v>723080.07</v>
      </c>
      <c r="AE51" s="138" t="s">
        <v>89</v>
      </c>
      <c r="AF51" s="800">
        <f>JAN!$T$17</f>
        <v>111609.44</v>
      </c>
      <c r="AG51" s="800">
        <f>FEV!$T17</f>
        <v>119723.60800000001</v>
      </c>
      <c r="AH51" s="800">
        <f>MAR!$T17</f>
        <v>172165.44</v>
      </c>
      <c r="AI51" s="800">
        <f>ABR!$T17</f>
        <v>115499.8</v>
      </c>
      <c r="AJ51" s="800">
        <f>MAI!$T17</f>
        <v>107947.51200000002</v>
      </c>
      <c r="AK51" s="800">
        <f>JUN!$T17</f>
        <v>94902.296000000002</v>
      </c>
      <c r="AL51" s="800">
        <f>JUL!$T17</f>
        <v>83044.431999999986</v>
      </c>
      <c r="AM51" s="800">
        <f>AGO!$T17</f>
        <v>91492.895999999979</v>
      </c>
      <c r="AN51" s="800">
        <f>SET!$T17</f>
        <v>59657.088000000018</v>
      </c>
      <c r="AO51" s="800">
        <f>OUT!$T17*0</f>
        <v>0</v>
      </c>
      <c r="AP51" s="800">
        <f>NOV!$T17*0</f>
        <v>0</v>
      </c>
      <c r="AQ51" s="800">
        <f>DEZ!$T17*0</f>
        <v>0</v>
      </c>
      <c r="AR51" s="800">
        <f t="shared" si="15"/>
        <v>956042.51199999999</v>
      </c>
    </row>
    <row r="52" spans="1:44">
      <c r="A52" s="137" t="s">
        <v>90</v>
      </c>
      <c r="B52" s="800">
        <f>$C225*'Médias por UF'!FX46</f>
        <v>37263.111414137398</v>
      </c>
      <c r="C52" s="800">
        <f>$C225*'Médias por UF'!FY46</f>
        <v>70419.955014427469</v>
      </c>
      <c r="D52" s="800">
        <f>$C225*'Médias por UF'!FZ46</f>
        <v>100946.74103323862</v>
      </c>
      <c r="E52" s="800">
        <f>$C225*'Médias por UF'!GA46</f>
        <v>125769.39477051707</v>
      </c>
      <c r="F52" s="800">
        <f>$C225*'Médias por UF'!GB46</f>
        <v>146504.6015714125</v>
      </c>
      <c r="G52" s="800">
        <f>$C225*'Médias por UF'!GC46</f>
        <v>167188.31945475188</v>
      </c>
      <c r="H52" s="800">
        <f>$C225*'Médias por UF'!GD46</f>
        <v>189621.17210701018</v>
      </c>
      <c r="I52" s="800">
        <f>$C225*'Médias por UF'!GE46</f>
        <v>213637.63788822529</v>
      </c>
      <c r="J52" s="800">
        <f>$C225*'Médias por UF'!GF46</f>
        <v>234083.74377634362</v>
      </c>
      <c r="K52" s="800">
        <f>$C225*'Médias por UF'!GG46</f>
        <v>263827.7574928563</v>
      </c>
      <c r="L52" s="800">
        <f>$C225*'Médias por UF'!GH46</f>
        <v>286021.15556731808</v>
      </c>
      <c r="M52" s="800">
        <f>$C225*'Médias por UF'!GI46</f>
        <v>309741.52</v>
      </c>
      <c r="N52" s="800">
        <f t="shared" si="13"/>
        <v>309741.52</v>
      </c>
      <c r="O52" s="802">
        <f t="shared" si="12"/>
        <v>0</v>
      </c>
      <c r="P52" s="138" t="s">
        <v>90</v>
      </c>
      <c r="Q52" s="800">
        <f>$R225*'Médias por UF'!FX46</f>
        <v>37263.111414137398</v>
      </c>
      <c r="R52" s="800">
        <f>$R225*'Médias por UF'!FY46</f>
        <v>70419.955014427469</v>
      </c>
      <c r="S52" s="800">
        <f>$R225*'Médias por UF'!FZ46</f>
        <v>100946.74103323862</v>
      </c>
      <c r="T52" s="800">
        <f>$R225*'Médias por UF'!GA46</f>
        <v>125769.39477051707</v>
      </c>
      <c r="U52" s="800">
        <f>$R225*'Médias por UF'!GB46</f>
        <v>146504.6015714125</v>
      </c>
      <c r="V52" s="800">
        <f>$R225*'Médias por UF'!GC46</f>
        <v>167188.31945475188</v>
      </c>
      <c r="W52" s="800">
        <f>$R225*'Médias por UF'!GD46</f>
        <v>189621.17210701018</v>
      </c>
      <c r="X52" s="800">
        <f>$R225*'Médias por UF'!GE46</f>
        <v>213637.63788822529</v>
      </c>
      <c r="Y52" s="800">
        <f>$R225*'Médias por UF'!GF46</f>
        <v>234083.74377634362</v>
      </c>
      <c r="Z52" s="800">
        <f>$R225*'Médias por UF'!GG46</f>
        <v>263827.7574928563</v>
      </c>
      <c r="AA52" s="800">
        <f>$R225*'Médias por UF'!GH46</f>
        <v>286021.15556731808</v>
      </c>
      <c r="AB52" s="800">
        <f>$R225*'Médias por UF'!GI46</f>
        <v>309741.52</v>
      </c>
      <c r="AC52" s="800">
        <f t="shared" si="14"/>
        <v>309741.52</v>
      </c>
      <c r="AE52" s="138" t="s">
        <v>90</v>
      </c>
      <c r="AF52" s="800">
        <f>JAN!$T$18</f>
        <v>19167.431999999997</v>
      </c>
      <c r="AG52" s="800">
        <f>FEV!$T18</f>
        <v>21845.207999999984</v>
      </c>
      <c r="AH52" s="800">
        <f>MAR!$T18</f>
        <v>23358.616000000002</v>
      </c>
      <c r="AI52" s="800">
        <f>ABR!$T18</f>
        <v>16920.727999999999</v>
      </c>
      <c r="AJ52" s="800">
        <f>MAI!$T18</f>
        <v>20652.312000000002</v>
      </c>
      <c r="AK52" s="800">
        <f>JUN!$T18</f>
        <v>19844.808000000008</v>
      </c>
      <c r="AL52" s="800">
        <f>JUL!$T18</f>
        <v>15526.791999999994</v>
      </c>
      <c r="AM52" s="800">
        <f>AGO!$T18</f>
        <v>13231.624000000005</v>
      </c>
      <c r="AN52" s="800">
        <f>SET!$T18</f>
        <v>12787.616000000004</v>
      </c>
      <c r="AO52" s="800">
        <f>OUT!$T18*0</f>
        <v>0</v>
      </c>
      <c r="AP52" s="800">
        <f>NOV!$T18*0</f>
        <v>0</v>
      </c>
      <c r="AQ52" s="800">
        <f>DEZ!$T18*0</f>
        <v>0</v>
      </c>
      <c r="AR52" s="800">
        <f t="shared" si="15"/>
        <v>163335.136</v>
      </c>
    </row>
    <row r="53" spans="1:44">
      <c r="A53" s="137" t="s">
        <v>91</v>
      </c>
      <c r="B53" s="800">
        <f>$C226*'Médias por UF'!FX47</f>
        <v>36108.718000127592</v>
      </c>
      <c r="C53" s="800">
        <f>$C226*'Médias por UF'!FY47</f>
        <v>62836.238130962462</v>
      </c>
      <c r="D53" s="800">
        <f>$C226*'Médias por UF'!FZ47</f>
        <v>84664.858800467089</v>
      </c>
      <c r="E53" s="800">
        <f>$C226*'Médias por UF'!GA47</f>
        <v>102974.81008457387</v>
      </c>
      <c r="F53" s="800">
        <f>$C226*'Médias por UF'!GB47</f>
        <v>121904.65756977</v>
      </c>
      <c r="G53" s="800">
        <f>$C226*'Médias por UF'!GC47</f>
        <v>140210.52843826677</v>
      </c>
      <c r="H53" s="800">
        <f>$C226*'Médias por UF'!GD47</f>
        <v>161350.30201427086</v>
      </c>
      <c r="I53" s="800">
        <f>$C226*'Médias por UF'!GE47</f>
        <v>182772.12493247245</v>
      </c>
      <c r="J53" s="800">
        <f>$C226*'Médias por UF'!GF47</f>
        <v>202230.74347229648</v>
      </c>
      <c r="K53" s="800">
        <f>$C226*'Médias por UF'!GG47</f>
        <v>228189.06169958811</v>
      </c>
      <c r="L53" s="800">
        <f>$C226*'Médias por UF'!GH47</f>
        <v>248232.11462550596</v>
      </c>
      <c r="M53" s="800">
        <f>$C226*'Médias por UF'!GI47</f>
        <v>273180.46000000002</v>
      </c>
      <c r="N53" s="800">
        <f t="shared" si="13"/>
        <v>273180.46000000002</v>
      </c>
      <c r="O53" s="802">
        <f t="shared" si="12"/>
        <v>0</v>
      </c>
      <c r="P53" s="138" t="s">
        <v>91</v>
      </c>
      <c r="Q53" s="800">
        <f>$R226*'Médias por UF'!FX47</f>
        <v>36108.718000127592</v>
      </c>
      <c r="R53" s="800">
        <f>$R226*'Médias por UF'!FY47</f>
        <v>62836.238130962462</v>
      </c>
      <c r="S53" s="800">
        <f>$R226*'Médias por UF'!FZ47</f>
        <v>84664.858800467089</v>
      </c>
      <c r="T53" s="800">
        <f>$R226*'Médias por UF'!GA47</f>
        <v>102974.81008457387</v>
      </c>
      <c r="U53" s="800">
        <f>$R226*'Médias por UF'!GB47</f>
        <v>121904.65756977</v>
      </c>
      <c r="V53" s="800">
        <f>$R226*'Médias por UF'!GC47</f>
        <v>140210.52843826677</v>
      </c>
      <c r="W53" s="800">
        <f>$R226*'Médias por UF'!GD47</f>
        <v>161350.30201427086</v>
      </c>
      <c r="X53" s="800">
        <f>$R226*'Médias por UF'!GE47</f>
        <v>182772.12493247245</v>
      </c>
      <c r="Y53" s="800">
        <f>$R226*'Médias por UF'!GF47</f>
        <v>202230.74347229648</v>
      </c>
      <c r="Z53" s="800">
        <f>$R226*'Médias por UF'!GG47</f>
        <v>228189.06169958811</v>
      </c>
      <c r="AA53" s="800">
        <f>$R226*'Médias por UF'!GH47</f>
        <v>248232.11462550596</v>
      </c>
      <c r="AB53" s="800">
        <f>$R226*'Médias por UF'!GI47</f>
        <v>273180.46000000002</v>
      </c>
      <c r="AC53" s="800">
        <f t="shared" si="14"/>
        <v>273180.46000000002</v>
      </c>
      <c r="AE53" s="138" t="s">
        <v>91</v>
      </c>
      <c r="AF53" s="800">
        <f>JAN!$T$19</f>
        <v>22427.247999999992</v>
      </c>
      <c r="AG53" s="800">
        <f>FEV!$T19</f>
        <v>27811.008000000009</v>
      </c>
      <c r="AH53" s="800">
        <f>MAR!$T19</f>
        <v>39497.448000000004</v>
      </c>
      <c r="AI53" s="800">
        <f>ABR!$T19</f>
        <v>23121.4</v>
      </c>
      <c r="AJ53" s="800">
        <f>MAI!$T19</f>
        <v>25568.616000000002</v>
      </c>
      <c r="AK53" s="800">
        <f>JUN!$T19</f>
        <v>23840.76</v>
      </c>
      <c r="AL53" s="800">
        <f>JUL!$T19</f>
        <v>20070.351999999992</v>
      </c>
      <c r="AM53" s="800">
        <f>AGO!$T19</f>
        <v>26234.407999999996</v>
      </c>
      <c r="AN53" s="800">
        <f>SET!$T19</f>
        <v>25361.056</v>
      </c>
      <c r="AO53" s="800">
        <f>OUT!$T19*0</f>
        <v>0</v>
      </c>
      <c r="AP53" s="800">
        <f>NOV!$T19*0</f>
        <v>0</v>
      </c>
      <c r="AQ53" s="800">
        <f>DEZ!$T19*0</f>
        <v>0</v>
      </c>
      <c r="AR53" s="800">
        <f t="shared" si="15"/>
        <v>233932.296</v>
      </c>
    </row>
    <row r="54" spans="1:44">
      <c r="A54" s="137" t="s">
        <v>92</v>
      </c>
      <c r="B54" s="800">
        <f>$C227*'Médias por UF'!FX48</f>
        <v>64717.330490921704</v>
      </c>
      <c r="C54" s="800">
        <f>$C227*'Médias por UF'!FY48</f>
        <v>116768.22430642528</v>
      </c>
      <c r="D54" s="800">
        <f>$C227*'Médias por UF'!FZ48</f>
        <v>162545.61076331083</v>
      </c>
      <c r="E54" s="800">
        <f>$C227*'Médias por UF'!GA48</f>
        <v>195840.90173285626</v>
      </c>
      <c r="F54" s="800">
        <f>$C227*'Médias por UF'!GB48</f>
        <v>227300.14234175612</v>
      </c>
      <c r="G54" s="800">
        <f>$C227*'Médias por UF'!GC48</f>
        <v>257678.6724294835</v>
      </c>
      <c r="H54" s="800">
        <f>$C227*'Médias por UF'!GD48</f>
        <v>286482.8806564972</v>
      </c>
      <c r="I54" s="800">
        <f>$C227*'Médias por UF'!GE48</f>
        <v>317892.54302890081</v>
      </c>
      <c r="J54" s="800">
        <f>$C227*'Médias por UF'!GF48</f>
        <v>344183.970391076</v>
      </c>
      <c r="K54" s="800">
        <f>$C227*'Médias por UF'!GG48</f>
        <v>384051.09840834816</v>
      </c>
      <c r="L54" s="800">
        <f>$C227*'Médias por UF'!GH48</f>
        <v>413591.35047575523</v>
      </c>
      <c r="M54" s="800">
        <f>$C227*'Médias por UF'!GI48</f>
        <v>464660.17</v>
      </c>
      <c r="N54" s="800">
        <f t="shared" si="13"/>
        <v>464660.17</v>
      </c>
      <c r="O54" s="802">
        <f t="shared" si="12"/>
        <v>0</v>
      </c>
      <c r="P54" s="138" t="s">
        <v>92</v>
      </c>
      <c r="Q54" s="800">
        <f>$R227*'Médias por UF'!FX48</f>
        <v>120839.37504212784</v>
      </c>
      <c r="R54" s="800">
        <f>$R227*'Médias por UF'!FY48</f>
        <v>218028.14088487098</v>
      </c>
      <c r="S54" s="800">
        <f>$R227*'Médias por UF'!FZ48</f>
        <v>303503.09370740718</v>
      </c>
      <c r="T54" s="800">
        <f>$R227*'Médias por UF'!GA48</f>
        <v>365671.63684856868</v>
      </c>
      <c r="U54" s="800">
        <f>$R227*'Médias por UF'!GB48</f>
        <v>424411.93014624494</v>
      </c>
      <c r="V54" s="800">
        <f>$R227*'Médias por UF'!GC48</f>
        <v>481134.33452623396</v>
      </c>
      <c r="W54" s="800">
        <f>$R227*'Médias por UF'!GD48</f>
        <v>534917.18518358469</v>
      </c>
      <c r="X54" s="800">
        <f>$R227*'Médias por UF'!GE48</f>
        <v>593564.90662966494</v>
      </c>
      <c r="Y54" s="800">
        <f>$R227*'Médias por UF'!GF48</f>
        <v>642655.92486714327</v>
      </c>
      <c r="Z54" s="800">
        <f>$R227*'Médias por UF'!GG48</f>
        <v>717095.31842351763</v>
      </c>
      <c r="AA54" s="800">
        <f>$R227*'Médias por UF'!GH48</f>
        <v>772252.50076300139</v>
      </c>
      <c r="AB54" s="800">
        <f>$R227*'Médias por UF'!GI48</f>
        <v>867607.55</v>
      </c>
      <c r="AC54" s="800">
        <f t="shared" si="14"/>
        <v>867607.55</v>
      </c>
      <c r="AE54" s="138" t="s">
        <v>92</v>
      </c>
      <c r="AF54" s="800">
        <f>JAN!$T$20</f>
        <v>75913.848000000056</v>
      </c>
      <c r="AG54" s="800">
        <f>FEV!$T20</f>
        <v>110487.46399999998</v>
      </c>
      <c r="AH54" s="800">
        <f>MAR!$T20</f>
        <v>113339.23200000002</v>
      </c>
      <c r="AI54" s="800">
        <f>ABR!$T20</f>
        <v>70059.26400000001</v>
      </c>
      <c r="AJ54" s="800">
        <f>MAI!$T20</f>
        <v>69937.831999999995</v>
      </c>
      <c r="AK54" s="800">
        <f>JUN!$T20</f>
        <v>58783.287999999993</v>
      </c>
      <c r="AL54" s="800">
        <f>JUL!$T20</f>
        <v>50937.808000000012</v>
      </c>
      <c r="AM54" s="800">
        <f>AGO!$T20</f>
        <v>55525.936000000016</v>
      </c>
      <c r="AN54" s="800">
        <f>SET!$T20</f>
        <v>37285.496000000006</v>
      </c>
      <c r="AO54" s="800">
        <f>OUT!$T20*0</f>
        <v>0</v>
      </c>
      <c r="AP54" s="800">
        <f>NOV!$T20*0</f>
        <v>0</v>
      </c>
      <c r="AQ54" s="800">
        <f>DEZ!$T20*0</f>
        <v>0</v>
      </c>
      <c r="AR54" s="800">
        <f t="shared" si="15"/>
        <v>642270.16800000006</v>
      </c>
    </row>
    <row r="55" spans="1:44">
      <c r="A55" s="137" t="s">
        <v>93</v>
      </c>
      <c r="B55" s="800">
        <f>$C228*'Médias por UF'!FX49</f>
        <v>25329.949639863546</v>
      </c>
      <c r="C55" s="800">
        <f>$C228*'Médias por UF'!FY49</f>
        <v>51274.010505759092</v>
      </c>
      <c r="D55" s="800">
        <f>$C228*'Médias por UF'!FZ49</f>
        <v>71397.284419998105</v>
      </c>
      <c r="E55" s="800">
        <f>$C228*'Médias por UF'!GA49</f>
        <v>87180.074499837443</v>
      </c>
      <c r="F55" s="800">
        <f>$C228*'Médias por UF'!GB49</f>
        <v>103576.02634444225</v>
      </c>
      <c r="G55" s="800">
        <f>$C228*'Médias por UF'!GC49</f>
        <v>118928.77783178972</v>
      </c>
      <c r="H55" s="800">
        <f>$C228*'Médias por UF'!GD49</f>
        <v>134383.1312524883</v>
      </c>
      <c r="I55" s="800">
        <f>$C228*'Médias por UF'!GE49</f>
        <v>148572.47762637009</v>
      </c>
      <c r="J55" s="800">
        <f>$C228*'Médias por UF'!GF49</f>
        <v>161740.40138668413</v>
      </c>
      <c r="K55" s="800">
        <f>$C228*'Médias por UF'!GG49</f>
        <v>178275.43364903808</v>
      </c>
      <c r="L55" s="800">
        <f>$C228*'Médias por UF'!GH49</f>
        <v>188629.06969438525</v>
      </c>
      <c r="M55" s="800">
        <f>$C228*'Médias por UF'!GI49</f>
        <v>200000</v>
      </c>
      <c r="N55" s="800">
        <f t="shared" si="13"/>
        <v>200000</v>
      </c>
      <c r="O55" s="802">
        <f t="shared" si="12"/>
        <v>0</v>
      </c>
      <c r="P55" s="138" t="s">
        <v>93</v>
      </c>
      <c r="Q55" s="800">
        <f>$R228*'Médias por UF'!FX49</f>
        <v>58849.093528752172</v>
      </c>
      <c r="R55" s="800">
        <f>$R228*'Médias por UF'!FY49</f>
        <v>119124.95219093903</v>
      </c>
      <c r="S55" s="800">
        <f>$R228*'Médias por UF'!FZ49</f>
        <v>165877.37158067335</v>
      </c>
      <c r="T55" s="800">
        <f>$R228*'Médias por UF'!GA49</f>
        <v>202545.54118853566</v>
      </c>
      <c r="U55" s="800">
        <f>$R228*'Médias por UF'!GB49</f>
        <v>240638.27004566506</v>
      </c>
      <c r="V55" s="800">
        <f>$R228*'Médias por UF'!GC49</f>
        <v>276307.33062605822</v>
      </c>
      <c r="W55" s="800">
        <f>$R228*'Médias por UF'!GD49</f>
        <v>312212.44306456763</v>
      </c>
      <c r="X55" s="800">
        <f>$R228*'Médias por UF'!GE49</f>
        <v>345178.56355595158</v>
      </c>
      <c r="Y55" s="800">
        <f>$R228*'Médias por UF'!GF49</f>
        <v>375771.6120210244</v>
      </c>
      <c r="Z55" s="800">
        <f>$R228*'Médias por UF'!GG49</f>
        <v>414187.4665309288</v>
      </c>
      <c r="AA55" s="800">
        <f>$R228*'Médias por UF'!GH49</f>
        <v>438242.07795567444</v>
      </c>
      <c r="AB55" s="800">
        <f>$R228*'Médias por UF'!GI49</f>
        <v>464660.17</v>
      </c>
      <c r="AC55" s="800">
        <f t="shared" si="14"/>
        <v>464660.17</v>
      </c>
      <c r="AE55" s="138" t="s">
        <v>93</v>
      </c>
      <c r="AF55" s="800">
        <f>JAN!$T$21</f>
        <v>45186.383999999984</v>
      </c>
      <c r="AG55" s="800">
        <f>FEV!$T21</f>
        <v>50809.495999999999</v>
      </c>
      <c r="AH55" s="800">
        <f>MAR!$T21</f>
        <v>34278.944000000003</v>
      </c>
      <c r="AI55" s="800">
        <f>ABR!$T21</f>
        <v>30799.648000000001</v>
      </c>
      <c r="AJ55" s="800">
        <f>MAI!$T21</f>
        <v>45471.288</v>
      </c>
      <c r="AK55" s="800">
        <f>JUN!$T21</f>
        <v>43926.231999999989</v>
      </c>
      <c r="AL55" s="800">
        <f>JUL!$T21</f>
        <v>25861.935999999987</v>
      </c>
      <c r="AM55" s="800">
        <f>AGO!$T21</f>
        <v>27987.312000000002</v>
      </c>
      <c r="AN55" s="800">
        <f>SET!$T21</f>
        <v>24480.936000000005</v>
      </c>
      <c r="AO55" s="800">
        <f>OUT!$T21*0</f>
        <v>0</v>
      </c>
      <c r="AP55" s="800">
        <f>NOV!$T21*0</f>
        <v>0</v>
      </c>
      <c r="AQ55" s="800">
        <f>DEZ!$T21*0</f>
        <v>0</v>
      </c>
      <c r="AR55" s="800">
        <f t="shared" si="15"/>
        <v>328802.17599999992</v>
      </c>
    </row>
    <row r="56" spans="1:44">
      <c r="A56" s="137" t="s">
        <v>94</v>
      </c>
      <c r="B56" s="800">
        <f>$C229*'Médias por UF'!FX50</f>
        <v>157462.33994847667</v>
      </c>
      <c r="C56" s="800">
        <f>$C229*'Médias por UF'!FY50</f>
        <v>267265.05413950229</v>
      </c>
      <c r="D56" s="800">
        <f>$C229*'Médias por UF'!FZ50</f>
        <v>344072.99843638513</v>
      </c>
      <c r="E56" s="800">
        <f>$C229*'Médias por UF'!GA50</f>
        <v>408752.46073913423</v>
      </c>
      <c r="F56" s="800">
        <f>$C229*'Médias por UF'!GB50</f>
        <v>470128.48391787667</v>
      </c>
      <c r="G56" s="800">
        <f>$C229*'Médias por UF'!GC50</f>
        <v>516116.2118365296</v>
      </c>
      <c r="H56" s="800">
        <f>$C229*'Médias por UF'!GD50</f>
        <v>569039.40955572599</v>
      </c>
      <c r="I56" s="800">
        <f>$C229*'Médias por UF'!GE50</f>
        <v>630266.52066348749</v>
      </c>
      <c r="J56" s="800">
        <f>$C229*'Médias por UF'!GF50</f>
        <v>681670.71909935074</v>
      </c>
      <c r="K56" s="800">
        <f>$C229*'Médias por UF'!GG50</f>
        <v>753103.04199876578</v>
      </c>
      <c r="L56" s="800">
        <f>$C229*'Médias por UF'!GH50</f>
        <v>788971.81357046135</v>
      </c>
      <c r="M56" s="800">
        <f>$C229*'Médias por UF'!GI50</f>
        <v>867607.55</v>
      </c>
      <c r="N56" s="800">
        <f t="shared" si="13"/>
        <v>867607.55</v>
      </c>
      <c r="O56" s="802">
        <f t="shared" si="12"/>
        <v>0</v>
      </c>
      <c r="P56" s="138" t="s">
        <v>94</v>
      </c>
      <c r="Q56" s="800">
        <f>$R229*'Médias por UF'!FX50</f>
        <v>36298.056638275375</v>
      </c>
      <c r="R56" s="800">
        <f>$R229*'Médias por UF'!FY50</f>
        <v>61609.665369901923</v>
      </c>
      <c r="S56" s="800">
        <f>$R229*'Médias por UF'!FZ50</f>
        <v>79315.353684136353</v>
      </c>
      <c r="T56" s="800">
        <f>$R229*'Médias por UF'!GA50</f>
        <v>94225.196804507796</v>
      </c>
      <c r="U56" s="800">
        <f>$R229*'Médias por UF'!GB50</f>
        <v>108373.53453594926</v>
      </c>
      <c r="V56" s="800">
        <f>$R229*'Médias por UF'!GC50</f>
        <v>118974.57827252185</v>
      </c>
      <c r="W56" s="800">
        <f>$R229*'Médias por UF'!GD50</f>
        <v>131174.37937365251</v>
      </c>
      <c r="X56" s="800">
        <f>$R229*'Médias por UF'!GE50</f>
        <v>145288.39004766324</v>
      </c>
      <c r="Y56" s="800">
        <f>$R229*'Médias por UF'!GF50</f>
        <v>157138.03299645116</v>
      </c>
      <c r="Z56" s="800">
        <f>$R229*'Médias por UF'!GG50</f>
        <v>173604.53859553568</v>
      </c>
      <c r="AA56" s="800">
        <f>$R229*'Médias por UF'!GH50</f>
        <v>181872.97092342298</v>
      </c>
      <c r="AB56" s="800">
        <f>$R229*'Médias por UF'!GI50</f>
        <v>200000</v>
      </c>
      <c r="AC56" s="800">
        <f t="shared" si="14"/>
        <v>200000</v>
      </c>
      <c r="AE56" s="138" t="s">
        <v>94</v>
      </c>
      <c r="AF56" s="800">
        <f>JAN!$T$22</f>
        <v>8050.8</v>
      </c>
      <c r="AG56" s="800">
        <f>FEV!$T22</f>
        <v>5731.8799999999937</v>
      </c>
      <c r="AH56" s="800">
        <f>MAR!$T22</f>
        <v>8351.5679999999993</v>
      </c>
      <c r="AI56" s="800">
        <f>ABR!$T22</f>
        <v>5110.7839999999997</v>
      </c>
      <c r="AJ56" s="800">
        <f>MAI!$T22</f>
        <v>4931.3600000000006</v>
      </c>
      <c r="AK56" s="800">
        <f>JUN!$T22</f>
        <v>4263.9679999999998</v>
      </c>
      <c r="AL56" s="800">
        <f>JUL!$T22</f>
        <v>2508.2480000000041</v>
      </c>
      <c r="AM56" s="800">
        <f>AGO!$T22</f>
        <v>7429.5119999999997</v>
      </c>
      <c r="AN56" s="800">
        <f>SET!$T22</f>
        <v>4252.7440000000006</v>
      </c>
      <c r="AO56" s="800">
        <f>OUT!$T22*0</f>
        <v>0</v>
      </c>
      <c r="AP56" s="800">
        <f>NOV!$T22*0</f>
        <v>0</v>
      </c>
      <c r="AQ56" s="800">
        <f>DEZ!$T22*0</f>
        <v>0</v>
      </c>
      <c r="AR56" s="800">
        <f t="shared" si="15"/>
        <v>50630.864000000001</v>
      </c>
    </row>
    <row r="57" spans="1:44">
      <c r="A57" s="137" t="s">
        <v>95</v>
      </c>
      <c r="B57" s="800">
        <f>$C230*'Médias por UF'!FX51</f>
        <v>139664.85722889481</v>
      </c>
      <c r="C57" s="800">
        <f>$C230*'Médias por UF'!FY51</f>
        <v>247479.6768692164</v>
      </c>
      <c r="D57" s="800">
        <f>$C230*'Médias por UF'!FZ51</f>
        <v>343236.54698076524</v>
      </c>
      <c r="E57" s="800">
        <f>$C230*'Médias por UF'!GA51</f>
        <v>414132.77425572486</v>
      </c>
      <c r="F57" s="800">
        <f>$C230*'Médias por UF'!GB51</f>
        <v>488208.80302057369</v>
      </c>
      <c r="G57" s="800">
        <f>$C230*'Médias por UF'!GC51</f>
        <v>573360.02303359925</v>
      </c>
      <c r="H57" s="800">
        <f>$C230*'Médias por UF'!GD51</f>
        <v>684558.01371708862</v>
      </c>
      <c r="I57" s="800">
        <f>$C230*'Médias por UF'!GE51</f>
        <v>792356.06523748278</v>
      </c>
      <c r="J57" s="800">
        <f>$C230*'Médias por UF'!GF51</f>
        <v>884882.24900393328</v>
      </c>
      <c r="K57" s="800">
        <f>$C230*'Médias por UF'!GG51</f>
        <v>1005467.4465442627</v>
      </c>
      <c r="L57" s="800">
        <f>$C230*'Médias por UF'!GH51</f>
        <v>1077675.692291734</v>
      </c>
      <c r="M57" s="800">
        <f>$C230*'Médias por UF'!GI51</f>
        <v>1162226.3400000001</v>
      </c>
      <c r="N57" s="800">
        <f t="shared" si="13"/>
        <v>1162226.3400000001</v>
      </c>
      <c r="O57" s="802">
        <f t="shared" si="12"/>
        <v>0</v>
      </c>
      <c r="P57" s="138" t="s">
        <v>95</v>
      </c>
      <c r="Q57" s="800">
        <f>$R230*'Médias por UF'!FX51</f>
        <v>139664.85722889481</v>
      </c>
      <c r="R57" s="800">
        <f>$R230*'Médias por UF'!FY51</f>
        <v>247479.6768692164</v>
      </c>
      <c r="S57" s="800">
        <f>$R230*'Médias por UF'!FZ51</f>
        <v>343236.54698076524</v>
      </c>
      <c r="T57" s="800">
        <f>$R230*'Médias por UF'!GA51</f>
        <v>414132.77425572486</v>
      </c>
      <c r="U57" s="800">
        <f>$R230*'Médias por UF'!GB51</f>
        <v>488208.80302057369</v>
      </c>
      <c r="V57" s="800">
        <f>$R230*'Médias por UF'!GC51</f>
        <v>573360.02303359925</v>
      </c>
      <c r="W57" s="800">
        <f>$R230*'Médias por UF'!GD51</f>
        <v>684558.01371708862</v>
      </c>
      <c r="X57" s="800">
        <f>$R230*'Médias por UF'!GE51</f>
        <v>792356.06523748278</v>
      </c>
      <c r="Y57" s="800">
        <f>$R230*'Médias por UF'!GF51</f>
        <v>884882.24900393328</v>
      </c>
      <c r="Z57" s="800">
        <f>$R230*'Médias por UF'!GG51</f>
        <v>1005467.4465442627</v>
      </c>
      <c r="AA57" s="800">
        <f>$R230*'Médias por UF'!GH51</f>
        <v>1077675.692291734</v>
      </c>
      <c r="AB57" s="800">
        <f>$R230*'Médias por UF'!GI51</f>
        <v>1162226.3400000001</v>
      </c>
      <c r="AC57" s="800">
        <f t="shared" si="14"/>
        <v>1162226.3400000001</v>
      </c>
      <c r="AE57" s="138" t="s">
        <v>95</v>
      </c>
      <c r="AF57" s="800">
        <f>JAN!$T$23</f>
        <v>92360.152000000002</v>
      </c>
      <c r="AG57" s="800">
        <f>FEV!$T23</f>
        <v>97922.192000000185</v>
      </c>
      <c r="AH57" s="800">
        <f>MAR!$T23</f>
        <v>104439.77600000001</v>
      </c>
      <c r="AI57" s="800">
        <f>ABR!$T23</f>
        <v>72213.2</v>
      </c>
      <c r="AJ57" s="800">
        <f>MAI!$T23</f>
        <v>77149.736000000004</v>
      </c>
      <c r="AK57" s="800">
        <f>JUN!$T23</f>
        <v>65444.231999999938</v>
      </c>
      <c r="AL57" s="800">
        <f>JUL!$T23</f>
        <v>62047.472000000023</v>
      </c>
      <c r="AM57" s="800">
        <f>AGO!$T23</f>
        <v>67534.263999999966</v>
      </c>
      <c r="AN57" s="800">
        <f>SET!$T23</f>
        <v>56911.304000000004</v>
      </c>
      <c r="AO57" s="800">
        <f>OUT!$T23*0</f>
        <v>0</v>
      </c>
      <c r="AP57" s="800">
        <f>NOV!$T23*0</f>
        <v>0</v>
      </c>
      <c r="AQ57" s="800">
        <f>DEZ!$T23*0</f>
        <v>0</v>
      </c>
      <c r="AR57" s="800">
        <f t="shared" si="15"/>
        <v>696022.32800000021</v>
      </c>
    </row>
    <row r="58" spans="1:44">
      <c r="A58" s="137" t="s">
        <v>96</v>
      </c>
      <c r="B58" s="800">
        <f>$C231*'Médias por UF'!FX52</f>
        <v>21366.503422018093</v>
      </c>
      <c r="C58" s="800">
        <f>$C231*'Médias por UF'!FY52</f>
        <v>42859.678325243534</v>
      </c>
      <c r="D58" s="800">
        <f>$C231*'Médias por UF'!FZ52</f>
        <v>61043.985368333764</v>
      </c>
      <c r="E58" s="800">
        <f>$C231*'Médias por UF'!GA52</f>
        <v>77128.738016070187</v>
      </c>
      <c r="F58" s="800">
        <f>$C231*'Médias por UF'!GB52</f>
        <v>92736.445485417906</v>
      </c>
      <c r="G58" s="800">
        <f>$C231*'Médias por UF'!GC52</f>
        <v>106864.96132898824</v>
      </c>
      <c r="H58" s="800">
        <f>$C231*'Médias por UF'!GD52</f>
        <v>122361.8919234136</v>
      </c>
      <c r="I58" s="800">
        <f>$C231*'Médias por UF'!GE52</f>
        <v>135209.51753133564</v>
      </c>
      <c r="J58" s="800">
        <f>$C231*'Médias por UF'!GF52</f>
        <v>145696.08401291427</v>
      </c>
      <c r="K58" s="800">
        <f>$C231*'Médias por UF'!GG52</f>
        <v>165031.88069855675</v>
      </c>
      <c r="L58" s="800">
        <f>$C231*'Médias por UF'!GH52</f>
        <v>177300.11821354827</v>
      </c>
      <c r="M58" s="800">
        <f>$C231*'Médias por UF'!GI52</f>
        <v>193603.36</v>
      </c>
      <c r="N58" s="800">
        <f t="shared" si="13"/>
        <v>193603.36</v>
      </c>
      <c r="O58" s="802">
        <f t="shared" si="12"/>
        <v>0</v>
      </c>
      <c r="P58" s="138" t="s">
        <v>96</v>
      </c>
      <c r="Q58" s="800">
        <f>$R231*'Médias por UF'!FX52</f>
        <v>21366.503422018093</v>
      </c>
      <c r="R58" s="800">
        <f>$R231*'Médias por UF'!FY52</f>
        <v>42859.678325243534</v>
      </c>
      <c r="S58" s="800">
        <f>$R231*'Médias por UF'!FZ52</f>
        <v>61043.985368333764</v>
      </c>
      <c r="T58" s="800">
        <f>$R231*'Médias por UF'!GA52</f>
        <v>77128.738016070187</v>
      </c>
      <c r="U58" s="800">
        <f>$R231*'Médias por UF'!GB52</f>
        <v>92736.445485417906</v>
      </c>
      <c r="V58" s="800">
        <f>$R231*'Médias por UF'!GC52</f>
        <v>106864.96132898824</v>
      </c>
      <c r="W58" s="800">
        <f>$R231*'Médias por UF'!GD52</f>
        <v>122361.8919234136</v>
      </c>
      <c r="X58" s="800">
        <f>$R231*'Médias por UF'!GE52</f>
        <v>135209.51753133564</v>
      </c>
      <c r="Y58" s="800">
        <f>$R231*'Médias por UF'!GF52</f>
        <v>145696.08401291427</v>
      </c>
      <c r="Z58" s="800">
        <f>$R231*'Médias por UF'!GG52</f>
        <v>165031.88069855675</v>
      </c>
      <c r="AA58" s="800">
        <f>$R231*'Médias por UF'!GH52</f>
        <v>177300.11821354827</v>
      </c>
      <c r="AB58" s="800">
        <f>$R231*'Médias por UF'!GI52</f>
        <v>193603.36</v>
      </c>
      <c r="AC58" s="800">
        <f t="shared" si="14"/>
        <v>193603.36</v>
      </c>
      <c r="AE58" s="138" t="s">
        <v>96</v>
      </c>
      <c r="AF58" s="800">
        <f>JAN!$T$24</f>
        <v>13076.752000000004</v>
      </c>
      <c r="AG58" s="800">
        <f>FEV!$T24</f>
        <v>21988.11199999999</v>
      </c>
      <c r="AH58" s="800">
        <f>MAR!$T24</f>
        <v>22676.648000000001</v>
      </c>
      <c r="AI58" s="800">
        <f>ABR!$T24</f>
        <v>17679.295999999998</v>
      </c>
      <c r="AJ58" s="800">
        <f>MAI!$T24</f>
        <v>14261.536000000002</v>
      </c>
      <c r="AK58" s="800">
        <f>JUN!$T24</f>
        <v>11886.383999999998</v>
      </c>
      <c r="AL58" s="800">
        <f>JUL!$T24</f>
        <v>9397.5919999999933</v>
      </c>
      <c r="AM58" s="800">
        <f>AGO!$T24</f>
        <v>11588.807999999997</v>
      </c>
      <c r="AN58" s="800">
        <f>SET!$T24</f>
        <v>10501.048000000003</v>
      </c>
      <c r="AO58" s="800">
        <f>OUT!$T24*0</f>
        <v>0</v>
      </c>
      <c r="AP58" s="800">
        <f>NOV!$T24*0</f>
        <v>0</v>
      </c>
      <c r="AQ58" s="800">
        <f>DEZ!$T24*0</f>
        <v>0</v>
      </c>
      <c r="AR58" s="800">
        <f t="shared" si="15"/>
        <v>133056.17600000001</v>
      </c>
    </row>
    <row r="59" spans="1:44">
      <c r="A59" s="137" t="s">
        <v>97</v>
      </c>
      <c r="B59" s="800">
        <f>$C232*'Médias por UF'!FX53</f>
        <v>10312.70041962243</v>
      </c>
      <c r="C59" s="800">
        <f>$C232*'Médias por UF'!FY53</f>
        <v>18463.775402028499</v>
      </c>
      <c r="D59" s="800">
        <f>$C232*'Médias por UF'!FZ53</f>
        <v>25722.516522804239</v>
      </c>
      <c r="E59" s="800">
        <f>$C232*'Médias por UF'!GA53</f>
        <v>31682.753796668276</v>
      </c>
      <c r="F59" s="800">
        <f>$C232*'Médias por UF'!GB53</f>
        <v>37285.56104149649</v>
      </c>
      <c r="G59" s="800">
        <f>$C232*'Médias por UF'!GC53</f>
        <v>42323.584736908284</v>
      </c>
      <c r="H59" s="800">
        <f>$C232*'Médias por UF'!GD53</f>
        <v>47951.110427167849</v>
      </c>
      <c r="I59" s="800">
        <f>$C232*'Médias por UF'!GE53</f>
        <v>53175.544662123924</v>
      </c>
      <c r="J59" s="800">
        <f>$C232*'Médias por UF'!GF53</f>
        <v>58071.34686379839</v>
      </c>
      <c r="K59" s="800">
        <f>$C232*'Médias por UF'!GG53</f>
        <v>64840.285924804695</v>
      </c>
      <c r="L59" s="800">
        <f>$C232*'Médias por UF'!GH53</f>
        <v>69539.237870557976</v>
      </c>
      <c r="M59" s="800">
        <f>$C232*'Médias por UF'!GI53</f>
        <v>76550.48</v>
      </c>
      <c r="N59" s="800">
        <f t="shared" si="13"/>
        <v>76550.48</v>
      </c>
      <c r="O59" s="802">
        <f t="shared" si="12"/>
        <v>0</v>
      </c>
      <c r="P59" s="138" t="s">
        <v>97</v>
      </c>
      <c r="Q59" s="800">
        <f>$R232*'Médias por UF'!FX53</f>
        <v>228824.42352782053</v>
      </c>
      <c r="R59" s="800">
        <f>$R232*'Médias por UF'!FY53</f>
        <v>409685.39670533827</v>
      </c>
      <c r="S59" s="800">
        <f>$R232*'Médias por UF'!FZ53</f>
        <v>570746.72738636727</v>
      </c>
      <c r="T59" s="800">
        <f>$R232*'Médias por UF'!GA53</f>
        <v>702996.07069958071</v>
      </c>
      <c r="U59" s="800">
        <f>$R232*'Médias por UF'!GB53</f>
        <v>827314.54071892519</v>
      </c>
      <c r="V59" s="800">
        <f>$R232*'Médias por UF'!GC53</f>
        <v>939101.25233798625</v>
      </c>
      <c r="W59" s="800">
        <f>$R232*'Médias por UF'!GD53</f>
        <v>1063968.1901491005</v>
      </c>
      <c r="X59" s="800">
        <f>$R232*'Médias por UF'!GE53</f>
        <v>1179891.0913707966</v>
      </c>
      <c r="Y59" s="800">
        <f>$R232*'Médias por UF'!GF53</f>
        <v>1288522.1066161138</v>
      </c>
      <c r="Z59" s="800">
        <f>$R232*'Médias por UF'!GG53</f>
        <v>1438715.4134615795</v>
      </c>
      <c r="AA59" s="800">
        <f>$R232*'Médias por UF'!GH53</f>
        <v>1542978.5963739841</v>
      </c>
      <c r="AB59" s="800">
        <f>$R232*'Médias por UF'!GI53</f>
        <v>1698548.27</v>
      </c>
      <c r="AC59" s="800">
        <f t="shared" si="14"/>
        <v>1698548.27</v>
      </c>
      <c r="AE59" s="138" t="s">
        <v>97</v>
      </c>
      <c r="AF59" s="800">
        <f>JAN!$T$25</f>
        <v>124074.58399999999</v>
      </c>
      <c r="AG59" s="800">
        <f>FEV!$T25</f>
        <v>120469.47200000007</v>
      </c>
      <c r="AH59" s="800">
        <f>MAR!$T25</f>
        <v>137496.39199999999</v>
      </c>
      <c r="AI59" s="800">
        <f>ABR!$T25</f>
        <v>81205</v>
      </c>
      <c r="AJ59" s="800">
        <f>MAI!$T25</f>
        <v>102612.984</v>
      </c>
      <c r="AK59" s="800">
        <f>JUN!$T25</f>
        <v>99332.463999999978</v>
      </c>
      <c r="AL59" s="800">
        <f>JUL!$T25</f>
        <v>79734.904000000097</v>
      </c>
      <c r="AM59" s="800">
        <f>AGO!$T25</f>
        <v>85678.391999999978</v>
      </c>
      <c r="AN59" s="800">
        <f>SET!$T25</f>
        <v>81375.695999999996</v>
      </c>
      <c r="AO59" s="800">
        <f>OUT!$T25*0</f>
        <v>0</v>
      </c>
      <c r="AP59" s="800">
        <f>NOV!$T25*0</f>
        <v>0</v>
      </c>
      <c r="AQ59" s="800">
        <f>DEZ!$T25*0</f>
        <v>0</v>
      </c>
      <c r="AR59" s="800">
        <f t="shared" si="15"/>
        <v>911979.88800000004</v>
      </c>
    </row>
    <row r="60" spans="1:44">
      <c r="A60" s="137" t="s">
        <v>98</v>
      </c>
      <c r="B60" s="800">
        <f>$C233*'Médias por UF'!FX54</f>
        <v>2013.5060482309539</v>
      </c>
      <c r="C60" s="800">
        <f>$C233*'Médias por UF'!FY54</f>
        <v>3739.3969390045786</v>
      </c>
      <c r="D60" s="800">
        <f>$C233*'Médias por UF'!FZ54</f>
        <v>5345.8148121480681</v>
      </c>
      <c r="E60" s="800">
        <f>$C233*'Médias por UF'!GA54</f>
        <v>6624.4943232590449</v>
      </c>
      <c r="F60" s="800">
        <f>$C233*'Médias por UF'!GB54</f>
        <v>8020.442633477769</v>
      </c>
      <c r="G60" s="800">
        <f>$C233*'Médias por UF'!GC54</f>
        <v>9361.1318916352793</v>
      </c>
      <c r="H60" s="800">
        <f>$C233*'Médias por UF'!GD54</f>
        <v>10468.726812573619</v>
      </c>
      <c r="I60" s="800">
        <f>$C233*'Médias por UF'!GE54</f>
        <v>11578.525778330802</v>
      </c>
      <c r="J60" s="800">
        <f>$C233*'Médias por UF'!GF54</f>
        <v>12423.498009352497</v>
      </c>
      <c r="K60" s="800">
        <f>$C233*'Médias por UF'!GG54</f>
        <v>14079.329389617084</v>
      </c>
      <c r="L60" s="800">
        <f>$C233*'Médias por UF'!GH54</f>
        <v>14898.994369979477</v>
      </c>
      <c r="M60" s="800">
        <f>$C233*'Médias por UF'!GI54</f>
        <v>16201.14</v>
      </c>
      <c r="N60" s="800">
        <f t="shared" si="13"/>
        <v>16201.14</v>
      </c>
      <c r="O60" s="802">
        <f t="shared" si="12"/>
        <v>0</v>
      </c>
      <c r="P60" s="138" t="s">
        <v>98</v>
      </c>
      <c r="Q60" s="800">
        <f>$R233*'Médias por UF'!FX54</f>
        <v>9513.8276982349798</v>
      </c>
      <c r="R60" s="800">
        <f>$R233*'Médias por UF'!FY54</f>
        <v>17668.672117599825</v>
      </c>
      <c r="S60" s="800">
        <f>$R233*'Médias por UF'!FZ54</f>
        <v>25259.005839159741</v>
      </c>
      <c r="T60" s="800">
        <f>$R233*'Médias por UF'!GA54</f>
        <v>31300.773908672789</v>
      </c>
      <c r="U60" s="800">
        <f>$R233*'Médias por UF'!GB54</f>
        <v>37896.637730751492</v>
      </c>
      <c r="V60" s="800">
        <f>$R233*'Médias por UF'!GC54</f>
        <v>44231.402212929992</v>
      </c>
      <c r="W60" s="800">
        <f>$R233*'Médias por UF'!GD54</f>
        <v>49464.794606514151</v>
      </c>
      <c r="X60" s="800">
        <f>$R233*'Médias por UF'!GE54</f>
        <v>54708.601124587309</v>
      </c>
      <c r="Y60" s="800">
        <f>$R233*'Médias por UF'!GF54</f>
        <v>58701.099792667555</v>
      </c>
      <c r="Z60" s="800">
        <f>$R233*'Médias por UF'!GG54</f>
        <v>66524.912620549832</v>
      </c>
      <c r="AA60" s="800">
        <f>$R233*'Médias por UF'!GH54</f>
        <v>70397.83438321171</v>
      </c>
      <c r="AB60" s="800">
        <f>$R233*'Médias por UF'!GI54</f>
        <v>76550.48</v>
      </c>
      <c r="AC60" s="800">
        <f t="shared" si="14"/>
        <v>76550.48</v>
      </c>
      <c r="AE60" s="138" t="s">
        <v>98</v>
      </c>
      <c r="AF60" s="800">
        <f>JAN!$T$26</f>
        <v>8707.5120000000024</v>
      </c>
      <c r="AG60" s="800">
        <f>FEV!$T26</f>
        <v>10929.864000000001</v>
      </c>
      <c r="AH60" s="800">
        <f>MAR!$T26</f>
        <v>10167.608</v>
      </c>
      <c r="AI60" s="800">
        <f>ABR!$T26</f>
        <v>15040.512000000001</v>
      </c>
      <c r="AJ60" s="800">
        <f>MAI!$T26</f>
        <v>11613.936</v>
      </c>
      <c r="AK60" s="800">
        <f>JUN!$T26</f>
        <v>5634.0479999999989</v>
      </c>
      <c r="AL60" s="800">
        <f>JUL!$T26</f>
        <v>5106.2880000000005</v>
      </c>
      <c r="AM60" s="800">
        <f>AGO!$T26</f>
        <v>10729.375999999998</v>
      </c>
      <c r="AN60" s="800">
        <f>SET!$T26</f>
        <v>17595.128000000004</v>
      </c>
      <c r="AO60" s="800">
        <f>OUT!$T26*0</f>
        <v>0</v>
      </c>
      <c r="AP60" s="800">
        <f>NOV!$T26*0</f>
        <v>0</v>
      </c>
      <c r="AQ60" s="800">
        <f>DEZ!$T26*0</f>
        <v>0</v>
      </c>
      <c r="AR60" s="800">
        <f t="shared" si="15"/>
        <v>95524.272000000026</v>
      </c>
    </row>
    <row r="61" spans="1:44">
      <c r="A61" s="137" t="s">
        <v>99</v>
      </c>
      <c r="B61" s="800">
        <f>$C234*'Médias por UF'!FX55</f>
        <v>272489.52215234539</v>
      </c>
      <c r="C61" s="800">
        <f>$C234*'Médias por UF'!FY55</f>
        <v>495894.55764955218</v>
      </c>
      <c r="D61" s="800">
        <f>$C234*'Médias por UF'!FZ55</f>
        <v>625977.80920979346</v>
      </c>
      <c r="E61" s="800">
        <f>$C234*'Médias por UF'!GA55</f>
        <v>768144.6670676549</v>
      </c>
      <c r="F61" s="800">
        <f>$C234*'Médias por UF'!GB55</f>
        <v>865888.02545787103</v>
      </c>
      <c r="G61" s="800">
        <f>$C234*'Médias por UF'!GC55</f>
        <v>1012188.776055836</v>
      </c>
      <c r="H61" s="800">
        <f>$C234*'Médias por UF'!GD55</f>
        <v>1160498.7918625022</v>
      </c>
      <c r="I61" s="800">
        <f>$C234*'Médias por UF'!GE55</f>
        <v>1280268.7804751932</v>
      </c>
      <c r="J61" s="800">
        <f>$C234*'Médias por UF'!GF55</f>
        <v>1377945.8810501166</v>
      </c>
      <c r="K61" s="800">
        <f>$C234*'Médias por UF'!GG55</f>
        <v>1426075.8156427054</v>
      </c>
      <c r="L61" s="800">
        <f>$C234*'Médias por UF'!GH55</f>
        <v>1563956.300061102</v>
      </c>
      <c r="M61" s="800">
        <f>$C234*'Médias por UF'!GI55</f>
        <v>1698548.27</v>
      </c>
      <c r="N61" s="800">
        <f t="shared" si="13"/>
        <v>1698548.27</v>
      </c>
      <c r="O61" s="802">
        <f t="shared" si="12"/>
        <v>0</v>
      </c>
      <c r="P61" s="138" t="s">
        <v>99</v>
      </c>
      <c r="Q61" s="800">
        <f>$R234*'Médias por UF'!FX55</f>
        <v>2599.0670826936516</v>
      </c>
      <c r="R61" s="800">
        <f>$R234*'Médias por UF'!FY55</f>
        <v>4729.9551597191085</v>
      </c>
      <c r="S61" s="800">
        <f>$R234*'Médias por UF'!FZ55</f>
        <v>5970.7188209029546</v>
      </c>
      <c r="T61" s="800">
        <f>$R234*'Médias por UF'!GA55</f>
        <v>7326.7386692616428</v>
      </c>
      <c r="U61" s="800">
        <f>$R234*'Médias por UF'!GB55</f>
        <v>8259.0370686177394</v>
      </c>
      <c r="V61" s="800">
        <f>$R234*'Médias por UF'!GC55</f>
        <v>9654.4869268326693</v>
      </c>
      <c r="W61" s="800">
        <f>$R234*'Médias por UF'!GD55</f>
        <v>11069.101613930146</v>
      </c>
      <c r="X61" s="800">
        <f>$R234*'Médias por UF'!GE55</f>
        <v>12211.495025753888</v>
      </c>
      <c r="Y61" s="800">
        <f>$R234*'Médias por UF'!GF55</f>
        <v>13143.161442987008</v>
      </c>
      <c r="Z61" s="800">
        <f>$R234*'Médias por UF'!GG55</f>
        <v>13602.235713820284</v>
      </c>
      <c r="AA61" s="800">
        <f>$R234*'Médias por UF'!GH55</f>
        <v>14917.371156706617</v>
      </c>
      <c r="AB61" s="800">
        <f>$R234*'Médias por UF'!GI55</f>
        <v>16201.14</v>
      </c>
      <c r="AC61" s="800">
        <f t="shared" si="14"/>
        <v>16201.14</v>
      </c>
      <c r="AE61" s="138" t="s">
        <v>99</v>
      </c>
      <c r="AF61" s="800">
        <f>JAN!$T$27</f>
        <v>779.41600000000039</v>
      </c>
      <c r="AG61" s="800">
        <f>FEV!$T27</f>
        <v>4241.9999999999991</v>
      </c>
      <c r="AH61" s="800">
        <f>MAR!$T27</f>
        <v>2528.1360000000004</v>
      </c>
      <c r="AI61" s="800">
        <f>ABR!$T27</f>
        <v>201.72800000000001</v>
      </c>
      <c r="AJ61" s="800">
        <f>MAI!$T27</f>
        <v>182.84000000000003</v>
      </c>
      <c r="AK61" s="800">
        <f>JUN!$T27</f>
        <v>630.80799999999954</v>
      </c>
      <c r="AL61" s="800">
        <f>JUL!$T27</f>
        <v>192.36800000000005</v>
      </c>
      <c r="AM61" s="800">
        <f>AGO!$T27</f>
        <v>573.31999999999994</v>
      </c>
      <c r="AN61" s="800">
        <f>SET!$T27</f>
        <v>1154.9279999999999</v>
      </c>
      <c r="AO61" s="800">
        <f>OUT!$T27*0</f>
        <v>0</v>
      </c>
      <c r="AP61" s="800">
        <f>NOV!$T27*0</f>
        <v>0</v>
      </c>
      <c r="AQ61" s="800">
        <f>DEZ!$T27*0</f>
        <v>0</v>
      </c>
      <c r="AR61" s="800">
        <f t="shared" si="15"/>
        <v>10485.544</v>
      </c>
    </row>
    <row r="62" spans="1:44">
      <c r="A62" s="137" t="s">
        <v>100</v>
      </c>
      <c r="B62" s="800">
        <f>$C235*'Médias por UF'!FX56</f>
        <v>88220.034612701449</v>
      </c>
      <c r="C62" s="800">
        <f>$C235*'Médias por UF'!FY56</f>
        <v>163498.3171574749</v>
      </c>
      <c r="D62" s="800">
        <f>$C235*'Médias por UF'!FZ56</f>
        <v>228626.57756970421</v>
      </c>
      <c r="E62" s="800">
        <f>$C235*'Médias por UF'!GA56</f>
        <v>276708.57450305764</v>
      </c>
      <c r="F62" s="800">
        <f>$C235*'Médias por UF'!GB56</f>
        <v>327935.30748740502</v>
      </c>
      <c r="G62" s="800">
        <f>$C235*'Médias por UF'!GC56</f>
        <v>375998.36692535045</v>
      </c>
      <c r="H62" s="800">
        <f>$C235*'Médias por UF'!GD56</f>
        <v>428946.46793774544</v>
      </c>
      <c r="I62" s="800">
        <f>$C235*'Médias por UF'!GE56</f>
        <v>484716.18238412315</v>
      </c>
      <c r="J62" s="800">
        <f>$C235*'Médias por UF'!GF56</f>
        <v>532530.99626695213</v>
      </c>
      <c r="K62" s="800">
        <f>$C235*'Médias por UF'!GG56</f>
        <v>603310.11832010129</v>
      </c>
      <c r="L62" s="800">
        <f>$C235*'Médias por UF'!GH56</f>
        <v>645425.06202282826</v>
      </c>
      <c r="M62" s="800">
        <f>$C235*'Médias por UF'!GI56</f>
        <v>700847.52</v>
      </c>
      <c r="N62" s="800">
        <f t="shared" si="13"/>
        <v>700847.52</v>
      </c>
      <c r="O62" s="802">
        <f t="shared" si="12"/>
        <v>0</v>
      </c>
      <c r="P62" s="138" t="s">
        <v>100</v>
      </c>
      <c r="Q62" s="800">
        <f>$R235*'Médias por UF'!FX56</f>
        <v>88220.034612701449</v>
      </c>
      <c r="R62" s="800">
        <f>$R235*'Médias por UF'!FY56</f>
        <v>163498.3171574749</v>
      </c>
      <c r="S62" s="800">
        <f>$R235*'Médias por UF'!FZ56</f>
        <v>228626.57756970421</v>
      </c>
      <c r="T62" s="800">
        <f>$R235*'Médias por UF'!GA56</f>
        <v>276708.57450305764</v>
      </c>
      <c r="U62" s="800">
        <f>$R235*'Médias por UF'!GB56</f>
        <v>327935.30748740502</v>
      </c>
      <c r="V62" s="800">
        <f>$R235*'Médias por UF'!GC56</f>
        <v>375998.36692535045</v>
      </c>
      <c r="W62" s="800">
        <f>$R235*'Médias por UF'!GD56</f>
        <v>428946.46793774544</v>
      </c>
      <c r="X62" s="800">
        <f>$R235*'Médias por UF'!GE56</f>
        <v>484716.18238412315</v>
      </c>
      <c r="Y62" s="800">
        <f>$R235*'Médias por UF'!GF56</f>
        <v>532530.99626695213</v>
      </c>
      <c r="Z62" s="800">
        <f>$R235*'Médias por UF'!GG56</f>
        <v>603310.11832010129</v>
      </c>
      <c r="AA62" s="800">
        <f>$R235*'Médias por UF'!GH56</f>
        <v>645425.06202282826</v>
      </c>
      <c r="AB62" s="800">
        <f>$R235*'Médias por UF'!GI56</f>
        <v>700847.52</v>
      </c>
      <c r="AC62" s="800">
        <f t="shared" si="14"/>
        <v>700847.52</v>
      </c>
      <c r="AE62" s="138" t="s">
        <v>100</v>
      </c>
      <c r="AF62" s="800">
        <f>JAN!$T$28</f>
        <v>85075.73599999999</v>
      </c>
      <c r="AG62" s="800">
        <f>FEV!$T28</f>
        <v>106951.984</v>
      </c>
      <c r="AH62" s="800">
        <f>MAR!$T28</f>
        <v>90482.296000000002</v>
      </c>
      <c r="AI62" s="800">
        <f>ABR!$T28</f>
        <v>58745.464000000007</v>
      </c>
      <c r="AJ62" s="800">
        <f>MAI!$T28</f>
        <v>110921.58399999999</v>
      </c>
      <c r="AK62" s="800">
        <f>JUN!$T28</f>
        <v>95189.280000000028</v>
      </c>
      <c r="AL62" s="800">
        <f>JUL!$T28</f>
        <v>88985.712000000014</v>
      </c>
      <c r="AM62" s="800">
        <f>AGO!$T28</f>
        <v>88286.208000000013</v>
      </c>
      <c r="AN62" s="800">
        <f>SET!$T28</f>
        <v>65683.823999999993</v>
      </c>
      <c r="AO62" s="800">
        <f>OUT!$T28*0</f>
        <v>0</v>
      </c>
      <c r="AP62" s="800">
        <f>NOV!$T28*0</f>
        <v>0</v>
      </c>
      <c r="AQ62" s="800">
        <f>DEZ!$T28*0</f>
        <v>0</v>
      </c>
      <c r="AR62" s="800">
        <f t="shared" si="15"/>
        <v>790322.08800000011</v>
      </c>
    </row>
    <row r="63" spans="1:44">
      <c r="A63" s="137" t="s">
        <v>101</v>
      </c>
      <c r="B63" s="800">
        <f>$C236*'Médias por UF'!FX57</f>
        <v>7729.3879575172823</v>
      </c>
      <c r="C63" s="800">
        <f>$C236*'Médias por UF'!FY57</f>
        <v>14536.473350191491</v>
      </c>
      <c r="D63" s="800">
        <f>$C236*'Médias por UF'!FZ57</f>
        <v>20455.274880395526</v>
      </c>
      <c r="E63" s="800">
        <f>$C236*'Médias por UF'!GA57</f>
        <v>24883.207782898884</v>
      </c>
      <c r="F63" s="800">
        <f>$C236*'Médias por UF'!GB57</f>
        <v>29424.705382012664</v>
      </c>
      <c r="G63" s="800">
        <f>$C236*'Médias por UF'!GC57</f>
        <v>34300.52376545404</v>
      </c>
      <c r="H63" s="800">
        <f>$C236*'Médias por UF'!GD57</f>
        <v>41596.584481700018</v>
      </c>
      <c r="I63" s="800">
        <f>$C236*'Médias por UF'!GE57</f>
        <v>48869.591298308747</v>
      </c>
      <c r="J63" s="800">
        <f>$C236*'Médias por UF'!GF57</f>
        <v>54950.446134509497</v>
      </c>
      <c r="K63" s="800">
        <f>$C236*'Médias por UF'!GG57</f>
        <v>62177.427845285929</v>
      </c>
      <c r="L63" s="800">
        <f>$C236*'Médias por UF'!GH57</f>
        <v>66847.519008766132</v>
      </c>
      <c r="M63" s="800">
        <f>$C236*'Médias por UF'!GI57</f>
        <v>73005.62</v>
      </c>
      <c r="N63" s="800">
        <f t="shared" si="13"/>
        <v>73005.62</v>
      </c>
      <c r="O63" s="802">
        <f t="shared" si="12"/>
        <v>0</v>
      </c>
      <c r="P63" s="138" t="s">
        <v>101</v>
      </c>
      <c r="Q63" s="800">
        <f>$R236*'Médias por UF'!FX57</f>
        <v>429267.31481459923</v>
      </c>
      <c r="R63" s="800">
        <f>$R236*'Médias por UF'!FY57</f>
        <v>807312.67678728502</v>
      </c>
      <c r="S63" s="800">
        <f>$R236*'Médias por UF'!FZ57</f>
        <v>1136025.3838936999</v>
      </c>
      <c r="T63" s="800">
        <f>$R236*'Médias por UF'!GA57</f>
        <v>1381939.6629652041</v>
      </c>
      <c r="U63" s="800">
        <f>$R236*'Médias por UF'!GB57</f>
        <v>1634160.9889386925</v>
      </c>
      <c r="V63" s="800">
        <f>$R236*'Médias por UF'!GC57</f>
        <v>1904949.5011064569</v>
      </c>
      <c r="W63" s="800">
        <f>$R236*'Médias por UF'!GD57</f>
        <v>2310151.1043383372</v>
      </c>
      <c r="X63" s="800">
        <f>$R236*'Médias por UF'!GE57</f>
        <v>2714072.3622637484</v>
      </c>
      <c r="Y63" s="800">
        <f>$R236*'Médias por UF'!GF57</f>
        <v>3051785.0300273825</v>
      </c>
      <c r="Z63" s="800">
        <f>$R236*'Médias por UF'!GG57</f>
        <v>3453150.1898887195</v>
      </c>
      <c r="AA63" s="800">
        <f>$R236*'Médias por UF'!GH57</f>
        <v>3712513.2215679386</v>
      </c>
      <c r="AB63" s="800">
        <f>$R236*'Médias por UF'!GI57</f>
        <v>4054515.912</v>
      </c>
      <c r="AC63" s="800">
        <f t="shared" si="14"/>
        <v>4054515.912</v>
      </c>
      <c r="AE63" s="138" t="s">
        <v>101</v>
      </c>
      <c r="AF63" s="800">
        <f>JAN!$T$29</f>
        <v>411876.2800000002</v>
      </c>
      <c r="AG63" s="800">
        <f>FEV!$T29</f>
        <v>513328.43200000003</v>
      </c>
      <c r="AH63" s="800">
        <f>MAR!$T29</f>
        <v>520882.19200000004</v>
      </c>
      <c r="AI63" s="800">
        <f>ABR!$T29</f>
        <v>345118.984</v>
      </c>
      <c r="AJ63" s="800">
        <f>MAI!$T29</f>
        <v>399717.19200000004</v>
      </c>
      <c r="AK63" s="800">
        <f>JUN!$T29</f>
        <v>325029.02399999986</v>
      </c>
      <c r="AL63" s="800">
        <f>JUL!$T29</f>
        <v>279459.55199999979</v>
      </c>
      <c r="AM63" s="800">
        <f>AGO!$T29</f>
        <v>324729.82399999996</v>
      </c>
      <c r="AN63" s="800">
        <f>SET!$T29</f>
        <v>263065.52</v>
      </c>
      <c r="AO63" s="800">
        <f>OUT!$T29*0</f>
        <v>0</v>
      </c>
      <c r="AP63" s="800">
        <f>NOV!$T29*0</f>
        <v>0</v>
      </c>
      <c r="AQ63" s="800">
        <f>DEZ!$T29*0</f>
        <v>0</v>
      </c>
      <c r="AR63" s="800">
        <f t="shared" si="15"/>
        <v>3383206.9999999995</v>
      </c>
    </row>
    <row r="64" spans="1:44">
      <c r="A64" s="137" t="s">
        <v>102</v>
      </c>
      <c r="B64" s="800">
        <f>$C237*'Médias por UF'!FX58</f>
        <v>364429.10824507044</v>
      </c>
      <c r="C64" s="800">
        <f>$C237*'Médias por UF'!FY58</f>
        <v>827257.909950634</v>
      </c>
      <c r="D64" s="800">
        <f>$C237*'Médias por UF'!FZ58</f>
        <v>1198831.2431005489</v>
      </c>
      <c r="E64" s="800">
        <f>$C237*'Médias por UF'!GA58</f>
        <v>1514333.5482713191</v>
      </c>
      <c r="F64" s="800">
        <f>$C237*'Médias por UF'!GB58</f>
        <v>1820209.8952408517</v>
      </c>
      <c r="G64" s="800">
        <f>$C237*'Médias por UF'!GC58</f>
        <v>2167362.1115776855</v>
      </c>
      <c r="H64" s="800">
        <f>$C237*'Médias por UF'!GD58</f>
        <v>2524600.1838225657</v>
      </c>
      <c r="I64" s="800">
        <f>$C237*'Médias por UF'!GE58</f>
        <v>2880765.2784346533</v>
      </c>
      <c r="J64" s="800">
        <f>$C237*'Médias por UF'!GF58</f>
        <v>3161017.4951041276</v>
      </c>
      <c r="K64" s="800">
        <f>$C237*'Médias por UF'!GG58</f>
        <v>3489058.2079554372</v>
      </c>
      <c r="L64" s="800">
        <f>$C237*'Médias por UF'!GH58</f>
        <v>3787103.1372804232</v>
      </c>
      <c r="M64" s="800">
        <f>$C237*'Médias por UF'!GI58</f>
        <v>4054515.912</v>
      </c>
      <c r="N64" s="800">
        <f t="shared" si="13"/>
        <v>4054515.912</v>
      </c>
      <c r="O64" s="802">
        <f t="shared" si="12"/>
        <v>0</v>
      </c>
      <c r="P64" s="138" t="s">
        <v>102</v>
      </c>
      <c r="Q64" s="800">
        <f>$R237*'Médias por UF'!FX58</f>
        <v>6561.911106264386</v>
      </c>
      <c r="R64" s="800">
        <f>$R237*'Médias por UF'!FY58</f>
        <v>14895.607250449531</v>
      </c>
      <c r="S64" s="800">
        <f>$R237*'Médias por UF'!FZ58</f>
        <v>21586.157281783602</v>
      </c>
      <c r="T64" s="800">
        <f>$R237*'Médias por UF'!GA58</f>
        <v>27267.092293593538</v>
      </c>
      <c r="U64" s="800">
        <f>$R237*'Médias por UF'!GB58</f>
        <v>32774.702286627362</v>
      </c>
      <c r="V64" s="800">
        <f>$R237*'Médias por UF'!GC58</f>
        <v>39025.525649543459</v>
      </c>
      <c r="W64" s="800">
        <f>$R237*'Médias por UF'!GD58</f>
        <v>45457.95495008045</v>
      </c>
      <c r="X64" s="800">
        <f>$R237*'Médias por UF'!GE58</f>
        <v>51871.064213644277</v>
      </c>
      <c r="Y64" s="800">
        <f>$R237*'Médias por UF'!GF58</f>
        <v>56917.28607548841</v>
      </c>
      <c r="Z64" s="800">
        <f>$R237*'Médias por UF'!GG58</f>
        <v>62823.987676059609</v>
      </c>
      <c r="AA64" s="800">
        <f>$R237*'Médias por UF'!GH58</f>
        <v>68190.585150452942</v>
      </c>
      <c r="AB64" s="800">
        <f>$R237*'Médias por UF'!GI58</f>
        <v>73005.62</v>
      </c>
      <c r="AC64" s="800">
        <f t="shared" si="14"/>
        <v>73005.62</v>
      </c>
      <c r="AE64" s="138" t="s">
        <v>102</v>
      </c>
      <c r="AF64" s="800">
        <f>JAN!$T$30</f>
        <v>11842.119999999995</v>
      </c>
      <c r="AG64" s="800">
        <f>FEV!$T30</f>
        <v>18528.352000000014</v>
      </c>
      <c r="AH64" s="800">
        <f>MAR!$T30</f>
        <v>15698.032000000001</v>
      </c>
      <c r="AI64" s="800">
        <f>ABR!$T30</f>
        <v>10193.976000000001</v>
      </c>
      <c r="AJ64" s="800">
        <f>MAI!$T30</f>
        <v>10310.168000000001</v>
      </c>
      <c r="AK64" s="800">
        <f>JUN!$T30</f>
        <v>16579.735999999986</v>
      </c>
      <c r="AL64" s="800">
        <f>JUL!$T30</f>
        <v>7572.1440000000002</v>
      </c>
      <c r="AM64" s="800">
        <f>AGO!$T30</f>
        <v>7129.5679999999993</v>
      </c>
      <c r="AN64" s="800">
        <f>SET!$T30</f>
        <v>6730.3919999999989</v>
      </c>
      <c r="AO64" s="800">
        <f>OUT!$T30*0</f>
        <v>0</v>
      </c>
      <c r="AP64" s="800">
        <f>NOV!$T30*0</f>
        <v>0</v>
      </c>
      <c r="AQ64" s="800">
        <f>DEZ!$T30*0</f>
        <v>0</v>
      </c>
      <c r="AR64" s="800">
        <f t="shared" si="15"/>
        <v>104584.488</v>
      </c>
    </row>
    <row r="65" spans="1:45">
      <c r="A65" s="137" t="s">
        <v>103</v>
      </c>
      <c r="B65" s="800">
        <f>$C238*'Médias por UF'!FX59</f>
        <v>4284.3351863326416</v>
      </c>
      <c r="C65" s="800">
        <f>$C238*'Médias por UF'!FY59</f>
        <v>9548.6365617746269</v>
      </c>
      <c r="D65" s="800">
        <f>$C238*'Médias por UF'!FZ59</f>
        <v>14616.929438422827</v>
      </c>
      <c r="E65" s="800">
        <f>$C238*'Médias por UF'!GA59</f>
        <v>17984.13105620772</v>
      </c>
      <c r="F65" s="800">
        <f>$C238*'Médias por UF'!GB59</f>
        <v>23253.830884967148</v>
      </c>
      <c r="G65" s="800">
        <f>$C238*'Médias por UF'!GC59</f>
        <v>27990.423703661068</v>
      </c>
      <c r="H65" s="800">
        <f>$C238*'Médias por UF'!GD59</f>
        <v>32429.26946605249</v>
      </c>
      <c r="I65" s="800">
        <f>$C238*'Médias por UF'!GE59</f>
        <v>39106.461200349579</v>
      </c>
      <c r="J65" s="800">
        <f>$C238*'Médias por UF'!GF59</f>
        <v>41948.884690546016</v>
      </c>
      <c r="K65" s="800">
        <f>$C238*'Médias por UF'!GG59</f>
        <v>46380.579157911125</v>
      </c>
      <c r="L65" s="800">
        <f>$C238*'Médias por UF'!GH59</f>
        <v>48481.770519564678</v>
      </c>
      <c r="M65" s="800">
        <f>$C238*'Médias por UF'!GI59</f>
        <v>50794.41</v>
      </c>
      <c r="N65" s="800">
        <f t="shared" si="13"/>
        <v>50794.41</v>
      </c>
      <c r="O65" s="802">
        <f t="shared" si="12"/>
        <v>0</v>
      </c>
      <c r="P65" s="138" t="s">
        <v>103</v>
      </c>
      <c r="Q65" s="800">
        <f>$R238*'Médias por UF'!FX59</f>
        <v>4284.3351863326416</v>
      </c>
      <c r="R65" s="800">
        <f>$R238*'Médias por UF'!FY59</f>
        <v>9548.6365617746269</v>
      </c>
      <c r="S65" s="800">
        <f>$R238*'Médias por UF'!FZ59</f>
        <v>14616.929438422827</v>
      </c>
      <c r="T65" s="800">
        <f>$R238*'Médias por UF'!GA59</f>
        <v>17984.13105620772</v>
      </c>
      <c r="U65" s="800">
        <f>$R238*'Médias por UF'!GB59</f>
        <v>23253.830884967148</v>
      </c>
      <c r="V65" s="800">
        <f>$R238*'Médias por UF'!GC59</f>
        <v>27990.423703661068</v>
      </c>
      <c r="W65" s="800">
        <f>$R238*'Médias por UF'!GD59</f>
        <v>32429.26946605249</v>
      </c>
      <c r="X65" s="800">
        <f>$R238*'Médias por UF'!GE59</f>
        <v>39106.461200349579</v>
      </c>
      <c r="Y65" s="800">
        <f>$R238*'Médias por UF'!GF59</f>
        <v>41948.884690546016</v>
      </c>
      <c r="Z65" s="800">
        <f>$R238*'Médias por UF'!GG59</f>
        <v>46380.579157911125</v>
      </c>
      <c r="AA65" s="800">
        <f>$R238*'Médias por UF'!GH59</f>
        <v>48481.770519564678</v>
      </c>
      <c r="AB65" s="800">
        <f>$R238*'Médias por UF'!GI59</f>
        <v>50794.41</v>
      </c>
      <c r="AC65" s="800">
        <f t="shared" si="14"/>
        <v>50794.41</v>
      </c>
      <c r="AE65" s="138" t="s">
        <v>103</v>
      </c>
      <c r="AF65" s="800">
        <f>JAN!$T$31</f>
        <v>4399.840000000002</v>
      </c>
      <c r="AG65" s="800">
        <f>FEV!$T31</f>
        <v>5992.0079999999962</v>
      </c>
      <c r="AH65" s="800">
        <f>MAR!$T31</f>
        <v>6929.0880000000006</v>
      </c>
      <c r="AI65" s="800">
        <f>ABR!$T31</f>
        <v>5162.6480000000001</v>
      </c>
      <c r="AJ65" s="800">
        <f>MAI!$T31</f>
        <v>2883.0240000000003</v>
      </c>
      <c r="AK65" s="800">
        <f>JUN!$T31</f>
        <v>4467.2320000000063</v>
      </c>
      <c r="AL65" s="800">
        <f>JUL!$T31</f>
        <v>3918.8399999999997</v>
      </c>
      <c r="AM65" s="800">
        <f>AGO!$T31</f>
        <v>2999.8720000000017</v>
      </c>
      <c r="AN65" s="800">
        <f>SET!$T31</f>
        <v>1447.1520000000005</v>
      </c>
      <c r="AO65" s="800">
        <f>OUT!$T31*0</f>
        <v>0</v>
      </c>
      <c r="AP65" s="800">
        <f>NOV!$T31*0</f>
        <v>0</v>
      </c>
      <c r="AQ65" s="800">
        <f>DEZ!$T31*0</f>
        <v>0</v>
      </c>
      <c r="AR65" s="800">
        <f t="shared" si="15"/>
        <v>38199.704000000012</v>
      </c>
    </row>
    <row r="66" spans="1:45">
      <c r="A66" s="805" t="s">
        <v>37</v>
      </c>
      <c r="B66" s="806">
        <f>SUM(B39:B65)</f>
        <v>1623902.5372317422</v>
      </c>
      <c r="C66" s="806">
        <f t="shared" ref="C66:D66" si="16">SUM(C39:C65)</f>
        <v>3139456.0878879451</v>
      </c>
      <c r="D66" s="806">
        <f t="shared" si="16"/>
        <v>4355006.0109368414</v>
      </c>
      <c r="E66" s="806">
        <f>SUM(E39:E65)</f>
        <v>5366333.0988962073</v>
      </c>
      <c r="F66" s="806">
        <f t="shared" ref="F66:N66" si="17">SUM(F39:F65)</f>
        <v>6308056.9706306169</v>
      </c>
      <c r="G66" s="806">
        <f t="shared" si="17"/>
        <v>7344252.3458811864</v>
      </c>
      <c r="H66" s="806">
        <f t="shared" si="17"/>
        <v>8454884.4353768583</v>
      </c>
      <c r="I66" s="806">
        <f t="shared" si="17"/>
        <v>9539930.7058448419</v>
      </c>
      <c r="J66" s="806">
        <f t="shared" si="17"/>
        <v>10445334.421460204</v>
      </c>
      <c r="K66" s="806">
        <f t="shared" si="17"/>
        <v>11531468.182786789</v>
      </c>
      <c r="L66" s="806">
        <f t="shared" si="17"/>
        <v>12417276.546292894</v>
      </c>
      <c r="M66" s="806">
        <f t="shared" si="17"/>
        <v>13422753.852</v>
      </c>
      <c r="N66" s="806">
        <f t="shared" si="17"/>
        <v>13422753.852</v>
      </c>
      <c r="P66" s="807" t="s">
        <v>37</v>
      </c>
      <c r="Q66" s="806">
        <f>SUM(Q39:Q65)</f>
        <v>1627330.0730476826</v>
      </c>
      <c r="R66" s="806">
        <f t="shared" ref="R66:S66" si="18">SUM(R39:R65)</f>
        <v>3009655.6006140807</v>
      </c>
      <c r="S66" s="806">
        <f t="shared" si="18"/>
        <v>4217121.6158736134</v>
      </c>
      <c r="T66" s="806">
        <f>SUM(T39:T65)</f>
        <v>5149851.5789851118</v>
      </c>
      <c r="U66" s="806">
        <f t="shared" ref="U66:AC66" si="19">SUM(U39:U65)</f>
        <v>6064153.0936410651</v>
      </c>
      <c r="V66" s="806">
        <f t="shared" si="19"/>
        <v>6991015.8602950349</v>
      </c>
      <c r="W66" s="806">
        <f t="shared" si="19"/>
        <v>8120454.4339340255</v>
      </c>
      <c r="X66" s="806">
        <f t="shared" si="19"/>
        <v>9236441.9194079451</v>
      </c>
      <c r="Y66" s="806">
        <f t="shared" si="19"/>
        <v>10212563.2872892</v>
      </c>
      <c r="Z66" s="806">
        <f t="shared" si="19"/>
        <v>11485706.275870973</v>
      </c>
      <c r="AA66" s="806">
        <f t="shared" si="19"/>
        <v>12319019.704461254</v>
      </c>
      <c r="AB66" s="806">
        <f t="shared" si="19"/>
        <v>13422753.852</v>
      </c>
      <c r="AC66" s="806">
        <f t="shared" si="19"/>
        <v>13422753.852</v>
      </c>
      <c r="AE66" s="807" t="s">
        <v>37</v>
      </c>
      <c r="AF66" s="806">
        <f>SUM(AF39:AF65)</f>
        <v>1299901.6480000003</v>
      </c>
      <c r="AG66" s="806">
        <f t="shared" ref="AG66:AH66" si="20">SUM(AG39:AG65)</f>
        <v>1519660.9280000001</v>
      </c>
      <c r="AH66" s="806">
        <f t="shared" si="20"/>
        <v>1606809.176</v>
      </c>
      <c r="AI66" s="806">
        <f>SUM(AI39:AI65)</f>
        <v>1085070.8800000001</v>
      </c>
      <c r="AJ66" s="806">
        <f t="shared" ref="AJ66:AR66" si="21">SUM(AJ39:AJ65)</f>
        <v>1289522.7520000001</v>
      </c>
      <c r="AK66" s="806">
        <f t="shared" si="21"/>
        <v>1132395.3039999998</v>
      </c>
      <c r="AL66" s="806">
        <f t="shared" si="21"/>
        <v>969793.41600000008</v>
      </c>
      <c r="AM66" s="806">
        <f t="shared" si="21"/>
        <v>1128397.6719999998</v>
      </c>
      <c r="AN66" s="806">
        <f t="shared" si="21"/>
        <v>921158.92</v>
      </c>
      <c r="AO66" s="806">
        <f t="shared" si="21"/>
        <v>0</v>
      </c>
      <c r="AP66" s="806">
        <f t="shared" si="21"/>
        <v>0</v>
      </c>
      <c r="AQ66" s="806">
        <f t="shared" si="21"/>
        <v>0</v>
      </c>
      <c r="AR66" s="806">
        <f t="shared" si="21"/>
        <v>10952710.696</v>
      </c>
      <c r="AS66" s="802" t="b">
        <f>AR66='Anuid PF'!AR32</f>
        <v>1</v>
      </c>
    </row>
    <row r="67" spans="1:45">
      <c r="N67" s="802">
        <f>N66-SUM(C212:C238)</f>
        <v>0</v>
      </c>
      <c r="Q67" s="802">
        <f>Q66</f>
        <v>1627330.0730476826</v>
      </c>
      <c r="R67" s="802">
        <f t="shared" ref="R67:AB67" si="22">R66-Q66</f>
        <v>1382325.527566398</v>
      </c>
      <c r="S67" s="802">
        <f t="shared" si="22"/>
        <v>1207466.0152595327</v>
      </c>
      <c r="T67" s="802">
        <f t="shared" si="22"/>
        <v>932729.96311149839</v>
      </c>
      <c r="U67" s="802">
        <f t="shared" si="22"/>
        <v>914301.51465595327</v>
      </c>
      <c r="V67" s="802">
        <f t="shared" si="22"/>
        <v>926862.76665396988</v>
      </c>
      <c r="W67" s="802">
        <f t="shared" si="22"/>
        <v>1129438.5736389905</v>
      </c>
      <c r="X67" s="802">
        <f t="shared" si="22"/>
        <v>1115987.4854739197</v>
      </c>
      <c r="Y67" s="802">
        <f t="shared" si="22"/>
        <v>976121.36788125522</v>
      </c>
      <c r="Z67" s="802">
        <f t="shared" si="22"/>
        <v>1273142.9885817729</v>
      </c>
      <c r="AA67" s="802">
        <f t="shared" si="22"/>
        <v>833313.42859028094</v>
      </c>
      <c r="AB67" s="802">
        <f t="shared" si="22"/>
        <v>1103734.1475387458</v>
      </c>
      <c r="AC67" s="802">
        <f>SUM(Q67:AB67)</f>
        <v>13422753.852</v>
      </c>
      <c r="AR67" s="802">
        <f>AR66-'TOTAL POR UF'!C32</f>
        <v>0</v>
      </c>
    </row>
    <row r="68" spans="1:45">
      <c r="A68" s="137" t="s">
        <v>224</v>
      </c>
      <c r="B68" s="800">
        <f>$C$239*'Médias por UF'!FX60</f>
        <v>413838.02194596548</v>
      </c>
      <c r="C68" s="800">
        <f>$C$239*'Médias por UF'!FY60</f>
        <v>775622.08192169014</v>
      </c>
      <c r="D68" s="800">
        <f>$C$239*'Médias por UF'!FZ60</f>
        <v>1087040.4179548987</v>
      </c>
      <c r="E68" s="800">
        <f>$C$239*'Médias por UF'!GA60</f>
        <v>1333521.056799917</v>
      </c>
      <c r="F68" s="800">
        <f>$C$239*'Médias por UF'!GB60</f>
        <v>1575292.0282325388</v>
      </c>
      <c r="G68" s="800">
        <f>$C$239*'Médias por UF'!GC60</f>
        <v>1822102.2143918581</v>
      </c>
      <c r="H68" s="800">
        <f>$C$239*'Médias por UF'!GD60</f>
        <v>2085760.0671372896</v>
      </c>
      <c r="I68" s="800">
        <f>$C$239*'Médias por UF'!GE60</f>
        <v>2353599.5374366236</v>
      </c>
      <c r="J68" s="800">
        <f>$C$239*'Médias por UF'!GF60</f>
        <v>2581445.6365725389</v>
      </c>
      <c r="K68" s="800">
        <f>$C$239*'Médias por UF'!GG60</f>
        <v>2884365.0757520455</v>
      </c>
      <c r="L68" s="800">
        <f>$C$239*'Médias por UF'!GH60</f>
        <v>3085040.3955559926</v>
      </c>
      <c r="M68" s="800">
        <f>$C$239*'Médias por UF'!GI60</f>
        <v>3338414.43</v>
      </c>
      <c r="N68" s="800">
        <f t="shared" ref="N68" si="23">M68</f>
        <v>3338414.43</v>
      </c>
      <c r="O68" s="802">
        <f>N68-C239</f>
        <v>0</v>
      </c>
      <c r="P68" s="137" t="s">
        <v>224</v>
      </c>
      <c r="Q68" s="800">
        <f>$R$239*'Médias por UF'!FX60</f>
        <v>413838.02194596548</v>
      </c>
      <c r="R68" s="800">
        <f>$R$239*'Médias por UF'!FY60</f>
        <v>775622.08192169014</v>
      </c>
      <c r="S68" s="800">
        <f>$R$239*'Médias por UF'!FZ60</f>
        <v>1087040.4179548987</v>
      </c>
      <c r="T68" s="800">
        <f>$R$239*'Médias por UF'!GA60</f>
        <v>1333521.056799917</v>
      </c>
      <c r="U68" s="800">
        <f>$R$239*'Médias por UF'!GB60</f>
        <v>1575292.0282325388</v>
      </c>
      <c r="V68" s="800">
        <f>$R$239*'Médias por UF'!GC60</f>
        <v>1822102.2143918581</v>
      </c>
      <c r="W68" s="800">
        <f>$R$239*'Médias por UF'!GD60</f>
        <v>2085760.0671372896</v>
      </c>
      <c r="X68" s="800">
        <f>$R$239*'Médias por UF'!GE60</f>
        <v>2353599.5374366236</v>
      </c>
      <c r="Y68" s="800">
        <f>$R$239*'Médias por UF'!GF60</f>
        <v>2581445.6365725389</v>
      </c>
      <c r="Z68" s="800">
        <f>$R$239*'Médias por UF'!GG60</f>
        <v>2884365.0757520455</v>
      </c>
      <c r="AA68" s="800">
        <f>$R$239*'Médias por UF'!GH60</f>
        <v>3085040.3955559926</v>
      </c>
      <c r="AB68" s="800">
        <f>$R$239*'Médias por UF'!GI60</f>
        <v>3338414.43</v>
      </c>
      <c r="AC68" s="800">
        <f>AB68</f>
        <v>3338414.43</v>
      </c>
      <c r="AE68" s="138" t="s">
        <v>224</v>
      </c>
      <c r="AF68" s="800">
        <f>JAN!$T$67</f>
        <v>324975.41200000007</v>
      </c>
      <c r="AG68" s="800">
        <f>FEV!$T$67</f>
        <v>379915.23200000002</v>
      </c>
      <c r="AH68" s="800">
        <f>MAR!$T$67</f>
        <v>401702.29399999999</v>
      </c>
      <c r="AI68" s="800">
        <f>ABR!$T$67</f>
        <v>271267.72000000003</v>
      </c>
      <c r="AJ68" s="800">
        <f>MAI!$T$67</f>
        <v>322380.68800000002</v>
      </c>
      <c r="AK68" s="800">
        <f>JUN!$T$67</f>
        <v>283098.82599999994</v>
      </c>
      <c r="AL68" s="800">
        <f>JUL!$T$67</f>
        <v>242448.35400000002</v>
      </c>
      <c r="AM68" s="800">
        <f>AGO!$T$67</f>
        <v>282099.41799999995</v>
      </c>
      <c r="AN68" s="800">
        <f>SET!$T$67</f>
        <v>230289.73</v>
      </c>
      <c r="AO68" s="800">
        <f>OUT!$T$67*0</f>
        <v>0</v>
      </c>
      <c r="AP68" s="800">
        <f>NOV!$T$67*0</f>
        <v>0</v>
      </c>
      <c r="AQ68" s="800">
        <f>DEZ!$T$67*0</f>
        <v>0</v>
      </c>
      <c r="AR68" s="800">
        <f t="shared" ref="AR68" si="24">SUM(AF68:AQ68)</f>
        <v>2738177.6740000001</v>
      </c>
      <c r="AS68" s="802" t="b">
        <f>AR68='Anuid PF'!AR33</f>
        <v>1</v>
      </c>
    </row>
    <row r="69" spans="1:45">
      <c r="A69" s="998" t="s">
        <v>244</v>
      </c>
      <c r="B69" s="998"/>
      <c r="C69" s="998"/>
      <c r="D69" s="998"/>
      <c r="E69" s="998"/>
      <c r="F69" s="998"/>
      <c r="G69" s="998"/>
      <c r="H69" s="998"/>
      <c r="I69" s="998"/>
      <c r="J69" s="998"/>
      <c r="K69" s="998"/>
      <c r="L69" s="998"/>
      <c r="M69" s="998"/>
      <c r="N69" s="998"/>
      <c r="P69" s="998" t="s">
        <v>119</v>
      </c>
      <c r="Q69" s="998"/>
      <c r="R69" s="998"/>
      <c r="S69" s="998"/>
      <c r="T69" s="998"/>
      <c r="U69" s="998"/>
      <c r="V69" s="998"/>
      <c r="W69" s="998"/>
      <c r="X69" s="998"/>
      <c r="Y69" s="998"/>
      <c r="Z69" s="998"/>
      <c r="AA69" s="998"/>
      <c r="AB69" s="998"/>
      <c r="AC69" s="998"/>
      <c r="AE69" s="998" t="s">
        <v>243</v>
      </c>
      <c r="AF69" s="998"/>
      <c r="AG69" s="998"/>
      <c r="AH69" s="998"/>
      <c r="AI69" s="998"/>
      <c r="AJ69" s="998"/>
      <c r="AK69" s="998"/>
      <c r="AL69" s="998"/>
      <c r="AM69" s="998"/>
      <c r="AN69" s="998"/>
      <c r="AO69" s="998"/>
      <c r="AP69" s="998"/>
      <c r="AQ69" s="998"/>
      <c r="AR69" s="998"/>
    </row>
    <row r="70" spans="1:45" ht="17.25" customHeight="1">
      <c r="P70" s="808"/>
    </row>
    <row r="71" spans="1:45">
      <c r="A71" s="999" t="s">
        <v>33</v>
      </c>
      <c r="B71" s="1002" t="s">
        <v>29</v>
      </c>
      <c r="C71" s="1003"/>
      <c r="D71" s="1003"/>
      <c r="E71" s="1003"/>
      <c r="F71" s="1003"/>
      <c r="G71" s="1003"/>
      <c r="H71" s="1003"/>
      <c r="I71" s="1003"/>
      <c r="J71" s="1003"/>
      <c r="K71" s="1003"/>
      <c r="L71" s="1003"/>
      <c r="M71" s="1003"/>
      <c r="P71" s="999" t="s">
        <v>33</v>
      </c>
      <c r="Q71" s="1002" t="s">
        <v>29</v>
      </c>
      <c r="R71" s="1003"/>
      <c r="S71" s="1003"/>
      <c r="T71" s="1003"/>
      <c r="U71" s="1003"/>
      <c r="V71" s="1003"/>
      <c r="W71" s="1003"/>
      <c r="X71" s="1003"/>
      <c r="Y71" s="1003"/>
      <c r="Z71" s="1003"/>
      <c r="AA71" s="1003"/>
      <c r="AB71" s="1003"/>
      <c r="AE71" s="999" t="s">
        <v>33</v>
      </c>
      <c r="AF71" s="1002" t="s">
        <v>29</v>
      </c>
      <c r="AG71" s="1003"/>
      <c r="AH71" s="1003"/>
      <c r="AI71" s="1003"/>
      <c r="AJ71" s="1003"/>
      <c r="AK71" s="1003"/>
      <c r="AL71" s="1003"/>
      <c r="AM71" s="1003"/>
      <c r="AN71" s="1003"/>
      <c r="AO71" s="1003"/>
      <c r="AP71" s="1003"/>
      <c r="AQ71" s="1003"/>
    </row>
    <row r="72" spans="1:45">
      <c r="A72" s="1000"/>
      <c r="B72" s="803" t="s">
        <v>106</v>
      </c>
      <c r="C72" s="803" t="s">
        <v>107</v>
      </c>
      <c r="D72" s="803" t="s">
        <v>108</v>
      </c>
      <c r="E72" s="803" t="s">
        <v>109</v>
      </c>
      <c r="F72" s="803" t="s">
        <v>110</v>
      </c>
      <c r="G72" s="803" t="s">
        <v>111</v>
      </c>
      <c r="H72" s="803" t="s">
        <v>112</v>
      </c>
      <c r="I72" s="803" t="s">
        <v>113</v>
      </c>
      <c r="J72" s="803" t="s">
        <v>114</v>
      </c>
      <c r="K72" s="803" t="s">
        <v>115</v>
      </c>
      <c r="L72" s="803" t="s">
        <v>116</v>
      </c>
      <c r="M72" s="803" t="s">
        <v>117</v>
      </c>
      <c r="N72" s="803" t="s">
        <v>118</v>
      </c>
      <c r="P72" s="1000"/>
      <c r="Q72" s="803" t="s">
        <v>106</v>
      </c>
      <c r="R72" s="803" t="s">
        <v>107</v>
      </c>
      <c r="S72" s="803" t="s">
        <v>108</v>
      </c>
      <c r="T72" s="803" t="s">
        <v>109</v>
      </c>
      <c r="U72" s="803" t="s">
        <v>110</v>
      </c>
      <c r="V72" s="803" t="s">
        <v>111</v>
      </c>
      <c r="W72" s="803" t="s">
        <v>112</v>
      </c>
      <c r="X72" s="803" t="s">
        <v>113</v>
      </c>
      <c r="Y72" s="803" t="s">
        <v>114</v>
      </c>
      <c r="Z72" s="803" t="s">
        <v>115</v>
      </c>
      <c r="AA72" s="803" t="s">
        <v>116</v>
      </c>
      <c r="AB72" s="803" t="s">
        <v>117</v>
      </c>
      <c r="AC72" s="803" t="s">
        <v>118</v>
      </c>
      <c r="AE72" s="1000"/>
      <c r="AF72" s="803" t="s">
        <v>106</v>
      </c>
      <c r="AG72" s="803" t="s">
        <v>107</v>
      </c>
      <c r="AH72" s="803" t="s">
        <v>108</v>
      </c>
      <c r="AI72" s="803" t="s">
        <v>109</v>
      </c>
      <c r="AJ72" s="803" t="s">
        <v>110</v>
      </c>
      <c r="AK72" s="803" t="s">
        <v>111</v>
      </c>
      <c r="AL72" s="803" t="s">
        <v>112</v>
      </c>
      <c r="AM72" s="803" t="s">
        <v>113</v>
      </c>
      <c r="AN72" s="803" t="s">
        <v>114</v>
      </c>
      <c r="AO72" s="803" t="s">
        <v>115</v>
      </c>
      <c r="AP72" s="803" t="s">
        <v>116</v>
      </c>
      <c r="AQ72" s="803" t="s">
        <v>117</v>
      </c>
      <c r="AR72" s="803" t="s">
        <v>118</v>
      </c>
    </row>
    <row r="73" spans="1:45">
      <c r="A73" s="137" t="s">
        <v>77</v>
      </c>
      <c r="B73" s="800">
        <f>$S212*'Médias por UF'!FX63</f>
        <v>2874.7499695612287</v>
      </c>
      <c r="C73" s="800">
        <f>$D212*'Médias por UF'!FY63</f>
        <v>11282.990090655549</v>
      </c>
      <c r="D73" s="800">
        <f>$D212*'Médias por UF'!FZ63</f>
        <v>15969.527001743318</v>
      </c>
      <c r="E73" s="800">
        <f>$D212*'Médias por UF'!GA63</f>
        <v>19265.920072882858</v>
      </c>
      <c r="F73" s="800">
        <f>$D212*'Médias por UF'!GB63</f>
        <v>23658.507003951898</v>
      </c>
      <c r="G73" s="800">
        <f>$D212*'Médias por UF'!GC63</f>
        <v>28520.596865679305</v>
      </c>
      <c r="H73" s="800">
        <f>$D212*'Médias por UF'!GD63</f>
        <v>31192.244160457049</v>
      </c>
      <c r="I73" s="800">
        <f>$D212*'Médias por UF'!GE63</f>
        <v>37016.248352489798</v>
      </c>
      <c r="J73" s="800">
        <f>$D212*'Médias por UF'!GF63</f>
        <v>39617.495437177888</v>
      </c>
      <c r="K73" s="800">
        <f>$D212*'Médias por UF'!GG63</f>
        <v>42512.713392650323</v>
      </c>
      <c r="L73" s="800">
        <f>$D212*'Médias por UF'!GH63</f>
        <v>45590.121360069461</v>
      </c>
      <c r="M73" s="800">
        <f>$D212*'Médias por UF'!GI63</f>
        <v>47831.360000000001</v>
      </c>
      <c r="N73" s="800">
        <f>M73</f>
        <v>47831.360000000001</v>
      </c>
      <c r="O73" s="802">
        <f t="shared" ref="O73:O99" si="25">N73-D212</f>
        <v>0</v>
      </c>
      <c r="P73" s="138" t="s">
        <v>77</v>
      </c>
      <c r="Q73" s="800">
        <f>$S212*'Médias por UF'!FX63</f>
        <v>2874.7499695612287</v>
      </c>
      <c r="R73" s="800">
        <f>$S212*'Médias por UF'!FY63</f>
        <v>5276.4583517132151</v>
      </c>
      <c r="S73" s="800">
        <f>$S212*'Médias por UF'!FZ63</f>
        <v>7468.104061444099</v>
      </c>
      <c r="T73" s="800">
        <f>$S212*'Médias por UF'!GA63</f>
        <v>9009.6529426355064</v>
      </c>
      <c r="U73" s="800">
        <f>$S212*'Médias por UF'!GB63</f>
        <v>11063.833776957141</v>
      </c>
      <c r="V73" s="800">
        <f>$S212*'Médias por UF'!GC63</f>
        <v>13337.576326721375</v>
      </c>
      <c r="W73" s="800">
        <f>$S212*'Médias por UF'!GD63</f>
        <v>14586.96461547268</v>
      </c>
      <c r="X73" s="800">
        <f>$S212*'Médias por UF'!GE63</f>
        <v>17310.543676746012</v>
      </c>
      <c r="Y73" s="800">
        <f>$S212*'Médias por UF'!GF63</f>
        <v>18527.009506689385</v>
      </c>
      <c r="Z73" s="800">
        <f>$S212*'Médias por UF'!GG63</f>
        <v>19880.949981549362</v>
      </c>
      <c r="AA73" s="800">
        <f>$S212*'Médias por UF'!GH63</f>
        <v>21320.091099360452</v>
      </c>
      <c r="AB73" s="800">
        <f>$S212*'Médias por UF'!GI63</f>
        <v>22368.199999999997</v>
      </c>
      <c r="AC73" s="800">
        <f>AB73</f>
        <v>22368.199999999997</v>
      </c>
      <c r="AE73" s="138" t="s">
        <v>77</v>
      </c>
      <c r="AF73" s="800">
        <f>JAN!$U$5</f>
        <v>831.87199999999996</v>
      </c>
      <c r="AG73" s="800">
        <f>FEV!$U5</f>
        <v>1217.376</v>
      </c>
      <c r="AH73" s="800">
        <f>MAR!$U5</f>
        <v>328.00800000000004</v>
      </c>
      <c r="AI73" s="800">
        <f>ABR!$U5</f>
        <v>721.12</v>
      </c>
      <c r="AJ73" s="800">
        <f>MAI!$U5</f>
        <v>935.5680000000001</v>
      </c>
      <c r="AK73" s="800">
        <f>JUN!$U5</f>
        <v>811.58400000000006</v>
      </c>
      <c r="AL73" s="800">
        <f>JUL!$U5</f>
        <v>1622.3040000000001</v>
      </c>
      <c r="AM73" s="800">
        <f>AGO!$U5</f>
        <v>3046.7840000000001</v>
      </c>
      <c r="AN73" s="800">
        <f>SET!$U5</f>
        <v>1965.5119999999999</v>
      </c>
      <c r="AO73" s="800">
        <f>OUT!$U5*0</f>
        <v>0</v>
      </c>
      <c r="AP73" s="800">
        <f>NOV!$U5*0</f>
        <v>0</v>
      </c>
      <c r="AQ73" s="800">
        <f>DEZ!$U5*0</f>
        <v>0</v>
      </c>
      <c r="AR73" s="800">
        <f>SUM(AF73:AQ73)</f>
        <v>11480.128000000001</v>
      </c>
    </row>
    <row r="74" spans="1:45">
      <c r="A74" s="137" t="s">
        <v>78</v>
      </c>
      <c r="B74" s="800">
        <f>$D213*'Médias por UF'!FX64</f>
        <v>7561.4869774917515</v>
      </c>
      <c r="C74" s="800">
        <f>$D213*'Médias por UF'!FY64</f>
        <v>20000.821493781285</v>
      </c>
      <c r="D74" s="800">
        <f>$D213*'Médias por UF'!FZ64</f>
        <v>22125.123504713327</v>
      </c>
      <c r="E74" s="800">
        <f>$D213*'Médias por UF'!GA64</f>
        <v>24816.02806710836</v>
      </c>
      <c r="F74" s="800">
        <f>$D213*'Médias por UF'!GB64</f>
        <v>27660.950095913879</v>
      </c>
      <c r="G74" s="800">
        <f>$D213*'Médias por UF'!GC64</f>
        <v>30327.650297771837</v>
      </c>
      <c r="H74" s="800">
        <f>$D213*'Médias por UF'!GD64</f>
        <v>34100.684369546347</v>
      </c>
      <c r="I74" s="800">
        <f>$D213*'Médias por UF'!GE64</f>
        <v>41260.684081588552</v>
      </c>
      <c r="J74" s="800">
        <f>$D213*'Médias por UF'!GF64</f>
        <v>46092.722321586254</v>
      </c>
      <c r="K74" s="800">
        <f>$D213*'Médias por UF'!GG64</f>
        <v>47722.013653612586</v>
      </c>
      <c r="L74" s="800">
        <f>$D213*'Médias por UF'!GH64</f>
        <v>50192.58992929395</v>
      </c>
      <c r="M74" s="800">
        <f>$D213*'Médias por UF'!GI64</f>
        <v>52815.799999999996</v>
      </c>
      <c r="N74" s="800">
        <f t="shared" ref="N74:N99" si="26">M74</f>
        <v>52815.799999999996</v>
      </c>
      <c r="O74" s="802">
        <f t="shared" si="25"/>
        <v>0</v>
      </c>
      <c r="P74" s="138" t="s">
        <v>78</v>
      </c>
      <c r="Q74" s="800">
        <f>$S213*'Médias por UF'!FX64</f>
        <v>3102.6624001961541</v>
      </c>
      <c r="R74" s="800">
        <f>$S213*'Médias por UF'!FY64</f>
        <v>8206.8245315387721</v>
      </c>
      <c r="S74" s="800">
        <f>$S213*'Médias por UF'!FZ64</f>
        <v>9078.4774214530589</v>
      </c>
      <c r="T74" s="800">
        <f>$S213*'Médias por UF'!GA64</f>
        <v>10182.621147827474</v>
      </c>
      <c r="U74" s="800">
        <f>$S213*'Médias por UF'!GB64</f>
        <v>11349.961994480975</v>
      </c>
      <c r="V74" s="800">
        <f>$S213*'Médias por UF'!GC64</f>
        <v>12444.174081803081</v>
      </c>
      <c r="W74" s="800">
        <f>$S213*'Médias por UF'!GD64</f>
        <v>13992.341920219033</v>
      </c>
      <c r="X74" s="800">
        <f>$S213*'Médias por UF'!GE64</f>
        <v>16930.264310100301</v>
      </c>
      <c r="Y74" s="800">
        <f>$S213*'Médias por UF'!GF64</f>
        <v>18912.967369455957</v>
      </c>
      <c r="Z74" s="800">
        <f>$S213*'Médias por UF'!GG64</f>
        <v>19581.505313102654</v>
      </c>
      <c r="AA74" s="800">
        <f>$S213*'Médias por UF'!GH64</f>
        <v>20595.24297345844</v>
      </c>
      <c r="AB74" s="800">
        <f>$S213*'Médias por UF'!GI64</f>
        <v>21671.61</v>
      </c>
      <c r="AC74" s="800">
        <f t="shared" ref="AC74:AC99" si="27">AB74</f>
        <v>21671.61</v>
      </c>
      <c r="AE74" s="138" t="s">
        <v>78</v>
      </c>
      <c r="AF74" s="800">
        <f>JAN!$U$6</f>
        <v>1153.1200000000001</v>
      </c>
      <c r="AG74" s="800">
        <f>FEV!$U6</f>
        <v>2189.5840000000003</v>
      </c>
      <c r="AH74" s="800">
        <f>MAR!$U6</f>
        <v>527.52800000000002</v>
      </c>
      <c r="AI74" s="800">
        <f>ABR!$U6</f>
        <v>793.83199999999999</v>
      </c>
      <c r="AJ74" s="800">
        <f>MAI!$U6</f>
        <v>544.43200000000002</v>
      </c>
      <c r="AK74" s="800">
        <f>JUN!$U6</f>
        <v>375.35200000000003</v>
      </c>
      <c r="AL74" s="800">
        <f>JUL!$U6</f>
        <v>1237.664</v>
      </c>
      <c r="AM74" s="800">
        <f>AGO!$U6</f>
        <v>3873.152</v>
      </c>
      <c r="AN74" s="800">
        <f>SET!$U6</f>
        <v>625.58400000000006</v>
      </c>
      <c r="AO74" s="800">
        <f>OUT!$U6*0</f>
        <v>0</v>
      </c>
      <c r="AP74" s="800">
        <f>NOV!$U6*0</f>
        <v>0</v>
      </c>
      <c r="AQ74" s="800">
        <f>DEZ!$U6*0</f>
        <v>0</v>
      </c>
      <c r="AR74" s="800">
        <f t="shared" ref="AR74:AR99" si="28">SUM(AF74:AQ74)</f>
        <v>11320.248000000001</v>
      </c>
    </row>
    <row r="75" spans="1:45">
      <c r="A75" s="137" t="s">
        <v>79</v>
      </c>
      <c r="B75" s="800">
        <f>$D214*'Médias por UF'!FX65</f>
        <v>9041.448706834457</v>
      </c>
      <c r="C75" s="800">
        <f>$D214*'Médias por UF'!FY65</f>
        <v>15890.075458768648</v>
      </c>
      <c r="D75" s="800">
        <f>$D214*'Médias por UF'!FZ65</f>
        <v>25573.505831808281</v>
      </c>
      <c r="E75" s="800">
        <f>$D214*'Médias por UF'!GA65</f>
        <v>32635.78051178388</v>
      </c>
      <c r="F75" s="800">
        <f>$D214*'Médias por UF'!GB65</f>
        <v>42553.986997379601</v>
      </c>
      <c r="G75" s="800">
        <f>$D214*'Médias por UF'!GC65</f>
        <v>50899.259142230643</v>
      </c>
      <c r="H75" s="800">
        <f>$D214*'Médias por UF'!GD65</f>
        <v>61220.667757007432</v>
      </c>
      <c r="I75" s="800">
        <f>$D214*'Médias por UF'!GE65</f>
        <v>72582.201177067094</v>
      </c>
      <c r="J75" s="800">
        <f>$D214*'Médias por UF'!GF65</f>
        <v>81839.177598435504</v>
      </c>
      <c r="K75" s="800">
        <f>$D214*'Médias por UF'!GG65</f>
        <v>89139.871694035901</v>
      </c>
      <c r="L75" s="800">
        <f>$D214*'Médias por UF'!GH65</f>
        <v>96595.71700541742</v>
      </c>
      <c r="M75" s="800">
        <f>$D214*'Médias por UF'!GI65</f>
        <v>103140.51000000001</v>
      </c>
      <c r="N75" s="800">
        <f t="shared" si="26"/>
        <v>103140.51000000001</v>
      </c>
      <c r="O75" s="802">
        <f t="shared" si="25"/>
        <v>0</v>
      </c>
      <c r="P75" s="138" t="s">
        <v>79</v>
      </c>
      <c r="Q75" s="800">
        <f>$S214*'Médias por UF'!FX65</f>
        <v>2674.072813248451</v>
      </c>
      <c r="R75" s="800">
        <f>$S214*'Médias por UF'!FY65</f>
        <v>4699.602924544648</v>
      </c>
      <c r="S75" s="800">
        <f>$S214*'Médias por UF'!FZ65</f>
        <v>7563.5463852818739</v>
      </c>
      <c r="T75" s="800">
        <f>$S214*'Médias por UF'!GA65</f>
        <v>9652.2643920699229</v>
      </c>
      <c r="U75" s="800">
        <f>$S214*'Médias por UF'!GB65</f>
        <v>12585.644559262368</v>
      </c>
      <c r="V75" s="800">
        <f>$S214*'Médias por UF'!GC65</f>
        <v>15053.818198829347</v>
      </c>
      <c r="W75" s="800">
        <f>$S214*'Médias por UF'!GD65</f>
        <v>18106.448265772036</v>
      </c>
      <c r="X75" s="800">
        <f>$S214*'Médias por UF'!GE65</f>
        <v>21466.702647620124</v>
      </c>
      <c r="Y75" s="800">
        <f>$S214*'Médias por UF'!GF65</f>
        <v>24204.519316596161</v>
      </c>
      <c r="Z75" s="800">
        <f>$S214*'Médias por UF'!GG65</f>
        <v>26363.751562655503</v>
      </c>
      <c r="AA75" s="800">
        <f>$S214*'Médias por UF'!GH65</f>
        <v>28568.870885168548</v>
      </c>
      <c r="AB75" s="800">
        <f>$S214*'Médias por UF'!GI65</f>
        <v>30504.54</v>
      </c>
      <c r="AC75" s="800">
        <f t="shared" si="27"/>
        <v>30504.54</v>
      </c>
      <c r="AE75" s="138" t="s">
        <v>79</v>
      </c>
      <c r="AF75" s="800">
        <f>JAN!$U$7</f>
        <v>1326.424</v>
      </c>
      <c r="AG75" s="800">
        <f>FEV!$U7</f>
        <v>1684.0320000000002</v>
      </c>
      <c r="AH75" s="800">
        <f>MAR!$U7</f>
        <v>1677.5439999999999</v>
      </c>
      <c r="AI75" s="800">
        <f>ABR!$U7</f>
        <v>1971.4560000000001</v>
      </c>
      <c r="AJ75" s="800">
        <f>MAI!$U7</f>
        <v>1095.624</v>
      </c>
      <c r="AK75" s="800">
        <f>JUN!$U7</f>
        <v>1449.2719999999999</v>
      </c>
      <c r="AL75" s="800">
        <f>JUL!$U7</f>
        <v>1082.104</v>
      </c>
      <c r="AM75" s="800">
        <f>AGO!$U7</f>
        <v>2217.7440000000001</v>
      </c>
      <c r="AN75" s="800">
        <f>SET!$U7</f>
        <v>2832.0480000000002</v>
      </c>
      <c r="AO75" s="800">
        <f>OUT!$U7*0</f>
        <v>0</v>
      </c>
      <c r="AP75" s="800">
        <f>NOV!$U7*0</f>
        <v>0</v>
      </c>
      <c r="AQ75" s="800">
        <f>DEZ!$U7*0</f>
        <v>0</v>
      </c>
      <c r="AR75" s="800">
        <f t="shared" si="28"/>
        <v>15336.248</v>
      </c>
    </row>
    <row r="76" spans="1:45">
      <c r="A76" s="137" t="s">
        <v>80</v>
      </c>
      <c r="B76" s="800">
        <f>$D215*'Médias por UF'!FX66</f>
        <v>9753.0111667907859</v>
      </c>
      <c r="C76" s="800">
        <f>$D215*'Médias por UF'!FY66</f>
        <v>22927.988830612459</v>
      </c>
      <c r="D76" s="800">
        <f>$D215*'Médias por UF'!FZ66</f>
        <v>31844.195164384957</v>
      </c>
      <c r="E76" s="800">
        <f>$D215*'Médias por UF'!GA66</f>
        <v>37533.875140545293</v>
      </c>
      <c r="F76" s="800">
        <f>$D215*'Médias por UF'!GB66</f>
        <v>43952.616623426395</v>
      </c>
      <c r="G76" s="800">
        <f>$D215*'Médias por UF'!GC66</f>
        <v>50410.619648069449</v>
      </c>
      <c r="H76" s="800">
        <f>$D215*'Médias por UF'!GD66</f>
        <v>56123.181921553441</v>
      </c>
      <c r="I76" s="800">
        <f>$D215*'Médias por UF'!GE66</f>
        <v>65211.113887818581</v>
      </c>
      <c r="J76" s="800">
        <f>$D215*'Médias por UF'!GF66</f>
        <v>69518.536782328083</v>
      </c>
      <c r="K76" s="800">
        <f>$D215*'Médias por UF'!GG66</f>
        <v>73094.044144684041</v>
      </c>
      <c r="L76" s="800">
        <f>$D215*'Médias por UF'!GH66</f>
        <v>76744.959681577398</v>
      </c>
      <c r="M76" s="800">
        <f>$D215*'Médias por UF'!GI66</f>
        <v>81067.89</v>
      </c>
      <c r="N76" s="800">
        <f t="shared" si="26"/>
        <v>81067.89</v>
      </c>
      <c r="O76" s="802">
        <f t="shared" si="25"/>
        <v>0</v>
      </c>
      <c r="P76" s="138" t="s">
        <v>80</v>
      </c>
      <c r="Q76" s="800">
        <f>$S215*'Médias por UF'!FX66</f>
        <v>4614.8162314850897</v>
      </c>
      <c r="R76" s="800">
        <f>$S215*'Médias por UF'!FY66</f>
        <v>10848.798714708673</v>
      </c>
      <c r="S76" s="800">
        <f>$S215*'Médias por UF'!FZ66</f>
        <v>15067.665381494488</v>
      </c>
      <c r="T76" s="800">
        <f>$S215*'Médias por UF'!GA66</f>
        <v>17759.841885438775</v>
      </c>
      <c r="U76" s="800">
        <f>$S215*'Médias por UF'!GB66</f>
        <v>20796.987221821408</v>
      </c>
      <c r="V76" s="800">
        <f>$S215*'Médias por UF'!GC66</f>
        <v>23852.709877259425</v>
      </c>
      <c r="W76" s="800">
        <f>$S215*'Médias por UF'!GD66</f>
        <v>26555.713560143326</v>
      </c>
      <c r="X76" s="800">
        <f>$S215*'Médias por UF'!GE66</f>
        <v>30855.835361639485</v>
      </c>
      <c r="Y76" s="800">
        <f>$S215*'Médias por UF'!GF66</f>
        <v>32893.971558708326</v>
      </c>
      <c r="Z76" s="800">
        <f>$S215*'Médias por UF'!GG66</f>
        <v>34585.788488825114</v>
      </c>
      <c r="AA76" s="800">
        <f>$S215*'Médias por UF'!GH66</f>
        <v>36313.286180697483</v>
      </c>
      <c r="AB76" s="800">
        <f>$S215*'Médias por UF'!GI66</f>
        <v>38358.76</v>
      </c>
      <c r="AC76" s="800">
        <f t="shared" si="27"/>
        <v>38358.76</v>
      </c>
      <c r="AE76" s="138" t="s">
        <v>80</v>
      </c>
      <c r="AF76" s="800">
        <f>JAN!$U$8</f>
        <v>852.16000000000008</v>
      </c>
      <c r="AG76" s="800">
        <f>FEV!$U8</f>
        <v>1501.424</v>
      </c>
      <c r="AH76" s="800">
        <f>MAR!$U8</f>
        <v>1870.0160000000001</v>
      </c>
      <c r="AI76" s="800">
        <f>ABR!$U8</f>
        <v>1935.9520000000002</v>
      </c>
      <c r="AJ76" s="800">
        <f>MAI!$U8</f>
        <v>1073.6479999999999</v>
      </c>
      <c r="AK76" s="800">
        <f>JUN!$U8</f>
        <v>1056.7440000000001</v>
      </c>
      <c r="AL76" s="800">
        <f>JUL!$U8</f>
        <v>1403.3600000000001</v>
      </c>
      <c r="AM76" s="800">
        <f>AGO!$U8</f>
        <v>3873.9920000000002</v>
      </c>
      <c r="AN76" s="800">
        <f>SET!$U8</f>
        <v>2031.7360000000001</v>
      </c>
      <c r="AO76" s="800">
        <f>OUT!$U8*0</f>
        <v>0</v>
      </c>
      <c r="AP76" s="800">
        <f>NOV!$U8*0</f>
        <v>0</v>
      </c>
      <c r="AQ76" s="800">
        <f>DEZ!$U8*0</f>
        <v>0</v>
      </c>
      <c r="AR76" s="800">
        <f t="shared" si="28"/>
        <v>15599.032000000003</v>
      </c>
    </row>
    <row r="77" spans="1:45">
      <c r="A77" s="137" t="s">
        <v>81</v>
      </c>
      <c r="B77" s="800">
        <f>$D216*'Médias por UF'!FX67</f>
        <v>43729.793313428949</v>
      </c>
      <c r="C77" s="800">
        <f>$D216*'Médias por UF'!FY67</f>
        <v>109177.33973263265</v>
      </c>
      <c r="D77" s="800">
        <f>$D216*'Médias por UF'!FZ67</f>
        <v>135180.5264393281</v>
      </c>
      <c r="E77" s="800">
        <f>$D216*'Médias por UF'!GA67</f>
        <v>155361.22244034492</v>
      </c>
      <c r="F77" s="800">
        <f>$D216*'Médias por UF'!GB67</f>
        <v>172645.36719896583</v>
      </c>
      <c r="G77" s="800">
        <f>$D216*'Médias por UF'!GC67</f>
        <v>196437.97080777926</v>
      </c>
      <c r="H77" s="800">
        <f>$D216*'Médias por UF'!GD67</f>
        <v>220577.14425455395</v>
      </c>
      <c r="I77" s="800">
        <f>$D216*'Médias por UF'!GE67</f>
        <v>262222.33875148516</v>
      </c>
      <c r="J77" s="800">
        <f>$D216*'Médias por UF'!GF67</f>
        <v>281181.59705941414</v>
      </c>
      <c r="K77" s="800">
        <f>$D216*'Médias por UF'!GG67</f>
        <v>298762.74302148679</v>
      </c>
      <c r="L77" s="800">
        <f>$D216*'Médias por UF'!GH67</f>
        <v>314809.88950863155</v>
      </c>
      <c r="M77" s="800">
        <f>$D216*'Médias por UF'!GI67</f>
        <v>331564.08</v>
      </c>
      <c r="N77" s="800">
        <f t="shared" si="26"/>
        <v>331564.08</v>
      </c>
      <c r="O77" s="802">
        <f t="shared" si="25"/>
        <v>0</v>
      </c>
      <c r="P77" s="138" t="s">
        <v>81</v>
      </c>
      <c r="Q77" s="800">
        <f>$S216*'Médias por UF'!FX67</f>
        <v>22154.913572022768</v>
      </c>
      <c r="R77" s="800">
        <f>$S216*'Médias por UF'!FY67</f>
        <v>55312.736295441202</v>
      </c>
      <c r="S77" s="800">
        <f>$S216*'Médias por UF'!FZ67</f>
        <v>68486.783333689964</v>
      </c>
      <c r="T77" s="800">
        <f>$S216*'Médias por UF'!GA67</f>
        <v>78710.970137438082</v>
      </c>
      <c r="U77" s="800">
        <f>$S216*'Médias por UF'!GB67</f>
        <v>87467.671330809229</v>
      </c>
      <c r="V77" s="800">
        <f>$S216*'Médias por UF'!GC67</f>
        <v>99521.766186198918</v>
      </c>
      <c r="W77" s="800">
        <f>$S216*'Médias por UF'!GD67</f>
        <v>111751.4444190738</v>
      </c>
      <c r="X77" s="800">
        <f>$S216*'Médias por UF'!GE67</f>
        <v>132850.23347935174</v>
      </c>
      <c r="Y77" s="800">
        <f>$S216*'Médias por UF'!GF67</f>
        <v>142455.60083590931</v>
      </c>
      <c r="Z77" s="800">
        <f>$S216*'Médias por UF'!GG67</f>
        <v>151362.77234927713</v>
      </c>
      <c r="AA77" s="800">
        <f>$S216*'Médias por UF'!GH67</f>
        <v>159492.77060817822</v>
      </c>
      <c r="AB77" s="800">
        <f>$S216*'Médias por UF'!GI67</f>
        <v>167980.98</v>
      </c>
      <c r="AC77" s="800">
        <f t="shared" si="27"/>
        <v>167980.98</v>
      </c>
      <c r="AE77" s="138" t="s">
        <v>81</v>
      </c>
      <c r="AF77" s="800">
        <f>JAN!$U$9</f>
        <v>8068.4800000000005</v>
      </c>
      <c r="AG77" s="800">
        <f>FEV!$U9</f>
        <v>8301.8080000000009</v>
      </c>
      <c r="AH77" s="800">
        <f>MAR!$U9</f>
        <v>4164.4160000000002</v>
      </c>
      <c r="AI77" s="800">
        <f>ABR!$U9</f>
        <v>5298.9360000000006</v>
      </c>
      <c r="AJ77" s="800">
        <f>MAI!$U9</f>
        <v>2776.2640000000001</v>
      </c>
      <c r="AK77" s="800">
        <f>JUN!$U9</f>
        <v>2508.84</v>
      </c>
      <c r="AL77" s="800">
        <f>JUL!$U9</f>
        <v>4893.6959999999999</v>
      </c>
      <c r="AM77" s="800">
        <f>AGO!$U9</f>
        <v>21264.944000000003</v>
      </c>
      <c r="AN77" s="800">
        <f>SET!$U9</f>
        <v>9504.9120000000003</v>
      </c>
      <c r="AO77" s="800">
        <f>OUT!$U9*0</f>
        <v>0</v>
      </c>
      <c r="AP77" s="800">
        <f>NOV!$U9*0</f>
        <v>0</v>
      </c>
      <c r="AQ77" s="800">
        <f>DEZ!$U9*0</f>
        <v>0</v>
      </c>
      <c r="AR77" s="800">
        <f t="shared" si="28"/>
        <v>66782.296000000002</v>
      </c>
    </row>
    <row r="78" spans="1:45">
      <c r="A78" s="137" t="s">
        <v>82</v>
      </c>
      <c r="B78" s="800">
        <f>$D217*'Médias por UF'!FX68</f>
        <v>23735.753108297704</v>
      </c>
      <c r="C78" s="800">
        <f>$D217*'Médias por UF'!FY68</f>
        <v>46880.419801770724</v>
      </c>
      <c r="D78" s="800">
        <f>$D217*'Médias por UF'!FZ68</f>
        <v>58041.873845966911</v>
      </c>
      <c r="E78" s="800">
        <f>$D217*'Médias por UF'!GA68</f>
        <v>65418.796025382995</v>
      </c>
      <c r="F78" s="800">
        <f>$D217*'Médias por UF'!GB68</f>
        <v>74677.658378212174</v>
      </c>
      <c r="G78" s="800">
        <f>$D217*'Médias por UF'!GC68</f>
        <v>84857.222879654422</v>
      </c>
      <c r="H78" s="800">
        <f>$D217*'Médias por UF'!GD68</f>
        <v>93002.84151325062</v>
      </c>
      <c r="I78" s="800">
        <f>$D217*'Médias por UF'!GE68</f>
        <v>110998.02164961655</v>
      </c>
      <c r="J78" s="800">
        <f>$D217*'Médias por UF'!GF68</f>
        <v>120862.24355405693</v>
      </c>
      <c r="K78" s="800">
        <f>$D217*'Médias por UF'!GG68</f>
        <v>126032.73666355853</v>
      </c>
      <c r="L78" s="800">
        <f>$D217*'Médias por UF'!GH68</f>
        <v>131800.7540992893</v>
      </c>
      <c r="M78" s="800">
        <f>$D217*'Médias por UF'!GI68</f>
        <v>142304.68</v>
      </c>
      <c r="N78" s="800">
        <f t="shared" si="26"/>
        <v>142304.68</v>
      </c>
      <c r="O78" s="802">
        <f t="shared" si="25"/>
        <v>0</v>
      </c>
      <c r="P78" s="138" t="s">
        <v>82</v>
      </c>
      <c r="Q78" s="800">
        <f>$S217*'Médias por UF'!FX68</f>
        <v>13997.795942864002</v>
      </c>
      <c r="R78" s="800">
        <f>$S217*'Médias por UF'!FY68</f>
        <v>27647.007748474633</v>
      </c>
      <c r="S78" s="800">
        <f>$S217*'Médias por UF'!FZ68</f>
        <v>34229.303891489973</v>
      </c>
      <c r="T78" s="800">
        <f>$S217*'Médias por UF'!GA68</f>
        <v>38579.730477185934</v>
      </c>
      <c r="U78" s="800">
        <f>$S217*'Médias por UF'!GB68</f>
        <v>44040.002383732717</v>
      </c>
      <c r="V78" s="800">
        <f>$S217*'Médias por UF'!GC68</f>
        <v>50043.244245420166</v>
      </c>
      <c r="W78" s="800">
        <f>$S217*'Médias por UF'!GD68</f>
        <v>54846.997761950057</v>
      </c>
      <c r="X78" s="800">
        <f>$S217*'Médias por UF'!GE68</f>
        <v>65459.37893876098</v>
      </c>
      <c r="Y78" s="800">
        <f>$S217*'Médias por UF'!GF68</f>
        <v>71276.652345822818</v>
      </c>
      <c r="Z78" s="800">
        <f>$S217*'Médias por UF'!GG68</f>
        <v>74325.871266350194</v>
      </c>
      <c r="AA78" s="800">
        <f>$S217*'Médias por UF'!GH68</f>
        <v>77727.470983530264</v>
      </c>
      <c r="AB78" s="800">
        <f>$S217*'Médias por UF'!GI68</f>
        <v>83922</v>
      </c>
      <c r="AC78" s="800">
        <f t="shared" si="27"/>
        <v>83922</v>
      </c>
      <c r="AE78" s="138" t="s">
        <v>82</v>
      </c>
      <c r="AF78" s="800">
        <f>JAN!$U$10</f>
        <v>5424.0640000000003</v>
      </c>
      <c r="AG78" s="800">
        <f>FEV!$U10</f>
        <v>3817.8080000000004</v>
      </c>
      <c r="AH78" s="800">
        <f>MAR!$U10</f>
        <v>2607.2000000000003</v>
      </c>
      <c r="AI78" s="800">
        <f>ABR!$U10</f>
        <v>963.75200000000007</v>
      </c>
      <c r="AJ78" s="800">
        <f>MAI!$U10</f>
        <v>2852.36</v>
      </c>
      <c r="AK78" s="800">
        <f>JUN!$U10</f>
        <v>1824.3440000000001</v>
      </c>
      <c r="AL78" s="800">
        <f>JUL!$U10</f>
        <v>4761.8239999999996</v>
      </c>
      <c r="AM78" s="800">
        <f>AGO!$U10</f>
        <v>12949.304</v>
      </c>
      <c r="AN78" s="800">
        <f>SET!$U10</f>
        <v>4082.5120000000006</v>
      </c>
      <c r="AO78" s="800">
        <f>OUT!$U10*0</f>
        <v>0</v>
      </c>
      <c r="AP78" s="800">
        <f>NOV!$U10*0</f>
        <v>0</v>
      </c>
      <c r="AQ78" s="800">
        <f>DEZ!$U10*0</f>
        <v>0</v>
      </c>
      <c r="AR78" s="800">
        <f t="shared" si="28"/>
        <v>39283.168000000005</v>
      </c>
    </row>
    <row r="79" spans="1:45">
      <c r="A79" s="137" t="s">
        <v>83</v>
      </c>
      <c r="B79" s="800">
        <f>$D218*'Médias por UF'!FX69</f>
        <v>26047.449134969615</v>
      </c>
      <c r="C79" s="800">
        <f>$D218*'Médias por UF'!FY69</f>
        <v>78960.938472637659</v>
      </c>
      <c r="D79" s="800">
        <f>$D218*'Médias por UF'!FZ69</f>
        <v>98073.413074599041</v>
      </c>
      <c r="E79" s="800">
        <f>$D218*'Médias por UF'!GA69</f>
        <v>114607.73511673989</v>
      </c>
      <c r="F79" s="800">
        <f>$D218*'Médias por UF'!GB69</f>
        <v>128841.24504874705</v>
      </c>
      <c r="G79" s="800">
        <f>$D218*'Médias por UF'!GC69</f>
        <v>154940.27415717792</v>
      </c>
      <c r="H79" s="800">
        <f>$D218*'Médias por UF'!GD69</f>
        <v>170263.360835998</v>
      </c>
      <c r="I79" s="800">
        <f>$D218*'Médias por UF'!GE69</f>
        <v>205292.11896818626</v>
      </c>
      <c r="J79" s="800">
        <f>$D218*'Médias por UF'!GF69</f>
        <v>215850.74189590637</v>
      </c>
      <c r="K79" s="800">
        <f>$D218*'Médias por UF'!GG69</f>
        <v>227891.28475409653</v>
      </c>
      <c r="L79" s="800">
        <f>$D218*'Médias por UF'!GH69</f>
        <v>238059.63902284557</v>
      </c>
      <c r="M79" s="800">
        <f>$D218*'Médias por UF'!GI69</f>
        <v>250370.98</v>
      </c>
      <c r="N79" s="800">
        <f t="shared" si="26"/>
        <v>250370.98</v>
      </c>
      <c r="O79" s="802">
        <f t="shared" si="25"/>
        <v>0</v>
      </c>
      <c r="P79" s="138" t="s">
        <v>83</v>
      </c>
      <c r="Q79" s="800">
        <f>$S218*'Médias por UF'!FX69</f>
        <v>12179.403299024843</v>
      </c>
      <c r="R79" s="800">
        <f>$S218*'Médias por UF'!FY69</f>
        <v>36920.971015032279</v>
      </c>
      <c r="S79" s="800">
        <f>$S218*'Médias por UF'!FZ69</f>
        <v>45857.682437846561</v>
      </c>
      <c r="T79" s="800">
        <f>$S218*'Médias por UF'!GA69</f>
        <v>53588.887723389555</v>
      </c>
      <c r="U79" s="800">
        <f>$S218*'Médias por UF'!GB69</f>
        <v>60244.267178180577</v>
      </c>
      <c r="V79" s="800">
        <f>$S218*'Médias por UF'!GC69</f>
        <v>72447.788512552463</v>
      </c>
      <c r="W79" s="800">
        <f>$S218*'Médias por UF'!GD69</f>
        <v>79612.637994750432</v>
      </c>
      <c r="X79" s="800">
        <f>$S218*'Médias por UF'!GE69</f>
        <v>95991.56900428074</v>
      </c>
      <c r="Y79" s="800">
        <f>$S218*'Médias por UF'!GF69</f>
        <v>100928.62546046886</v>
      </c>
      <c r="Z79" s="800">
        <f>$S218*'Médias por UF'!GG69</f>
        <v>106558.60583394862</v>
      </c>
      <c r="AA79" s="800">
        <f>$S218*'Médias por UF'!GH69</f>
        <v>111313.1784174186</v>
      </c>
      <c r="AB79" s="800">
        <f>$S218*'Médias por UF'!GI69</f>
        <v>117069.78</v>
      </c>
      <c r="AC79" s="800">
        <f t="shared" si="27"/>
        <v>117069.78</v>
      </c>
      <c r="AE79" s="138" t="s">
        <v>83</v>
      </c>
      <c r="AF79" s="800">
        <f>JAN!$U$11</f>
        <v>6695.5520000000006</v>
      </c>
      <c r="AG79" s="800">
        <f>FEV!$U11</f>
        <v>8834.4080000000013</v>
      </c>
      <c r="AH79" s="800">
        <f>MAR!$U11</f>
        <v>4580.3599999999997</v>
      </c>
      <c r="AI79" s="800">
        <f>ABR!$U11</f>
        <v>2867.56</v>
      </c>
      <c r="AJ79" s="800">
        <f>MAI!$U11</f>
        <v>2974.1040000000003</v>
      </c>
      <c r="AK79" s="800">
        <f>JUN!$U11</f>
        <v>2974.92</v>
      </c>
      <c r="AL79" s="800">
        <f>JUL!$U11</f>
        <v>5902.5280000000002</v>
      </c>
      <c r="AM79" s="800">
        <f>AGO!$U11</f>
        <v>22826.896000000001</v>
      </c>
      <c r="AN79" s="800">
        <f>SET!$U11</f>
        <v>10434.92</v>
      </c>
      <c r="AO79" s="800">
        <f>OUT!$U11*0</f>
        <v>0</v>
      </c>
      <c r="AP79" s="800">
        <f>NOV!$U11*0</f>
        <v>0</v>
      </c>
      <c r="AQ79" s="800">
        <f>DEZ!$U11*0</f>
        <v>0</v>
      </c>
      <c r="AR79" s="800">
        <f t="shared" si="28"/>
        <v>68091.248000000007</v>
      </c>
    </row>
    <row r="80" spans="1:45">
      <c r="A80" s="137" t="s">
        <v>84</v>
      </c>
      <c r="B80" s="800">
        <f>$D219*'Médias por UF'!FX70</f>
        <v>13602.658768018635</v>
      </c>
      <c r="C80" s="800">
        <f>$D219*'Médias por UF'!FY70</f>
        <v>47629.71223833783</v>
      </c>
      <c r="D80" s="800">
        <f>$D219*'Médias por UF'!FZ70</f>
        <v>57819.964476048626</v>
      </c>
      <c r="E80" s="800">
        <f>$D219*'Médias por UF'!GA70</f>
        <v>64392.071594856556</v>
      </c>
      <c r="F80" s="800">
        <f>$D219*'Médias por UF'!GB70</f>
        <v>71896.400129494839</v>
      </c>
      <c r="G80" s="800">
        <f>$D219*'Médias por UF'!GC70</f>
        <v>79012.314422688971</v>
      </c>
      <c r="H80" s="800">
        <f>$D219*'Médias por UF'!GD70</f>
        <v>87519.7874585588</v>
      </c>
      <c r="I80" s="800">
        <f>$D219*'Médias por UF'!GE70</f>
        <v>106556.22776509325</v>
      </c>
      <c r="J80" s="800">
        <f>$D219*'Médias por UF'!GF70</f>
        <v>114726.94790711354</v>
      </c>
      <c r="K80" s="800">
        <f>$D219*'Médias por UF'!GG70</f>
        <v>122966.43864434156</v>
      </c>
      <c r="L80" s="800">
        <f>$D219*'Médias por UF'!GH70</f>
        <v>129479.64673690415</v>
      </c>
      <c r="M80" s="800">
        <f>$D219*'Médias por UF'!GI70</f>
        <v>136836.69</v>
      </c>
      <c r="N80" s="800">
        <f t="shared" si="26"/>
        <v>136836.69</v>
      </c>
      <c r="O80" s="802">
        <f t="shared" si="25"/>
        <v>0</v>
      </c>
      <c r="P80" s="138" t="s">
        <v>84</v>
      </c>
      <c r="Q80" s="800">
        <f>$S219*'Médias por UF'!FX70</f>
        <v>9851.1766090626443</v>
      </c>
      <c r="R80" s="800">
        <f>$S219*'Médias por UF'!FY70</f>
        <v>34493.896752145272</v>
      </c>
      <c r="S80" s="800">
        <f>$S219*'Médias por UF'!FZ70</f>
        <v>41873.775656452082</v>
      </c>
      <c r="T80" s="800">
        <f>$S219*'Médias por UF'!GA70</f>
        <v>46633.358986828112</v>
      </c>
      <c r="U80" s="800">
        <f>$S219*'Médias por UF'!GB70</f>
        <v>52068.066053137773</v>
      </c>
      <c r="V80" s="800">
        <f>$S219*'Médias por UF'!GC70</f>
        <v>57221.479781490787</v>
      </c>
      <c r="W80" s="800">
        <f>$S219*'Médias por UF'!GD70</f>
        <v>63382.673765878259</v>
      </c>
      <c r="X80" s="800">
        <f>$S219*'Médias por UF'!GE70</f>
        <v>77169.047346641499</v>
      </c>
      <c r="Y80" s="800">
        <f>$S219*'Médias por UF'!GF70</f>
        <v>83086.361639014329</v>
      </c>
      <c r="Z80" s="800">
        <f>$S219*'Médias por UF'!GG70</f>
        <v>89053.480259383272</v>
      </c>
      <c r="AA80" s="800">
        <f>$S219*'Médias por UF'!GH70</f>
        <v>93770.408347167395</v>
      </c>
      <c r="AB80" s="800">
        <f>$S219*'Médias por UF'!GI70</f>
        <v>99098.45</v>
      </c>
      <c r="AC80" s="800">
        <f t="shared" si="27"/>
        <v>99098.45</v>
      </c>
      <c r="AE80" s="138" t="s">
        <v>84</v>
      </c>
      <c r="AF80" s="800">
        <f>JAN!$U$12</f>
        <v>4260.7760000000007</v>
      </c>
      <c r="AG80" s="800">
        <f>FEV!$U12</f>
        <v>9363.6240000000016</v>
      </c>
      <c r="AH80" s="800">
        <f>MAR!$U12</f>
        <v>6242.4160000000011</v>
      </c>
      <c r="AI80" s="800">
        <f>ABR!$U12</f>
        <v>2253.8080000000004</v>
      </c>
      <c r="AJ80" s="800">
        <f>MAI!$U12</f>
        <v>1680.6480000000001</v>
      </c>
      <c r="AK80" s="800">
        <f>JUN!$U12</f>
        <v>2192.944</v>
      </c>
      <c r="AL80" s="800">
        <f>JUL!$U12</f>
        <v>5440.9440000000004</v>
      </c>
      <c r="AM80" s="800">
        <f>AGO!$U12</f>
        <v>18249.232</v>
      </c>
      <c r="AN80" s="800">
        <f>SET!$U12</f>
        <v>5577.3760000000002</v>
      </c>
      <c r="AO80" s="800">
        <f>OUT!$U12*0</f>
        <v>0</v>
      </c>
      <c r="AP80" s="800">
        <f>NOV!$U12*0</f>
        <v>0</v>
      </c>
      <c r="AQ80" s="800">
        <f>DEZ!$U12*0</f>
        <v>0</v>
      </c>
      <c r="AR80" s="800">
        <f t="shared" si="28"/>
        <v>55261.768000000011</v>
      </c>
    </row>
    <row r="81" spans="1:44">
      <c r="A81" s="137" t="s">
        <v>85</v>
      </c>
      <c r="B81" s="800">
        <f>$D220*'Médias por UF'!FX71</f>
        <v>19446.971239975148</v>
      </c>
      <c r="C81" s="800">
        <f>$D220*'Médias por UF'!FY71</f>
        <v>59504.631112018666</v>
      </c>
      <c r="D81" s="800">
        <f>$D220*'Médias por UF'!FZ71</f>
        <v>77769.128128476223</v>
      </c>
      <c r="E81" s="800">
        <f>$D220*'Médias por UF'!GA71</f>
        <v>92516.679223957661</v>
      </c>
      <c r="F81" s="800">
        <f>$D220*'Médias por UF'!GB71</f>
        <v>109219.61219475266</v>
      </c>
      <c r="G81" s="800">
        <f>$D220*'Médias por UF'!GC71</f>
        <v>131748.28885165817</v>
      </c>
      <c r="H81" s="800">
        <f>$D220*'Médias por UF'!GD71</f>
        <v>146789.12608060229</v>
      </c>
      <c r="I81" s="800">
        <f>$D220*'Médias por UF'!GE71</f>
        <v>179053.74086194695</v>
      </c>
      <c r="J81" s="800">
        <f>$D220*'Médias por UF'!GF71</f>
        <v>191992.45286475832</v>
      </c>
      <c r="K81" s="800">
        <f>$D220*'Médias por UF'!GG71</f>
        <v>201892.33147473208</v>
      </c>
      <c r="L81" s="800">
        <f>$D220*'Médias por UF'!GH71</f>
        <v>212886.80545098311</v>
      </c>
      <c r="M81" s="800">
        <f>$D220*'Médias por UF'!GI71</f>
        <v>222730.04</v>
      </c>
      <c r="N81" s="800">
        <f t="shared" si="26"/>
        <v>222730.04</v>
      </c>
      <c r="O81" s="802">
        <f t="shared" si="25"/>
        <v>0</v>
      </c>
      <c r="P81" s="138" t="s">
        <v>85</v>
      </c>
      <c r="Q81" s="800">
        <f>$S220*'Médias por UF'!FX71</f>
        <v>7011.0208472538916</v>
      </c>
      <c r="R81" s="800">
        <f>$S220*'Médias por UF'!FY71</f>
        <v>21452.605862703404</v>
      </c>
      <c r="S81" s="800">
        <f>$S220*'Médias por UF'!FZ71</f>
        <v>28037.321177331189</v>
      </c>
      <c r="T81" s="800">
        <f>$S220*'Médias por UF'!GA71</f>
        <v>33354.107369919526</v>
      </c>
      <c r="U81" s="800">
        <f>$S220*'Médias por UF'!GB71</f>
        <v>39375.847713105104</v>
      </c>
      <c r="V81" s="800">
        <f>$S220*'Médias por UF'!GC71</f>
        <v>47497.884803278153</v>
      </c>
      <c r="W81" s="800">
        <f>$S220*'Médias por UF'!GD71</f>
        <v>52920.406494240167</v>
      </c>
      <c r="X81" s="800">
        <f>$S220*'Médias por UF'!GE71</f>
        <v>64552.443384161161</v>
      </c>
      <c r="Y81" s="800">
        <f>$S220*'Médias por UF'!GF71</f>
        <v>69217.107020926036</v>
      </c>
      <c r="Z81" s="800">
        <f>$S220*'Médias por UF'!GG71</f>
        <v>72786.210634198913</v>
      </c>
      <c r="AA81" s="800">
        <f>$S220*'Médias por UF'!GH71</f>
        <v>76749.937700017574</v>
      </c>
      <c r="AB81" s="800">
        <f>$S220*'Médias por UF'!GI71</f>
        <v>80298.62</v>
      </c>
      <c r="AC81" s="800">
        <f t="shared" si="27"/>
        <v>80298.62</v>
      </c>
      <c r="AE81" s="138" t="s">
        <v>85</v>
      </c>
      <c r="AF81" s="800">
        <f>JAN!$U$13</f>
        <v>4981.0720000000001</v>
      </c>
      <c r="AG81" s="800">
        <f>FEV!$U13</f>
        <v>8991.64</v>
      </c>
      <c r="AH81" s="800">
        <f>MAR!$U13</f>
        <v>4145.7920000000004</v>
      </c>
      <c r="AI81" s="800">
        <f>ABR!$U13</f>
        <v>4380.8320000000003</v>
      </c>
      <c r="AJ81" s="800">
        <f>MAI!$U13</f>
        <v>3055.2400000000002</v>
      </c>
      <c r="AK81" s="800">
        <f>JUN!$U13</f>
        <v>3335.9120000000003</v>
      </c>
      <c r="AL81" s="800">
        <f>JUL!$U13</f>
        <v>5713.1440000000002</v>
      </c>
      <c r="AM81" s="800">
        <f>AGO!$U13</f>
        <v>13932.608</v>
      </c>
      <c r="AN81" s="800">
        <f>SET!$U13</f>
        <v>6610.8960000000006</v>
      </c>
      <c r="AO81" s="800">
        <f>OUT!$U13*0</f>
        <v>0</v>
      </c>
      <c r="AP81" s="800">
        <f>NOV!$U13*0</f>
        <v>0</v>
      </c>
      <c r="AQ81" s="800">
        <f>DEZ!$U13*0</f>
        <v>0</v>
      </c>
      <c r="AR81" s="800">
        <f t="shared" si="28"/>
        <v>55147.136000000006</v>
      </c>
    </row>
    <row r="82" spans="1:44">
      <c r="A82" s="137" t="s">
        <v>86</v>
      </c>
      <c r="B82" s="800">
        <f>$D221*'Médias por UF'!FX72</f>
        <v>15074.103289953107</v>
      </c>
      <c r="C82" s="800">
        <f>$D221*'Médias por UF'!FY72</f>
        <v>33428.283176049343</v>
      </c>
      <c r="D82" s="800">
        <f>$D221*'Médias por UF'!FZ72</f>
        <v>41375.674751108301</v>
      </c>
      <c r="E82" s="800">
        <f>$D221*'Médias por UF'!GA72</f>
        <v>46676.602420282536</v>
      </c>
      <c r="F82" s="800">
        <f>$D221*'Médias por UF'!GB72</f>
        <v>52055.936688648784</v>
      </c>
      <c r="G82" s="800">
        <f>$D221*'Médias por UF'!GC72</f>
        <v>59377.139336750748</v>
      </c>
      <c r="H82" s="800">
        <f>$D221*'Médias por UF'!GD72</f>
        <v>65787.699921591251</v>
      </c>
      <c r="I82" s="800">
        <f>$D221*'Médias por UF'!GE72</f>
        <v>79844.057657532016</v>
      </c>
      <c r="J82" s="800">
        <f>$D221*'Médias por UF'!GF72</f>
        <v>85723.947804836207</v>
      </c>
      <c r="K82" s="800">
        <f>$D221*'Médias por UF'!GG72</f>
        <v>90741.070878622239</v>
      </c>
      <c r="L82" s="800">
        <f>$D221*'Médias por UF'!GH72</f>
        <v>95800.440304501171</v>
      </c>
      <c r="M82" s="800">
        <f>$D221*'Médias por UF'!GI72</f>
        <v>101446.95</v>
      </c>
      <c r="N82" s="800">
        <f t="shared" si="26"/>
        <v>101446.95</v>
      </c>
      <c r="O82" s="802">
        <f t="shared" si="25"/>
        <v>0</v>
      </c>
      <c r="P82" s="138" t="s">
        <v>86</v>
      </c>
      <c r="Q82" s="800">
        <f>$S221*'Médias por UF'!FX72</f>
        <v>6074.869443188576</v>
      </c>
      <c r="R82" s="800">
        <f>$S221*'Médias por UF'!FY72</f>
        <v>13471.611020456834</v>
      </c>
      <c r="S82" s="800">
        <f>$S221*'Médias por UF'!FZ72</f>
        <v>16674.412892231074</v>
      </c>
      <c r="T82" s="800">
        <f>$S221*'Médias por UF'!GA72</f>
        <v>18810.688788621032</v>
      </c>
      <c r="U82" s="800">
        <f>$S221*'Médias por UF'!GB72</f>
        <v>20978.56257474373</v>
      </c>
      <c r="V82" s="800">
        <f>$S221*'Médias por UF'!GC72</f>
        <v>23929.010067297982</v>
      </c>
      <c r="W82" s="800">
        <f>$S221*'Médias por UF'!GD72</f>
        <v>26512.46845692653</v>
      </c>
      <c r="X82" s="800">
        <f>$S221*'Médias por UF'!GE72</f>
        <v>32177.186049083852</v>
      </c>
      <c r="Y82" s="800">
        <f>$S221*'Médias por UF'!GF72</f>
        <v>34546.784047591063</v>
      </c>
      <c r="Z82" s="800">
        <f>$S221*'Médias por UF'!GG72</f>
        <v>36568.686582514842</v>
      </c>
      <c r="AA82" s="800">
        <f>$S221*'Médias por UF'!GH72</f>
        <v>38607.614413635609</v>
      </c>
      <c r="AB82" s="800">
        <f>$S221*'Médias por UF'!GI72</f>
        <v>40883.160000000003</v>
      </c>
      <c r="AC82" s="800">
        <f t="shared" si="27"/>
        <v>40883.160000000003</v>
      </c>
      <c r="AE82" s="138" t="s">
        <v>86</v>
      </c>
      <c r="AF82" s="800">
        <f>JAN!$U$14</f>
        <v>2333.3040000000001</v>
      </c>
      <c r="AG82" s="800">
        <f>FEV!$U14</f>
        <v>3229.4240000000004</v>
      </c>
      <c r="AH82" s="800">
        <f>MAR!$U14</f>
        <v>1724.6080000000002</v>
      </c>
      <c r="AI82" s="800">
        <f>ABR!$U14</f>
        <v>676.31200000000001</v>
      </c>
      <c r="AJ82" s="800">
        <f>MAI!$U14</f>
        <v>1073.6559999999999</v>
      </c>
      <c r="AK82" s="800">
        <f>JUN!$U14</f>
        <v>1635</v>
      </c>
      <c r="AL82" s="800">
        <f>JUL!$U14</f>
        <v>1680.6400000000003</v>
      </c>
      <c r="AM82" s="800">
        <f>AGO!$U14</f>
        <v>3638.5519999999997</v>
      </c>
      <c r="AN82" s="800">
        <f>SET!$U14</f>
        <v>1743.616</v>
      </c>
      <c r="AO82" s="800">
        <f>OUT!$U14*0</f>
        <v>0</v>
      </c>
      <c r="AP82" s="800">
        <f>NOV!$U14*0</f>
        <v>0</v>
      </c>
      <c r="AQ82" s="800">
        <f>DEZ!$U14*0</f>
        <v>0</v>
      </c>
      <c r="AR82" s="800">
        <f t="shared" si="28"/>
        <v>17735.112000000001</v>
      </c>
    </row>
    <row r="83" spans="1:44">
      <c r="A83" s="137" t="s">
        <v>87</v>
      </c>
      <c r="B83" s="800">
        <f>$D222*'Médias por UF'!FX73</f>
        <v>23325.408952421611</v>
      </c>
      <c r="C83" s="800">
        <f>$D222*'Médias por UF'!FY73</f>
        <v>62032.498593990436</v>
      </c>
      <c r="D83" s="800">
        <f>$D222*'Médias por UF'!FZ73</f>
        <v>78552.899650100284</v>
      </c>
      <c r="E83" s="800">
        <f>$D222*'Médias por UF'!GA73</f>
        <v>94649.267721194556</v>
      </c>
      <c r="F83" s="800">
        <f>$D222*'Médias por UF'!GB73</f>
        <v>107967.89181686308</v>
      </c>
      <c r="G83" s="800">
        <f>$D222*'Médias por UF'!GC73</f>
        <v>122990.27420033798</v>
      </c>
      <c r="H83" s="800">
        <f>$D222*'Médias por UF'!GD73</f>
        <v>133988.73253085869</v>
      </c>
      <c r="I83" s="800">
        <f>$D222*'Médias por UF'!GE73</f>
        <v>164072.79362563131</v>
      </c>
      <c r="J83" s="800">
        <f>$D222*'Médias por UF'!GF73</f>
        <v>178143.3358368341</v>
      </c>
      <c r="K83" s="800">
        <f>$D222*'Médias por UF'!GG73</f>
        <v>189004.03217448623</v>
      </c>
      <c r="L83" s="800">
        <f>$D222*'Médias por UF'!GH73</f>
        <v>197954.36161824918</v>
      </c>
      <c r="M83" s="800">
        <f>$D222*'Médias por UF'!GI73</f>
        <v>212950.53999999998</v>
      </c>
      <c r="N83" s="800">
        <f t="shared" si="26"/>
        <v>212950.53999999998</v>
      </c>
      <c r="O83" s="802">
        <f t="shared" si="25"/>
        <v>0</v>
      </c>
      <c r="P83" s="138" t="s">
        <v>87</v>
      </c>
      <c r="Q83" s="800">
        <f>$S222*'Médias por UF'!FX73</f>
        <v>11213.413001282819</v>
      </c>
      <c r="R83" s="800">
        <f>$S222*'Médias por UF'!FY73</f>
        <v>29821.38609679959</v>
      </c>
      <c r="S83" s="800">
        <f>$S222*'Médias por UF'!FZ73</f>
        <v>37763.37246740752</v>
      </c>
      <c r="T83" s="800">
        <f>$S222*'Médias por UF'!GA73</f>
        <v>45501.510022466478</v>
      </c>
      <c r="U83" s="800">
        <f>$S222*'Médias por UF'!GB73</f>
        <v>51904.280190320838</v>
      </c>
      <c r="V83" s="800">
        <f>$S222*'Médias por UF'!GC73</f>
        <v>59126.111896367343</v>
      </c>
      <c r="W83" s="800">
        <f>$S222*'Médias por UF'!GD73</f>
        <v>64413.489960738822</v>
      </c>
      <c r="X83" s="800">
        <f>$S222*'Médias por UF'!GE73</f>
        <v>78876.044615176608</v>
      </c>
      <c r="Y83" s="800">
        <f>$S222*'Médias por UF'!GF73</f>
        <v>85640.290476333073</v>
      </c>
      <c r="Z83" s="800">
        <f>$S222*'Médias por UF'!GG73</f>
        <v>90861.441100702708</v>
      </c>
      <c r="AA83" s="800">
        <f>$S222*'Médias por UF'!GH73</f>
        <v>95164.205556201632</v>
      </c>
      <c r="AB83" s="800">
        <f>$S222*'Médias por UF'!GI73</f>
        <v>102373.44</v>
      </c>
      <c r="AC83" s="800">
        <f t="shared" si="27"/>
        <v>102373.44</v>
      </c>
      <c r="AE83" s="138" t="s">
        <v>87</v>
      </c>
      <c r="AF83" s="800">
        <f>JAN!$U$15</f>
        <v>4037.6239999999998</v>
      </c>
      <c r="AG83" s="800">
        <f>FEV!$U15</f>
        <v>5579.5839999999998</v>
      </c>
      <c r="AH83" s="800">
        <f>MAR!$U15</f>
        <v>3964.9040000000005</v>
      </c>
      <c r="AI83" s="800">
        <f>ABR!$U15</f>
        <v>2723.848</v>
      </c>
      <c r="AJ83" s="800">
        <f>MAI!$U15</f>
        <v>2360.328</v>
      </c>
      <c r="AK83" s="800">
        <f>JUN!$U15</f>
        <v>2926.7520000000004</v>
      </c>
      <c r="AL83" s="800">
        <f>JUL!$U15</f>
        <v>3967.1440000000002</v>
      </c>
      <c r="AM83" s="800">
        <f>AGO!$U15</f>
        <v>20357.296000000002</v>
      </c>
      <c r="AN83" s="800">
        <f>SET!$U15</f>
        <v>17485.760000000002</v>
      </c>
      <c r="AO83" s="800">
        <f>OUT!$U15*0</f>
        <v>0</v>
      </c>
      <c r="AP83" s="800">
        <f>NOV!$U15*0</f>
        <v>0</v>
      </c>
      <c r="AQ83" s="800">
        <f>DEZ!$U15*0</f>
        <v>0</v>
      </c>
      <c r="AR83" s="800">
        <f t="shared" si="28"/>
        <v>63403.240000000005</v>
      </c>
    </row>
    <row r="84" spans="1:44">
      <c r="A84" s="137" t="s">
        <v>88</v>
      </c>
      <c r="B84" s="800">
        <f>$D223*'Médias por UF'!FX74</f>
        <v>31870.909390385314</v>
      </c>
      <c r="C84" s="800">
        <f>$D223*'Médias por UF'!FY74</f>
        <v>62811.196794301548</v>
      </c>
      <c r="D84" s="800">
        <f>$D223*'Médias por UF'!FZ74</f>
        <v>77115.717201460109</v>
      </c>
      <c r="E84" s="800">
        <f>$D223*'Médias por UF'!GA74</f>
        <v>90275.339117029245</v>
      </c>
      <c r="F84" s="800">
        <f>$D223*'Médias por UF'!GB74</f>
        <v>107736.60824172683</v>
      </c>
      <c r="G84" s="800">
        <f>$D223*'Médias por UF'!GC74</f>
        <v>121744.16235587919</v>
      </c>
      <c r="H84" s="800">
        <f>$D223*'Médias por UF'!GD74</f>
        <v>135597.67177384239</v>
      </c>
      <c r="I84" s="800">
        <f>$D223*'Médias por UF'!GE74</f>
        <v>164189.21688161555</v>
      </c>
      <c r="J84" s="800">
        <f>$D223*'Médias por UF'!GF74</f>
        <v>176846.06555321591</v>
      </c>
      <c r="K84" s="800">
        <f>$D223*'Médias por UF'!GG74</f>
        <v>188273.00039311053</v>
      </c>
      <c r="L84" s="800">
        <f>$D223*'Médias por UF'!GH74</f>
        <v>197932.02432583334</v>
      </c>
      <c r="M84" s="800">
        <f>$D223*'Médias por UF'!GI74</f>
        <v>206314.22</v>
      </c>
      <c r="N84" s="800">
        <f t="shared" si="26"/>
        <v>206314.22</v>
      </c>
      <c r="O84" s="802">
        <f t="shared" si="25"/>
        <v>0</v>
      </c>
      <c r="P84" s="138" t="s">
        <v>88</v>
      </c>
      <c r="Q84" s="800">
        <f>$S223*'Médias por UF'!FX74</f>
        <v>13559.038927192518</v>
      </c>
      <c r="R84" s="800">
        <f>$S223*'Médias por UF'!FY74</f>
        <v>26722.157562733675</v>
      </c>
      <c r="S84" s="800">
        <f>$S223*'Médias por UF'!FZ74</f>
        <v>32807.818522693429</v>
      </c>
      <c r="T84" s="800">
        <f>$S223*'Médias por UF'!GA74</f>
        <v>38406.398206590566</v>
      </c>
      <c r="U84" s="800">
        <f>$S223*'Médias por UF'!GB74</f>
        <v>45835.054379526242</v>
      </c>
      <c r="V84" s="800">
        <f>$S223*'Médias por UF'!GC74</f>
        <v>51794.375125041101</v>
      </c>
      <c r="W84" s="800">
        <f>$S223*'Médias por UF'!GD74</f>
        <v>57688.159678708653</v>
      </c>
      <c r="X84" s="800">
        <f>$S223*'Médias por UF'!GE74</f>
        <v>69852.038291530072</v>
      </c>
      <c r="Y84" s="800">
        <f>$S223*'Médias por UF'!GF74</f>
        <v>75236.720031599471</v>
      </c>
      <c r="Z84" s="800">
        <f>$S223*'Médias por UF'!GG74</f>
        <v>80098.151891443558</v>
      </c>
      <c r="AA84" s="800">
        <f>$S223*'Médias por UF'!GH74</f>
        <v>84207.450433831007</v>
      </c>
      <c r="AB84" s="800">
        <f>$S223*'Médias por UF'!GI74</f>
        <v>87773.540000000008</v>
      </c>
      <c r="AC84" s="800">
        <f t="shared" si="27"/>
        <v>87773.540000000008</v>
      </c>
      <c r="AE84" s="138" t="s">
        <v>88</v>
      </c>
      <c r="AF84" s="800">
        <f>JAN!$U$16</f>
        <v>3286.8960000000002</v>
      </c>
      <c r="AG84" s="800">
        <f>FEV!$U16</f>
        <v>4857.6400000000003</v>
      </c>
      <c r="AH84" s="800">
        <f>MAR!$U16</f>
        <v>2732.3040000000001</v>
      </c>
      <c r="AI84" s="800">
        <f>ABR!$U16</f>
        <v>2475.3200000000002</v>
      </c>
      <c r="AJ84" s="800">
        <f>MAI!$U16</f>
        <v>1215.68</v>
      </c>
      <c r="AK84" s="800">
        <f>JUN!$U16</f>
        <v>3802.5680000000002</v>
      </c>
      <c r="AL84" s="800">
        <f>JUL!$U16</f>
        <v>4047.72</v>
      </c>
      <c r="AM84" s="800">
        <f>AGO!$U16</f>
        <v>9888.5440000000017</v>
      </c>
      <c r="AN84" s="800">
        <f>SET!$U16</f>
        <v>8090.3520000000008</v>
      </c>
      <c r="AO84" s="800">
        <f>OUT!$U16*0</f>
        <v>0</v>
      </c>
      <c r="AP84" s="800">
        <f>NOV!$U16*0</f>
        <v>0</v>
      </c>
      <c r="AQ84" s="800">
        <f>DEZ!$U16*0</f>
        <v>0</v>
      </c>
      <c r="AR84" s="800">
        <f t="shared" si="28"/>
        <v>40397.024000000005</v>
      </c>
    </row>
    <row r="85" spans="1:44">
      <c r="A85" s="137" t="s">
        <v>89</v>
      </c>
      <c r="B85" s="800">
        <f>$D224*'Médias por UF'!FX75</f>
        <v>85179.203297373766</v>
      </c>
      <c r="C85" s="800">
        <f>$D224*'Médias por UF'!FY75</f>
        <v>184329.34401097801</v>
      </c>
      <c r="D85" s="800">
        <f>$D224*'Médias por UF'!FZ75</f>
        <v>231291.44204065949</v>
      </c>
      <c r="E85" s="800">
        <f>$D224*'Médias por UF'!GA75</f>
        <v>261720.77755967437</v>
      </c>
      <c r="F85" s="800">
        <f>$D224*'Médias por UF'!GB75</f>
        <v>301133.03132606257</v>
      </c>
      <c r="G85" s="800">
        <f>$D224*'Médias por UF'!GC75</f>
        <v>341979.45846911712</v>
      </c>
      <c r="H85" s="800">
        <f>$D224*'Médias por UF'!GD75</f>
        <v>379714.19069808349</v>
      </c>
      <c r="I85" s="800">
        <f>$D224*'Médias por UF'!GE75</f>
        <v>452835.46354333701</v>
      </c>
      <c r="J85" s="800">
        <f>$D224*'Médias por UF'!GF75</f>
        <v>478373.02927861566</v>
      </c>
      <c r="K85" s="800">
        <f>$D224*'Médias por UF'!GG75</f>
        <v>500641.55481675512</v>
      </c>
      <c r="L85" s="800">
        <f>$D224*'Médias por UF'!GH75</f>
        <v>521348.70161930966</v>
      </c>
      <c r="M85" s="800">
        <f>$D224*'Médias por UF'!GI75</f>
        <v>550411.37</v>
      </c>
      <c r="N85" s="800">
        <f t="shared" si="26"/>
        <v>550411.37</v>
      </c>
      <c r="O85" s="802">
        <f t="shared" si="25"/>
        <v>0</v>
      </c>
      <c r="P85" s="138" t="s">
        <v>89</v>
      </c>
      <c r="Q85" s="800">
        <f>$S224*'Médias por UF'!FX75</f>
        <v>56723.92174510449</v>
      </c>
      <c r="R85" s="800">
        <f>$S224*'Médias por UF'!FY75</f>
        <v>122751.59757601931</v>
      </c>
      <c r="S85" s="800">
        <f>$S224*'Médias por UF'!FZ75</f>
        <v>154025.36242119616</v>
      </c>
      <c r="T85" s="800">
        <f>$S224*'Médias por UF'!GA75</f>
        <v>174289.36090812902</v>
      </c>
      <c r="U85" s="800">
        <f>$S224*'Médias por UF'!GB75</f>
        <v>200535.41055287526</v>
      </c>
      <c r="V85" s="800">
        <f>$S224*'Médias por UF'!GC75</f>
        <v>227736.52828041304</v>
      </c>
      <c r="W85" s="800">
        <f>$S224*'Médias por UF'!GD75</f>
        <v>252865.45547354111</v>
      </c>
      <c r="X85" s="800">
        <f>$S224*'Médias por UF'!GE75</f>
        <v>301559.56387340772</v>
      </c>
      <c r="Y85" s="800">
        <f>$S224*'Médias por UF'!GF75</f>
        <v>318565.95538978704</v>
      </c>
      <c r="Z85" s="800">
        <f>$S224*'Médias por UF'!GG75</f>
        <v>333395.3744393455</v>
      </c>
      <c r="AA85" s="800">
        <f>$S224*'Médias por UF'!GH75</f>
        <v>347185.01474264602</v>
      </c>
      <c r="AB85" s="800">
        <f>$S224*'Médias por UF'!GI75</f>
        <v>366538.9</v>
      </c>
      <c r="AC85" s="800">
        <f t="shared" si="27"/>
        <v>366538.9</v>
      </c>
      <c r="AE85" s="138" t="s">
        <v>89</v>
      </c>
      <c r="AF85" s="800">
        <f>JAN!$U$17</f>
        <v>25196.232000000004</v>
      </c>
      <c r="AG85" s="800">
        <f>FEV!$U17</f>
        <v>21225.335999999999</v>
      </c>
      <c r="AH85" s="800">
        <f>MAR!$U17</f>
        <v>14554.6</v>
      </c>
      <c r="AI85" s="800">
        <f>ABR!$U17</f>
        <v>6416.4800000000005</v>
      </c>
      <c r="AJ85" s="800">
        <f>MAI!$U17</f>
        <v>6900.1039999999994</v>
      </c>
      <c r="AK85" s="800">
        <f>JUN!$U17</f>
        <v>9902.6080000000002</v>
      </c>
      <c r="AL85" s="800">
        <f>JUL!$U17</f>
        <v>20318.760000000002</v>
      </c>
      <c r="AM85" s="800">
        <f>AGO!$U17</f>
        <v>60329.864000000001</v>
      </c>
      <c r="AN85" s="800">
        <f>SET!$U17</f>
        <v>21143.504000000001</v>
      </c>
      <c r="AO85" s="800">
        <f>OUT!$U17*0</f>
        <v>0</v>
      </c>
      <c r="AP85" s="800">
        <f>NOV!$U17*0</f>
        <v>0</v>
      </c>
      <c r="AQ85" s="800">
        <f>DEZ!$U17*0</f>
        <v>0</v>
      </c>
      <c r="AR85" s="800">
        <f t="shared" si="28"/>
        <v>185987.48800000001</v>
      </c>
    </row>
    <row r="86" spans="1:44">
      <c r="A86" s="137" t="s">
        <v>90</v>
      </c>
      <c r="B86" s="800">
        <f>$D225*'Médias por UF'!FX76</f>
        <v>18570.335375478582</v>
      </c>
      <c r="C86" s="800">
        <f>$D225*'Médias por UF'!FY76</f>
        <v>36935.005429777826</v>
      </c>
      <c r="D86" s="800">
        <f>$D225*'Médias por UF'!FZ76</f>
        <v>51045.207823562007</v>
      </c>
      <c r="E86" s="800">
        <f>$D225*'Médias por UF'!GA76</f>
        <v>60472.66668813413</v>
      </c>
      <c r="F86" s="800">
        <f>$D225*'Médias por UF'!GB76</f>
        <v>73105.566244732268</v>
      </c>
      <c r="G86" s="800">
        <f>$D225*'Médias por UF'!GC76</f>
        <v>86733.606762148294</v>
      </c>
      <c r="H86" s="800">
        <f>$D225*'Médias por UF'!GD76</f>
        <v>100638.33015274575</v>
      </c>
      <c r="I86" s="800">
        <f>$D225*'Médias por UF'!GE76</f>
        <v>120046.27642848098</v>
      </c>
      <c r="J86" s="800">
        <f>$D225*'Médias por UF'!GF76</f>
        <v>127889.74825571965</v>
      </c>
      <c r="K86" s="800">
        <f>$D225*'Médias por UF'!GG76</f>
        <v>136294.88953414129</v>
      </c>
      <c r="L86" s="800">
        <f>$D225*'Médias por UF'!GH76</f>
        <v>141983.80820818848</v>
      </c>
      <c r="M86" s="800">
        <f>$D225*'Médias por UF'!GI76</f>
        <v>148233.93</v>
      </c>
      <c r="N86" s="800">
        <f t="shared" si="26"/>
        <v>148233.93</v>
      </c>
      <c r="O86" s="802">
        <f t="shared" si="25"/>
        <v>0</v>
      </c>
      <c r="P86" s="138" t="s">
        <v>90</v>
      </c>
      <c r="Q86" s="800">
        <f>$S225*'Médias por UF'!FX76</f>
        <v>6325.2295426624732</v>
      </c>
      <c r="R86" s="800">
        <f>$S225*'Médias por UF'!FY76</f>
        <v>12580.407557491881</v>
      </c>
      <c r="S86" s="800">
        <f>$S225*'Médias por UF'!FZ76</f>
        <v>17386.474180928421</v>
      </c>
      <c r="T86" s="800">
        <f>$S225*'Médias por UF'!GA76</f>
        <v>20597.554655068216</v>
      </c>
      <c r="U86" s="800">
        <f>$S225*'Médias por UF'!GB76</f>
        <v>24900.438144743635</v>
      </c>
      <c r="V86" s="800">
        <f>$S225*'Médias por UF'!GC76</f>
        <v>29542.275933154582</v>
      </c>
      <c r="W86" s="800">
        <f>$S225*'Médias por UF'!GD76</f>
        <v>34278.354490405211</v>
      </c>
      <c r="X86" s="800">
        <f>$S225*'Médias por UF'!GE76</f>
        <v>40888.88212297485</v>
      </c>
      <c r="Y86" s="800">
        <f>$S225*'Médias por UF'!GF76</f>
        <v>43560.441829117866</v>
      </c>
      <c r="Z86" s="800">
        <f>$S225*'Médias por UF'!GG76</f>
        <v>46423.311392299045</v>
      </c>
      <c r="AA86" s="800">
        <f>$S225*'Médias por UF'!GH76</f>
        <v>48361.010186387743</v>
      </c>
      <c r="AB86" s="800">
        <f>$S225*'Médias por UF'!GI76</f>
        <v>50489.86</v>
      </c>
      <c r="AC86" s="800">
        <f t="shared" si="27"/>
        <v>50489.86</v>
      </c>
      <c r="AE86" s="138" t="s">
        <v>90</v>
      </c>
      <c r="AF86" s="800">
        <f>JAN!$U$18</f>
        <v>1405.048</v>
      </c>
      <c r="AG86" s="800">
        <f>FEV!$U18</f>
        <v>3922.36</v>
      </c>
      <c r="AH86" s="800">
        <f>MAR!$U18</f>
        <v>2289.3200000000002</v>
      </c>
      <c r="AI86" s="800">
        <f>ABR!$U18</f>
        <v>2294.4</v>
      </c>
      <c r="AJ86" s="800">
        <f>MAI!$U18</f>
        <v>1816.4720000000002</v>
      </c>
      <c r="AK86" s="800">
        <f>JUN!$U18</f>
        <v>1555.5200000000002</v>
      </c>
      <c r="AL86" s="800">
        <f>JUL!$U18</f>
        <v>2485.4639999999999</v>
      </c>
      <c r="AM86" s="800">
        <f>AGO!$U18</f>
        <v>8250.32</v>
      </c>
      <c r="AN86" s="800">
        <f>SET!$U18</f>
        <v>5228.1760000000004</v>
      </c>
      <c r="AO86" s="800">
        <f>OUT!$U18*0</f>
        <v>0</v>
      </c>
      <c r="AP86" s="800">
        <f>NOV!$U18*0</f>
        <v>0</v>
      </c>
      <c r="AQ86" s="800">
        <f>DEZ!$U18*0</f>
        <v>0</v>
      </c>
      <c r="AR86" s="800">
        <f t="shared" si="28"/>
        <v>29247.08</v>
      </c>
    </row>
    <row r="87" spans="1:44">
      <c r="A87" s="137" t="s">
        <v>91</v>
      </c>
      <c r="B87" s="800">
        <f>$D226*'Médias por UF'!FX77</f>
        <v>17104.041525722238</v>
      </c>
      <c r="C87" s="800">
        <f>$D226*'Médias por UF'!FY77</f>
        <v>42662.92896506784</v>
      </c>
      <c r="D87" s="800">
        <f>$D226*'Médias por UF'!FZ77</f>
        <v>58727.503134475635</v>
      </c>
      <c r="E87" s="800">
        <f>$D226*'Médias por UF'!GA77</f>
        <v>68898.904549041516</v>
      </c>
      <c r="F87" s="800">
        <f>$D226*'Médias por UF'!GB77</f>
        <v>82701.016073423103</v>
      </c>
      <c r="G87" s="800">
        <f>$D226*'Médias por UF'!GC77</f>
        <v>98053.72744597905</v>
      </c>
      <c r="H87" s="800">
        <f>$D226*'Médias por UF'!GD77</f>
        <v>108743.0221384793</v>
      </c>
      <c r="I87" s="800">
        <f>$D226*'Médias por UF'!GE77</f>
        <v>125832.13602104476</v>
      </c>
      <c r="J87" s="800">
        <f>$D226*'Médias por UF'!GF77</f>
        <v>136531.37590976447</v>
      </c>
      <c r="K87" s="800">
        <f>$D226*'Médias por UF'!GG77</f>
        <v>144139.90473496611</v>
      </c>
      <c r="L87" s="800">
        <f>$D226*'Médias por UF'!GH77</f>
        <v>154148.84736005822</v>
      </c>
      <c r="M87" s="800">
        <f>$D226*'Médias por UF'!GI77</f>
        <v>168039.75</v>
      </c>
      <c r="N87" s="800">
        <f t="shared" si="26"/>
        <v>168039.75</v>
      </c>
      <c r="O87" s="802">
        <f t="shared" si="25"/>
        <v>0</v>
      </c>
      <c r="P87" s="138" t="s">
        <v>91</v>
      </c>
      <c r="Q87" s="800">
        <f>$S226*'Médias por UF'!FX77</f>
        <v>6411.6331508915746</v>
      </c>
      <c r="R87" s="800">
        <f>$S226*'Médias por UF'!FY77</f>
        <v>15992.655844245608</v>
      </c>
      <c r="S87" s="800">
        <f>$S226*'Médias por UF'!FZ77</f>
        <v>22014.633523885404</v>
      </c>
      <c r="T87" s="800">
        <f>$S226*'Médias por UF'!GA77</f>
        <v>25827.492280254814</v>
      </c>
      <c r="U87" s="800">
        <f>$S226*'Médias por UF'!GB77</f>
        <v>31001.361606340353</v>
      </c>
      <c r="V87" s="800">
        <f>$S226*'Médias por UF'!GC77</f>
        <v>36756.489892500969</v>
      </c>
      <c r="W87" s="800">
        <f>$S226*'Médias por UF'!GD77</f>
        <v>40763.48649076197</v>
      </c>
      <c r="X87" s="800">
        <f>$S226*'Médias por UF'!GE77</f>
        <v>47169.523854740568</v>
      </c>
      <c r="Y87" s="800">
        <f>$S226*'Médias por UF'!GF77</f>
        <v>51180.248516317886</v>
      </c>
      <c r="Z87" s="800">
        <f>$S226*'Médias por UF'!GG77</f>
        <v>54032.387034095314</v>
      </c>
      <c r="AA87" s="800">
        <f>$S226*'Médias por UF'!GH77</f>
        <v>57784.346373290296</v>
      </c>
      <c r="AB87" s="800">
        <f>$S226*'Médias por UF'!GI77</f>
        <v>62991.5</v>
      </c>
      <c r="AC87" s="800">
        <f t="shared" si="27"/>
        <v>62991.5</v>
      </c>
      <c r="AE87" s="138" t="s">
        <v>91</v>
      </c>
      <c r="AF87" s="800">
        <f>JAN!$U$19</f>
        <v>2110.1120000000001</v>
      </c>
      <c r="AG87" s="800">
        <f>FEV!$U19</f>
        <v>2755.7200000000003</v>
      </c>
      <c r="AH87" s="800">
        <f>MAR!$U19</f>
        <v>796.36000000000013</v>
      </c>
      <c r="AI87" s="800">
        <f>ABR!$U19</f>
        <v>524.13599999999997</v>
      </c>
      <c r="AJ87" s="800">
        <f>MAI!$U19</f>
        <v>1342.48</v>
      </c>
      <c r="AK87" s="800">
        <f>JUN!$U19</f>
        <v>1088.864</v>
      </c>
      <c r="AL87" s="800">
        <f>JUL!$U19</f>
        <v>1979.9040000000002</v>
      </c>
      <c r="AM87" s="800">
        <f>AGO!$U19</f>
        <v>6284.0879999999997</v>
      </c>
      <c r="AN87" s="800">
        <f>SET!$U19</f>
        <v>5721.8720000000003</v>
      </c>
      <c r="AO87" s="800">
        <f>OUT!$U19*0</f>
        <v>0</v>
      </c>
      <c r="AP87" s="800">
        <f>NOV!$U19*0</f>
        <v>0</v>
      </c>
      <c r="AQ87" s="800">
        <f>DEZ!$U19*0</f>
        <v>0</v>
      </c>
      <c r="AR87" s="800">
        <f t="shared" si="28"/>
        <v>22603.536</v>
      </c>
    </row>
    <row r="88" spans="1:44">
      <c r="A88" s="137" t="s">
        <v>92</v>
      </c>
      <c r="B88" s="800">
        <f>$D227*'Médias por UF'!FX78</f>
        <v>105085.31366666743</v>
      </c>
      <c r="C88" s="800">
        <f>$D227*'Médias por UF'!FY78</f>
        <v>216987.45603954865</v>
      </c>
      <c r="D88" s="800">
        <f>$D227*'Médias por UF'!FZ78</f>
        <v>284138.282631337</v>
      </c>
      <c r="E88" s="800">
        <f>$D227*'Médias por UF'!GA78</f>
        <v>335447.81840264081</v>
      </c>
      <c r="F88" s="800">
        <f>$D227*'Médias por UF'!GB78</f>
        <v>389522.56093242217</v>
      </c>
      <c r="G88" s="800">
        <f>$D227*'Médias por UF'!GC78</f>
        <v>452027.55119473988</v>
      </c>
      <c r="H88" s="800">
        <f>$D227*'Médias por UF'!GD78</f>
        <v>504311.33591331221</v>
      </c>
      <c r="I88" s="800">
        <f>$D227*'Médias por UF'!GE78</f>
        <v>598496.05330174649</v>
      </c>
      <c r="J88" s="800">
        <f>$D227*'Médias por UF'!GF78</f>
        <v>640019.51002451894</v>
      </c>
      <c r="K88" s="800">
        <f>$D227*'Médias por UF'!GG78</f>
        <v>675507.18494777451</v>
      </c>
      <c r="L88" s="800">
        <f>$D227*'Médias por UF'!GH78</f>
        <v>708291.42285842774</v>
      </c>
      <c r="M88" s="800">
        <f>$D227*'Médias por UF'!GI78</f>
        <v>745416.42999999993</v>
      </c>
      <c r="N88" s="800">
        <f t="shared" si="26"/>
        <v>745416.42999999993</v>
      </c>
      <c r="O88" s="802">
        <f t="shared" si="25"/>
        <v>0</v>
      </c>
      <c r="P88" s="138" t="s">
        <v>92</v>
      </c>
      <c r="Q88" s="800">
        <f>$S227*'Médias por UF'!FX78</f>
        <v>69424.50893040729</v>
      </c>
      <c r="R88" s="800">
        <f>$S227*'Médias por UF'!FY78</f>
        <v>143352.54902876419</v>
      </c>
      <c r="S88" s="800">
        <f>$S227*'Médias por UF'!FZ78</f>
        <v>187715.67645105571</v>
      </c>
      <c r="T88" s="800">
        <f>$S227*'Médias por UF'!GA78</f>
        <v>221613.27070165775</v>
      </c>
      <c r="U88" s="800">
        <f>$S227*'Médias por UF'!GB78</f>
        <v>257337.69607261295</v>
      </c>
      <c r="V88" s="800">
        <f>$S227*'Médias por UF'!GC78</f>
        <v>298631.55630151118</v>
      </c>
      <c r="W88" s="800">
        <f>$S227*'Médias por UF'!GD78</f>
        <v>333172.7871591716</v>
      </c>
      <c r="X88" s="800">
        <f>$S227*'Médias por UF'!GE78</f>
        <v>395395.82789902424</v>
      </c>
      <c r="Y88" s="800">
        <f>$S227*'Médias por UF'!GF78</f>
        <v>422828.25866870937</v>
      </c>
      <c r="Z88" s="800">
        <f>$S227*'Médias por UF'!GG78</f>
        <v>446273.15613976703</v>
      </c>
      <c r="AA88" s="800">
        <f>$S227*'Médias por UF'!GH78</f>
        <v>467932.03061222041</v>
      </c>
      <c r="AB88" s="800">
        <f>$S227*'Médias por UF'!GI78</f>
        <v>492458.63</v>
      </c>
      <c r="AC88" s="800">
        <f t="shared" si="27"/>
        <v>492458.63</v>
      </c>
      <c r="AE88" s="138" t="s">
        <v>92</v>
      </c>
      <c r="AF88" s="800">
        <f>JAN!$U$20</f>
        <v>28915.944000000003</v>
      </c>
      <c r="AG88" s="800">
        <f>FEV!$U20</f>
        <v>22059.760000000002</v>
      </c>
      <c r="AH88" s="800">
        <f>MAR!$U20</f>
        <v>19388.28</v>
      </c>
      <c r="AI88" s="800">
        <f>ABR!$U20</f>
        <v>9982.3520000000008</v>
      </c>
      <c r="AJ88" s="800">
        <f>MAI!$U20</f>
        <v>7121.576</v>
      </c>
      <c r="AK88" s="800">
        <f>JUN!$U20</f>
        <v>9131.8320000000003</v>
      </c>
      <c r="AL88" s="800">
        <f>JUL!$U20</f>
        <v>44274.728000000003</v>
      </c>
      <c r="AM88" s="800">
        <f>AGO!$U20</f>
        <v>96151.888000000006</v>
      </c>
      <c r="AN88" s="800">
        <f>SET!$U20</f>
        <v>37486.991999999998</v>
      </c>
      <c r="AO88" s="800">
        <f>OUT!$U20*0</f>
        <v>0</v>
      </c>
      <c r="AP88" s="800">
        <f>NOV!$U20*0</f>
        <v>0</v>
      </c>
      <c r="AQ88" s="800">
        <f>DEZ!$U20*0</f>
        <v>0</v>
      </c>
      <c r="AR88" s="800">
        <f t="shared" si="28"/>
        <v>274513.35200000001</v>
      </c>
    </row>
    <row r="89" spans="1:44">
      <c r="A89" s="137" t="s">
        <v>93</v>
      </c>
      <c r="B89" s="800">
        <f>$D228*'Médias por UF'!FX79</f>
        <v>24563.305431474237</v>
      </c>
      <c r="C89" s="800">
        <f>$D228*'Médias por UF'!FY79</f>
        <v>57878.451492440523</v>
      </c>
      <c r="D89" s="800">
        <f>$D228*'Médias por UF'!FZ79</f>
        <v>71319.905084536425</v>
      </c>
      <c r="E89" s="800">
        <f>$D228*'Médias por UF'!GA79</f>
        <v>83092.40805325337</v>
      </c>
      <c r="F89" s="800">
        <f>$D228*'Médias por UF'!GB79</f>
        <v>93805.834907309167</v>
      </c>
      <c r="G89" s="800">
        <f>$D228*'Médias por UF'!GC79</f>
        <v>105486.55140080297</v>
      </c>
      <c r="H89" s="800">
        <f>$D228*'Médias por UF'!GD79</f>
        <v>114500.26237906136</v>
      </c>
      <c r="I89" s="800">
        <f>$D228*'Médias por UF'!GE79</f>
        <v>133052.79142678672</v>
      </c>
      <c r="J89" s="800">
        <f>$D228*'Médias por UF'!GF79</f>
        <v>142323.83398516729</v>
      </c>
      <c r="K89" s="800">
        <f>$D228*'Médias por UF'!GG79</f>
        <v>149826.04611859415</v>
      </c>
      <c r="L89" s="800">
        <f>$D228*'Médias por UF'!GH79</f>
        <v>157098.16236134848</v>
      </c>
      <c r="M89" s="800">
        <f>$D228*'Médias por UF'!GI79</f>
        <v>165853.87</v>
      </c>
      <c r="N89" s="800">
        <f t="shared" si="26"/>
        <v>165853.87</v>
      </c>
      <c r="O89" s="802">
        <f t="shared" si="25"/>
        <v>0</v>
      </c>
      <c r="P89" s="138" t="s">
        <v>93</v>
      </c>
      <c r="Q89" s="800">
        <f>$S228*'Médias por UF'!FX79</f>
        <v>16074.465144325854</v>
      </c>
      <c r="R89" s="800">
        <f>$S228*'Médias por UF'!FY79</f>
        <v>37876.219620290387</v>
      </c>
      <c r="S89" s="800">
        <f>$S228*'Médias por UF'!FZ79</f>
        <v>46672.437126846526</v>
      </c>
      <c r="T89" s="800">
        <f>$S228*'Médias por UF'!GA79</f>
        <v>54376.47716983009</v>
      </c>
      <c r="U89" s="800">
        <f>$S228*'Médias por UF'!GB79</f>
        <v>61387.447538709654</v>
      </c>
      <c r="V89" s="800">
        <f>$S228*'Médias por UF'!GC79</f>
        <v>69031.421622703667</v>
      </c>
      <c r="W89" s="800">
        <f>$S228*'Médias por UF'!GD79</f>
        <v>74930.081448648183</v>
      </c>
      <c r="X89" s="800">
        <f>$S228*'Médias por UF'!GE79</f>
        <v>87071.036270413621</v>
      </c>
      <c r="Y89" s="800">
        <f>$S228*'Médias por UF'!GF79</f>
        <v>93138.09637647304</v>
      </c>
      <c r="Z89" s="800">
        <f>$S228*'Médias por UF'!GG79</f>
        <v>98047.616708764515</v>
      </c>
      <c r="AA89" s="800">
        <f>$S228*'Médias por UF'!GH79</f>
        <v>102806.56006008793</v>
      </c>
      <c r="AB89" s="800">
        <f>$S228*'Médias por UF'!GI79</f>
        <v>108536.37999999999</v>
      </c>
      <c r="AC89" s="800">
        <f t="shared" si="27"/>
        <v>108536.37999999999</v>
      </c>
      <c r="AE89" s="138" t="s">
        <v>93</v>
      </c>
      <c r="AF89" s="800">
        <f>JAN!$U$21</f>
        <v>6274.5280000000002</v>
      </c>
      <c r="AG89" s="800">
        <f>FEV!$U21</f>
        <v>7924.7360000000008</v>
      </c>
      <c r="AH89" s="800">
        <f>MAR!$U21</f>
        <v>4309.8160000000007</v>
      </c>
      <c r="AI89" s="800">
        <f>ABR!$U21</f>
        <v>1626.5360000000001</v>
      </c>
      <c r="AJ89" s="800">
        <f>MAI!$U21</f>
        <v>2000.768</v>
      </c>
      <c r="AK89" s="800">
        <f>JUN!$U21</f>
        <v>2031.2</v>
      </c>
      <c r="AL89" s="800">
        <f>JUL!$U21</f>
        <v>7004.9360000000006</v>
      </c>
      <c r="AM89" s="800">
        <f>AGO!$U21</f>
        <v>16491.592000000001</v>
      </c>
      <c r="AN89" s="800">
        <f>SET!$U21</f>
        <v>6709.4880000000012</v>
      </c>
      <c r="AO89" s="800">
        <f>OUT!$U21*0</f>
        <v>0</v>
      </c>
      <c r="AP89" s="800">
        <f>NOV!$U21*0</f>
        <v>0</v>
      </c>
      <c r="AQ89" s="800">
        <f>DEZ!$U21*0</f>
        <v>0</v>
      </c>
      <c r="AR89" s="800">
        <f t="shared" si="28"/>
        <v>54373.600000000006</v>
      </c>
    </row>
    <row r="90" spans="1:44">
      <c r="A90" s="137" t="s">
        <v>94</v>
      </c>
      <c r="B90" s="800">
        <f>$D229*'Médias por UF'!FX80</f>
        <v>14686.664850916175</v>
      </c>
      <c r="C90" s="800">
        <f>$D229*'Médias por UF'!FY80</f>
        <v>28731.070618223257</v>
      </c>
      <c r="D90" s="800">
        <f>$D229*'Médias por UF'!FZ80</f>
        <v>34520.23400777566</v>
      </c>
      <c r="E90" s="800">
        <f>$D229*'Médias por UF'!GA80</f>
        <v>41226.598239131694</v>
      </c>
      <c r="F90" s="800">
        <f>$D229*'Médias por UF'!GB80</f>
        <v>47494.118349711709</v>
      </c>
      <c r="G90" s="800">
        <f>$D229*'Médias por UF'!GC80</f>
        <v>54365.218965804255</v>
      </c>
      <c r="H90" s="800">
        <f>$D229*'Médias por UF'!GD80</f>
        <v>62832.807877471947</v>
      </c>
      <c r="I90" s="800">
        <f>$D229*'Médias por UF'!GE80</f>
        <v>74320.799637027463</v>
      </c>
      <c r="J90" s="800">
        <f>$D229*'Médias por UF'!GF80</f>
        <v>79995.119665791994</v>
      </c>
      <c r="K90" s="800">
        <f>$D229*'Médias por UF'!GG80</f>
        <v>85937.958060656587</v>
      </c>
      <c r="L90" s="800">
        <f>$D229*'Médias por UF'!GH80</f>
        <v>90195.554694979975</v>
      </c>
      <c r="M90" s="800">
        <f>$D229*'Médias por UF'!GI80</f>
        <v>94150.35</v>
      </c>
      <c r="N90" s="800">
        <f t="shared" si="26"/>
        <v>94150.35</v>
      </c>
      <c r="O90" s="802">
        <f t="shared" si="25"/>
        <v>0</v>
      </c>
      <c r="P90" s="138" t="s">
        <v>94</v>
      </c>
      <c r="Q90" s="800">
        <f>$S229*'Médias por UF'!FX80</f>
        <v>9084.7798822417753</v>
      </c>
      <c r="R90" s="800">
        <f>$S229*'Médias por UF'!FY80</f>
        <v>17772.275393852942</v>
      </c>
      <c r="S90" s="800">
        <f>$S229*'Médias por UF'!FZ80</f>
        <v>21353.297745100746</v>
      </c>
      <c r="T90" s="800">
        <f>$S229*'Médias por UF'!GA80</f>
        <v>25501.676118983803</v>
      </c>
      <c r="U90" s="800">
        <f>$S229*'Médias por UF'!GB80</f>
        <v>29378.597202846566</v>
      </c>
      <c r="V90" s="800">
        <f>$S229*'Médias por UF'!GC80</f>
        <v>33628.877118646691</v>
      </c>
      <c r="W90" s="800">
        <f>$S229*'Médias por UF'!GD80</f>
        <v>38866.702191710399</v>
      </c>
      <c r="X90" s="800">
        <f>$S229*'Médias por UF'!GE80</f>
        <v>45972.868056049483</v>
      </c>
      <c r="Y90" s="800">
        <f>$S229*'Médias por UF'!GF80</f>
        <v>49482.851361721892</v>
      </c>
      <c r="Z90" s="800">
        <f>$S229*'Médias por UF'!GG80</f>
        <v>53158.932980055542</v>
      </c>
      <c r="AA90" s="800">
        <f>$S229*'Médias por UF'!GH80</f>
        <v>55792.56891052948</v>
      </c>
      <c r="AB90" s="800">
        <f>$S229*'Médias por UF'!GI80</f>
        <v>58238.9</v>
      </c>
      <c r="AC90" s="800">
        <f t="shared" si="27"/>
        <v>58238.9</v>
      </c>
      <c r="AE90" s="138" t="s">
        <v>94</v>
      </c>
      <c r="AF90" s="800">
        <f>JAN!$U$22</f>
        <v>3652.1280000000002</v>
      </c>
      <c r="AG90" s="800">
        <f>FEV!$U22</f>
        <v>1947.7919999999999</v>
      </c>
      <c r="AH90" s="800">
        <f>MAR!$U22</f>
        <v>733.80000000000007</v>
      </c>
      <c r="AI90" s="800">
        <f>ABR!$U22</f>
        <v>1165.8</v>
      </c>
      <c r="AJ90" s="800">
        <f>MAI!$U22</f>
        <v>542.74400000000003</v>
      </c>
      <c r="AK90" s="800">
        <f>JUN!$U22</f>
        <v>361.82400000000001</v>
      </c>
      <c r="AL90" s="800">
        <f>JUL!$U22</f>
        <v>1959.616</v>
      </c>
      <c r="AM90" s="800">
        <f>AGO!$U22</f>
        <v>8461.7520000000004</v>
      </c>
      <c r="AN90" s="800">
        <f>SET!$U22</f>
        <v>3753.52</v>
      </c>
      <c r="AO90" s="800">
        <f>OUT!$U22*0</f>
        <v>0</v>
      </c>
      <c r="AP90" s="800">
        <f>NOV!$U22*0</f>
        <v>0</v>
      </c>
      <c r="AQ90" s="800">
        <f>DEZ!$U22*0</f>
        <v>0</v>
      </c>
      <c r="AR90" s="800">
        <f t="shared" si="28"/>
        <v>22578.975999999999</v>
      </c>
    </row>
    <row r="91" spans="1:44">
      <c r="A91" s="137" t="s">
        <v>95</v>
      </c>
      <c r="B91" s="800">
        <f>$D230*'Médias por UF'!FX81</f>
        <v>145767.86090619164</v>
      </c>
      <c r="C91" s="800">
        <f>$D230*'Médias por UF'!FY81</f>
        <v>315057.06281801261</v>
      </c>
      <c r="D91" s="800">
        <f>$D230*'Médias por UF'!FZ81</f>
        <v>387915.82826164854</v>
      </c>
      <c r="E91" s="800">
        <f>$D230*'Médias por UF'!GA81</f>
        <v>435243.25488933705</v>
      </c>
      <c r="F91" s="800">
        <f>$D230*'Médias por UF'!GB81</f>
        <v>483621.36383984407</v>
      </c>
      <c r="G91" s="800">
        <f>$D230*'Médias por UF'!GC81</f>
        <v>545971.84566619433</v>
      </c>
      <c r="H91" s="800">
        <f>$D230*'Médias por UF'!GD81</f>
        <v>618468.46857018431</v>
      </c>
      <c r="I91" s="800">
        <f>$D230*'Médias por UF'!GE81</f>
        <v>736885.90783449798</v>
      </c>
      <c r="J91" s="800">
        <f>$D230*'Médias por UF'!GF81</f>
        <v>779771.09090898489</v>
      </c>
      <c r="K91" s="800">
        <f>$D230*'Médias por UF'!GG81</f>
        <v>814667.57805653359</v>
      </c>
      <c r="L91" s="800">
        <f>$D230*'Médias por UF'!GH81</f>
        <v>852104.45837877959</v>
      </c>
      <c r="M91" s="800">
        <f>$D230*'Médias por UF'!GI81</f>
        <v>895276.94</v>
      </c>
      <c r="N91" s="800">
        <f t="shared" si="26"/>
        <v>895276.94</v>
      </c>
      <c r="O91" s="802">
        <f t="shared" si="25"/>
        <v>0</v>
      </c>
      <c r="P91" s="138" t="s">
        <v>95</v>
      </c>
      <c r="Q91" s="800">
        <f>$S230*'Médias por UF'!FX81</f>
        <v>87304.33500801117</v>
      </c>
      <c r="R91" s="800">
        <f>$S230*'Médias por UF'!FY81</f>
        <v>188696.24063842907</v>
      </c>
      <c r="S91" s="800">
        <f>$S230*'Médias por UF'!FZ81</f>
        <v>232333.33613408724</v>
      </c>
      <c r="T91" s="800">
        <f>$S230*'Médias por UF'!GA81</f>
        <v>260679.0186712677</v>
      </c>
      <c r="U91" s="800">
        <f>$S230*'Médias por UF'!GB81</f>
        <v>289653.98341735272</v>
      </c>
      <c r="V91" s="800">
        <f>$S230*'Médias por UF'!GC81</f>
        <v>326997.38215722801</v>
      </c>
      <c r="W91" s="800">
        <f>$S230*'Médias por UF'!GD81</f>
        <v>370417.58064002375</v>
      </c>
      <c r="X91" s="800">
        <f>$S230*'Médias por UF'!GE81</f>
        <v>441341.00452819938</v>
      </c>
      <c r="Y91" s="800">
        <f>$S230*'Médias por UF'!GF81</f>
        <v>467026.10662642098</v>
      </c>
      <c r="Z91" s="800">
        <f>$S230*'Médias por UF'!GG81</f>
        <v>487926.56153872143</v>
      </c>
      <c r="AA91" s="800">
        <f>$S230*'Médias por UF'!GH81</f>
        <v>510348.5269911167</v>
      </c>
      <c r="AB91" s="800">
        <f>$S230*'Médias por UF'!GI81</f>
        <v>536205.69999999995</v>
      </c>
      <c r="AC91" s="800">
        <f t="shared" si="27"/>
        <v>536205.69999999995</v>
      </c>
      <c r="AE91" s="138" t="s">
        <v>95</v>
      </c>
      <c r="AF91" s="800">
        <f>JAN!$U$23</f>
        <v>36010.576000000001</v>
      </c>
      <c r="AG91" s="800">
        <f>FEV!$U23</f>
        <v>37906.800000000003</v>
      </c>
      <c r="AH91" s="800">
        <f>MAR!$U23</f>
        <v>20595.528000000002</v>
      </c>
      <c r="AI91" s="800">
        <f>ABR!$U23</f>
        <v>11487.216</v>
      </c>
      <c r="AJ91" s="800">
        <f>MAI!$U23</f>
        <v>12107.744000000001</v>
      </c>
      <c r="AK91" s="800">
        <f>JUN!$U23</f>
        <v>9068.496000000001</v>
      </c>
      <c r="AL91" s="800">
        <f>JUL!$U23</f>
        <v>19166.240000000002</v>
      </c>
      <c r="AM91" s="800">
        <f>AGO!$U23</f>
        <v>78332.36</v>
      </c>
      <c r="AN91" s="800">
        <f>SET!$U23</f>
        <v>37508.184000000001</v>
      </c>
      <c r="AO91" s="800">
        <f>OUT!$U23*0</f>
        <v>0</v>
      </c>
      <c r="AP91" s="800">
        <f>NOV!$U23*0</f>
        <v>0</v>
      </c>
      <c r="AQ91" s="800">
        <f>DEZ!$U23*0</f>
        <v>0</v>
      </c>
      <c r="AR91" s="800">
        <f t="shared" si="28"/>
        <v>262183.14400000003</v>
      </c>
    </row>
    <row r="92" spans="1:44">
      <c r="A92" s="137" t="s">
        <v>96</v>
      </c>
      <c r="B92" s="800">
        <f>$D231*'Médias por UF'!FX82</f>
        <v>8807.1505001660389</v>
      </c>
      <c r="C92" s="800">
        <f>$D231*'Médias por UF'!FY82</f>
        <v>26911.280149429462</v>
      </c>
      <c r="D92" s="800">
        <f>$D231*'Médias por UF'!FZ82</f>
        <v>35964.076570659767</v>
      </c>
      <c r="E92" s="800">
        <f>$D231*'Médias por UF'!GA82</f>
        <v>42209.09641074876</v>
      </c>
      <c r="F92" s="800">
        <f>$D231*'Médias por UF'!GB82</f>
        <v>49891.458539334577</v>
      </c>
      <c r="G92" s="800">
        <f>$D231*'Médias por UF'!GC82</f>
        <v>58974.338696156847</v>
      </c>
      <c r="H92" s="800">
        <f>$D231*'Médias por UF'!GD82</f>
        <v>66301.961302803247</v>
      </c>
      <c r="I92" s="800">
        <f>$D231*'Médias por UF'!GE82</f>
        <v>85595.430309264324</v>
      </c>
      <c r="J92" s="800">
        <f>$D231*'Médias por UF'!GF82</f>
        <v>91667.503141405119</v>
      </c>
      <c r="K92" s="800">
        <f>$D231*'Médias por UF'!GG82</f>
        <v>95642.949427935804</v>
      </c>
      <c r="L92" s="800">
        <f>$D231*'Médias por UF'!GH82</f>
        <v>99985.535933826701</v>
      </c>
      <c r="M92" s="800">
        <f>$D231*'Médias por UF'!GI82</f>
        <v>105048.29000000001</v>
      </c>
      <c r="N92" s="800">
        <f t="shared" si="26"/>
        <v>105048.29000000001</v>
      </c>
      <c r="O92" s="802">
        <f t="shared" si="25"/>
        <v>0</v>
      </c>
      <c r="P92" s="138" t="s">
        <v>96</v>
      </c>
      <c r="Q92" s="800">
        <f>$S231*'Médias por UF'!FX82</f>
        <v>4882.6949707046142</v>
      </c>
      <c r="R92" s="800">
        <f>$S231*'Médias por UF'!FY82</f>
        <v>14919.646512043246</v>
      </c>
      <c r="S92" s="800">
        <f>$S231*'Médias por UF'!FZ82</f>
        <v>19938.527880758429</v>
      </c>
      <c r="T92" s="800">
        <f>$S231*'Médias por UF'!GA82</f>
        <v>23400.774491007476</v>
      </c>
      <c r="U92" s="800">
        <f>$S231*'Médias por UF'!GB82</f>
        <v>27659.885417710771</v>
      </c>
      <c r="V92" s="800">
        <f>$S231*'Médias por UF'!GC82</f>
        <v>32695.445246101663</v>
      </c>
      <c r="W92" s="800">
        <f>$S231*'Médias por UF'!GD82</f>
        <v>36757.888149515114</v>
      </c>
      <c r="X92" s="800">
        <f>$S231*'Médias por UF'!GE82</f>
        <v>47454.210879950675</v>
      </c>
      <c r="Y92" s="800">
        <f>$S231*'Médias por UF'!GF82</f>
        <v>50820.57545822001</v>
      </c>
      <c r="Z92" s="800">
        <f>$S231*'Médias por UF'!GG82</f>
        <v>53024.567724411412</v>
      </c>
      <c r="AA92" s="800">
        <f>$S231*'Médias por UF'!GH82</f>
        <v>55432.102975655667</v>
      </c>
      <c r="AB92" s="800">
        <f>$S231*'Médias por UF'!GI82</f>
        <v>58238.9</v>
      </c>
      <c r="AC92" s="800">
        <f t="shared" si="27"/>
        <v>58238.9</v>
      </c>
      <c r="AE92" s="138" t="s">
        <v>96</v>
      </c>
      <c r="AF92" s="800">
        <f>JAN!$U$24</f>
        <v>1704.3200000000002</v>
      </c>
      <c r="AG92" s="800">
        <f>FEV!$U24</f>
        <v>1846.3520000000001</v>
      </c>
      <c r="AH92" s="800">
        <f>MAR!$U24</f>
        <v>1065.2</v>
      </c>
      <c r="AI92" s="800">
        <f>ABR!$U24</f>
        <v>202.89600000000002</v>
      </c>
      <c r="AJ92" s="800">
        <f>MAI!$U24</f>
        <v>852.15200000000004</v>
      </c>
      <c r="AK92" s="800">
        <f>JUN!$U24</f>
        <v>764.23199999999997</v>
      </c>
      <c r="AL92" s="800">
        <f>JUL!$U24</f>
        <v>1246.1120000000001</v>
      </c>
      <c r="AM92" s="800">
        <f>AGO!$U24</f>
        <v>6381.0400000000009</v>
      </c>
      <c r="AN92" s="800">
        <f>SET!$U24</f>
        <v>3580.2160000000003</v>
      </c>
      <c r="AO92" s="800">
        <f>OUT!$U24*0</f>
        <v>0</v>
      </c>
      <c r="AP92" s="800">
        <f>NOV!$U24*0</f>
        <v>0</v>
      </c>
      <c r="AQ92" s="800">
        <f>DEZ!$U24*0</f>
        <v>0</v>
      </c>
      <c r="AR92" s="800">
        <f t="shared" si="28"/>
        <v>17642.52</v>
      </c>
    </row>
    <row r="93" spans="1:44">
      <c r="A93" s="137" t="s">
        <v>97</v>
      </c>
      <c r="B93" s="800">
        <f>$D232*'Médias por UF'!FX83</f>
        <v>117199.30024175267</v>
      </c>
      <c r="C93" s="800">
        <f>$D232*'Médias por UF'!FY83</f>
        <v>256418.02953826694</v>
      </c>
      <c r="D93" s="800">
        <f>$D232*'Médias por UF'!FZ83</f>
        <v>322530.31462081138</v>
      </c>
      <c r="E93" s="800">
        <f>$D232*'Médias por UF'!GA83</f>
        <v>378733.4638930576</v>
      </c>
      <c r="F93" s="800">
        <f>$D232*'Médias por UF'!GB83</f>
        <v>434980.73669936426</v>
      </c>
      <c r="G93" s="800">
        <f>$D232*'Médias por UF'!GC83</f>
        <v>500771.93354090484</v>
      </c>
      <c r="H93" s="800">
        <f>$D232*'Médias por UF'!GD83</f>
        <v>552602.59499234613</v>
      </c>
      <c r="I93" s="800">
        <f>$D232*'Médias por UF'!GE83</f>
        <v>674516.81731224025</v>
      </c>
      <c r="J93" s="800">
        <f>$D232*'Médias por UF'!GF83</f>
        <v>723282.27009342692</v>
      </c>
      <c r="K93" s="800">
        <f>$D232*'Médias por UF'!GG83</f>
        <v>765590.78162851406</v>
      </c>
      <c r="L93" s="800">
        <f>$D232*'Médias por UF'!GH83</f>
        <v>808323.11413184868</v>
      </c>
      <c r="M93" s="800">
        <f>$D232*'Médias por UF'!GI83</f>
        <v>852328.64</v>
      </c>
      <c r="N93" s="800">
        <f t="shared" si="26"/>
        <v>852328.64</v>
      </c>
      <c r="O93" s="802">
        <f t="shared" si="25"/>
        <v>0</v>
      </c>
      <c r="P93" s="138" t="s">
        <v>97</v>
      </c>
      <c r="Q93" s="800">
        <f>$S232*'Médias por UF'!FX83</f>
        <v>8008.1297360246044</v>
      </c>
      <c r="R93" s="800">
        <f>$S232*'Médias por UF'!FY83</f>
        <v>17520.828562649469</v>
      </c>
      <c r="S93" s="800">
        <f>$S232*'Médias por UF'!FZ83</f>
        <v>22038.22546684571</v>
      </c>
      <c r="T93" s="800">
        <f>$S232*'Médias por UF'!GA83</f>
        <v>25878.539444974409</v>
      </c>
      <c r="U93" s="800">
        <f>$S232*'Médias por UF'!GB83</f>
        <v>29721.868347120901</v>
      </c>
      <c r="V93" s="800">
        <f>$S232*'Médias por UF'!GC83</f>
        <v>34217.325561529178</v>
      </c>
      <c r="W93" s="800">
        <f>$S232*'Médias por UF'!GD83</f>
        <v>37758.871119829724</v>
      </c>
      <c r="X93" s="800">
        <f>$S232*'Médias por UF'!GE83</f>
        <v>46089.167520835428</v>
      </c>
      <c r="Y93" s="800">
        <f>$S232*'Médias por UF'!GF83</f>
        <v>49421.269945527209</v>
      </c>
      <c r="Z93" s="800">
        <f>$S232*'Médias por UF'!GG83</f>
        <v>52312.174998818373</v>
      </c>
      <c r="AA93" s="800">
        <f>$S232*'Médias por UF'!GH83</f>
        <v>55232.039382852745</v>
      </c>
      <c r="AB93" s="800">
        <f>$S232*'Médias por UF'!GI83</f>
        <v>58238.9</v>
      </c>
      <c r="AC93" s="800">
        <f t="shared" si="27"/>
        <v>58238.9</v>
      </c>
      <c r="AE93" s="138" t="s">
        <v>97</v>
      </c>
      <c r="AF93" s="800">
        <f>JAN!$U$25</f>
        <v>50172.640000000007</v>
      </c>
      <c r="AG93" s="800">
        <f>FEV!$U25</f>
        <v>26247.736000000001</v>
      </c>
      <c r="AH93" s="800">
        <f>MAR!$U25</f>
        <v>11733.416000000001</v>
      </c>
      <c r="AI93" s="800">
        <f>ABR!$U25</f>
        <v>9877.4720000000016</v>
      </c>
      <c r="AJ93" s="800">
        <f>MAI!$U25</f>
        <v>12020.928</v>
      </c>
      <c r="AK93" s="800">
        <f>JUN!$U25</f>
        <v>11502.400000000001</v>
      </c>
      <c r="AL93" s="800">
        <f>JUL!$U25</f>
        <v>27116.208000000002</v>
      </c>
      <c r="AM93" s="800">
        <f>AGO!$U25</f>
        <v>123189.72</v>
      </c>
      <c r="AN93" s="800">
        <f>SET!$U25</f>
        <v>41676.880000000005</v>
      </c>
      <c r="AO93" s="800">
        <f>OUT!$U25*0</f>
        <v>0</v>
      </c>
      <c r="AP93" s="800">
        <f>NOV!$U25*0</f>
        <v>0</v>
      </c>
      <c r="AQ93" s="800">
        <f>DEZ!$U25*0</f>
        <v>0</v>
      </c>
      <c r="AR93" s="800">
        <f t="shared" si="28"/>
        <v>313537.40000000002</v>
      </c>
    </row>
    <row r="94" spans="1:44">
      <c r="A94" s="137" t="s">
        <v>98</v>
      </c>
      <c r="B94" s="800">
        <f>$D233*'Médias por UF'!FX84</f>
        <v>12171.267999306814</v>
      </c>
      <c r="C94" s="800">
        <f>$D233*'Médias por UF'!FY84</f>
        <v>21218.737289882014</v>
      </c>
      <c r="D94" s="800">
        <f>$D233*'Médias por UF'!FZ84</f>
        <v>29940.445962619251</v>
      </c>
      <c r="E94" s="800">
        <f>$D233*'Médias por UF'!GA84</f>
        <v>35595.935816233483</v>
      </c>
      <c r="F94" s="800">
        <f>$D233*'Médias por UF'!GB84</f>
        <v>39710.271543860101</v>
      </c>
      <c r="G94" s="800">
        <f>$D233*'Médias por UF'!GC84</f>
        <v>48866.521657382706</v>
      </c>
      <c r="H94" s="800">
        <f>$D233*'Médias por UF'!GD84</f>
        <v>53539.313086396083</v>
      </c>
      <c r="I94" s="800">
        <f>$D233*'Médias por UF'!GE84</f>
        <v>62816.392845120376</v>
      </c>
      <c r="J94" s="800">
        <f>$D233*'Médias por UF'!GF84</f>
        <v>67507.546678944433</v>
      </c>
      <c r="K94" s="800">
        <f>$D233*'Médias por UF'!GG84</f>
        <v>71076.40961562423</v>
      </c>
      <c r="L94" s="800">
        <f>$D233*'Médias por UF'!GH84</f>
        <v>74947.615286002838</v>
      </c>
      <c r="M94" s="800">
        <f>$D233*'Médias por UF'!GI84</f>
        <v>78577.400000000009</v>
      </c>
      <c r="N94" s="800">
        <f t="shared" si="26"/>
        <v>78577.400000000009</v>
      </c>
      <c r="O94" s="802">
        <f t="shared" si="25"/>
        <v>0</v>
      </c>
      <c r="P94" s="138" t="s">
        <v>98</v>
      </c>
      <c r="Q94" s="800">
        <f>$S233*'Médias por UF'!FX84</f>
        <v>5359.4028549121713</v>
      </c>
      <c r="R94" s="800">
        <f>$S233*'Médias por UF'!FY84</f>
        <v>9343.2961311427589</v>
      </c>
      <c r="S94" s="800">
        <f>$S233*'Médias por UF'!FZ84</f>
        <v>13183.746473953577</v>
      </c>
      <c r="T94" s="800">
        <f>$S233*'Médias por UF'!GA84</f>
        <v>15674.041525308388</v>
      </c>
      <c r="U94" s="800">
        <f>$S233*'Médias por UF'!GB84</f>
        <v>17485.716582168945</v>
      </c>
      <c r="V94" s="800">
        <f>$S233*'Médias por UF'!GC84</f>
        <v>21517.509572143179</v>
      </c>
      <c r="W94" s="800">
        <f>$S233*'Médias por UF'!GD84</f>
        <v>23575.090731845659</v>
      </c>
      <c r="X94" s="800">
        <f>$S233*'Médias por UF'!GE84</f>
        <v>27660.088921597668</v>
      </c>
      <c r="Y94" s="800">
        <f>$S233*'Médias por UF'!GF84</f>
        <v>29725.755641881922</v>
      </c>
      <c r="Z94" s="800">
        <f>$S233*'Médias por UF'!GG84</f>
        <v>31297.241391166328</v>
      </c>
      <c r="AA94" s="800">
        <f>$S233*'Médias por UF'!GH84</f>
        <v>33001.85842227278</v>
      </c>
      <c r="AB94" s="800">
        <f>$S233*'Médias por UF'!GI84</f>
        <v>34600.170000000006</v>
      </c>
      <c r="AC94" s="800">
        <f t="shared" si="27"/>
        <v>34600.170000000006</v>
      </c>
      <c r="AE94" s="138" t="s">
        <v>98</v>
      </c>
      <c r="AF94" s="800">
        <f>JAN!$U$26</f>
        <v>1301.9120000000003</v>
      </c>
      <c r="AG94" s="800">
        <f>FEV!$U26</f>
        <v>1673.8880000000001</v>
      </c>
      <c r="AH94" s="800">
        <f>MAR!$U26</f>
        <v>561.34399999999994</v>
      </c>
      <c r="AI94" s="800">
        <f>ABR!$U26</f>
        <v>557.95200000000011</v>
      </c>
      <c r="AJ94" s="800">
        <f>MAI!$U26</f>
        <v>405.79200000000003</v>
      </c>
      <c r="AK94" s="800">
        <f>JUN!$U26</f>
        <v>1727.992</v>
      </c>
      <c r="AL94" s="800">
        <f>JUL!$U26</f>
        <v>2341.752</v>
      </c>
      <c r="AM94" s="800">
        <f>AGO!$U26</f>
        <v>3091.3119999999999</v>
      </c>
      <c r="AN94" s="800">
        <f>SET!$U26</f>
        <v>4335.424</v>
      </c>
      <c r="AO94" s="800">
        <f>OUT!$U26*0</f>
        <v>0</v>
      </c>
      <c r="AP94" s="800">
        <f>NOV!$U26*0</f>
        <v>0</v>
      </c>
      <c r="AQ94" s="800">
        <f>DEZ!$U26*0</f>
        <v>0</v>
      </c>
      <c r="AR94" s="800">
        <f t="shared" si="28"/>
        <v>15997.368000000002</v>
      </c>
    </row>
    <row r="95" spans="1:44">
      <c r="A95" s="137" t="s">
        <v>99</v>
      </c>
      <c r="B95" s="800">
        <f>$D234*'Médias por UF'!FX85</f>
        <v>4632.4974969668001</v>
      </c>
      <c r="C95" s="800">
        <f>$D234*'Médias por UF'!FY85</f>
        <v>6605.605341944447</v>
      </c>
      <c r="D95" s="800">
        <f>$D234*'Médias por UF'!FZ85</f>
        <v>11306.575572915795</v>
      </c>
      <c r="E95" s="800">
        <f>$D234*'Médias por UF'!GA85</f>
        <v>11880.631500929947</v>
      </c>
      <c r="F95" s="800">
        <f>$D234*'Médias por UF'!GB85</f>
        <v>12265.462434906794</v>
      </c>
      <c r="G95" s="800">
        <f>$D234*'Médias por UF'!GC85</f>
        <v>12581.94559461431</v>
      </c>
      <c r="H95" s="800">
        <f>$D234*'Médias por UF'!GD85</f>
        <v>14064.447779590266</v>
      </c>
      <c r="I95" s="800">
        <f>$D234*'Médias por UF'!GE85</f>
        <v>16547.030654802955</v>
      </c>
      <c r="J95" s="800">
        <f>$D234*'Médias por UF'!GF85</f>
        <v>18504.05253426934</v>
      </c>
      <c r="K95" s="800">
        <f>$D234*'Médias por UF'!GG85</f>
        <v>18740.548648136548</v>
      </c>
      <c r="L95" s="800">
        <f>$D234*'Médias por UF'!GH85</f>
        <v>19598.055882797384</v>
      </c>
      <c r="M95" s="800">
        <f>$D234*'Médias por UF'!GI85</f>
        <v>20353.640000000003</v>
      </c>
      <c r="N95" s="800">
        <f t="shared" si="26"/>
        <v>20353.640000000003</v>
      </c>
      <c r="O95" s="802">
        <f t="shared" si="25"/>
        <v>0</v>
      </c>
      <c r="P95" s="138" t="s">
        <v>99</v>
      </c>
      <c r="Q95" s="800">
        <f>$S234*'Médias por UF'!FX85</f>
        <v>1561.612165007763</v>
      </c>
      <c r="R95" s="800">
        <f>$S234*'Médias por UF'!FY85</f>
        <v>2226.7456519889924</v>
      </c>
      <c r="S95" s="800">
        <f>$S234*'Médias por UF'!FZ85</f>
        <v>3811.4399351118445</v>
      </c>
      <c r="T95" s="800">
        <f>$S234*'Médias por UF'!GA85</f>
        <v>4004.9538487553355</v>
      </c>
      <c r="U95" s="800">
        <f>$S234*'Médias por UF'!GB85</f>
        <v>4134.6801288802635</v>
      </c>
      <c r="V95" s="800">
        <f>$S234*'Médias por UF'!GC85</f>
        <v>4241.3664147428999</v>
      </c>
      <c r="W95" s="800">
        <f>$S234*'Médias por UF'!GD85</f>
        <v>4741.1170240470356</v>
      </c>
      <c r="X95" s="800">
        <f>$S234*'Médias por UF'!GE85</f>
        <v>5577.9942422453187</v>
      </c>
      <c r="Y95" s="800">
        <f>$S234*'Médias por UF'!GF85</f>
        <v>6237.7051597713607</v>
      </c>
      <c r="Z95" s="800">
        <f>$S234*'Médias por UF'!GG85</f>
        <v>6317.4278598125184</v>
      </c>
      <c r="AA95" s="800">
        <f>$S234*'Médias por UF'!GH85</f>
        <v>6606.4930411980058</v>
      </c>
      <c r="AB95" s="800">
        <f>$S234*'Médias por UF'!GI85</f>
        <v>6861.2</v>
      </c>
      <c r="AC95" s="800">
        <f t="shared" si="27"/>
        <v>6861.2</v>
      </c>
      <c r="AE95" s="138" t="s">
        <v>99</v>
      </c>
      <c r="AF95" s="800">
        <f>JAN!$U$27</f>
        <v>628.97600000000011</v>
      </c>
      <c r="AG95" s="800">
        <f>FEV!$U27</f>
        <v>439.608</v>
      </c>
      <c r="AH95" s="800">
        <f>MAR!$U27</f>
        <v>223.18400000000003</v>
      </c>
      <c r="AI95" s="800">
        <f>ABR!$U27</f>
        <v>20.288</v>
      </c>
      <c r="AJ95" s="800">
        <f>MAI!$U27</f>
        <v>40.576000000000001</v>
      </c>
      <c r="AK95" s="800">
        <f>JUN!$U27</f>
        <v>0</v>
      </c>
      <c r="AL95" s="800">
        <f>JUL!$U27</f>
        <v>118.352</v>
      </c>
      <c r="AM95" s="800">
        <f>AGO!$U27</f>
        <v>667.84799999999996</v>
      </c>
      <c r="AN95" s="800">
        <f>SET!$U27</f>
        <v>211.34400000000002</v>
      </c>
      <c r="AO95" s="800">
        <f>OUT!$U27*0</f>
        <v>0</v>
      </c>
      <c r="AP95" s="800">
        <f>NOV!$U27*0</f>
        <v>0</v>
      </c>
      <c r="AQ95" s="800">
        <f>DEZ!$U27*0</f>
        <v>0</v>
      </c>
      <c r="AR95" s="800">
        <f t="shared" si="28"/>
        <v>2350.1760000000004</v>
      </c>
    </row>
    <row r="96" spans="1:44">
      <c r="A96" s="137" t="s">
        <v>100</v>
      </c>
      <c r="B96" s="800">
        <f>$D235*'Médias por UF'!FX86</f>
        <v>74536.716873078956</v>
      </c>
      <c r="C96" s="800">
        <f>$D235*'Médias por UF'!FY86</f>
        <v>194455.85721522849</v>
      </c>
      <c r="D96" s="800">
        <f>$D235*'Médias por UF'!FZ86</f>
        <v>244786.61604345473</v>
      </c>
      <c r="E96" s="800">
        <f>$D235*'Médias por UF'!GA86</f>
        <v>281730.38280116604</v>
      </c>
      <c r="F96" s="800">
        <f>$D235*'Médias por UF'!GB86</f>
        <v>321716.45466608647</v>
      </c>
      <c r="G96" s="800">
        <f>$D235*'Médias por UF'!GC86</f>
        <v>373522.58006840356</v>
      </c>
      <c r="H96" s="800">
        <f>$D235*'Médias por UF'!GD86</f>
        <v>406319.42030737374</v>
      </c>
      <c r="I96" s="800">
        <f>$D235*'Médias por UF'!GE86</f>
        <v>496606.3175726101</v>
      </c>
      <c r="J96" s="800">
        <f>$D235*'Médias por UF'!GF86</f>
        <v>527135.6401269132</v>
      </c>
      <c r="K96" s="800">
        <f>$D235*'Médias por UF'!GG86</f>
        <v>555333.49773284036</v>
      </c>
      <c r="L96" s="800">
        <f>$D235*'Médias por UF'!GH86</f>
        <v>574353.02528323664</v>
      </c>
      <c r="M96" s="800">
        <f>$D235*'Médias por UF'!GI86</f>
        <v>599889.73</v>
      </c>
      <c r="N96" s="800">
        <f t="shared" si="26"/>
        <v>599889.73</v>
      </c>
      <c r="O96" s="802">
        <f t="shared" si="25"/>
        <v>0</v>
      </c>
      <c r="P96" s="138" t="s">
        <v>100</v>
      </c>
      <c r="Q96" s="800">
        <f>$S235*'Médias por UF'!FX86</f>
        <v>42444.779756512093</v>
      </c>
      <c r="R96" s="800">
        <f>$S235*'Médias por UF'!FY86</f>
        <v>110732.48699588444</v>
      </c>
      <c r="S96" s="800">
        <f>$S235*'Médias por UF'!FZ86</f>
        <v>139393.23384739709</v>
      </c>
      <c r="T96" s="800">
        <f>$S235*'Médias por UF'!GA86</f>
        <v>160430.78566333122</v>
      </c>
      <c r="U96" s="800">
        <f>$S235*'Médias por UF'!GB86</f>
        <v>183200.77185046909</v>
      </c>
      <c r="V96" s="800">
        <f>$S235*'Médias por UF'!GC86</f>
        <v>212701.6631559431</v>
      </c>
      <c r="W96" s="800">
        <f>$S235*'Médias por UF'!GD86</f>
        <v>231377.75621519325</v>
      </c>
      <c r="X96" s="800">
        <f>$S235*'Médias por UF'!GE86</f>
        <v>282791.4437250318</v>
      </c>
      <c r="Y96" s="800">
        <f>$S235*'Médias por UF'!GF86</f>
        <v>300176.30351352255</v>
      </c>
      <c r="Z96" s="800">
        <f>$S235*'Médias por UF'!GG86</f>
        <v>316233.51539377036</v>
      </c>
      <c r="AA96" s="800">
        <f>$S235*'Médias por UF'!GH86</f>
        <v>327064.14614618354</v>
      </c>
      <c r="AB96" s="800">
        <f>$S235*'Médias por UF'!GI86</f>
        <v>341605.97</v>
      </c>
      <c r="AC96" s="800">
        <f t="shared" si="27"/>
        <v>341605.97</v>
      </c>
      <c r="AE96" s="138" t="s">
        <v>100</v>
      </c>
      <c r="AF96" s="800">
        <f>JAN!$U$28</f>
        <v>17618.096000000001</v>
      </c>
      <c r="AG96" s="800">
        <f>FEV!$U28</f>
        <v>20401.960000000003</v>
      </c>
      <c r="AH96" s="800">
        <f>MAR!$U28</f>
        <v>13354.128000000001</v>
      </c>
      <c r="AI96" s="800">
        <f>ABR!$U28</f>
        <v>9168.2880000000005</v>
      </c>
      <c r="AJ96" s="800">
        <f>MAI!$U28</f>
        <v>10899.6</v>
      </c>
      <c r="AK96" s="800">
        <f>JUN!$U28</f>
        <v>9691.8320000000003</v>
      </c>
      <c r="AL96" s="800">
        <f>JUL!$U28</f>
        <v>17864.024000000001</v>
      </c>
      <c r="AM96" s="800">
        <f>AGO!$U28</f>
        <v>70588.968000000008</v>
      </c>
      <c r="AN96" s="800">
        <f>SET!$U28</f>
        <v>42756.72</v>
      </c>
      <c r="AO96" s="800">
        <f>OUT!$U28*0</f>
        <v>0</v>
      </c>
      <c r="AP96" s="800">
        <f>NOV!$U28*0</f>
        <v>0</v>
      </c>
      <c r="AQ96" s="800">
        <f>DEZ!$U28*0</f>
        <v>0</v>
      </c>
      <c r="AR96" s="800">
        <f t="shared" si="28"/>
        <v>212343.61600000001</v>
      </c>
    </row>
    <row r="97" spans="1:45">
      <c r="A97" s="137" t="s">
        <v>101</v>
      </c>
      <c r="B97" s="800">
        <f>$D236*'Médias por UF'!FX87</f>
        <v>399085.22302613338</v>
      </c>
      <c r="C97" s="800">
        <f>$D236*'Médias por UF'!FY87</f>
        <v>892776.4811057786</v>
      </c>
      <c r="D97" s="800">
        <f>$D236*'Médias por UF'!FZ87</f>
        <v>1110013.2031448523</v>
      </c>
      <c r="E97" s="800">
        <f>$D236*'Médias por UF'!GA87</f>
        <v>1251851.7899226912</v>
      </c>
      <c r="F97" s="800">
        <f>$D236*'Médias por UF'!GB87</f>
        <v>1386176.142033716</v>
      </c>
      <c r="G97" s="800">
        <f>$D236*'Médias por UF'!GC87</f>
        <v>1538580.4361155701</v>
      </c>
      <c r="H97" s="800">
        <f>$D236*'Médias por UF'!GD87</f>
        <v>1660417.8962125257</v>
      </c>
      <c r="I97" s="800">
        <f>$D236*'Médias por UF'!GE87</f>
        <v>1946149.1150869613</v>
      </c>
      <c r="J97" s="800">
        <f>$D236*'Médias por UF'!GF87</f>
        <v>2069054.4110889556</v>
      </c>
      <c r="K97" s="800">
        <f>$D236*'Médias por UF'!GG87</f>
        <v>2162607.9251866657</v>
      </c>
      <c r="L97" s="800">
        <f>$D236*'Médias por UF'!GH87</f>
        <v>2262744.6223452305</v>
      </c>
      <c r="M97" s="800">
        <f>$D236*'Médias por UF'!GI87</f>
        <v>2373494.96</v>
      </c>
      <c r="N97" s="800">
        <f t="shared" si="26"/>
        <v>2373494.96</v>
      </c>
      <c r="O97" s="802">
        <f t="shared" si="25"/>
        <v>0</v>
      </c>
      <c r="P97" s="138" t="s">
        <v>101</v>
      </c>
      <c r="Q97" s="800">
        <f>$S236*'Médias por UF'!FX87</f>
        <v>204885.29166372301</v>
      </c>
      <c r="R97" s="800">
        <f>$S236*'Médias por UF'!FY87</f>
        <v>458340.12177868024</v>
      </c>
      <c r="S97" s="800">
        <f>$S236*'Médias por UF'!FZ87</f>
        <v>569866.69952954876</v>
      </c>
      <c r="T97" s="800">
        <f>$S236*'Médias por UF'!GA87</f>
        <v>642684.83095719316</v>
      </c>
      <c r="U97" s="800">
        <f>$S236*'Médias por UF'!GB87</f>
        <v>711645.24961445271</v>
      </c>
      <c r="V97" s="800">
        <f>$S236*'Médias por UF'!GC87</f>
        <v>789887.6811607586</v>
      </c>
      <c r="W97" s="800">
        <f>$S236*'Médias por UF'!GD87</f>
        <v>852437.48783675604</v>
      </c>
      <c r="X97" s="800">
        <f>$S236*'Médias por UF'!GE87</f>
        <v>999128.27150600322</v>
      </c>
      <c r="Y97" s="800">
        <f>$S236*'Médias por UF'!GF87</f>
        <v>1062226.2915916427</v>
      </c>
      <c r="Z97" s="800">
        <f>$S236*'Médias por UF'!GG87</f>
        <v>1110255.4791339247</v>
      </c>
      <c r="AA97" s="800">
        <f>$S236*'Médias por UF'!GH87</f>
        <v>1161664.3893611794</v>
      </c>
      <c r="AB97" s="800">
        <f>$S236*'Médias por UF'!GI87</f>
        <v>1218522.2080000001</v>
      </c>
      <c r="AC97" s="800">
        <f t="shared" si="27"/>
        <v>1218522.2080000001</v>
      </c>
      <c r="AE97" s="138" t="s">
        <v>101</v>
      </c>
      <c r="AF97" s="800">
        <f>JAN!$U$29</f>
        <v>109741.11200000002</v>
      </c>
      <c r="AG97" s="800">
        <f>FEV!$U29</f>
        <v>100539.39200000001</v>
      </c>
      <c r="AH97" s="800">
        <f>MAR!$U29</f>
        <v>56169.768000000011</v>
      </c>
      <c r="AI97" s="800">
        <f>ABR!$U29</f>
        <v>29190.528000000006</v>
      </c>
      <c r="AJ97" s="800">
        <f>MAI!$U29</f>
        <v>28406.184000000005</v>
      </c>
      <c r="AK97" s="800">
        <f>JUN!$U29</f>
        <v>30339.304</v>
      </c>
      <c r="AL97" s="800">
        <f>JUL!$U29</f>
        <v>54922.92</v>
      </c>
      <c r="AM97" s="800">
        <f>AGO!$U29</f>
        <v>282244.21600000001</v>
      </c>
      <c r="AN97" s="800">
        <f>SET!$U29</f>
        <v>152503.47200000001</v>
      </c>
      <c r="AO97" s="800">
        <f>OUT!$U29*0</f>
        <v>0</v>
      </c>
      <c r="AP97" s="800">
        <f>NOV!$U29*0</f>
        <v>0</v>
      </c>
      <c r="AQ97" s="800">
        <f>DEZ!$U29*0</f>
        <v>0</v>
      </c>
      <c r="AR97" s="800">
        <f t="shared" si="28"/>
        <v>844056.89599999995</v>
      </c>
    </row>
    <row r="98" spans="1:45">
      <c r="A98" s="137" t="s">
        <v>102</v>
      </c>
      <c r="B98" s="800">
        <f>$D237*'Médias por UF'!FX88</f>
        <v>8592.3570784762705</v>
      </c>
      <c r="C98" s="800">
        <f>$D237*'Médias por UF'!FY88</f>
        <v>17243.748888602207</v>
      </c>
      <c r="D98" s="800">
        <f>$D237*'Médias por UF'!FZ88</f>
        <v>22187.607184518169</v>
      </c>
      <c r="E98" s="800">
        <f>$D237*'Médias por UF'!GA88</f>
        <v>25353.203079502884</v>
      </c>
      <c r="F98" s="800">
        <f>$D237*'Médias por UF'!GB88</f>
        <v>27553.897126385931</v>
      </c>
      <c r="G98" s="800">
        <f>$D237*'Médias por UF'!GC88</f>
        <v>31301.182075693217</v>
      </c>
      <c r="H98" s="800">
        <f>$D237*'Médias por UF'!GD88</f>
        <v>34278.953840549882</v>
      </c>
      <c r="I98" s="800">
        <f>$D237*'Médias por UF'!GE88</f>
        <v>39246.847839456772</v>
      </c>
      <c r="J98" s="800">
        <f>$D237*'Médias por UF'!GF88</f>
        <v>42334.510634589715</v>
      </c>
      <c r="K98" s="800">
        <f>$D237*'Médias por UF'!GG88</f>
        <v>44947.421963896079</v>
      </c>
      <c r="L98" s="800">
        <f>$D237*'Médias por UF'!GH88</f>
        <v>47323.11270125481</v>
      </c>
      <c r="M98" s="800">
        <f>$D237*'Médias por UF'!GI88</f>
        <v>49754.61</v>
      </c>
      <c r="N98" s="800">
        <f t="shared" si="26"/>
        <v>49754.61</v>
      </c>
      <c r="O98" s="802">
        <f t="shared" si="25"/>
        <v>0</v>
      </c>
      <c r="P98" s="138" t="s">
        <v>102</v>
      </c>
      <c r="Q98" s="800">
        <f>$S237*'Médias por UF'!FX88</f>
        <v>10057.548931800926</v>
      </c>
      <c r="R98" s="800">
        <f>$S237*'Médias por UF'!FY88</f>
        <v>20184.19935657048</v>
      </c>
      <c r="S98" s="800">
        <f>$S237*'Médias por UF'!FZ88</f>
        <v>25971.097674334804</v>
      </c>
      <c r="T98" s="800">
        <f>$S237*'Médias por UF'!GA88</f>
        <v>29676.499500787173</v>
      </c>
      <c r="U98" s="800">
        <f>$S237*'Médias por UF'!GB88</f>
        <v>32252.461819193792</v>
      </c>
      <c r="V98" s="800">
        <f>$S237*'Médias por UF'!GC88</f>
        <v>36638.743882990733</v>
      </c>
      <c r="W98" s="800">
        <f>$S237*'Médias por UF'!GD88</f>
        <v>40124.293303161263</v>
      </c>
      <c r="X98" s="800">
        <f>$S237*'Médias por UF'!GE88</f>
        <v>45939.325956676956</v>
      </c>
      <c r="Y98" s="800">
        <f>$S237*'Médias por UF'!GF88</f>
        <v>49553.505321352277</v>
      </c>
      <c r="Z98" s="800">
        <f>$S237*'Médias por UF'!GG88</f>
        <v>52611.977322566643</v>
      </c>
      <c r="AA98" s="800">
        <f>$S237*'Médias por UF'!GH88</f>
        <v>55392.777238071183</v>
      </c>
      <c r="AB98" s="800">
        <f>$S237*'Médias por UF'!GI88</f>
        <v>58238.9</v>
      </c>
      <c r="AC98" s="800">
        <f t="shared" si="27"/>
        <v>58238.9</v>
      </c>
      <c r="AE98" s="138" t="s">
        <v>102</v>
      </c>
      <c r="AF98" s="800">
        <f>JAN!$U$30</f>
        <v>2397.5439999999999</v>
      </c>
      <c r="AG98" s="800">
        <f>FEV!$U30</f>
        <v>1274.856</v>
      </c>
      <c r="AH98" s="800">
        <f>MAR!$U30</f>
        <v>923.16800000000012</v>
      </c>
      <c r="AI98" s="800">
        <f>ABR!$U30</f>
        <v>913.024</v>
      </c>
      <c r="AJ98" s="800">
        <f>MAI!$U30</f>
        <v>941.76800000000003</v>
      </c>
      <c r="AK98" s="800">
        <f>JUN!$U30</f>
        <v>769.29600000000005</v>
      </c>
      <c r="AL98" s="800">
        <f>JUL!$U30</f>
        <v>1799</v>
      </c>
      <c r="AM98" s="800">
        <f>AGO!$U30</f>
        <v>3980.6080000000002</v>
      </c>
      <c r="AN98" s="800">
        <f>SET!$U30</f>
        <v>941.18400000000008</v>
      </c>
      <c r="AO98" s="800">
        <f>OUT!$U30*0</f>
        <v>0</v>
      </c>
      <c r="AP98" s="800">
        <f>NOV!$U30*0</f>
        <v>0</v>
      </c>
      <c r="AQ98" s="800">
        <f>DEZ!$U30*0</f>
        <v>0</v>
      </c>
      <c r="AR98" s="800">
        <f t="shared" si="28"/>
        <v>13940.447999999999</v>
      </c>
    </row>
    <row r="99" spans="1:45">
      <c r="A99" s="137" t="s">
        <v>103</v>
      </c>
      <c r="B99" s="800">
        <f>$D238*'Médias por UF'!FX89</f>
        <v>8212.5086184735901</v>
      </c>
      <c r="C99" s="800">
        <f>$D238*'Médias por UF'!FY89</f>
        <v>16913.441979451363</v>
      </c>
      <c r="D99" s="800">
        <f>$D238*'Médias por UF'!FZ89</f>
        <v>21810.405573318683</v>
      </c>
      <c r="E99" s="800">
        <f>$D238*'Médias por UF'!GA89</f>
        <v>24604.119114974699</v>
      </c>
      <c r="F99" s="800">
        <f>$D238*'Médias por UF'!GB89</f>
        <v>28158.242770583729</v>
      </c>
      <c r="G99" s="800">
        <f>$D238*'Médias por UF'!GC89</f>
        <v>35592.961913307554</v>
      </c>
      <c r="H99" s="800">
        <f>$D238*'Médias por UF'!GD89</f>
        <v>40363.398847932149</v>
      </c>
      <c r="I99" s="800">
        <f>$D238*'Médias por UF'!GE89</f>
        <v>49729.038014305945</v>
      </c>
      <c r="J99" s="800">
        <f>$D238*'Médias por UF'!GF89</f>
        <v>55537.458599385944</v>
      </c>
      <c r="K99" s="800">
        <f>$D238*'Médias por UF'!GG89</f>
        <v>59469.107781342806</v>
      </c>
      <c r="L99" s="800">
        <f>$D238*'Médias por UF'!GH89</f>
        <v>63610.541267943008</v>
      </c>
      <c r="M99" s="800">
        <f>$D238*'Médias por UF'!GI89</f>
        <v>68179.06</v>
      </c>
      <c r="N99" s="800">
        <f t="shared" si="26"/>
        <v>68179.06</v>
      </c>
      <c r="O99" s="802">
        <f t="shared" si="25"/>
        <v>0</v>
      </c>
      <c r="P99" s="138" t="s">
        <v>103</v>
      </c>
      <c r="Q99" s="800">
        <f>$S238*'Médias por UF'!FX89</f>
        <v>7015.1666535212071</v>
      </c>
      <c r="R99" s="800">
        <f>$S238*'Médias por UF'!FY89</f>
        <v>14447.548207573851</v>
      </c>
      <c r="S99" s="800">
        <f>$S238*'Médias por UF'!FZ89</f>
        <v>18630.559429008692</v>
      </c>
      <c r="T99" s="800">
        <f>$S238*'Médias por UF'!GA89</f>
        <v>21016.963752875152</v>
      </c>
      <c r="U99" s="800">
        <f>$S238*'Médias por UF'!GB89</f>
        <v>24052.91426563741</v>
      </c>
      <c r="V99" s="800">
        <f>$S238*'Médias por UF'!GC89</f>
        <v>30403.689190976344</v>
      </c>
      <c r="W99" s="800">
        <f>$S238*'Médias por UF'!GD89</f>
        <v>34478.620696220154</v>
      </c>
      <c r="X99" s="800">
        <f>$S238*'Médias por UF'!GE89</f>
        <v>42478.797331781381</v>
      </c>
      <c r="Y99" s="800">
        <f>$S238*'Médias por UF'!GF89</f>
        <v>47440.379753311034</v>
      </c>
      <c r="Z99" s="800">
        <f>$S238*'Médias por UF'!GG89</f>
        <v>50798.814491822646</v>
      </c>
      <c r="AA99" s="800">
        <f>$S238*'Médias por UF'!GH89</f>
        <v>54336.448050906045</v>
      </c>
      <c r="AB99" s="800">
        <f>$S238*'Médias por UF'!GI89</f>
        <v>58238.9</v>
      </c>
      <c r="AC99" s="800">
        <f t="shared" si="27"/>
        <v>58238.9</v>
      </c>
      <c r="AE99" s="138" t="s">
        <v>103</v>
      </c>
      <c r="AF99" s="800">
        <f>JAN!$U$31</f>
        <v>1055.056</v>
      </c>
      <c r="AG99" s="800">
        <f>FEV!$U31</f>
        <v>869.06399999999996</v>
      </c>
      <c r="AH99" s="800">
        <f>MAR!$U31</f>
        <v>20.288</v>
      </c>
      <c r="AI99" s="800">
        <f>ABR!$U31</f>
        <v>963.75200000000007</v>
      </c>
      <c r="AJ99" s="800">
        <f>MAI!$U31</f>
        <v>1051.672</v>
      </c>
      <c r="AK99" s="800">
        <f>JUN!$U31</f>
        <v>658</v>
      </c>
      <c r="AL99" s="800">
        <f>JUL!$U31</f>
        <v>1477.7520000000002</v>
      </c>
      <c r="AM99" s="800">
        <f>AGO!$U31</f>
        <v>3709.0160000000005</v>
      </c>
      <c r="AN99" s="800">
        <f>SET!$U31</f>
        <v>1090.5520000000001</v>
      </c>
      <c r="AO99" s="800">
        <f>OUT!$U31*0</f>
        <v>0</v>
      </c>
      <c r="AP99" s="800">
        <f>NOV!$U31*0</f>
        <v>0</v>
      </c>
      <c r="AQ99" s="800">
        <f>DEZ!$U31*0</f>
        <v>0</v>
      </c>
      <c r="AR99" s="800">
        <f t="shared" si="28"/>
        <v>10895.152000000002</v>
      </c>
    </row>
    <row r="100" spans="1:45">
      <c r="A100" s="805" t="s">
        <v>37</v>
      </c>
      <c r="B100" s="806">
        <f>SUM(B73:B99)</f>
        <v>1270257.490906307</v>
      </c>
      <c r="C100" s="806">
        <f t="shared" ref="C100:D100" si="29">SUM(C73:C99)</f>
        <v>2885651.3966781888</v>
      </c>
      <c r="D100" s="806">
        <f t="shared" si="29"/>
        <v>3636939.1967268819</v>
      </c>
      <c r="E100" s="806">
        <f>SUM(E73:E99)</f>
        <v>4176210.3683726257</v>
      </c>
      <c r="F100" s="806">
        <f t="shared" ref="F100:N100" si="30">SUM(F73:F99)</f>
        <v>4734702.9379058257</v>
      </c>
      <c r="G100" s="806">
        <f t="shared" si="30"/>
        <v>5396075.632532496</v>
      </c>
      <c r="H100" s="806">
        <f t="shared" si="30"/>
        <v>5953259.5466766767</v>
      </c>
      <c r="I100" s="806">
        <f t="shared" si="30"/>
        <v>7100975.1814877549</v>
      </c>
      <c r="J100" s="806">
        <f t="shared" si="30"/>
        <v>7582322.3655421166</v>
      </c>
      <c r="K100" s="806">
        <f t="shared" si="30"/>
        <v>7978456.0391437951</v>
      </c>
      <c r="L100" s="806">
        <f t="shared" si="30"/>
        <v>8363903.5273568286</v>
      </c>
      <c r="M100" s="806">
        <f t="shared" si="30"/>
        <v>8804382.709999999</v>
      </c>
      <c r="N100" s="806">
        <f t="shared" si="30"/>
        <v>8804382.709999999</v>
      </c>
      <c r="P100" s="807" t="s">
        <v>37</v>
      </c>
      <c r="Q100" s="806">
        <f>SUM(Q73:Q99)</f>
        <v>644871.43319223402</v>
      </c>
      <c r="R100" s="806">
        <f t="shared" ref="R100:S100" si="31">SUM(R73:R99)</f>
        <v>1461610.8757319187</v>
      </c>
      <c r="S100" s="806">
        <f t="shared" si="31"/>
        <v>1839243.0114488744</v>
      </c>
      <c r="T100" s="806">
        <f>SUM(T73:T99)</f>
        <v>2105842.2717698342</v>
      </c>
      <c r="U100" s="806">
        <f t="shared" ref="U100:AC100" si="32">SUM(U73:U99)</f>
        <v>2382058.6619171933</v>
      </c>
      <c r="V100" s="806">
        <f t="shared" si="32"/>
        <v>2710897.8945936044</v>
      </c>
      <c r="W100" s="806">
        <f t="shared" si="32"/>
        <v>2990915.3198647043</v>
      </c>
      <c r="X100" s="806">
        <f t="shared" si="32"/>
        <v>3560009.2937940252</v>
      </c>
      <c r="Y100" s="806">
        <f t="shared" si="32"/>
        <v>3798310.3547628927</v>
      </c>
      <c r="Z100" s="806">
        <f t="shared" si="32"/>
        <v>3994135.7538132928</v>
      </c>
      <c r="AA100" s="806">
        <f t="shared" si="32"/>
        <v>4182770.8400932625</v>
      </c>
      <c r="AB100" s="806">
        <f t="shared" si="32"/>
        <v>4402308.0980000012</v>
      </c>
      <c r="AC100" s="806">
        <f t="shared" si="32"/>
        <v>4402308.0980000012</v>
      </c>
      <c r="AE100" s="807" t="s">
        <v>37</v>
      </c>
      <c r="AF100" s="806">
        <f>SUM(AF73:AF99)</f>
        <v>331435.56800000003</v>
      </c>
      <c r="AG100" s="806">
        <f t="shared" ref="AG100:AH100" si="33">SUM(AG73:AG99)</f>
        <v>310603.71200000012</v>
      </c>
      <c r="AH100" s="806">
        <f t="shared" si="33"/>
        <v>181283.29600000003</v>
      </c>
      <c r="AI100" s="806">
        <f>SUM(AI73:AI99)</f>
        <v>111453.84800000001</v>
      </c>
      <c r="AJ100" s="806">
        <f t="shared" ref="AJ100:AR100" si="34">SUM(AJ73:AJ99)</f>
        <v>108088.11200000002</v>
      </c>
      <c r="AK100" s="806">
        <f t="shared" si="34"/>
        <v>113487.63199999998</v>
      </c>
      <c r="AL100" s="806">
        <f t="shared" si="34"/>
        <v>245828.84000000005</v>
      </c>
      <c r="AM100" s="806">
        <f t="shared" si="34"/>
        <v>904273.6399999999</v>
      </c>
      <c r="AN100" s="806">
        <f t="shared" si="34"/>
        <v>435632.75200000009</v>
      </c>
      <c r="AO100" s="806">
        <f t="shared" si="34"/>
        <v>0</v>
      </c>
      <c r="AP100" s="806">
        <f t="shared" si="34"/>
        <v>0</v>
      </c>
      <c r="AQ100" s="806">
        <f t="shared" si="34"/>
        <v>0</v>
      </c>
      <c r="AR100" s="806">
        <f t="shared" si="34"/>
        <v>2742087.3999999994</v>
      </c>
      <c r="AS100" s="802" t="b">
        <f>'Anuid PJ'!AN32=AR100</f>
        <v>1</v>
      </c>
    </row>
    <row r="101" spans="1:45">
      <c r="N101" s="802">
        <f>N100-SUM(D212:D238)</f>
        <v>0</v>
      </c>
      <c r="Q101" s="802">
        <f>Q100</f>
        <v>644871.43319223402</v>
      </c>
      <c r="R101" s="802">
        <f>R100-Q100</f>
        <v>816739.44253968471</v>
      </c>
      <c r="S101" s="802">
        <f>S100-R100</f>
        <v>377632.13571695564</v>
      </c>
      <c r="T101" s="802">
        <f t="shared" ref="T101:AB101" si="35">T100-S100</f>
        <v>266599.26032095985</v>
      </c>
      <c r="U101" s="802">
        <f t="shared" si="35"/>
        <v>276216.39014735911</v>
      </c>
      <c r="V101" s="802">
        <f t="shared" si="35"/>
        <v>328839.23267641105</v>
      </c>
      <c r="W101" s="802">
        <f t="shared" si="35"/>
        <v>280017.4252710999</v>
      </c>
      <c r="X101" s="802">
        <f t="shared" si="35"/>
        <v>569093.97392932093</v>
      </c>
      <c r="Y101" s="802">
        <f t="shared" si="35"/>
        <v>238301.0609688675</v>
      </c>
      <c r="Z101" s="802">
        <f t="shared" si="35"/>
        <v>195825.39905040013</v>
      </c>
      <c r="AA101" s="802">
        <f t="shared" si="35"/>
        <v>188635.08627996966</v>
      </c>
      <c r="AB101" s="802">
        <f t="shared" si="35"/>
        <v>219537.25790673867</v>
      </c>
      <c r="AC101" s="802">
        <f>SUM(Q101:AB101)</f>
        <v>4402308.0980000012</v>
      </c>
      <c r="AR101" s="802">
        <f>AR100-'TOTAL POR UF'!D32</f>
        <v>0</v>
      </c>
    </row>
    <row r="102" spans="1:45">
      <c r="A102" s="137" t="s">
        <v>224</v>
      </c>
      <c r="B102" s="800">
        <f>$D$239*'Médias por UF'!FX90</f>
        <v>238747.88096875171</v>
      </c>
      <c r="C102" s="800">
        <f>$D$239*'Médias por UF'!FY90</f>
        <v>531373.36492644518</v>
      </c>
      <c r="D102" s="800">
        <f>$D$239*'Médias por UF'!FZ90</f>
        <v>687858.03837148217</v>
      </c>
      <c r="E102" s="800">
        <f>$D$239*'Médias por UF'!GA90</f>
        <v>794682.24982593511</v>
      </c>
      <c r="F102" s="800">
        <f>$D$239*'Médias por UF'!GB90</f>
        <v>908932.39247978304</v>
      </c>
      <c r="G102" s="800">
        <f>$D$239*'Médias por UF'!GC90</f>
        <v>1046481.6678989525</v>
      </c>
      <c r="H102" s="800">
        <f>$D$239*'Médias por UF'!GD90</f>
        <v>1165231.9929760408</v>
      </c>
      <c r="I102" s="800">
        <f>$D$239*'Médias por UF'!GE90</f>
        <v>1393934.3072668323</v>
      </c>
      <c r="J102" s="800">
        <f>$D$239*'Médias por UF'!GF90</f>
        <v>1502467.0486030036</v>
      </c>
      <c r="K102" s="800">
        <f>$D$239*'Médias por UF'!GG90</f>
        <v>1586123.3255945256</v>
      </c>
      <c r="L102" s="800">
        <f>$D$239*'Médias por UF'!GH90</f>
        <v>1668907.2495123085</v>
      </c>
      <c r="M102" s="800">
        <f>$D$239*'Médias por UF'!GI90</f>
        <v>1760876.5420000004</v>
      </c>
      <c r="N102" s="800">
        <f t="shared" ref="N102" si="36">M102</f>
        <v>1760876.5420000004</v>
      </c>
      <c r="O102" s="802">
        <f>N102-D239</f>
        <v>0</v>
      </c>
      <c r="P102" s="137" t="s">
        <v>224</v>
      </c>
      <c r="Q102" s="800">
        <f>$S$239*'Médias por UF'!FX90</f>
        <v>160816.20968302933</v>
      </c>
      <c r="R102" s="800">
        <f>$S$239*'Médias por UF'!FY90</f>
        <v>357923.388166836</v>
      </c>
      <c r="S102" s="800">
        <f>$S$239*'Médias por UF'!FZ90</f>
        <v>463328.60455998656</v>
      </c>
      <c r="T102" s="800">
        <f>$S$239*'Médias por UF'!GA90</f>
        <v>535283.44126378139</v>
      </c>
      <c r="U102" s="800">
        <f>$S$239*'Médias por UF'!GB90</f>
        <v>612240.24952019472</v>
      </c>
      <c r="V102" s="800">
        <f>$S$239*'Médias por UF'!GC90</f>
        <v>704890.92783324362</v>
      </c>
      <c r="W102" s="800">
        <f>$S$239*'Médias por UF'!GD90</f>
        <v>784878.97673251072</v>
      </c>
      <c r="X102" s="800">
        <f>$S$239*'Médias por UF'!GE90</f>
        <v>938928.67627642327</v>
      </c>
      <c r="Y102" s="800">
        <f>$S$239*'Médias por UF'!GF90</f>
        <v>1012034.3474864481</v>
      </c>
      <c r="Z102" s="800">
        <f>$S$239*'Médias por UF'!GG90</f>
        <v>1068383.6869125476</v>
      </c>
      <c r="AA102" s="800">
        <f>$S$239*'Médias por UF'!GH90</f>
        <v>1124145.4252497712</v>
      </c>
      <c r="AB102" s="800">
        <f>$S$239*'Médias por UF'!GI90</f>
        <v>1186094.26</v>
      </c>
      <c r="AC102" s="800">
        <f t="shared" ref="AC102" si="37">AB102</f>
        <v>1186094.26</v>
      </c>
      <c r="AE102" s="138" t="s">
        <v>224</v>
      </c>
      <c r="AF102" s="800">
        <f>JAN!$U$67</f>
        <v>82858.892000000007</v>
      </c>
      <c r="AG102" s="800">
        <f>FEV!$U$67</f>
        <v>77650.928000000029</v>
      </c>
      <c r="AH102" s="800">
        <f>MAR!$U$67</f>
        <v>45320.824000000008</v>
      </c>
      <c r="AI102" s="800">
        <f>ABR!$U$67</f>
        <v>27863.462000000003</v>
      </c>
      <c r="AJ102" s="800">
        <f>MAI!$U$67</f>
        <v>27022.028000000006</v>
      </c>
      <c r="AK102" s="800">
        <f>JUN!$U$67</f>
        <v>28371.907999999996</v>
      </c>
      <c r="AL102" s="800">
        <f>JUL!$U$67</f>
        <v>61457.210000000014</v>
      </c>
      <c r="AM102" s="800">
        <f>AGO!$U$67</f>
        <v>226068.40999999997</v>
      </c>
      <c r="AN102" s="800">
        <f>SET!$U$67</f>
        <v>108908.18800000002</v>
      </c>
      <c r="AO102" s="800">
        <f>OUT!$U$67*0</f>
        <v>0</v>
      </c>
      <c r="AP102" s="800">
        <f>NOV!$U$67*0</f>
        <v>0</v>
      </c>
      <c r="AQ102" s="800">
        <f>DEZ!$U$67*0</f>
        <v>0</v>
      </c>
      <c r="AR102" s="800">
        <f t="shared" ref="AR102" si="38">SUM(AF102:AQ102)</f>
        <v>685521.85000000009</v>
      </c>
      <c r="AS102" s="802" t="b">
        <f>AR102='Anuid PJ'!AN33</f>
        <v>1</v>
      </c>
    </row>
    <row r="103" spans="1:45">
      <c r="A103" s="998" t="s">
        <v>244</v>
      </c>
      <c r="B103" s="998"/>
      <c r="C103" s="998"/>
      <c r="D103" s="998"/>
      <c r="E103" s="998"/>
      <c r="F103" s="998"/>
      <c r="G103" s="998"/>
      <c r="H103" s="998"/>
      <c r="I103" s="998"/>
      <c r="J103" s="998"/>
      <c r="K103" s="998"/>
      <c r="L103" s="998"/>
      <c r="M103" s="998"/>
      <c r="N103" s="998"/>
      <c r="P103" s="998" t="s">
        <v>119</v>
      </c>
      <c r="Q103" s="998"/>
      <c r="R103" s="998"/>
      <c r="S103" s="998"/>
      <c r="T103" s="998"/>
      <c r="U103" s="998"/>
      <c r="V103" s="998"/>
      <c r="W103" s="998"/>
      <c r="X103" s="998"/>
      <c r="Y103" s="998"/>
      <c r="Z103" s="998"/>
      <c r="AA103" s="998"/>
      <c r="AB103" s="998"/>
      <c r="AC103" s="998"/>
      <c r="AE103" s="998" t="s">
        <v>243</v>
      </c>
      <c r="AF103" s="998"/>
      <c r="AG103" s="998"/>
      <c r="AH103" s="998"/>
      <c r="AI103" s="998"/>
      <c r="AJ103" s="998"/>
      <c r="AK103" s="998"/>
      <c r="AL103" s="998"/>
      <c r="AM103" s="998"/>
      <c r="AN103" s="998"/>
      <c r="AO103" s="998"/>
      <c r="AP103" s="998"/>
      <c r="AQ103" s="998"/>
      <c r="AR103" s="998"/>
    </row>
    <row r="105" spans="1:45">
      <c r="A105" s="999" t="s">
        <v>33</v>
      </c>
      <c r="B105" s="1002" t="s">
        <v>246</v>
      </c>
      <c r="C105" s="1003"/>
      <c r="D105" s="1003"/>
      <c r="E105" s="1003"/>
      <c r="F105" s="1003"/>
      <c r="G105" s="1003"/>
      <c r="H105" s="1003"/>
      <c r="I105" s="1003"/>
      <c r="J105" s="1003"/>
      <c r="K105" s="1003"/>
      <c r="L105" s="1003"/>
      <c r="M105" s="1003"/>
      <c r="P105" s="999" t="s">
        <v>33</v>
      </c>
      <c r="Q105" s="1002" t="s">
        <v>246</v>
      </c>
      <c r="R105" s="1003"/>
      <c r="S105" s="1003"/>
      <c r="T105" s="1003"/>
      <c r="U105" s="1003"/>
      <c r="V105" s="1003"/>
      <c r="W105" s="1003"/>
      <c r="X105" s="1003"/>
      <c r="Y105" s="1003"/>
      <c r="Z105" s="1003"/>
      <c r="AA105" s="1003"/>
      <c r="AB105" s="1003"/>
      <c r="AE105" s="999" t="s">
        <v>33</v>
      </c>
      <c r="AF105" s="1002" t="s">
        <v>246</v>
      </c>
      <c r="AG105" s="1003"/>
      <c r="AH105" s="1003"/>
      <c r="AI105" s="1003"/>
      <c r="AJ105" s="1003"/>
      <c r="AK105" s="1003"/>
      <c r="AL105" s="1003"/>
      <c r="AM105" s="1003"/>
      <c r="AN105" s="1003"/>
      <c r="AO105" s="1003"/>
      <c r="AP105" s="1003"/>
      <c r="AQ105" s="1003"/>
    </row>
    <row r="106" spans="1:45">
      <c r="A106" s="1000"/>
      <c r="B106" s="803" t="s">
        <v>106</v>
      </c>
      <c r="C106" s="803" t="s">
        <v>107</v>
      </c>
      <c r="D106" s="803" t="s">
        <v>108</v>
      </c>
      <c r="E106" s="803" t="s">
        <v>109</v>
      </c>
      <c r="F106" s="803" t="s">
        <v>110</v>
      </c>
      <c r="G106" s="803" t="s">
        <v>111</v>
      </c>
      <c r="H106" s="803" t="s">
        <v>112</v>
      </c>
      <c r="I106" s="803" t="s">
        <v>113</v>
      </c>
      <c r="J106" s="803" t="s">
        <v>114</v>
      </c>
      <c r="K106" s="803" t="s">
        <v>115</v>
      </c>
      <c r="L106" s="803" t="s">
        <v>116</v>
      </c>
      <c r="M106" s="803" t="s">
        <v>117</v>
      </c>
      <c r="N106" s="803" t="s">
        <v>118</v>
      </c>
      <c r="P106" s="1000"/>
      <c r="Q106" s="803" t="s">
        <v>106</v>
      </c>
      <c r="R106" s="803" t="s">
        <v>107</v>
      </c>
      <c r="S106" s="803" t="s">
        <v>108</v>
      </c>
      <c r="T106" s="803" t="s">
        <v>109</v>
      </c>
      <c r="U106" s="803" t="s">
        <v>110</v>
      </c>
      <c r="V106" s="803" t="s">
        <v>111</v>
      </c>
      <c r="W106" s="803" t="s">
        <v>112</v>
      </c>
      <c r="X106" s="803" t="s">
        <v>113</v>
      </c>
      <c r="Y106" s="803" t="s">
        <v>114</v>
      </c>
      <c r="Z106" s="803" t="s">
        <v>115</v>
      </c>
      <c r="AA106" s="803" t="s">
        <v>116</v>
      </c>
      <c r="AB106" s="803" t="s">
        <v>117</v>
      </c>
      <c r="AC106" s="803" t="s">
        <v>118</v>
      </c>
      <c r="AE106" s="1000"/>
      <c r="AF106" s="803" t="s">
        <v>106</v>
      </c>
      <c r="AG106" s="803" t="s">
        <v>107</v>
      </c>
      <c r="AH106" s="803" t="s">
        <v>108</v>
      </c>
      <c r="AI106" s="803" t="s">
        <v>109</v>
      </c>
      <c r="AJ106" s="803" t="s">
        <v>110</v>
      </c>
      <c r="AK106" s="803" t="s">
        <v>111</v>
      </c>
      <c r="AL106" s="803" t="s">
        <v>112</v>
      </c>
      <c r="AM106" s="803" t="s">
        <v>113</v>
      </c>
      <c r="AN106" s="803" t="s">
        <v>114</v>
      </c>
      <c r="AO106" s="803" t="s">
        <v>115</v>
      </c>
      <c r="AP106" s="803" t="s">
        <v>116</v>
      </c>
      <c r="AQ106" s="803" t="s">
        <v>117</v>
      </c>
      <c r="AR106" s="803" t="s">
        <v>118</v>
      </c>
    </row>
    <row r="107" spans="1:45">
      <c r="A107" s="137" t="s">
        <v>77</v>
      </c>
      <c r="B107" s="800">
        <f>$E212*'Médias por UF'!FX93</f>
        <v>781.81918543192512</v>
      </c>
      <c r="C107" s="800">
        <f>$E212*'Médias por UF'!FY93</f>
        <v>1447.7356628492498</v>
      </c>
      <c r="D107" s="800">
        <f>$E212*'Médias por UF'!FZ93</f>
        <v>2562.5446264471439</v>
      </c>
      <c r="E107" s="800">
        <f>$E212*'Médias por UF'!GA93</f>
        <v>3710.1719416310766</v>
      </c>
      <c r="F107" s="800">
        <f>$E212*'Médias por UF'!GB93</f>
        <v>4915.1812951853644</v>
      </c>
      <c r="G107" s="800">
        <f>$E212*'Médias por UF'!GC93</f>
        <v>5846.6250022495824</v>
      </c>
      <c r="H107" s="800">
        <f>$E212*'Médias por UF'!GD93</f>
        <v>6417.7087620389793</v>
      </c>
      <c r="I107" s="800">
        <f>$E212*'Médias por UF'!GE93</f>
        <v>7108.7530148748701</v>
      </c>
      <c r="J107" s="800">
        <f>$E212*'Médias por UF'!GF93</f>
        <v>7895.0117166723503</v>
      </c>
      <c r="K107" s="800">
        <f>$E212*'Médias por UF'!GG93</f>
        <v>9551.178361864273</v>
      </c>
      <c r="L107" s="800">
        <f>$E212*'Médias por UF'!GH93</f>
        <v>10309.343919339883</v>
      </c>
      <c r="M107" s="800">
        <f>$E212*'Médias por UF'!GI93</f>
        <v>10405.58</v>
      </c>
      <c r="N107" s="800">
        <f>M107</f>
        <v>10405.58</v>
      </c>
      <c r="P107" s="138" t="s">
        <v>77</v>
      </c>
      <c r="Q107" s="800">
        <f>$T212*'Médias por UF'!FX93</f>
        <v>781.81918543192512</v>
      </c>
      <c r="R107" s="800">
        <f>$T212*'Médias por UF'!FY93</f>
        <v>1447.7356628492498</v>
      </c>
      <c r="S107" s="800">
        <f>$T212*'Médias por UF'!FZ93</f>
        <v>2562.5446264471439</v>
      </c>
      <c r="T107" s="800">
        <f>$T212*'Médias por UF'!GA93</f>
        <v>3710.1719416310766</v>
      </c>
      <c r="U107" s="800">
        <f>$T212*'Médias por UF'!GB93</f>
        <v>4915.1812951853644</v>
      </c>
      <c r="V107" s="800">
        <f>$T212*'Médias por UF'!GC93</f>
        <v>5846.6250022495824</v>
      </c>
      <c r="W107" s="800">
        <f>$T212*'Médias por UF'!GD93</f>
        <v>6417.7087620389793</v>
      </c>
      <c r="X107" s="800">
        <f>$T212*'Médias por UF'!GE93</f>
        <v>7108.7530148748701</v>
      </c>
      <c r="Y107" s="800">
        <f>$T212*'Médias por UF'!GF93</f>
        <v>7895.0117166723503</v>
      </c>
      <c r="Z107" s="800">
        <f>$T212*'Médias por UF'!GG93</f>
        <v>9551.178361864273</v>
      </c>
      <c r="AA107" s="800">
        <f>$T212*'Médias por UF'!GH93</f>
        <v>10309.343919339883</v>
      </c>
      <c r="AB107" s="800">
        <f>$T212*'Médias por UF'!GI93</f>
        <v>10405.58</v>
      </c>
      <c r="AC107" s="800">
        <f>AB107</f>
        <v>10405.58</v>
      </c>
      <c r="AE107" s="138" t="s">
        <v>77</v>
      </c>
      <c r="AF107" s="800">
        <f>JAN!$V$5</f>
        <v>545.5440000000001</v>
      </c>
      <c r="AG107" s="800">
        <f>FEV!$V5</f>
        <v>713.68000000000018</v>
      </c>
      <c r="AH107" s="800">
        <f>MAR!$V5</f>
        <v>872.06399999999996</v>
      </c>
      <c r="AI107" s="800">
        <f>ABR!$V5</f>
        <v>873.6</v>
      </c>
      <c r="AJ107" s="800">
        <f>MAI!$V5</f>
        <v>297.608</v>
      </c>
      <c r="AK107" s="800">
        <f>JUN!$V5</f>
        <v>1414.1599999999999</v>
      </c>
      <c r="AL107" s="800">
        <f>JUL!$V5</f>
        <v>169.6239999999998</v>
      </c>
      <c r="AM107" s="800">
        <f>AGO!$V5</f>
        <v>544.46400000000028</v>
      </c>
      <c r="AN107" s="800">
        <f>SET!$V5</f>
        <v>663.30400000000009</v>
      </c>
      <c r="AO107" s="800">
        <f>OUT!$V5*0</f>
        <v>0</v>
      </c>
      <c r="AP107" s="800">
        <f>NOV!$V5*0</f>
        <v>0</v>
      </c>
      <c r="AQ107" s="800">
        <f>DEZ!$V5*0</f>
        <v>0</v>
      </c>
      <c r="AR107" s="800">
        <f>SUM(AF107:AQ107)</f>
        <v>6094.0479999999998</v>
      </c>
    </row>
    <row r="108" spans="1:45">
      <c r="A108" s="137" t="s">
        <v>78</v>
      </c>
      <c r="B108" s="800">
        <f>$E213*'Médias por UF'!FX94</f>
        <v>3201.8241273969097</v>
      </c>
      <c r="C108" s="800">
        <f>$E213*'Médias por UF'!FY94</f>
        <v>6123.2330434006635</v>
      </c>
      <c r="D108" s="800">
        <f>$E213*'Médias por UF'!FZ94</f>
        <v>7338.2970153581336</v>
      </c>
      <c r="E108" s="800">
        <f>$E213*'Médias por UF'!GA94</f>
        <v>8940.4977875580371</v>
      </c>
      <c r="F108" s="800">
        <f>$E213*'Médias por UF'!GB94</f>
        <v>10609.001760729303</v>
      </c>
      <c r="G108" s="800">
        <f>$E213*'Médias por UF'!GC94</f>
        <v>11523.990118693086</v>
      </c>
      <c r="H108" s="800">
        <f>$E213*'Médias por UF'!GD94</f>
        <v>13544.74211956949</v>
      </c>
      <c r="I108" s="800">
        <f>$E213*'Médias por UF'!GE94</f>
        <v>15542.829480765859</v>
      </c>
      <c r="J108" s="800">
        <f>$E213*'Médias por UF'!GF94</f>
        <v>17224.580742758932</v>
      </c>
      <c r="K108" s="800">
        <f>$E213*'Médias por UF'!GG94</f>
        <v>19817.841399422483</v>
      </c>
      <c r="L108" s="800">
        <f>$E213*'Médias por UF'!GH94</f>
        <v>21512.004394844549</v>
      </c>
      <c r="M108" s="800">
        <f>$E213*'Médias por UF'!GI94</f>
        <v>22976.79</v>
      </c>
      <c r="N108" s="800">
        <f t="shared" ref="N108:N133" si="39">M108</f>
        <v>22976.79</v>
      </c>
      <c r="P108" s="138" t="s">
        <v>78</v>
      </c>
      <c r="Q108" s="800">
        <f>$T213*'Médias por UF'!FX94</f>
        <v>3201.8241273969097</v>
      </c>
      <c r="R108" s="800">
        <f>$T213*'Médias por UF'!FY94</f>
        <v>6123.2330434006635</v>
      </c>
      <c r="S108" s="800">
        <f>$T213*'Médias por UF'!FZ94</f>
        <v>7338.2970153581336</v>
      </c>
      <c r="T108" s="800">
        <f>$T213*'Médias por UF'!GA94</f>
        <v>8940.4977875580371</v>
      </c>
      <c r="U108" s="800">
        <f>$T213*'Médias por UF'!GB94</f>
        <v>10609.001760729303</v>
      </c>
      <c r="V108" s="800">
        <f>$T213*'Médias por UF'!GC94</f>
        <v>11523.990118693086</v>
      </c>
      <c r="W108" s="800">
        <f>$T213*'Médias por UF'!GD94</f>
        <v>13544.74211956949</v>
      </c>
      <c r="X108" s="800">
        <f>$T213*'Médias por UF'!GE94</f>
        <v>15542.829480765859</v>
      </c>
      <c r="Y108" s="800">
        <f>$T213*'Médias por UF'!GF94</f>
        <v>17224.580742758932</v>
      </c>
      <c r="Z108" s="800">
        <f>$T213*'Médias por UF'!GG94</f>
        <v>19817.841399422483</v>
      </c>
      <c r="AA108" s="800">
        <f>$T213*'Médias por UF'!GH94</f>
        <v>21512.004394844549</v>
      </c>
      <c r="AB108" s="800">
        <f>$T213*'Médias por UF'!GI94</f>
        <v>22976.79</v>
      </c>
      <c r="AC108" s="800">
        <f t="shared" ref="AC108:AC133" si="40">AB108</f>
        <v>22976.79</v>
      </c>
      <c r="AE108" s="138" t="s">
        <v>78</v>
      </c>
      <c r="AF108" s="800">
        <f>JAN!$V$6</f>
        <v>844.97599999999989</v>
      </c>
      <c r="AG108" s="800">
        <f>FEV!$V6</f>
        <v>375.45600000000013</v>
      </c>
      <c r="AH108" s="800">
        <f>MAR!$V6</f>
        <v>192.60000000000002</v>
      </c>
      <c r="AI108" s="800">
        <f>ABR!$V6</f>
        <v>561.85600000000011</v>
      </c>
      <c r="AJ108" s="800">
        <f>MAI!$V6</f>
        <v>1943.9360000000001</v>
      </c>
      <c r="AK108" s="800">
        <f>JUN!$V6</f>
        <v>0</v>
      </c>
      <c r="AL108" s="800">
        <f>JUL!$V6</f>
        <v>365.69600000000014</v>
      </c>
      <c r="AM108" s="800">
        <f>AGO!$V6</f>
        <v>1213.8560000000004</v>
      </c>
      <c r="AN108" s="800">
        <f>SET!$V6</f>
        <v>548.24799999999993</v>
      </c>
      <c r="AO108" s="800">
        <f>OUT!$V6*0</f>
        <v>0</v>
      </c>
      <c r="AP108" s="800">
        <f>NOV!$V6*0</f>
        <v>0</v>
      </c>
      <c r="AQ108" s="800">
        <f>DEZ!$V6*0</f>
        <v>0</v>
      </c>
      <c r="AR108" s="800">
        <f t="shared" ref="AR108:AR133" si="41">SUM(AF108:AQ108)</f>
        <v>6046.6240000000007</v>
      </c>
    </row>
    <row r="109" spans="1:45">
      <c r="A109" s="137" t="s">
        <v>79</v>
      </c>
      <c r="B109" s="800">
        <f>$E214*'Médias por UF'!FX95</f>
        <v>4038.6271668318786</v>
      </c>
      <c r="C109" s="800">
        <f>$E214*'Médias por UF'!FY95</f>
        <v>5886.8881263014919</v>
      </c>
      <c r="D109" s="800">
        <f>$E214*'Médias por UF'!FZ95</f>
        <v>9151.4928549658598</v>
      </c>
      <c r="E109" s="800">
        <f>$E214*'Médias por UF'!GA95</f>
        <v>10852.960756751039</v>
      </c>
      <c r="F109" s="800">
        <f>$E214*'Médias por UF'!GB95</f>
        <v>13134.294567972909</v>
      </c>
      <c r="G109" s="800">
        <f>$E214*'Médias por UF'!GC95</f>
        <v>14737.514039124648</v>
      </c>
      <c r="H109" s="800">
        <f>$E214*'Médias por UF'!GD95</f>
        <v>18317.674578233073</v>
      </c>
      <c r="I109" s="800">
        <f>$E214*'Médias por UF'!GE95</f>
        <v>19569.026532823089</v>
      </c>
      <c r="J109" s="800">
        <f>$E214*'Médias por UF'!GF95</f>
        <v>21829.744828353876</v>
      </c>
      <c r="K109" s="800">
        <f>$E214*'Médias por UF'!GG95</f>
        <v>23534.22169790199</v>
      </c>
      <c r="L109" s="800">
        <f>$E214*'Médias por UF'!GH95</f>
        <v>24262.145766442249</v>
      </c>
      <c r="M109" s="800">
        <f>$E214*'Médias por UF'!GI95</f>
        <v>25790.080000000002</v>
      </c>
      <c r="N109" s="800">
        <f t="shared" si="39"/>
        <v>25790.080000000002</v>
      </c>
      <c r="P109" s="138" t="s">
        <v>79</v>
      </c>
      <c r="Q109" s="800">
        <f>$T214*'Médias por UF'!FX95</f>
        <v>4620.071793719042</v>
      </c>
      <c r="R109" s="800">
        <f>$T214*'Médias por UF'!FY95</f>
        <v>6734.4284732379874</v>
      </c>
      <c r="S109" s="800">
        <f>$T214*'Médias por UF'!FZ95</f>
        <v>10469.041152619273</v>
      </c>
      <c r="T109" s="800">
        <f>$T214*'Médias por UF'!GA95</f>
        <v>12415.470851680242</v>
      </c>
      <c r="U109" s="800">
        <f>$T214*'Médias por UF'!GB95</f>
        <v>15025.25025391009</v>
      </c>
      <c r="V109" s="800">
        <f>$T214*'Médias por UF'!GC95</f>
        <v>16859.286611274507</v>
      </c>
      <c r="W109" s="800">
        <f>$T214*'Médias por UF'!GD95</f>
        <v>20954.88594254334</v>
      </c>
      <c r="X109" s="800">
        <f>$T214*'Médias por UF'!GE95</f>
        <v>22386.396114340587</v>
      </c>
      <c r="Y109" s="800">
        <f>$T214*'Médias por UF'!GF95</f>
        <v>24972.591967353623</v>
      </c>
      <c r="Z109" s="800">
        <f>$T214*'Médias por UF'!GG95</f>
        <v>26922.463837854408</v>
      </c>
      <c r="AA109" s="800">
        <f>$T214*'Médias por UF'!GH95</f>
        <v>27755.187760639838</v>
      </c>
      <c r="AB109" s="800">
        <f>$T214*'Médias por UF'!GI95</f>
        <v>29503.100000000002</v>
      </c>
      <c r="AC109" s="800">
        <f t="shared" si="40"/>
        <v>29503.100000000002</v>
      </c>
      <c r="AE109" s="138" t="s">
        <v>79</v>
      </c>
      <c r="AF109" s="800">
        <f>JAN!$V$7</f>
        <v>3782.328</v>
      </c>
      <c r="AG109" s="800">
        <f>FEV!$V7</f>
        <v>2639.8080000000004</v>
      </c>
      <c r="AH109" s="800">
        <f>MAR!$V7</f>
        <v>1891.232</v>
      </c>
      <c r="AI109" s="800">
        <f>ABR!$V7</f>
        <v>1698.8320000000001</v>
      </c>
      <c r="AJ109" s="800">
        <f>MAI!$V7</f>
        <v>799.98400000000004</v>
      </c>
      <c r="AK109" s="800">
        <f>JUN!$V7</f>
        <v>729.49600000000009</v>
      </c>
      <c r="AL109" s="800">
        <f>JUL!$V7</f>
        <v>1515.0879999999997</v>
      </c>
      <c r="AM109" s="800">
        <f>AGO!$V7</f>
        <v>0</v>
      </c>
      <c r="AN109" s="800">
        <f>SET!$V7</f>
        <v>779.41600000000005</v>
      </c>
      <c r="AO109" s="800">
        <f>OUT!$V7*0</f>
        <v>0</v>
      </c>
      <c r="AP109" s="800">
        <f>NOV!$V7*0</f>
        <v>0</v>
      </c>
      <c r="AQ109" s="800">
        <f>DEZ!$V7*0</f>
        <v>0</v>
      </c>
      <c r="AR109" s="800">
        <f t="shared" si="41"/>
        <v>13836.183999999999</v>
      </c>
    </row>
    <row r="110" spans="1:45">
      <c r="A110" s="137" t="s">
        <v>80</v>
      </c>
      <c r="B110" s="800">
        <f>$E215*'Médias por UF'!FX96</f>
        <v>3953.5598962206568</v>
      </c>
      <c r="C110" s="800">
        <f>$E215*'Médias por UF'!FY96</f>
        <v>6334.792410050798</v>
      </c>
      <c r="D110" s="800">
        <f>$E215*'Médias por UF'!FZ96</f>
        <v>11096.728928290127</v>
      </c>
      <c r="E110" s="800">
        <f>$E215*'Médias por UF'!GA96</f>
        <v>13799.848047769621</v>
      </c>
      <c r="F110" s="800">
        <f>$E215*'Médias por UF'!GB96</f>
        <v>14983.650956909603</v>
      </c>
      <c r="G110" s="800">
        <f>$E215*'Médias por UF'!GC96</f>
        <v>15488.175954112712</v>
      </c>
      <c r="H110" s="800">
        <f>$E215*'Médias por UF'!GD96</f>
        <v>17908.39404111707</v>
      </c>
      <c r="I110" s="800">
        <f>$E215*'Médias por UF'!GE96</f>
        <v>19945.287173433928</v>
      </c>
      <c r="J110" s="800">
        <f>$E215*'Médias por UF'!GF96</f>
        <v>21694.232662111463</v>
      </c>
      <c r="K110" s="800">
        <f>$E215*'Médias por UF'!GG96</f>
        <v>23933.174798266413</v>
      </c>
      <c r="L110" s="800">
        <f>$E215*'Médias por UF'!GH96</f>
        <v>26283.517375018848</v>
      </c>
      <c r="M110" s="800">
        <f>$E215*'Médias por UF'!GI96</f>
        <v>29503.100000000002</v>
      </c>
      <c r="N110" s="800">
        <f t="shared" si="39"/>
        <v>29503.100000000002</v>
      </c>
      <c r="P110" s="138" t="s">
        <v>80</v>
      </c>
      <c r="Q110" s="800">
        <f>$T215*'Médias por UF'!FX96</f>
        <v>3455.9970311025768</v>
      </c>
      <c r="R110" s="800">
        <f>$T215*'Médias por UF'!FY96</f>
        <v>5537.5470048436564</v>
      </c>
      <c r="S110" s="800">
        <f>$T215*'Médias por UF'!FZ96</f>
        <v>9700.1849567983245</v>
      </c>
      <c r="T110" s="800">
        <f>$T215*'Médias por UF'!GA96</f>
        <v>12063.111508276159</v>
      </c>
      <c r="U110" s="800">
        <f>$T215*'Médias por UF'!GB96</f>
        <v>13097.930619859446</v>
      </c>
      <c r="V110" s="800">
        <f>$T215*'Médias por UF'!GC96</f>
        <v>13538.960207932156</v>
      </c>
      <c r="W110" s="800">
        <f>$T215*'Médias por UF'!GD96</f>
        <v>15654.589347964537</v>
      </c>
      <c r="X110" s="800">
        <f>$T215*'Médias por UF'!GE96</f>
        <v>17435.135691701376</v>
      </c>
      <c r="Y110" s="800">
        <f>$T215*'Médias por UF'!GF96</f>
        <v>18963.973138228444</v>
      </c>
      <c r="Z110" s="800">
        <f>$T215*'Médias por UF'!GG96</f>
        <v>20921.140242932932</v>
      </c>
      <c r="AA110" s="800">
        <f>$T215*'Médias por UF'!GH96</f>
        <v>22975.687835621546</v>
      </c>
      <c r="AB110" s="800">
        <f>$T215*'Médias por UF'!GI96</f>
        <v>25790.080000000002</v>
      </c>
      <c r="AC110" s="800">
        <f t="shared" si="40"/>
        <v>25790.080000000002</v>
      </c>
      <c r="AE110" s="138" t="s">
        <v>80</v>
      </c>
      <c r="AF110" s="800">
        <f>JAN!$V$8</f>
        <v>883.19200000000001</v>
      </c>
      <c r="AG110" s="800">
        <f>FEV!$V8</f>
        <v>2429.7520000000004</v>
      </c>
      <c r="AH110" s="800">
        <f>MAR!$V8</f>
        <v>3016.5200000000004</v>
      </c>
      <c r="AI110" s="800">
        <f>ABR!$V8</f>
        <v>1550.9840000000002</v>
      </c>
      <c r="AJ110" s="800">
        <f>MAI!$V8</f>
        <v>1288.92</v>
      </c>
      <c r="AK110" s="800">
        <f>JUN!$V8</f>
        <v>1646.5519999999997</v>
      </c>
      <c r="AL110" s="800">
        <f>JUL!$V8</f>
        <v>1444.2480000000003</v>
      </c>
      <c r="AM110" s="800">
        <f>AGO!$V8</f>
        <v>657.03200000000072</v>
      </c>
      <c r="AN110" s="800">
        <f>SET!$V8</f>
        <v>670.60799999999983</v>
      </c>
      <c r="AO110" s="800">
        <f>OUT!$V8*0</f>
        <v>0</v>
      </c>
      <c r="AP110" s="800">
        <f>NOV!$V8*0</f>
        <v>0</v>
      </c>
      <c r="AQ110" s="800">
        <f>DEZ!$V8*0</f>
        <v>0</v>
      </c>
      <c r="AR110" s="800">
        <f t="shared" si="41"/>
        <v>13587.808000000003</v>
      </c>
    </row>
    <row r="111" spans="1:45">
      <c r="A111" s="137" t="s">
        <v>81</v>
      </c>
      <c r="B111" s="800">
        <f>$E216*'Médias por UF'!FX97</f>
        <v>9151.0260307058234</v>
      </c>
      <c r="C111" s="800">
        <f>$E216*'Médias por UF'!FY97</f>
        <v>17359.472533548811</v>
      </c>
      <c r="D111" s="800">
        <f>$E216*'Médias por UF'!FZ97</f>
        <v>27901.218688870042</v>
      </c>
      <c r="E111" s="800">
        <f>$E216*'Médias por UF'!GA97</f>
        <v>33935.199292672834</v>
      </c>
      <c r="F111" s="800">
        <f>$E216*'Médias por UF'!GB97</f>
        <v>40725.026381502546</v>
      </c>
      <c r="G111" s="800">
        <f>$E216*'Médias por UF'!GC97</f>
        <v>45729.433918397663</v>
      </c>
      <c r="H111" s="800">
        <f>$E216*'Médias por UF'!GD97</f>
        <v>54980.331071691144</v>
      </c>
      <c r="I111" s="800">
        <f>$E216*'Médias por UF'!GE97</f>
        <v>66163.857903739219</v>
      </c>
      <c r="J111" s="800">
        <f>$E216*'Médias por UF'!GF97</f>
        <v>71807.68669971927</v>
      </c>
      <c r="K111" s="800">
        <f>$E216*'Médias por UF'!GG97</f>
        <v>80014.008195364688</v>
      </c>
      <c r="L111" s="800">
        <f>$E216*'Médias por UF'!GH97</f>
        <v>88279.56558880466</v>
      </c>
      <c r="M111" s="800">
        <f>$E216*'Médias por UF'!GI97</f>
        <v>99609.25</v>
      </c>
      <c r="N111" s="800">
        <f t="shared" si="39"/>
        <v>99609.25</v>
      </c>
      <c r="P111" s="138" t="s">
        <v>81</v>
      </c>
      <c r="Q111" s="800">
        <f>$T216*'Médias por UF'!FX97</f>
        <v>9151.0260307058234</v>
      </c>
      <c r="R111" s="800">
        <f>$T216*'Médias por UF'!FY97</f>
        <v>17359.472533548811</v>
      </c>
      <c r="S111" s="800">
        <f>$T216*'Médias por UF'!FZ97</f>
        <v>27901.218688870042</v>
      </c>
      <c r="T111" s="800">
        <f>$T216*'Médias por UF'!GA97</f>
        <v>33935.199292672834</v>
      </c>
      <c r="U111" s="800">
        <f>$T216*'Médias por UF'!GB97</f>
        <v>40725.026381502546</v>
      </c>
      <c r="V111" s="800">
        <f>$T216*'Médias por UF'!GC97</f>
        <v>45729.433918397663</v>
      </c>
      <c r="W111" s="800">
        <f>$T216*'Médias por UF'!GD97</f>
        <v>54980.331071691144</v>
      </c>
      <c r="X111" s="800">
        <f>$T216*'Médias por UF'!GE97</f>
        <v>66163.857903739219</v>
      </c>
      <c r="Y111" s="800">
        <f>$T216*'Médias por UF'!GF97</f>
        <v>71807.68669971927</v>
      </c>
      <c r="Z111" s="800">
        <f>$T216*'Médias por UF'!GG97</f>
        <v>80014.008195364688</v>
      </c>
      <c r="AA111" s="800">
        <f>$T216*'Médias por UF'!GH97</f>
        <v>88279.56558880466</v>
      </c>
      <c r="AB111" s="800">
        <f>$T216*'Médias por UF'!GI97</f>
        <v>99609.25</v>
      </c>
      <c r="AC111" s="800">
        <f t="shared" si="40"/>
        <v>99609.25</v>
      </c>
      <c r="AE111" s="138" t="s">
        <v>81</v>
      </c>
      <c r="AF111" s="800">
        <f>JAN!$V$9</f>
        <v>2671.848</v>
      </c>
      <c r="AG111" s="800">
        <f>FEV!$V9</f>
        <v>5451.7439999999988</v>
      </c>
      <c r="AH111" s="800">
        <f>MAR!$V9</f>
        <v>7230.344000000001</v>
      </c>
      <c r="AI111" s="800">
        <f>ABR!$V9</f>
        <v>9397.8559999999998</v>
      </c>
      <c r="AJ111" s="800">
        <f>MAI!$V9</f>
        <v>12345.944000000001</v>
      </c>
      <c r="AK111" s="800">
        <f>JUN!$V9</f>
        <v>4115.1760000000004</v>
      </c>
      <c r="AL111" s="800">
        <f>JUL!$V9</f>
        <v>3589.0879999999997</v>
      </c>
      <c r="AM111" s="800">
        <f>AGO!$V9</f>
        <v>5403.4640000000018</v>
      </c>
      <c r="AN111" s="800">
        <f>SET!$V9</f>
        <v>3140.2240000000006</v>
      </c>
      <c r="AO111" s="800">
        <f>OUT!$V9*0</f>
        <v>0</v>
      </c>
      <c r="AP111" s="800">
        <f>NOV!$V9*0</f>
        <v>0</v>
      </c>
      <c r="AQ111" s="800">
        <f>DEZ!$V9*0</f>
        <v>0</v>
      </c>
      <c r="AR111" s="800">
        <f t="shared" si="41"/>
        <v>53345.688000000002</v>
      </c>
    </row>
    <row r="112" spans="1:45">
      <c r="A112" s="137" t="s">
        <v>82</v>
      </c>
      <c r="B112" s="800">
        <f>$E217*'Médias por UF'!FX98</f>
        <v>7763.4719370208049</v>
      </c>
      <c r="C112" s="800">
        <f>$E217*'Médias por UF'!FY98</f>
        <v>14269.067941477702</v>
      </c>
      <c r="D112" s="800">
        <f>$E217*'Médias por UF'!FZ98</f>
        <v>19052.509397627909</v>
      </c>
      <c r="E112" s="800">
        <f>$E217*'Médias por UF'!GA98</f>
        <v>20822.168214241356</v>
      </c>
      <c r="F112" s="800">
        <f>$E217*'Médias por UF'!GB98</f>
        <v>25156.143633535172</v>
      </c>
      <c r="G112" s="800">
        <f>$E217*'Médias por UF'!GC98</f>
        <v>28506.595481044082</v>
      </c>
      <c r="H112" s="800">
        <f>$E217*'Médias por UF'!GD98</f>
        <v>31415.361691032977</v>
      </c>
      <c r="I112" s="800">
        <f>$E217*'Médias por UF'!GE98</f>
        <v>34812.553293551231</v>
      </c>
      <c r="J112" s="800">
        <f>$E217*'Médias por UF'!GF98</f>
        <v>39973.308693485626</v>
      </c>
      <c r="K112" s="800">
        <f>$E217*'Médias por UF'!GG98</f>
        <v>45428.551031384559</v>
      </c>
      <c r="L112" s="800">
        <f>$E217*'Médias por UF'!GH98</f>
        <v>48314.654137424004</v>
      </c>
      <c r="M112" s="800">
        <f>$E217*'Médias por UF'!GI98</f>
        <v>56778.33</v>
      </c>
      <c r="N112" s="800">
        <f t="shared" si="39"/>
        <v>56778.33</v>
      </c>
      <c r="P112" s="138" t="s">
        <v>82</v>
      </c>
      <c r="Q112" s="800">
        <f>$T217*'Médias por UF'!FX98</f>
        <v>7763.4719370208049</v>
      </c>
      <c r="R112" s="800">
        <f>$T217*'Médias por UF'!FY98</f>
        <v>14269.067941477702</v>
      </c>
      <c r="S112" s="800">
        <f>$T217*'Médias por UF'!FZ98</f>
        <v>19052.509397627909</v>
      </c>
      <c r="T112" s="800">
        <f>$T217*'Médias por UF'!GA98</f>
        <v>20822.168214241356</v>
      </c>
      <c r="U112" s="800">
        <f>$T217*'Médias por UF'!GB98</f>
        <v>25156.143633535172</v>
      </c>
      <c r="V112" s="800">
        <f>$T217*'Médias por UF'!GC98</f>
        <v>28506.595481044082</v>
      </c>
      <c r="W112" s="800">
        <f>$T217*'Médias por UF'!GD98</f>
        <v>31415.361691032977</v>
      </c>
      <c r="X112" s="800">
        <f>$T217*'Médias por UF'!GE98</f>
        <v>34812.553293551231</v>
      </c>
      <c r="Y112" s="800">
        <f>$T217*'Médias por UF'!GF98</f>
        <v>39973.308693485626</v>
      </c>
      <c r="Z112" s="800">
        <f>$T217*'Médias por UF'!GG98</f>
        <v>45428.551031384559</v>
      </c>
      <c r="AA112" s="800">
        <f>$T217*'Médias por UF'!GH98</f>
        <v>48314.654137424004</v>
      </c>
      <c r="AB112" s="800">
        <f>$T217*'Médias por UF'!GI98</f>
        <v>56778.33</v>
      </c>
      <c r="AC112" s="800">
        <f t="shared" si="40"/>
        <v>56778.33</v>
      </c>
      <c r="AE112" s="138" t="s">
        <v>82</v>
      </c>
      <c r="AF112" s="800">
        <f>JAN!$V$10</f>
        <v>10186.048000000001</v>
      </c>
      <c r="AG112" s="800">
        <f>FEV!$V10</f>
        <v>11347.024000000001</v>
      </c>
      <c r="AH112" s="800">
        <f>MAR!$V10</f>
        <v>10533.128000000001</v>
      </c>
      <c r="AI112" s="800">
        <f>ABR!$V10</f>
        <v>3322.4160000000006</v>
      </c>
      <c r="AJ112" s="800">
        <f>MAI!$V10</f>
        <v>5126.2400000000007</v>
      </c>
      <c r="AK112" s="800">
        <f>JUN!$V10</f>
        <v>3408.8399999999997</v>
      </c>
      <c r="AL112" s="800">
        <f>JUL!$V10</f>
        <v>5578.5680000000002</v>
      </c>
      <c r="AM112" s="800">
        <f>AGO!$V10</f>
        <v>4652.2000000000016</v>
      </c>
      <c r="AN112" s="800">
        <f>SET!$V10</f>
        <v>2203.4479999999999</v>
      </c>
      <c r="AO112" s="800">
        <f>OUT!$V10*0</f>
        <v>0</v>
      </c>
      <c r="AP112" s="800">
        <f>NOV!$V10*0</f>
        <v>0</v>
      </c>
      <c r="AQ112" s="800">
        <f>DEZ!$V10*0</f>
        <v>0</v>
      </c>
      <c r="AR112" s="800">
        <f t="shared" si="41"/>
        <v>56357.911999999997</v>
      </c>
    </row>
    <row r="113" spans="1:44">
      <c r="A113" s="137" t="s">
        <v>83</v>
      </c>
      <c r="B113" s="800">
        <f>$E218*'Médias por UF'!FX99</f>
        <v>8723.4728731528285</v>
      </c>
      <c r="C113" s="800">
        <f>$E218*'Médias por UF'!FY99</f>
        <v>17683.842359638984</v>
      </c>
      <c r="D113" s="800">
        <f>$E218*'Médias por UF'!FZ99</f>
        <v>22726.278829502902</v>
      </c>
      <c r="E113" s="800">
        <f>$E218*'Médias por UF'!GA99</f>
        <v>28567.834564444944</v>
      </c>
      <c r="F113" s="800">
        <f>$E218*'Médias por UF'!GB99</f>
        <v>32653.505497355814</v>
      </c>
      <c r="G113" s="800">
        <f>$E218*'Médias por UF'!GC99</f>
        <v>38253.420341873411</v>
      </c>
      <c r="H113" s="800">
        <f>$E218*'Médias por UF'!GD99</f>
        <v>43092.481408896041</v>
      </c>
      <c r="I113" s="800">
        <f>$E218*'Médias por UF'!GE99</f>
        <v>50853.936952284646</v>
      </c>
      <c r="J113" s="800">
        <f>$E218*'Médias por UF'!GF99</f>
        <v>54953.227761945054</v>
      </c>
      <c r="K113" s="800">
        <f>$E218*'Médias por UF'!GG99</f>
        <v>57246.30630134009</v>
      </c>
      <c r="L113" s="800">
        <f>$E218*'Médias por UF'!GH99</f>
        <v>59718.454193459431</v>
      </c>
      <c r="M113" s="800">
        <f>$E218*'Médias por UF'!GI99</f>
        <v>65835.459999999992</v>
      </c>
      <c r="N113" s="800">
        <f t="shared" si="39"/>
        <v>65835.459999999992</v>
      </c>
      <c r="P113" s="138" t="s">
        <v>83</v>
      </c>
      <c r="Q113" s="800">
        <f>$T218*'Médias por UF'!FX99</f>
        <v>8723.4728731528285</v>
      </c>
      <c r="R113" s="800">
        <f>$T218*'Médias por UF'!FY99</f>
        <v>17683.842359638984</v>
      </c>
      <c r="S113" s="800">
        <f>$T218*'Médias por UF'!FZ99</f>
        <v>22726.278829502902</v>
      </c>
      <c r="T113" s="800">
        <f>$T218*'Médias por UF'!GA99</f>
        <v>28567.834564444944</v>
      </c>
      <c r="U113" s="800">
        <f>$T218*'Médias por UF'!GB99</f>
        <v>32653.505497355814</v>
      </c>
      <c r="V113" s="800">
        <f>$T218*'Médias por UF'!GC99</f>
        <v>38253.420341873411</v>
      </c>
      <c r="W113" s="800">
        <f>$T218*'Médias por UF'!GD99</f>
        <v>43092.481408896041</v>
      </c>
      <c r="X113" s="800">
        <f>$T218*'Médias por UF'!GE99</f>
        <v>50853.936952284646</v>
      </c>
      <c r="Y113" s="800">
        <f>$T218*'Médias por UF'!GF99</f>
        <v>54953.227761945054</v>
      </c>
      <c r="Z113" s="800">
        <f>$T218*'Médias por UF'!GG99</f>
        <v>57246.30630134009</v>
      </c>
      <c r="AA113" s="800">
        <f>$T218*'Médias por UF'!GH99</f>
        <v>59718.454193459431</v>
      </c>
      <c r="AB113" s="800">
        <f>$T218*'Médias por UF'!GI99</f>
        <v>65835.459999999992</v>
      </c>
      <c r="AC113" s="800">
        <f t="shared" si="40"/>
        <v>65835.459999999992</v>
      </c>
      <c r="AE113" s="138" t="s">
        <v>83</v>
      </c>
      <c r="AF113" s="800">
        <f>JAN!$V$11</f>
        <v>4898.4159999999993</v>
      </c>
      <c r="AG113" s="800">
        <f>FEV!$V11</f>
        <v>4019.7280000000001</v>
      </c>
      <c r="AH113" s="800">
        <f>MAR!$V11</f>
        <v>3325.056</v>
      </c>
      <c r="AI113" s="800">
        <f>ABR!$V11</f>
        <v>3417.1040000000003</v>
      </c>
      <c r="AJ113" s="800">
        <f>MAI!$V11</f>
        <v>17085.472000000002</v>
      </c>
      <c r="AK113" s="800">
        <f>JUN!$V11</f>
        <v>4249.9600000000009</v>
      </c>
      <c r="AL113" s="800">
        <f>JUL!$V11</f>
        <v>2792.2640000000001</v>
      </c>
      <c r="AM113" s="800">
        <f>AGO!$V11</f>
        <v>4580.0959999999995</v>
      </c>
      <c r="AN113" s="800">
        <f>SET!$V11</f>
        <v>5038.0720000000019</v>
      </c>
      <c r="AO113" s="800">
        <f>OUT!$V11*0</f>
        <v>0</v>
      </c>
      <c r="AP113" s="800">
        <f>NOV!$V11*0</f>
        <v>0</v>
      </c>
      <c r="AQ113" s="800">
        <f>DEZ!$V11*0</f>
        <v>0</v>
      </c>
      <c r="AR113" s="800">
        <f t="shared" si="41"/>
        <v>49406.168000000005</v>
      </c>
    </row>
    <row r="114" spans="1:44">
      <c r="A114" s="137" t="s">
        <v>84</v>
      </c>
      <c r="B114" s="800">
        <f>$E219*'Médias por UF'!FX100</f>
        <v>2148.757458971168</v>
      </c>
      <c r="C114" s="800">
        <f>$E219*'Médias por UF'!FY100</f>
        <v>4070.9284394492179</v>
      </c>
      <c r="D114" s="800">
        <f>$E219*'Médias por UF'!FZ100</f>
        <v>5811.0841649390313</v>
      </c>
      <c r="E114" s="800">
        <f>$E219*'Médias por UF'!GA100</f>
        <v>7023.7036554341721</v>
      </c>
      <c r="F114" s="800">
        <f>$E219*'Médias por UF'!GB100</f>
        <v>7906.8354725514309</v>
      </c>
      <c r="G114" s="800">
        <f>$E219*'Médias por UF'!GC100</f>
        <v>9019.7801759247213</v>
      </c>
      <c r="H114" s="800">
        <f>$E219*'Médias por UF'!GD100</f>
        <v>10739.241675144449</v>
      </c>
      <c r="I114" s="800">
        <f>$E219*'Médias por UF'!GE100</f>
        <v>12395.646221588144</v>
      </c>
      <c r="J114" s="800">
        <f>$E219*'Médias por UF'!GF100</f>
        <v>14307.807136995614</v>
      </c>
      <c r="K114" s="800">
        <f>$E219*'Médias por UF'!GG100</f>
        <v>16810.547850285358</v>
      </c>
      <c r="L114" s="800">
        <f>$E219*'Médias por UF'!GH100</f>
        <v>18108.953163602313</v>
      </c>
      <c r="M114" s="800">
        <f>$E219*'Médias por UF'!GI100</f>
        <v>20060.740000000002</v>
      </c>
      <c r="N114" s="800">
        <f t="shared" si="39"/>
        <v>20060.740000000002</v>
      </c>
      <c r="P114" s="138" t="s">
        <v>84</v>
      </c>
      <c r="Q114" s="800">
        <f>$T219*'Médias por UF'!FX100</f>
        <v>2148.757458971168</v>
      </c>
      <c r="R114" s="800">
        <f>$T219*'Médias por UF'!FY100</f>
        <v>4070.9284394492179</v>
      </c>
      <c r="S114" s="800">
        <f>$T219*'Médias por UF'!FZ100</f>
        <v>5811.0841649390313</v>
      </c>
      <c r="T114" s="800">
        <f>$T219*'Médias por UF'!GA100</f>
        <v>7023.7036554341721</v>
      </c>
      <c r="U114" s="800">
        <f>$T219*'Médias por UF'!GB100</f>
        <v>7906.8354725514309</v>
      </c>
      <c r="V114" s="800">
        <f>$T219*'Médias por UF'!GC100</f>
        <v>9019.7801759247213</v>
      </c>
      <c r="W114" s="800">
        <f>$T219*'Médias por UF'!GD100</f>
        <v>10739.241675144449</v>
      </c>
      <c r="X114" s="800">
        <f>$T219*'Médias por UF'!GE100</f>
        <v>12395.646221588144</v>
      </c>
      <c r="Y114" s="800">
        <f>$T219*'Médias por UF'!GF100</f>
        <v>14307.807136995614</v>
      </c>
      <c r="Z114" s="800">
        <f>$T219*'Médias por UF'!GG100</f>
        <v>16810.547850285358</v>
      </c>
      <c r="AA114" s="800">
        <f>$T219*'Médias por UF'!GH100</f>
        <v>18108.953163602313</v>
      </c>
      <c r="AB114" s="800">
        <f>$T219*'Médias por UF'!GI100</f>
        <v>20060.740000000002</v>
      </c>
      <c r="AC114" s="800">
        <f t="shared" si="40"/>
        <v>20060.740000000002</v>
      </c>
      <c r="AE114" s="138" t="s">
        <v>84</v>
      </c>
      <c r="AF114" s="800">
        <f>JAN!$V$12</f>
        <v>2837.6800000000003</v>
      </c>
      <c r="AG114" s="800">
        <f>FEV!$V12</f>
        <v>2749.1439999999989</v>
      </c>
      <c r="AH114" s="800">
        <f>MAR!$V12</f>
        <v>5766.424</v>
      </c>
      <c r="AI114" s="800">
        <f>ABR!$V12</f>
        <v>3926.288</v>
      </c>
      <c r="AJ114" s="800">
        <f>MAI!$V12</f>
        <v>1266.3920000000001</v>
      </c>
      <c r="AK114" s="800">
        <f>JUN!$V12</f>
        <v>3340.7680000000009</v>
      </c>
      <c r="AL114" s="800">
        <f>JUL!$V12</f>
        <v>2738.2000000000003</v>
      </c>
      <c r="AM114" s="800">
        <f>AGO!$V12</f>
        <v>1700.3919999999985</v>
      </c>
      <c r="AN114" s="800">
        <f>SET!$V12</f>
        <v>2398.96</v>
      </c>
      <c r="AO114" s="800">
        <f>OUT!$V12*0</f>
        <v>0</v>
      </c>
      <c r="AP114" s="800">
        <f>NOV!$V12*0</f>
        <v>0</v>
      </c>
      <c r="AQ114" s="800">
        <f>DEZ!$V12*0</f>
        <v>0</v>
      </c>
      <c r="AR114" s="800">
        <f t="shared" si="41"/>
        <v>26724.248</v>
      </c>
    </row>
    <row r="115" spans="1:44">
      <c r="A115" s="137" t="s">
        <v>85</v>
      </c>
      <c r="B115" s="800">
        <f>$E220*'Médias por UF'!FX101</f>
        <v>13152.689079442962</v>
      </c>
      <c r="C115" s="800">
        <f>$E220*'Médias por UF'!FY101</f>
        <v>31039.445265758262</v>
      </c>
      <c r="D115" s="800">
        <f>$E220*'Médias por UF'!FZ101</f>
        <v>42356.288477511014</v>
      </c>
      <c r="E115" s="800">
        <f>$E220*'Médias por UF'!GA101</f>
        <v>51036.74689178526</v>
      </c>
      <c r="F115" s="800">
        <f>$E220*'Médias por UF'!GB101</f>
        <v>60383.422436254463</v>
      </c>
      <c r="G115" s="800">
        <f>$E220*'Médias por UF'!GC101</f>
        <v>70604.600545903886</v>
      </c>
      <c r="H115" s="800">
        <f>$E220*'Médias por UF'!GD101</f>
        <v>79588.230443438777</v>
      </c>
      <c r="I115" s="800">
        <f>$E220*'Médias por UF'!GE101</f>
        <v>84975.067797659329</v>
      </c>
      <c r="J115" s="800">
        <f>$E220*'Médias por UF'!GF101</f>
        <v>92219.732589581778</v>
      </c>
      <c r="K115" s="800">
        <f>$E220*'Médias por UF'!GG101</f>
        <v>99655.523495643938</v>
      </c>
      <c r="L115" s="800">
        <f>$E220*'Médias por UF'!GH101</f>
        <v>106972.77144922227</v>
      </c>
      <c r="M115" s="800">
        <f>$E220*'Médias por UF'!GI101</f>
        <v>111529.82</v>
      </c>
      <c r="N115" s="800">
        <f t="shared" si="39"/>
        <v>111529.82</v>
      </c>
      <c r="P115" s="138" t="s">
        <v>85</v>
      </c>
      <c r="Q115" s="800">
        <f>$T220*'Médias por UF'!FX101</f>
        <v>13152.689079442962</v>
      </c>
      <c r="R115" s="800">
        <f>$T220*'Médias por UF'!FY101</f>
        <v>31039.445265758262</v>
      </c>
      <c r="S115" s="800">
        <f>$T220*'Médias por UF'!FZ101</f>
        <v>42356.288477511014</v>
      </c>
      <c r="T115" s="800">
        <f>$T220*'Médias por UF'!GA101</f>
        <v>51036.74689178526</v>
      </c>
      <c r="U115" s="800">
        <f>$T220*'Médias por UF'!GB101</f>
        <v>60383.422436254463</v>
      </c>
      <c r="V115" s="800">
        <f>$T220*'Médias por UF'!GC101</f>
        <v>70604.600545903886</v>
      </c>
      <c r="W115" s="800">
        <f>$T220*'Médias por UF'!GD101</f>
        <v>79588.230443438777</v>
      </c>
      <c r="X115" s="800">
        <f>$T220*'Médias por UF'!GE101</f>
        <v>84975.067797659329</v>
      </c>
      <c r="Y115" s="800">
        <f>$T220*'Médias por UF'!GF101</f>
        <v>92219.732589581778</v>
      </c>
      <c r="Z115" s="800">
        <f>$T220*'Médias por UF'!GG101</f>
        <v>99655.523495643938</v>
      </c>
      <c r="AA115" s="800">
        <f>$T220*'Médias por UF'!GH101</f>
        <v>106972.77144922227</v>
      </c>
      <c r="AB115" s="800">
        <f>$T220*'Médias por UF'!GI101</f>
        <v>111529.82</v>
      </c>
      <c r="AC115" s="800">
        <f t="shared" si="40"/>
        <v>111529.82</v>
      </c>
      <c r="AE115" s="138" t="s">
        <v>85</v>
      </c>
      <c r="AF115" s="800">
        <f>JAN!$V$13</f>
        <v>7602.4080000000004</v>
      </c>
      <c r="AG115" s="800">
        <f>FEV!$V13</f>
        <v>6025.7600000000011</v>
      </c>
      <c r="AH115" s="800">
        <f>MAR!$V13</f>
        <v>10226.040000000001</v>
      </c>
      <c r="AI115" s="800">
        <f>ABR!$V13</f>
        <v>4824.1040000000003</v>
      </c>
      <c r="AJ115" s="800">
        <f>MAI!$V13</f>
        <v>1677.5439999999999</v>
      </c>
      <c r="AK115" s="800">
        <f>JUN!$V13</f>
        <v>5580.6639999999998</v>
      </c>
      <c r="AL115" s="800">
        <f>JUL!$V13</f>
        <v>3860.9759999999997</v>
      </c>
      <c r="AM115" s="800">
        <f>AGO!$V13</f>
        <v>3350.6560000000027</v>
      </c>
      <c r="AN115" s="800">
        <f>SET!$V13</f>
        <v>4882.6879999999992</v>
      </c>
      <c r="AO115" s="800">
        <f>OUT!$V13*0</f>
        <v>0</v>
      </c>
      <c r="AP115" s="800">
        <f>NOV!$V13*0</f>
        <v>0</v>
      </c>
      <c r="AQ115" s="800">
        <f>DEZ!$V13*0</f>
        <v>0</v>
      </c>
      <c r="AR115" s="800">
        <f t="shared" si="41"/>
        <v>48030.840000000004</v>
      </c>
    </row>
    <row r="116" spans="1:44">
      <c r="A116" s="137" t="s">
        <v>86</v>
      </c>
      <c r="B116" s="800">
        <f>$E221*'Médias por UF'!FX102</f>
        <v>6768.7022007243932</v>
      </c>
      <c r="C116" s="800">
        <f>$E221*'Médias por UF'!FY102</f>
        <v>11073.428654982043</v>
      </c>
      <c r="D116" s="800">
        <f>$E221*'Médias por UF'!FZ102</f>
        <v>17858.004683503092</v>
      </c>
      <c r="E116" s="800">
        <f>$E221*'Médias por UF'!GA102</f>
        <v>20294.075246717377</v>
      </c>
      <c r="F116" s="800">
        <f>$E221*'Médias por UF'!GB102</f>
        <v>22498.322886700786</v>
      </c>
      <c r="G116" s="800">
        <f>$E221*'Médias por UF'!GC102</f>
        <v>25562.418455233328</v>
      </c>
      <c r="H116" s="800">
        <f>$E221*'Médias por UF'!GD102</f>
        <v>31762.945556678569</v>
      </c>
      <c r="I116" s="800">
        <f>$E221*'Médias por UF'!GE102</f>
        <v>35246.673312817453</v>
      </c>
      <c r="J116" s="800">
        <f>$E221*'Médias por UF'!GF102</f>
        <v>39636.735133283968</v>
      </c>
      <c r="K116" s="800">
        <f>$E221*'Médias por UF'!GG102</f>
        <v>43398.101912031503</v>
      </c>
      <c r="L116" s="800">
        <f>$E221*'Médias por UF'!GH102</f>
        <v>47010.70236741985</v>
      </c>
      <c r="M116" s="800">
        <f>$E221*'Médias por UF'!GI102</f>
        <v>50933.57</v>
      </c>
      <c r="N116" s="800">
        <f t="shared" si="39"/>
        <v>50933.57</v>
      </c>
      <c r="P116" s="138" t="s">
        <v>86</v>
      </c>
      <c r="Q116" s="800">
        <f>$T221*'Médias por UF'!FX102</f>
        <v>6768.7022007243932</v>
      </c>
      <c r="R116" s="800">
        <f>$T221*'Médias por UF'!FY102</f>
        <v>11073.428654982043</v>
      </c>
      <c r="S116" s="800">
        <f>$T221*'Médias por UF'!FZ102</f>
        <v>17858.004683503092</v>
      </c>
      <c r="T116" s="800">
        <f>$T221*'Médias por UF'!GA102</f>
        <v>20294.075246717377</v>
      </c>
      <c r="U116" s="800">
        <f>$T221*'Médias por UF'!GB102</f>
        <v>22498.322886700786</v>
      </c>
      <c r="V116" s="800">
        <f>$T221*'Médias por UF'!GC102</f>
        <v>25562.418455233328</v>
      </c>
      <c r="W116" s="800">
        <f>$T221*'Médias por UF'!GD102</f>
        <v>31762.945556678569</v>
      </c>
      <c r="X116" s="800">
        <f>$T221*'Médias por UF'!GE102</f>
        <v>35246.673312817453</v>
      </c>
      <c r="Y116" s="800">
        <f>$T221*'Médias por UF'!GF102</f>
        <v>39636.735133283968</v>
      </c>
      <c r="Z116" s="800">
        <f>$T221*'Médias por UF'!GG102</f>
        <v>43398.101912031503</v>
      </c>
      <c r="AA116" s="800">
        <f>$T221*'Médias por UF'!GH102</f>
        <v>47010.70236741985</v>
      </c>
      <c r="AB116" s="800">
        <f>$T221*'Médias por UF'!GI102</f>
        <v>50933.57</v>
      </c>
      <c r="AC116" s="800">
        <f t="shared" si="40"/>
        <v>50933.57</v>
      </c>
      <c r="AE116" s="138" t="s">
        <v>86</v>
      </c>
      <c r="AF116" s="800">
        <f>JAN!$V$14</f>
        <v>1187.9279999999999</v>
      </c>
      <c r="AG116" s="800">
        <f>FEV!$V14</f>
        <v>2153.5439999999999</v>
      </c>
      <c r="AH116" s="800">
        <f>MAR!$V14</f>
        <v>1578.44</v>
      </c>
      <c r="AI116" s="800">
        <f>ABR!$V14</f>
        <v>283.84000000000003</v>
      </c>
      <c r="AJ116" s="800">
        <f>MAI!$V14</f>
        <v>2534.92</v>
      </c>
      <c r="AK116" s="800">
        <f>JUN!$V14</f>
        <v>1708.7360000000001</v>
      </c>
      <c r="AL116" s="800">
        <f>JUL!$V14</f>
        <v>683.43200000000002</v>
      </c>
      <c r="AM116" s="800">
        <f>AGO!$V14</f>
        <v>2291.2239999999997</v>
      </c>
      <c r="AN116" s="800">
        <f>SET!$V14</f>
        <v>1217.0880000000002</v>
      </c>
      <c r="AO116" s="800">
        <f>OUT!$V14*0</f>
        <v>0</v>
      </c>
      <c r="AP116" s="800">
        <f>NOV!$V14*0</f>
        <v>0</v>
      </c>
      <c r="AQ116" s="800">
        <f>DEZ!$V14*0</f>
        <v>0</v>
      </c>
      <c r="AR116" s="800">
        <f t="shared" si="41"/>
        <v>13639.152000000002</v>
      </c>
    </row>
    <row r="117" spans="1:44">
      <c r="A117" s="137" t="s">
        <v>87</v>
      </c>
      <c r="B117" s="800">
        <f>$E222*'Médias por UF'!FX103</f>
        <v>12502.889724366936</v>
      </c>
      <c r="C117" s="800">
        <f>$E222*'Médias por UF'!FY103</f>
        <v>23498.571935100877</v>
      </c>
      <c r="D117" s="800">
        <f>$E222*'Médias por UF'!FZ103</f>
        <v>27669.925568011957</v>
      </c>
      <c r="E117" s="800">
        <f>$E222*'Médias por UF'!GA103</f>
        <v>33658.169789697931</v>
      </c>
      <c r="F117" s="800">
        <f>$E222*'Médias por UF'!GB103</f>
        <v>41607.864652143406</v>
      </c>
      <c r="G117" s="800">
        <f>$E222*'Médias por UF'!GC103</f>
        <v>52864.541979540751</v>
      </c>
      <c r="H117" s="800">
        <f>$E222*'Médias por UF'!GD103</f>
        <v>61969.954864731459</v>
      </c>
      <c r="I117" s="800">
        <f>$E222*'Médias por UF'!GE103</f>
        <v>73249.361575826406</v>
      </c>
      <c r="J117" s="800">
        <f>$E222*'Médias por UF'!GF103</f>
        <v>81016.983844350631</v>
      </c>
      <c r="K117" s="800">
        <f>$E222*'Médias por UF'!GG103</f>
        <v>93474.813157356897</v>
      </c>
      <c r="L117" s="800">
        <f>$E222*'Médias por UF'!GH103</f>
        <v>99436.597253427302</v>
      </c>
      <c r="M117" s="800">
        <f>$E222*'Médias por UF'!GI103</f>
        <v>109991.88</v>
      </c>
      <c r="N117" s="800">
        <f t="shared" si="39"/>
        <v>109991.88</v>
      </c>
      <c r="P117" s="138" t="s">
        <v>87</v>
      </c>
      <c r="Q117" s="800">
        <f>$T222*'Médias por UF'!FX103</f>
        <v>6660.3627335449091</v>
      </c>
      <c r="R117" s="800">
        <f>$T222*'Médias por UF'!FY103</f>
        <v>12517.827179027987</v>
      </c>
      <c r="S117" s="800">
        <f>$T222*'Médias por UF'!FZ103</f>
        <v>14739.93174025852</v>
      </c>
      <c r="T117" s="800">
        <f>$T222*'Médias por UF'!GA103</f>
        <v>17929.904581157298</v>
      </c>
      <c r="U117" s="800">
        <f>$T222*'Médias por UF'!GB103</f>
        <v>22164.753689815348</v>
      </c>
      <c r="V117" s="800">
        <f>$T222*'Médias por UF'!GC103</f>
        <v>28161.251765681835</v>
      </c>
      <c r="W117" s="800">
        <f>$T222*'Médias por UF'!GD103</f>
        <v>33011.758647772607</v>
      </c>
      <c r="X117" s="800">
        <f>$T222*'Médias por UF'!GE103</f>
        <v>39020.364799729774</v>
      </c>
      <c r="Y117" s="800">
        <f>$T222*'Médias por UF'!GF103</f>
        <v>43158.222769052285</v>
      </c>
      <c r="Z117" s="800">
        <f>$T222*'Médias por UF'!GG103</f>
        <v>49794.58155701332</v>
      </c>
      <c r="AA117" s="800">
        <f>$T222*'Médias por UF'!GH103</f>
        <v>52970.458933706621</v>
      </c>
      <c r="AB117" s="800">
        <f>$T222*'Médias por UF'!GI103</f>
        <v>58593.32</v>
      </c>
      <c r="AC117" s="800">
        <f t="shared" si="40"/>
        <v>58593.32</v>
      </c>
      <c r="AE117" s="138" t="s">
        <v>87</v>
      </c>
      <c r="AF117" s="800">
        <f>JAN!$V$15</f>
        <v>5388.68</v>
      </c>
      <c r="AG117" s="800">
        <f>FEV!$V15</f>
        <v>5913.44</v>
      </c>
      <c r="AH117" s="800">
        <f>MAR!$V15</f>
        <v>3148.9680000000003</v>
      </c>
      <c r="AI117" s="800">
        <f>ABR!$V15</f>
        <v>6540.2720000000008</v>
      </c>
      <c r="AJ117" s="800">
        <f>MAI!$V15</f>
        <v>2813.6960000000004</v>
      </c>
      <c r="AK117" s="800">
        <f>JUN!$V15</f>
        <v>1567.8640000000005</v>
      </c>
      <c r="AL117" s="800">
        <f>JUL!$V15</f>
        <v>2140.12</v>
      </c>
      <c r="AM117" s="800">
        <f>AGO!$V15</f>
        <v>2055.0240000000022</v>
      </c>
      <c r="AN117" s="800">
        <f>SET!$V15</f>
        <v>1725.6159999999975</v>
      </c>
      <c r="AO117" s="800">
        <f>OUT!$V15*0</f>
        <v>0</v>
      </c>
      <c r="AP117" s="800">
        <f>NOV!$V15*0</f>
        <v>0</v>
      </c>
      <c r="AQ117" s="800">
        <f>DEZ!$V15*0</f>
        <v>0</v>
      </c>
      <c r="AR117" s="800">
        <f t="shared" si="41"/>
        <v>31293.68</v>
      </c>
    </row>
    <row r="118" spans="1:44">
      <c r="A118" s="137" t="s">
        <v>88</v>
      </c>
      <c r="B118" s="800">
        <f>$E223*'Médias por UF'!FX104</f>
        <v>10077.727585687819</v>
      </c>
      <c r="C118" s="800">
        <f>$E223*'Médias por UF'!FY104</f>
        <v>15372.237290201998</v>
      </c>
      <c r="D118" s="800">
        <f>$E223*'Médias por UF'!FZ104</f>
        <v>20633.338775597036</v>
      </c>
      <c r="E118" s="800">
        <f>$E223*'Médias por UF'!GA104</f>
        <v>23798.274263531297</v>
      </c>
      <c r="F118" s="800">
        <f>$E223*'Médias por UF'!GB104</f>
        <v>29685.627697364162</v>
      </c>
      <c r="G118" s="800">
        <f>$E223*'Médias por UF'!GC104</f>
        <v>33422.668324834289</v>
      </c>
      <c r="H118" s="800">
        <f>$E223*'Médias por UF'!GD104</f>
        <v>39170.565577089241</v>
      </c>
      <c r="I118" s="800">
        <f>$E223*'Médias por UF'!GE104</f>
        <v>44202.916220890183</v>
      </c>
      <c r="J118" s="800">
        <f>$E223*'Médias por UF'!GF104</f>
        <v>50368.836267432787</v>
      </c>
      <c r="K118" s="800">
        <f>$E223*'Médias por UF'!GG104</f>
        <v>56142.000876776634</v>
      </c>
      <c r="L118" s="800">
        <f>$E223*'Médias por UF'!GH104</f>
        <v>60286.687714707827</v>
      </c>
      <c r="M118" s="800">
        <f>$E223*'Médias por UF'!GI104</f>
        <v>64930.83</v>
      </c>
      <c r="N118" s="800">
        <f t="shared" si="39"/>
        <v>64930.83</v>
      </c>
      <c r="P118" s="138" t="s">
        <v>88</v>
      </c>
      <c r="Q118" s="800">
        <f>$T223*'Médias por UF'!FX104</f>
        <v>10077.727585687819</v>
      </c>
      <c r="R118" s="800">
        <f>$T223*'Médias por UF'!FY104</f>
        <v>15372.237290201998</v>
      </c>
      <c r="S118" s="800">
        <f>$T223*'Médias por UF'!FZ104</f>
        <v>20633.338775597036</v>
      </c>
      <c r="T118" s="800">
        <f>$T223*'Médias por UF'!GA104</f>
        <v>23798.274263531297</v>
      </c>
      <c r="U118" s="800">
        <f>$T223*'Médias por UF'!GB104</f>
        <v>29685.627697364162</v>
      </c>
      <c r="V118" s="800">
        <f>$T223*'Médias por UF'!GC104</f>
        <v>33422.668324834289</v>
      </c>
      <c r="W118" s="800">
        <f>$T223*'Médias por UF'!GD104</f>
        <v>39170.565577089241</v>
      </c>
      <c r="X118" s="800">
        <f>$T223*'Médias por UF'!GE104</f>
        <v>44202.916220890183</v>
      </c>
      <c r="Y118" s="800">
        <f>$T223*'Médias por UF'!GF104</f>
        <v>50368.836267432787</v>
      </c>
      <c r="Z118" s="800">
        <f>$T223*'Médias por UF'!GG104</f>
        <v>56142.000876776634</v>
      </c>
      <c r="AA118" s="800">
        <f>$T223*'Médias por UF'!GH104</f>
        <v>60286.687714707827</v>
      </c>
      <c r="AB118" s="800">
        <f>$T223*'Médias por UF'!GI104</f>
        <v>64930.83</v>
      </c>
      <c r="AC118" s="800">
        <f t="shared" si="40"/>
        <v>64930.83</v>
      </c>
      <c r="AE118" s="138" t="s">
        <v>88</v>
      </c>
      <c r="AF118" s="800">
        <f>JAN!$V$16</f>
        <v>5973.1440000000002</v>
      </c>
      <c r="AG118" s="800">
        <f>FEV!$V16</f>
        <v>5558.68</v>
      </c>
      <c r="AH118" s="800">
        <f>MAR!$V16</f>
        <v>2647.9279999999999</v>
      </c>
      <c r="AI118" s="800">
        <f>ABR!$V16</f>
        <v>9229.344000000001</v>
      </c>
      <c r="AJ118" s="800">
        <f>MAI!$V16</f>
        <v>4961.7360000000008</v>
      </c>
      <c r="AK118" s="800">
        <f>JUN!$V16</f>
        <v>9111.3040000000019</v>
      </c>
      <c r="AL118" s="800">
        <f>JUL!$V16</f>
        <v>5051.800000000002</v>
      </c>
      <c r="AM118" s="800">
        <f>AGO!$V16</f>
        <v>3818.0880000000006</v>
      </c>
      <c r="AN118" s="800">
        <f>SET!$V16</f>
        <v>9450.9760000000006</v>
      </c>
      <c r="AO118" s="800">
        <f>OUT!$V16*0</f>
        <v>0</v>
      </c>
      <c r="AP118" s="800">
        <f>NOV!$V16*0</f>
        <v>0</v>
      </c>
      <c r="AQ118" s="800">
        <f>DEZ!$V16*0</f>
        <v>0</v>
      </c>
      <c r="AR118" s="800">
        <f t="shared" si="41"/>
        <v>55803.000000000015</v>
      </c>
    </row>
    <row r="119" spans="1:44">
      <c r="A119" s="137" t="s">
        <v>89</v>
      </c>
      <c r="B119" s="800">
        <f>$E224*'Médias por UF'!FX105</f>
        <v>6422.045170249864</v>
      </c>
      <c r="C119" s="800">
        <f>$E224*'Médias por UF'!FY105</f>
        <v>12098.2533440925</v>
      </c>
      <c r="D119" s="800">
        <f>$E224*'Médias por UF'!FZ105</f>
        <v>17533.842232903062</v>
      </c>
      <c r="E119" s="800">
        <f>$E224*'Médias por UF'!GA105</f>
        <v>22274.094283060353</v>
      </c>
      <c r="F119" s="800">
        <f>$E224*'Médias por UF'!GB105</f>
        <v>26714.775461824713</v>
      </c>
      <c r="G119" s="800">
        <f>$E224*'Médias por UF'!GC105</f>
        <v>30973.443234527589</v>
      </c>
      <c r="H119" s="800">
        <f>$E224*'Médias por UF'!GD105</f>
        <v>35265.089879835366</v>
      </c>
      <c r="I119" s="800">
        <f>$E224*'Médias por UF'!GE105</f>
        <v>39511.340140469583</v>
      </c>
      <c r="J119" s="800">
        <f>$E224*'Médias por UF'!GF105</f>
        <v>43511.071103557566</v>
      </c>
      <c r="K119" s="800">
        <f>$E224*'Médias por UF'!GG105</f>
        <v>48428.534535788043</v>
      </c>
      <c r="L119" s="800">
        <f>$E224*'Médias por UF'!GH105</f>
        <v>53142.202668959246</v>
      </c>
      <c r="M119" s="800">
        <f>$E224*'Médias por UF'!GI105</f>
        <v>58593.32</v>
      </c>
      <c r="N119" s="800">
        <f t="shared" si="39"/>
        <v>58593.32</v>
      </c>
      <c r="P119" s="138" t="s">
        <v>89</v>
      </c>
      <c r="Q119" s="800">
        <f>$T224*'Médias por UF'!FX105</f>
        <v>12055.517962127809</v>
      </c>
      <c r="R119" s="800">
        <f>$T224*'Médias por UF'!FY105</f>
        <v>22710.94435394719</v>
      </c>
      <c r="S119" s="800">
        <f>$T224*'Médias por UF'!FZ105</f>
        <v>32914.678171853135</v>
      </c>
      <c r="T119" s="800">
        <f>$T224*'Médias por UF'!GA105</f>
        <v>41813.119746262215</v>
      </c>
      <c r="U119" s="800">
        <f>$T224*'Médias por UF'!GB105</f>
        <v>50149.204326089879</v>
      </c>
      <c r="V119" s="800">
        <f>$T224*'Médias por UF'!GC105</f>
        <v>58143.611787810805</v>
      </c>
      <c r="W119" s="800">
        <f>$T224*'Médias por UF'!GD105</f>
        <v>66199.927470436334</v>
      </c>
      <c r="X119" s="800">
        <f>$T224*'Médias por UF'!GE105</f>
        <v>74171.024672602842</v>
      </c>
      <c r="Y119" s="800">
        <f>$T224*'Médias por UF'!GF105</f>
        <v>81679.353747047819</v>
      </c>
      <c r="Z119" s="800">
        <f>$T224*'Médias por UF'!GG105</f>
        <v>90910.458039180143</v>
      </c>
      <c r="AA119" s="800">
        <f>$T224*'Médias por UF'!GH105</f>
        <v>99758.996057909768</v>
      </c>
      <c r="AB119" s="800">
        <f>$T224*'Médias por UF'!GI105</f>
        <v>109991.88</v>
      </c>
      <c r="AC119" s="800">
        <f t="shared" si="40"/>
        <v>109991.88</v>
      </c>
      <c r="AE119" s="138" t="s">
        <v>89</v>
      </c>
      <c r="AF119" s="800">
        <f>JAN!$V$17</f>
        <v>15688.647999999999</v>
      </c>
      <c r="AG119" s="800">
        <f>FEV!$V17</f>
        <v>26778.776000000002</v>
      </c>
      <c r="AH119" s="800">
        <f>MAR!$V17</f>
        <v>24738.736000000001</v>
      </c>
      <c r="AI119" s="800">
        <f>ABR!$V17</f>
        <v>17481.655999999999</v>
      </c>
      <c r="AJ119" s="800">
        <f>MAI!$V17</f>
        <v>16732.816000000003</v>
      </c>
      <c r="AK119" s="800">
        <f>JUN!$V17</f>
        <v>19942.152000000002</v>
      </c>
      <c r="AL119" s="800">
        <f>JUL!$V17</f>
        <v>19959.04</v>
      </c>
      <c r="AM119" s="800">
        <f>AGO!$V17</f>
        <v>21787.335999999999</v>
      </c>
      <c r="AN119" s="800">
        <f>SET!$V17</f>
        <v>12731.887999999999</v>
      </c>
      <c r="AO119" s="800">
        <f>OUT!$V17*0</f>
        <v>0</v>
      </c>
      <c r="AP119" s="800">
        <f>NOV!$V17*0</f>
        <v>0</v>
      </c>
      <c r="AQ119" s="800">
        <f>DEZ!$V17*0</f>
        <v>0</v>
      </c>
      <c r="AR119" s="800">
        <f t="shared" si="41"/>
        <v>175841.04800000004</v>
      </c>
    </row>
    <row r="120" spans="1:44">
      <c r="A120" s="137" t="s">
        <v>90</v>
      </c>
      <c r="B120" s="800">
        <f>$E225*'Médias por UF'!FX106</f>
        <v>4101.2492656350814</v>
      </c>
      <c r="C120" s="800">
        <f>$E225*'Médias por UF'!FY106</f>
        <v>12111.623492152599</v>
      </c>
      <c r="D120" s="800">
        <f>$E225*'Médias por UF'!FZ106</f>
        <v>17615.029591066963</v>
      </c>
      <c r="E120" s="800">
        <f>$E225*'Médias por UF'!GA106</f>
        <v>21226.038275239349</v>
      </c>
      <c r="F120" s="800">
        <f>$E225*'Médias por UF'!GB106</f>
        <v>23072.496455174962</v>
      </c>
      <c r="G120" s="800">
        <f>$E225*'Médias por UF'!GC106</f>
        <v>25441.503010531051</v>
      </c>
      <c r="H120" s="800">
        <f>$E225*'Médias por UF'!GD106</f>
        <v>28300.325149470325</v>
      </c>
      <c r="I120" s="800">
        <f>$E225*'Médias por UF'!GE106</f>
        <v>31446.44872399732</v>
      </c>
      <c r="J120" s="800">
        <f>$E225*'Médias por UF'!GF106</f>
        <v>33267.659293423909</v>
      </c>
      <c r="K120" s="800">
        <f>$E225*'Médias por UF'!GG106</f>
        <v>34564.177074087485</v>
      </c>
      <c r="L120" s="800">
        <f>$E225*'Médias por UF'!GH106</f>
        <v>36139.211353150924</v>
      </c>
      <c r="M120" s="800">
        <f>$E225*'Médias por UF'!GI106</f>
        <v>38300.33</v>
      </c>
      <c r="N120" s="800">
        <f t="shared" si="39"/>
        <v>38300.33</v>
      </c>
      <c r="P120" s="138" t="s">
        <v>90</v>
      </c>
      <c r="Q120" s="800">
        <f>$T225*'Médias por UF'!FX106</f>
        <v>4101.2492656350814</v>
      </c>
      <c r="R120" s="800">
        <f>$T225*'Médias por UF'!FY106</f>
        <v>12111.623492152599</v>
      </c>
      <c r="S120" s="800">
        <f>$T225*'Médias por UF'!FZ106</f>
        <v>17615.029591066963</v>
      </c>
      <c r="T120" s="800">
        <f>$T225*'Médias por UF'!GA106</f>
        <v>21226.038275239349</v>
      </c>
      <c r="U120" s="800">
        <f>$T225*'Médias por UF'!GB106</f>
        <v>23072.496455174962</v>
      </c>
      <c r="V120" s="800">
        <f>$T225*'Médias por UF'!GC106</f>
        <v>25441.503010531051</v>
      </c>
      <c r="W120" s="800">
        <f>$T225*'Médias por UF'!GD106</f>
        <v>28300.325149470325</v>
      </c>
      <c r="X120" s="800">
        <f>$T225*'Médias por UF'!GE106</f>
        <v>31446.44872399732</v>
      </c>
      <c r="Y120" s="800">
        <f>$T225*'Médias por UF'!GF106</f>
        <v>33267.659293423909</v>
      </c>
      <c r="Z120" s="800">
        <f>$T225*'Médias por UF'!GG106</f>
        <v>34564.177074087485</v>
      </c>
      <c r="AA120" s="800">
        <f>$T225*'Médias por UF'!GH106</f>
        <v>36139.211353150924</v>
      </c>
      <c r="AB120" s="800">
        <f>$T225*'Médias por UF'!GI106</f>
        <v>38300.33</v>
      </c>
      <c r="AC120" s="800">
        <f t="shared" si="40"/>
        <v>38300.33</v>
      </c>
      <c r="AE120" s="138" t="s">
        <v>90</v>
      </c>
      <c r="AF120" s="800">
        <f>JAN!$V$18</f>
        <v>1310.6240000000003</v>
      </c>
      <c r="AG120" s="800">
        <f>FEV!$V18</f>
        <v>2245.7919999999999</v>
      </c>
      <c r="AH120" s="800">
        <f>MAR!$V18</f>
        <v>2591.4960000000001</v>
      </c>
      <c r="AI120" s="800">
        <f>ABR!$V18</f>
        <v>2613.4639999999999</v>
      </c>
      <c r="AJ120" s="800">
        <f>MAI!$V18</f>
        <v>1918.8560000000002</v>
      </c>
      <c r="AK120" s="800">
        <f>JUN!$V18</f>
        <v>2517.2800000000002</v>
      </c>
      <c r="AL120" s="800">
        <f>JUL!$V18</f>
        <v>1962.2480000000005</v>
      </c>
      <c r="AM120" s="800">
        <f>AGO!$V18</f>
        <v>1943.8240000000005</v>
      </c>
      <c r="AN120" s="800">
        <f>SET!$V18</f>
        <v>743.00799999999947</v>
      </c>
      <c r="AO120" s="800">
        <f>OUT!$V18*0</f>
        <v>0</v>
      </c>
      <c r="AP120" s="800">
        <f>NOV!$V18*0</f>
        <v>0</v>
      </c>
      <c r="AQ120" s="800">
        <f>DEZ!$V18*0</f>
        <v>0</v>
      </c>
      <c r="AR120" s="800">
        <f t="shared" si="41"/>
        <v>17846.592000000001</v>
      </c>
    </row>
    <row r="121" spans="1:44">
      <c r="A121" s="137" t="s">
        <v>91</v>
      </c>
      <c r="B121" s="800">
        <f>$E226*'Médias por UF'!FX107</f>
        <v>3193.0495906773717</v>
      </c>
      <c r="C121" s="800">
        <f>$E226*'Médias por UF'!FY107</f>
        <v>6667.7939886421282</v>
      </c>
      <c r="D121" s="800">
        <f>$E226*'Médias por UF'!FZ107</f>
        <v>8808.9008788263454</v>
      </c>
      <c r="E121" s="800">
        <f>$E226*'Médias por UF'!GA107</f>
        <v>9704.1899851393919</v>
      </c>
      <c r="F121" s="800">
        <f>$E226*'Médias por UF'!GB107</f>
        <v>12272.667640856984</v>
      </c>
      <c r="G121" s="800">
        <f>$E226*'Médias por UF'!GC107</f>
        <v>14646.792526822337</v>
      </c>
      <c r="H121" s="800">
        <f>$E226*'Médias por UF'!GD107</f>
        <v>16960.593523501684</v>
      </c>
      <c r="I121" s="800">
        <f>$E226*'Médias por UF'!GE107</f>
        <v>19123.636477339882</v>
      </c>
      <c r="J121" s="800">
        <f>$E226*'Médias por UF'!GF107</f>
        <v>20848.819644014544</v>
      </c>
      <c r="K121" s="800">
        <f>$E226*'Médias por UF'!GG107</f>
        <v>23515.989479760887</v>
      </c>
      <c r="L121" s="800">
        <f>$E226*'Médias por UF'!GH107</f>
        <v>26317.347150235888</v>
      </c>
      <c r="M121" s="800">
        <f>$E226*'Médias por UF'!GI107</f>
        <v>28773.33</v>
      </c>
      <c r="N121" s="800">
        <f t="shared" si="39"/>
        <v>28773.33</v>
      </c>
      <c r="P121" s="138" t="s">
        <v>91</v>
      </c>
      <c r="Q121" s="800">
        <f>$T226*'Médias por UF'!FX107</f>
        <v>3193.0495906773717</v>
      </c>
      <c r="R121" s="800">
        <f>$T226*'Médias por UF'!FY107</f>
        <v>6667.7939886421282</v>
      </c>
      <c r="S121" s="800">
        <f>$T226*'Médias por UF'!FZ107</f>
        <v>8808.9008788263454</v>
      </c>
      <c r="T121" s="800">
        <f>$T226*'Médias por UF'!GA107</f>
        <v>9704.1899851393919</v>
      </c>
      <c r="U121" s="800">
        <f>$T226*'Médias por UF'!GB107</f>
        <v>12272.667640856984</v>
      </c>
      <c r="V121" s="800">
        <f>$T226*'Médias por UF'!GC107</f>
        <v>14646.792526822337</v>
      </c>
      <c r="W121" s="800">
        <f>$T226*'Médias por UF'!GD107</f>
        <v>16960.593523501684</v>
      </c>
      <c r="X121" s="800">
        <f>$T226*'Médias por UF'!GE107</f>
        <v>19123.636477339882</v>
      </c>
      <c r="Y121" s="800">
        <f>$T226*'Médias por UF'!GF107</f>
        <v>20848.819644014544</v>
      </c>
      <c r="Z121" s="800">
        <f>$T226*'Médias por UF'!GG107</f>
        <v>23515.989479760887</v>
      </c>
      <c r="AA121" s="800">
        <f>$T226*'Médias por UF'!GH107</f>
        <v>26317.347150235888</v>
      </c>
      <c r="AB121" s="800">
        <f>$T226*'Médias por UF'!GI107</f>
        <v>28773.33</v>
      </c>
      <c r="AC121" s="800">
        <f t="shared" si="40"/>
        <v>28773.33</v>
      </c>
      <c r="AE121" s="138" t="s">
        <v>91</v>
      </c>
      <c r="AF121" s="800">
        <f>JAN!$V$19</f>
        <v>3750.0239999999999</v>
      </c>
      <c r="AG121" s="800">
        <f>FEV!$V19</f>
        <v>4714.9039999999995</v>
      </c>
      <c r="AH121" s="800">
        <f>MAR!$V19</f>
        <v>7264.4320000000007</v>
      </c>
      <c r="AI121" s="800">
        <f>ABR!$V19</f>
        <v>2089.8880000000004</v>
      </c>
      <c r="AJ121" s="800">
        <f>MAI!$V19</f>
        <v>1585.5200000000002</v>
      </c>
      <c r="AK121" s="800">
        <f>JUN!$V19</f>
        <v>1796.576</v>
      </c>
      <c r="AL121" s="800">
        <f>JUL!$V19</f>
        <v>3249.6000000000004</v>
      </c>
      <c r="AM121" s="800">
        <f>AGO!$V19</f>
        <v>3371.1920000000009</v>
      </c>
      <c r="AN121" s="800">
        <f>SET!$V19</f>
        <v>5996.3600000000006</v>
      </c>
      <c r="AO121" s="800">
        <f>OUT!$V19*0</f>
        <v>0</v>
      </c>
      <c r="AP121" s="800">
        <f>NOV!$V19*0</f>
        <v>0</v>
      </c>
      <c r="AQ121" s="800">
        <f>DEZ!$V19*0</f>
        <v>0</v>
      </c>
      <c r="AR121" s="800">
        <f t="shared" si="41"/>
        <v>33818.496000000006</v>
      </c>
    </row>
    <row r="122" spans="1:44">
      <c r="A122" s="137" t="s">
        <v>92</v>
      </c>
      <c r="B122" s="800">
        <f>$E227*'Médias por UF'!FX108</f>
        <v>6291.3169956129877</v>
      </c>
      <c r="C122" s="800">
        <f>$E227*'Médias por UF'!FY108</f>
        <v>11302.077936007274</v>
      </c>
      <c r="D122" s="800">
        <f>$E227*'Médias por UF'!FZ108</f>
        <v>16054.469730588402</v>
      </c>
      <c r="E122" s="800">
        <f>$E227*'Médias por UF'!GA108</f>
        <v>20388.51696093363</v>
      </c>
      <c r="F122" s="800">
        <f>$E227*'Médias por UF'!GB108</f>
        <v>24013.302078605459</v>
      </c>
      <c r="G122" s="800">
        <f>$E227*'Médias por UF'!GC108</f>
        <v>27671.57672703623</v>
      </c>
      <c r="H122" s="800">
        <f>$E227*'Médias por UF'!GD108</f>
        <v>31064.748497874974</v>
      </c>
      <c r="I122" s="800">
        <f>$E227*'Médias por UF'!GE108</f>
        <v>34727.562306557476</v>
      </c>
      <c r="J122" s="800">
        <f>$E227*'Médias por UF'!GF108</f>
        <v>37870.74261121609</v>
      </c>
      <c r="K122" s="800">
        <f>$E227*'Médias por UF'!GG108</f>
        <v>41390.161875960883</v>
      </c>
      <c r="L122" s="800">
        <f>$E227*'Médias por UF'!GH108</f>
        <v>43925.598961967968</v>
      </c>
      <c r="M122" s="800">
        <f>$E227*'Médias por UF'!GI108</f>
        <v>48179.87</v>
      </c>
      <c r="N122" s="800">
        <f t="shared" si="39"/>
        <v>48179.87</v>
      </c>
      <c r="P122" s="138" t="s">
        <v>92</v>
      </c>
      <c r="Q122" s="800">
        <f>$T227*'Médias por UF'!FX108</f>
        <v>24159.114187932439</v>
      </c>
      <c r="R122" s="800">
        <f>$T227*'Médias por UF'!FY108</f>
        <v>43400.800119801839</v>
      </c>
      <c r="S122" s="800">
        <f>$T227*'Médias por UF'!FZ108</f>
        <v>61650.329766955139</v>
      </c>
      <c r="T122" s="800">
        <f>$T227*'Médias por UF'!GA108</f>
        <v>78293.38590397955</v>
      </c>
      <c r="U122" s="800">
        <f>$T227*'Médias por UF'!GB108</f>
        <v>92212.824016161234</v>
      </c>
      <c r="V122" s="800">
        <f>$T227*'Médias por UF'!GC108</f>
        <v>106260.86435872962</v>
      </c>
      <c r="W122" s="800">
        <f>$T227*'Médias por UF'!GD108</f>
        <v>119290.89039749464</v>
      </c>
      <c r="X122" s="800">
        <f>$T227*'Médias por UF'!GE108</f>
        <v>133356.36144509909</v>
      </c>
      <c r="Y122" s="800">
        <f>$T227*'Médias por UF'!GF108</f>
        <v>145426.40209739163</v>
      </c>
      <c r="Z122" s="800">
        <f>$T227*'Médias por UF'!GG108</f>
        <v>158941.22768183897</v>
      </c>
      <c r="AA122" s="800">
        <f>$T227*'Médias por UF'!GH108</f>
        <v>168677.49023543097</v>
      </c>
      <c r="AB122" s="800">
        <f>$T227*'Médias por UF'!GI108</f>
        <v>185014.2</v>
      </c>
      <c r="AC122" s="800">
        <f t="shared" si="40"/>
        <v>185014.2</v>
      </c>
      <c r="AE122" s="138" t="s">
        <v>92</v>
      </c>
      <c r="AF122" s="800">
        <f>JAN!$V$20</f>
        <v>17315.824000000001</v>
      </c>
      <c r="AG122" s="800">
        <f>FEV!$V20</f>
        <v>23697.528000000002</v>
      </c>
      <c r="AH122" s="800">
        <f>MAR!$V20</f>
        <v>27291.896000000004</v>
      </c>
      <c r="AI122" s="800">
        <f>ABR!$V20</f>
        <v>12931.567999999999</v>
      </c>
      <c r="AJ122" s="800">
        <f>MAI!$V20</f>
        <v>17452.52</v>
      </c>
      <c r="AK122" s="800">
        <f>JUN!$V20</f>
        <v>13625.696</v>
      </c>
      <c r="AL122" s="800">
        <f>JUL!$V20</f>
        <v>20774.943999999996</v>
      </c>
      <c r="AM122" s="800">
        <f>AGO!$V20</f>
        <v>25729.479999999996</v>
      </c>
      <c r="AN122" s="800">
        <f>SET!$V20</f>
        <v>12346.936000000005</v>
      </c>
      <c r="AO122" s="800">
        <f>OUT!$V20*0</f>
        <v>0</v>
      </c>
      <c r="AP122" s="800">
        <f>NOV!$V20*0</f>
        <v>0</v>
      </c>
      <c r="AQ122" s="800">
        <f>DEZ!$V20*0</f>
        <v>0</v>
      </c>
      <c r="AR122" s="800">
        <f t="shared" si="41"/>
        <v>171166.39200000002</v>
      </c>
    </row>
    <row r="123" spans="1:44">
      <c r="A123" s="137" t="s">
        <v>93</v>
      </c>
      <c r="B123" s="800">
        <f>$E228*'Médias por UF'!FX109</f>
        <v>4666.9273176573624</v>
      </c>
      <c r="C123" s="800">
        <f>$E228*'Médias por UF'!FY109</f>
        <v>11365.046576963512</v>
      </c>
      <c r="D123" s="800">
        <f>$E228*'Médias por UF'!FZ109</f>
        <v>14568.610920575329</v>
      </c>
      <c r="E123" s="800">
        <f>$E228*'Médias por UF'!GA109</f>
        <v>16859.470808622482</v>
      </c>
      <c r="F123" s="800">
        <f>$E228*'Médias por UF'!GB109</f>
        <v>20236.946874969162</v>
      </c>
      <c r="G123" s="800">
        <f>$E228*'Médias por UF'!GC109</f>
        <v>23671.17873250612</v>
      </c>
      <c r="H123" s="800">
        <f>$E228*'Médias por UF'!GD109</f>
        <v>26695.545409480823</v>
      </c>
      <c r="I123" s="800">
        <f>$E228*'Médias por UF'!GE109</f>
        <v>30017.623740598989</v>
      </c>
      <c r="J123" s="800">
        <f>$E228*'Médias por UF'!GF109</f>
        <v>33004.811773452915</v>
      </c>
      <c r="K123" s="800">
        <f>$E228*'Médias por UF'!GG109</f>
        <v>37989.275674970464</v>
      </c>
      <c r="L123" s="800">
        <f>$E228*'Médias por UF'!GH109</f>
        <v>40719.024573962241</v>
      </c>
      <c r="M123" s="800">
        <f>$E228*'Médias por UF'!GI109</f>
        <v>45000</v>
      </c>
      <c r="N123" s="800">
        <f t="shared" si="39"/>
        <v>45000</v>
      </c>
      <c r="P123" s="138" t="s">
        <v>93</v>
      </c>
      <c r="Q123" s="800">
        <f>$T228*'Médias por UF'!FX109</f>
        <v>4996.7100325373431</v>
      </c>
      <c r="R123" s="800">
        <f>$T228*'Médias por UF'!FY109</f>
        <v>12168.143702712157</v>
      </c>
      <c r="S123" s="800">
        <f>$T228*'Médias por UF'!FZ109</f>
        <v>15598.084005197772</v>
      </c>
      <c r="T123" s="800">
        <f>$T228*'Médias por UF'!GA109</f>
        <v>18050.824707293916</v>
      </c>
      <c r="U123" s="800">
        <f>$T228*'Médias por UF'!GB109</f>
        <v>21666.965991842677</v>
      </c>
      <c r="V123" s="800">
        <f>$T228*'Médias por UF'!GC109</f>
        <v>25343.87364619799</v>
      </c>
      <c r="W123" s="800">
        <f>$T228*'Médias por UF'!GD109</f>
        <v>28581.953497952953</v>
      </c>
      <c r="X123" s="800">
        <f>$T228*'Médias por UF'!GE109</f>
        <v>32138.782434021625</v>
      </c>
      <c r="Y123" s="800">
        <f>$T228*'Médias por UF'!GF109</f>
        <v>35337.056458209576</v>
      </c>
      <c r="Z123" s="800">
        <f>$T228*'Médias por UF'!GG109</f>
        <v>40673.741409205315</v>
      </c>
      <c r="AA123" s="800">
        <f>$T228*'Médias por UF'!GH109</f>
        <v>43596.384677784583</v>
      </c>
      <c r="AB123" s="800">
        <f>$T228*'Médias por UF'!GI109</f>
        <v>48179.87</v>
      </c>
      <c r="AC123" s="800">
        <f t="shared" si="40"/>
        <v>48179.87</v>
      </c>
      <c r="AE123" s="138" t="s">
        <v>93</v>
      </c>
      <c r="AF123" s="800">
        <f>JAN!$V$21</f>
        <v>7136.4320000000007</v>
      </c>
      <c r="AG123" s="800">
        <f>FEV!$V21</f>
        <v>5938.3999999999987</v>
      </c>
      <c r="AH123" s="800">
        <f>MAR!$V21</f>
        <v>4657.3919999999998</v>
      </c>
      <c r="AI123" s="800">
        <f>ABR!$V21</f>
        <v>5188.6400000000003</v>
      </c>
      <c r="AJ123" s="800">
        <f>MAI!$V21</f>
        <v>2596.4240000000004</v>
      </c>
      <c r="AK123" s="800">
        <f>JUN!$V21</f>
        <v>7381.5119999999997</v>
      </c>
      <c r="AL123" s="800">
        <f>JUL!$V21</f>
        <v>3322.9279999999999</v>
      </c>
      <c r="AM123" s="800">
        <f>AGO!$V21</f>
        <v>2416.6880000000006</v>
      </c>
      <c r="AN123" s="800">
        <f>SET!$V21</f>
        <v>1967.976000000001</v>
      </c>
      <c r="AO123" s="800">
        <f>OUT!$V21*0</f>
        <v>0</v>
      </c>
      <c r="AP123" s="800">
        <f>NOV!$V21*0</f>
        <v>0</v>
      </c>
      <c r="AQ123" s="800">
        <f>DEZ!$V21*0</f>
        <v>0</v>
      </c>
      <c r="AR123" s="800">
        <f t="shared" si="41"/>
        <v>40606.392</v>
      </c>
    </row>
    <row r="124" spans="1:44">
      <c r="A124" s="137" t="s">
        <v>94</v>
      </c>
      <c r="B124" s="800">
        <f>$E229*'Médias por UF'!FX110</f>
        <v>33771.072884942885</v>
      </c>
      <c r="C124" s="800">
        <f>$E229*'Médias por UF'!FY110</f>
        <v>48241.461700571745</v>
      </c>
      <c r="D124" s="800">
        <f>$E229*'Médias por UF'!FZ110</f>
        <v>58345.784573359029</v>
      </c>
      <c r="E124" s="800">
        <f>$E229*'Médias por UF'!GA110</f>
        <v>67421.625824831921</v>
      </c>
      <c r="F124" s="800">
        <f>$E229*'Médias por UF'!GB110</f>
        <v>80729.824747828738</v>
      </c>
      <c r="G124" s="800">
        <f>$E229*'Médias por UF'!GC110</f>
        <v>102592.22364674669</v>
      </c>
      <c r="H124" s="800">
        <f>$E229*'Médias por UF'!GD110</f>
        <v>118515.34226952375</v>
      </c>
      <c r="I124" s="800">
        <f>$E229*'Médias por UF'!GE110</f>
        <v>134037.87968193355</v>
      </c>
      <c r="J124" s="800">
        <f>$E229*'Médias por UF'!GF110</f>
        <v>143875.72319024155</v>
      </c>
      <c r="K124" s="800">
        <f>$E229*'Médias por UF'!GG110</f>
        <v>153082.14937015114</v>
      </c>
      <c r="L124" s="800">
        <f>$E229*'Médias por UF'!GH110</f>
        <v>168198.19734646243</v>
      </c>
      <c r="M124" s="800">
        <f>$E229*'Médias por UF'!GI110</f>
        <v>185014.2</v>
      </c>
      <c r="N124" s="800">
        <f t="shared" si="39"/>
        <v>185014.2</v>
      </c>
      <c r="P124" s="138" t="s">
        <v>94</v>
      </c>
      <c r="Q124" s="800">
        <f>$T229*'Médias por UF'!FX110</f>
        <v>8213.9548198053435</v>
      </c>
      <c r="R124" s="800">
        <f>$T229*'Médias por UF'!FY110</f>
        <v>11733.508976747344</v>
      </c>
      <c r="S124" s="800">
        <f>$T229*'Médias por UF'!FZ110</f>
        <v>14191.128604189063</v>
      </c>
      <c r="T124" s="800">
        <f>$T229*'Médias por UF'!GA110</f>
        <v>16398.596227302751</v>
      </c>
      <c r="U124" s="800">
        <f>$T229*'Médias por UF'!GB110</f>
        <v>19635.477242569992</v>
      </c>
      <c r="V124" s="800">
        <f>$T229*'Médias por UF'!GC110</f>
        <v>24952.949903864679</v>
      </c>
      <c r="W124" s="800">
        <f>$T229*'Médias por UF'!GD110</f>
        <v>28825.843649452683</v>
      </c>
      <c r="X124" s="800">
        <f>$T229*'Médias por UF'!GE110</f>
        <v>32601.306200751125</v>
      </c>
      <c r="Y124" s="800">
        <f>$T229*'Médias por UF'!GF110</f>
        <v>34994.111498257269</v>
      </c>
      <c r="Z124" s="800">
        <f>$T229*'Médias por UF'!GG110</f>
        <v>37233.340584975645</v>
      </c>
      <c r="AA124" s="800">
        <f>$T229*'Médias por UF'!GH110</f>
        <v>40909.934916297279</v>
      </c>
      <c r="AB124" s="800">
        <f>$T229*'Médias por UF'!GI110</f>
        <v>45000</v>
      </c>
      <c r="AC124" s="800">
        <f t="shared" si="40"/>
        <v>45000</v>
      </c>
      <c r="AE124" s="138" t="s">
        <v>94</v>
      </c>
      <c r="AF124" s="800">
        <f>JAN!$V$22</f>
        <v>3014.6080000000002</v>
      </c>
      <c r="AG124" s="800">
        <f>FEV!$V22</f>
        <v>1226.7600000000002</v>
      </c>
      <c r="AH124" s="800">
        <f>MAR!$V22</f>
        <v>2142.8240000000001</v>
      </c>
      <c r="AI124" s="800">
        <f>ABR!$V22</f>
        <v>1410.2240000000002</v>
      </c>
      <c r="AJ124" s="800">
        <f>MAI!$V22</f>
        <v>603.39200000000005</v>
      </c>
      <c r="AK124" s="800">
        <f>JUN!$V22</f>
        <v>1356.8720000000001</v>
      </c>
      <c r="AL124" s="800">
        <f>JUL!$V22</f>
        <v>219.416</v>
      </c>
      <c r="AM124" s="800">
        <f>AGO!$V22</f>
        <v>2118.559999999999</v>
      </c>
      <c r="AN124" s="800">
        <f>SET!$V22</f>
        <v>835.86400000000003</v>
      </c>
      <c r="AO124" s="800">
        <f>OUT!$V22*0</f>
        <v>0</v>
      </c>
      <c r="AP124" s="800">
        <f>NOV!$V22*0</f>
        <v>0</v>
      </c>
      <c r="AQ124" s="800">
        <f>DEZ!$V22*0</f>
        <v>0</v>
      </c>
      <c r="AR124" s="800">
        <f t="shared" si="41"/>
        <v>12928.519999999999</v>
      </c>
    </row>
    <row r="125" spans="1:44">
      <c r="A125" s="137" t="s">
        <v>95</v>
      </c>
      <c r="B125" s="800">
        <f>$E230*'Médias por UF'!FX111</f>
        <v>22328.855146260466</v>
      </c>
      <c r="C125" s="800">
        <f>$E230*'Médias por UF'!FY111</f>
        <v>43520.027524067162</v>
      </c>
      <c r="D125" s="800">
        <f>$E230*'Médias por UF'!FZ111</f>
        <v>60045.154545738624</v>
      </c>
      <c r="E125" s="800">
        <f>$E230*'Médias por UF'!GA111</f>
        <v>71666.668855364638</v>
      </c>
      <c r="F125" s="800">
        <f>$E230*'Médias por UF'!GB111</f>
        <v>84432.847546340534</v>
      </c>
      <c r="G125" s="800">
        <f>$E230*'Médias por UF'!GC111</f>
        <v>103216.83954141711</v>
      </c>
      <c r="H125" s="800">
        <f>$E230*'Médias por UF'!GD111</f>
        <v>128869.4068244738</v>
      </c>
      <c r="I125" s="800">
        <f>$E230*'Médias por UF'!GE111</f>
        <v>154276.88691615826</v>
      </c>
      <c r="J125" s="800">
        <f>$E230*'Médias por UF'!GF111</f>
        <v>173490.32842458595</v>
      </c>
      <c r="K125" s="800">
        <f>$E230*'Médias por UF'!GG111</f>
        <v>194249.29526933405</v>
      </c>
      <c r="L125" s="800">
        <f>$E230*'Médias por UF'!GH111</f>
        <v>207701.31893830962</v>
      </c>
      <c r="M125" s="800">
        <f>$E230*'Médias por UF'!GI111</f>
        <v>227054.9</v>
      </c>
      <c r="N125" s="800">
        <f t="shared" si="39"/>
        <v>227054.9</v>
      </c>
      <c r="P125" s="138" t="s">
        <v>95</v>
      </c>
      <c r="Q125" s="800">
        <f>$T230*'Médias por UF'!FX111</f>
        <v>22328.855146260466</v>
      </c>
      <c r="R125" s="800">
        <f>$T230*'Médias por UF'!FY111</f>
        <v>43520.027524067162</v>
      </c>
      <c r="S125" s="800">
        <f>$T230*'Médias por UF'!FZ111</f>
        <v>60045.154545738624</v>
      </c>
      <c r="T125" s="800">
        <f>$T230*'Médias por UF'!GA111</f>
        <v>71666.668855364638</v>
      </c>
      <c r="U125" s="800">
        <f>$T230*'Médias por UF'!GB111</f>
        <v>84432.847546340534</v>
      </c>
      <c r="V125" s="800">
        <f>$T230*'Médias por UF'!GC111</f>
        <v>103216.83954141711</v>
      </c>
      <c r="W125" s="800">
        <f>$T230*'Médias por UF'!GD111</f>
        <v>128869.4068244738</v>
      </c>
      <c r="X125" s="800">
        <f>$T230*'Médias por UF'!GE111</f>
        <v>154276.88691615826</v>
      </c>
      <c r="Y125" s="800">
        <f>$T230*'Médias por UF'!GF111</f>
        <v>173490.32842458595</v>
      </c>
      <c r="Z125" s="800">
        <f>$T230*'Médias por UF'!GG111</f>
        <v>194249.29526933405</v>
      </c>
      <c r="AA125" s="800">
        <f>$T230*'Médias por UF'!GH111</f>
        <v>207701.31893830962</v>
      </c>
      <c r="AB125" s="800">
        <f>$T230*'Médias por UF'!GI111</f>
        <v>227054.9</v>
      </c>
      <c r="AC125" s="800">
        <f t="shared" si="40"/>
        <v>227054.9</v>
      </c>
      <c r="AE125" s="138" t="s">
        <v>95</v>
      </c>
      <c r="AF125" s="800">
        <f>JAN!$V$23</f>
        <v>20486.864000000001</v>
      </c>
      <c r="AG125" s="800">
        <f>FEV!$V23</f>
        <v>23268.800000000003</v>
      </c>
      <c r="AH125" s="800">
        <f>MAR!$V23</f>
        <v>17732.088</v>
      </c>
      <c r="AI125" s="800">
        <f>ABR!$V23</f>
        <v>7708.4720000000007</v>
      </c>
      <c r="AJ125" s="800">
        <f>MAI!$V23</f>
        <v>13079.64</v>
      </c>
      <c r="AK125" s="800">
        <f>JUN!$V23</f>
        <v>8610.4719999999998</v>
      </c>
      <c r="AL125" s="800">
        <f>JUL!$V23</f>
        <v>10655.016000000007</v>
      </c>
      <c r="AM125" s="800">
        <f>AGO!$V23</f>
        <v>14584.496000000008</v>
      </c>
      <c r="AN125" s="800">
        <f>SET!$V23</f>
        <v>9473.5200000000023</v>
      </c>
      <c r="AO125" s="800">
        <f>OUT!$V23*0</f>
        <v>0</v>
      </c>
      <c r="AP125" s="800">
        <f>NOV!$V23*0</f>
        <v>0</v>
      </c>
      <c r="AQ125" s="800">
        <f>DEZ!$V23*0</f>
        <v>0</v>
      </c>
      <c r="AR125" s="800">
        <f t="shared" si="41"/>
        <v>125599.36800000002</v>
      </c>
    </row>
    <row r="126" spans="1:44">
      <c r="A126" s="137" t="s">
        <v>96</v>
      </c>
      <c r="B126" s="800">
        <f>$E231*'Médias por UF'!FX112</f>
        <v>4221.4152482697218</v>
      </c>
      <c r="C126" s="800">
        <f>$E231*'Médias por UF'!FY112</f>
        <v>13046.555184139326</v>
      </c>
      <c r="D126" s="800">
        <f>$E231*'Médias por UF'!FZ112</f>
        <v>17767.813489975699</v>
      </c>
      <c r="E126" s="800">
        <f>$E231*'Médias por UF'!GA112</f>
        <v>20887.224550926254</v>
      </c>
      <c r="F126" s="800">
        <f>$E231*'Médias por UF'!GB112</f>
        <v>25469.369803431528</v>
      </c>
      <c r="G126" s="800">
        <f>$E231*'Médias por UF'!GC112</f>
        <v>29230.13994930614</v>
      </c>
      <c r="H126" s="800">
        <f>$E231*'Médias por UF'!GD112</f>
        <v>30795.620221155466</v>
      </c>
      <c r="I126" s="800">
        <f>$E231*'Médias por UF'!GE112</f>
        <v>36085.146227791083</v>
      </c>
      <c r="J126" s="800">
        <f>$E231*'Médias por UF'!GF112</f>
        <v>38509.657137433751</v>
      </c>
      <c r="K126" s="800">
        <f>$E231*'Médias por UF'!GG112</f>
        <v>41668.101159271995</v>
      </c>
      <c r="L126" s="800">
        <f>$E231*'Médias por UF'!GH112</f>
        <v>42988.567826347833</v>
      </c>
      <c r="M126" s="800">
        <f>$E231*'Médias por UF'!GI112</f>
        <v>45000</v>
      </c>
      <c r="N126" s="800">
        <f t="shared" si="39"/>
        <v>45000</v>
      </c>
      <c r="P126" s="138" t="s">
        <v>96</v>
      </c>
      <c r="Q126" s="800">
        <f>$T231*'Médias por UF'!FX112</f>
        <v>4221.4152482697218</v>
      </c>
      <c r="R126" s="800">
        <f>$T231*'Médias por UF'!FY112</f>
        <v>13046.555184139326</v>
      </c>
      <c r="S126" s="800">
        <f>$T231*'Médias por UF'!FZ112</f>
        <v>17767.813489975699</v>
      </c>
      <c r="T126" s="800">
        <f>$T231*'Médias por UF'!GA112</f>
        <v>20887.224550926254</v>
      </c>
      <c r="U126" s="800">
        <f>$T231*'Médias por UF'!GB112</f>
        <v>25469.369803431528</v>
      </c>
      <c r="V126" s="800">
        <f>$T231*'Médias por UF'!GC112</f>
        <v>29230.13994930614</v>
      </c>
      <c r="W126" s="800">
        <f>$T231*'Médias por UF'!GD112</f>
        <v>30795.620221155466</v>
      </c>
      <c r="X126" s="800">
        <f>$T231*'Médias por UF'!GE112</f>
        <v>36085.146227791083</v>
      </c>
      <c r="Y126" s="800">
        <f>$T231*'Médias por UF'!GF112</f>
        <v>38509.657137433751</v>
      </c>
      <c r="Z126" s="800">
        <f>$T231*'Médias por UF'!GG112</f>
        <v>41668.101159271995</v>
      </c>
      <c r="AA126" s="800">
        <f>$T231*'Médias por UF'!GH112</f>
        <v>42988.567826347833</v>
      </c>
      <c r="AB126" s="800">
        <f>$T231*'Médias por UF'!GI112</f>
        <v>45000</v>
      </c>
      <c r="AC126" s="800">
        <f t="shared" si="40"/>
        <v>45000</v>
      </c>
      <c r="AE126" s="138" t="s">
        <v>96</v>
      </c>
      <c r="AF126" s="800">
        <f>JAN!$V$24</f>
        <v>1134.9599999999998</v>
      </c>
      <c r="AG126" s="800">
        <f>FEV!$V24</f>
        <v>2038.0640000000003</v>
      </c>
      <c r="AH126" s="800">
        <f>MAR!$V24</f>
        <v>1899.5919999999999</v>
      </c>
      <c r="AI126" s="800">
        <f>ABR!$V24</f>
        <v>475.01600000000002</v>
      </c>
      <c r="AJ126" s="800">
        <f>MAI!$V24</f>
        <v>937.92800000000011</v>
      </c>
      <c r="AK126" s="800">
        <f>JUN!$V24</f>
        <v>1436.2240000000002</v>
      </c>
      <c r="AL126" s="800">
        <f>JUL!$V24</f>
        <v>1613.8720000000001</v>
      </c>
      <c r="AM126" s="800">
        <f>AGO!$V24</f>
        <v>1357.1680000000001</v>
      </c>
      <c r="AN126" s="800">
        <f>SET!$V24</f>
        <v>1074.2559999999999</v>
      </c>
      <c r="AO126" s="800">
        <f>OUT!$V24*0</f>
        <v>0</v>
      </c>
      <c r="AP126" s="800">
        <f>NOV!$V24*0</f>
        <v>0</v>
      </c>
      <c r="AQ126" s="800">
        <f>DEZ!$V24*0</f>
        <v>0</v>
      </c>
      <c r="AR126" s="800">
        <f t="shared" si="41"/>
        <v>11967.079999999998</v>
      </c>
    </row>
    <row r="127" spans="1:44">
      <c r="A127" s="137" t="s">
        <v>97</v>
      </c>
      <c r="B127" s="800">
        <f>$E232*'Médias por UF'!FX113</f>
        <v>2929.190295194453</v>
      </c>
      <c r="C127" s="800">
        <f>$E232*'Médias por UF'!FY113</f>
        <v>4824.3221297933287</v>
      </c>
      <c r="D127" s="800">
        <f>$E232*'Médias por UF'!FZ113</f>
        <v>6881.9155347043006</v>
      </c>
      <c r="E127" s="800">
        <f>$E232*'Médias por UF'!GA113</f>
        <v>8522.3751105664069</v>
      </c>
      <c r="F127" s="800">
        <f>$E232*'Médias por UF'!GB113</f>
        <v>9578.7492707494112</v>
      </c>
      <c r="G127" s="800">
        <f>$E232*'Médias por UF'!GC113</f>
        <v>10897.209197279186</v>
      </c>
      <c r="H127" s="800">
        <f>$E232*'Médias por UF'!GD113</f>
        <v>12079.138119799674</v>
      </c>
      <c r="I127" s="800">
        <f>$E232*'Médias por UF'!GE113</f>
        <v>13452.652058978909</v>
      </c>
      <c r="J127" s="800">
        <f>$E232*'Médias por UF'!GF113</f>
        <v>14580.526590961726</v>
      </c>
      <c r="K127" s="800">
        <f>$E232*'Médias por UF'!GG113</f>
        <v>15955.591835886971</v>
      </c>
      <c r="L127" s="800">
        <f>$E232*'Médias por UF'!GH113</f>
        <v>17215.671438459627</v>
      </c>
      <c r="M127" s="800">
        <f>$E232*'Médias por UF'!GI113</f>
        <v>19144.309999999998</v>
      </c>
      <c r="N127" s="800">
        <f t="shared" si="39"/>
        <v>19144.309999999998</v>
      </c>
      <c r="P127" s="138" t="s">
        <v>97</v>
      </c>
      <c r="Q127" s="800">
        <f>$T232*'Médias por UF'!FX113</f>
        <v>6885.2605961641029</v>
      </c>
      <c r="R127" s="800">
        <f>$T232*'Médias por UF'!FY113</f>
        <v>11339.896598033558</v>
      </c>
      <c r="S127" s="800">
        <f>$T232*'Médias por UF'!FZ113</f>
        <v>16176.409547363866</v>
      </c>
      <c r="T127" s="800">
        <f>$T232*'Médias por UF'!GA113</f>
        <v>20032.42112019124</v>
      </c>
      <c r="U127" s="800">
        <f>$T232*'Médias por UF'!GB113</f>
        <v>22515.500280956774</v>
      </c>
      <c r="V127" s="800">
        <f>$T232*'Médias por UF'!GC113</f>
        <v>25614.629823564464</v>
      </c>
      <c r="W127" s="800">
        <f>$T232*'Médias por UF'!GD113</f>
        <v>28392.833974741599</v>
      </c>
      <c r="X127" s="800">
        <f>$T232*'Médias por UF'!GE113</f>
        <v>31621.37171065716</v>
      </c>
      <c r="Y127" s="800">
        <f>$T232*'Médias por UF'!GF113</f>
        <v>34272.517348145622</v>
      </c>
      <c r="Z127" s="800">
        <f>$T232*'Médias por UF'!GG113</f>
        <v>37504.701533505977</v>
      </c>
      <c r="AA127" s="800">
        <f>$T232*'Médias por UF'!GH113</f>
        <v>40466.604162316813</v>
      </c>
      <c r="AB127" s="800">
        <f>$T232*'Médias por UF'!GI113</f>
        <v>45000</v>
      </c>
      <c r="AC127" s="800">
        <f t="shared" si="40"/>
        <v>45000</v>
      </c>
      <c r="AE127" s="138" t="s">
        <v>97</v>
      </c>
      <c r="AF127" s="800">
        <f>JAN!$V$25</f>
        <v>16190.415999999997</v>
      </c>
      <c r="AG127" s="800">
        <f>FEV!$V25</f>
        <v>35195.887999999999</v>
      </c>
      <c r="AH127" s="800">
        <f>MAR!$V25</f>
        <v>30845.4</v>
      </c>
      <c r="AI127" s="800">
        <f>ABR!$V25</f>
        <v>17939.935999999998</v>
      </c>
      <c r="AJ127" s="800">
        <f>MAI!$V25</f>
        <v>20886.192000000003</v>
      </c>
      <c r="AK127" s="800">
        <f>JUN!$V25</f>
        <v>12524.903999999999</v>
      </c>
      <c r="AL127" s="800">
        <f>JUL!$V25</f>
        <v>15989.368</v>
      </c>
      <c r="AM127" s="800">
        <f>AGO!$V25</f>
        <v>14353.056000000006</v>
      </c>
      <c r="AN127" s="800">
        <f>SET!$V25</f>
        <v>10738.72800000001</v>
      </c>
      <c r="AO127" s="800">
        <f>OUT!$V25*0</f>
        <v>0</v>
      </c>
      <c r="AP127" s="800">
        <f>NOV!$V25*0</f>
        <v>0</v>
      </c>
      <c r="AQ127" s="800">
        <f>DEZ!$V25*0</f>
        <v>0</v>
      </c>
      <c r="AR127" s="800">
        <f t="shared" si="41"/>
        <v>174663.88800000001</v>
      </c>
    </row>
    <row r="128" spans="1:44">
      <c r="A128" s="137" t="s">
        <v>98</v>
      </c>
      <c r="B128" s="800">
        <f>$E233*'Médias por UF'!FX114</f>
        <v>696.85696671940366</v>
      </c>
      <c r="C128" s="800">
        <f>$E233*'Médias por UF'!FY114</f>
        <v>1538.4218149230526</v>
      </c>
      <c r="D128" s="800">
        <f>$E233*'Médias por UF'!FZ114</f>
        <v>2138.1648265286462</v>
      </c>
      <c r="E128" s="800">
        <f>$E233*'Médias por UF'!GA114</f>
        <v>2697.426900660957</v>
      </c>
      <c r="F128" s="800">
        <f>$E233*'Médias por UF'!GB114</f>
        <v>3171.3786023948987</v>
      </c>
      <c r="G128" s="800">
        <f>$E233*'Médias por UF'!GC114</f>
        <v>3518.3695433532516</v>
      </c>
      <c r="H128" s="800">
        <f>$E233*'Médias por UF'!GD114</f>
        <v>3957.7070872590589</v>
      </c>
      <c r="I128" s="800">
        <f>$E233*'Médias por UF'!GE114</f>
        <v>4468.1114014548666</v>
      </c>
      <c r="J128" s="800">
        <f>$E233*'Médias por UF'!GF114</f>
        <v>4820.2158024953696</v>
      </c>
      <c r="K128" s="800">
        <f>$E233*'Médias por UF'!GG114</f>
        <v>5384.4999177263744</v>
      </c>
      <c r="L128" s="800">
        <f>$E233*'Médias por UF'!GH114</f>
        <v>5615.6880792839293</v>
      </c>
      <c r="M128" s="800">
        <f>$E233*'Médias por UF'!GI114</f>
        <v>5896.87</v>
      </c>
      <c r="N128" s="800">
        <f t="shared" si="39"/>
        <v>5896.87</v>
      </c>
      <c r="P128" s="138" t="s">
        <v>98</v>
      </c>
      <c r="Q128" s="800">
        <f>$T233*'Médias por UF'!FX114</f>
        <v>2262.3605059185543</v>
      </c>
      <c r="R128" s="800">
        <f>$T233*'Médias por UF'!FY114</f>
        <v>4994.518131763044</v>
      </c>
      <c r="S128" s="800">
        <f>$T233*'Médias por UF'!FZ114</f>
        <v>6941.5961807129243</v>
      </c>
      <c r="T128" s="800">
        <f>$T233*'Médias por UF'!GA114</f>
        <v>8757.2520317715262</v>
      </c>
      <c r="U128" s="800">
        <f>$T233*'Médias por UF'!GB114</f>
        <v>10295.946000440008</v>
      </c>
      <c r="V128" s="800">
        <f>$T233*'Médias por UF'!GC114</f>
        <v>11422.459242362997</v>
      </c>
      <c r="W128" s="800">
        <f>$T233*'Médias por UF'!GD114</f>
        <v>12848.777634182959</v>
      </c>
      <c r="X128" s="800">
        <f>$T233*'Médias por UF'!GE114</f>
        <v>14505.815760562198</v>
      </c>
      <c r="Y128" s="800">
        <f>$T233*'Médias por UF'!GF114</f>
        <v>15648.929956039412</v>
      </c>
      <c r="Z128" s="800">
        <f>$T233*'Médias por UF'!GG114</f>
        <v>17480.88996703814</v>
      </c>
      <c r="AA128" s="800">
        <f>$T233*'Médias por UF'!GH114</f>
        <v>18231.44709873477</v>
      </c>
      <c r="AB128" s="800">
        <f>$T233*'Médias por UF'!GI114</f>
        <v>19144.309999999998</v>
      </c>
      <c r="AC128" s="800">
        <f t="shared" si="40"/>
        <v>19144.309999999998</v>
      </c>
      <c r="AE128" s="138" t="s">
        <v>98</v>
      </c>
      <c r="AF128" s="800">
        <f>JAN!$V$26</f>
        <v>2109.6320000000001</v>
      </c>
      <c r="AG128" s="800">
        <f>FEV!$V26</f>
        <v>3411.5519999999992</v>
      </c>
      <c r="AH128" s="800">
        <f>MAR!$V26</f>
        <v>2007.9360000000001</v>
      </c>
      <c r="AI128" s="800">
        <f>ABR!$V26</f>
        <v>1973.9840000000002</v>
      </c>
      <c r="AJ128" s="800">
        <f>MAI!$V26</f>
        <v>2155.248</v>
      </c>
      <c r="AK128" s="800">
        <f>JUN!$V26</f>
        <v>2814.9120000000003</v>
      </c>
      <c r="AL128" s="800">
        <f>JUL!$V26</f>
        <v>2167.88</v>
      </c>
      <c r="AM128" s="800">
        <f>AGO!$V26</f>
        <v>1481.2079999999999</v>
      </c>
      <c r="AN128" s="800">
        <f>SET!$V26</f>
        <v>3253.0080000000012</v>
      </c>
      <c r="AO128" s="800">
        <f>OUT!$V26*0</f>
        <v>0</v>
      </c>
      <c r="AP128" s="800">
        <f>NOV!$V26*0</f>
        <v>0</v>
      </c>
      <c r="AQ128" s="800">
        <f>DEZ!$V26*0</f>
        <v>0</v>
      </c>
      <c r="AR128" s="800">
        <f t="shared" si="41"/>
        <v>21375.360000000001</v>
      </c>
    </row>
    <row r="129" spans="1:48">
      <c r="A129" s="137" t="s">
        <v>99</v>
      </c>
      <c r="B129" s="800">
        <f>$E234*'Médias por UF'!FX115</f>
        <v>0</v>
      </c>
      <c r="C129" s="800">
        <f>$E234*'Médias por UF'!FY115</f>
        <v>11740.173589248951</v>
      </c>
      <c r="D129" s="800">
        <f>$E234*'Médias por UF'!FZ115</f>
        <v>13195.902013027231</v>
      </c>
      <c r="E129" s="800">
        <f>$E234*'Médias por UF'!GA115</f>
        <v>21520.138393839654</v>
      </c>
      <c r="F129" s="800">
        <f>$E234*'Médias por UF'!GB115</f>
        <v>21520.138393839654</v>
      </c>
      <c r="G129" s="800">
        <f>$E234*'Médias por UF'!GC115</f>
        <v>25975.966513984204</v>
      </c>
      <c r="H129" s="800">
        <f>$E234*'Médias por UF'!GD115</f>
        <v>28585.197486425262</v>
      </c>
      <c r="I129" s="800">
        <f>$E234*'Médias por UF'!GE115</f>
        <v>29191.701622827801</v>
      </c>
      <c r="J129" s="800">
        <f>$E234*'Médias por UF'!GF115</f>
        <v>36469.751259658246</v>
      </c>
      <c r="K129" s="800">
        <f>$E234*'Médias por UF'!GG115</f>
        <v>36913.322829296827</v>
      </c>
      <c r="L129" s="800">
        <f>$E234*'Médias por UF'!GH115</f>
        <v>45000</v>
      </c>
      <c r="M129" s="800">
        <f>$E234*'Médias por UF'!GI115</f>
        <v>45000</v>
      </c>
      <c r="N129" s="800">
        <f t="shared" si="39"/>
        <v>45000</v>
      </c>
      <c r="P129" s="138" t="s">
        <v>99</v>
      </c>
      <c r="Q129" s="800">
        <f>$T234*'Médias por UF'!FX115</f>
        <v>0</v>
      </c>
      <c r="R129" s="800">
        <f>$T234*'Médias por UF'!FY115</f>
        <v>1538.4506096274324</v>
      </c>
      <c r="S129" s="800">
        <f>$T234*'Médias por UF'!FZ115</f>
        <v>1729.2115267457752</v>
      </c>
      <c r="T129" s="800">
        <f>$T234*'Médias por UF'!GA115</f>
        <v>2820.0324108995833</v>
      </c>
      <c r="U129" s="800">
        <f>$T234*'Médias por UF'!GB115</f>
        <v>2820.0324108995833</v>
      </c>
      <c r="V129" s="800">
        <f>$T234*'Médias por UF'!GC115</f>
        <v>3403.931059051512</v>
      </c>
      <c r="W129" s="800">
        <f>$T234*'Médias por UF'!GD115</f>
        <v>3745.8487444839234</v>
      </c>
      <c r="X129" s="800">
        <f>$T234*'Médias por UF'!GE115</f>
        <v>3825.3259899689906</v>
      </c>
      <c r="Y129" s="800">
        <f>$T234*'Médias por UF'!GF115</f>
        <v>4779.0529357897976</v>
      </c>
      <c r="Z129" s="800">
        <f>$T234*'Médias por UF'!GG115</f>
        <v>4837.1792442754577</v>
      </c>
      <c r="AA129" s="800">
        <f>$T234*'Médias por UF'!GH115</f>
        <v>5896.87</v>
      </c>
      <c r="AB129" s="800">
        <f>$T234*'Médias por UF'!GI115</f>
        <v>5896.87</v>
      </c>
      <c r="AC129" s="800">
        <f t="shared" si="40"/>
        <v>5896.87</v>
      </c>
      <c r="AE129" s="138" t="s">
        <v>99</v>
      </c>
      <c r="AF129" s="800">
        <f>JAN!$V$27</f>
        <v>120.37600000000003</v>
      </c>
      <c r="AG129" s="800">
        <f>FEV!$V27</f>
        <v>678.072</v>
      </c>
      <c r="AH129" s="800">
        <f>MAR!$V27</f>
        <v>950.84799999999996</v>
      </c>
      <c r="AI129" s="800">
        <f>ABR!$V27</f>
        <v>0</v>
      </c>
      <c r="AJ129" s="800">
        <f>MAI!$V27</f>
        <v>179.03200000000001</v>
      </c>
      <c r="AK129" s="800">
        <f>JUN!$V27</f>
        <v>38.095999999999997</v>
      </c>
      <c r="AL129" s="800">
        <f>JUL!$V27</f>
        <v>0</v>
      </c>
      <c r="AM129" s="800">
        <f>AGO!$V27</f>
        <v>0</v>
      </c>
      <c r="AN129" s="800">
        <f>SET!$V27</f>
        <v>0</v>
      </c>
      <c r="AO129" s="800">
        <f>OUT!$V27*0</f>
        <v>0</v>
      </c>
      <c r="AP129" s="800">
        <f>NOV!$V27*0</f>
        <v>0</v>
      </c>
      <c r="AQ129" s="800">
        <f>DEZ!$V27*0</f>
        <v>0</v>
      </c>
      <c r="AR129" s="800">
        <f t="shared" si="41"/>
        <v>1966.424</v>
      </c>
    </row>
    <row r="130" spans="1:48">
      <c r="A130" s="137" t="s">
        <v>100</v>
      </c>
      <c r="B130" s="800">
        <f>$E235*'Médias por UF'!FX116</f>
        <v>23239.704821683237</v>
      </c>
      <c r="C130" s="800">
        <f>$E235*'Médias por UF'!FY116</f>
        <v>47414.791631773871</v>
      </c>
      <c r="D130" s="800">
        <f>$E235*'Médias por UF'!FZ116</f>
        <v>66631.956626909392</v>
      </c>
      <c r="E130" s="800">
        <f>$E235*'Médias por UF'!GA116</f>
        <v>85290.590768726543</v>
      </c>
      <c r="F130" s="800">
        <f>$E235*'Médias por UF'!GB116</f>
        <v>101847.93914191176</v>
      </c>
      <c r="G130" s="800">
        <f>$E235*'Médias por UF'!GC116</f>
        <v>115670.60257544572</v>
      </c>
      <c r="H130" s="800">
        <f>$E235*'Médias por UF'!GD116</f>
        <v>127155.07790119873</v>
      </c>
      <c r="I130" s="800">
        <f>$E235*'Médias por UF'!GE116</f>
        <v>140344.70941026465</v>
      </c>
      <c r="J130" s="800">
        <f>$E235*'Médias por UF'!GF116</f>
        <v>154244.97039126881</v>
      </c>
      <c r="K130" s="800">
        <f>$E235*'Médias por UF'!GG116</f>
        <v>168709.35215100105</v>
      </c>
      <c r="L130" s="800">
        <f>$E235*'Médias por UF'!GH116</f>
        <v>179329.7515972197</v>
      </c>
      <c r="M130" s="800">
        <f>$E235*'Médias por UF'!GI116</f>
        <v>196070.56</v>
      </c>
      <c r="N130" s="800">
        <f t="shared" si="39"/>
        <v>196070.56</v>
      </c>
      <c r="P130" s="138" t="s">
        <v>100</v>
      </c>
      <c r="Q130" s="800">
        <f>$T235*'Médias por UF'!FX116</f>
        <v>23239.704821683237</v>
      </c>
      <c r="R130" s="800">
        <f>$T235*'Médias por UF'!FY116</f>
        <v>47414.791631773871</v>
      </c>
      <c r="S130" s="800">
        <f>$T235*'Médias por UF'!FZ116</f>
        <v>66631.956626909392</v>
      </c>
      <c r="T130" s="800">
        <f>$T235*'Médias por UF'!GA116</f>
        <v>85290.590768726543</v>
      </c>
      <c r="U130" s="800">
        <f>$T235*'Médias por UF'!GB116</f>
        <v>101847.93914191176</v>
      </c>
      <c r="V130" s="800">
        <f>$T235*'Médias por UF'!GC116</f>
        <v>115670.60257544572</v>
      </c>
      <c r="W130" s="800">
        <f>$T235*'Médias por UF'!GD116</f>
        <v>127155.07790119873</v>
      </c>
      <c r="X130" s="800">
        <f>$T235*'Médias por UF'!GE116</f>
        <v>140344.70941026465</v>
      </c>
      <c r="Y130" s="800">
        <f>$T235*'Médias por UF'!GF116</f>
        <v>154244.97039126881</v>
      </c>
      <c r="Z130" s="800">
        <f>$T235*'Médias por UF'!GG116</f>
        <v>168709.35215100105</v>
      </c>
      <c r="AA130" s="800">
        <f>$T235*'Médias por UF'!GH116</f>
        <v>179329.7515972197</v>
      </c>
      <c r="AB130" s="800">
        <f>$T235*'Médias por UF'!GI116</f>
        <v>196070.56</v>
      </c>
      <c r="AC130" s="800">
        <f t="shared" si="40"/>
        <v>196070.56</v>
      </c>
      <c r="AE130" s="138" t="s">
        <v>100</v>
      </c>
      <c r="AF130" s="800">
        <f>JAN!$V$28</f>
        <v>18097.256000000005</v>
      </c>
      <c r="AG130" s="800">
        <f>FEV!$V28</f>
        <v>28650.312000000002</v>
      </c>
      <c r="AH130" s="800">
        <f>MAR!$V28</f>
        <v>30945.256000000001</v>
      </c>
      <c r="AI130" s="800">
        <f>ABR!$V28</f>
        <v>22138.063999999998</v>
      </c>
      <c r="AJ130" s="800">
        <f>MAI!$V28</f>
        <v>39991.112000000001</v>
      </c>
      <c r="AK130" s="800">
        <f>JUN!$V28</f>
        <v>24699.256000000001</v>
      </c>
      <c r="AL130" s="800">
        <f>JUL!$V28</f>
        <v>14954.559999999998</v>
      </c>
      <c r="AM130" s="800">
        <f>AGO!$V28</f>
        <v>15612.047999999999</v>
      </c>
      <c r="AN130" s="800">
        <f>SET!$V28</f>
        <v>25799.43199999999</v>
      </c>
      <c r="AO130" s="800">
        <f>OUT!$V28*0</f>
        <v>0</v>
      </c>
      <c r="AP130" s="800">
        <f>NOV!$V28*0</f>
        <v>0</v>
      </c>
      <c r="AQ130" s="800">
        <f>DEZ!$V28*0</f>
        <v>0</v>
      </c>
      <c r="AR130" s="800">
        <f t="shared" si="41"/>
        <v>220887.296</v>
      </c>
    </row>
    <row r="131" spans="1:48">
      <c r="A131" s="137" t="s">
        <v>101</v>
      </c>
      <c r="B131" s="800">
        <f>$E236*'Médias por UF'!FX117</f>
        <v>3859.7838717514878</v>
      </c>
      <c r="C131" s="800">
        <f>$E236*'Médias por UF'!FY117</f>
        <v>7354.3056925403944</v>
      </c>
      <c r="D131" s="800">
        <f>$E236*'Médias por UF'!FZ117</f>
        <v>10664.170586204693</v>
      </c>
      <c r="E131" s="800">
        <f>$E236*'Médias por UF'!GA117</f>
        <v>13286.290866020583</v>
      </c>
      <c r="F131" s="800">
        <f>$E236*'Médias por UF'!GB117</f>
        <v>15774.712951786058</v>
      </c>
      <c r="G131" s="800">
        <f>$E236*'Médias por UF'!GC117</f>
        <v>18635.373480298324</v>
      </c>
      <c r="H131" s="800">
        <f>$E236*'Médias por UF'!GD117</f>
        <v>23312.803100924011</v>
      </c>
      <c r="I131" s="800">
        <f>$E236*'Médias por UF'!GE117</f>
        <v>29130.214915980916</v>
      </c>
      <c r="J131" s="800">
        <f>$E236*'Médias por UF'!GF117</f>
        <v>33068.582715826582</v>
      </c>
      <c r="K131" s="800">
        <f>$E236*'Médias por UF'!GG117</f>
        <v>37576.896760450378</v>
      </c>
      <c r="L131" s="800">
        <f>$E236*'Médias por UF'!GH117</f>
        <v>40760.485897743863</v>
      </c>
      <c r="M131" s="800">
        <f>$E236*'Médias por UF'!GI117</f>
        <v>45000</v>
      </c>
      <c r="N131" s="800">
        <f t="shared" si="39"/>
        <v>45000</v>
      </c>
      <c r="P131" s="138" t="s">
        <v>101</v>
      </c>
      <c r="Q131" s="800">
        <f>$T236*'Médias por UF'!FX117</f>
        <v>43516.885892802464</v>
      </c>
      <c r="R131" s="800">
        <f>$T236*'Médias por UF'!FY117</f>
        <v>82915.648201266304</v>
      </c>
      <c r="S131" s="800">
        <f>$T236*'Médias por UF'!FZ117</f>
        <v>120232.50781932104</v>
      </c>
      <c r="T131" s="800">
        <f>$T236*'Médias por UF'!GA117</f>
        <v>149795.43486533003</v>
      </c>
      <c r="U131" s="800">
        <f>$T236*'Médias por UF'!GB117</f>
        <v>177850.99019108628</v>
      </c>
      <c r="V131" s="800">
        <f>$T236*'Médias por UF'!GC117</f>
        <v>210103.32398324308</v>
      </c>
      <c r="W131" s="800">
        <f>$T236*'Médias por UF'!GD117</f>
        <v>262838.70446972019</v>
      </c>
      <c r="X131" s="800">
        <f>$T236*'Médias por UF'!GE117</f>
        <v>328426.74114711978</v>
      </c>
      <c r="Y131" s="800">
        <f>$T236*'Médias por UF'!GF117</f>
        <v>372829.61650086346</v>
      </c>
      <c r="Z131" s="800">
        <f>$T236*'Médias por UF'!GG117</f>
        <v>423658.31426413654</v>
      </c>
      <c r="AA131" s="800">
        <f>$T236*'Médias por UF'!GH117</f>
        <v>459551.48595986149</v>
      </c>
      <c r="AB131" s="800">
        <f>$T236*'Médias por UF'!GI117</f>
        <v>507349.61600000004</v>
      </c>
      <c r="AC131" s="800">
        <f t="shared" si="40"/>
        <v>507349.61600000004</v>
      </c>
      <c r="AE131" s="138" t="s">
        <v>101</v>
      </c>
      <c r="AF131" s="800">
        <f>JAN!$V$29</f>
        <v>64372.064000000006</v>
      </c>
      <c r="AG131" s="800">
        <f>FEV!$V29</f>
        <v>80940.640000000014</v>
      </c>
      <c r="AH131" s="800">
        <f>MAR!$V29</f>
        <v>93335.216000000015</v>
      </c>
      <c r="AI131" s="800">
        <f>ABR!$V29</f>
        <v>56751.528000000006</v>
      </c>
      <c r="AJ131" s="800">
        <f>MAI!$V29</f>
        <v>69605.208000000013</v>
      </c>
      <c r="AK131" s="800">
        <f>JUN!$V29</f>
        <v>68904.552000000011</v>
      </c>
      <c r="AL131" s="800">
        <f>JUL!$V29</f>
        <v>47690.504000000008</v>
      </c>
      <c r="AM131" s="800">
        <f>AGO!$V29</f>
        <v>183847.71999999994</v>
      </c>
      <c r="AN131" s="800">
        <f>SET!$V29</f>
        <v>181900.568</v>
      </c>
      <c r="AO131" s="800">
        <f>OUT!$V29*0</f>
        <v>0</v>
      </c>
      <c r="AP131" s="800">
        <f>NOV!$V29*0</f>
        <v>0</v>
      </c>
      <c r="AQ131" s="800">
        <f>DEZ!$V29*0</f>
        <v>0</v>
      </c>
      <c r="AR131" s="800">
        <f t="shared" si="41"/>
        <v>847348</v>
      </c>
    </row>
    <row r="132" spans="1:48">
      <c r="A132" s="137" t="s">
        <v>102</v>
      </c>
      <c r="B132" s="800">
        <f>$E237*'Médias por UF'!FX118</f>
        <v>80814.818837893996</v>
      </c>
      <c r="C132" s="800">
        <f>$E237*'Médias por UF'!FY118</f>
        <v>115223.91967981667</v>
      </c>
      <c r="D132" s="800">
        <f>$E237*'Médias por UF'!FZ118</f>
        <v>150616.08106001408</v>
      </c>
      <c r="E132" s="800">
        <f>$E237*'Médias por UF'!GA118</f>
        <v>184079.9743029181</v>
      </c>
      <c r="F132" s="800">
        <f>$E237*'Médias por UF'!GB118</f>
        <v>215633.61235619214</v>
      </c>
      <c r="G132" s="800">
        <f>$E237*'Médias por UF'!GC118</f>
        <v>283126.55810187577</v>
      </c>
      <c r="H132" s="800">
        <f>$E237*'Médias por UF'!GD118</f>
        <v>334117.21977130749</v>
      </c>
      <c r="I132" s="800">
        <f>$E237*'Médias por UF'!GE118</f>
        <v>357232.5501721598</v>
      </c>
      <c r="J132" s="800">
        <f>$E237*'Médias por UF'!GF118</f>
        <v>400857.89776440535</v>
      </c>
      <c r="K132" s="800">
        <f>$E237*'Médias por UF'!GG118</f>
        <v>446341.478745803</v>
      </c>
      <c r="L132" s="800">
        <f>$E237*'Médias por UF'!GH118</f>
        <v>473059.33544350247</v>
      </c>
      <c r="M132" s="800">
        <f>$E237*'Médias por UF'!GI118</f>
        <v>507349.61600000004</v>
      </c>
      <c r="N132" s="800">
        <f t="shared" si="39"/>
        <v>507349.61600000004</v>
      </c>
      <c r="P132" s="138" t="s">
        <v>102</v>
      </c>
      <c r="Q132" s="800">
        <f>$T237*'Médias por UF'!FX118</f>
        <v>7167.9700408115214</v>
      </c>
      <c r="R132" s="800">
        <f>$T237*'Médias por UF'!FY118</f>
        <v>10219.927683145719</v>
      </c>
      <c r="S132" s="800">
        <f>$T237*'Médias por UF'!FZ118</f>
        <v>13359.079092514054</v>
      </c>
      <c r="T132" s="800">
        <f>$T237*'Médias por UF'!GA118</f>
        <v>16327.200380952518</v>
      </c>
      <c r="U132" s="800">
        <f>$T237*'Médias por UF'!GB118</f>
        <v>19125.889229072847</v>
      </c>
      <c r="V132" s="800">
        <f>$T237*'Médias por UF'!GC118</f>
        <v>25112.259303620736</v>
      </c>
      <c r="W132" s="800">
        <f>$T237*'Médias por UF'!GD118</f>
        <v>29634.938936681552</v>
      </c>
      <c r="X132" s="800">
        <f>$T237*'Médias por UF'!GE118</f>
        <v>31685.181679032135</v>
      </c>
      <c r="Y132" s="800">
        <f>$T237*'Médias por UF'!GF118</f>
        <v>35554.585695001762</v>
      </c>
      <c r="Z132" s="800">
        <f>$T237*'Médias por UF'!GG118</f>
        <v>39588.80801352796</v>
      </c>
      <c r="AA132" s="800">
        <f>$T237*'Médias por UF'!GH118</f>
        <v>41958.581269444796</v>
      </c>
      <c r="AB132" s="800">
        <f>$T237*'Médias por UF'!GI118</f>
        <v>45000</v>
      </c>
      <c r="AC132" s="800">
        <f t="shared" si="40"/>
        <v>45000</v>
      </c>
      <c r="AE132" s="138" t="s">
        <v>102</v>
      </c>
      <c r="AF132" s="800">
        <f>JAN!$V$30</f>
        <v>1317.5360000000001</v>
      </c>
      <c r="AG132" s="800">
        <f>FEV!$V30</f>
        <v>773.58399999999983</v>
      </c>
      <c r="AH132" s="800">
        <f>MAR!$V30</f>
        <v>1025</v>
      </c>
      <c r="AI132" s="800">
        <f>ABR!$V30</f>
        <v>1194.6479999999999</v>
      </c>
      <c r="AJ132" s="800">
        <f>MAI!$V30</f>
        <v>4216.3680000000004</v>
      </c>
      <c r="AK132" s="800">
        <f>JUN!$V30</f>
        <v>772.54399999999998</v>
      </c>
      <c r="AL132" s="800">
        <f>JUL!$V30</f>
        <v>101.74399999999987</v>
      </c>
      <c r="AM132" s="800">
        <f>AGO!$V30</f>
        <v>3020.0479999999998</v>
      </c>
      <c r="AN132" s="800">
        <f>SET!$V30</f>
        <v>1642.7200000000003</v>
      </c>
      <c r="AO132" s="800">
        <f>OUT!$V30*0</f>
        <v>0</v>
      </c>
      <c r="AP132" s="800">
        <f>NOV!$V30*0</f>
        <v>0</v>
      </c>
      <c r="AQ132" s="800">
        <f>DEZ!$V30*0</f>
        <v>0</v>
      </c>
      <c r="AR132" s="800">
        <f t="shared" si="41"/>
        <v>14064.192000000003</v>
      </c>
    </row>
    <row r="133" spans="1:48">
      <c r="A133" s="137" t="s">
        <v>103</v>
      </c>
      <c r="B133" s="800">
        <f>$E238*'Médias por UF'!FX119</f>
        <v>3964.4217840685983</v>
      </c>
      <c r="C133" s="800">
        <f>$E238*'Médias por UF'!FY119</f>
        <v>8563.4956517040973</v>
      </c>
      <c r="D133" s="800">
        <f>$E238*'Médias por UF'!FZ119</f>
        <v>15164.184139518307</v>
      </c>
      <c r="E133" s="800">
        <f>$E238*'Médias por UF'!GA119</f>
        <v>17728.362673818276</v>
      </c>
      <c r="F133" s="800">
        <f>$E238*'Médias por UF'!GB119</f>
        <v>21690.07188871393</v>
      </c>
      <c r="G133" s="800">
        <f>$E238*'Médias por UF'!GC119</f>
        <v>26754.175271211891</v>
      </c>
      <c r="H133" s="800">
        <f>$E238*'Médias por UF'!GD119</f>
        <v>31193.044288155645</v>
      </c>
      <c r="I133" s="800">
        <f>$E238*'Médias por UF'!GE119</f>
        <v>34798.803149549422</v>
      </c>
      <c r="J133" s="800">
        <f>$E238*'Médias por UF'!GF119</f>
        <v>36948.671057141742</v>
      </c>
      <c r="K133" s="800">
        <f>$E238*'Médias por UF'!GG119</f>
        <v>39774.087716989576</v>
      </c>
      <c r="L133" s="800">
        <f>$E238*'Médias por UF'!GH119</f>
        <v>42045.929071192157</v>
      </c>
      <c r="M133" s="800">
        <f>$E238*'Médias por UF'!GI119</f>
        <v>45000</v>
      </c>
      <c r="N133" s="800">
        <f t="shared" si="39"/>
        <v>45000</v>
      </c>
      <c r="P133" s="138" t="s">
        <v>103</v>
      </c>
      <c r="Q133" s="800">
        <f>$T238*'Médias por UF'!FX119</f>
        <v>3964.4217840685983</v>
      </c>
      <c r="R133" s="800">
        <f>$T238*'Médias por UF'!FY119</f>
        <v>8563.4956517040973</v>
      </c>
      <c r="S133" s="800">
        <f>$T238*'Médias por UF'!FZ119</f>
        <v>15164.184139518307</v>
      </c>
      <c r="T133" s="800">
        <f>$T238*'Médias por UF'!GA119</f>
        <v>17728.362673818276</v>
      </c>
      <c r="U133" s="800">
        <f>$T238*'Médias por UF'!GB119</f>
        <v>21690.07188871393</v>
      </c>
      <c r="V133" s="800">
        <f>$T238*'Médias por UF'!GC119</f>
        <v>26754.175271211891</v>
      </c>
      <c r="W133" s="800">
        <f>$T238*'Médias por UF'!GD119</f>
        <v>31193.044288155645</v>
      </c>
      <c r="X133" s="800">
        <f>$T238*'Médias por UF'!GE119</f>
        <v>34798.803149549422</v>
      </c>
      <c r="Y133" s="800">
        <f>$T238*'Médias por UF'!GF119</f>
        <v>36948.671057141742</v>
      </c>
      <c r="Z133" s="800">
        <f>$T238*'Médias por UF'!GG119</f>
        <v>39774.087716989576</v>
      </c>
      <c r="AA133" s="800">
        <f>$T238*'Médias por UF'!GH119</f>
        <v>42045.929071192157</v>
      </c>
      <c r="AB133" s="800">
        <f>$T238*'Médias por UF'!GI119</f>
        <v>45000</v>
      </c>
      <c r="AC133" s="800">
        <f t="shared" si="40"/>
        <v>45000</v>
      </c>
      <c r="AE133" s="138" t="s">
        <v>103</v>
      </c>
      <c r="AF133" s="800">
        <f>JAN!$V$31</f>
        <v>115.42400000000001</v>
      </c>
      <c r="AG133" s="800">
        <f>FEV!$V31</f>
        <v>3496.4320000000002</v>
      </c>
      <c r="AH133" s="800">
        <f>MAR!$V31</f>
        <v>1280.7040000000002</v>
      </c>
      <c r="AI133" s="800">
        <f>ABR!$V31</f>
        <v>2451.0240000000003</v>
      </c>
      <c r="AJ133" s="800">
        <f>MAI!$V31</f>
        <v>2902.9520000000002</v>
      </c>
      <c r="AK133" s="800">
        <f>JUN!$V31</f>
        <v>1259.1040000000003</v>
      </c>
      <c r="AL133" s="800">
        <f>JUL!$V31</f>
        <v>724.65600000000018</v>
      </c>
      <c r="AM133" s="800">
        <f>AGO!$V31</f>
        <v>2137.0719999999997</v>
      </c>
      <c r="AN133" s="800">
        <f>SET!$V31</f>
        <v>1201.864</v>
      </c>
      <c r="AO133" s="800">
        <f>OUT!$V31*0</f>
        <v>0</v>
      </c>
      <c r="AP133" s="800">
        <f>NOV!$V31*0</f>
        <v>0</v>
      </c>
      <c r="AQ133" s="800">
        <f>DEZ!$V31*0</f>
        <v>0</v>
      </c>
      <c r="AR133" s="800">
        <f t="shared" si="41"/>
        <v>15569.232</v>
      </c>
    </row>
    <row r="134" spans="1:48">
      <c r="A134" s="805" t="s">
        <v>37</v>
      </c>
      <c r="B134" s="806">
        <f>SUM(B107:B133)</f>
        <v>282765.27546257095</v>
      </c>
      <c r="C134" s="806">
        <f t="shared" ref="C134:D134" si="42">SUM(C107:C133)</f>
        <v>509171.91359919676</v>
      </c>
      <c r="D134" s="806">
        <f t="shared" si="42"/>
        <v>690189.69276056427</v>
      </c>
      <c r="E134" s="806">
        <f>SUM(E107:E133)</f>
        <v>839992.63901290356</v>
      </c>
      <c r="F134" s="806">
        <f t="shared" ref="F134:N134" si="43">SUM(F107:F133)</f>
        <v>990417.71045282518</v>
      </c>
      <c r="G134" s="806">
        <f t="shared" si="43"/>
        <v>1193581.7163892738</v>
      </c>
      <c r="H134" s="806">
        <f t="shared" si="43"/>
        <v>1385774.4913200473</v>
      </c>
      <c r="I134" s="806">
        <f t="shared" si="43"/>
        <v>1551911.1764263168</v>
      </c>
      <c r="J134" s="806">
        <f t="shared" si="43"/>
        <v>1718297.3168363757</v>
      </c>
      <c r="K134" s="806">
        <f t="shared" si="43"/>
        <v>1894549.1834741179</v>
      </c>
      <c r="L134" s="806">
        <f t="shared" si="43"/>
        <v>2032653.727670511</v>
      </c>
      <c r="M134" s="806">
        <f t="shared" si="43"/>
        <v>2207722.736</v>
      </c>
      <c r="N134" s="806">
        <f t="shared" si="43"/>
        <v>2207722.736</v>
      </c>
      <c r="P134" s="807" t="s">
        <v>37</v>
      </c>
      <c r="Q134" s="806">
        <f>SUM(Q107:Q133)</f>
        <v>246812.39193159522</v>
      </c>
      <c r="R134" s="806">
        <f t="shared" ref="R134:S134" si="44">SUM(R107:R133)</f>
        <v>475575.31969794026</v>
      </c>
      <c r="S134" s="806">
        <f t="shared" si="44"/>
        <v>669974.7864959205</v>
      </c>
      <c r="T134" s="806">
        <f>SUM(T107:T133)</f>
        <v>819328.50130232784</v>
      </c>
      <c r="U134" s="806">
        <f t="shared" ref="U134:AC134" si="45">SUM(U107:U133)</f>
        <v>969879.22379031312</v>
      </c>
      <c r="V134" s="806">
        <f t="shared" si="45"/>
        <v>1132346.9869322227</v>
      </c>
      <c r="W134" s="806">
        <f t="shared" si="45"/>
        <v>1323966.6289269624</v>
      </c>
      <c r="X134" s="806">
        <f t="shared" si="45"/>
        <v>1528551.6727488581</v>
      </c>
      <c r="Y134" s="806">
        <f t="shared" si="45"/>
        <v>1693313.4468011251</v>
      </c>
      <c r="Z134" s="806">
        <f t="shared" si="45"/>
        <v>1879011.9086500434</v>
      </c>
      <c r="AA134" s="806">
        <f t="shared" si="45"/>
        <v>2017784.3917730297</v>
      </c>
      <c r="AB134" s="806">
        <f t="shared" si="45"/>
        <v>2207722.736</v>
      </c>
      <c r="AC134" s="806">
        <f t="shared" si="45"/>
        <v>2207722.736</v>
      </c>
      <c r="AE134" s="807" t="s">
        <v>37</v>
      </c>
      <c r="AF134" s="806">
        <f>SUM(AF107:AF133)</f>
        <v>218962.88</v>
      </c>
      <c r="AG134" s="806">
        <f t="shared" ref="AG134:AH134" si="46">SUM(AG107:AG133)</f>
        <v>292433.26399999997</v>
      </c>
      <c r="AH134" s="806">
        <f t="shared" si="46"/>
        <v>299137.56000000006</v>
      </c>
      <c r="AI134" s="806">
        <f>SUM(AI107:AI133)</f>
        <v>197974.60799999998</v>
      </c>
      <c r="AJ134" s="806">
        <f t="shared" ref="AJ134:AR134" si="47">SUM(AJ107:AJ133)</f>
        <v>246985.60000000003</v>
      </c>
      <c r="AK134" s="806">
        <f t="shared" si="47"/>
        <v>204553.67200000002</v>
      </c>
      <c r="AL134" s="806">
        <f t="shared" si="47"/>
        <v>173314.88</v>
      </c>
      <c r="AM134" s="806">
        <f t="shared" si="47"/>
        <v>324026.39199999999</v>
      </c>
      <c r="AN134" s="806">
        <f t="shared" si="47"/>
        <v>302424.77599999995</v>
      </c>
      <c r="AO134" s="806">
        <f t="shared" si="47"/>
        <v>0</v>
      </c>
      <c r="AP134" s="806">
        <f t="shared" si="47"/>
        <v>0</v>
      </c>
      <c r="AQ134" s="806">
        <f t="shared" si="47"/>
        <v>0</v>
      </c>
      <c r="AR134" s="806">
        <f t="shared" si="47"/>
        <v>2259813.6320000002</v>
      </c>
      <c r="AS134" s="802" t="b">
        <f>AR134='Anuid PJ'!AO32</f>
        <v>1</v>
      </c>
    </row>
    <row r="135" spans="1:48">
      <c r="N135" s="802">
        <f>N134-SUM(E212:E238)</f>
        <v>0</v>
      </c>
      <c r="Q135" s="802">
        <f>Q134</f>
        <v>246812.39193159522</v>
      </c>
      <c r="R135" s="802">
        <f>R134-Q134</f>
        <v>228762.92776634503</v>
      </c>
      <c r="S135" s="802">
        <f t="shared" ref="S135:AB135" si="48">S134-R134</f>
        <v>194399.46679798025</v>
      </c>
      <c r="T135" s="802">
        <f t="shared" si="48"/>
        <v>149353.71480640734</v>
      </c>
      <c r="U135" s="802">
        <f t="shared" si="48"/>
        <v>150550.72248798527</v>
      </c>
      <c r="V135" s="802">
        <f t="shared" si="48"/>
        <v>162467.76314190961</v>
      </c>
      <c r="W135" s="802">
        <f t="shared" si="48"/>
        <v>191619.64199473965</v>
      </c>
      <c r="X135" s="802">
        <f t="shared" si="48"/>
        <v>204585.04382189573</v>
      </c>
      <c r="Y135" s="802">
        <f t="shared" si="48"/>
        <v>164761.77405226696</v>
      </c>
      <c r="Z135" s="802">
        <f t="shared" si="48"/>
        <v>185698.46184891835</v>
      </c>
      <c r="AA135" s="802">
        <f t="shared" si="48"/>
        <v>138772.48312298628</v>
      </c>
      <c r="AB135" s="802">
        <f t="shared" si="48"/>
        <v>189938.34422697034</v>
      </c>
      <c r="AC135" s="802">
        <f>SUM(Q135:AB135)</f>
        <v>2207722.736</v>
      </c>
      <c r="AR135" s="802">
        <f>AR134-'TOTAL POR UF'!E32</f>
        <v>0</v>
      </c>
    </row>
    <row r="136" spans="1:48">
      <c r="A136" s="137" t="s">
        <v>224</v>
      </c>
      <c r="B136" s="800">
        <f>$E$239*'Médias por UF'!FX120</f>
        <v>69155.35805751344</v>
      </c>
      <c r="C136" s="800">
        <f>$E$239*'Médias por UF'!FY120</f>
        <v>137590.94663399167</v>
      </c>
      <c r="D136" s="800">
        <f>$E$239*'Médias por UF'!FZ120</f>
        <v>192379.81934680999</v>
      </c>
      <c r="E136" s="800">
        <f>$E$239*'Médias por UF'!GA120</f>
        <v>235507.01191563395</v>
      </c>
      <c r="F136" s="800">
        <f>$E$239*'Médias por UF'!GB120</f>
        <v>276674.92491440551</v>
      </c>
      <c r="G136" s="800">
        <f>$E$239*'Médias por UF'!GC120</f>
        <v>321211.03043485002</v>
      </c>
      <c r="H136" s="800">
        <f>$E$239*'Médias por UF'!GD120</f>
        <v>369389.35111691593</v>
      </c>
      <c r="I136" s="800">
        <f>$E$239*'Médias por UF'!GE120</f>
        <v>416053.92941738747</v>
      </c>
      <c r="J136" s="800">
        <f>$E$239*'Médias por UF'!GF120</f>
        <v>459689.41221692506</v>
      </c>
      <c r="K136" s="800">
        <f>$E$239*'Médias por UF'!GG120</f>
        <v>508041.7694190414</v>
      </c>
      <c r="L136" s="800">
        <f>$E$239*'Médias por UF'!GH120</f>
        <v>546659.83567021508</v>
      </c>
      <c r="M136" s="800">
        <f>$E$239*'Médias por UF'!GI120</f>
        <v>592289.79</v>
      </c>
      <c r="N136" s="800">
        <f t="shared" ref="N136" si="49">M136</f>
        <v>592289.79</v>
      </c>
      <c r="P136" s="137" t="s">
        <v>224</v>
      </c>
      <c r="Q136" s="800">
        <f>$T$239*'Médias por UF'!FX120</f>
        <v>69155.35805751344</v>
      </c>
      <c r="R136" s="800">
        <f>$T$239*'Médias por UF'!FY120</f>
        <v>137590.94663399167</v>
      </c>
      <c r="S136" s="800">
        <f>$T$239*'Médias por UF'!FZ120</f>
        <v>192379.81934680999</v>
      </c>
      <c r="T136" s="800">
        <f>$T$239*'Médias por UF'!GA120</f>
        <v>235507.01191563395</v>
      </c>
      <c r="U136" s="800">
        <f>$T$239*'Médias por UF'!GB120</f>
        <v>276674.92491440551</v>
      </c>
      <c r="V136" s="800">
        <f>$T$239*'Médias por UF'!GC120</f>
        <v>321211.03043485002</v>
      </c>
      <c r="W136" s="800">
        <f>$T$239*'Médias por UF'!GD120</f>
        <v>369389.35111691593</v>
      </c>
      <c r="X136" s="800">
        <f>$T$239*'Médias por UF'!GE120</f>
        <v>416053.92941738747</v>
      </c>
      <c r="Y136" s="800">
        <f>$T$239*'Médias por UF'!GF120</f>
        <v>459689.41221692506</v>
      </c>
      <c r="Z136" s="800">
        <f>$T$239*'Médias por UF'!GG120</f>
        <v>508041.7694190414</v>
      </c>
      <c r="AA136" s="800">
        <f>$T$239*'Médias por UF'!GH120</f>
        <v>546659.83567021508</v>
      </c>
      <c r="AB136" s="800">
        <f>$T$239*'Médias por UF'!GI120</f>
        <v>592289.79</v>
      </c>
      <c r="AC136" s="800">
        <f t="shared" ref="AC136" si="50">AB136</f>
        <v>592289.79</v>
      </c>
      <c r="AE136" s="138" t="s">
        <v>224</v>
      </c>
      <c r="AF136" s="800">
        <f>JAN!$V$67</f>
        <v>54740.72</v>
      </c>
      <c r="AG136" s="800">
        <f>FEV!$V$67</f>
        <v>73108.315999999992</v>
      </c>
      <c r="AH136" s="800">
        <f>MAR!$V$67</f>
        <v>74784.390000000014</v>
      </c>
      <c r="AI136" s="800">
        <f>ABR!$V$67</f>
        <v>49493.651999999995</v>
      </c>
      <c r="AJ136" s="800">
        <f>MAI!$V$67</f>
        <v>61746.400000000009</v>
      </c>
      <c r="AK136" s="800">
        <f>JUN!$V$67</f>
        <v>51138.418000000005</v>
      </c>
      <c r="AL136" s="800">
        <f>JUL!$V$67</f>
        <v>43328.72</v>
      </c>
      <c r="AM136" s="800">
        <f>AGO!$V$67</f>
        <v>81006.597999999998</v>
      </c>
      <c r="AN136" s="800">
        <f>SET!$V$67</f>
        <v>75606.193999999989</v>
      </c>
      <c r="AO136" s="800">
        <f>OUT!$V$67*0</f>
        <v>0</v>
      </c>
      <c r="AP136" s="800">
        <f>NOV!$V$67*0</f>
        <v>0</v>
      </c>
      <c r="AQ136" s="800">
        <f>DEZ!$V$67*0</f>
        <v>0</v>
      </c>
      <c r="AR136" s="800">
        <f t="shared" ref="AR136" si="51">SUM(AF136:AQ136)</f>
        <v>564953.40800000005</v>
      </c>
      <c r="AS136" s="802" t="b">
        <f>AR136='Anuid PJ'!AO33</f>
        <v>1</v>
      </c>
      <c r="AT136" s="809"/>
    </row>
    <row r="137" spans="1:48">
      <c r="A137" s="139"/>
      <c r="B137" s="801"/>
      <c r="C137" s="801"/>
      <c r="D137" s="801"/>
      <c r="E137" s="801"/>
      <c r="F137" s="801"/>
      <c r="G137" s="801"/>
      <c r="H137" s="801"/>
      <c r="I137" s="801"/>
      <c r="J137" s="801"/>
      <c r="K137" s="801"/>
      <c r="L137" s="801"/>
      <c r="M137" s="801"/>
      <c r="N137" s="801"/>
      <c r="P137" s="139"/>
      <c r="Q137" s="801"/>
      <c r="R137" s="801"/>
      <c r="S137" s="801"/>
      <c r="T137" s="801"/>
      <c r="U137" s="801"/>
      <c r="V137" s="801"/>
      <c r="W137" s="801"/>
      <c r="X137" s="801"/>
      <c r="Y137" s="801"/>
      <c r="Z137" s="801"/>
      <c r="AA137" s="801"/>
      <c r="AB137" s="801"/>
      <c r="AC137" s="801"/>
      <c r="AE137" s="140"/>
      <c r="AF137" s="801"/>
      <c r="AG137" s="801"/>
      <c r="AH137" s="801"/>
      <c r="AI137" s="801"/>
      <c r="AJ137" s="801"/>
      <c r="AK137" s="801"/>
      <c r="AL137" s="801"/>
      <c r="AM137" s="801"/>
      <c r="AN137" s="801"/>
      <c r="AO137" s="801"/>
      <c r="AP137" s="801"/>
      <c r="AQ137" s="801"/>
      <c r="AR137" s="801"/>
    </row>
    <row r="138" spans="1:48">
      <c r="A138" s="139"/>
      <c r="B138" s="801"/>
      <c r="C138" s="801"/>
      <c r="D138" s="801"/>
      <c r="E138" s="801"/>
      <c r="F138" s="801"/>
      <c r="G138" s="801"/>
      <c r="H138" s="801"/>
      <c r="I138" s="801"/>
      <c r="J138" s="801"/>
      <c r="K138" s="801"/>
      <c r="L138" s="801"/>
      <c r="M138" s="801"/>
      <c r="N138" s="801"/>
      <c r="P138" s="810" t="s">
        <v>304</v>
      </c>
      <c r="Q138" s="808">
        <f>Q101+Q135</f>
        <v>891683.8251238293</v>
      </c>
      <c r="R138" s="808">
        <f>R101+R135</f>
        <v>1045502.3703060297</v>
      </c>
      <c r="S138" s="808">
        <f t="shared" ref="S138:AB138" si="52">S101+S135</f>
        <v>572031.60251493589</v>
      </c>
      <c r="T138" s="808">
        <f t="shared" si="52"/>
        <v>415952.97512736719</v>
      </c>
      <c r="U138" s="808">
        <f t="shared" si="52"/>
        <v>426767.11263534438</v>
      </c>
      <c r="V138" s="808">
        <f t="shared" si="52"/>
        <v>491306.99581832066</v>
      </c>
      <c r="W138" s="808">
        <f t="shared" si="52"/>
        <v>471637.06726583955</v>
      </c>
      <c r="X138" s="808">
        <f t="shared" si="52"/>
        <v>773679.01775121666</v>
      </c>
      <c r="Y138" s="808">
        <f t="shared" si="52"/>
        <v>403062.83502113447</v>
      </c>
      <c r="Z138" s="808">
        <f t="shared" si="52"/>
        <v>381523.86089931848</v>
      </c>
      <c r="AA138" s="808">
        <f t="shared" si="52"/>
        <v>327407.56940295594</v>
      </c>
      <c r="AB138" s="808">
        <f t="shared" si="52"/>
        <v>409475.60213370901</v>
      </c>
      <c r="AC138" s="808">
        <f>SUM(Q138:AB138)</f>
        <v>6610030.8340000017</v>
      </c>
      <c r="AE138" s="140"/>
      <c r="AF138" s="801"/>
      <c r="AG138" s="801"/>
      <c r="AH138" s="801"/>
      <c r="AI138" s="801"/>
      <c r="AJ138" s="801"/>
      <c r="AK138" s="801"/>
      <c r="AL138" s="801"/>
      <c r="AM138" s="801"/>
      <c r="AN138" s="801"/>
      <c r="AO138" s="801"/>
      <c r="AP138" s="801"/>
      <c r="AQ138" s="801"/>
      <c r="AR138" s="801"/>
    </row>
    <row r="139" spans="1:48">
      <c r="A139" s="998" t="s">
        <v>244</v>
      </c>
      <c r="B139" s="998"/>
      <c r="C139" s="998"/>
      <c r="D139" s="998"/>
      <c r="E139" s="998"/>
      <c r="F139" s="998"/>
      <c r="G139" s="998"/>
      <c r="H139" s="998"/>
      <c r="I139" s="998"/>
      <c r="J139" s="998"/>
      <c r="K139" s="998"/>
      <c r="L139" s="998"/>
      <c r="M139" s="998"/>
      <c r="N139" s="998"/>
      <c r="P139" s="998" t="s">
        <v>119</v>
      </c>
      <c r="Q139" s="998"/>
      <c r="R139" s="998"/>
      <c r="S139" s="998"/>
      <c r="T139" s="998"/>
      <c r="U139" s="998"/>
      <c r="V139" s="998"/>
      <c r="W139" s="998"/>
      <c r="X139" s="998"/>
      <c r="Y139" s="998"/>
      <c r="Z139" s="998"/>
      <c r="AA139" s="998"/>
      <c r="AB139" s="998"/>
      <c r="AC139" s="998"/>
      <c r="AE139" s="998" t="s">
        <v>243</v>
      </c>
      <c r="AF139" s="998"/>
      <c r="AG139" s="998"/>
      <c r="AH139" s="998"/>
      <c r="AI139" s="998"/>
      <c r="AJ139" s="998"/>
      <c r="AK139" s="998"/>
      <c r="AL139" s="998"/>
      <c r="AM139" s="998"/>
      <c r="AN139" s="998"/>
      <c r="AO139" s="998"/>
      <c r="AP139" s="998"/>
      <c r="AQ139" s="998"/>
      <c r="AR139" s="998"/>
    </row>
    <row r="141" spans="1:48">
      <c r="A141" s="999" t="s">
        <v>33</v>
      </c>
      <c r="B141" s="1001" t="s">
        <v>28</v>
      </c>
      <c r="C141" s="1001"/>
      <c r="D141" s="1001"/>
      <c r="E141" s="1001"/>
      <c r="F141" s="1001"/>
      <c r="G141" s="1001"/>
      <c r="H141" s="1001"/>
      <c r="I141" s="1001"/>
      <c r="J141" s="1001"/>
      <c r="K141" s="1001"/>
      <c r="L141" s="1001"/>
      <c r="M141" s="1001"/>
      <c r="P141" s="999" t="s">
        <v>33</v>
      </c>
      <c r="Q141" s="1001" t="s">
        <v>28</v>
      </c>
      <c r="R141" s="1001"/>
      <c r="S141" s="1001"/>
      <c r="T141" s="1001"/>
      <c r="U141" s="1001"/>
      <c r="V141" s="1001"/>
      <c r="W141" s="1001"/>
      <c r="X141" s="1001"/>
      <c r="Y141" s="1001"/>
      <c r="Z141" s="1001"/>
      <c r="AA141" s="1001"/>
      <c r="AB141" s="1001"/>
      <c r="AE141" s="999" t="s">
        <v>33</v>
      </c>
      <c r="AF141" s="1001" t="s">
        <v>28</v>
      </c>
      <c r="AG141" s="1001"/>
      <c r="AH141" s="1001"/>
      <c r="AI141" s="1001"/>
      <c r="AJ141" s="1001"/>
      <c r="AK141" s="1001"/>
      <c r="AL141" s="1001"/>
      <c r="AM141" s="1001"/>
      <c r="AN141" s="1001"/>
      <c r="AO141" s="1001"/>
      <c r="AP141" s="1001"/>
      <c r="AQ141" s="1001"/>
    </row>
    <row r="142" spans="1:48">
      <c r="A142" s="1000"/>
      <c r="B142" s="803" t="s">
        <v>106</v>
      </c>
      <c r="C142" s="803" t="s">
        <v>107</v>
      </c>
      <c r="D142" s="803" t="s">
        <v>108</v>
      </c>
      <c r="E142" s="803" t="s">
        <v>109</v>
      </c>
      <c r="F142" s="803" t="s">
        <v>110</v>
      </c>
      <c r="G142" s="803" t="s">
        <v>111</v>
      </c>
      <c r="H142" s="803" t="s">
        <v>112</v>
      </c>
      <c r="I142" s="803" t="s">
        <v>113</v>
      </c>
      <c r="J142" s="803" t="s">
        <v>114</v>
      </c>
      <c r="K142" s="803" t="s">
        <v>115</v>
      </c>
      <c r="L142" s="803" t="s">
        <v>116</v>
      </c>
      <c r="M142" s="803" t="s">
        <v>117</v>
      </c>
      <c r="N142" s="803" t="s">
        <v>118</v>
      </c>
      <c r="P142" s="1000"/>
      <c r="Q142" s="803" t="s">
        <v>106</v>
      </c>
      <c r="R142" s="803" t="s">
        <v>107</v>
      </c>
      <c r="S142" s="803" t="s">
        <v>108</v>
      </c>
      <c r="T142" s="803" t="s">
        <v>109</v>
      </c>
      <c r="U142" s="803" t="s">
        <v>110</v>
      </c>
      <c r="V142" s="803" t="s">
        <v>111</v>
      </c>
      <c r="W142" s="803" t="s">
        <v>112</v>
      </c>
      <c r="X142" s="803" t="s">
        <v>113</v>
      </c>
      <c r="Y142" s="803" t="s">
        <v>114</v>
      </c>
      <c r="Z142" s="803" t="s">
        <v>115</v>
      </c>
      <c r="AA142" s="803" t="s">
        <v>116</v>
      </c>
      <c r="AB142" s="803" t="s">
        <v>117</v>
      </c>
      <c r="AC142" s="803" t="s">
        <v>118</v>
      </c>
      <c r="AE142" s="1000"/>
      <c r="AF142" s="803" t="s">
        <v>106</v>
      </c>
      <c r="AG142" s="803" t="s">
        <v>107</v>
      </c>
      <c r="AH142" s="803" t="s">
        <v>108</v>
      </c>
      <c r="AI142" s="803" t="s">
        <v>109</v>
      </c>
      <c r="AJ142" s="803" t="s">
        <v>110</v>
      </c>
      <c r="AK142" s="803" t="s">
        <v>111</v>
      </c>
      <c r="AL142" s="803" t="s">
        <v>112</v>
      </c>
      <c r="AM142" s="803" t="s">
        <v>113</v>
      </c>
      <c r="AN142" s="803" t="s">
        <v>114</v>
      </c>
      <c r="AO142" s="803" t="s">
        <v>115</v>
      </c>
      <c r="AP142" s="803" t="s">
        <v>116</v>
      </c>
      <c r="AQ142" s="803" t="s">
        <v>117</v>
      </c>
      <c r="AR142" s="803" t="s">
        <v>118</v>
      </c>
    </row>
    <row r="143" spans="1:48">
      <c r="A143" s="137" t="s">
        <v>77</v>
      </c>
      <c r="B143" s="800">
        <f>$F212*'Médias por UF'!FX123</f>
        <v>14153.096979190623</v>
      </c>
      <c r="C143" s="800">
        <f>$F212*'Médias por UF'!FY123</f>
        <v>29594.291801536699</v>
      </c>
      <c r="D143" s="800">
        <f>$F212*'Médias por UF'!FZ123</f>
        <v>45931.057964344422</v>
      </c>
      <c r="E143" s="800">
        <f>$F212*'Médias por UF'!GA123</f>
        <v>61988.761535344674</v>
      </c>
      <c r="F143" s="800">
        <f>$F212*'Médias por UF'!GB123</f>
        <v>84102.16376536699</v>
      </c>
      <c r="G143" s="800">
        <f>$F212*'Médias por UF'!GC123</f>
        <v>104284.38124831475</v>
      </c>
      <c r="H143" s="800">
        <f>$F212*'Médias por UF'!GD123</f>
        <v>127700.02691687323</v>
      </c>
      <c r="I143" s="800">
        <f>$F212*'Médias por UF'!GE123</f>
        <v>152428.41962164102</v>
      </c>
      <c r="J143" s="800">
        <f>$F212*'Médias por UF'!GF123</f>
        <v>179081.35986032232</v>
      </c>
      <c r="K143" s="800">
        <f>$F212*'Médias por UF'!GG123</f>
        <v>205195.33413268658</v>
      </c>
      <c r="L143" s="800">
        <f>$F212*'Médias por UF'!GH123</f>
        <v>227203.7087035171</v>
      </c>
      <c r="M143" s="800">
        <f>$F212*'Médias por UF'!GI123</f>
        <v>247987.1</v>
      </c>
      <c r="N143" s="800">
        <f>M143</f>
        <v>247987.1</v>
      </c>
      <c r="P143" s="138" t="s">
        <v>77</v>
      </c>
      <c r="Q143" s="800">
        <f>$U212*'Médias por UF'!FX123</f>
        <v>14153.096979190623</v>
      </c>
      <c r="R143" s="800">
        <f>$U212*'Médias por UF'!FY123</f>
        <v>29594.291801536699</v>
      </c>
      <c r="S143" s="800">
        <f>$U212*'Médias por UF'!FZ123</f>
        <v>45931.057964344422</v>
      </c>
      <c r="T143" s="800">
        <f>$U212*'Médias por UF'!GA123</f>
        <v>61988.761535344674</v>
      </c>
      <c r="U143" s="800">
        <f>$U212*'Médias por UF'!GB123</f>
        <v>84102.16376536699</v>
      </c>
      <c r="V143" s="800">
        <f>$U212*'Médias por UF'!GC123</f>
        <v>104284.38124831475</v>
      </c>
      <c r="W143" s="800">
        <f>$U212*'Médias por UF'!GD123</f>
        <v>127700.02691687323</v>
      </c>
      <c r="X143" s="800">
        <f>$U212*'Médias por UF'!GE123</f>
        <v>152428.41962164102</v>
      </c>
      <c r="Y143" s="800">
        <f>$U212*'Médias por UF'!GF123</f>
        <v>179081.35986032232</v>
      </c>
      <c r="Z143" s="800">
        <f>$U212*'Médias por UF'!GG123</f>
        <v>205195.33413268658</v>
      </c>
      <c r="AA143" s="800">
        <f>$U212*'Médias por UF'!GH123</f>
        <v>227203.7087035171</v>
      </c>
      <c r="AB143" s="800">
        <f>$U212*'Médias por UF'!GI123</f>
        <v>247987.1</v>
      </c>
      <c r="AC143" s="800">
        <f>AB143</f>
        <v>247987.1</v>
      </c>
      <c r="AE143" s="138" t="s">
        <v>77</v>
      </c>
      <c r="AF143" s="800">
        <f>JAN!$W$5</f>
        <v>15506.807999999999</v>
      </c>
      <c r="AG143" s="800">
        <f>FEV!$W5</f>
        <v>16757.471999999998</v>
      </c>
      <c r="AH143" s="800">
        <f>MAR!$W5</f>
        <v>23390.088</v>
      </c>
      <c r="AI143" s="800">
        <f>ABR!$W5</f>
        <v>17042.592000000001</v>
      </c>
      <c r="AJ143" s="800">
        <f>MAI!$W5</f>
        <v>23998.752000000004</v>
      </c>
      <c r="AK143" s="800">
        <f>JUN!$W5</f>
        <v>28868.064000000002</v>
      </c>
      <c r="AL143" s="800">
        <f>JUL!$W5</f>
        <v>25216.080000000002</v>
      </c>
      <c r="AM143" s="800">
        <f>AGO!$W5</f>
        <v>24520.464000000004</v>
      </c>
      <c r="AN143" s="800">
        <f>SET!$W5</f>
        <v>23911.8</v>
      </c>
      <c r="AO143" s="800">
        <f>OUT!$W5*0</f>
        <v>0</v>
      </c>
      <c r="AP143" s="800">
        <f>NOV!$W5*0</f>
        <v>0</v>
      </c>
      <c r="AQ143" s="800">
        <f>DEZ!$W5*0</f>
        <v>0</v>
      </c>
      <c r="AR143" s="800">
        <f>SUM(AF143:AQ143)</f>
        <v>199212.12000000002</v>
      </c>
      <c r="AV143" s="809"/>
    </row>
    <row r="144" spans="1:48">
      <c r="A144" s="137" t="s">
        <v>78</v>
      </c>
      <c r="B144" s="800">
        <f>$F213*'Médias por UF'!FX124</f>
        <v>42460.803324275978</v>
      </c>
      <c r="C144" s="800">
        <f>$F213*'Médias por UF'!FY124</f>
        <v>93518.215571630266</v>
      </c>
      <c r="D144" s="800">
        <f>$F213*'Médias por UF'!FZ124</f>
        <v>147191.17164026876</v>
      </c>
      <c r="E144" s="800">
        <f>$F213*'Médias por UF'!GA124</f>
        <v>200238.31578247581</v>
      </c>
      <c r="F144" s="800">
        <f>$F213*'Médias por UF'!GB124</f>
        <v>255537.24888516811</v>
      </c>
      <c r="G144" s="800">
        <f>$F213*'Médias por UF'!GC124</f>
        <v>304682.03105515684</v>
      </c>
      <c r="H144" s="800">
        <f>$F213*'Médias por UF'!GD124</f>
        <v>366516.0752499018</v>
      </c>
      <c r="I144" s="800">
        <f>$F213*'Médias por UF'!GE124</f>
        <v>428605.10519175336</v>
      </c>
      <c r="J144" s="800">
        <f>$F213*'Médias por UF'!GF124</f>
        <v>485572.79839371343</v>
      </c>
      <c r="K144" s="800">
        <f>$F213*'Médias por UF'!GG124</f>
        <v>552495.65988671465</v>
      </c>
      <c r="L144" s="800">
        <f>$F213*'Médias por UF'!GH124</f>
        <v>614436.8693929764</v>
      </c>
      <c r="M144" s="800">
        <f>$F213*'Médias por UF'!GI124</f>
        <v>671443.34000000008</v>
      </c>
      <c r="N144" s="800">
        <f t="shared" ref="N144:N169" si="53">M144</f>
        <v>671443.34000000008</v>
      </c>
      <c r="P144" s="138" t="s">
        <v>78</v>
      </c>
      <c r="Q144" s="800">
        <f>$U213*'Médias por UF'!FX124</f>
        <v>42460.803324275978</v>
      </c>
      <c r="R144" s="800">
        <f>$U213*'Médias por UF'!FY124</f>
        <v>93518.215571630266</v>
      </c>
      <c r="S144" s="800">
        <f>$U213*'Médias por UF'!FZ124</f>
        <v>147191.17164026876</v>
      </c>
      <c r="T144" s="800">
        <f>$U213*'Médias por UF'!GA124</f>
        <v>200238.31578247581</v>
      </c>
      <c r="U144" s="800">
        <f>$U213*'Médias por UF'!GB124</f>
        <v>255537.24888516811</v>
      </c>
      <c r="V144" s="800">
        <f>$U213*'Médias por UF'!GC124</f>
        <v>304682.03105515684</v>
      </c>
      <c r="W144" s="800">
        <f>$U213*'Médias por UF'!GD124</f>
        <v>366516.0752499018</v>
      </c>
      <c r="X144" s="800">
        <f>$U213*'Médias por UF'!GE124</f>
        <v>428605.10519175336</v>
      </c>
      <c r="Y144" s="800">
        <f>$U213*'Médias por UF'!GF124</f>
        <v>485572.79839371343</v>
      </c>
      <c r="Z144" s="800">
        <f>$U213*'Médias por UF'!GG124</f>
        <v>552495.65988671465</v>
      </c>
      <c r="AA144" s="800">
        <f>$U213*'Médias por UF'!GH124</f>
        <v>614436.8693929764</v>
      </c>
      <c r="AB144" s="800">
        <f>$U213*'Médias por UF'!GI124</f>
        <v>671443.34000000008</v>
      </c>
      <c r="AC144" s="800">
        <f t="shared" ref="AC144:AC169" si="54">AB144</f>
        <v>671443.34000000008</v>
      </c>
      <c r="AE144" s="138" t="s">
        <v>78</v>
      </c>
      <c r="AF144" s="800">
        <f>JAN!$W$6</f>
        <v>53341.103999999999</v>
      </c>
      <c r="AG144" s="800">
        <f>FEV!$W6</f>
        <v>67188.12000000001</v>
      </c>
      <c r="AH144" s="800">
        <f>MAR!$W6</f>
        <v>75822.144</v>
      </c>
      <c r="AI144" s="800">
        <f>ABR!$W6</f>
        <v>74430.911999999997</v>
      </c>
      <c r="AJ144" s="800">
        <f>MAI!$W6</f>
        <v>71213.687999999995</v>
      </c>
      <c r="AK144" s="800">
        <f>JUN!$W6</f>
        <v>55301.472000000002</v>
      </c>
      <c r="AL144" s="800">
        <f>JUL!$W6</f>
        <v>57040.512000000002</v>
      </c>
      <c r="AM144" s="800">
        <f>AGO!$W6</f>
        <v>76169.952000000005</v>
      </c>
      <c r="AN144" s="800">
        <f>SET!$W6</f>
        <v>75387.384000000005</v>
      </c>
      <c r="AO144" s="800">
        <f>OUT!$W6*0</f>
        <v>0</v>
      </c>
      <c r="AP144" s="800">
        <f>NOV!$W6*0</f>
        <v>0</v>
      </c>
      <c r="AQ144" s="800">
        <f>DEZ!$W6*0</f>
        <v>0</v>
      </c>
      <c r="AR144" s="800">
        <f t="shared" ref="AR144:AR169" si="55">SUM(AF144:AQ144)</f>
        <v>605895.28799999994</v>
      </c>
      <c r="AV144" s="809"/>
    </row>
    <row r="145" spans="1:48">
      <c r="A145" s="137" t="s">
        <v>79</v>
      </c>
      <c r="B145" s="800">
        <f>$F214*'Médias por UF'!FX125</f>
        <v>46573.793513059027</v>
      </c>
      <c r="C145" s="800">
        <f>$F214*'Médias por UF'!FY125</f>
        <v>98495.483738853043</v>
      </c>
      <c r="D145" s="800">
        <f>$F214*'Médias por UF'!FZ125</f>
        <v>152088.2602194926</v>
      </c>
      <c r="E145" s="800">
        <f>$F214*'Médias por UF'!GA125</f>
        <v>194528.18750946337</v>
      </c>
      <c r="F145" s="800">
        <f>$F214*'Médias por UF'!GB125</f>
        <v>237275.65058963382</v>
      </c>
      <c r="G145" s="800">
        <f>$F214*'Médias por UF'!GC125</f>
        <v>286841.23743897083</v>
      </c>
      <c r="H145" s="800">
        <f>$F214*'Médias por UF'!GD125</f>
        <v>352764.19134151167</v>
      </c>
      <c r="I145" s="800">
        <f>$F214*'Médias por UF'!GE125</f>
        <v>423837.54200517712</v>
      </c>
      <c r="J145" s="800">
        <f>$F214*'Médias por UF'!GF125</f>
        <v>491781.43948066601</v>
      </c>
      <c r="K145" s="800">
        <f>$F214*'Médias por UF'!GG125</f>
        <v>560063.26795751892</v>
      </c>
      <c r="L145" s="800">
        <f>$F214*'Médias por UF'!GH125</f>
        <v>619614.86058053747</v>
      </c>
      <c r="M145" s="800">
        <f>$F214*'Médias por UF'!GI125</f>
        <v>677529.99</v>
      </c>
      <c r="N145" s="800">
        <f t="shared" si="53"/>
        <v>677529.99</v>
      </c>
      <c r="P145" s="138" t="s">
        <v>79</v>
      </c>
      <c r="Q145" s="800">
        <f>$U214*'Médias por UF'!FX125</f>
        <v>21439.963258393538</v>
      </c>
      <c r="R145" s="800">
        <f>$U214*'Médias por UF'!FY125</f>
        <v>45341.798320263253</v>
      </c>
      <c r="S145" s="800">
        <f>$U214*'Médias por UF'!FZ125</f>
        <v>70012.907800276473</v>
      </c>
      <c r="T145" s="800">
        <f>$U214*'Médias por UF'!GA125</f>
        <v>89549.870825002668</v>
      </c>
      <c r="U145" s="800">
        <f>$U214*'Médias por UF'!GB125</f>
        <v>109228.40608478145</v>
      </c>
      <c r="V145" s="800">
        <f>$U214*'Médias por UF'!GC125</f>
        <v>132045.62325289828</v>
      </c>
      <c r="W145" s="800">
        <f>$U214*'Médias por UF'!GD125</f>
        <v>162392.85509603645</v>
      </c>
      <c r="X145" s="800">
        <f>$U214*'Médias por UF'!GE125</f>
        <v>195111.04083825304</v>
      </c>
      <c r="Y145" s="800">
        <f>$U214*'Médias por UF'!GF125</f>
        <v>226388.60179317257</v>
      </c>
      <c r="Z145" s="800">
        <f>$U214*'Médias por UF'!GG125</f>
        <v>257821.72723418198</v>
      </c>
      <c r="AA145" s="800">
        <f>$U214*'Médias por UF'!GH125</f>
        <v>285235.94157036947</v>
      </c>
      <c r="AB145" s="800">
        <f>$U214*'Médias por UF'!GI125</f>
        <v>311896.82</v>
      </c>
      <c r="AC145" s="800">
        <f t="shared" si="54"/>
        <v>311896.82</v>
      </c>
      <c r="AE145" s="138" t="s">
        <v>79</v>
      </c>
      <c r="AF145" s="800">
        <f>JAN!$W$7</f>
        <v>23195.016</v>
      </c>
      <c r="AG145" s="800">
        <f>FEV!$W7</f>
        <v>20607.624</v>
      </c>
      <c r="AH145" s="800">
        <f>MAR!$W7</f>
        <v>33737.375999999997</v>
      </c>
      <c r="AI145" s="800">
        <f>ABR!$W7</f>
        <v>26930.856000000003</v>
      </c>
      <c r="AJ145" s="800">
        <f>MAI!$W7</f>
        <v>31389.672000000002</v>
      </c>
      <c r="AK145" s="800">
        <f>JUN!$W7</f>
        <v>38154.536</v>
      </c>
      <c r="AL145" s="800">
        <f>JUL!$W7</f>
        <v>32780.904000000002</v>
      </c>
      <c r="AM145" s="800">
        <f>AGO!$W7</f>
        <v>35893.784</v>
      </c>
      <c r="AN145" s="800">
        <f>SET!$W7</f>
        <v>37998.023999999998</v>
      </c>
      <c r="AO145" s="800">
        <f>OUT!$W7*0</f>
        <v>0</v>
      </c>
      <c r="AP145" s="800">
        <f>NOV!$W7*0</f>
        <v>0</v>
      </c>
      <c r="AQ145" s="800">
        <f>DEZ!$W7*0</f>
        <v>0</v>
      </c>
      <c r="AR145" s="800">
        <f t="shared" si="55"/>
        <v>280687.79199999996</v>
      </c>
      <c r="AV145" s="809"/>
    </row>
    <row r="146" spans="1:48">
      <c r="A146" s="137" t="s">
        <v>80</v>
      </c>
      <c r="B146" s="800">
        <f>$F215*'Médias por UF'!FX126</f>
        <v>17395.582700617564</v>
      </c>
      <c r="C146" s="800">
        <f>$F215*'Médias por UF'!FY126</f>
        <v>37658.283208817673</v>
      </c>
      <c r="D146" s="800">
        <f>$F215*'Médias por UF'!FZ126</f>
        <v>63827.225936188246</v>
      </c>
      <c r="E146" s="800">
        <f>$F215*'Médias por UF'!GA126</f>
        <v>84378.815920360808</v>
      </c>
      <c r="F146" s="800">
        <f>$F215*'Médias por UF'!GB126</f>
        <v>108275.10370037863</v>
      </c>
      <c r="G146" s="800">
        <f>$F215*'Médias por UF'!GC126</f>
        <v>133126.25834230383</v>
      </c>
      <c r="H146" s="800">
        <f>$F215*'Médias por UF'!GD126</f>
        <v>163769.71232260164</v>
      </c>
      <c r="I146" s="800">
        <f>$F215*'Médias por UF'!GE126</f>
        <v>196080.06038362073</v>
      </c>
      <c r="J146" s="800">
        <f>$F215*'Médias por UF'!GF126</f>
        <v>226194.74923842438</v>
      </c>
      <c r="K146" s="800">
        <f>$F215*'Médias por UF'!GG126</f>
        <v>256693.93558156252</v>
      </c>
      <c r="L146" s="800">
        <f>$F215*'Médias por UF'!GH126</f>
        <v>286598.83681640803</v>
      </c>
      <c r="M146" s="800">
        <f>$F215*'Médias por UF'!GI126</f>
        <v>311896.82</v>
      </c>
      <c r="N146" s="800">
        <f t="shared" si="53"/>
        <v>311896.82</v>
      </c>
      <c r="P146" s="138" t="s">
        <v>80</v>
      </c>
      <c r="Q146" s="800">
        <f>$U215*'Médias por UF'!FX126</f>
        <v>37788.230650102785</v>
      </c>
      <c r="R146" s="800">
        <f>$U215*'Médias por UF'!FY126</f>
        <v>81804.669396396566</v>
      </c>
      <c r="S146" s="800">
        <f>$U215*'Médias por UF'!FZ126</f>
        <v>138651.17236614777</v>
      </c>
      <c r="T146" s="800">
        <f>$U215*'Médias por UF'!GA126</f>
        <v>183295.16250513197</v>
      </c>
      <c r="U146" s="800">
        <f>$U215*'Médias por UF'!GB126</f>
        <v>235204.80243231237</v>
      </c>
      <c r="V146" s="800">
        <f>$U215*'Médias por UF'!GC126</f>
        <v>289188.68901388132</v>
      </c>
      <c r="W146" s="800">
        <f>$U215*'Médias por UF'!GD126</f>
        <v>355755.1229673812</v>
      </c>
      <c r="X146" s="800">
        <f>$U215*'Médias por UF'!GE126</f>
        <v>425942.53237629659</v>
      </c>
      <c r="Y146" s="800">
        <f>$U215*'Médias por UF'!GF126</f>
        <v>491360.3357339846</v>
      </c>
      <c r="Z146" s="800">
        <f>$U215*'Médias por UF'!GG126</f>
        <v>557613.37870529329</v>
      </c>
      <c r="AA146" s="800">
        <f>$U215*'Médias por UF'!GH126</f>
        <v>622575.46275153605</v>
      </c>
      <c r="AB146" s="800">
        <f>$U215*'Médias por UF'!GI126</f>
        <v>677529.99</v>
      </c>
      <c r="AC146" s="800">
        <f t="shared" si="54"/>
        <v>677529.99</v>
      </c>
      <c r="AE146" s="138" t="s">
        <v>80</v>
      </c>
      <c r="AF146" s="800">
        <f>JAN!$W$8</f>
        <v>42826.44</v>
      </c>
      <c r="AG146" s="800">
        <f>FEV!$W8</f>
        <v>54171.096000000005</v>
      </c>
      <c r="AH146" s="800">
        <f>MAR!$W8</f>
        <v>66605.232000000004</v>
      </c>
      <c r="AI146" s="800">
        <f>ABR!$W8</f>
        <v>57736.127999999997</v>
      </c>
      <c r="AJ146" s="800">
        <f>MAI!$W8</f>
        <v>65214</v>
      </c>
      <c r="AK146" s="800">
        <f>JUN!$W8</f>
        <v>67474.752000000008</v>
      </c>
      <c r="AL146" s="800">
        <f>JUL!$W8</f>
        <v>59909.928000000007</v>
      </c>
      <c r="AM146" s="800">
        <f>AGO!$W8</f>
        <v>72778.824000000008</v>
      </c>
      <c r="AN146" s="800">
        <f>SET!$W8</f>
        <v>57562.224000000002</v>
      </c>
      <c r="AO146" s="800">
        <f>OUT!$W8*0</f>
        <v>0</v>
      </c>
      <c r="AP146" s="800">
        <f>NOV!$W8*0</f>
        <v>0</v>
      </c>
      <c r="AQ146" s="800">
        <f>DEZ!$W8*0</f>
        <v>0</v>
      </c>
      <c r="AR146" s="800">
        <f t="shared" si="55"/>
        <v>544278.62400000007</v>
      </c>
      <c r="AV146" s="809"/>
    </row>
    <row r="147" spans="1:48">
      <c r="A147" s="137" t="s">
        <v>81</v>
      </c>
      <c r="B147" s="800">
        <f>$F216*'Médias por UF'!FX127</f>
        <v>107499.29223824115</v>
      </c>
      <c r="C147" s="800">
        <f>$F216*'Médias por UF'!FY127</f>
        <v>237881.81349700337</v>
      </c>
      <c r="D147" s="800">
        <f>$F216*'Médias por UF'!FZ127</f>
        <v>362097.31683658867</v>
      </c>
      <c r="E147" s="800">
        <f>$F216*'Médias por UF'!GA127</f>
        <v>472592.12158080644</v>
      </c>
      <c r="F147" s="800">
        <f>$F216*'Médias por UF'!GB127</f>
        <v>591679.83388075093</v>
      </c>
      <c r="G147" s="800">
        <f>$F216*'Médias por UF'!GC127</f>
        <v>711667.17705989419</v>
      </c>
      <c r="H147" s="800">
        <f>$F216*'Médias por UF'!GD127</f>
        <v>854505.06227753451</v>
      </c>
      <c r="I147" s="800">
        <f>$F216*'Médias por UF'!GE127</f>
        <v>1007915.0962912124</v>
      </c>
      <c r="J147" s="800">
        <f>$F216*'Médias por UF'!GF127</f>
        <v>1166105.5086399335</v>
      </c>
      <c r="K147" s="800">
        <f>$F216*'Médias por UF'!GG127</f>
        <v>1324370.4690454886</v>
      </c>
      <c r="L147" s="800">
        <f>$F216*'Médias por UF'!GH127</f>
        <v>1476308.4509837565</v>
      </c>
      <c r="M147" s="800">
        <f>$F216*'Médias por UF'!GI127</f>
        <v>1628784.86</v>
      </c>
      <c r="N147" s="800">
        <f t="shared" si="53"/>
        <v>1628784.86</v>
      </c>
      <c r="P147" s="138" t="s">
        <v>81</v>
      </c>
      <c r="Q147" s="800">
        <f>$U216*'Médias por UF'!FX127</f>
        <v>107499.29223824115</v>
      </c>
      <c r="R147" s="800">
        <f>$U216*'Médias por UF'!FY127</f>
        <v>237881.81349700337</v>
      </c>
      <c r="S147" s="800">
        <f>$U216*'Médias por UF'!FZ127</f>
        <v>362097.31683658867</v>
      </c>
      <c r="T147" s="800">
        <f>$U216*'Médias por UF'!GA127</f>
        <v>472592.12158080644</v>
      </c>
      <c r="U147" s="800">
        <f>$U216*'Médias por UF'!GB127</f>
        <v>591679.83388075093</v>
      </c>
      <c r="V147" s="800">
        <f>$U216*'Médias por UF'!GC127</f>
        <v>711667.17705989419</v>
      </c>
      <c r="W147" s="800">
        <f>$U216*'Médias por UF'!GD127</f>
        <v>854505.06227753451</v>
      </c>
      <c r="X147" s="800">
        <f>$U216*'Médias por UF'!GE127</f>
        <v>1007915.0962912124</v>
      </c>
      <c r="Y147" s="800">
        <f>$U216*'Médias por UF'!GF127</f>
        <v>1166105.5086399335</v>
      </c>
      <c r="Z147" s="800">
        <f>$U216*'Médias por UF'!GG127</f>
        <v>1324370.4690454886</v>
      </c>
      <c r="AA147" s="800">
        <f>$U216*'Médias por UF'!GH127</f>
        <v>1476308.4509837565</v>
      </c>
      <c r="AB147" s="800">
        <f>$U216*'Médias por UF'!GI127</f>
        <v>1628784.86</v>
      </c>
      <c r="AC147" s="800">
        <f t="shared" si="54"/>
        <v>1628784.86</v>
      </c>
      <c r="AE147" s="138" t="s">
        <v>81</v>
      </c>
      <c r="AF147" s="800">
        <f>JAN!$W$9</f>
        <v>140790.07200000001</v>
      </c>
      <c r="AG147" s="800">
        <f>FEV!$W9</f>
        <v>185468.61600000001</v>
      </c>
      <c r="AH147" s="800">
        <f>MAR!$W9</f>
        <v>223205.78400000001</v>
      </c>
      <c r="AI147" s="800">
        <f>ABR!$W9</f>
        <v>179990.64</v>
      </c>
      <c r="AJ147" s="800">
        <f>MAI!$W9</f>
        <v>243639.50400000002</v>
      </c>
      <c r="AK147" s="800">
        <f>JUN!$W9</f>
        <v>179468.92800000001</v>
      </c>
      <c r="AL147" s="800">
        <f>JUL!$W9</f>
        <v>194859.432</v>
      </c>
      <c r="AM147" s="800">
        <f>AGO!$W9</f>
        <v>233292.21600000001</v>
      </c>
      <c r="AN147" s="800">
        <f>SET!$W9</f>
        <v>195728.95199999999</v>
      </c>
      <c r="AO147" s="800">
        <f>OUT!$W9*0</f>
        <v>0</v>
      </c>
      <c r="AP147" s="800">
        <f>NOV!$W9*0</f>
        <v>0</v>
      </c>
      <c r="AQ147" s="800">
        <f>DEZ!$W9*0</f>
        <v>0</v>
      </c>
      <c r="AR147" s="800">
        <f t="shared" si="55"/>
        <v>1776444.1440000003</v>
      </c>
      <c r="AV147" s="809"/>
    </row>
    <row r="148" spans="1:48">
      <c r="A148" s="137" t="s">
        <v>82</v>
      </c>
      <c r="B148" s="800">
        <f>$F217*'Médias por UF'!FX128</f>
        <v>72097.554879535179</v>
      </c>
      <c r="C148" s="800">
        <f>$F217*'Médias por UF'!FY128</f>
        <v>148971.10509331938</v>
      </c>
      <c r="D148" s="800">
        <f>$F217*'Médias por UF'!FZ128</f>
        <v>217967.64733330984</v>
      </c>
      <c r="E148" s="800">
        <f>$F217*'Médias por UF'!GA128</f>
        <v>283684.74550169887</v>
      </c>
      <c r="F148" s="800">
        <f>$F217*'Médias por UF'!GB128</f>
        <v>351839.8665895203</v>
      </c>
      <c r="G148" s="800">
        <f>$F217*'Médias por UF'!GC128</f>
        <v>438792.96077093942</v>
      </c>
      <c r="H148" s="800">
        <f>$F217*'Médias por UF'!GD128</f>
        <v>542439.59419348999</v>
      </c>
      <c r="I148" s="800">
        <f>$F217*'Médias por UF'!GE128</f>
        <v>647420.05836002587</v>
      </c>
      <c r="J148" s="800">
        <f>$F217*'Médias por UF'!GF128</f>
        <v>750630.84040265041</v>
      </c>
      <c r="K148" s="800">
        <f>$F217*'Médias por UF'!GG128</f>
        <v>866733.06871097325</v>
      </c>
      <c r="L148" s="800">
        <f>$F217*'Médias por UF'!GH128</f>
        <v>968255.91624705552</v>
      </c>
      <c r="M148" s="800">
        <f>$F217*'Médias por UF'!GI128</f>
        <v>1064727.24</v>
      </c>
      <c r="N148" s="800">
        <f t="shared" si="53"/>
        <v>1064727.24</v>
      </c>
      <c r="P148" s="138" t="s">
        <v>82</v>
      </c>
      <c r="Q148" s="800">
        <f>$U217*'Médias por UF'!FX128</f>
        <v>72097.554879535179</v>
      </c>
      <c r="R148" s="800">
        <f>$U217*'Médias por UF'!FY128</f>
        <v>148971.10509331938</v>
      </c>
      <c r="S148" s="800">
        <f>$U217*'Médias por UF'!FZ128</f>
        <v>217967.64733330984</v>
      </c>
      <c r="T148" s="800">
        <f>$U217*'Médias por UF'!GA128</f>
        <v>283684.74550169887</v>
      </c>
      <c r="U148" s="800">
        <f>$U217*'Médias por UF'!GB128</f>
        <v>351839.8665895203</v>
      </c>
      <c r="V148" s="800">
        <f>$U217*'Médias por UF'!GC128</f>
        <v>438792.96077093942</v>
      </c>
      <c r="W148" s="800">
        <f>$U217*'Médias por UF'!GD128</f>
        <v>542439.59419348999</v>
      </c>
      <c r="X148" s="800">
        <f>$U217*'Médias por UF'!GE128</f>
        <v>647420.05836002587</v>
      </c>
      <c r="Y148" s="800">
        <f>$U217*'Médias por UF'!GF128</f>
        <v>750630.84040265041</v>
      </c>
      <c r="Z148" s="800">
        <f>$U217*'Médias por UF'!GG128</f>
        <v>866733.06871097325</v>
      </c>
      <c r="AA148" s="800">
        <f>$U217*'Médias por UF'!GH128</f>
        <v>968255.91624705552</v>
      </c>
      <c r="AB148" s="800">
        <f>$U217*'Médias por UF'!GI128</f>
        <v>1064727.24</v>
      </c>
      <c r="AC148" s="800">
        <f t="shared" si="54"/>
        <v>1064727.24</v>
      </c>
      <c r="AE148" s="138" t="s">
        <v>82</v>
      </c>
      <c r="AF148" s="800">
        <f>JAN!$W$10</f>
        <v>92425.512000000002</v>
      </c>
      <c r="AG148" s="800">
        <f>FEV!$W10</f>
        <v>109385.61599999999</v>
      </c>
      <c r="AH148" s="800">
        <f>MAR!$W10</f>
        <v>118950.336</v>
      </c>
      <c r="AI148" s="800">
        <f>ABR!$W10</f>
        <v>101472.98400000001</v>
      </c>
      <c r="AJ148" s="800">
        <f>MAI!$W10</f>
        <v>138253.68</v>
      </c>
      <c r="AK148" s="800">
        <f>JUN!$W10</f>
        <v>139036.24799999999</v>
      </c>
      <c r="AL148" s="800">
        <f>JUL!$W10</f>
        <v>134253.88800000001</v>
      </c>
      <c r="AM148" s="800">
        <f>AGO!$W10</f>
        <v>146340.21600000001</v>
      </c>
      <c r="AN148" s="800">
        <f>SET!$W10</f>
        <v>137471.11199999999</v>
      </c>
      <c r="AO148" s="800">
        <f>OUT!$W10*0</f>
        <v>0</v>
      </c>
      <c r="AP148" s="800">
        <f>NOV!$W10*0</f>
        <v>0</v>
      </c>
      <c r="AQ148" s="800">
        <f>DEZ!$W10*0</f>
        <v>0</v>
      </c>
      <c r="AR148" s="800">
        <f t="shared" si="55"/>
        <v>1117589.5920000002</v>
      </c>
      <c r="AV148" s="809"/>
    </row>
    <row r="149" spans="1:48">
      <c r="A149" s="137" t="s">
        <v>83</v>
      </c>
      <c r="B149" s="800">
        <f>$F218*'Médias por UF'!FX129</f>
        <v>112911.10657826946</v>
      </c>
      <c r="C149" s="800">
        <f>$F218*'Médias por UF'!FY129</f>
        <v>229718.93653191923</v>
      </c>
      <c r="D149" s="800">
        <f>$F218*'Médias por UF'!FZ129</f>
        <v>361746.49178524246</v>
      </c>
      <c r="E149" s="800">
        <f>$F218*'Médias por UF'!GA129</f>
        <v>476771.46736918867</v>
      </c>
      <c r="F149" s="800">
        <f>$F218*'Médias por UF'!GB129</f>
        <v>611017.69427191699</v>
      </c>
      <c r="G149" s="800">
        <f>$F218*'Médias por UF'!GC129</f>
        <v>747388.29927669582</v>
      </c>
      <c r="H149" s="800">
        <f>$F218*'Médias por UF'!GD129</f>
        <v>902856.35499596968</v>
      </c>
      <c r="I149" s="800">
        <f>$F218*'Médias por UF'!GE129</f>
        <v>1058754.5504751368</v>
      </c>
      <c r="J149" s="800">
        <f>$F218*'Médias por UF'!GF129</f>
        <v>1205563.3976594845</v>
      </c>
      <c r="K149" s="800">
        <f>$F218*'Médias por UF'!GG129</f>
        <v>1365076.3517954727</v>
      </c>
      <c r="L149" s="800">
        <f>$F218*'Médias por UF'!GH129</f>
        <v>1511413.4987473323</v>
      </c>
      <c r="M149" s="800">
        <f>$F218*'Médias por UF'!GI129</f>
        <v>1640958.15</v>
      </c>
      <c r="N149" s="800">
        <f t="shared" si="53"/>
        <v>1640958.15</v>
      </c>
      <c r="P149" s="138" t="s">
        <v>83</v>
      </c>
      <c r="Q149" s="800">
        <f>$U218*'Médias por UF'!FX129</f>
        <v>112911.10657826946</v>
      </c>
      <c r="R149" s="800">
        <f>$U218*'Médias por UF'!FY129</f>
        <v>229718.93653191923</v>
      </c>
      <c r="S149" s="800">
        <f>$U218*'Médias por UF'!FZ129</f>
        <v>361746.49178524246</v>
      </c>
      <c r="T149" s="800">
        <f>$U218*'Médias por UF'!GA129</f>
        <v>476771.46736918867</v>
      </c>
      <c r="U149" s="800">
        <f>$U218*'Médias por UF'!GB129</f>
        <v>611017.69427191699</v>
      </c>
      <c r="V149" s="800">
        <f>$U218*'Médias por UF'!GC129</f>
        <v>747388.29927669582</v>
      </c>
      <c r="W149" s="800">
        <f>$U218*'Médias por UF'!GD129</f>
        <v>902856.35499596968</v>
      </c>
      <c r="X149" s="800">
        <f>$U218*'Médias por UF'!GE129</f>
        <v>1058754.5504751368</v>
      </c>
      <c r="Y149" s="800">
        <f>$U218*'Médias por UF'!GF129</f>
        <v>1205563.3976594845</v>
      </c>
      <c r="Z149" s="800">
        <f>$U218*'Médias por UF'!GG129</f>
        <v>1365076.3517954727</v>
      </c>
      <c r="AA149" s="800">
        <f>$U218*'Médias por UF'!GH129</f>
        <v>1511413.4987473323</v>
      </c>
      <c r="AB149" s="800">
        <f>$U218*'Médias por UF'!GI129</f>
        <v>1640958.15</v>
      </c>
      <c r="AC149" s="800">
        <f t="shared" si="54"/>
        <v>1640958.15</v>
      </c>
      <c r="AE149" s="138" t="s">
        <v>83</v>
      </c>
      <c r="AF149" s="800">
        <f>JAN!$W$11</f>
        <v>109392.84</v>
      </c>
      <c r="AG149" s="800">
        <f>FEV!$W11</f>
        <v>123037.08</v>
      </c>
      <c r="AH149" s="800">
        <f>MAR!$W11</f>
        <v>145122.88800000001</v>
      </c>
      <c r="AI149" s="800">
        <f>ABR!$W11</f>
        <v>129471.52800000001</v>
      </c>
      <c r="AJ149" s="800">
        <f>MAI!$W11</f>
        <v>161035.10399999999</v>
      </c>
      <c r="AK149" s="800">
        <f>JUN!$W11</f>
        <v>135645.12</v>
      </c>
      <c r="AL149" s="800">
        <f>JUL!$W11</f>
        <v>133558.272</v>
      </c>
      <c r="AM149" s="800">
        <f>AGO!$W11</f>
        <v>140949.19200000001</v>
      </c>
      <c r="AN149" s="800">
        <f>SET!$W11</f>
        <v>129558.48000000001</v>
      </c>
      <c r="AO149" s="800">
        <f>OUT!$W11*0</f>
        <v>0</v>
      </c>
      <c r="AP149" s="800">
        <f>NOV!$W11*0</f>
        <v>0</v>
      </c>
      <c r="AQ149" s="800">
        <f>DEZ!$W11*0</f>
        <v>0</v>
      </c>
      <c r="AR149" s="800">
        <f t="shared" si="55"/>
        <v>1207770.504</v>
      </c>
      <c r="AV149" s="809"/>
    </row>
    <row r="150" spans="1:48">
      <c r="A150" s="137" t="s">
        <v>84</v>
      </c>
      <c r="B150" s="800">
        <f>$F219*'Médias por UF'!FX130</f>
        <v>99356.985774323402</v>
      </c>
      <c r="C150" s="800">
        <f>$F219*'Médias por UF'!FY130</f>
        <v>214246.74659722473</v>
      </c>
      <c r="D150" s="800">
        <f>$F219*'Médias por UF'!FZ130</f>
        <v>331188.07717196096</v>
      </c>
      <c r="E150" s="800">
        <f>$F219*'Médias por UF'!GA130</f>
        <v>431362.42041129625</v>
      </c>
      <c r="F150" s="800">
        <f>$F219*'Médias por UF'!GB130</f>
        <v>547191.16326745925</v>
      </c>
      <c r="G150" s="800">
        <f>$F219*'Médias por UF'!GC130</f>
        <v>667025.01031110296</v>
      </c>
      <c r="H150" s="800">
        <f>$F219*'Médias por UF'!GD130</f>
        <v>812078.65827096882</v>
      </c>
      <c r="I150" s="800">
        <f>$F219*'Médias por UF'!GE130</f>
        <v>971082.12390974199</v>
      </c>
      <c r="J150" s="800">
        <f>$F219*'Médias por UF'!GF130</f>
        <v>1109713.2732323897</v>
      </c>
      <c r="K150" s="800">
        <f>$F219*'Médias por UF'!GG130</f>
        <v>1269455.2624533235</v>
      </c>
      <c r="L150" s="800">
        <f>$F219*'Médias por UF'!GH130</f>
        <v>1403645.74348815</v>
      </c>
      <c r="M150" s="800">
        <f>$F219*'Médias por UF'!GI130</f>
        <v>1537311.36</v>
      </c>
      <c r="N150" s="800">
        <f t="shared" si="53"/>
        <v>1537311.36</v>
      </c>
      <c r="P150" s="138" t="s">
        <v>84</v>
      </c>
      <c r="Q150" s="800">
        <f>$U219*'Médias por UF'!FX130</f>
        <v>99356.985774323402</v>
      </c>
      <c r="R150" s="800">
        <f>$U219*'Médias por UF'!FY130</f>
        <v>214246.74659722473</v>
      </c>
      <c r="S150" s="800">
        <f>$U219*'Médias por UF'!FZ130</f>
        <v>331188.07717196096</v>
      </c>
      <c r="T150" s="800">
        <f>$U219*'Médias por UF'!GA130</f>
        <v>431362.42041129625</v>
      </c>
      <c r="U150" s="800">
        <f>$U219*'Médias por UF'!GB130</f>
        <v>547191.16326745925</v>
      </c>
      <c r="V150" s="800">
        <f>$U219*'Médias por UF'!GC130</f>
        <v>667025.01031110296</v>
      </c>
      <c r="W150" s="800">
        <f>$U219*'Médias por UF'!GD130</f>
        <v>812078.65827096882</v>
      </c>
      <c r="X150" s="800">
        <f>$U219*'Médias por UF'!GE130</f>
        <v>971082.12390974199</v>
      </c>
      <c r="Y150" s="800">
        <f>$U219*'Médias por UF'!GF130</f>
        <v>1109713.2732323897</v>
      </c>
      <c r="Z150" s="800">
        <f>$U219*'Médias por UF'!GG130</f>
        <v>1269455.2624533235</v>
      </c>
      <c r="AA150" s="800">
        <f>$U219*'Médias por UF'!GH130</f>
        <v>1403645.74348815</v>
      </c>
      <c r="AB150" s="800">
        <f>$U219*'Médias por UF'!GI130</f>
        <v>1537311.36</v>
      </c>
      <c r="AC150" s="800">
        <f t="shared" si="54"/>
        <v>1537311.36</v>
      </c>
      <c r="AE150" s="138" t="s">
        <v>84</v>
      </c>
      <c r="AF150" s="800">
        <f>JAN!$W$12</f>
        <v>95610.432000000001</v>
      </c>
      <c r="AG150" s="800">
        <f>FEV!$W12</f>
        <v>113211.504</v>
      </c>
      <c r="AH150" s="800">
        <f>MAR!$W12</f>
        <v>146079.35999999999</v>
      </c>
      <c r="AI150" s="800">
        <f>ABR!$W12</f>
        <v>119124.24000000002</v>
      </c>
      <c r="AJ150" s="800">
        <f>MAI!$W12</f>
        <v>143122.99200000003</v>
      </c>
      <c r="AK150" s="800">
        <f>JUN!$W12</f>
        <v>137210.25599999999</v>
      </c>
      <c r="AL150" s="800">
        <f>JUL!$W12</f>
        <v>142862.136</v>
      </c>
      <c r="AM150" s="800">
        <f>AGO!$W12</f>
        <v>146427.16800000001</v>
      </c>
      <c r="AN150" s="800">
        <f>SET!$W12</f>
        <v>139818.81599999999</v>
      </c>
      <c r="AO150" s="800">
        <f>OUT!$W12*0</f>
        <v>0</v>
      </c>
      <c r="AP150" s="800">
        <f>NOV!$W12*0</f>
        <v>0</v>
      </c>
      <c r="AQ150" s="800">
        <f>DEZ!$W12*0</f>
        <v>0</v>
      </c>
      <c r="AR150" s="800">
        <f t="shared" si="55"/>
        <v>1183466.9040000001</v>
      </c>
      <c r="AV150" s="809"/>
    </row>
    <row r="151" spans="1:48">
      <c r="A151" s="137" t="s">
        <v>85</v>
      </c>
      <c r="B151" s="800">
        <f>$F220*'Médias por UF'!FX131</f>
        <v>178536.54123541439</v>
      </c>
      <c r="C151" s="800">
        <f>$F220*'Médias por UF'!FY131</f>
        <v>389273.62849876587</v>
      </c>
      <c r="D151" s="800">
        <f>$F220*'Médias por UF'!FZ131</f>
        <v>606195.64152996789</v>
      </c>
      <c r="E151" s="800">
        <f>$F220*'Médias por UF'!GA131</f>
        <v>825485.59297960077</v>
      </c>
      <c r="F151" s="800">
        <f>$F220*'Médias por UF'!GB131</f>
        <v>1069403.0261027946</v>
      </c>
      <c r="G151" s="800">
        <f>$F220*'Médias por UF'!GC131</f>
        <v>1311586.2683297042</v>
      </c>
      <c r="H151" s="800">
        <f>$F220*'Médias por UF'!GD131</f>
        <v>1607614.4872246219</v>
      </c>
      <c r="I151" s="800">
        <f>$F220*'Médias por UF'!GE131</f>
        <v>1878431.1277477448</v>
      </c>
      <c r="J151" s="800">
        <f>$F220*'Médias por UF'!GF131</f>
        <v>2134652.4570483067</v>
      </c>
      <c r="K151" s="800">
        <f>$F220*'Médias por UF'!GG131</f>
        <v>2406163.3031026288</v>
      </c>
      <c r="L151" s="800">
        <f>$F220*'Médias por UF'!GH131</f>
        <v>2638077.8748798142</v>
      </c>
      <c r="M151" s="800">
        <f>$F220*'Médias por UF'!GI131</f>
        <v>2884284.79</v>
      </c>
      <c r="N151" s="800">
        <f t="shared" si="53"/>
        <v>2884284.79</v>
      </c>
      <c r="P151" s="138" t="s">
        <v>85</v>
      </c>
      <c r="Q151" s="800">
        <f>$U220*'Médias por UF'!FX131</f>
        <v>178536.54123541439</v>
      </c>
      <c r="R151" s="800">
        <f>$U220*'Médias por UF'!FY131</f>
        <v>389273.62849876587</v>
      </c>
      <c r="S151" s="800">
        <f>$U220*'Médias por UF'!FZ131</f>
        <v>606195.64152996789</v>
      </c>
      <c r="T151" s="800">
        <f>$U220*'Médias por UF'!GA131</f>
        <v>825485.59297960077</v>
      </c>
      <c r="U151" s="800">
        <f>$U220*'Médias por UF'!GB131</f>
        <v>1069403.0261027946</v>
      </c>
      <c r="V151" s="800">
        <f>$U220*'Médias por UF'!GC131</f>
        <v>1311586.2683297042</v>
      </c>
      <c r="W151" s="800">
        <f>$U220*'Médias por UF'!GD131</f>
        <v>1607614.4872246219</v>
      </c>
      <c r="X151" s="800">
        <f>$U220*'Médias por UF'!GE131</f>
        <v>1878431.1277477448</v>
      </c>
      <c r="Y151" s="800">
        <f>$U220*'Médias por UF'!GF131</f>
        <v>2134652.4570483067</v>
      </c>
      <c r="Z151" s="800">
        <f>$U220*'Médias por UF'!GG131</f>
        <v>2406163.3031026288</v>
      </c>
      <c r="AA151" s="800">
        <f>$U220*'Médias por UF'!GH131</f>
        <v>2638077.8748798142</v>
      </c>
      <c r="AB151" s="800">
        <f>$U220*'Médias por UF'!GI131</f>
        <v>2884284.79</v>
      </c>
      <c r="AC151" s="800">
        <f t="shared" si="54"/>
        <v>2884284.79</v>
      </c>
      <c r="AE151" s="138" t="s">
        <v>85</v>
      </c>
      <c r="AF151" s="800">
        <f>JAN!$W$13</f>
        <v>169030.92</v>
      </c>
      <c r="AG151" s="800">
        <f>FEV!$W13</f>
        <v>212423.736</v>
      </c>
      <c r="AH151" s="800">
        <f>MAR!$W13</f>
        <v>301027.82400000002</v>
      </c>
      <c r="AI151" s="800">
        <f>ABR!$W13</f>
        <v>231379.272</v>
      </c>
      <c r="AJ151" s="800">
        <f>MAI!$W13</f>
        <v>275985.64800000004</v>
      </c>
      <c r="AK151" s="800">
        <f>JUN!$W13</f>
        <v>259725.62400000004</v>
      </c>
      <c r="AL151" s="800">
        <f>JUL!$W13</f>
        <v>241900.46400000001</v>
      </c>
      <c r="AM151" s="800">
        <f>AGO!$W13</f>
        <v>278333.35200000007</v>
      </c>
      <c r="AN151" s="800">
        <f>SET!$W13</f>
        <v>245291.592</v>
      </c>
      <c r="AO151" s="800">
        <f>OUT!$W13*0</f>
        <v>0</v>
      </c>
      <c r="AP151" s="800">
        <f>NOV!$W13*0</f>
        <v>0</v>
      </c>
      <c r="AQ151" s="800">
        <f>DEZ!$W13*0</f>
        <v>0</v>
      </c>
      <c r="AR151" s="800">
        <f t="shared" si="55"/>
        <v>2215098.432</v>
      </c>
      <c r="AV151" s="809"/>
    </row>
    <row r="152" spans="1:48">
      <c r="A152" s="137" t="s">
        <v>86</v>
      </c>
      <c r="B152" s="800">
        <f>$F221*'Médias por UF'!FX132</f>
        <v>31958.9418658424</v>
      </c>
      <c r="C152" s="800">
        <f>$F221*'Médias por UF'!FY132</f>
        <v>68776.204319878074</v>
      </c>
      <c r="D152" s="800">
        <f>$F221*'Médias por UF'!FZ132</f>
        <v>103786.81087984357</v>
      </c>
      <c r="E152" s="800">
        <f>$F221*'Médias por UF'!GA132</f>
        <v>134204.3302128897</v>
      </c>
      <c r="F152" s="800">
        <f>$F221*'Médias por UF'!GB132</f>
        <v>167349.86407591397</v>
      </c>
      <c r="G152" s="800">
        <f>$F221*'Médias por UF'!GC132</f>
        <v>206867.29544521109</v>
      </c>
      <c r="H152" s="800">
        <f>$F221*'Médias por UF'!GD132</f>
        <v>254492.31419169932</v>
      </c>
      <c r="I152" s="800">
        <f>$F221*'Médias por UF'!GE132</f>
        <v>304238.53453990549</v>
      </c>
      <c r="J152" s="800">
        <f>$F221*'Médias por UF'!GF132</f>
        <v>353119.70771894912</v>
      </c>
      <c r="K152" s="800">
        <f>$F221*'Médias por UF'!GG132</f>
        <v>404882.1327428525</v>
      </c>
      <c r="L152" s="800">
        <f>$F221*'Médias por UF'!GH132</f>
        <v>450039.31239454681</v>
      </c>
      <c r="M152" s="800">
        <f>$F221*'Médias por UF'!GI132</f>
        <v>489800.62</v>
      </c>
      <c r="N152" s="800">
        <f t="shared" si="53"/>
        <v>489800.62</v>
      </c>
      <c r="P152" s="138" t="s">
        <v>86</v>
      </c>
      <c r="Q152" s="800">
        <f>$U221*'Médias por UF'!FX132</f>
        <v>31958.9418658424</v>
      </c>
      <c r="R152" s="800">
        <f>$U221*'Médias por UF'!FY132</f>
        <v>68776.204319878074</v>
      </c>
      <c r="S152" s="800">
        <f>$U221*'Médias por UF'!FZ132</f>
        <v>103786.81087984357</v>
      </c>
      <c r="T152" s="800">
        <f>$U221*'Médias por UF'!GA132</f>
        <v>134204.3302128897</v>
      </c>
      <c r="U152" s="800">
        <f>$U221*'Médias por UF'!GB132</f>
        <v>167349.86407591397</v>
      </c>
      <c r="V152" s="800">
        <f>$U221*'Médias por UF'!GC132</f>
        <v>206867.29544521109</v>
      </c>
      <c r="W152" s="800">
        <f>$U221*'Médias por UF'!GD132</f>
        <v>254492.31419169932</v>
      </c>
      <c r="X152" s="800">
        <f>$U221*'Médias por UF'!GE132</f>
        <v>304238.53453990549</v>
      </c>
      <c r="Y152" s="800">
        <f>$U221*'Médias por UF'!GF132</f>
        <v>353119.70771894912</v>
      </c>
      <c r="Z152" s="800">
        <f>$U221*'Médias por UF'!GG132</f>
        <v>404882.1327428525</v>
      </c>
      <c r="AA152" s="800">
        <f>$U221*'Médias por UF'!GH132</f>
        <v>450039.31239454681</v>
      </c>
      <c r="AB152" s="800">
        <f>$U221*'Médias por UF'!GI132</f>
        <v>489800.62</v>
      </c>
      <c r="AC152" s="800">
        <f t="shared" si="54"/>
        <v>489800.62</v>
      </c>
      <c r="AE152" s="138" t="s">
        <v>86</v>
      </c>
      <c r="AF152" s="800">
        <f>JAN!$W$14</f>
        <v>43574.640000000007</v>
      </c>
      <c r="AG152" s="800">
        <f>FEV!$W14</f>
        <v>58170.887999999999</v>
      </c>
      <c r="AH152" s="800">
        <f>MAR!$W14</f>
        <v>62866.296000000002</v>
      </c>
      <c r="AI152" s="800">
        <f>ABR!$W14</f>
        <v>54605.856</v>
      </c>
      <c r="AJ152" s="800">
        <f>MAI!$W14</f>
        <v>59301.264000000003</v>
      </c>
      <c r="AK152" s="800">
        <f>JUN!$W14</f>
        <v>59822.975999999995</v>
      </c>
      <c r="AL152" s="800">
        <f>JUL!$W14</f>
        <v>61562.016000000003</v>
      </c>
      <c r="AM152" s="800">
        <f>AGO!$W14</f>
        <v>69213.792000000001</v>
      </c>
      <c r="AN152" s="800">
        <f>SET!$W14</f>
        <v>60692.496000000006</v>
      </c>
      <c r="AO152" s="800">
        <f>OUT!$W14*0</f>
        <v>0</v>
      </c>
      <c r="AP152" s="800">
        <f>NOV!$W14*0</f>
        <v>0</v>
      </c>
      <c r="AQ152" s="800">
        <f>DEZ!$W14*0</f>
        <v>0</v>
      </c>
      <c r="AR152" s="800">
        <f t="shared" si="55"/>
        <v>529810.22400000005</v>
      </c>
      <c r="AV152" s="809"/>
    </row>
    <row r="153" spans="1:48">
      <c r="A153" s="137" t="s">
        <v>87</v>
      </c>
      <c r="B153" s="800">
        <f>$F222*'Médias por UF'!FX133</f>
        <v>291922.82663448359</v>
      </c>
      <c r="C153" s="800">
        <f>$F222*'Médias por UF'!FY133</f>
        <v>689243.40746120678</v>
      </c>
      <c r="D153" s="800">
        <f>$F222*'Médias por UF'!FZ133</f>
        <v>1134667.1139800507</v>
      </c>
      <c r="E153" s="800">
        <f>$F222*'Médias por UF'!GA133</f>
        <v>1551186.8060064146</v>
      </c>
      <c r="F153" s="800">
        <f>$F222*'Médias por UF'!GB133</f>
        <v>2027740.3507553271</v>
      </c>
      <c r="G153" s="800">
        <f>$F222*'Médias por UF'!GC133</f>
        <v>2521590.3510440257</v>
      </c>
      <c r="H153" s="800">
        <f>$F222*'Médias por UF'!GD133</f>
        <v>3052098.7162263454</v>
      </c>
      <c r="I153" s="800">
        <f>$F222*'Médias por UF'!GE133</f>
        <v>3568640.3687229394</v>
      </c>
      <c r="J153" s="800">
        <f>$F222*'Médias por UF'!GF133</f>
        <v>4049143.2599868029</v>
      </c>
      <c r="K153" s="800">
        <f>$F222*'Médias por UF'!GG133</f>
        <v>4534026.4931034073</v>
      </c>
      <c r="L153" s="800">
        <f>$F222*'Médias por UF'!GH133</f>
        <v>4963659.1633602614</v>
      </c>
      <c r="M153" s="800">
        <f>$F222*'Médias por UF'!GI133</f>
        <v>5364068.88</v>
      </c>
      <c r="N153" s="800">
        <f t="shared" si="53"/>
        <v>5364068.88</v>
      </c>
      <c r="P153" s="138" t="s">
        <v>87</v>
      </c>
      <c r="Q153" s="800">
        <f>$U222*'Médias por UF'!FX133</f>
        <v>168822.15523257028</v>
      </c>
      <c r="R153" s="800">
        <f>$U222*'Médias por UF'!FY133</f>
        <v>398596.98149996094</v>
      </c>
      <c r="S153" s="800">
        <f>$U222*'Médias por UF'!FZ133</f>
        <v>656190.3701127182</v>
      </c>
      <c r="T153" s="800">
        <f>$U222*'Médias por UF'!GA133</f>
        <v>897068.25183021056</v>
      </c>
      <c r="U153" s="800">
        <f>$U222*'Médias por UF'!GB133</f>
        <v>1172664.3654872198</v>
      </c>
      <c r="V153" s="800">
        <f>$U222*'Médias por UF'!GC133</f>
        <v>1458263.208070142</v>
      </c>
      <c r="W153" s="800">
        <f>$U222*'Médias por UF'!GD133</f>
        <v>1765061.9829776166</v>
      </c>
      <c r="X153" s="800">
        <f>$U222*'Médias por UF'!GE133</f>
        <v>2063783.6555758889</v>
      </c>
      <c r="Y153" s="800">
        <f>$U222*'Médias por UF'!GF133</f>
        <v>2341663.7194059659</v>
      </c>
      <c r="Z153" s="800">
        <f>$U222*'Médias por UF'!GG133</f>
        <v>2622076.9827146884</v>
      </c>
      <c r="AA153" s="800">
        <f>$U222*'Médias por UF'!GH133</f>
        <v>2870538.2427925202</v>
      </c>
      <c r="AB153" s="800">
        <f>$U222*'Médias por UF'!GI133</f>
        <v>3102099.55</v>
      </c>
      <c r="AC153" s="800">
        <f t="shared" si="54"/>
        <v>3102099.55</v>
      </c>
      <c r="AE153" s="138" t="s">
        <v>87</v>
      </c>
      <c r="AF153" s="800">
        <f>JAN!$W$15</f>
        <v>143417.88</v>
      </c>
      <c r="AG153" s="800">
        <f>FEV!$W15</f>
        <v>210684.69600000003</v>
      </c>
      <c r="AH153" s="800">
        <f>MAR!$W15</f>
        <v>278768.11200000002</v>
      </c>
      <c r="AI153" s="800">
        <f>ABR!$W15</f>
        <v>237639.81600000005</v>
      </c>
      <c r="AJ153" s="800">
        <f>MAI!$W15</f>
        <v>279289.82400000002</v>
      </c>
      <c r="AK153" s="800">
        <f>JUN!$W15</f>
        <v>284419.99199999997</v>
      </c>
      <c r="AL153" s="800">
        <f>JUL!$W15</f>
        <v>260334.288</v>
      </c>
      <c r="AM153" s="800">
        <f>AGO!$W15</f>
        <v>275376.984</v>
      </c>
      <c r="AN153" s="800">
        <f>SET!$W15</f>
        <v>250421.75999999998</v>
      </c>
      <c r="AO153" s="800">
        <f>OUT!$W15*0</f>
        <v>0</v>
      </c>
      <c r="AP153" s="800">
        <f>NOV!$W15*0</f>
        <v>0</v>
      </c>
      <c r="AQ153" s="800">
        <f>DEZ!$W15*0</f>
        <v>0</v>
      </c>
      <c r="AR153" s="800">
        <f t="shared" si="55"/>
        <v>2220353.352</v>
      </c>
      <c r="AV153" s="809"/>
    </row>
    <row r="154" spans="1:48">
      <c r="A154" s="137" t="s">
        <v>88</v>
      </c>
      <c r="B154" s="800">
        <f>$F223*'Médias por UF'!FX134</f>
        <v>126567.392543425</v>
      </c>
      <c r="C154" s="800">
        <f>$F223*'Médias por UF'!FY134</f>
        <v>288542.05816539843</v>
      </c>
      <c r="D154" s="800">
        <f>$F223*'Médias por UF'!FZ134</f>
        <v>461651.64215814054</v>
      </c>
      <c r="E154" s="800">
        <f>$F223*'Médias por UF'!GA134</f>
        <v>635569.07607974904</v>
      </c>
      <c r="F154" s="800">
        <f>$F223*'Médias por UF'!GB134</f>
        <v>824218.01851039159</v>
      </c>
      <c r="G154" s="800">
        <f>$F223*'Médias por UF'!GC134</f>
        <v>992477.49004471488</v>
      </c>
      <c r="H154" s="800">
        <f>$F223*'Médias por UF'!GD134</f>
        <v>1190735.2165706875</v>
      </c>
      <c r="I154" s="800">
        <f>$F223*'Médias por UF'!GE134</f>
        <v>1385825.2133188248</v>
      </c>
      <c r="J154" s="800">
        <f>$F223*'Médias por UF'!GF134</f>
        <v>1562879.962532545</v>
      </c>
      <c r="K154" s="800">
        <f>$F223*'Médias por UF'!GG134</f>
        <v>1744567.8982965448</v>
      </c>
      <c r="L154" s="800">
        <f>$F223*'Médias por UF'!GH134</f>
        <v>1923106.7696633008</v>
      </c>
      <c r="M154" s="800">
        <f>$F223*'Médias por UF'!GI134</f>
        <v>2068501.13</v>
      </c>
      <c r="N154" s="800">
        <f t="shared" si="53"/>
        <v>2068501.13</v>
      </c>
      <c r="P154" s="138" t="s">
        <v>88</v>
      </c>
      <c r="Q154" s="800">
        <f>$U223*'Médias por UF'!FX134</f>
        <v>126567.392543425</v>
      </c>
      <c r="R154" s="800">
        <f>$U223*'Médias por UF'!FY134</f>
        <v>288542.05816539843</v>
      </c>
      <c r="S154" s="800">
        <f>$U223*'Médias por UF'!FZ134</f>
        <v>461651.64215814054</v>
      </c>
      <c r="T154" s="800">
        <f>$U223*'Médias por UF'!GA134</f>
        <v>635569.07607974904</v>
      </c>
      <c r="U154" s="800">
        <f>$U223*'Médias por UF'!GB134</f>
        <v>824218.01851039159</v>
      </c>
      <c r="V154" s="800">
        <f>$U223*'Médias por UF'!GC134</f>
        <v>992477.49004471488</v>
      </c>
      <c r="W154" s="800">
        <f>$U223*'Médias por UF'!GD134</f>
        <v>1190735.2165706875</v>
      </c>
      <c r="X154" s="800">
        <f>$U223*'Médias por UF'!GE134</f>
        <v>1385825.2133188248</v>
      </c>
      <c r="Y154" s="800">
        <f>$U223*'Médias por UF'!GF134</f>
        <v>1562879.962532545</v>
      </c>
      <c r="Z154" s="800">
        <f>$U223*'Médias por UF'!GG134</f>
        <v>1744567.8982965448</v>
      </c>
      <c r="AA154" s="800">
        <f>$U223*'Médias por UF'!GH134</f>
        <v>1923106.7696633008</v>
      </c>
      <c r="AB154" s="800">
        <f>$U223*'Médias por UF'!GI134</f>
        <v>2068501.13</v>
      </c>
      <c r="AC154" s="800">
        <f t="shared" si="54"/>
        <v>2068501.13</v>
      </c>
      <c r="AE154" s="138" t="s">
        <v>88</v>
      </c>
      <c r="AF154" s="800">
        <f>JAN!$W$16</f>
        <v>106720.008</v>
      </c>
      <c r="AG154" s="800">
        <f>FEV!$W16</f>
        <v>139820.88</v>
      </c>
      <c r="AH154" s="800">
        <f>MAR!$W16</f>
        <v>190975.46400000001</v>
      </c>
      <c r="AI154" s="800">
        <f>ABR!$W16</f>
        <v>138132.36000000002</v>
      </c>
      <c r="AJ154" s="800">
        <f>MAI!$W16</f>
        <v>180251.49600000001</v>
      </c>
      <c r="AK154" s="800">
        <f>JUN!$W16</f>
        <v>164339.28</v>
      </c>
      <c r="AL154" s="800">
        <f>JUL!$W16</f>
        <v>173034.48</v>
      </c>
      <c r="AM154" s="800">
        <f>AGO!$W16</f>
        <v>172773.62400000001</v>
      </c>
      <c r="AN154" s="800">
        <f>SET!$W16</f>
        <v>159817.77599999998</v>
      </c>
      <c r="AO154" s="800">
        <f>OUT!$W16*0</f>
        <v>0</v>
      </c>
      <c r="AP154" s="800">
        <f>NOV!$W16*0</f>
        <v>0</v>
      </c>
      <c r="AQ154" s="800">
        <f>DEZ!$W16*0</f>
        <v>0</v>
      </c>
      <c r="AR154" s="800">
        <f t="shared" si="55"/>
        <v>1425865.3680000002</v>
      </c>
      <c r="AV154" s="809"/>
    </row>
    <row r="155" spans="1:48">
      <c r="A155" s="137" t="s">
        <v>89</v>
      </c>
      <c r="B155" s="800">
        <f>$F224*'Médias por UF'!FX135</f>
        <v>213250.58174898554</v>
      </c>
      <c r="C155" s="800">
        <f>$F224*'Médias por UF'!FY135</f>
        <v>436502.40177273942</v>
      </c>
      <c r="D155" s="800">
        <f>$F224*'Médias por UF'!FZ135</f>
        <v>677740.85172772722</v>
      </c>
      <c r="E155" s="800">
        <f>$F224*'Médias por UF'!GA135</f>
        <v>896555.91038818972</v>
      </c>
      <c r="F155" s="800">
        <f>$F224*'Médias por UF'!GB135</f>
        <v>1147358.5746936644</v>
      </c>
      <c r="G155" s="800">
        <f>$F224*'Médias por UF'!GC135</f>
        <v>1401620.058114623</v>
      </c>
      <c r="H155" s="800">
        <f>$F224*'Médias por UF'!GD135</f>
        <v>1695624.0767819313</v>
      </c>
      <c r="I155" s="800">
        <f>$F224*'Médias por UF'!GE135</f>
        <v>1995543.884672181</v>
      </c>
      <c r="J155" s="800">
        <f>$F224*'Médias por UF'!GF135</f>
        <v>2273820.0405581691</v>
      </c>
      <c r="K155" s="800">
        <f>$F224*'Médias por UF'!GG135</f>
        <v>2564218.7550216923</v>
      </c>
      <c r="L155" s="800">
        <f>$F224*'Médias por UF'!GH135</f>
        <v>2834326.0256880014</v>
      </c>
      <c r="M155" s="800">
        <f>$F224*'Médias por UF'!GI135</f>
        <v>3102099.55</v>
      </c>
      <c r="N155" s="800">
        <f t="shared" si="53"/>
        <v>3102099.55</v>
      </c>
      <c r="P155" s="138" t="s">
        <v>89</v>
      </c>
      <c r="Q155" s="800">
        <f>$U224*'Médias por UF'!FX135</f>
        <v>368747.29220138321</v>
      </c>
      <c r="R155" s="800">
        <f>$U224*'Médias por UF'!FY135</f>
        <v>754788.46234783425</v>
      </c>
      <c r="S155" s="800">
        <f>$U224*'Médias por UF'!FZ135</f>
        <v>1171931.6394786222</v>
      </c>
      <c r="T155" s="800">
        <f>$U224*'Médias por UF'!GA135</f>
        <v>1550300.8786721101</v>
      </c>
      <c r="U155" s="800">
        <f>$U224*'Médias por UF'!GB135</f>
        <v>1983982.2434826251</v>
      </c>
      <c r="V155" s="800">
        <f>$U224*'Médias por UF'!GC135</f>
        <v>2423644.5072552366</v>
      </c>
      <c r="W155" s="800">
        <f>$U224*'Médias por UF'!GD135</f>
        <v>2932028.5167652625</v>
      </c>
      <c r="X155" s="800">
        <f>$U224*'Médias por UF'!GE135</f>
        <v>3450641.9532681843</v>
      </c>
      <c r="Y155" s="800">
        <f>$U224*'Médias por UF'!GF135</f>
        <v>3931829.7564881225</v>
      </c>
      <c r="Z155" s="800">
        <f>$U224*'Médias por UF'!GG135</f>
        <v>4433979.5688775377</v>
      </c>
      <c r="AA155" s="800">
        <f>$U224*'Médias por UF'!GH135</f>
        <v>4901041.9508191124</v>
      </c>
      <c r="AB155" s="800">
        <f>$U224*'Médias por UF'!GI135</f>
        <v>5364068.88</v>
      </c>
      <c r="AC155" s="800">
        <f t="shared" si="54"/>
        <v>5364068.88</v>
      </c>
      <c r="AE155" s="138" t="s">
        <v>89</v>
      </c>
      <c r="AF155" s="800">
        <f>JAN!$W$17</f>
        <v>340095.408</v>
      </c>
      <c r="AG155" s="800">
        <f>FEV!$W17</f>
        <v>389284.10399999999</v>
      </c>
      <c r="AH155" s="800">
        <f>MAR!$W17</f>
        <v>501600.10400000005</v>
      </c>
      <c r="AI155" s="800">
        <f>ABR!$W17</f>
        <v>449976.6</v>
      </c>
      <c r="AJ155" s="800">
        <f>MAI!$W17</f>
        <v>521190.288</v>
      </c>
      <c r="AK155" s="800">
        <f>JUN!$W17</f>
        <v>490061.47200000001</v>
      </c>
      <c r="AL155" s="800">
        <f>JUL!$W17</f>
        <v>482061.88800000004</v>
      </c>
      <c r="AM155" s="800">
        <f>AGO!$W17</f>
        <v>518668.68000000005</v>
      </c>
      <c r="AN155" s="800">
        <f>SET!$W17</f>
        <v>496669.82400000002</v>
      </c>
      <c r="AO155" s="800">
        <f>OUT!$W17*0</f>
        <v>0</v>
      </c>
      <c r="AP155" s="800">
        <f>NOV!$W17*0</f>
        <v>0</v>
      </c>
      <c r="AQ155" s="800">
        <f>DEZ!$W17*0</f>
        <v>0</v>
      </c>
      <c r="AR155" s="800">
        <f t="shared" si="55"/>
        <v>4189608.3680000002</v>
      </c>
      <c r="AV155" s="809"/>
    </row>
    <row r="156" spans="1:48">
      <c r="A156" s="137" t="s">
        <v>90</v>
      </c>
      <c r="B156" s="800">
        <f>$F225*'Médias por UF'!FX136</f>
        <v>57514.542956744095</v>
      </c>
      <c r="C156" s="800">
        <f>$F225*'Médias por UF'!FY136</f>
        <v>126222.01934749074</v>
      </c>
      <c r="D156" s="800">
        <f>$F225*'Médias por UF'!FZ136</f>
        <v>194864.0439209438</v>
      </c>
      <c r="E156" s="800">
        <f>$F225*'Médias por UF'!GA136</f>
        <v>255732.90832969558</v>
      </c>
      <c r="F156" s="800">
        <f>$F225*'Médias por UF'!GB136</f>
        <v>322221.4889731874</v>
      </c>
      <c r="G156" s="800">
        <f>$F225*'Médias por UF'!GC136</f>
        <v>398714.3006360674</v>
      </c>
      <c r="H156" s="800">
        <f>$F225*'Médias por UF'!GD136</f>
        <v>481772.36859929201</v>
      </c>
      <c r="I156" s="800">
        <f>$F225*'Médias por UF'!GE136</f>
        <v>572473.02629575098</v>
      </c>
      <c r="J156" s="800">
        <f>$F225*'Médias por UF'!GF136</f>
        <v>661067.03109765716</v>
      </c>
      <c r="K156" s="800">
        <f>$F225*'Médias por UF'!GG136</f>
        <v>757071.35952488414</v>
      </c>
      <c r="L156" s="800">
        <f>$F225*'Médias por UF'!GH136</f>
        <v>846877.96266841376</v>
      </c>
      <c r="M156" s="800">
        <f>$F225*'Médias por UF'!GI136</f>
        <v>928212.6</v>
      </c>
      <c r="N156" s="800">
        <f t="shared" si="53"/>
        <v>928212.6</v>
      </c>
      <c r="P156" s="138" t="s">
        <v>90</v>
      </c>
      <c r="Q156" s="800">
        <f>$U225*'Médias por UF'!FX136</f>
        <v>57514.542956744095</v>
      </c>
      <c r="R156" s="800">
        <f>$U225*'Médias por UF'!FY136</f>
        <v>126222.01934749074</v>
      </c>
      <c r="S156" s="800">
        <f>$U225*'Médias por UF'!FZ136</f>
        <v>194864.0439209438</v>
      </c>
      <c r="T156" s="800">
        <f>$U225*'Médias por UF'!GA136</f>
        <v>255732.90832969558</v>
      </c>
      <c r="U156" s="800">
        <f>$U225*'Médias por UF'!GB136</f>
        <v>322221.4889731874</v>
      </c>
      <c r="V156" s="800">
        <f>$U225*'Médias por UF'!GC136</f>
        <v>398714.3006360674</v>
      </c>
      <c r="W156" s="800">
        <f>$U225*'Médias por UF'!GD136</f>
        <v>481772.36859929201</v>
      </c>
      <c r="X156" s="800">
        <f>$U225*'Médias por UF'!GE136</f>
        <v>572473.02629575098</v>
      </c>
      <c r="Y156" s="800">
        <f>$U225*'Médias por UF'!GF136</f>
        <v>661067.03109765716</v>
      </c>
      <c r="Z156" s="800">
        <f>$U225*'Médias por UF'!GG136</f>
        <v>757071.35952488414</v>
      </c>
      <c r="AA156" s="800">
        <f>$U225*'Médias por UF'!GH136</f>
        <v>846877.96266841376</v>
      </c>
      <c r="AB156" s="800">
        <f>$U225*'Médias por UF'!GI136</f>
        <v>928212.6</v>
      </c>
      <c r="AC156" s="800">
        <f t="shared" si="54"/>
        <v>928212.6</v>
      </c>
      <c r="AE156" s="138" t="s">
        <v>90</v>
      </c>
      <c r="AF156" s="800">
        <f>JAN!$W$18</f>
        <v>58368.168000000005</v>
      </c>
      <c r="AG156" s="800">
        <f>FEV!$W18</f>
        <v>72208.584000000003</v>
      </c>
      <c r="AH156" s="800">
        <f>MAR!$W18</f>
        <v>95746.592000000004</v>
      </c>
      <c r="AI156" s="800">
        <f>ABR!$W18</f>
        <v>88586.695999999996</v>
      </c>
      <c r="AJ156" s="800">
        <f>MAI!$W18</f>
        <v>104081.54400000002</v>
      </c>
      <c r="AK156" s="800">
        <f>JUN!$W18</f>
        <v>102750.96</v>
      </c>
      <c r="AL156" s="800">
        <f>JUL!$W18</f>
        <v>84604.288</v>
      </c>
      <c r="AM156" s="800">
        <f>AGO!$W18</f>
        <v>110168.18399999999</v>
      </c>
      <c r="AN156" s="800">
        <f>SET!$W18</f>
        <v>87734.568000000014</v>
      </c>
      <c r="AO156" s="800">
        <f>OUT!$W18*0</f>
        <v>0</v>
      </c>
      <c r="AP156" s="800">
        <f>NOV!$W18*0</f>
        <v>0</v>
      </c>
      <c r="AQ156" s="800">
        <f>DEZ!$W18*0</f>
        <v>0</v>
      </c>
      <c r="AR156" s="800">
        <f t="shared" si="55"/>
        <v>804249.58400000003</v>
      </c>
      <c r="AV156" s="809"/>
    </row>
    <row r="157" spans="1:48">
      <c r="A157" s="137" t="s">
        <v>91</v>
      </c>
      <c r="B157" s="800">
        <f>$F226*'Médias por UF'!FX137</f>
        <v>59241.221082721509</v>
      </c>
      <c r="C157" s="800">
        <f>$F226*'Médias por UF'!FY137</f>
        <v>126182.48826087402</v>
      </c>
      <c r="D157" s="800">
        <f>$F226*'Médias por UF'!FZ137</f>
        <v>194773.18059248652</v>
      </c>
      <c r="E157" s="800">
        <f>$F226*'Médias por UF'!GA137</f>
        <v>254523.94099837411</v>
      </c>
      <c r="F157" s="800">
        <f>$F226*'Médias por UF'!GB137</f>
        <v>318617.86532275809</v>
      </c>
      <c r="G157" s="800">
        <f>$F226*'Médias por UF'!GC137</f>
        <v>380944.61167891446</v>
      </c>
      <c r="H157" s="800">
        <f>$F226*'Médias por UF'!GD137</f>
        <v>458053.33854118822</v>
      </c>
      <c r="I157" s="800">
        <f>$F226*'Médias por UF'!GE137</f>
        <v>538205.48114433012</v>
      </c>
      <c r="J157" s="800">
        <f>$F226*'Médias por UF'!GF137</f>
        <v>627937.10588623374</v>
      </c>
      <c r="K157" s="800">
        <f>$F226*'Médias por UF'!GG137</f>
        <v>718256.89931885817</v>
      </c>
      <c r="L157" s="800">
        <f>$F226*'Médias por UF'!GH137</f>
        <v>798126.35422152816</v>
      </c>
      <c r="M157" s="800">
        <f>$F226*'Médias por UF'!GI137</f>
        <v>878041.3</v>
      </c>
      <c r="N157" s="800">
        <f t="shared" si="53"/>
        <v>878041.3</v>
      </c>
      <c r="P157" s="138" t="s">
        <v>91</v>
      </c>
      <c r="Q157" s="800">
        <f>$U226*'Médias por UF'!FX137</f>
        <v>59241.221082721509</v>
      </c>
      <c r="R157" s="800">
        <f>$U226*'Médias por UF'!FY137</f>
        <v>126182.48826087402</v>
      </c>
      <c r="S157" s="800">
        <f>$U226*'Médias por UF'!FZ137</f>
        <v>194773.18059248652</v>
      </c>
      <c r="T157" s="800">
        <f>$U226*'Médias por UF'!GA137</f>
        <v>254523.94099837411</v>
      </c>
      <c r="U157" s="800">
        <f>$U226*'Médias por UF'!GB137</f>
        <v>318617.86532275809</v>
      </c>
      <c r="V157" s="800">
        <f>$U226*'Médias por UF'!GC137</f>
        <v>380944.61167891446</v>
      </c>
      <c r="W157" s="800">
        <f>$U226*'Médias por UF'!GD137</f>
        <v>458053.33854118822</v>
      </c>
      <c r="X157" s="800">
        <f>$U226*'Médias por UF'!GE137</f>
        <v>538205.48114433012</v>
      </c>
      <c r="Y157" s="800">
        <f>$U226*'Médias por UF'!GF137</f>
        <v>627937.10588623374</v>
      </c>
      <c r="Z157" s="800">
        <f>$U226*'Médias por UF'!GG137</f>
        <v>718256.89931885817</v>
      </c>
      <c r="AA157" s="800">
        <f>$U226*'Médias por UF'!GH137</f>
        <v>798126.35422152816</v>
      </c>
      <c r="AB157" s="800">
        <f>$U226*'Médias por UF'!GI137</f>
        <v>878041.3</v>
      </c>
      <c r="AC157" s="800">
        <f t="shared" si="54"/>
        <v>878041.3</v>
      </c>
      <c r="AE157" s="138" t="s">
        <v>91</v>
      </c>
      <c r="AF157" s="800">
        <f>JAN!$W$19</f>
        <v>71673.888000000006</v>
      </c>
      <c r="AG157" s="800">
        <f>FEV!$W19</f>
        <v>77300.327999999994</v>
      </c>
      <c r="AH157" s="800">
        <f>MAR!$W19</f>
        <v>103994.592</v>
      </c>
      <c r="AI157" s="800">
        <f>ABR!$W19</f>
        <v>81734.880000000019</v>
      </c>
      <c r="AJ157" s="800">
        <f>MAI!$W19</f>
        <v>99733.944000000003</v>
      </c>
      <c r="AK157" s="800">
        <f>JUN!$W19</f>
        <v>89038.848000000013</v>
      </c>
      <c r="AL157" s="800">
        <f>JUL!$W19</f>
        <v>80865.36</v>
      </c>
      <c r="AM157" s="800">
        <f>AGO!$W19</f>
        <v>96951.48</v>
      </c>
      <c r="AN157" s="800">
        <f>SET!$W19</f>
        <v>97386.239999999991</v>
      </c>
      <c r="AO157" s="800">
        <f>OUT!$W19*0</f>
        <v>0</v>
      </c>
      <c r="AP157" s="800">
        <f>NOV!$W19*0</f>
        <v>0</v>
      </c>
      <c r="AQ157" s="800">
        <f>DEZ!$W19*0</f>
        <v>0</v>
      </c>
      <c r="AR157" s="800">
        <f t="shared" si="55"/>
        <v>798679.56</v>
      </c>
      <c r="AV157" s="809"/>
    </row>
    <row r="158" spans="1:48">
      <c r="A158" s="137" t="s">
        <v>92</v>
      </c>
      <c r="B158" s="800">
        <f>$F227*'Médias por UF'!FX138</f>
        <v>118861.29978357063</v>
      </c>
      <c r="C158" s="800">
        <f>$F227*'Médias por UF'!FY138</f>
        <v>263246.2391983156</v>
      </c>
      <c r="D158" s="800">
        <f>$F227*'Médias por UF'!FZ138</f>
        <v>418530.40187277965</v>
      </c>
      <c r="E158" s="800">
        <f>$F227*'Médias por UF'!GA138</f>
        <v>561778.85683921748</v>
      </c>
      <c r="F158" s="800">
        <f>$F227*'Médias por UF'!GB138</f>
        <v>723559.89739786985</v>
      </c>
      <c r="G158" s="800">
        <f>$F227*'Médias por UF'!GC138</f>
        <v>875728.95889480761</v>
      </c>
      <c r="H158" s="800">
        <f>$F227*'Médias por UF'!GD138</f>
        <v>1056957.1424695801</v>
      </c>
      <c r="I158" s="800">
        <f>$F227*'Médias por UF'!GE138</f>
        <v>1233482.4623946287</v>
      </c>
      <c r="J158" s="800">
        <f>$F227*'Médias por UF'!GF138</f>
        <v>1404485.2473699478</v>
      </c>
      <c r="K158" s="800">
        <f>$F227*'Médias por UF'!GG138</f>
        <v>1580809.3739131184</v>
      </c>
      <c r="L158" s="800">
        <f>$F227*'Médias por UF'!GH138</f>
        <v>1741215.4890366583</v>
      </c>
      <c r="M158" s="800">
        <f>$F227*'Médias por UF'!GI138</f>
        <v>1890684.29</v>
      </c>
      <c r="N158" s="800">
        <f t="shared" si="53"/>
        <v>1890684.29</v>
      </c>
      <c r="P158" s="138" t="s">
        <v>92</v>
      </c>
      <c r="Q158" s="800">
        <f>$U227*'Médias por UF'!FX138</f>
        <v>404496.85425785603</v>
      </c>
      <c r="R158" s="800">
        <f>$U227*'Médias por UF'!FY138</f>
        <v>895853.19902120123</v>
      </c>
      <c r="S158" s="800">
        <f>$U227*'Médias por UF'!FZ138</f>
        <v>1424300.6872470363</v>
      </c>
      <c r="T158" s="800">
        <f>$U227*'Médias por UF'!GA138</f>
        <v>1911789.4621193381</v>
      </c>
      <c r="U158" s="800">
        <f>$U227*'Médias por UF'!GB138</f>
        <v>2462346.4735578317</v>
      </c>
      <c r="V158" s="800">
        <f>$U227*'Médias por UF'!GC138</f>
        <v>2980192.961884636</v>
      </c>
      <c r="W158" s="800">
        <f>$U227*'Médias por UF'!GD138</f>
        <v>3596930.5399890384</v>
      </c>
      <c r="X158" s="800">
        <f>$U227*'Médias por UF'!GE138</f>
        <v>4197663.8041932844</v>
      </c>
      <c r="Y158" s="800">
        <f>$U227*'Médias por UF'!GF138</f>
        <v>4779603.3313379306</v>
      </c>
      <c r="Z158" s="800">
        <f>$U227*'Médias por UF'!GG138</f>
        <v>5379651.9144036109</v>
      </c>
      <c r="AA158" s="800">
        <f>$U227*'Médias por UF'!GH138</f>
        <v>5925529.9174991464</v>
      </c>
      <c r="AB158" s="800">
        <f>$U227*'Médias por UF'!GI138</f>
        <v>6434187.1500000004</v>
      </c>
      <c r="AC158" s="800">
        <f t="shared" si="54"/>
        <v>6434187.1500000004</v>
      </c>
      <c r="AE158" s="138" t="s">
        <v>92</v>
      </c>
      <c r="AF158" s="800">
        <f>JAN!$W$20</f>
        <v>414622.89600000001</v>
      </c>
      <c r="AG158" s="800">
        <f>FEV!$W20</f>
        <v>499191.43200000003</v>
      </c>
      <c r="AH158" s="800">
        <f>MAR!$W20</f>
        <v>622489.36800000002</v>
      </c>
      <c r="AI158" s="800">
        <f>ABR!$W20</f>
        <v>535624.31999999995</v>
      </c>
      <c r="AJ158" s="800">
        <f>MAI!$W20</f>
        <v>579795.93599999999</v>
      </c>
      <c r="AK158" s="800">
        <f>JUN!$W20</f>
        <v>547188.93599999999</v>
      </c>
      <c r="AL158" s="800">
        <f>JUL!$W20</f>
        <v>585708.6719999999</v>
      </c>
      <c r="AM158" s="800">
        <f>AGO!$W20</f>
        <v>626663.0639999999</v>
      </c>
      <c r="AN158" s="800">
        <f>SET!$W20</f>
        <v>551101.77600000007</v>
      </c>
      <c r="AO158" s="800">
        <f>OUT!$W20*0</f>
        <v>0</v>
      </c>
      <c r="AP158" s="800">
        <f>NOV!$W20*0</f>
        <v>0</v>
      </c>
      <c r="AQ158" s="800">
        <f>DEZ!$W20*0</f>
        <v>0</v>
      </c>
      <c r="AR158" s="800">
        <f t="shared" si="55"/>
        <v>4962386.3999999985</v>
      </c>
      <c r="AV158" s="809"/>
    </row>
    <row r="159" spans="1:48">
      <c r="A159" s="137" t="s">
        <v>93</v>
      </c>
      <c r="B159" s="800">
        <f>$F228*'Médias por UF'!FX139</f>
        <v>36350.300440269879</v>
      </c>
      <c r="C159" s="800">
        <f>$F228*'Médias por UF'!FY139</f>
        <v>78214.042762187179</v>
      </c>
      <c r="D159" s="800">
        <f>$F228*'Médias por UF'!FZ139</f>
        <v>119861.87826524104</v>
      </c>
      <c r="E159" s="800">
        <f>$F228*'Médias por UF'!GA139</f>
        <v>153341.55605354649</v>
      </c>
      <c r="F159" s="800">
        <f>$F228*'Médias por UF'!GB139</f>
        <v>192488.39487887279</v>
      </c>
      <c r="G159" s="800">
        <f>$F228*'Médias por UF'!GC139</f>
        <v>229133.11714231869</v>
      </c>
      <c r="H159" s="800">
        <f>$F228*'Médias por UF'!GD139</f>
        <v>274639.5726206706</v>
      </c>
      <c r="I159" s="800">
        <f>$F228*'Médias por UF'!GE139</f>
        <v>322886.40356319211</v>
      </c>
      <c r="J159" s="800">
        <f>$F228*'Médias por UF'!GF139</f>
        <v>370670.66513381014</v>
      </c>
      <c r="K159" s="800">
        <f>$F228*'Médias por UF'!GG139</f>
        <v>423727.40296529321</v>
      </c>
      <c r="L159" s="800">
        <f>$F228*'Médias por UF'!GH139</f>
        <v>473217.42382021231</v>
      </c>
      <c r="M159" s="800">
        <f>$F228*'Médias por UF'!GI139</f>
        <v>521167.17000000004</v>
      </c>
      <c r="N159" s="800">
        <f t="shared" si="53"/>
        <v>521167.17000000004</v>
      </c>
      <c r="P159" s="138" t="s">
        <v>93</v>
      </c>
      <c r="Q159" s="800">
        <f>$U228*'Médias por UF'!FX139</f>
        <v>131871.20358943244</v>
      </c>
      <c r="R159" s="800">
        <f>$U228*'Médias por UF'!FY139</f>
        <v>283744.00848744076</v>
      </c>
      <c r="S159" s="800">
        <f>$U228*'Médias por UF'!FZ139</f>
        <v>434833.54910092225</v>
      </c>
      <c r="T159" s="800">
        <f>$U228*'Médias por UF'!GA139</f>
        <v>556290.74071299378</v>
      </c>
      <c r="U159" s="800">
        <f>$U228*'Médias por UF'!GB139</f>
        <v>698307.19422484189</v>
      </c>
      <c r="V159" s="800">
        <f>$U228*'Médias por UF'!GC139</f>
        <v>831246.49793215422</v>
      </c>
      <c r="W159" s="800">
        <f>$U228*'Médias por UF'!GD139</f>
        <v>996334.29589629755</v>
      </c>
      <c r="X159" s="800">
        <f>$U228*'Médias por UF'!GE139</f>
        <v>1171363.5965817403</v>
      </c>
      <c r="Y159" s="800">
        <f>$U228*'Médias por UF'!GF139</f>
        <v>1344714.7933979526</v>
      </c>
      <c r="Z159" s="800">
        <f>$U228*'Médias por UF'!GG139</f>
        <v>1537193.4192036295</v>
      </c>
      <c r="AA159" s="800">
        <f>$U228*'Médias por UF'!GH139</f>
        <v>1716732.7500140639</v>
      </c>
      <c r="AB159" s="800">
        <f>$U228*'Médias por UF'!GI139</f>
        <v>1890684.29</v>
      </c>
      <c r="AC159" s="800">
        <f t="shared" si="54"/>
        <v>1890684.29</v>
      </c>
      <c r="AE159" s="138" t="s">
        <v>93</v>
      </c>
      <c r="AF159" s="800">
        <f>JAN!$W$21</f>
        <v>113825.01600000002</v>
      </c>
      <c r="AG159" s="800">
        <f>FEV!$W21</f>
        <v>138253.68000000002</v>
      </c>
      <c r="AH159" s="800">
        <f>MAR!$W21</f>
        <v>174425.71200000003</v>
      </c>
      <c r="AI159" s="800">
        <f>ABR!$W21</f>
        <v>152079.04800000001</v>
      </c>
      <c r="AJ159" s="800">
        <f>MAI!$W21</f>
        <v>170078.11199999999</v>
      </c>
      <c r="AK159" s="800">
        <f>JUN!$W21</f>
        <v>132080.08799999999</v>
      </c>
      <c r="AL159" s="800">
        <f>JUL!$W21</f>
        <v>152252.95199999999</v>
      </c>
      <c r="AM159" s="800">
        <f>AGO!$W21</f>
        <v>171121.53600000002</v>
      </c>
      <c r="AN159" s="800">
        <f>SET!$W21</f>
        <v>171208.48800000001</v>
      </c>
      <c r="AO159" s="800">
        <f>OUT!$W21*0</f>
        <v>0</v>
      </c>
      <c r="AP159" s="800">
        <f>NOV!$W21*0</f>
        <v>0</v>
      </c>
      <c r="AQ159" s="800">
        <f>DEZ!$W21*0</f>
        <v>0</v>
      </c>
      <c r="AR159" s="800">
        <f t="shared" si="55"/>
        <v>1375324.6320000002</v>
      </c>
      <c r="AV159" s="809"/>
    </row>
    <row r="160" spans="1:48">
      <c r="A160" s="137" t="s">
        <v>94</v>
      </c>
      <c r="B160" s="800">
        <f>$F229*'Médias por UF'!FX140</f>
        <v>456190.3638661828</v>
      </c>
      <c r="C160" s="800">
        <f>$F229*'Médias por UF'!FY140</f>
        <v>901457.52066639904</v>
      </c>
      <c r="D160" s="800">
        <f>$F229*'Médias por UF'!FZ140</f>
        <v>1373783.4247814559</v>
      </c>
      <c r="E160" s="800">
        <f>$F229*'Médias por UF'!GA140</f>
        <v>1743525.2526369914</v>
      </c>
      <c r="F160" s="800">
        <f>$F229*'Médias por UF'!GB140</f>
        <v>2204296.4525330984</v>
      </c>
      <c r="G160" s="800">
        <f>$F229*'Médias por UF'!GC140</f>
        <v>2725851.9927402032</v>
      </c>
      <c r="H160" s="800">
        <f>$F229*'Médias por UF'!GD140</f>
        <v>3348946.7341314573</v>
      </c>
      <c r="I160" s="800">
        <f>$F229*'Médias por UF'!GE140</f>
        <v>4004594.003813636</v>
      </c>
      <c r="J160" s="800">
        <f>$F229*'Médias por UF'!GF140</f>
        <v>4605512.2183589619</v>
      </c>
      <c r="K160" s="800">
        <f>$F229*'Médias por UF'!GG140</f>
        <v>5299275.6263191616</v>
      </c>
      <c r="L160" s="800">
        <f>$F229*'Médias por UF'!GH140</f>
        <v>5899099.6604015008</v>
      </c>
      <c r="M160" s="800">
        <f>$F229*'Médias por UF'!GI140</f>
        <v>6434187.1500000004</v>
      </c>
      <c r="N160" s="800">
        <f t="shared" si="53"/>
        <v>6434187.1500000004</v>
      </c>
      <c r="P160" s="138" t="s">
        <v>94</v>
      </c>
      <c r="Q160" s="800">
        <f>$U229*'Médias por UF'!FX140</f>
        <v>36951.278440417882</v>
      </c>
      <c r="R160" s="800">
        <f>$U229*'Médias por UF'!FY140</f>
        <v>73017.780485437659</v>
      </c>
      <c r="S160" s="800">
        <f>$U229*'Médias por UF'!FZ140</f>
        <v>111276.03269765928</v>
      </c>
      <c r="T160" s="800">
        <f>$U229*'Médias por UF'!GA140</f>
        <v>141225.00644706236</v>
      </c>
      <c r="U160" s="800">
        <f>$U229*'Médias por UF'!GB140</f>
        <v>178547.33118972369</v>
      </c>
      <c r="V160" s="800">
        <f>$U229*'Médias por UF'!GC140</f>
        <v>220793.16870589816</v>
      </c>
      <c r="W160" s="800">
        <f>$U229*'Médias por UF'!GD140</f>
        <v>271263.65012681269</v>
      </c>
      <c r="X160" s="800">
        <f>$U229*'Médias por UF'!GE140</f>
        <v>324370.87627557147</v>
      </c>
      <c r="Y160" s="800">
        <f>$U229*'Médias por UF'!GF140</f>
        <v>373045.06587791158</v>
      </c>
      <c r="Z160" s="800">
        <f>$U229*'Médias por UF'!GG140</f>
        <v>429239.68744346133</v>
      </c>
      <c r="AA160" s="800">
        <f>$U229*'Médias por UF'!GH140</f>
        <v>477825.24876656896</v>
      </c>
      <c r="AB160" s="800">
        <f>$U229*'Médias por UF'!GI140</f>
        <v>521167.17000000004</v>
      </c>
      <c r="AC160" s="800">
        <f t="shared" si="54"/>
        <v>521167.17000000004</v>
      </c>
      <c r="AE160" s="138" t="s">
        <v>94</v>
      </c>
      <c r="AF160" s="800">
        <f>JAN!$W$22</f>
        <v>30712.272000000001</v>
      </c>
      <c r="AG160" s="800">
        <f>FEV!$W22</f>
        <v>40163.232000000004</v>
      </c>
      <c r="AH160" s="800">
        <f>MAR!$W22</f>
        <v>46346.216000000008</v>
      </c>
      <c r="AI160" s="800">
        <f>ABR!$W22</f>
        <v>43128.192000000003</v>
      </c>
      <c r="AJ160" s="800">
        <f>MAI!$W22</f>
        <v>46345.416000000005</v>
      </c>
      <c r="AK160" s="800">
        <f>JUN!$W22</f>
        <v>47214.936000000002</v>
      </c>
      <c r="AL160" s="800">
        <f>JUL!$W22</f>
        <v>48953.976000000002</v>
      </c>
      <c r="AM160" s="800">
        <f>AGO!$W22</f>
        <v>52953.768000000004</v>
      </c>
      <c r="AN160" s="800">
        <f>SET!$W22</f>
        <v>41823.912000000004</v>
      </c>
      <c r="AO160" s="800">
        <f>OUT!$W22*0</f>
        <v>0</v>
      </c>
      <c r="AP160" s="800">
        <f>NOV!$W22*0</f>
        <v>0</v>
      </c>
      <c r="AQ160" s="800">
        <f>DEZ!$W22*0</f>
        <v>0</v>
      </c>
      <c r="AR160" s="800">
        <f t="shared" si="55"/>
        <v>397641.92000000004</v>
      </c>
      <c r="AV160" s="809"/>
    </row>
    <row r="161" spans="1:48">
      <c r="A161" s="137" t="s">
        <v>95</v>
      </c>
      <c r="B161" s="800">
        <f>$F230*'Médias por UF'!FX141</f>
        <v>418013.46363112103</v>
      </c>
      <c r="C161" s="800">
        <f>$F230*'Médias por UF'!FY141</f>
        <v>852545.56981753116</v>
      </c>
      <c r="D161" s="800">
        <f>$F230*'Médias por UF'!FZ141</f>
        <v>1297388.1840027606</v>
      </c>
      <c r="E161" s="800">
        <f>$F230*'Médias por UF'!GA141</f>
        <v>1647961.7159559794</v>
      </c>
      <c r="F161" s="800">
        <f>$F230*'Médias por UF'!GB141</f>
        <v>2052493.238307839</v>
      </c>
      <c r="G161" s="800">
        <f>$F230*'Médias por UF'!GC141</f>
        <v>2504821.2553856727</v>
      </c>
      <c r="H161" s="800">
        <f>$F230*'Médias por UF'!GD141</f>
        <v>3017748.953894143</v>
      </c>
      <c r="I161" s="800">
        <f>$F230*'Médias por UF'!GE141</f>
        <v>3561084.3500864701</v>
      </c>
      <c r="J161" s="800">
        <f>$F230*'Médias por UF'!GF141</f>
        <v>4107494.8573484789</v>
      </c>
      <c r="K161" s="800">
        <f>$F230*'Médias por UF'!GG141</f>
        <v>4678773.4469909966</v>
      </c>
      <c r="L161" s="800">
        <f>$F230*'Médias por UF'!GH141</f>
        <v>5205060.9023182401</v>
      </c>
      <c r="M161" s="800">
        <f>$F230*'Médias por UF'!GI141</f>
        <v>5685356.5199999996</v>
      </c>
      <c r="N161" s="800">
        <f t="shared" si="53"/>
        <v>5685356.5199999996</v>
      </c>
      <c r="P161" s="138" t="s">
        <v>95</v>
      </c>
      <c r="Q161" s="800">
        <f>$U230*'Médias por UF'!FX141</f>
        <v>418013.46363112103</v>
      </c>
      <c r="R161" s="800">
        <f>$U230*'Médias por UF'!FY141</f>
        <v>852545.56981753116</v>
      </c>
      <c r="S161" s="800">
        <f>$U230*'Médias por UF'!FZ141</f>
        <v>1297388.1840027606</v>
      </c>
      <c r="T161" s="800">
        <f>$U230*'Médias por UF'!GA141</f>
        <v>1647961.7159559794</v>
      </c>
      <c r="U161" s="800">
        <f>$U230*'Médias por UF'!GB141</f>
        <v>2052493.238307839</v>
      </c>
      <c r="V161" s="800">
        <f>$U230*'Médias por UF'!GC141</f>
        <v>2504821.2553856727</v>
      </c>
      <c r="W161" s="800">
        <f>$U230*'Médias por UF'!GD141</f>
        <v>3017748.953894143</v>
      </c>
      <c r="X161" s="800">
        <f>$U230*'Médias por UF'!GE141</f>
        <v>3561084.3500864701</v>
      </c>
      <c r="Y161" s="800">
        <f>$U230*'Médias por UF'!GF141</f>
        <v>4107494.8573484789</v>
      </c>
      <c r="Z161" s="800">
        <f>$U230*'Médias por UF'!GG141</f>
        <v>4678773.4469909966</v>
      </c>
      <c r="AA161" s="800">
        <f>$U230*'Médias por UF'!GH141</f>
        <v>5205060.9023182401</v>
      </c>
      <c r="AB161" s="800">
        <f>$U230*'Médias por UF'!GI141</f>
        <v>5685356.5199999996</v>
      </c>
      <c r="AC161" s="800">
        <f t="shared" si="54"/>
        <v>5685356.5199999996</v>
      </c>
      <c r="AE161" s="138" t="s">
        <v>95</v>
      </c>
      <c r="AF161" s="800">
        <f>JAN!$W$23</f>
        <v>365688.16800000001</v>
      </c>
      <c r="AG161" s="800">
        <f>FEV!$W23</f>
        <v>455707.87200000009</v>
      </c>
      <c r="AH161" s="800">
        <f>MAR!$W23</f>
        <v>526033.82400000002</v>
      </c>
      <c r="AI161" s="800">
        <f>ABR!$W23</f>
        <v>459515.54400000005</v>
      </c>
      <c r="AJ161" s="800">
        <f>MAI!$W23</f>
        <v>568926.93599999999</v>
      </c>
      <c r="AK161" s="800">
        <f>JUN!$W23</f>
        <v>519790.46399999998</v>
      </c>
      <c r="AL161" s="800">
        <f>JUL!$W23</f>
        <v>525077.35200000007</v>
      </c>
      <c r="AM161" s="800">
        <f>AGO!$W23</f>
        <v>585960.93599999999</v>
      </c>
      <c r="AN161" s="800">
        <f>SET!$W23</f>
        <v>519364.29600000003</v>
      </c>
      <c r="AO161" s="800">
        <f>OUT!$W23*0</f>
        <v>0</v>
      </c>
      <c r="AP161" s="800">
        <f>NOV!$W23*0</f>
        <v>0</v>
      </c>
      <c r="AQ161" s="800">
        <f>DEZ!$W23*0</f>
        <v>0</v>
      </c>
      <c r="AR161" s="800">
        <f t="shared" si="55"/>
        <v>4526065.392</v>
      </c>
      <c r="AV161" s="809"/>
    </row>
    <row r="162" spans="1:48">
      <c r="A162" s="137" t="s">
        <v>96</v>
      </c>
      <c r="B162" s="800">
        <f>$F231*'Médias por UF'!FX142</f>
        <v>59452.275327294556</v>
      </c>
      <c r="C162" s="800">
        <f>$F231*'Médias por UF'!FY142</f>
        <v>125722.66855366014</v>
      </c>
      <c r="D162" s="800">
        <f>$F231*'Médias por UF'!FZ142</f>
        <v>195573.30482102325</v>
      </c>
      <c r="E162" s="800">
        <f>$F231*'Médias por UF'!GA142</f>
        <v>261611.15332057895</v>
      </c>
      <c r="F162" s="800">
        <f>$F231*'Médias por UF'!GB142</f>
        <v>331405.49235839653</v>
      </c>
      <c r="G162" s="800">
        <f>$F231*'Médias por UF'!GC142</f>
        <v>398306.22991567472</v>
      </c>
      <c r="H162" s="800">
        <f>$F231*'Médias por UF'!GD142</f>
        <v>487990.78307178634</v>
      </c>
      <c r="I162" s="800">
        <f>$F231*'Médias por UF'!GE142</f>
        <v>575720.64764420304</v>
      </c>
      <c r="J162" s="800">
        <f>$F231*'Médias por UF'!GF142</f>
        <v>666073.19659979467</v>
      </c>
      <c r="K162" s="800">
        <f>$F231*'Médias por UF'!GG142</f>
        <v>752445.23236197769</v>
      </c>
      <c r="L162" s="800">
        <f>$F231*'Médias por UF'!GH142</f>
        <v>837427.98449921166</v>
      </c>
      <c r="M162" s="800">
        <f>$F231*'Médias por UF'!GI142</f>
        <v>918560.92999999993</v>
      </c>
      <c r="N162" s="800">
        <f t="shared" si="53"/>
        <v>918560.92999999993</v>
      </c>
      <c r="P162" s="138" t="s">
        <v>96</v>
      </c>
      <c r="Q162" s="800">
        <f>$U231*'Médias por UF'!FX142</f>
        <v>59452.275327294556</v>
      </c>
      <c r="R162" s="800">
        <f>$U231*'Médias por UF'!FY142</f>
        <v>125722.66855366014</v>
      </c>
      <c r="S162" s="800">
        <f>$U231*'Médias por UF'!FZ142</f>
        <v>195573.30482102325</v>
      </c>
      <c r="T162" s="800">
        <f>$U231*'Médias por UF'!GA142</f>
        <v>261611.15332057895</v>
      </c>
      <c r="U162" s="800">
        <f>$U231*'Médias por UF'!GB142</f>
        <v>331405.49235839653</v>
      </c>
      <c r="V162" s="800">
        <f>$U231*'Médias por UF'!GC142</f>
        <v>398306.22991567472</v>
      </c>
      <c r="W162" s="800">
        <f>$U231*'Médias por UF'!GD142</f>
        <v>487990.78307178634</v>
      </c>
      <c r="X162" s="800">
        <f>$U231*'Médias por UF'!GE142</f>
        <v>575720.64764420304</v>
      </c>
      <c r="Y162" s="800">
        <f>$U231*'Médias por UF'!GF142</f>
        <v>666073.19659979467</v>
      </c>
      <c r="Z162" s="800">
        <f>$U231*'Médias por UF'!GG142</f>
        <v>752445.23236197769</v>
      </c>
      <c r="AA162" s="800">
        <f>$U231*'Médias por UF'!GH142</f>
        <v>837427.98449921166</v>
      </c>
      <c r="AB162" s="800">
        <f>$U231*'Médias por UF'!GI142</f>
        <v>918560.92999999993</v>
      </c>
      <c r="AC162" s="800">
        <f t="shared" si="54"/>
        <v>918560.92999999993</v>
      </c>
      <c r="AE162" s="138" t="s">
        <v>96</v>
      </c>
      <c r="AF162" s="800">
        <f>JAN!$W$24</f>
        <v>53599.896000000008</v>
      </c>
      <c r="AG162" s="800">
        <f>FEV!$W24</f>
        <v>69561.600000000006</v>
      </c>
      <c r="AH162" s="800">
        <f>MAR!$W24</f>
        <v>74865.672000000006</v>
      </c>
      <c r="AI162" s="800">
        <f>ABR!$W24</f>
        <v>71822.352000000014</v>
      </c>
      <c r="AJ162" s="800">
        <f>MAI!$W24</f>
        <v>82865.256000000008</v>
      </c>
      <c r="AK162" s="800">
        <f>JUN!$W24</f>
        <v>76865.567999999999</v>
      </c>
      <c r="AL162" s="800">
        <f>JUL!$W24</f>
        <v>75561.288000000015</v>
      </c>
      <c r="AM162" s="800">
        <f>AGO!$W24</f>
        <v>83213.064000000013</v>
      </c>
      <c r="AN162" s="800">
        <f>SET!$W24</f>
        <v>79126.319999999992</v>
      </c>
      <c r="AO162" s="800">
        <f>OUT!$W24*0</f>
        <v>0</v>
      </c>
      <c r="AP162" s="800">
        <f>NOV!$W24*0</f>
        <v>0</v>
      </c>
      <c r="AQ162" s="800">
        <f>DEZ!$W24*0</f>
        <v>0</v>
      </c>
      <c r="AR162" s="800">
        <f t="shared" si="55"/>
        <v>667481.01599999995</v>
      </c>
      <c r="AV162" s="809"/>
    </row>
    <row r="163" spans="1:48">
      <c r="A163" s="137" t="s">
        <v>97</v>
      </c>
      <c r="B163" s="800">
        <f>$F232*'Médias por UF'!FX143</f>
        <v>65832.629286414041</v>
      </c>
      <c r="C163" s="800">
        <f>$F232*'Médias por UF'!FY143</f>
        <v>137759.18606022853</v>
      </c>
      <c r="D163" s="800">
        <f>$F232*'Médias por UF'!FZ143</f>
        <v>213561.74724524649</v>
      </c>
      <c r="E163" s="800">
        <f>$F232*'Médias por UF'!GA143</f>
        <v>279924.6434789949</v>
      </c>
      <c r="F163" s="800">
        <f>$F232*'Médias por UF'!GB143</f>
        <v>355914.11775015714</v>
      </c>
      <c r="G163" s="800">
        <f>$F232*'Médias por UF'!GC143</f>
        <v>431736.77226357139</v>
      </c>
      <c r="H163" s="800">
        <f>$F232*'Médias por UF'!GD143</f>
        <v>516594.8096607101</v>
      </c>
      <c r="I163" s="800">
        <f>$F232*'Médias por UF'!GE143</f>
        <v>605571.55071388104</v>
      </c>
      <c r="J163" s="800">
        <f>$F232*'Médias por UF'!GF143</f>
        <v>692348.40272806643</v>
      </c>
      <c r="K163" s="800">
        <f>$F232*'Médias por UF'!GG143</f>
        <v>786202.28351534787</v>
      </c>
      <c r="L163" s="800">
        <f>$F232*'Médias por UF'!GH143</f>
        <v>871202.23745605489</v>
      </c>
      <c r="M163" s="800">
        <f>$F232*'Médias por UF'!GI143</f>
        <v>955515.52</v>
      </c>
      <c r="N163" s="800">
        <f t="shared" si="53"/>
        <v>955515.52</v>
      </c>
      <c r="P163" s="138" t="s">
        <v>97</v>
      </c>
      <c r="Q163" s="800">
        <f>$U232*'Médias por UF'!FX143</f>
        <v>605865.0792969201</v>
      </c>
      <c r="R163" s="800">
        <f>$U232*'Médias por UF'!FY143</f>
        <v>1267813.2575130793</v>
      </c>
      <c r="S163" s="800">
        <f>$U232*'Médias por UF'!FZ143</f>
        <v>1965432.7395401835</v>
      </c>
      <c r="T163" s="800">
        <f>$U232*'Médias por UF'!GA143</f>
        <v>2576177.925094102</v>
      </c>
      <c r="U163" s="800">
        <f>$U232*'Médias por UF'!GB143</f>
        <v>3275517.5892404066</v>
      </c>
      <c r="V163" s="800">
        <f>$U232*'Médias por UF'!GC143</f>
        <v>3973321.9924249081</v>
      </c>
      <c r="W163" s="800">
        <f>$U232*'Médias por UF'!GD143</f>
        <v>4754280.0388204297</v>
      </c>
      <c r="X163" s="800">
        <f>$U232*'Médias por UF'!GE143</f>
        <v>5573142.9774283813</v>
      </c>
      <c r="Y163" s="800">
        <f>$U232*'Médias por UF'!GF143</f>
        <v>6371760.0901974365</v>
      </c>
      <c r="Z163" s="800">
        <f>$U232*'Médias por UF'!GG143</f>
        <v>7235507.8934048777</v>
      </c>
      <c r="AA163" s="800">
        <f>$U232*'Médias por UF'!GH143</f>
        <v>8017772.0136858644</v>
      </c>
      <c r="AB163" s="800">
        <f>$U232*'Médias por UF'!GI143</f>
        <v>8793716.6199999992</v>
      </c>
      <c r="AC163" s="800">
        <f t="shared" si="54"/>
        <v>8793716.6199999992</v>
      </c>
      <c r="AE163" s="138" t="s">
        <v>97</v>
      </c>
      <c r="AF163" s="800">
        <f>JAN!$W$25</f>
        <v>556017.16799999995</v>
      </c>
      <c r="AG163" s="800">
        <f>FEV!$W25</f>
        <v>672825.98400000005</v>
      </c>
      <c r="AH163" s="800">
        <f>MAR!$W25</f>
        <v>769786.0560000001</v>
      </c>
      <c r="AI163" s="800">
        <f>ABR!$W25</f>
        <v>668660.88000000012</v>
      </c>
      <c r="AJ163" s="800">
        <f>MAI!$W25</f>
        <v>764742.84</v>
      </c>
      <c r="AK163" s="800">
        <f>JUN!$W25</f>
        <v>720484.27200000011</v>
      </c>
      <c r="AL163" s="800">
        <f>JUL!$W25</f>
        <v>721266.84000000008</v>
      </c>
      <c r="AM163" s="800">
        <f>AGO!$W25</f>
        <v>817348.8</v>
      </c>
      <c r="AN163" s="800">
        <f>SET!$W25</f>
        <v>736918.20000000007</v>
      </c>
      <c r="AO163" s="800">
        <f>OUT!$W25*0</f>
        <v>0</v>
      </c>
      <c r="AP163" s="800">
        <f>NOV!$W25*0</f>
        <v>0</v>
      </c>
      <c r="AQ163" s="800">
        <f>DEZ!$W25*0</f>
        <v>0</v>
      </c>
      <c r="AR163" s="800">
        <f t="shared" si="55"/>
        <v>6428051.04</v>
      </c>
      <c r="AV163" s="809"/>
    </row>
    <row r="164" spans="1:48">
      <c r="A164" s="137" t="s">
        <v>98</v>
      </c>
      <c r="B164" s="800">
        <f>$F233*'Médias por UF'!FX144</f>
        <v>7040.3249554350077</v>
      </c>
      <c r="C164" s="800">
        <f>$F233*'Médias por UF'!FY144</f>
        <v>15680.93816910438</v>
      </c>
      <c r="D164" s="800">
        <f>$F233*'Médias por UF'!FZ144</f>
        <v>24708.414529393147</v>
      </c>
      <c r="E164" s="800">
        <f>$F233*'Médias por UF'!GA144</f>
        <v>33807.336219319994</v>
      </c>
      <c r="F164" s="800">
        <f>$F233*'Médias por UF'!GB144</f>
        <v>43601.254335409765</v>
      </c>
      <c r="G164" s="800">
        <f>$F233*'Médias por UF'!GC144</f>
        <v>54086.168079343915</v>
      </c>
      <c r="H164" s="800">
        <f>$F233*'Médias por UF'!GD144</f>
        <v>66833.55541692565</v>
      </c>
      <c r="I164" s="800">
        <f>$F233*'Médias por UF'!GE144</f>
        <v>78564.6011174624</v>
      </c>
      <c r="J164" s="800">
        <f>$F233*'Médias por UF'!GF144</f>
        <v>89921.548621106806</v>
      </c>
      <c r="K164" s="800">
        <f>$F233*'Médias por UF'!GG144</f>
        <v>100431.54644499013</v>
      </c>
      <c r="L164" s="800">
        <f>$F233*'Médias por UF'!GH144</f>
        <v>110347.4412357929</v>
      </c>
      <c r="M164" s="800">
        <f>$F233*'Médias por UF'!GI144</f>
        <v>119732.91</v>
      </c>
      <c r="N164" s="800">
        <f t="shared" si="53"/>
        <v>119732.91</v>
      </c>
      <c r="P164" s="138" t="s">
        <v>98</v>
      </c>
      <c r="Q164" s="800">
        <f>$U233*'Médias por UF'!FX144</f>
        <v>56184.550770222304</v>
      </c>
      <c r="R164" s="800">
        <f>$U233*'Médias por UF'!FY144</f>
        <v>125140.028658283</v>
      </c>
      <c r="S164" s="800">
        <f>$U233*'Médias por UF'!FZ144</f>
        <v>197182.82598684562</v>
      </c>
      <c r="T164" s="800">
        <f>$U233*'Médias por UF'!GA144</f>
        <v>269795.78503035108</v>
      </c>
      <c r="U164" s="800">
        <f>$U233*'Médias por UF'!GB144</f>
        <v>347955.08777788258</v>
      </c>
      <c r="V164" s="800">
        <f>$U233*'Médias por UF'!GC144</f>
        <v>431628.80629178474</v>
      </c>
      <c r="W164" s="800">
        <f>$U233*'Médias por UF'!GD144</f>
        <v>533357.95027158805</v>
      </c>
      <c r="X164" s="800">
        <f>$U233*'Médias por UF'!GE144</f>
        <v>626976.28989677655</v>
      </c>
      <c r="Y164" s="800">
        <f>$U233*'Médias por UF'!GF144</f>
        <v>717609.17938018998</v>
      </c>
      <c r="Z164" s="800">
        <f>$U233*'Médias por UF'!GG144</f>
        <v>801483.07867727347</v>
      </c>
      <c r="AA164" s="800">
        <f>$U233*'Médias por UF'!GH144</f>
        <v>880615.80306607508</v>
      </c>
      <c r="AB164" s="800">
        <f>$U233*'Médias por UF'!GI144</f>
        <v>955515.52</v>
      </c>
      <c r="AC164" s="800">
        <f t="shared" si="54"/>
        <v>955515.52</v>
      </c>
      <c r="AE164" s="138" t="s">
        <v>98</v>
      </c>
      <c r="AF164" s="800">
        <f>JAN!$W$26</f>
        <v>45495.144</v>
      </c>
      <c r="AG164" s="800">
        <f>FEV!$W26</f>
        <v>56431.847999999998</v>
      </c>
      <c r="AH164" s="800">
        <f>MAR!$W26</f>
        <v>72865.775999999998</v>
      </c>
      <c r="AI164" s="800">
        <f>ABR!$W26</f>
        <v>71561.495999999999</v>
      </c>
      <c r="AJ164" s="800">
        <f>MAI!$W26</f>
        <v>85908.576000000001</v>
      </c>
      <c r="AK164" s="800">
        <f>JUN!$W26</f>
        <v>73474.44</v>
      </c>
      <c r="AL164" s="800">
        <f>JUL!$W26</f>
        <v>75648.239999999991</v>
      </c>
      <c r="AM164" s="800">
        <f>AGO!$W26</f>
        <v>79734.984000000011</v>
      </c>
      <c r="AN164" s="800">
        <f>SET!$W26</f>
        <v>69474.648000000001</v>
      </c>
      <c r="AO164" s="800">
        <f>OUT!$W26*0</f>
        <v>0</v>
      </c>
      <c r="AP164" s="800">
        <f>NOV!$W26*0</f>
        <v>0</v>
      </c>
      <c r="AQ164" s="800">
        <f>DEZ!$W26*0</f>
        <v>0</v>
      </c>
      <c r="AR164" s="800">
        <f t="shared" si="55"/>
        <v>630595.152</v>
      </c>
      <c r="AV164" s="809"/>
    </row>
    <row r="165" spans="1:48">
      <c r="A165" s="137" t="s">
        <v>99</v>
      </c>
      <c r="B165" s="800">
        <f>$F234*'Médias por UF'!FX145</f>
        <v>561434.16114770866</v>
      </c>
      <c r="C165" s="800">
        <f>$F234*'Médias por UF'!FY145</f>
        <v>1237379.899793562</v>
      </c>
      <c r="D165" s="800">
        <f>$F234*'Médias por UF'!FZ145</f>
        <v>1955448.9082283536</v>
      </c>
      <c r="E165" s="800">
        <f>$F234*'Médias por UF'!GA145</f>
        <v>2594153.9324500016</v>
      </c>
      <c r="F165" s="800">
        <f>$F234*'Médias por UF'!GB145</f>
        <v>3262289.7837766819</v>
      </c>
      <c r="G165" s="800">
        <f>$F234*'Médias por UF'!GC145</f>
        <v>3830387.5862249723</v>
      </c>
      <c r="H165" s="800">
        <f>$F234*'Médias por UF'!GD145</f>
        <v>4844452.0420675986</v>
      </c>
      <c r="I165" s="800">
        <f>$F234*'Médias por UF'!GE145</f>
        <v>5628808.4433315936</v>
      </c>
      <c r="J165" s="800">
        <f>$F234*'Médias por UF'!GF145</f>
        <v>6389522.1365283271</v>
      </c>
      <c r="K165" s="800">
        <f>$F234*'Médias por UF'!GG145</f>
        <v>7096181.5251488285</v>
      </c>
      <c r="L165" s="800">
        <f>$F234*'Médias por UF'!GH145</f>
        <v>7941960.4381508864</v>
      </c>
      <c r="M165" s="800">
        <f>$F234*'Médias por UF'!GI145</f>
        <v>8793716.6199999992</v>
      </c>
      <c r="N165" s="800">
        <f t="shared" si="53"/>
        <v>8793716.6199999992</v>
      </c>
      <c r="P165" s="138" t="s">
        <v>99</v>
      </c>
      <c r="Q165" s="800">
        <f>$U234*'Médias por UF'!FX145</f>
        <v>7644.3384285021584</v>
      </c>
      <c r="R165" s="800">
        <f>$U234*'Médias por UF'!FY145</f>
        <v>16847.836083418344</v>
      </c>
      <c r="S165" s="800">
        <f>$U234*'Médias por UF'!FZ145</f>
        <v>26624.87299238257</v>
      </c>
      <c r="T165" s="800">
        <f>$U234*'Médias por UF'!GA145</f>
        <v>35321.310970353072</v>
      </c>
      <c r="U165" s="800">
        <f>$U234*'Médias por UF'!GB145</f>
        <v>44418.471273736919</v>
      </c>
      <c r="V165" s="800">
        <f>$U234*'Médias por UF'!GC145</f>
        <v>52153.540072410469</v>
      </c>
      <c r="W165" s="800">
        <f>$U234*'Médias por UF'!GD145</f>
        <v>65960.772380699709</v>
      </c>
      <c r="X165" s="800">
        <f>$U234*'Médias por UF'!GE145</f>
        <v>76640.360825348253</v>
      </c>
      <c r="Y165" s="800">
        <f>$U234*'Médias por UF'!GF145</f>
        <v>86998.03643615183</v>
      </c>
      <c r="Z165" s="800">
        <f>$U234*'Médias por UF'!GG145</f>
        <v>96619.722991972827</v>
      </c>
      <c r="AA165" s="800">
        <f>$U234*'Médias por UF'!GH145</f>
        <v>108135.62404341849</v>
      </c>
      <c r="AB165" s="800">
        <f>$U234*'Médias por UF'!GI145</f>
        <v>119732.91</v>
      </c>
      <c r="AC165" s="800">
        <f t="shared" si="54"/>
        <v>119732.91</v>
      </c>
      <c r="AE165" s="138" t="s">
        <v>99</v>
      </c>
      <c r="AF165" s="800">
        <f>JAN!$W$27</f>
        <v>10739.088</v>
      </c>
      <c r="AG165" s="800">
        <f>FEV!$W27</f>
        <v>13303.656000000001</v>
      </c>
      <c r="AH165" s="800">
        <f>MAR!$W27</f>
        <v>12694.992000000002</v>
      </c>
      <c r="AI165" s="800">
        <f>ABR!$W27</f>
        <v>12260.232</v>
      </c>
      <c r="AJ165" s="800">
        <f>MAI!$W27</f>
        <v>17216.496000000003</v>
      </c>
      <c r="AK165" s="800">
        <f>JUN!$W27</f>
        <v>13042.800000000001</v>
      </c>
      <c r="AL165" s="800">
        <f>JUL!$W27</f>
        <v>11129.856</v>
      </c>
      <c r="AM165" s="800">
        <f>AGO!$W27</f>
        <v>11999.376</v>
      </c>
      <c r="AN165" s="800">
        <f>SET!$W27</f>
        <v>11651.568000000001</v>
      </c>
      <c r="AO165" s="800">
        <f>OUT!$W27*0</f>
        <v>0</v>
      </c>
      <c r="AP165" s="800">
        <f>NOV!$W27*0</f>
        <v>0</v>
      </c>
      <c r="AQ165" s="800">
        <f>DEZ!$W27*0</f>
        <v>0</v>
      </c>
      <c r="AR165" s="800">
        <f t="shared" si="55"/>
        <v>114038.06400000001</v>
      </c>
      <c r="AV165" s="809"/>
    </row>
    <row r="166" spans="1:48">
      <c r="A166" s="137" t="s">
        <v>100</v>
      </c>
      <c r="B166" s="800">
        <f>$F235*'Médias por UF'!FX146</f>
        <v>287008.73281483969</v>
      </c>
      <c r="C166" s="800">
        <f>$F235*'Médias por UF'!FY146</f>
        <v>688765.50539955811</v>
      </c>
      <c r="D166" s="800">
        <f>$F235*'Médias por UF'!FZ146</f>
        <v>1130086.8556612306</v>
      </c>
      <c r="E166" s="800">
        <f>$F235*'Médias por UF'!GA146</f>
        <v>1532636.8155321493</v>
      </c>
      <c r="F166" s="800">
        <f>$F235*'Médias por UF'!GB146</f>
        <v>1989286.2240691355</v>
      </c>
      <c r="G166" s="800">
        <f>$F235*'Médias por UF'!GC146</f>
        <v>2442005.5559607577</v>
      </c>
      <c r="H166" s="800">
        <f>$F235*'Médias por UF'!GD146</f>
        <v>2929937.0567525583</v>
      </c>
      <c r="I166" s="800">
        <f>$F235*'Médias por UF'!GE146</f>
        <v>3436106.9475606401</v>
      </c>
      <c r="J166" s="800">
        <f>$F235*'Médias por UF'!GF146</f>
        <v>3941323.1356234467</v>
      </c>
      <c r="K166" s="800">
        <f>$F235*'Médias por UF'!GG146</f>
        <v>4463826.6621204745</v>
      </c>
      <c r="L166" s="800">
        <f>$F235*'Médias por UF'!GH146</f>
        <v>4937833.1707249526</v>
      </c>
      <c r="M166" s="800">
        <f>$F235*'Médias por UF'!GI146</f>
        <v>5391545.71</v>
      </c>
      <c r="N166" s="800">
        <f t="shared" si="53"/>
        <v>5391545.71</v>
      </c>
      <c r="P166" s="138" t="s">
        <v>100</v>
      </c>
      <c r="Q166" s="800">
        <f>$U235*'Médias por UF'!FX146</f>
        <v>287008.73281483969</v>
      </c>
      <c r="R166" s="800">
        <f>$U235*'Médias por UF'!FY146</f>
        <v>688765.50539955811</v>
      </c>
      <c r="S166" s="800">
        <f>$U235*'Médias por UF'!FZ146</f>
        <v>1130086.8556612306</v>
      </c>
      <c r="T166" s="800">
        <f>$U235*'Médias por UF'!GA146</f>
        <v>1532636.8155321493</v>
      </c>
      <c r="U166" s="800">
        <f>$U235*'Médias por UF'!GB146</f>
        <v>1989286.2240691355</v>
      </c>
      <c r="V166" s="800">
        <f>$U235*'Médias por UF'!GC146</f>
        <v>2442005.5559607577</v>
      </c>
      <c r="W166" s="800">
        <f>$U235*'Médias por UF'!GD146</f>
        <v>2929937.0567525583</v>
      </c>
      <c r="X166" s="800">
        <f>$U235*'Médias por UF'!GE146</f>
        <v>3436106.9475606401</v>
      </c>
      <c r="Y166" s="800">
        <f>$U235*'Médias por UF'!GF146</f>
        <v>3941323.1356234467</v>
      </c>
      <c r="Z166" s="800">
        <f>$U235*'Médias por UF'!GG146</f>
        <v>4463826.6621204745</v>
      </c>
      <c r="AA166" s="800">
        <f>$U235*'Médias por UF'!GH146</f>
        <v>4937833.1707249526</v>
      </c>
      <c r="AB166" s="800">
        <f>$U235*'Médias por UF'!GI146</f>
        <v>5391545.71</v>
      </c>
      <c r="AC166" s="800">
        <f t="shared" si="54"/>
        <v>5391545.71</v>
      </c>
      <c r="AE166" s="138" t="s">
        <v>100</v>
      </c>
      <c r="AF166" s="800">
        <f>JAN!$W$28</f>
        <v>305108.40000000002</v>
      </c>
      <c r="AG166" s="800">
        <f>FEV!$W28</f>
        <v>402918.38400000002</v>
      </c>
      <c r="AH166" s="800">
        <f>MAR!$W28</f>
        <v>557275.36800000002</v>
      </c>
      <c r="AI166" s="800">
        <f>ABR!$W28</f>
        <v>440759.68800000002</v>
      </c>
      <c r="AJ166" s="800">
        <f>MAI!$W28</f>
        <v>504843.31200000003</v>
      </c>
      <c r="AK166" s="800">
        <f>JUN!$W28</f>
        <v>478236.00000000006</v>
      </c>
      <c r="AL166" s="800">
        <f>JUL!$W28</f>
        <v>484670.44799999997</v>
      </c>
      <c r="AM166" s="800">
        <f>AGO!$W28</f>
        <v>517103.54399999999</v>
      </c>
      <c r="AN166" s="800">
        <f>SET!$W28</f>
        <v>471627.64800000004</v>
      </c>
      <c r="AO166" s="800">
        <f>OUT!$W28*0</f>
        <v>0</v>
      </c>
      <c r="AP166" s="800">
        <f>NOV!$W28*0</f>
        <v>0</v>
      </c>
      <c r="AQ166" s="800">
        <f>DEZ!$W28*0</f>
        <v>0</v>
      </c>
      <c r="AR166" s="800">
        <f t="shared" si="55"/>
        <v>4162542.7920000004</v>
      </c>
      <c r="AV166" s="809"/>
    </row>
    <row r="167" spans="1:48">
      <c r="A167" s="137" t="s">
        <v>101</v>
      </c>
      <c r="B167" s="800">
        <f>$F236*'Médias por UF'!FX147</f>
        <v>43502.993556505309</v>
      </c>
      <c r="C167" s="800">
        <f>$F236*'Médias por UF'!FY147</f>
        <v>94377.369826788723</v>
      </c>
      <c r="D167" s="800">
        <f>$F236*'Médias por UF'!FZ147</f>
        <v>147468.03475252687</v>
      </c>
      <c r="E167" s="800">
        <f>$F236*'Médias por UF'!GA147</f>
        <v>192254.36100970022</v>
      </c>
      <c r="F167" s="800">
        <f>$F236*'Médias por UF'!GB147</f>
        <v>242457.96450120525</v>
      </c>
      <c r="G167" s="800">
        <f>$F236*'Médias por UF'!GC147</f>
        <v>294159.46039378527</v>
      </c>
      <c r="H167" s="800">
        <f>$F236*'Médias por UF'!GD147</f>
        <v>353243.46088822879</v>
      </c>
      <c r="I167" s="800">
        <f>$F236*'Médias por UF'!GE147</f>
        <v>415616.3862985468</v>
      </c>
      <c r="J167" s="800">
        <f>$F236*'Médias por UF'!GF147</f>
        <v>476542.04437489674</v>
      </c>
      <c r="K167" s="800">
        <f>$F236*'Médias por UF'!GG147</f>
        <v>539621.94928581174</v>
      </c>
      <c r="L167" s="800">
        <f>$F236*'Médias por UF'!GH147</f>
        <v>595406.59233558946</v>
      </c>
      <c r="M167" s="800">
        <f>$F236*'Médias por UF'!GI147</f>
        <v>648401.06000000006</v>
      </c>
      <c r="N167" s="800">
        <f t="shared" si="53"/>
        <v>648401.06000000006</v>
      </c>
      <c r="P167" s="138" t="s">
        <v>101</v>
      </c>
      <c r="Q167" s="800">
        <f>$U236*'Médias por UF'!FX147</f>
        <v>2093160.8116387669</v>
      </c>
      <c r="R167" s="800">
        <f>$U236*'Médias por UF'!FY147</f>
        <v>4540998.1216667918</v>
      </c>
      <c r="S167" s="800">
        <f>$U236*'Médias por UF'!FZ147</f>
        <v>7095472.8876862489</v>
      </c>
      <c r="T167" s="800">
        <f>$U236*'Médias por UF'!GA147</f>
        <v>9250381.6733775102</v>
      </c>
      <c r="U167" s="800">
        <f>$U236*'Médias por UF'!GB147</f>
        <v>11665944.531022636</v>
      </c>
      <c r="V167" s="800">
        <f>$U236*'Médias por UF'!GC147</f>
        <v>14153578.973118823</v>
      </c>
      <c r="W167" s="800">
        <f>$U236*'Médias por UF'!GD147</f>
        <v>16996425.046899442</v>
      </c>
      <c r="X167" s="800">
        <f>$U236*'Médias por UF'!GE147</f>
        <v>19997518.822355788</v>
      </c>
      <c r="Y167" s="800">
        <f>$U236*'Médias por UF'!GF147</f>
        <v>22928976.855078883</v>
      </c>
      <c r="Z167" s="800">
        <f>$U236*'Médias por UF'!GG147</f>
        <v>25964087.181220628</v>
      </c>
      <c r="AA167" s="800">
        <f>$U236*'Médias por UF'!GH147</f>
        <v>28648183.588779017</v>
      </c>
      <c r="AB167" s="800">
        <f>$U236*'Médias por UF'!GI147</f>
        <v>31198029.792000003</v>
      </c>
      <c r="AC167" s="800">
        <f t="shared" si="54"/>
        <v>31198029.792000003</v>
      </c>
      <c r="AE167" s="138" t="s">
        <v>101</v>
      </c>
      <c r="AF167" s="800">
        <f>JAN!$W$29</f>
        <v>1890930.432</v>
      </c>
      <c r="AG167" s="800">
        <f>FEV!$W29</f>
        <v>2280100.8480000002</v>
      </c>
      <c r="AH167" s="800">
        <f>MAR!$W29</f>
        <v>2854112.4480000003</v>
      </c>
      <c r="AI167" s="800">
        <f>ABR!$W29</f>
        <v>2434221.2400000002</v>
      </c>
      <c r="AJ167" s="800">
        <f>MAI!$W29</f>
        <v>2888980.2</v>
      </c>
      <c r="AK167" s="800">
        <f>JUN!$W29</f>
        <v>2716293.5280000004</v>
      </c>
      <c r="AL167" s="800">
        <f>JUL!$W29</f>
        <v>2650731.7200000002</v>
      </c>
      <c r="AM167" s="800">
        <f>AGO!$W29</f>
        <v>2908979.16</v>
      </c>
      <c r="AN167" s="800">
        <f>SET!$W29</f>
        <v>2603951.5440000002</v>
      </c>
      <c r="AO167" s="800">
        <f>OUT!$W29*0</f>
        <v>0</v>
      </c>
      <c r="AP167" s="800">
        <f>NOV!$W29*0</f>
        <v>0</v>
      </c>
      <c r="AQ167" s="800">
        <f>DEZ!$W29*0</f>
        <v>0</v>
      </c>
      <c r="AR167" s="800">
        <f t="shared" si="55"/>
        <v>23228301.120000001</v>
      </c>
      <c r="AV167" s="809"/>
    </row>
    <row r="168" spans="1:48">
      <c r="A168" s="137" t="s">
        <v>102</v>
      </c>
      <c r="B168" s="800">
        <f>$F237*'Médias por UF'!FX148</f>
        <v>2336675.6570441672</v>
      </c>
      <c r="C168" s="800">
        <f>$F237*'Médias por UF'!FY148</f>
        <v>4841790.49957994</v>
      </c>
      <c r="D168" s="800">
        <f>$F237*'Médias por UF'!FZ148</f>
        <v>7333349.505424181</v>
      </c>
      <c r="E168" s="800">
        <f>$F237*'Médias por UF'!GA148</f>
        <v>9699782.3429149166</v>
      </c>
      <c r="F168" s="800">
        <f>$F237*'Médias por UF'!GB148</f>
        <v>12126731.263757747</v>
      </c>
      <c r="G168" s="800">
        <f>$F237*'Médias por UF'!GC148</f>
        <v>14522048.018224206</v>
      </c>
      <c r="H168" s="800">
        <f>$F237*'Médias por UF'!GD148</f>
        <v>17258666.156568084</v>
      </c>
      <c r="I168" s="800">
        <f>$F237*'Médias por UF'!GE148</f>
        <v>20067705.070782159</v>
      </c>
      <c r="J168" s="800">
        <f>$F237*'Médias por UF'!GF148</f>
        <v>22981760.235012054</v>
      </c>
      <c r="K168" s="800">
        <f>$F237*'Médias por UF'!GG148</f>
        <v>25987449.523741927</v>
      </c>
      <c r="L168" s="800">
        <f>$F237*'Médias por UF'!GH148</f>
        <v>28683649.989956859</v>
      </c>
      <c r="M168" s="800">
        <f>$F237*'Médias por UF'!GI148</f>
        <v>31198029.792000003</v>
      </c>
      <c r="N168" s="800">
        <f t="shared" si="53"/>
        <v>31198029.792000003</v>
      </c>
      <c r="P168" s="138" t="s">
        <v>102</v>
      </c>
      <c r="Q168" s="800">
        <f>$U237*'Médias por UF'!FX148</f>
        <v>48564.059429552399</v>
      </c>
      <c r="R168" s="800">
        <f>$U237*'Médias por UF'!FY148</f>
        <v>100628.85743607416</v>
      </c>
      <c r="S168" s="800">
        <f>$U237*'Médias por UF'!FZ148</f>
        <v>152411.91909775054</v>
      </c>
      <c r="T168" s="800">
        <f>$U237*'Médias por UF'!GA148</f>
        <v>201594.43384235984</v>
      </c>
      <c r="U168" s="800">
        <f>$U237*'Médias por UF'!GB148</f>
        <v>252034.6784133125</v>
      </c>
      <c r="V168" s="800">
        <f>$U237*'Médias por UF'!GC148</f>
        <v>301817.4990909847</v>
      </c>
      <c r="W168" s="800">
        <f>$U237*'Médias por UF'!GD148</f>
        <v>358693.72215851984</v>
      </c>
      <c r="X168" s="800">
        <f>$U237*'Médias por UF'!GE148</f>
        <v>417075.09501126019</v>
      </c>
      <c r="Y168" s="800">
        <f>$U237*'Médias por UF'!GF148</f>
        <v>477639.06235094304</v>
      </c>
      <c r="Z168" s="800">
        <f>$U237*'Médias por UF'!GG148</f>
        <v>540107.4981411685</v>
      </c>
      <c r="AA168" s="800">
        <f>$U237*'Médias por UF'!GH148</f>
        <v>596143.70465554739</v>
      </c>
      <c r="AB168" s="800">
        <f>$U237*'Médias por UF'!GI148</f>
        <v>648401.06000000006</v>
      </c>
      <c r="AC168" s="800">
        <f t="shared" si="54"/>
        <v>648401.06000000006</v>
      </c>
      <c r="AE168" s="138" t="s">
        <v>102</v>
      </c>
      <c r="AF168" s="800">
        <f>JAN!$W$30</f>
        <v>50268.911999999997</v>
      </c>
      <c r="AG168" s="800">
        <f>FEV!$W30</f>
        <v>59292.671999999999</v>
      </c>
      <c r="AH168" s="800">
        <f>MAR!$W30</f>
        <v>83995.631999999998</v>
      </c>
      <c r="AI168" s="800">
        <f>ABR!$W30</f>
        <v>64518.384000000005</v>
      </c>
      <c r="AJ168" s="800">
        <f>MAI!$W30</f>
        <v>70952.831999999995</v>
      </c>
      <c r="AK168" s="800">
        <f>JUN!$W30</f>
        <v>53562.432000000008</v>
      </c>
      <c r="AL168" s="800">
        <f>JUL!$W30</f>
        <v>59475.168000000005</v>
      </c>
      <c r="AM168" s="800">
        <f>AGO!$W30</f>
        <v>72257.112000000008</v>
      </c>
      <c r="AN168" s="800">
        <f>SET!$W30</f>
        <v>73996.152000000002</v>
      </c>
      <c r="AO168" s="800">
        <f>OUT!$W30*0</f>
        <v>0</v>
      </c>
      <c r="AP168" s="800">
        <f>NOV!$W30*0</f>
        <v>0</v>
      </c>
      <c r="AQ168" s="800">
        <f>DEZ!$W30*0</f>
        <v>0</v>
      </c>
      <c r="AR168" s="800">
        <f t="shared" si="55"/>
        <v>588319.29600000009</v>
      </c>
      <c r="AV168" s="809"/>
    </row>
    <row r="169" spans="1:48">
      <c r="A169" s="137" t="s">
        <v>103</v>
      </c>
      <c r="B169" s="800">
        <f>$F238*'Médias por UF'!FX149</f>
        <v>27158.653287401761</v>
      </c>
      <c r="C169" s="800">
        <f>$F238*'Médias por UF'!FY149</f>
        <v>63934.567557161834</v>
      </c>
      <c r="D169" s="800">
        <f>$F238*'Médias por UF'!FZ149</f>
        <v>104205.55366925096</v>
      </c>
      <c r="E169" s="800">
        <f>$F238*'Médias por UF'!GA149</f>
        <v>137103.21047935824</v>
      </c>
      <c r="F169" s="800">
        <f>$F238*'Médias por UF'!GB149</f>
        <v>180323.15949833317</v>
      </c>
      <c r="G169" s="800">
        <f>$F238*'Médias por UF'!GC149</f>
        <v>224367.83902507511</v>
      </c>
      <c r="H169" s="800">
        <f>$F238*'Médias por UF'!GD149</f>
        <v>276906.16815176595</v>
      </c>
      <c r="I169" s="800">
        <f>$F238*'Médias por UF'!GE149</f>
        <v>325148.89481410827</v>
      </c>
      <c r="J169" s="800">
        <f>$F238*'Médias por UF'!GF149</f>
        <v>369270.84941132262</v>
      </c>
      <c r="K169" s="800">
        <f>$F238*'Médias por UF'!GG149</f>
        <v>417558.50580230064</v>
      </c>
      <c r="L169" s="800">
        <f>$F238*'Médias por UF'!GH149</f>
        <v>460722.27511108713</v>
      </c>
      <c r="M169" s="800">
        <f>$F238*'Médias por UF'!GI149</f>
        <v>499713.14999999997</v>
      </c>
      <c r="N169" s="800">
        <f t="shared" si="53"/>
        <v>499713.14999999997</v>
      </c>
      <c r="P169" s="138" t="s">
        <v>103</v>
      </c>
      <c r="Q169" s="800">
        <f>$U238*'Médias por UF'!FX149</f>
        <v>27158.653287401761</v>
      </c>
      <c r="R169" s="800">
        <f>$U238*'Médias por UF'!FY149</f>
        <v>63934.567557161834</v>
      </c>
      <c r="S169" s="800">
        <f>$U238*'Médias por UF'!FZ149</f>
        <v>104205.55366925096</v>
      </c>
      <c r="T169" s="800">
        <f>$U238*'Médias por UF'!GA149</f>
        <v>137103.21047935824</v>
      </c>
      <c r="U169" s="800">
        <f>$U238*'Médias por UF'!GB149</f>
        <v>180323.15949833317</v>
      </c>
      <c r="V169" s="800">
        <f>$U238*'Médias por UF'!GC149</f>
        <v>224367.83902507511</v>
      </c>
      <c r="W169" s="800">
        <f>$U238*'Médias por UF'!GD149</f>
        <v>276906.16815176595</v>
      </c>
      <c r="X169" s="800">
        <f>$U238*'Médias por UF'!GE149</f>
        <v>325148.89481410827</v>
      </c>
      <c r="Y169" s="800">
        <f>$U238*'Médias por UF'!GF149</f>
        <v>369270.84941132262</v>
      </c>
      <c r="Z169" s="800">
        <f>$U238*'Médias por UF'!GG149</f>
        <v>417558.50580230064</v>
      </c>
      <c r="AA169" s="800">
        <f>$U238*'Médias por UF'!GH149</f>
        <v>460722.27511108713</v>
      </c>
      <c r="AB169" s="800">
        <f>$U238*'Médias por UF'!GI149</f>
        <v>499713.14999999997</v>
      </c>
      <c r="AC169" s="800">
        <f t="shared" si="54"/>
        <v>499713.14999999997</v>
      </c>
      <c r="AE169" s="138" t="s">
        <v>103</v>
      </c>
      <c r="AF169" s="800">
        <f>JAN!$W$31</f>
        <v>25574.544000000002</v>
      </c>
      <c r="AG169" s="800">
        <f>FEV!$W31</f>
        <v>33389.567999999999</v>
      </c>
      <c r="AH169" s="800">
        <f>MAR!$W31</f>
        <v>41128.296000000002</v>
      </c>
      <c r="AI169" s="800">
        <f>ABR!$W31</f>
        <v>41302.200000000004</v>
      </c>
      <c r="AJ169" s="800">
        <f>MAI!$W31</f>
        <v>52779.864000000001</v>
      </c>
      <c r="AK169" s="800">
        <f>JUN!$W31</f>
        <v>43215.144</v>
      </c>
      <c r="AL169" s="800">
        <f>JUL!$W31</f>
        <v>35041.656000000003</v>
      </c>
      <c r="AM169" s="800">
        <f>AGO!$W31</f>
        <v>41215.248000000007</v>
      </c>
      <c r="AN169" s="800">
        <f>SET!$W31</f>
        <v>37737.168000000005</v>
      </c>
      <c r="AO169" s="800">
        <f>OUT!$W31*0</f>
        <v>0</v>
      </c>
      <c r="AP169" s="800">
        <f>NOV!$W31*0</f>
        <v>0</v>
      </c>
      <c r="AQ169" s="800">
        <f>DEZ!$W31*0</f>
        <v>0</v>
      </c>
      <c r="AR169" s="800">
        <f t="shared" si="55"/>
        <v>351383.68800000002</v>
      </c>
      <c r="AV169" s="809"/>
    </row>
    <row r="170" spans="1:48">
      <c r="A170" s="805" t="s">
        <v>37</v>
      </c>
      <c r="B170" s="806">
        <f>SUM(B143:B169)</f>
        <v>5888961.1191960387</v>
      </c>
      <c r="C170" s="806">
        <f t="shared" ref="C170:D170" si="56">SUM(C143:C169)</f>
        <v>12515701.091251094</v>
      </c>
      <c r="D170" s="806">
        <f t="shared" si="56"/>
        <v>19369682.746929996</v>
      </c>
      <c r="E170" s="806">
        <f>SUM(E143:E169)</f>
        <v>25596684.577496305</v>
      </c>
      <c r="F170" s="806">
        <f t="shared" ref="F170:N170" si="57">SUM(F143:F169)</f>
        <v>32368675.156548981</v>
      </c>
      <c r="G170" s="806">
        <f t="shared" si="57"/>
        <v>39140240.685047023</v>
      </c>
      <c r="H170" s="806">
        <f t="shared" si="57"/>
        <v>47295936.629398122</v>
      </c>
      <c r="I170" s="806">
        <f t="shared" si="57"/>
        <v>55384770.3548005</v>
      </c>
      <c r="J170" s="806">
        <f t="shared" si="57"/>
        <v>63372187.468846463</v>
      </c>
      <c r="K170" s="806">
        <f t="shared" si="57"/>
        <v>71655573.269284844</v>
      </c>
      <c r="L170" s="806">
        <f t="shared" si="57"/>
        <v>79318834.952882648</v>
      </c>
      <c r="M170" s="806">
        <f t="shared" si="57"/>
        <v>86552258.552000016</v>
      </c>
      <c r="N170" s="806">
        <f t="shared" si="57"/>
        <v>86552258.552000016</v>
      </c>
      <c r="P170" s="807" t="s">
        <v>37</v>
      </c>
      <c r="Q170" s="806">
        <f>SUM(Q143:Q169)</f>
        <v>5675466.4217127599</v>
      </c>
      <c r="R170" s="806">
        <f t="shared" ref="R170:S170" si="58">SUM(R143:R169)</f>
        <v>12268470.819929132</v>
      </c>
      <c r="S170" s="806">
        <f t="shared" si="58"/>
        <v>19198968.584074158</v>
      </c>
      <c r="T170" s="806">
        <f>SUM(T143:T169)</f>
        <v>25274257.077495717</v>
      </c>
      <c r="U170" s="806">
        <f t="shared" ref="U170:AC170" si="59">SUM(U143:U169)</f>
        <v>32122837.522066247</v>
      </c>
      <c r="V170" s="806">
        <f t="shared" si="59"/>
        <v>39081806.173257656</v>
      </c>
      <c r="W170" s="806">
        <f t="shared" si="59"/>
        <v>47099830.9532516</v>
      </c>
      <c r="X170" s="806">
        <f t="shared" si="59"/>
        <v>55363670.581628263</v>
      </c>
      <c r="Y170" s="806">
        <f t="shared" si="59"/>
        <v>63392074.308933884</v>
      </c>
      <c r="Z170" s="806">
        <f t="shared" si="59"/>
        <v>71782253.639304504</v>
      </c>
      <c r="AA170" s="806">
        <f t="shared" si="59"/>
        <v>79348867.042487115</v>
      </c>
      <c r="AB170" s="806">
        <f t="shared" si="59"/>
        <v>86552258.552000016</v>
      </c>
      <c r="AC170" s="806">
        <f t="shared" si="59"/>
        <v>86552258.552000016</v>
      </c>
      <c r="AE170" s="807" t="s">
        <v>37</v>
      </c>
      <c r="AF170" s="806">
        <f>SUM(AF143:AF169)</f>
        <v>5368551.0719999997</v>
      </c>
      <c r="AG170" s="806">
        <f t="shared" ref="AG170:AH170" si="60">SUM(AG143:AG169)</f>
        <v>6570861.120000001</v>
      </c>
      <c r="AH170" s="806">
        <f t="shared" si="60"/>
        <v>8203911.5520000001</v>
      </c>
      <c r="AI170" s="800">
        <f>ABR!$W32</f>
        <v>6983708.9359999998</v>
      </c>
      <c r="AJ170" s="806">
        <f t="shared" ref="AJ170:AR170" si="61">SUM(AJ143:AJ169)</f>
        <v>8231137.1760000028</v>
      </c>
      <c r="AK170" s="806">
        <f t="shared" si="61"/>
        <v>7652767.1360000027</v>
      </c>
      <c r="AL170" s="806">
        <f t="shared" si="61"/>
        <v>7590362.1039999994</v>
      </c>
      <c r="AM170" s="806">
        <f t="shared" si="61"/>
        <v>8366408.5039999997</v>
      </c>
      <c r="AN170" s="806">
        <f t="shared" si="61"/>
        <v>7563432.7680000002</v>
      </c>
      <c r="AO170" s="806">
        <f t="shared" si="61"/>
        <v>0</v>
      </c>
      <c r="AP170" s="806">
        <f t="shared" si="61"/>
        <v>0</v>
      </c>
      <c r="AQ170" s="806">
        <f t="shared" si="61"/>
        <v>0</v>
      </c>
      <c r="AR170" s="806">
        <f t="shared" si="61"/>
        <v>66531140.368000008</v>
      </c>
      <c r="AS170" s="802" t="b">
        <f>AR170=RRT!S31</f>
        <v>1</v>
      </c>
    </row>
    <row r="171" spans="1:48">
      <c r="N171" s="802">
        <f>N170-SUM(F212:F238)</f>
        <v>0</v>
      </c>
      <c r="Q171" s="802">
        <f>Q170</f>
        <v>5675466.4217127599</v>
      </c>
      <c r="R171" s="802">
        <f>R170-Q170</f>
        <v>6593004.3982163724</v>
      </c>
      <c r="S171" s="802">
        <f t="shared" ref="S171:AB171" si="62">S170-R170</f>
        <v>6930497.764145026</v>
      </c>
      <c r="T171" s="802">
        <f t="shared" si="62"/>
        <v>6075288.4934215583</v>
      </c>
      <c r="U171" s="802">
        <f t="shared" si="62"/>
        <v>6848580.4445705302</v>
      </c>
      <c r="V171" s="802">
        <f t="shared" si="62"/>
        <v>6958968.6511914097</v>
      </c>
      <c r="W171" s="802">
        <f t="shared" si="62"/>
        <v>8018024.7799939439</v>
      </c>
      <c r="X171" s="802">
        <f t="shared" si="62"/>
        <v>8263839.6283766627</v>
      </c>
      <c r="Y171" s="802">
        <f t="shared" si="62"/>
        <v>8028403.7273056209</v>
      </c>
      <c r="Z171" s="802">
        <f t="shared" si="62"/>
        <v>8390179.3303706199</v>
      </c>
      <c r="AA171" s="802">
        <f t="shared" si="62"/>
        <v>7566613.4031826109</v>
      </c>
      <c r="AB171" s="802">
        <f t="shared" si="62"/>
        <v>7203391.5095129013</v>
      </c>
      <c r="AC171" s="802">
        <f>AC170-SUM(U212:U238)</f>
        <v>0</v>
      </c>
      <c r="AR171" s="802">
        <f>'TOTAL POR UF'!F32+'TOTAL POR UF'!G32-AR170</f>
        <v>0</v>
      </c>
    </row>
    <row r="172" spans="1:48">
      <c r="A172" s="137" t="s">
        <v>224</v>
      </c>
      <c r="B172" s="800">
        <f>$F$239*'Médias por UF'!FX150</f>
        <v>1391078.1826081341</v>
      </c>
      <c r="C172" s="800">
        <f>$F$239*'Médias por UF'!FY150</f>
        <v>2999152.6058979318</v>
      </c>
      <c r="D172" s="800">
        <f>$F$239*'Médias por UF'!FZ150</f>
        <v>4682085.2324858056</v>
      </c>
      <c r="E172" s="800">
        <f>$F$239*'Médias por UF'!GA150</f>
        <v>6185252.4741736697</v>
      </c>
      <c r="F172" s="800">
        <f>$F$239*'Médias por UF'!GB150</f>
        <v>7873354.5014901664</v>
      </c>
      <c r="G172" s="800">
        <f>$F$239*'Médias por UF'!GC150</f>
        <v>9589659.6320543829</v>
      </c>
      <c r="H172" s="800">
        <f>$F$239*'Médias por UF'!GD150</f>
        <v>11653949.798271345</v>
      </c>
      <c r="I172" s="800">
        <f>$F$239*'Médias por UF'!GE150</f>
        <v>13737226.75468866</v>
      </c>
      <c r="J172" s="800">
        <f>$F$239*'Médias por UF'!GF150</f>
        <v>15761226.050410859</v>
      </c>
      <c r="K172" s="800">
        <f>$F$239*'Médias por UF'!GG150</f>
        <v>17876748.966847178</v>
      </c>
      <c r="L172" s="800">
        <f>$F$239*'Médias por UF'!GH150</f>
        <v>19813343.970605575</v>
      </c>
      <c r="M172" s="800">
        <f>$F$239*'Médias por UF'!GI150</f>
        <v>21638045.420000002</v>
      </c>
      <c r="N172" s="800">
        <f t="shared" ref="N172" si="63">M172</f>
        <v>21638045.420000002</v>
      </c>
      <c r="P172" s="137" t="s">
        <v>224</v>
      </c>
      <c r="Q172" s="800">
        <f>$U$239*'Médias por UF'!FX150</f>
        <v>1391078.1826081341</v>
      </c>
      <c r="R172" s="800">
        <f>$U$239*'Médias por UF'!FY150</f>
        <v>2999152.6058979318</v>
      </c>
      <c r="S172" s="800">
        <f>$U$239*'Médias por UF'!FZ150</f>
        <v>4682085.2324858056</v>
      </c>
      <c r="T172" s="800">
        <f>$U$239*'Médias por UF'!GA150</f>
        <v>6185252.4741736697</v>
      </c>
      <c r="U172" s="800">
        <f>$U$239*'Médias por UF'!GB150</f>
        <v>7873354.5014901664</v>
      </c>
      <c r="V172" s="800">
        <f>$U$239*'Médias por UF'!GC150</f>
        <v>9589659.6320543829</v>
      </c>
      <c r="W172" s="800">
        <f>$U$239*'Médias por UF'!GD150</f>
        <v>11653949.798271345</v>
      </c>
      <c r="X172" s="800">
        <f>$U$239*'Médias por UF'!GE150</f>
        <v>13737226.75468866</v>
      </c>
      <c r="Y172" s="800">
        <f>$U$239*'Médias por UF'!GF150</f>
        <v>15761226.050410859</v>
      </c>
      <c r="Z172" s="800">
        <f>$U$239*'Médias por UF'!GG150</f>
        <v>17876748.966847178</v>
      </c>
      <c r="AA172" s="800">
        <f>$U$239*'Médias por UF'!GH150</f>
        <v>19813343.970605575</v>
      </c>
      <c r="AB172" s="800">
        <f>$U$239*'Médias por UF'!GI150</f>
        <v>21638045.420000002</v>
      </c>
      <c r="AC172" s="800">
        <f t="shared" ref="AC172" si="64">AB172</f>
        <v>21638045.420000002</v>
      </c>
      <c r="AE172" s="138" t="s">
        <v>224</v>
      </c>
      <c r="AF172" s="800">
        <f>JAN!$W$67</f>
        <v>1342137.7679999999</v>
      </c>
      <c r="AG172" s="800">
        <f>FEV!$W$67</f>
        <v>1642715.2800000003</v>
      </c>
      <c r="AH172" s="800">
        <f>MAR!$W$67</f>
        <v>2050977.888</v>
      </c>
      <c r="AI172" s="800">
        <f>ABR!$W$67</f>
        <v>1745927.2339999999</v>
      </c>
      <c r="AJ172" s="800">
        <f>MAI!$W$67</f>
        <v>2057784.2940000007</v>
      </c>
      <c r="AK172" s="800">
        <f>JUN!$W$67</f>
        <v>1913191.7840000007</v>
      </c>
      <c r="AL172" s="800">
        <f>JUL!$W$67</f>
        <v>1897590.5259999998</v>
      </c>
      <c r="AM172" s="800">
        <f>AGO!$W$67</f>
        <v>2091602.1259999999</v>
      </c>
      <c r="AN172" s="800">
        <f>SET!$W$67</f>
        <v>1890858.192</v>
      </c>
      <c r="AO172" s="800">
        <f>OUT!$W$67*0</f>
        <v>0</v>
      </c>
      <c r="AP172" s="800">
        <f>NOV!$W$67*0</f>
        <v>0</v>
      </c>
      <c r="AQ172" s="800">
        <f>DEZ!$W$67*0</f>
        <v>0</v>
      </c>
      <c r="AR172" s="800">
        <f t="shared" ref="AR172" si="65">SUM(AF172:AQ172)</f>
        <v>16632785.092000002</v>
      </c>
      <c r="AS172" s="802" t="b">
        <f>AR172=RRT!S32</f>
        <v>1</v>
      </c>
    </row>
    <row r="173" spans="1:48">
      <c r="A173" s="998" t="s">
        <v>244</v>
      </c>
      <c r="B173" s="998"/>
      <c r="C173" s="998"/>
      <c r="D173" s="998"/>
      <c r="E173" s="998"/>
      <c r="F173" s="998"/>
      <c r="G173" s="998"/>
      <c r="H173" s="998"/>
      <c r="I173" s="998"/>
      <c r="J173" s="998"/>
      <c r="K173" s="998"/>
      <c r="L173" s="998"/>
      <c r="M173" s="998"/>
      <c r="N173" s="998"/>
      <c r="P173" s="998" t="s">
        <v>119</v>
      </c>
      <c r="Q173" s="998"/>
      <c r="R173" s="998"/>
      <c r="S173" s="998"/>
      <c r="T173" s="998"/>
      <c r="U173" s="998"/>
      <c r="V173" s="998"/>
      <c r="W173" s="998"/>
      <c r="X173" s="998"/>
      <c r="Y173" s="998"/>
      <c r="Z173" s="998"/>
      <c r="AA173" s="998"/>
      <c r="AB173" s="998"/>
      <c r="AC173" s="998"/>
      <c r="AE173" s="998" t="s">
        <v>243</v>
      </c>
      <c r="AF173" s="998"/>
      <c r="AG173" s="998"/>
      <c r="AH173" s="998"/>
      <c r="AI173" s="998"/>
      <c r="AJ173" s="998"/>
      <c r="AK173" s="998"/>
      <c r="AL173" s="998"/>
      <c r="AM173" s="998"/>
      <c r="AN173" s="998"/>
      <c r="AO173" s="998"/>
      <c r="AP173" s="998"/>
      <c r="AQ173" s="998"/>
      <c r="AR173" s="998"/>
    </row>
    <row r="175" spans="1:48" ht="15" customHeight="1">
      <c r="A175" s="999" t="s">
        <v>33</v>
      </c>
      <c r="B175" s="1001" t="s">
        <v>239</v>
      </c>
      <c r="C175" s="1001"/>
      <c r="D175" s="1001"/>
      <c r="E175" s="1001"/>
      <c r="F175" s="1001"/>
      <c r="G175" s="1001"/>
      <c r="H175" s="1001"/>
      <c r="I175" s="1001"/>
      <c r="J175" s="1001"/>
      <c r="K175" s="1001"/>
      <c r="L175" s="1001"/>
      <c r="M175" s="1001"/>
      <c r="P175" s="999" t="s">
        <v>33</v>
      </c>
      <c r="Q175" s="1001" t="s">
        <v>239</v>
      </c>
      <c r="R175" s="1001"/>
      <c r="S175" s="1001"/>
      <c r="T175" s="1001"/>
      <c r="U175" s="1001"/>
      <c r="V175" s="1001"/>
      <c r="W175" s="1001"/>
      <c r="X175" s="1001"/>
      <c r="Y175" s="1001"/>
      <c r="Z175" s="1001"/>
      <c r="AA175" s="1001"/>
      <c r="AB175" s="1001"/>
      <c r="AE175" s="999" t="s">
        <v>33</v>
      </c>
      <c r="AF175" s="1001" t="s">
        <v>239</v>
      </c>
      <c r="AG175" s="1001"/>
      <c r="AH175" s="1001"/>
      <c r="AI175" s="1001"/>
      <c r="AJ175" s="1001"/>
      <c r="AK175" s="1001"/>
      <c r="AL175" s="1001"/>
      <c r="AM175" s="1001"/>
      <c r="AN175" s="1001"/>
      <c r="AO175" s="1001"/>
      <c r="AP175" s="1001"/>
      <c r="AQ175" s="1001"/>
    </row>
    <row r="176" spans="1:48">
      <c r="A176" s="1000"/>
      <c r="B176" s="803" t="s">
        <v>106</v>
      </c>
      <c r="C176" s="803" t="s">
        <v>107</v>
      </c>
      <c r="D176" s="803" t="s">
        <v>108</v>
      </c>
      <c r="E176" s="803" t="s">
        <v>109</v>
      </c>
      <c r="F176" s="803" t="s">
        <v>110</v>
      </c>
      <c r="G176" s="803" t="s">
        <v>111</v>
      </c>
      <c r="H176" s="803" t="s">
        <v>112</v>
      </c>
      <c r="I176" s="803" t="s">
        <v>113</v>
      </c>
      <c r="J176" s="803" t="s">
        <v>114</v>
      </c>
      <c r="K176" s="803" t="s">
        <v>115</v>
      </c>
      <c r="L176" s="803" t="s">
        <v>116</v>
      </c>
      <c r="M176" s="803" t="s">
        <v>117</v>
      </c>
      <c r="N176" s="803" t="s">
        <v>118</v>
      </c>
      <c r="P176" s="1000"/>
      <c r="Q176" s="803" t="s">
        <v>106</v>
      </c>
      <c r="R176" s="803" t="s">
        <v>107</v>
      </c>
      <c r="S176" s="803" t="s">
        <v>108</v>
      </c>
      <c r="T176" s="803" t="s">
        <v>109</v>
      </c>
      <c r="U176" s="803" t="s">
        <v>110</v>
      </c>
      <c r="V176" s="803" t="s">
        <v>111</v>
      </c>
      <c r="W176" s="803" t="s">
        <v>112</v>
      </c>
      <c r="X176" s="803" t="s">
        <v>113</v>
      </c>
      <c r="Y176" s="803" t="s">
        <v>114</v>
      </c>
      <c r="Z176" s="803" t="s">
        <v>115</v>
      </c>
      <c r="AA176" s="803" t="s">
        <v>116</v>
      </c>
      <c r="AB176" s="803" t="s">
        <v>117</v>
      </c>
      <c r="AC176" s="803" t="s">
        <v>118</v>
      </c>
      <c r="AE176" s="1000"/>
      <c r="AF176" s="803" t="s">
        <v>106</v>
      </c>
      <c r="AG176" s="803" t="s">
        <v>107</v>
      </c>
      <c r="AH176" s="803" t="s">
        <v>108</v>
      </c>
      <c r="AI176" s="803" t="s">
        <v>109</v>
      </c>
      <c r="AJ176" s="803" t="s">
        <v>110</v>
      </c>
      <c r="AK176" s="803" t="s">
        <v>111</v>
      </c>
      <c r="AL176" s="803" t="s">
        <v>112</v>
      </c>
      <c r="AM176" s="803" t="s">
        <v>113</v>
      </c>
      <c r="AN176" s="803" t="s">
        <v>114</v>
      </c>
      <c r="AO176" s="803" t="s">
        <v>115</v>
      </c>
      <c r="AP176" s="803" t="s">
        <v>116</v>
      </c>
      <c r="AQ176" s="803" t="s">
        <v>117</v>
      </c>
      <c r="AR176" s="803" t="s">
        <v>118</v>
      </c>
    </row>
    <row r="177" spans="1:49">
      <c r="A177" s="137" t="s">
        <v>77</v>
      </c>
      <c r="B177" s="800">
        <f>$G212*'Médias por UF'!FX153</f>
        <v>2733.2078955863335</v>
      </c>
      <c r="C177" s="800">
        <f>$G212*'Médias por UF'!FY153</f>
        <v>4474.7114318213798</v>
      </c>
      <c r="D177" s="800">
        <f>$G212*'Médias por UF'!FZ153</f>
        <v>6519.5557532003158</v>
      </c>
      <c r="E177" s="800">
        <f>$G212*'Médias por UF'!GA153</f>
        <v>8130.7695528018876</v>
      </c>
      <c r="F177" s="800">
        <f>$G212*'Médias por UF'!GB153</f>
        <v>10516.758083593142</v>
      </c>
      <c r="G177" s="800">
        <f>$G212*'Médias por UF'!GC153</f>
        <v>13523.943419945404</v>
      </c>
      <c r="H177" s="800">
        <f>$G212*'Médias por UF'!GD153</f>
        <v>16817.865930231776</v>
      </c>
      <c r="I177" s="800">
        <f>$G212*'Médias por UF'!GE153</f>
        <v>20473.296303443982</v>
      </c>
      <c r="J177" s="800">
        <f>$G212*'Médias por UF'!GF153</f>
        <v>24147.716234716481</v>
      </c>
      <c r="K177" s="800">
        <f>$G212*'Médias por UF'!GG153</f>
        <v>28059.268370455909</v>
      </c>
      <c r="L177" s="800">
        <f>$G212*'Médias por UF'!GH153</f>
        <v>32006.19997282021</v>
      </c>
      <c r="M177" s="800">
        <f>$G212*'Médias por UF'!GI153</f>
        <v>35052.630000000005</v>
      </c>
      <c r="N177" s="800">
        <f>M177</f>
        <v>35052.630000000005</v>
      </c>
      <c r="P177" s="138" t="s">
        <v>77</v>
      </c>
      <c r="Q177" s="800">
        <f>$V212*'Médias por UF'!FX153</f>
        <v>2203.2065219020255</v>
      </c>
      <c r="R177" s="800">
        <f>$V212*'Médias por UF'!FY153</f>
        <v>3607.0119020724928</v>
      </c>
      <c r="S177" s="800">
        <f>$V212*'Médias por UF'!FZ153</f>
        <v>5255.3366974206801</v>
      </c>
      <c r="T177" s="800">
        <f>$V212*'Médias por UF'!GA153</f>
        <v>6554.1170635952067</v>
      </c>
      <c r="U177" s="800">
        <f>$V212*'Médias por UF'!GB153</f>
        <v>8477.4341668099314</v>
      </c>
      <c r="V177" s="800">
        <f>$V212*'Médias por UF'!GC153</f>
        <v>10901.490659665238</v>
      </c>
      <c r="W177" s="800">
        <f>$V212*'Médias por UF'!GD153</f>
        <v>13556.682593298225</v>
      </c>
      <c r="X177" s="800">
        <f>$V212*'Médias por UF'!GE153</f>
        <v>16503.281734777804</v>
      </c>
      <c r="Y177" s="800">
        <f>$V212*'Médias por UF'!GF153</f>
        <v>19465.188134162654</v>
      </c>
      <c r="Z177" s="800">
        <f>$V212*'Médias por UF'!GG153</f>
        <v>22618.243995788638</v>
      </c>
      <c r="AA177" s="800">
        <f>$V212*'Médias por UF'!GH153</f>
        <v>25799.818826547998</v>
      </c>
      <c r="AB177" s="800">
        <f>$V212*'Médias por UF'!GI153</f>
        <v>28255.510000000002</v>
      </c>
      <c r="AC177" s="800">
        <f>AB177</f>
        <v>28255.510000000002</v>
      </c>
      <c r="AE177" s="138" t="s">
        <v>77</v>
      </c>
      <c r="AF177" s="800">
        <f>JAN!$X$5</f>
        <v>1973.5680000000002</v>
      </c>
      <c r="AG177" s="800">
        <f>FEV!$X5</f>
        <v>3646.0640000000003</v>
      </c>
      <c r="AH177" s="800">
        <f>MAR!$X5</f>
        <v>4330.0239999999994</v>
      </c>
      <c r="AI177" s="800">
        <f>ABR!$X5</f>
        <v>2913.52</v>
      </c>
      <c r="AJ177" s="800">
        <f>MAI!$X5</f>
        <v>3701.5520000000006</v>
      </c>
      <c r="AK177" s="800">
        <f>JUN!$X5</f>
        <v>2419.04</v>
      </c>
      <c r="AL177" s="800">
        <f>JUL!$X5</f>
        <v>3805.5200000000004</v>
      </c>
      <c r="AM177" s="800">
        <f>AGO!$X5</f>
        <v>4929.9040000000005</v>
      </c>
      <c r="AN177" s="800">
        <f>SET!$X5</f>
        <v>3060.7280000000001</v>
      </c>
      <c r="AO177" s="800">
        <f>OUT!$X5*0</f>
        <v>0</v>
      </c>
      <c r="AP177" s="800">
        <f>NOV!$X5*0</f>
        <v>0</v>
      </c>
      <c r="AQ177" s="800">
        <f>DEZ!$X5*0</f>
        <v>0</v>
      </c>
      <c r="AR177" s="800">
        <f>SUM(AF177:AQ177)</f>
        <v>30779.920000000002</v>
      </c>
      <c r="AT177" s="809"/>
      <c r="AV177" s="809"/>
      <c r="AW177" s="809"/>
    </row>
    <row r="178" spans="1:49">
      <c r="A178" s="137" t="s">
        <v>78</v>
      </c>
      <c r="B178" s="800">
        <f>$G213*'Médias por UF'!FX154</f>
        <v>8211.903324536097</v>
      </c>
      <c r="C178" s="800">
        <f>$G213*'Médias por UF'!FY154</f>
        <v>14043.661978626507</v>
      </c>
      <c r="D178" s="800">
        <f>$G213*'Médias por UF'!FZ154</f>
        <v>19283.528465393145</v>
      </c>
      <c r="E178" s="800">
        <f>$G213*'Médias por UF'!GA154</f>
        <v>24293.402619459652</v>
      </c>
      <c r="F178" s="800">
        <f>$G213*'Médias por UF'!GB154</f>
        <v>30304.776576555276</v>
      </c>
      <c r="G178" s="800">
        <f>$G213*'Médias por UF'!GC154</f>
        <v>36070.661509416263</v>
      </c>
      <c r="H178" s="800">
        <f>$G213*'Médias por UF'!GD154</f>
        <v>43334.133569156853</v>
      </c>
      <c r="I178" s="800">
        <f>$G213*'Médias por UF'!GE154</f>
        <v>50391.527058978958</v>
      </c>
      <c r="J178" s="800">
        <f>$G213*'Médias por UF'!GF154</f>
        <v>57555.110485873389</v>
      </c>
      <c r="K178" s="800">
        <f>$G213*'Médias por UF'!GG154</f>
        <v>66306.83942737116</v>
      </c>
      <c r="L178" s="800">
        <f>$G213*'Médias por UF'!GH154</f>
        <v>75464.576225219542</v>
      </c>
      <c r="M178" s="800">
        <f>$G213*'Médias por UF'!GI154</f>
        <v>85898.75</v>
      </c>
      <c r="N178" s="800">
        <f t="shared" ref="N178:N203" si="66">M178</f>
        <v>85898.75</v>
      </c>
      <c r="P178" s="138" t="s">
        <v>78</v>
      </c>
      <c r="Q178" s="800">
        <f>$V213*'Médias por UF'!FX154</f>
        <v>6286.386643817099</v>
      </c>
      <c r="R178" s="800">
        <f>$V213*'Médias por UF'!FY154</f>
        <v>10750.72192203468</v>
      </c>
      <c r="S178" s="800">
        <f>$V213*'Médias por UF'!FZ154</f>
        <v>14761.951157938458</v>
      </c>
      <c r="T178" s="800">
        <f>$V213*'Médias por UF'!GA154</f>
        <v>18597.116371735872</v>
      </c>
      <c r="U178" s="800">
        <f>$V213*'Médias por UF'!GB154</f>
        <v>23198.950984421193</v>
      </c>
      <c r="V178" s="800">
        <f>$V213*'Médias por UF'!GC154</f>
        <v>27612.858528050387</v>
      </c>
      <c r="W178" s="800">
        <f>$V213*'Médias por UF'!GD154</f>
        <v>33173.200867646963</v>
      </c>
      <c r="X178" s="800">
        <f>$V213*'Médias por UF'!GE154</f>
        <v>38575.785679138971</v>
      </c>
      <c r="Y178" s="800">
        <f>$V213*'Médias por UF'!GF154</f>
        <v>44059.661145883176</v>
      </c>
      <c r="Z178" s="800">
        <f>$V213*'Médias por UF'!GG154</f>
        <v>50759.295780372391</v>
      </c>
      <c r="AA178" s="800">
        <f>$V213*'Médias por UF'!GH154</f>
        <v>57769.738063780365</v>
      </c>
      <c r="AB178" s="800">
        <f>$V213*'Médias por UF'!GI154</f>
        <v>65757.320000000007</v>
      </c>
      <c r="AC178" s="800">
        <f t="shared" ref="AC178:AC203" si="67">AB178</f>
        <v>65757.320000000007</v>
      </c>
      <c r="AE178" s="138" t="s">
        <v>78</v>
      </c>
      <c r="AF178" s="800">
        <f>JAN!$X$6</f>
        <v>6551.88</v>
      </c>
      <c r="AG178" s="800">
        <f>FEV!$X6</f>
        <v>5885.6080000000002</v>
      </c>
      <c r="AH178" s="800">
        <f>MAR!$X6</f>
        <v>5611.8879999999999</v>
      </c>
      <c r="AI178" s="800">
        <f>ABR!$X6</f>
        <v>5178.9440000000004</v>
      </c>
      <c r="AJ178" s="800">
        <f>MAI!$X6</f>
        <v>5095.8720000000003</v>
      </c>
      <c r="AK178" s="800">
        <f>JUN!$X6</f>
        <v>6789.5120000000015</v>
      </c>
      <c r="AL178" s="800">
        <f>JUL!$X6</f>
        <v>4916.16</v>
      </c>
      <c r="AM178" s="800">
        <f>AGO!$X6</f>
        <v>9229.119999999999</v>
      </c>
      <c r="AN178" s="800">
        <f>SET!$X6</f>
        <v>6780.4480000000012</v>
      </c>
      <c r="AO178" s="800">
        <f>OUT!$X6*0</f>
        <v>0</v>
      </c>
      <c r="AP178" s="800">
        <f>NOV!$X6*0</f>
        <v>0</v>
      </c>
      <c r="AQ178" s="800">
        <f>DEZ!$X6*0</f>
        <v>0</v>
      </c>
      <c r="AR178" s="800">
        <f t="shared" ref="AR178:AR203" si="68">SUM(AF178:AQ178)</f>
        <v>56039.432000000001</v>
      </c>
      <c r="AT178" s="809"/>
      <c r="AV178" s="809"/>
      <c r="AW178" s="809"/>
    </row>
    <row r="179" spans="1:49">
      <c r="A179" s="137" t="s">
        <v>79</v>
      </c>
      <c r="B179" s="800">
        <f>$G214*'Médias por UF'!FX155</f>
        <v>4473.9384492967802</v>
      </c>
      <c r="C179" s="800">
        <f>$G214*'Médias por UF'!FY155</f>
        <v>8312.2299829347194</v>
      </c>
      <c r="D179" s="800">
        <f>$G214*'Médias por UF'!FZ155</f>
        <v>11142.946021846288</v>
      </c>
      <c r="E179" s="800">
        <f>$G214*'Médias por UF'!GA155</f>
        <v>13667.511877698656</v>
      </c>
      <c r="F179" s="800">
        <f>$G214*'Médias por UF'!GB155</f>
        <v>16766.032503217728</v>
      </c>
      <c r="G179" s="800">
        <f>$G214*'Médias por UF'!GC155</f>
        <v>20429.782359777899</v>
      </c>
      <c r="H179" s="800">
        <f>$G214*'Médias por UF'!GD155</f>
        <v>24622.363102368745</v>
      </c>
      <c r="I179" s="800">
        <f>$G214*'Médias por UF'!GE155</f>
        <v>28880.475986126305</v>
      </c>
      <c r="J179" s="800">
        <f>$G214*'Médias por UF'!GF155</f>
        <v>34460.954053810208</v>
      </c>
      <c r="K179" s="800">
        <f>$G214*'Médias por UF'!GG155</f>
        <v>38442.371869729679</v>
      </c>
      <c r="L179" s="800">
        <f>$G214*'Médias por UF'!GH155</f>
        <v>42725.433181107139</v>
      </c>
      <c r="M179" s="800">
        <f>$G214*'Médias por UF'!GI155</f>
        <v>46335.5</v>
      </c>
      <c r="N179" s="800">
        <f t="shared" si="66"/>
        <v>46335.5</v>
      </c>
      <c r="P179" s="138" t="s">
        <v>79</v>
      </c>
      <c r="Q179" s="800">
        <f>$V214*'Médias por UF'!FX155</f>
        <v>3318.8386160501809</v>
      </c>
      <c r="R179" s="800">
        <f>$V214*'Médias por UF'!FY155</f>
        <v>6166.1442519822858</v>
      </c>
      <c r="S179" s="800">
        <f>$V214*'Médias por UF'!FZ155</f>
        <v>8266.0143792722556</v>
      </c>
      <c r="T179" s="800">
        <f>$V214*'Médias por UF'!GA155</f>
        <v>10138.777437172968</v>
      </c>
      <c r="U179" s="800">
        <f>$V214*'Médias por UF'!GB155</f>
        <v>12437.309261234392</v>
      </c>
      <c r="V179" s="800">
        <f>$V214*'Médias por UF'!GC155</f>
        <v>15155.137108287459</v>
      </c>
      <c r="W179" s="800">
        <f>$V214*'Médias por UF'!GD155</f>
        <v>18265.260107768139</v>
      </c>
      <c r="X179" s="800">
        <f>$V214*'Médias por UF'!GE155</f>
        <v>21423.995890630027</v>
      </c>
      <c r="Y179" s="800">
        <f>$V214*'Médias por UF'!GF155</f>
        <v>25563.683174428392</v>
      </c>
      <c r="Z179" s="800">
        <f>$V214*'Médias por UF'!GG155</f>
        <v>28517.162160305063</v>
      </c>
      <c r="AA179" s="800">
        <f>$V214*'Médias por UF'!GH155</f>
        <v>31694.405083113787</v>
      </c>
      <c r="AB179" s="800">
        <f>$V214*'Médias por UF'!GI155</f>
        <v>34372.410000000003</v>
      </c>
      <c r="AC179" s="800">
        <f t="shared" si="67"/>
        <v>34372.410000000003</v>
      </c>
      <c r="AE179" s="138" t="s">
        <v>79</v>
      </c>
      <c r="AF179" s="800">
        <f>JAN!$X$7</f>
        <v>3912.6400000000003</v>
      </c>
      <c r="AG179" s="800">
        <f>FEV!$X7</f>
        <v>4466.32</v>
      </c>
      <c r="AH179" s="800">
        <f>MAR!$X7</f>
        <v>4404.04</v>
      </c>
      <c r="AI179" s="800">
        <f>ABR!$X7</f>
        <v>4281.4640000000009</v>
      </c>
      <c r="AJ179" s="800">
        <f>MAI!$X7</f>
        <v>3140.76</v>
      </c>
      <c r="AK179" s="800">
        <f>JUN!$X7</f>
        <v>2553.3680000000004</v>
      </c>
      <c r="AL179" s="800">
        <f>JUL!$X7</f>
        <v>5913.0879999999997</v>
      </c>
      <c r="AM179" s="800">
        <f>AGO!$X7</f>
        <v>3804.424</v>
      </c>
      <c r="AN179" s="800">
        <f>SET!$X7</f>
        <v>4939.6960000000008</v>
      </c>
      <c r="AO179" s="800">
        <f>OUT!$X7*0</f>
        <v>0</v>
      </c>
      <c r="AP179" s="800">
        <f>NOV!$X7*0</f>
        <v>0</v>
      </c>
      <c r="AQ179" s="800">
        <f>DEZ!$X7*0</f>
        <v>0</v>
      </c>
      <c r="AR179" s="800">
        <f t="shared" si="68"/>
        <v>37415.800000000003</v>
      </c>
      <c r="AT179" s="809"/>
      <c r="AV179" s="809"/>
      <c r="AW179" s="809"/>
    </row>
    <row r="180" spans="1:49">
      <c r="A180" s="137" t="s">
        <v>80</v>
      </c>
      <c r="B180" s="800">
        <f>$G215*'Médias por UF'!FX156</f>
        <v>6102.3280496713051</v>
      </c>
      <c r="C180" s="800">
        <f>$G215*'Médias por UF'!FY156</f>
        <v>12935.229567100983</v>
      </c>
      <c r="D180" s="800">
        <f>$G215*'Médias por UF'!FZ156</f>
        <v>19434.971418473506</v>
      </c>
      <c r="E180" s="800">
        <f>$G215*'Médias por UF'!GA156</f>
        <v>25225.343048899947</v>
      </c>
      <c r="F180" s="800">
        <f>$G215*'Médias por UF'!GB156</f>
        <v>31454.370180302954</v>
      </c>
      <c r="G180" s="800">
        <f>$G215*'Médias por UF'!GC156</f>
        <v>39343.770581826306</v>
      </c>
      <c r="H180" s="800">
        <f>$G215*'Médias por UF'!GD156</f>
        <v>46708.143729473399</v>
      </c>
      <c r="I180" s="800">
        <f>$G215*'Médias por UF'!GE156</f>
        <v>55828.393051217674</v>
      </c>
      <c r="J180" s="800">
        <f>$G215*'Médias por UF'!GF156</f>
        <v>63345.409479606285</v>
      </c>
      <c r="K180" s="800">
        <f>$G215*'Médias por UF'!GG156</f>
        <v>70730.381153759125</v>
      </c>
      <c r="L180" s="800">
        <f>$G215*'Médias por UF'!GH156</f>
        <v>77547.659493106359</v>
      </c>
      <c r="M180" s="800">
        <f>$G215*'Médias por UF'!GI156</f>
        <v>86770.290000000008</v>
      </c>
      <c r="N180" s="800">
        <f t="shared" si="66"/>
        <v>86770.290000000008</v>
      </c>
      <c r="P180" s="138" t="s">
        <v>80</v>
      </c>
      <c r="Q180" s="800">
        <f>$V215*'Médias por UF'!FX156</f>
        <v>4535.9563267086687</v>
      </c>
      <c r="R180" s="800">
        <f>$V215*'Médias por UF'!FY156</f>
        <v>9614.9593916834947</v>
      </c>
      <c r="S180" s="800">
        <f>$V215*'Médias por UF'!FZ156</f>
        <v>14446.319641857908</v>
      </c>
      <c r="T180" s="800">
        <f>$V215*'Médias por UF'!GA156</f>
        <v>18750.393860293596</v>
      </c>
      <c r="U180" s="800">
        <f>$V215*'Médias por UF'!GB156</f>
        <v>23380.527605307409</v>
      </c>
      <c r="V180" s="800">
        <f>$V215*'Médias por UF'!GC156</f>
        <v>29244.842891856992</v>
      </c>
      <c r="W180" s="800">
        <f>$V215*'Médias por UF'!GD156</f>
        <v>34718.897170717428</v>
      </c>
      <c r="X180" s="800">
        <f>$V215*'Médias por UF'!GE156</f>
        <v>41498.121800300345</v>
      </c>
      <c r="Y180" s="800">
        <f>$V215*'Médias por UF'!GF156</f>
        <v>47085.638228257529</v>
      </c>
      <c r="Z180" s="800">
        <f>$V215*'Médias por UF'!GG156</f>
        <v>52575.003715539409</v>
      </c>
      <c r="AA180" s="800">
        <f>$V215*'Médias por UF'!GH156</f>
        <v>57642.393826754706</v>
      </c>
      <c r="AB180" s="800">
        <f>$V215*'Médias por UF'!GI156</f>
        <v>64497.72</v>
      </c>
      <c r="AC180" s="800">
        <f t="shared" si="67"/>
        <v>64497.72</v>
      </c>
      <c r="AE180" s="138" t="s">
        <v>80</v>
      </c>
      <c r="AF180" s="800">
        <f>JAN!$X$8</f>
        <v>4253.7840000000006</v>
      </c>
      <c r="AG180" s="800">
        <f>FEV!$X8</f>
        <v>6205.112000000001</v>
      </c>
      <c r="AH180" s="800">
        <f>MAR!$X8</f>
        <v>6999.1840000000002</v>
      </c>
      <c r="AI180" s="800">
        <f>ABR!$X8</f>
        <v>5589.8079999999991</v>
      </c>
      <c r="AJ180" s="800">
        <f>MAI!$X8</f>
        <v>5128.9119999999994</v>
      </c>
      <c r="AK180" s="800">
        <f>JUN!$X8</f>
        <v>5866.952000000002</v>
      </c>
      <c r="AL180" s="800">
        <f>JUL!$X8</f>
        <v>7086.1760000000013</v>
      </c>
      <c r="AM180" s="800">
        <f>AGO!$X8</f>
        <v>7465.4560000000001</v>
      </c>
      <c r="AN180" s="800">
        <f>SET!$X8</f>
        <v>6657.8740000000016</v>
      </c>
      <c r="AO180" s="800">
        <f>OUT!$X8*0</f>
        <v>0</v>
      </c>
      <c r="AP180" s="800">
        <f>NOV!$X8*0</f>
        <v>0</v>
      </c>
      <c r="AQ180" s="800">
        <f>DEZ!$X8*0</f>
        <v>0</v>
      </c>
      <c r="AR180" s="800">
        <f t="shared" si="68"/>
        <v>55253.258000000002</v>
      </c>
      <c r="AT180" s="809"/>
      <c r="AV180" s="809"/>
      <c r="AW180" s="809"/>
    </row>
    <row r="181" spans="1:49">
      <c r="A181" s="137" t="s">
        <v>81</v>
      </c>
      <c r="B181" s="800">
        <f>$G216*'Médias por UF'!FX157</f>
        <v>20189.822403059577</v>
      </c>
      <c r="C181" s="800">
        <f>$G216*'Médias por UF'!FY157</f>
        <v>40155.433351608481</v>
      </c>
      <c r="D181" s="800">
        <f>$G216*'Médias por UF'!FZ157</f>
        <v>54511.968971430855</v>
      </c>
      <c r="E181" s="800">
        <f>$G216*'Médias por UF'!GA157</f>
        <v>66753.658678735213</v>
      </c>
      <c r="F181" s="800">
        <f>$G216*'Médias por UF'!GB157</f>
        <v>78174.429523381783</v>
      </c>
      <c r="G181" s="800">
        <f>$G216*'Médias por UF'!GC157</f>
        <v>92010.920015551455</v>
      </c>
      <c r="H181" s="800">
        <f>$G216*'Médias por UF'!GD157</f>
        <v>108633.94566412157</v>
      </c>
      <c r="I181" s="800">
        <f>$G216*'Médias por UF'!GE157</f>
        <v>127031.15291566143</v>
      </c>
      <c r="J181" s="800">
        <f>$G216*'Médias por UF'!GF157</f>
        <v>145194.23430869865</v>
      </c>
      <c r="K181" s="800">
        <f>$G216*'Médias por UF'!GG157</f>
        <v>163657.63762251553</v>
      </c>
      <c r="L181" s="800">
        <f>$G216*'Médias por UF'!GH157</f>
        <v>185262.81777191829</v>
      </c>
      <c r="M181" s="800">
        <f>$G216*'Médias por UF'!GI157</f>
        <v>209385.96</v>
      </c>
      <c r="N181" s="800">
        <f t="shared" si="66"/>
        <v>209385.96</v>
      </c>
      <c r="P181" s="138" t="s">
        <v>81</v>
      </c>
      <c r="Q181" s="800">
        <f>$V216*'Médias por UF'!FX157</f>
        <v>15439.500112616448</v>
      </c>
      <c r="R181" s="800">
        <f>$V216*'Médias por UF'!FY157</f>
        <v>30707.541917771861</v>
      </c>
      <c r="S181" s="800">
        <f>$V216*'Médias por UF'!FZ157</f>
        <v>41686.228549777072</v>
      </c>
      <c r="T181" s="800">
        <f>$V216*'Médias por UF'!GA157</f>
        <v>51047.656592150503</v>
      </c>
      <c r="U181" s="800">
        <f>$V216*'Médias por UF'!GB157</f>
        <v>59781.314037070173</v>
      </c>
      <c r="V181" s="800">
        <f>$V216*'Médias por UF'!GC157</f>
        <v>70362.313327073673</v>
      </c>
      <c r="W181" s="800">
        <f>$V216*'Médias por UF'!GD157</f>
        <v>83074.223380043302</v>
      </c>
      <c r="X181" s="800">
        <f>$V216*'Médias por UF'!GE157</f>
        <v>97142.88023900277</v>
      </c>
      <c r="Y181" s="800">
        <f>$V216*'Médias por UF'!GF157</f>
        <v>111032.49707737395</v>
      </c>
      <c r="Z181" s="800">
        <f>$V216*'Médias por UF'!GG157</f>
        <v>125151.77518948648</v>
      </c>
      <c r="AA181" s="800">
        <f>$V216*'Médias por UF'!GH157</f>
        <v>141673.62341036298</v>
      </c>
      <c r="AB181" s="800">
        <f>$V216*'Médias por UF'!GI157</f>
        <v>160121</v>
      </c>
      <c r="AC181" s="800">
        <f t="shared" si="67"/>
        <v>160121</v>
      </c>
      <c r="AE181" s="138" t="s">
        <v>81</v>
      </c>
      <c r="AF181" s="800">
        <f>JAN!$X$9</f>
        <v>12183.904</v>
      </c>
      <c r="AG181" s="800">
        <f>FEV!$X9</f>
        <v>15737.248000000005</v>
      </c>
      <c r="AH181" s="800">
        <f>MAR!$X9</f>
        <v>19794.656000000003</v>
      </c>
      <c r="AI181" s="800">
        <f>ABR!$X9</f>
        <v>20817.968000000001</v>
      </c>
      <c r="AJ181" s="800">
        <f>MAI!$X9</f>
        <v>19921.039999999997</v>
      </c>
      <c r="AK181" s="800">
        <f>JUN!$X9</f>
        <v>13829.952000000001</v>
      </c>
      <c r="AL181" s="800">
        <f>JUL!$X9</f>
        <v>17526.024000000001</v>
      </c>
      <c r="AM181" s="800">
        <f>AGO!$X9</f>
        <v>25032.312000000002</v>
      </c>
      <c r="AN181" s="800">
        <f>SET!$X9</f>
        <v>24223.608</v>
      </c>
      <c r="AO181" s="800">
        <f>OUT!$X9*0</f>
        <v>0</v>
      </c>
      <c r="AP181" s="800">
        <f>NOV!$X9*0</f>
        <v>0</v>
      </c>
      <c r="AQ181" s="800">
        <f>DEZ!$X9*0</f>
        <v>0</v>
      </c>
      <c r="AR181" s="800">
        <f t="shared" si="68"/>
        <v>169066.71200000003</v>
      </c>
      <c r="AT181" s="809"/>
      <c r="AV181" s="809"/>
      <c r="AW181" s="809"/>
    </row>
    <row r="182" spans="1:49">
      <c r="A182" s="137" t="s">
        <v>82</v>
      </c>
      <c r="B182" s="800">
        <f>$G217*'Médias por UF'!FX158</f>
        <v>13194.639534358383</v>
      </c>
      <c r="C182" s="800">
        <f>$G217*'Médias por UF'!FY158</f>
        <v>26528.522702610306</v>
      </c>
      <c r="D182" s="800">
        <f>$G217*'Médias por UF'!FZ158</f>
        <v>34021.476935563784</v>
      </c>
      <c r="E182" s="800">
        <f>$G217*'Médias por UF'!GA158</f>
        <v>41517.699209012484</v>
      </c>
      <c r="F182" s="800">
        <f>$G217*'Médias por UF'!GB158</f>
        <v>50398.457322378956</v>
      </c>
      <c r="G182" s="800">
        <f>$G217*'Médias por UF'!GC158</f>
        <v>61629.842907054161</v>
      </c>
      <c r="H182" s="800">
        <f>$G217*'Médias por UF'!GD158</f>
        <v>71504.30397104405</v>
      </c>
      <c r="I182" s="800">
        <f>$G217*'Médias por UF'!GE158</f>
        <v>82739.564265461231</v>
      </c>
      <c r="J182" s="800">
        <f>$G217*'Médias por UF'!GF158</f>
        <v>95224.39844095755</v>
      </c>
      <c r="K182" s="800">
        <f>$G217*'Médias por UF'!GG158</f>
        <v>110090.47512207109</v>
      </c>
      <c r="L182" s="800">
        <f>$G217*'Médias por UF'!GH158</f>
        <v>123472.04747544558</v>
      </c>
      <c r="M182" s="800">
        <f>$G217*'Médias por UF'!GI158</f>
        <v>137824.76</v>
      </c>
      <c r="N182" s="800">
        <f t="shared" si="66"/>
        <v>137824.76</v>
      </c>
      <c r="P182" s="138" t="s">
        <v>82</v>
      </c>
      <c r="Q182" s="800">
        <f>$V217*'Médias por UF'!FX158</f>
        <v>10597.320120936663</v>
      </c>
      <c r="R182" s="800">
        <f>$V217*'Médias por UF'!FY158</f>
        <v>21306.474245320707</v>
      </c>
      <c r="S182" s="800">
        <f>$V217*'Médias por UF'!FZ158</f>
        <v>27324.466207235764</v>
      </c>
      <c r="T182" s="800">
        <f>$V217*'Médias por UF'!GA158</f>
        <v>33345.082907113989</v>
      </c>
      <c r="U182" s="800">
        <f>$V217*'Médias por UF'!GB158</f>
        <v>40477.694328508645</v>
      </c>
      <c r="V182" s="800">
        <f>$V217*'Médias por UF'!GC158</f>
        <v>49498.220287747303</v>
      </c>
      <c r="W182" s="800">
        <f>$V217*'Médias por UF'!GD158</f>
        <v>57428.927651471757</v>
      </c>
      <c r="X182" s="800">
        <f>$V217*'Médias por UF'!GE158</f>
        <v>66452.565597165565</v>
      </c>
      <c r="Y182" s="800">
        <f>$V217*'Médias por UF'!GF158</f>
        <v>76479.803102974271</v>
      </c>
      <c r="Z182" s="800">
        <f>$V217*'Médias por UF'!GG158</f>
        <v>88419.543716722881</v>
      </c>
      <c r="AA182" s="800">
        <f>$V217*'Médias por UF'!GH158</f>
        <v>99166.999574150439</v>
      </c>
      <c r="AB182" s="800">
        <f>$V217*'Médias por UF'!GI158</f>
        <v>110694.43000000001</v>
      </c>
      <c r="AC182" s="800">
        <f t="shared" si="67"/>
        <v>110694.43000000001</v>
      </c>
      <c r="AE182" s="138" t="s">
        <v>82</v>
      </c>
      <c r="AF182" s="800">
        <f>JAN!$X$10</f>
        <v>15204.544000000002</v>
      </c>
      <c r="AG182" s="800">
        <f>FEV!$X10</f>
        <v>13189.888000000001</v>
      </c>
      <c r="AH182" s="800">
        <f>MAR!$X10</f>
        <v>17974.727999999999</v>
      </c>
      <c r="AI182" s="800">
        <f>ABR!$X10</f>
        <v>9136.6640000000007</v>
      </c>
      <c r="AJ182" s="800">
        <f>MAI!$X10</f>
        <v>13215.32</v>
      </c>
      <c r="AK182" s="800">
        <f>JUN!$X10</f>
        <v>21362.424000000003</v>
      </c>
      <c r="AL182" s="800">
        <f>JUL!$X10</f>
        <v>26844.552</v>
      </c>
      <c r="AM182" s="800">
        <f>AGO!$X10</f>
        <v>31971.88</v>
      </c>
      <c r="AN182" s="800">
        <f>SET!$X10</f>
        <v>28576.239999999998</v>
      </c>
      <c r="AO182" s="800">
        <f>OUT!$X10*0</f>
        <v>0</v>
      </c>
      <c r="AP182" s="800">
        <f>NOV!$X10*0</f>
        <v>0</v>
      </c>
      <c r="AQ182" s="800">
        <f>DEZ!$X10*0</f>
        <v>0</v>
      </c>
      <c r="AR182" s="800">
        <f t="shared" si="68"/>
        <v>177476.24</v>
      </c>
      <c r="AT182" s="809"/>
      <c r="AV182" s="809"/>
      <c r="AW182" s="809"/>
    </row>
    <row r="183" spans="1:49">
      <c r="A183" s="137" t="s">
        <v>83</v>
      </c>
      <c r="B183" s="800">
        <f>$G218*'Médias por UF'!FX159</f>
        <v>22759.027894590403</v>
      </c>
      <c r="C183" s="800">
        <f>$G218*'Médias por UF'!FY159</f>
        <v>42190.451670249728</v>
      </c>
      <c r="D183" s="800">
        <f>$G218*'Médias por UF'!FZ159</f>
        <v>58592.693160039147</v>
      </c>
      <c r="E183" s="800">
        <f>$G218*'Médias por UF'!GA159</f>
        <v>73267.885461523343</v>
      </c>
      <c r="F183" s="800">
        <f>$G218*'Médias por UF'!GB159</f>
        <v>91428.12396097336</v>
      </c>
      <c r="G183" s="800">
        <f>$G218*'Médias por UF'!GC159</f>
        <v>109242.5549337399</v>
      </c>
      <c r="H183" s="800">
        <f>$G218*'Médias por UF'!GD159</f>
        <v>129490.60800678679</v>
      </c>
      <c r="I183" s="800">
        <f>$G218*'Médias por UF'!GE159</f>
        <v>151512.08307159255</v>
      </c>
      <c r="J183" s="800">
        <f>$G218*'Médias por UF'!GF159</f>
        <v>170417.96034154308</v>
      </c>
      <c r="K183" s="800">
        <f>$G218*'Médias por UF'!GG159</f>
        <v>190536.90655645714</v>
      </c>
      <c r="L183" s="800">
        <f>$G218*'Médias por UF'!GH159</f>
        <v>209418.15446966607</v>
      </c>
      <c r="M183" s="800">
        <f>$G218*'Médias por UF'!GI159</f>
        <v>229355.04</v>
      </c>
      <c r="N183" s="800">
        <f t="shared" si="66"/>
        <v>229355.04</v>
      </c>
      <c r="P183" s="138" t="s">
        <v>83</v>
      </c>
      <c r="Q183" s="800">
        <f>$V218*'Médias por UF'!FX159</f>
        <v>17464.902151132697</v>
      </c>
      <c r="R183" s="800">
        <f>$V218*'Médias por UF'!FY159</f>
        <v>32376.255855292802</v>
      </c>
      <c r="S183" s="800">
        <f>$V218*'Médias por UF'!FZ159</f>
        <v>44963.065098868217</v>
      </c>
      <c r="T183" s="800">
        <f>$V218*'Médias por UF'!GA159</f>
        <v>56224.565316783832</v>
      </c>
      <c r="U183" s="800">
        <f>$V218*'Médias por UF'!GB159</f>
        <v>70160.432433037728</v>
      </c>
      <c r="V183" s="800">
        <f>$V218*'Médias por UF'!GC159</f>
        <v>83830.932564171497</v>
      </c>
      <c r="W183" s="800">
        <f>$V218*'Médias por UF'!GD159</f>
        <v>99368.954104878867</v>
      </c>
      <c r="X183" s="800">
        <f>$V218*'Médias por UF'!GE159</f>
        <v>116267.87039479025</v>
      </c>
      <c r="Y183" s="800">
        <f>$V218*'Médias por UF'!GF159</f>
        <v>130775.92838963514</v>
      </c>
      <c r="Z183" s="800">
        <f>$V218*'Médias por UF'!GG159</f>
        <v>146214.87545955344</v>
      </c>
      <c r="AA183" s="800">
        <f>$V218*'Médias por UF'!GH159</f>
        <v>160704.03329277763</v>
      </c>
      <c r="AB183" s="800">
        <f>$V218*'Médias por UF'!GI159</f>
        <v>176003.27000000002</v>
      </c>
      <c r="AC183" s="800">
        <f t="shared" si="67"/>
        <v>176003.27000000002</v>
      </c>
      <c r="AE183" s="138" t="s">
        <v>83</v>
      </c>
      <c r="AF183" s="800">
        <f>JAN!$X$11</f>
        <v>18313.168000000001</v>
      </c>
      <c r="AG183" s="800">
        <f>FEV!$X11</f>
        <v>14923.616000000004</v>
      </c>
      <c r="AH183" s="800">
        <f>MAR!$X11</f>
        <v>15589.96</v>
      </c>
      <c r="AI183" s="800">
        <f>ABR!$X11</f>
        <v>13695.072000000002</v>
      </c>
      <c r="AJ183" s="800">
        <f>MAI!$X11</f>
        <v>39566.047999999995</v>
      </c>
      <c r="AK183" s="800">
        <f>JUN!$X11</f>
        <v>28231.216000000004</v>
      </c>
      <c r="AL183" s="800">
        <f>JUL!$X11</f>
        <v>27949.584000000006</v>
      </c>
      <c r="AM183" s="800">
        <f>AGO!$X11</f>
        <v>43496.880000000005</v>
      </c>
      <c r="AN183" s="800">
        <f>SET!$X11</f>
        <v>39840.663999999997</v>
      </c>
      <c r="AO183" s="800">
        <f>OUT!$X11*0</f>
        <v>0</v>
      </c>
      <c r="AP183" s="800">
        <f>NOV!$X11*0</f>
        <v>0</v>
      </c>
      <c r="AQ183" s="800">
        <f>DEZ!$X11*0</f>
        <v>0</v>
      </c>
      <c r="AR183" s="800">
        <f t="shared" si="68"/>
        <v>241606.20800000001</v>
      </c>
      <c r="AT183" s="809"/>
      <c r="AV183" s="809"/>
      <c r="AW183" s="809"/>
    </row>
    <row r="184" spans="1:49">
      <c r="A184" s="137" t="s">
        <v>84</v>
      </c>
      <c r="B184" s="800">
        <f>$G219*'Médias por UF'!FX160</f>
        <v>11671.518810008418</v>
      </c>
      <c r="C184" s="800">
        <f>$G219*'Médias por UF'!FY160</f>
        <v>22107.317180604412</v>
      </c>
      <c r="D184" s="800">
        <f>$G219*'Médias por UF'!FZ160</f>
        <v>30615.576128586788</v>
      </c>
      <c r="E184" s="800">
        <f>$G219*'Médias por UF'!GA160</f>
        <v>39337.78059764739</v>
      </c>
      <c r="F184" s="800">
        <f>$G219*'Médias por UF'!GB160</f>
        <v>46192.624483162283</v>
      </c>
      <c r="G184" s="800">
        <f>$G219*'Médias por UF'!GC160</f>
        <v>55519.047807095369</v>
      </c>
      <c r="H184" s="800">
        <f>$G219*'Médias por UF'!GD160</f>
        <v>65891.487054546509</v>
      </c>
      <c r="I184" s="800">
        <f>$G219*'Médias por UF'!GE160</f>
        <v>78342.932454078953</v>
      </c>
      <c r="J184" s="800">
        <f>$G219*'Médias por UF'!GF160</f>
        <v>89177.047604225212</v>
      </c>
      <c r="K184" s="800">
        <f>$G219*'Médias por UF'!GG160</f>
        <v>102366.35466689648</v>
      </c>
      <c r="L184" s="800">
        <f>$G219*'Médias por UF'!GH160</f>
        <v>114785.28630039129</v>
      </c>
      <c r="M184" s="800">
        <f>$G219*'Médias por UF'!GI160</f>
        <v>130076.64</v>
      </c>
      <c r="N184" s="800">
        <f t="shared" si="66"/>
        <v>130076.64</v>
      </c>
      <c r="P184" s="138" t="s">
        <v>84</v>
      </c>
      <c r="Q184" s="800">
        <f>$V219*'Médias por UF'!FX160</f>
        <v>11233.682881357978</v>
      </c>
      <c r="R184" s="800">
        <f>$V219*'Médias por UF'!FY160</f>
        <v>21278.001141680703</v>
      </c>
      <c r="S184" s="800">
        <f>$V219*'Médias por UF'!FZ160</f>
        <v>29467.088136267103</v>
      </c>
      <c r="T184" s="800">
        <f>$V219*'Médias por UF'!GA160</f>
        <v>37862.094872474343</v>
      </c>
      <c r="U184" s="800">
        <f>$V219*'Médias por UF'!GB160</f>
        <v>44459.791681655464</v>
      </c>
      <c r="V184" s="800">
        <f>$V219*'Médias por UF'!GC160</f>
        <v>53436.351094687787</v>
      </c>
      <c r="W184" s="800">
        <f>$V219*'Médias por UF'!GD160</f>
        <v>63419.687034831251</v>
      </c>
      <c r="X184" s="800">
        <f>$V219*'Médias por UF'!GE160</f>
        <v>75404.038969640867</v>
      </c>
      <c r="Y184" s="800">
        <f>$V219*'Médias por UF'!GF160</f>
        <v>85831.731875597077</v>
      </c>
      <c r="Z184" s="800">
        <f>$V219*'Médias por UF'!GG160</f>
        <v>98526.265927142435</v>
      </c>
      <c r="AA184" s="800">
        <f>$V219*'Médias por UF'!GH160</f>
        <v>110479.32379106966</v>
      </c>
      <c r="AB184" s="800">
        <f>$V219*'Médias por UF'!GI160</f>
        <v>125197.05</v>
      </c>
      <c r="AC184" s="800">
        <f t="shared" si="67"/>
        <v>125197.05</v>
      </c>
      <c r="AE184" s="138" t="s">
        <v>84</v>
      </c>
      <c r="AF184" s="800">
        <f>JAN!$X$12</f>
        <v>7768.463999999999</v>
      </c>
      <c r="AG184" s="800">
        <f>FEV!$X12</f>
        <v>11635.696</v>
      </c>
      <c r="AH184" s="800">
        <f>MAR!$X12</f>
        <v>14032.560000000001</v>
      </c>
      <c r="AI184" s="800">
        <f>ABR!$X12</f>
        <v>7445.3920000000007</v>
      </c>
      <c r="AJ184" s="800">
        <f>MAI!$X12</f>
        <v>12203.032000000001</v>
      </c>
      <c r="AK184" s="800">
        <f>JUN!$X12</f>
        <v>9967.5760000000009</v>
      </c>
      <c r="AL184" s="800">
        <f>JUL!$X12</f>
        <v>12884.480000000001</v>
      </c>
      <c r="AM184" s="800">
        <f>AGO!$X12</f>
        <v>20668.256000000001</v>
      </c>
      <c r="AN184" s="800">
        <f>SET!$X12</f>
        <v>19832.311999999998</v>
      </c>
      <c r="AO184" s="800">
        <f>OUT!$X12*0</f>
        <v>0</v>
      </c>
      <c r="AP184" s="800">
        <f>NOV!$X12*0</f>
        <v>0</v>
      </c>
      <c r="AQ184" s="800">
        <f>DEZ!$X12*0</f>
        <v>0</v>
      </c>
      <c r="AR184" s="800">
        <f t="shared" si="68"/>
        <v>116437.76800000001</v>
      </c>
      <c r="AT184" s="809"/>
      <c r="AV184" s="809"/>
      <c r="AW184" s="809"/>
    </row>
    <row r="185" spans="1:49">
      <c r="A185" s="137" t="s">
        <v>85</v>
      </c>
      <c r="B185" s="800">
        <f>$G220*'Médias por UF'!FX161</f>
        <v>14297.133464970524</v>
      </c>
      <c r="C185" s="800">
        <f>$G220*'Médias por UF'!FY161</f>
        <v>29038.685467433465</v>
      </c>
      <c r="D185" s="800">
        <f>$G220*'Médias por UF'!FZ161</f>
        <v>44761.786491379418</v>
      </c>
      <c r="E185" s="800">
        <f>$G220*'Médias por UF'!GA161</f>
        <v>58732.89252023337</v>
      </c>
      <c r="F185" s="800">
        <f>$G220*'Médias por UF'!GB161</f>
        <v>70474.557485423255</v>
      </c>
      <c r="G185" s="800">
        <f>$G220*'Médias por UF'!GC161</f>
        <v>85863.979024722168</v>
      </c>
      <c r="H185" s="800">
        <f>$G220*'Médias por UF'!GD161</f>
        <v>102024.02788221349</v>
      </c>
      <c r="I185" s="800">
        <f>$G220*'Médias por UF'!GE161</f>
        <v>118330.97601388619</v>
      </c>
      <c r="J185" s="800">
        <f>$G220*'Médias por UF'!GF161</f>
        <v>135155.09515494303</v>
      </c>
      <c r="K185" s="800">
        <f>$G220*'Médias por UF'!GG161</f>
        <v>151700.68030867889</v>
      </c>
      <c r="L185" s="800">
        <f>$G220*'Médias por UF'!GH161</f>
        <v>165912.99010015666</v>
      </c>
      <c r="M185" s="800">
        <f>$G220*'Médias por UF'!GI161</f>
        <v>182694.62</v>
      </c>
      <c r="N185" s="800">
        <f t="shared" si="66"/>
        <v>182694.62</v>
      </c>
      <c r="P185" s="138" t="s">
        <v>85</v>
      </c>
      <c r="Q185" s="800">
        <f>$V220*'Médias por UF'!FX161</f>
        <v>12001.013515277049</v>
      </c>
      <c r="R185" s="800">
        <f>$V220*'Médias por UF'!FY161</f>
        <v>24375.071941126815</v>
      </c>
      <c r="S185" s="800">
        <f>$V220*'Médias por UF'!FZ161</f>
        <v>37573.042593968501</v>
      </c>
      <c r="T185" s="800">
        <f>$V220*'Médias por UF'!GA161</f>
        <v>49300.388686557468</v>
      </c>
      <c r="U185" s="800">
        <f>$V220*'Médias por UF'!GB161</f>
        <v>59156.341999460899</v>
      </c>
      <c r="V185" s="800">
        <f>$V220*'Médias por UF'!GC161</f>
        <v>72074.222100246727</v>
      </c>
      <c r="W185" s="800">
        <f>$V220*'Médias por UF'!GD161</f>
        <v>85638.966754932699</v>
      </c>
      <c r="X185" s="800">
        <f>$V220*'Médias por UF'!GE161</f>
        <v>99327.01865712773</v>
      </c>
      <c r="Y185" s="800">
        <f>$V220*'Médias por UF'!GF161</f>
        <v>113449.18389319735</v>
      </c>
      <c r="Z185" s="800">
        <f>$V220*'Médias por UF'!GG161</f>
        <v>127337.54770645079</v>
      </c>
      <c r="AA185" s="800">
        <f>$V220*'Médias por UF'!GH161</f>
        <v>139267.3602320682</v>
      </c>
      <c r="AB185" s="800">
        <f>$V220*'Médias por UF'!GI161</f>
        <v>153353.85999999999</v>
      </c>
      <c r="AC185" s="800">
        <f t="shared" si="67"/>
        <v>153353.85999999999</v>
      </c>
      <c r="AE185" s="138" t="s">
        <v>85</v>
      </c>
      <c r="AF185" s="800">
        <f>JAN!$X$13</f>
        <v>13443.144</v>
      </c>
      <c r="AG185" s="800">
        <f>FEV!$X13</f>
        <v>12828.864000000001</v>
      </c>
      <c r="AH185" s="800">
        <f>MAR!$X13</f>
        <v>18685.832000000002</v>
      </c>
      <c r="AI185" s="800">
        <f>ABR!$X13</f>
        <v>12107.199999999999</v>
      </c>
      <c r="AJ185" s="800">
        <f>MAI!$X13</f>
        <v>13619.84</v>
      </c>
      <c r="AK185" s="800">
        <f>JUN!$X13</f>
        <v>13772.128000000001</v>
      </c>
      <c r="AL185" s="800">
        <f>JUL!$X13</f>
        <v>25756.872000000003</v>
      </c>
      <c r="AM185" s="800">
        <f>AGO!$X13</f>
        <v>40161.040000000001</v>
      </c>
      <c r="AN185" s="800">
        <f>SET!$X13</f>
        <v>36068.351999999999</v>
      </c>
      <c r="AO185" s="800">
        <f>OUT!$X13*0</f>
        <v>0</v>
      </c>
      <c r="AP185" s="800">
        <f>NOV!$X13*0</f>
        <v>0</v>
      </c>
      <c r="AQ185" s="800">
        <f>DEZ!$X13*0</f>
        <v>0</v>
      </c>
      <c r="AR185" s="800">
        <f t="shared" si="68"/>
        <v>186443.272</v>
      </c>
      <c r="AT185" s="809"/>
      <c r="AV185" s="809"/>
      <c r="AW185" s="809"/>
    </row>
    <row r="186" spans="1:49">
      <c r="A186" s="137" t="s">
        <v>86</v>
      </c>
      <c r="B186" s="800">
        <f>$G221*'Médias por UF'!FX162</f>
        <v>5607.3848858733636</v>
      </c>
      <c r="C186" s="800">
        <f>$G221*'Médias por UF'!FY162</f>
        <v>10344.980975802218</v>
      </c>
      <c r="D186" s="800">
        <f>$G221*'Médias por UF'!FZ162</f>
        <v>17626.944610151691</v>
      </c>
      <c r="E186" s="800">
        <f>$G221*'Médias por UF'!GA162</f>
        <v>21830.038606793376</v>
      </c>
      <c r="F186" s="800">
        <f>$G221*'Médias por UF'!GB162</f>
        <v>25348.370735103803</v>
      </c>
      <c r="G186" s="800">
        <f>$G221*'Médias por UF'!GC162</f>
        <v>31180.672448932764</v>
      </c>
      <c r="H186" s="800">
        <f>$G221*'Médias por UF'!GD162</f>
        <v>37629.644855993196</v>
      </c>
      <c r="I186" s="800">
        <f>$G221*'Médias por UF'!GE162</f>
        <v>42600.816354810784</v>
      </c>
      <c r="J186" s="800">
        <f>$G221*'Médias por UF'!GF162</f>
        <v>48359.726713525903</v>
      </c>
      <c r="K186" s="800">
        <f>$G221*'Médias por UF'!GG162</f>
        <v>54486.344826483102</v>
      </c>
      <c r="L186" s="800">
        <f>$G221*'Médias por UF'!GH162</f>
        <v>59596.357060289076</v>
      </c>
      <c r="M186" s="800">
        <f>$G221*'Médias por UF'!GI162</f>
        <v>65315.44</v>
      </c>
      <c r="N186" s="800">
        <f t="shared" si="66"/>
        <v>65315.44</v>
      </c>
      <c r="P186" s="138" t="s">
        <v>86</v>
      </c>
      <c r="Q186" s="800">
        <f>$V221*'Médias por UF'!FX162</f>
        <v>3833.0902816324024</v>
      </c>
      <c r="R186" s="800">
        <f>$V221*'Médias por UF'!FY162</f>
        <v>7071.6112499995588</v>
      </c>
      <c r="S186" s="800">
        <f>$V221*'Médias por UF'!FZ162</f>
        <v>12049.408316925545</v>
      </c>
      <c r="T186" s="800">
        <f>$V221*'Médias por UF'!GA162</f>
        <v>14922.554904723116</v>
      </c>
      <c r="U186" s="800">
        <f>$V221*'Médias por UF'!GB162</f>
        <v>17327.612692455346</v>
      </c>
      <c r="V186" s="800">
        <f>$V221*'Médias por UF'!GC162</f>
        <v>21314.451383544027</v>
      </c>
      <c r="W186" s="800">
        <f>$V221*'Médias por UF'!GD162</f>
        <v>25722.833180608544</v>
      </c>
      <c r="X186" s="800">
        <f>$V221*'Médias por UF'!GE162</f>
        <v>29121.021382108796</v>
      </c>
      <c r="Y186" s="800">
        <f>$V221*'Médias por UF'!GF162</f>
        <v>33057.691287610556</v>
      </c>
      <c r="Z186" s="800">
        <f>$V221*'Médias por UF'!GG162</f>
        <v>37245.718474260793</v>
      </c>
      <c r="AA186" s="800">
        <f>$V221*'Médias por UF'!GH162</f>
        <v>40738.81527982698</v>
      </c>
      <c r="AB186" s="800">
        <f>$V221*'Médias por UF'!GI162</f>
        <v>44648.26</v>
      </c>
      <c r="AC186" s="800">
        <f t="shared" si="67"/>
        <v>44648.26</v>
      </c>
      <c r="AE186" s="138" t="s">
        <v>86</v>
      </c>
      <c r="AF186" s="800">
        <f>JAN!$X$14</f>
        <v>2823.36</v>
      </c>
      <c r="AG186" s="800">
        <f>FEV!$X14</f>
        <v>5137.2800000000007</v>
      </c>
      <c r="AH186" s="800">
        <f>MAR!$X14</f>
        <v>4715.6000000000004</v>
      </c>
      <c r="AI186" s="800">
        <f>ABR!$X14</f>
        <v>2949.4640000000004</v>
      </c>
      <c r="AJ186" s="800">
        <f>MAI!$X14</f>
        <v>8454.0959999999995</v>
      </c>
      <c r="AK186" s="800">
        <f>JUN!$X14</f>
        <v>4350.2960000000003</v>
      </c>
      <c r="AL186" s="800">
        <f>JUL!$X14</f>
        <v>6094.04</v>
      </c>
      <c r="AM186" s="800">
        <f>AGO!$X14</f>
        <v>10119.144000000002</v>
      </c>
      <c r="AN186" s="800">
        <f>SET!$X14</f>
        <v>7829.9120000000012</v>
      </c>
      <c r="AO186" s="800">
        <f>OUT!$X14*0</f>
        <v>0</v>
      </c>
      <c r="AP186" s="800">
        <f>NOV!$X14*0</f>
        <v>0</v>
      </c>
      <c r="AQ186" s="800">
        <f>DEZ!$X14*0</f>
        <v>0</v>
      </c>
      <c r="AR186" s="800">
        <f t="shared" si="68"/>
        <v>52473.19200000001</v>
      </c>
      <c r="AT186" s="809"/>
      <c r="AV186" s="809"/>
      <c r="AW186" s="809"/>
    </row>
    <row r="187" spans="1:49">
      <c r="A187" s="137" t="s">
        <v>87</v>
      </c>
      <c r="B187" s="800">
        <f>$G222*'Médias por UF'!FX163</f>
        <v>8923.8436656509621</v>
      </c>
      <c r="C187" s="800">
        <f>$G222*'Médias por UF'!FY163</f>
        <v>20539.626312504344</v>
      </c>
      <c r="D187" s="800">
        <f>$G222*'Médias por UF'!FZ163</f>
        <v>29405.582060245699</v>
      </c>
      <c r="E187" s="800">
        <f>$G222*'Médias por UF'!GA163</f>
        <v>37089.749946736702</v>
      </c>
      <c r="F187" s="800">
        <f>$G222*'Médias por UF'!GB163</f>
        <v>45497.916776990052</v>
      </c>
      <c r="G187" s="800">
        <f>$G222*'Médias por UF'!GC163</f>
        <v>58255.916485366775</v>
      </c>
      <c r="H187" s="800">
        <f>$G222*'Médias por UF'!GD163</f>
        <v>70552.100618867262</v>
      </c>
      <c r="I187" s="800">
        <f>$G222*'Médias por UF'!GE163</f>
        <v>84066.387777590295</v>
      </c>
      <c r="J187" s="800">
        <f>$G222*'Médias por UF'!GF163</f>
        <v>97223.257230700285</v>
      </c>
      <c r="K187" s="800">
        <f>$G222*'Médias por UF'!GG163</f>
        <v>109168.35302087493</v>
      </c>
      <c r="L187" s="800">
        <f>$G222*'Médias por UF'!GH163</f>
        <v>121569.3165065487</v>
      </c>
      <c r="M187" s="800">
        <f>$G222*'Médias por UF'!GI163</f>
        <v>137702.06</v>
      </c>
      <c r="N187" s="800">
        <f t="shared" si="66"/>
        <v>137702.06</v>
      </c>
      <c r="P187" s="138" t="s">
        <v>87</v>
      </c>
      <c r="Q187" s="800">
        <f>$V222*'Médias por UF'!FX163</f>
        <v>7994.4039328483732</v>
      </c>
      <c r="R187" s="800">
        <f>$V222*'Médias por UF'!FY163</f>
        <v>18400.374942016948</v>
      </c>
      <c r="S187" s="800">
        <f>$V222*'Médias por UF'!FZ163</f>
        <v>26342.920122522737</v>
      </c>
      <c r="T187" s="800">
        <f>$V222*'Médias por UF'!GA163</f>
        <v>33226.763483526942</v>
      </c>
      <c r="U187" s="800">
        <f>$V222*'Médias por UF'!GB163</f>
        <v>40759.199560881658</v>
      </c>
      <c r="V187" s="800">
        <f>$V222*'Médias por UF'!GC163</f>
        <v>52188.422983576529</v>
      </c>
      <c r="W187" s="800">
        <f>$V222*'Médias por UF'!GD163</f>
        <v>63203.930031762073</v>
      </c>
      <c r="X187" s="800">
        <f>$V222*'Médias por UF'!GE163</f>
        <v>75310.67175194624</v>
      </c>
      <c r="Y187" s="800">
        <f>$V222*'Médias por UF'!GF163</f>
        <v>87097.221678271337</v>
      </c>
      <c r="Z187" s="800">
        <f>$V222*'Médias por UF'!GG163</f>
        <v>97798.207076613908</v>
      </c>
      <c r="AA187" s="800">
        <f>$V222*'Médias por UF'!GH163</f>
        <v>108907.58045599927</v>
      </c>
      <c r="AB187" s="800">
        <f>$V222*'Médias por UF'!GI163</f>
        <v>123360.06</v>
      </c>
      <c r="AC187" s="800">
        <f t="shared" si="67"/>
        <v>123360.06</v>
      </c>
      <c r="AE187" s="138" t="s">
        <v>87</v>
      </c>
      <c r="AF187" s="800">
        <f>JAN!$X$15</f>
        <v>8133.2639999999992</v>
      </c>
      <c r="AG187" s="800">
        <f>FEV!$X15</f>
        <v>7937.0079999999989</v>
      </c>
      <c r="AH187" s="800">
        <f>MAR!$X15</f>
        <v>11944.248</v>
      </c>
      <c r="AI187" s="800">
        <f>ABR!$X15</f>
        <v>10256.504000000001</v>
      </c>
      <c r="AJ187" s="800">
        <f>MAI!$X15</f>
        <v>7627.5519999999997</v>
      </c>
      <c r="AK187" s="800">
        <f>JUN!$X15</f>
        <v>10129.768</v>
      </c>
      <c r="AL187" s="800">
        <f>JUL!$X15</f>
        <v>12720.008</v>
      </c>
      <c r="AM187" s="800">
        <f>AGO!$X15</f>
        <v>11765.616</v>
      </c>
      <c r="AN187" s="800">
        <f>SET!$X15</f>
        <v>14054.367999999999</v>
      </c>
      <c r="AO187" s="800">
        <f>OUT!$X15*0</f>
        <v>0</v>
      </c>
      <c r="AP187" s="800">
        <f>NOV!$X15*0</f>
        <v>0</v>
      </c>
      <c r="AQ187" s="800">
        <f>DEZ!$X15*0</f>
        <v>0</v>
      </c>
      <c r="AR187" s="800">
        <f t="shared" si="68"/>
        <v>94568.335999999996</v>
      </c>
      <c r="AT187" s="809"/>
      <c r="AV187" s="809"/>
      <c r="AW187" s="809"/>
    </row>
    <row r="188" spans="1:49">
      <c r="A188" s="137" t="s">
        <v>88</v>
      </c>
      <c r="B188" s="800">
        <f>$G223*'Médias por UF'!FX164</f>
        <v>16235.031425689271</v>
      </c>
      <c r="C188" s="800">
        <f>$G223*'Médias por UF'!FY164</f>
        <v>29176.742765522722</v>
      </c>
      <c r="D188" s="800">
        <f>$G223*'Médias por UF'!FZ164</f>
        <v>41528.629198763134</v>
      </c>
      <c r="E188" s="800">
        <f>$G223*'Médias por UF'!GA164</f>
        <v>53300.383855286535</v>
      </c>
      <c r="F188" s="800">
        <f>$G223*'Médias por UF'!GB164</f>
        <v>65301.062539325154</v>
      </c>
      <c r="G188" s="800">
        <f>$G223*'Médias por UF'!GC164</f>
        <v>77647.025308446624</v>
      </c>
      <c r="H188" s="800">
        <f>$G223*'Médias por UF'!GD164</f>
        <v>92554.963331513267</v>
      </c>
      <c r="I188" s="800">
        <f>$G223*'Médias por UF'!GE164</f>
        <v>106935.75437777324</v>
      </c>
      <c r="J188" s="800">
        <f>$G223*'Médias por UF'!GF164</f>
        <v>127565.55870650547</v>
      </c>
      <c r="K188" s="800">
        <f>$G223*'Médias por UF'!GG164</f>
        <v>142963.35417675806</v>
      </c>
      <c r="L188" s="800">
        <f>$G223*'Médias por UF'!GH164</f>
        <v>158257.68853778331</v>
      </c>
      <c r="M188" s="800">
        <f>$G223*'Médias por UF'!GI164</f>
        <v>177461.41</v>
      </c>
      <c r="N188" s="800">
        <f t="shared" si="66"/>
        <v>177461.41</v>
      </c>
      <c r="P188" s="138" t="s">
        <v>88</v>
      </c>
      <c r="Q188" s="800">
        <f>$V223*'Médias por UF'!FX164</f>
        <v>13138.385257546735</v>
      </c>
      <c r="R188" s="800">
        <f>$V223*'Médias por UF'!FY164</f>
        <v>23611.613489531777</v>
      </c>
      <c r="S188" s="800">
        <f>$V223*'Médias por UF'!FZ164</f>
        <v>33607.519155632915</v>
      </c>
      <c r="T188" s="800">
        <f>$V223*'Médias por UF'!GA164</f>
        <v>43133.946532299226</v>
      </c>
      <c r="U188" s="800">
        <f>$V223*'Médias por UF'!GB164</f>
        <v>52845.633302023751</v>
      </c>
      <c r="V188" s="800">
        <f>$V223*'Médias por UF'!GC164</f>
        <v>62836.745175043099</v>
      </c>
      <c r="W188" s="800">
        <f>$V223*'Médias por UF'!GD164</f>
        <v>74901.164886159473</v>
      </c>
      <c r="X188" s="800">
        <f>$V223*'Médias por UF'!GE164</f>
        <v>86538.984864448808</v>
      </c>
      <c r="Y188" s="800">
        <f>$V223*'Médias por UF'!GF164</f>
        <v>103233.89046406531</v>
      </c>
      <c r="Z188" s="800">
        <f>$V223*'Médias por UF'!GG164</f>
        <v>115694.7329287726</v>
      </c>
      <c r="AA188" s="800">
        <f>$V223*'Médias por UF'!GH164</f>
        <v>128071.84830502779</v>
      </c>
      <c r="AB188" s="800">
        <f>$V223*'Médias por UF'!GI164</f>
        <v>143612.68</v>
      </c>
      <c r="AC188" s="800">
        <f t="shared" si="67"/>
        <v>143612.68</v>
      </c>
      <c r="AE188" s="138" t="s">
        <v>88</v>
      </c>
      <c r="AF188" s="800">
        <f>JAN!$X$16</f>
        <v>11452.376000000002</v>
      </c>
      <c r="AG188" s="800">
        <f>FEV!$X16</f>
        <v>16917.176000000003</v>
      </c>
      <c r="AH188" s="800">
        <f>MAR!$X16</f>
        <v>12919.144</v>
      </c>
      <c r="AI188" s="800">
        <f>ABR!$X16</f>
        <v>14024.848</v>
      </c>
      <c r="AJ188" s="800">
        <f>MAI!$X16</f>
        <v>15595.600000000002</v>
      </c>
      <c r="AK188" s="800">
        <f>JUN!$X16</f>
        <v>16681.016000000003</v>
      </c>
      <c r="AL188" s="800">
        <f>JUL!$X16</f>
        <v>14851.536</v>
      </c>
      <c r="AM188" s="800">
        <f>AGO!$X16</f>
        <v>26528.472000000005</v>
      </c>
      <c r="AN188" s="800">
        <f>SET!$X16</f>
        <v>31069.528000000009</v>
      </c>
      <c r="AO188" s="800">
        <f>OUT!$X16*0</f>
        <v>0</v>
      </c>
      <c r="AP188" s="800">
        <f>NOV!$X16*0</f>
        <v>0</v>
      </c>
      <c r="AQ188" s="800">
        <f>DEZ!$X16*0</f>
        <v>0</v>
      </c>
      <c r="AR188" s="800">
        <f t="shared" si="68"/>
        <v>160039.69600000003</v>
      </c>
      <c r="AT188" s="809"/>
      <c r="AV188" s="809"/>
      <c r="AW188" s="809"/>
    </row>
    <row r="189" spans="1:49">
      <c r="A189" s="137" t="s">
        <v>89</v>
      </c>
      <c r="B189" s="800">
        <f>$G224*'Médias por UF'!FX165</f>
        <v>68999.592904269535</v>
      </c>
      <c r="C189" s="800">
        <f>$G224*'Médias por UF'!FY165</f>
        <v>122872.85176621501</v>
      </c>
      <c r="D189" s="800">
        <f>$G224*'Médias por UF'!FZ165</f>
        <v>170923.99929571201</v>
      </c>
      <c r="E189" s="800">
        <f>$G224*'Médias por UF'!GA165</f>
        <v>214984.06019066781</v>
      </c>
      <c r="F189" s="800">
        <f>$G224*'Médias por UF'!GB165</f>
        <v>258722.90720288298</v>
      </c>
      <c r="G189" s="800">
        <f>$G224*'Médias por UF'!GC165</f>
        <v>305887.06467491167</v>
      </c>
      <c r="H189" s="800">
        <f>$G224*'Médias por UF'!GD165</f>
        <v>358811.57016606338</v>
      </c>
      <c r="I189" s="800">
        <f>$G224*'Médias por UF'!GE165</f>
        <v>407350.76765653014</v>
      </c>
      <c r="J189" s="800">
        <f>$G224*'Médias por UF'!GF165</f>
        <v>460529.2313206832</v>
      </c>
      <c r="K189" s="800">
        <f>$G224*'Médias por UF'!GG165</f>
        <v>516772.510836876</v>
      </c>
      <c r="L189" s="800">
        <f>$G224*'Médias por UF'!GH165</f>
        <v>577658.18087141193</v>
      </c>
      <c r="M189" s="800">
        <f>$G224*'Médias por UF'!GI165</f>
        <v>646195.09000000008</v>
      </c>
      <c r="N189" s="800">
        <f t="shared" si="66"/>
        <v>646195.09000000008</v>
      </c>
      <c r="P189" s="138" t="s">
        <v>89</v>
      </c>
      <c r="Q189" s="800">
        <f>$V224*'Médias por UF'!FX165</f>
        <v>56045.971972414831</v>
      </c>
      <c r="R189" s="800">
        <f>$V224*'Médias por UF'!FY165</f>
        <v>99805.348356393646</v>
      </c>
      <c r="S189" s="800">
        <f>$V224*'Médias por UF'!FZ165</f>
        <v>138835.62599030585</v>
      </c>
      <c r="T189" s="800">
        <f>$V224*'Médias por UF'!GA165</f>
        <v>174624.08261855913</v>
      </c>
      <c r="U189" s="800">
        <f>$V224*'Médias por UF'!GB165</f>
        <v>210151.62837021917</v>
      </c>
      <c r="V189" s="800">
        <f>$V224*'Médias por UF'!GC165</f>
        <v>248461.43479831354</v>
      </c>
      <c r="W189" s="800">
        <f>$V224*'Médias por UF'!GD165</f>
        <v>291450.1717829844</v>
      </c>
      <c r="X189" s="800">
        <f>$V224*'Médias por UF'!GE165</f>
        <v>330876.8754432298</v>
      </c>
      <c r="Y189" s="800">
        <f>$V224*'Médias por UF'!GF165</f>
        <v>374071.89382822643</v>
      </c>
      <c r="Z189" s="800">
        <f>$V224*'Médias por UF'!GG165</f>
        <v>419756.35564490157</v>
      </c>
      <c r="AA189" s="800">
        <f>$V224*'Médias por UF'!GH165</f>
        <v>469211.66998293949</v>
      </c>
      <c r="AB189" s="800">
        <f>$V224*'Médias por UF'!GI165</f>
        <v>524881.82000000007</v>
      </c>
      <c r="AC189" s="800">
        <f t="shared" si="67"/>
        <v>524881.82000000007</v>
      </c>
      <c r="AE189" s="138" t="s">
        <v>89</v>
      </c>
      <c r="AF189" s="800">
        <f>JAN!$X$17</f>
        <v>42590.271999999997</v>
      </c>
      <c r="AG189" s="800">
        <f>FEV!$X17</f>
        <v>48997.536</v>
      </c>
      <c r="AH189" s="800">
        <f>MAR!$X17</f>
        <v>68535.551999999996</v>
      </c>
      <c r="AI189" s="800">
        <f>ABR!$X17</f>
        <v>51851.952000000012</v>
      </c>
      <c r="AJ189" s="800">
        <f>MAI!$X17</f>
        <v>50655.896000000008</v>
      </c>
      <c r="AK189" s="800">
        <f>JUN!$X17</f>
        <v>46528.90400000001</v>
      </c>
      <c r="AL189" s="800">
        <f>JUL!$X17</f>
        <v>62597.824000000008</v>
      </c>
      <c r="AM189" s="800">
        <f>AGO!$X17</f>
        <v>73563.135999999999</v>
      </c>
      <c r="AN189" s="800">
        <f>SET!$X17</f>
        <v>52313.4</v>
      </c>
      <c r="AO189" s="800">
        <f>OUT!$X17*0</f>
        <v>0</v>
      </c>
      <c r="AP189" s="800">
        <f>NOV!$X17*0</f>
        <v>0</v>
      </c>
      <c r="AQ189" s="800">
        <f>DEZ!$X17*0</f>
        <v>0</v>
      </c>
      <c r="AR189" s="800">
        <f t="shared" si="68"/>
        <v>497634.47200000001</v>
      </c>
      <c r="AT189" s="809"/>
      <c r="AV189" s="809"/>
      <c r="AW189" s="809"/>
    </row>
    <row r="190" spans="1:49">
      <c r="A190" s="137" t="s">
        <v>90</v>
      </c>
      <c r="B190" s="800">
        <f>$G225*'Médias por UF'!FX166</f>
        <v>9778.1482627854421</v>
      </c>
      <c r="C190" s="800">
        <f>$G225*'Médias por UF'!FY166</f>
        <v>18882.257625340171</v>
      </c>
      <c r="D190" s="800">
        <f>$G225*'Médias por UF'!FZ166</f>
        <v>26938.508797644816</v>
      </c>
      <c r="E190" s="800">
        <f>$G225*'Médias por UF'!GA166</f>
        <v>34535.353233244772</v>
      </c>
      <c r="F190" s="800">
        <f>$G225*'Médias por UF'!GB166</f>
        <v>40397.484830039401</v>
      </c>
      <c r="G190" s="800">
        <f>$G225*'Médias por UF'!GC166</f>
        <v>47584.49330021027</v>
      </c>
      <c r="H190" s="800">
        <f>$G225*'Médias por UF'!GD166</f>
        <v>56354.713183384927</v>
      </c>
      <c r="I190" s="800">
        <f>$G225*'Médias por UF'!GE166</f>
        <v>66370.604079585552</v>
      </c>
      <c r="J190" s="800">
        <f>$G225*'Médias por UF'!GF166</f>
        <v>75250.137788902182</v>
      </c>
      <c r="K190" s="800">
        <f>$G225*'Médias por UF'!GG166</f>
        <v>85367.498084861189</v>
      </c>
      <c r="L190" s="800">
        <f>$G225*'Médias por UF'!GH166</f>
        <v>95927.268587631595</v>
      </c>
      <c r="M190" s="800">
        <f>$G225*'Médias por UF'!GI166</f>
        <v>107213.95999999999</v>
      </c>
      <c r="N190" s="800">
        <f t="shared" si="66"/>
        <v>107213.95999999999</v>
      </c>
      <c r="P190" s="138" t="s">
        <v>90</v>
      </c>
      <c r="Q190" s="800">
        <f>$V225*'Médias por UF'!FX166</f>
        <v>7029.8458772007561</v>
      </c>
      <c r="R190" s="800">
        <f>$V225*'Médias por UF'!FY166</f>
        <v>13575.102090130047</v>
      </c>
      <c r="S190" s="800">
        <f>$V225*'Médias por UF'!FZ166</f>
        <v>19367.017140637425</v>
      </c>
      <c r="T190" s="800">
        <f>$V225*'Médias por UF'!GA166</f>
        <v>24828.648944543496</v>
      </c>
      <c r="U190" s="800">
        <f>$V225*'Médias por UF'!GB166</f>
        <v>29043.136241097924</v>
      </c>
      <c r="V190" s="800">
        <f>$V225*'Médias por UF'!GC166</f>
        <v>34210.122924632342</v>
      </c>
      <c r="W190" s="800">
        <f>$V225*'Médias por UF'!GD166</f>
        <v>40515.334548649662</v>
      </c>
      <c r="X190" s="800">
        <f>$V225*'Médias por UF'!GE166</f>
        <v>47716.101752305374</v>
      </c>
      <c r="Y190" s="800">
        <f>$V225*'Médias por UF'!GF166</f>
        <v>54099.90283205326</v>
      </c>
      <c r="Z190" s="800">
        <f>$V225*'Médias por UF'!GG166</f>
        <v>61373.619864488763</v>
      </c>
      <c r="AA190" s="800">
        <f>$V225*'Médias por UF'!GH166</f>
        <v>68965.400755724739</v>
      </c>
      <c r="AB190" s="800">
        <f>$V225*'Médias por UF'!GI166</f>
        <v>77079.790000000008</v>
      </c>
      <c r="AC190" s="800">
        <f t="shared" si="67"/>
        <v>77079.790000000008</v>
      </c>
      <c r="AE190" s="138" t="s">
        <v>90</v>
      </c>
      <c r="AF190" s="800">
        <f>JAN!$X$18</f>
        <v>6658.9519999999993</v>
      </c>
      <c r="AG190" s="800">
        <f>FEV!$X18</f>
        <v>9064.496000000001</v>
      </c>
      <c r="AH190" s="800">
        <f>MAR!$X18</f>
        <v>9643.1759999999995</v>
      </c>
      <c r="AI190" s="800">
        <f>ABR!$X18</f>
        <v>7691.6399999999994</v>
      </c>
      <c r="AJ190" s="800">
        <f>MAI!$X18</f>
        <v>10161.448</v>
      </c>
      <c r="AK190" s="800">
        <f>JUN!$X18</f>
        <v>9589.4160000000011</v>
      </c>
      <c r="AL190" s="800">
        <f>JUL!$X18</f>
        <v>10016.24</v>
      </c>
      <c r="AM190" s="800">
        <f>AGO!$X18</f>
        <v>10418.280000000001</v>
      </c>
      <c r="AN190" s="800">
        <f>SET!$X18</f>
        <v>10011.704000000002</v>
      </c>
      <c r="AO190" s="800">
        <f>OUT!$X18*0</f>
        <v>0</v>
      </c>
      <c r="AP190" s="800">
        <f>NOV!$X18*0</f>
        <v>0</v>
      </c>
      <c r="AQ190" s="800">
        <f>DEZ!$X18*0</f>
        <v>0</v>
      </c>
      <c r="AR190" s="800">
        <f t="shared" si="68"/>
        <v>83255.351999999999</v>
      </c>
      <c r="AT190" s="809"/>
      <c r="AV190" s="809"/>
      <c r="AW190" s="809"/>
    </row>
    <row r="191" spans="1:49">
      <c r="A191" s="137" t="s">
        <v>91</v>
      </c>
      <c r="B191" s="800">
        <f>$G226*'Médias por UF'!FX167</f>
        <v>11778.836503942166</v>
      </c>
      <c r="C191" s="800">
        <f>$G226*'Médias por UF'!FY167</f>
        <v>21503.193530015651</v>
      </c>
      <c r="D191" s="800">
        <f>$G226*'Médias por UF'!FZ167</f>
        <v>29983.97542802204</v>
      </c>
      <c r="E191" s="800">
        <f>$G226*'Médias por UF'!GA167</f>
        <v>36615.886331161455</v>
      </c>
      <c r="F191" s="800">
        <f>$G226*'Médias por UF'!GB167</f>
        <v>44198.277054157297</v>
      </c>
      <c r="G191" s="800">
        <f>$G226*'Médias por UF'!GC167</f>
        <v>52022.145091603379</v>
      </c>
      <c r="H191" s="800">
        <f>$G226*'Médias por UF'!GD167</f>
        <v>61797.959151025992</v>
      </c>
      <c r="I191" s="800">
        <f>$G226*'Médias por UF'!GE167</f>
        <v>71743.412750505871</v>
      </c>
      <c r="J191" s="800">
        <f>$G226*'Médias por UF'!GF167</f>
        <v>82088.861090254752</v>
      </c>
      <c r="K191" s="800">
        <f>$G226*'Médias por UF'!GG167</f>
        <v>94580.245831075357</v>
      </c>
      <c r="L191" s="800">
        <f>$G226*'Médias por UF'!GH167</f>
        <v>106777.95411969603</v>
      </c>
      <c r="M191" s="800">
        <f>$G226*'Médias por UF'!GI167</f>
        <v>121509.67</v>
      </c>
      <c r="N191" s="800">
        <f t="shared" si="66"/>
        <v>121509.67</v>
      </c>
      <c r="P191" s="138" t="s">
        <v>91</v>
      </c>
      <c r="Q191" s="800">
        <f>$V226*'Médias por UF'!FX167</f>
        <v>9236.5115463580169</v>
      </c>
      <c r="R191" s="800">
        <f>$V226*'Médias por UF'!FY167</f>
        <v>16861.979131562599</v>
      </c>
      <c r="S191" s="800">
        <f>$V226*'Médias por UF'!FZ167</f>
        <v>23512.282826402363</v>
      </c>
      <c r="T191" s="800">
        <f>$V226*'Médias por UF'!GA167</f>
        <v>28712.7728417586</v>
      </c>
      <c r="U191" s="800">
        <f>$V226*'Médias por UF'!GB167</f>
        <v>34658.592654989698</v>
      </c>
      <c r="V191" s="800">
        <f>$V226*'Médias por UF'!GC167</f>
        <v>40793.769710963454</v>
      </c>
      <c r="W191" s="800">
        <f>$V226*'Médias por UF'!GD167</f>
        <v>48459.587926938024</v>
      </c>
      <c r="X191" s="800">
        <f>$V226*'Médias por UF'!GE167</f>
        <v>56258.430959916659</v>
      </c>
      <c r="Y191" s="800">
        <f>$V226*'Médias por UF'!GF167</f>
        <v>64370.934517493006</v>
      </c>
      <c r="Z191" s="800">
        <f>$V226*'Médias por UF'!GG167</f>
        <v>74166.199045528119</v>
      </c>
      <c r="AA191" s="800">
        <f>$V226*'Médias por UF'!GH167</f>
        <v>83731.173770259629</v>
      </c>
      <c r="AB191" s="800">
        <f>$V226*'Médias por UF'!GI167</f>
        <v>95283.22</v>
      </c>
      <c r="AC191" s="800">
        <f t="shared" si="67"/>
        <v>95283.22</v>
      </c>
      <c r="AE191" s="138" t="s">
        <v>91</v>
      </c>
      <c r="AF191" s="800">
        <f>JAN!$X$19</f>
        <v>8130.1200000000008</v>
      </c>
      <c r="AG191" s="800">
        <f>FEV!$X19</f>
        <v>10173.064</v>
      </c>
      <c r="AH191" s="800">
        <f>MAR!$X19</f>
        <v>19173.728000000003</v>
      </c>
      <c r="AI191" s="800">
        <f>ABR!$X19</f>
        <v>8968.1760000000013</v>
      </c>
      <c r="AJ191" s="800">
        <f>MAI!$X19</f>
        <v>10455.416000000003</v>
      </c>
      <c r="AK191" s="800">
        <f>JUN!$X19</f>
        <v>10201.072</v>
      </c>
      <c r="AL191" s="800">
        <f>JUL!$X19</f>
        <v>13406.000000000002</v>
      </c>
      <c r="AM191" s="800">
        <f>AGO!$X19</f>
        <v>18957.944000000003</v>
      </c>
      <c r="AN191" s="800">
        <f>SET!$X19</f>
        <v>20681.991999999998</v>
      </c>
      <c r="AO191" s="800">
        <f>OUT!$X19*0</f>
        <v>0</v>
      </c>
      <c r="AP191" s="800">
        <f>NOV!$X19*0</f>
        <v>0</v>
      </c>
      <c r="AQ191" s="800">
        <f>DEZ!$X19*0</f>
        <v>0</v>
      </c>
      <c r="AR191" s="800">
        <f t="shared" si="68"/>
        <v>120147.512</v>
      </c>
      <c r="AT191" s="809"/>
      <c r="AV191" s="809"/>
      <c r="AW191" s="809"/>
    </row>
    <row r="192" spans="1:49">
      <c r="A192" s="137" t="s">
        <v>92</v>
      </c>
      <c r="B192" s="800">
        <f>$G227*'Médias por UF'!FX168</f>
        <v>51542.947848245596</v>
      </c>
      <c r="C192" s="800">
        <f>$G227*'Médias por UF'!FY168</f>
        <v>90536.370032813953</v>
      </c>
      <c r="D192" s="800">
        <f>$G227*'Médias por UF'!FZ168</f>
        <v>125088.08428197553</v>
      </c>
      <c r="E192" s="800">
        <f>$G227*'Médias por UF'!GA168</f>
        <v>154467.98675419902</v>
      </c>
      <c r="F192" s="800">
        <f>$G227*'Médias por UF'!GB168</f>
        <v>185868.73897590861</v>
      </c>
      <c r="G192" s="800">
        <f>$G227*'Médias por UF'!GC168</f>
        <v>219914.67792981252</v>
      </c>
      <c r="H192" s="800">
        <f>$G227*'Médias por UF'!GD168</f>
        <v>256012.04110664237</v>
      </c>
      <c r="I192" s="800">
        <f>$G227*'Médias por UF'!GE168</f>
        <v>298322.06301954569</v>
      </c>
      <c r="J192" s="800">
        <f>$G227*'Médias por UF'!GF168</f>
        <v>335086.26220634242</v>
      </c>
      <c r="K192" s="800">
        <f>$G227*'Médias por UF'!GG168</f>
        <v>377893.69025708188</v>
      </c>
      <c r="L192" s="800">
        <f>$G227*'Médias por UF'!GH168</f>
        <v>426529.77060119581</v>
      </c>
      <c r="M192" s="800">
        <f>$G227*'Médias por UF'!GI168</f>
        <v>486484.29</v>
      </c>
      <c r="N192" s="800">
        <f t="shared" si="66"/>
        <v>486484.29</v>
      </c>
      <c r="P192" s="138" t="s">
        <v>92</v>
      </c>
      <c r="Q192" s="800">
        <f>$V227*'Médias por UF'!FX168</f>
        <v>43537.228312860512</v>
      </c>
      <c r="R192" s="800">
        <f>$V227*'Médias por UF'!FY168</f>
        <v>76474.14005775399</v>
      </c>
      <c r="S192" s="800">
        <f>$V227*'Médias por UF'!FZ168</f>
        <v>105659.23587911505</v>
      </c>
      <c r="T192" s="800">
        <f>$V227*'Médias por UF'!GA168</f>
        <v>130475.81263969913</v>
      </c>
      <c r="U192" s="800">
        <f>$V227*'Médias por UF'!GB168</f>
        <v>156999.35806626643</v>
      </c>
      <c r="V192" s="800">
        <f>$V227*'Médias por UF'!GC168</f>
        <v>185757.23628708455</v>
      </c>
      <c r="W192" s="800">
        <f>$V227*'Médias por UF'!GD168</f>
        <v>216247.90877925514</v>
      </c>
      <c r="X192" s="800">
        <f>$V227*'Médias por UF'!GE168</f>
        <v>251986.28155078652</v>
      </c>
      <c r="Y192" s="800">
        <f>$V227*'Médias por UF'!GF168</f>
        <v>283040.21619277907</v>
      </c>
      <c r="Z192" s="800">
        <f>$V227*'Médias por UF'!GG168</f>
        <v>319198.73731614614</v>
      </c>
      <c r="AA192" s="800">
        <f>$V227*'Médias por UF'!GH168</f>
        <v>360280.59666999348</v>
      </c>
      <c r="AB192" s="800">
        <f>$V227*'Médias por UF'!GI168</f>
        <v>410922.9</v>
      </c>
      <c r="AC192" s="800">
        <f t="shared" si="67"/>
        <v>410922.9</v>
      </c>
      <c r="AE192" s="138" t="s">
        <v>92</v>
      </c>
      <c r="AF192" s="800">
        <f>JAN!$X$20</f>
        <v>30126.624000000003</v>
      </c>
      <c r="AG192" s="800">
        <f>FEV!$X20</f>
        <v>53709.823999999993</v>
      </c>
      <c r="AH192" s="800">
        <f>MAR!$X20</f>
        <v>51653.90400000001</v>
      </c>
      <c r="AI192" s="800">
        <f>ABR!$X20</f>
        <v>34586.648000000008</v>
      </c>
      <c r="AJ192" s="800">
        <f>MAI!$X20</f>
        <v>39238.424000000006</v>
      </c>
      <c r="AK192" s="800">
        <f>JUN!$X20</f>
        <v>40618.232000000011</v>
      </c>
      <c r="AL192" s="800">
        <f>JUL!$X20</f>
        <v>47244.087999999996</v>
      </c>
      <c r="AM192" s="800">
        <f>AGO!$X20</f>
        <v>60971.912000000004</v>
      </c>
      <c r="AN192" s="800">
        <f>SET!$X20</f>
        <v>47552.04</v>
      </c>
      <c r="AO192" s="800">
        <f>OUT!$X20*0</f>
        <v>0</v>
      </c>
      <c r="AP192" s="800">
        <f>NOV!$X20*0</f>
        <v>0</v>
      </c>
      <c r="AQ192" s="800">
        <f>DEZ!$X20*0</f>
        <v>0</v>
      </c>
      <c r="AR192" s="800">
        <f t="shared" si="68"/>
        <v>405701.69600000005</v>
      </c>
      <c r="AT192" s="809"/>
      <c r="AV192" s="809"/>
      <c r="AW192" s="809"/>
    </row>
    <row r="193" spans="1:49">
      <c r="A193" s="137" t="s">
        <v>93</v>
      </c>
      <c r="B193" s="800">
        <f>$G228*'Médias por UF'!FX169</f>
        <v>24591.689352725942</v>
      </c>
      <c r="C193" s="800">
        <f>$G228*'Médias por UF'!FY169</f>
        <v>41461.662418242093</v>
      </c>
      <c r="D193" s="800">
        <f>$G228*'Médias por UF'!FZ169</f>
        <v>59530.741477865929</v>
      </c>
      <c r="E193" s="800">
        <f>$G228*'Médias por UF'!GA169</f>
        <v>75420.332449550071</v>
      </c>
      <c r="F193" s="800">
        <f>$G228*'Médias por UF'!GB169</f>
        <v>88652.206115649227</v>
      </c>
      <c r="G193" s="800">
        <f>$G228*'Médias por UF'!GC169</f>
        <v>105848.26030106765</v>
      </c>
      <c r="H193" s="800">
        <f>$G228*'Médias por UF'!GD169</f>
        <v>130022.01440702511</v>
      </c>
      <c r="I193" s="800">
        <f>$G228*'Médias por UF'!GE169</f>
        <v>148613.57454402887</v>
      </c>
      <c r="J193" s="800">
        <f>$G228*'Médias por UF'!GF169</f>
        <v>167442.10351473509</v>
      </c>
      <c r="K193" s="800">
        <f>$G228*'Médias por UF'!GG169</f>
        <v>185739.19678348911</v>
      </c>
      <c r="L193" s="800">
        <f>$G228*'Médias por UF'!GH169</f>
        <v>204929.24150718781</v>
      </c>
      <c r="M193" s="800">
        <f>$G228*'Médias por UF'!GI169</f>
        <v>225905.29</v>
      </c>
      <c r="N193" s="800">
        <f t="shared" si="66"/>
        <v>225905.29</v>
      </c>
      <c r="P193" s="138" t="s">
        <v>93</v>
      </c>
      <c r="Q193" s="800">
        <f>$V228*'Médias por UF'!FX169</f>
        <v>20621.071442189477</v>
      </c>
      <c r="R193" s="800">
        <f>$V228*'Médias por UF'!FY169</f>
        <v>34767.188645530754</v>
      </c>
      <c r="S193" s="800">
        <f>$V228*'Médias por UF'!FZ169</f>
        <v>49918.802056008819</v>
      </c>
      <c r="T193" s="800">
        <f>$V228*'Médias por UF'!GA169</f>
        <v>63242.831402449265</v>
      </c>
      <c r="U193" s="800">
        <f>$V228*'Médias por UF'!GB169</f>
        <v>74338.263207438737</v>
      </c>
      <c r="V193" s="800">
        <f>$V228*'Médias por UF'!GC169</f>
        <v>88757.811892977406</v>
      </c>
      <c r="W193" s="800">
        <f>$V228*'Médias por UF'!GD169</f>
        <v>109028.42865683197</v>
      </c>
      <c r="X193" s="800">
        <f>$V228*'Médias por UF'!GE169</f>
        <v>124618.16242046298</v>
      </c>
      <c r="Y193" s="800">
        <f>$V228*'Médias por UF'!GF169</f>
        <v>140406.60360834861</v>
      </c>
      <c r="Z193" s="800">
        <f>$V228*'Médias por UF'!GG169</f>
        <v>155749.41564812241</v>
      </c>
      <c r="AA193" s="800">
        <f>$V228*'Médias por UF'!GH169</f>
        <v>171841.00161240011</v>
      </c>
      <c r="AB193" s="800">
        <f>$V228*'Médias por UF'!GI169</f>
        <v>189430.22</v>
      </c>
      <c r="AC193" s="800">
        <f t="shared" si="67"/>
        <v>189430.22</v>
      </c>
      <c r="AE193" s="138" t="s">
        <v>93</v>
      </c>
      <c r="AF193" s="800">
        <f>JAN!$X$21</f>
        <v>15557.080000000002</v>
      </c>
      <c r="AG193" s="800">
        <f>FEV!$X21</f>
        <v>21446.824000000004</v>
      </c>
      <c r="AH193" s="800">
        <f>MAR!$X21</f>
        <v>13843.784000000001</v>
      </c>
      <c r="AI193" s="800">
        <f>ABR!$X21</f>
        <v>13938.376</v>
      </c>
      <c r="AJ193" s="800">
        <f>MAI!$X21</f>
        <v>22232.967999999997</v>
      </c>
      <c r="AK193" s="800">
        <f>JUN!$X21</f>
        <v>20050.896000000001</v>
      </c>
      <c r="AL193" s="800">
        <f>JUL!$X21</f>
        <v>18359.152000000002</v>
      </c>
      <c r="AM193" s="800">
        <f>AGO!$X21</f>
        <v>26249.376</v>
      </c>
      <c r="AN193" s="800">
        <f>SET!$X21</f>
        <v>19906.919999999998</v>
      </c>
      <c r="AO193" s="800">
        <f>OUT!$X21*0</f>
        <v>0</v>
      </c>
      <c r="AP193" s="800">
        <f>NOV!$X21*0</f>
        <v>0</v>
      </c>
      <c r="AQ193" s="800">
        <f>DEZ!$X21*0</f>
        <v>0</v>
      </c>
      <c r="AR193" s="800">
        <f t="shared" si="68"/>
        <v>171585.37599999999</v>
      </c>
      <c r="AT193" s="809"/>
      <c r="AV193" s="809"/>
      <c r="AW193" s="809"/>
    </row>
    <row r="194" spans="1:49">
      <c r="A194" s="137" t="s">
        <v>94</v>
      </c>
      <c r="B194" s="800">
        <f>$G229*'Médias por UF'!FX170</f>
        <v>5495.9912424689783</v>
      </c>
      <c r="C194" s="800">
        <f>$G229*'Médias por UF'!FY170</f>
        <v>9588.428110225901</v>
      </c>
      <c r="D194" s="800">
        <f>$G229*'Médias por UF'!FZ170</f>
        <v>12487.243815939755</v>
      </c>
      <c r="E194" s="800">
        <f>$G229*'Médias por UF'!GA170</f>
        <v>17713.07908549091</v>
      </c>
      <c r="F194" s="800">
        <f>$G229*'Médias por UF'!GB170</f>
        <v>21210.399233140666</v>
      </c>
      <c r="G194" s="800">
        <f>$G229*'Médias por UF'!GC170</f>
        <v>24500.535568666721</v>
      </c>
      <c r="H194" s="800">
        <f>$G229*'Médias por UF'!GD170</f>
        <v>28643.552569778232</v>
      </c>
      <c r="I194" s="800">
        <f>$G229*'Médias por UF'!GE170</f>
        <v>33343.669142943683</v>
      </c>
      <c r="J194" s="800">
        <f>$G229*'Médias por UF'!GF170</f>
        <v>36687.47236819411</v>
      </c>
      <c r="K194" s="800">
        <f>$G229*'Médias por UF'!GG170</f>
        <v>40107.823508123503</v>
      </c>
      <c r="L194" s="800">
        <f>$G229*'Médias por UF'!GH170</f>
        <v>44491.7720143693</v>
      </c>
      <c r="M194" s="800">
        <f>$G229*'Médias por UF'!GI170</f>
        <v>50086.6</v>
      </c>
      <c r="N194" s="800">
        <f t="shared" si="66"/>
        <v>50086.6</v>
      </c>
      <c r="P194" s="138" t="s">
        <v>94</v>
      </c>
      <c r="Q194" s="800">
        <f>$V229*'Médias por UF'!FX170</f>
        <v>4845.6272677838542</v>
      </c>
      <c r="R194" s="800">
        <f>$V229*'Médias por UF'!FY170</f>
        <v>8453.7887082264751</v>
      </c>
      <c r="S194" s="800">
        <f>$V229*'Médias por UF'!FZ170</f>
        <v>11009.575245756867</v>
      </c>
      <c r="T194" s="800">
        <f>$V229*'Médias por UF'!GA170</f>
        <v>15617.015243734009</v>
      </c>
      <c r="U194" s="800">
        <f>$V229*'Médias por UF'!GB170</f>
        <v>18700.482651882299</v>
      </c>
      <c r="V194" s="800">
        <f>$V229*'Médias por UF'!GC170</f>
        <v>21601.283187908895</v>
      </c>
      <c r="W194" s="800">
        <f>$V229*'Médias por UF'!GD170</f>
        <v>25254.039399809164</v>
      </c>
      <c r="X194" s="800">
        <f>$V229*'Médias por UF'!GE170</f>
        <v>29397.971226465794</v>
      </c>
      <c r="Y194" s="800">
        <f>$V229*'Médias por UF'!GF170</f>
        <v>32346.088021335039</v>
      </c>
      <c r="Z194" s="800">
        <f>$V229*'Médias por UF'!GG170</f>
        <v>35361.694491186689</v>
      </c>
      <c r="AA194" s="800">
        <f>$V229*'Médias por UF'!GH170</f>
        <v>39226.871760443377</v>
      </c>
      <c r="AB194" s="800">
        <f>$V229*'Médias por UF'!GI170</f>
        <v>44159.64</v>
      </c>
      <c r="AC194" s="800">
        <f t="shared" si="67"/>
        <v>44159.64</v>
      </c>
      <c r="AE194" s="138" t="s">
        <v>94</v>
      </c>
      <c r="AF194" s="800">
        <f>JAN!$X$22</f>
        <v>3522.096</v>
      </c>
      <c r="AG194" s="800">
        <f>FEV!$X22</f>
        <v>1935.8320000000001</v>
      </c>
      <c r="AH194" s="800">
        <f>MAR!$X22</f>
        <v>4160.4720000000007</v>
      </c>
      <c r="AI194" s="800">
        <f>ABR!$X22</f>
        <v>2128.768</v>
      </c>
      <c r="AJ194" s="800">
        <f>MAI!$X22</f>
        <v>2053.0320000000002</v>
      </c>
      <c r="AK194" s="800">
        <f>JUN!$X22</f>
        <v>2008.84</v>
      </c>
      <c r="AL194" s="800">
        <f>JUL!$X22</f>
        <v>3284.7339999999999</v>
      </c>
      <c r="AM194" s="800">
        <f>AGO!$X22</f>
        <v>7030.0159999999996</v>
      </c>
      <c r="AN194" s="800">
        <f>SET!$X22</f>
        <v>4342.2880000000005</v>
      </c>
      <c r="AO194" s="800">
        <f>OUT!$X22*0</f>
        <v>0</v>
      </c>
      <c r="AP194" s="800">
        <f>NOV!$X22*0</f>
        <v>0</v>
      </c>
      <c r="AQ194" s="800">
        <f>DEZ!$X22*0</f>
        <v>0</v>
      </c>
      <c r="AR194" s="800">
        <f t="shared" si="68"/>
        <v>30466.078000000001</v>
      </c>
      <c r="AT194" s="809"/>
      <c r="AV194" s="809"/>
      <c r="AW194" s="809"/>
    </row>
    <row r="195" spans="1:49">
      <c r="A195" s="137" t="s">
        <v>95</v>
      </c>
      <c r="B195" s="800">
        <f>$G230*'Médias por UF'!FX171</f>
        <v>59213.967948619968</v>
      </c>
      <c r="C195" s="800">
        <f>$G230*'Médias por UF'!FY171</f>
        <v>106887.43216273803</v>
      </c>
      <c r="D195" s="800">
        <f>$G230*'Médias por UF'!FZ171</f>
        <v>152334.11251251498</v>
      </c>
      <c r="E195" s="800">
        <f>$G230*'Médias por UF'!GA171</f>
        <v>186587.62543457313</v>
      </c>
      <c r="F195" s="800">
        <f>$G230*'Médias por UF'!GB171</f>
        <v>226656.42025964742</v>
      </c>
      <c r="G195" s="800">
        <f>$G230*'Médias por UF'!GC171</f>
        <v>280019.21171696333</v>
      </c>
      <c r="H195" s="800">
        <f>$G230*'Médias por UF'!GD171</f>
        <v>347864.35420542612</v>
      </c>
      <c r="I195" s="800">
        <f>$G230*'Médias por UF'!GE171</f>
        <v>412112.7473150646</v>
      </c>
      <c r="J195" s="800">
        <f>$G230*'Médias por UF'!GF171</f>
        <v>471972.25465556345</v>
      </c>
      <c r="K195" s="800">
        <f>$G230*'Médias por UF'!GG171</f>
        <v>532504.33344642143</v>
      </c>
      <c r="L195" s="800">
        <f>$G230*'Médias por UF'!GH171</f>
        <v>590298.22360042855</v>
      </c>
      <c r="M195" s="800">
        <f>$G230*'Médias por UF'!GI171</f>
        <v>654547.02</v>
      </c>
      <c r="N195" s="800">
        <f t="shared" si="66"/>
        <v>654547.02</v>
      </c>
      <c r="P195" s="138" t="s">
        <v>95</v>
      </c>
      <c r="Q195" s="800">
        <f>$V230*'Médias por UF'!FX171</f>
        <v>45453.264874256092</v>
      </c>
      <c r="R195" s="800">
        <f>$V230*'Médias por UF'!FY171</f>
        <v>82047.917647363807</v>
      </c>
      <c r="S195" s="800">
        <f>$V230*'Médias por UF'!FZ171</f>
        <v>116933.26769494839</v>
      </c>
      <c r="T195" s="800">
        <f>$V230*'Médias por UF'!GA171</f>
        <v>143226.62464530539</v>
      </c>
      <c r="U195" s="800">
        <f>$V230*'Médias por UF'!GB171</f>
        <v>173983.85317551688</v>
      </c>
      <c r="V195" s="800">
        <f>$V230*'Médias por UF'!GC171</f>
        <v>214945.69340624911</v>
      </c>
      <c r="W195" s="800">
        <f>$V230*'Médias por UF'!GD171</f>
        <v>267024.33867851913</v>
      </c>
      <c r="X195" s="800">
        <f>$V230*'Médias por UF'!GE171</f>
        <v>316342.08128093474</v>
      </c>
      <c r="Y195" s="800">
        <f>$V230*'Médias por UF'!GF171</f>
        <v>362290.86898506264</v>
      </c>
      <c r="Z195" s="800">
        <f>$V230*'Médias por UF'!GG171</f>
        <v>408755.92961159558</v>
      </c>
      <c r="AA195" s="800">
        <f>$V230*'Médias por UF'!GH171</f>
        <v>453119.12782798824</v>
      </c>
      <c r="AB195" s="800">
        <f>$V230*'Médias por UF'!GI171</f>
        <v>502437.18</v>
      </c>
      <c r="AC195" s="800">
        <f t="shared" si="67"/>
        <v>502437.18</v>
      </c>
      <c r="AE195" s="138" t="s">
        <v>95</v>
      </c>
      <c r="AF195" s="800">
        <f>JAN!$X$23</f>
        <v>39874.312000000005</v>
      </c>
      <c r="AG195" s="800">
        <f>FEV!$X23</f>
        <v>44206.44</v>
      </c>
      <c r="AH195" s="800">
        <f>MAR!$X23</f>
        <v>50936</v>
      </c>
      <c r="AI195" s="800">
        <f>ABR!$X23</f>
        <v>30851.512000000002</v>
      </c>
      <c r="AJ195" s="800">
        <f>MAI!$X23</f>
        <v>38524.063999999991</v>
      </c>
      <c r="AK195" s="800">
        <f>JUN!$X23</f>
        <v>29934.240000000002</v>
      </c>
      <c r="AL195" s="800">
        <f>JUL!$X23</f>
        <v>46441.840000000004</v>
      </c>
      <c r="AM195" s="800">
        <f>AGO!$X23</f>
        <v>63462.296000000009</v>
      </c>
      <c r="AN195" s="800">
        <f>SET!$X23</f>
        <v>59576.680000000008</v>
      </c>
      <c r="AO195" s="800">
        <f>OUT!$X23*0</f>
        <v>0</v>
      </c>
      <c r="AP195" s="800">
        <f>NOV!$X23*0</f>
        <v>0</v>
      </c>
      <c r="AQ195" s="800">
        <f>DEZ!$X23*0</f>
        <v>0</v>
      </c>
      <c r="AR195" s="800">
        <f t="shared" si="68"/>
        <v>403807.38400000002</v>
      </c>
      <c r="AT195" s="809"/>
      <c r="AV195" s="809"/>
      <c r="AW195" s="809"/>
    </row>
    <row r="196" spans="1:49">
      <c r="A196" s="137" t="s">
        <v>96</v>
      </c>
      <c r="B196" s="800">
        <f>$G231*'Médias por UF'!FX172</f>
        <v>8769.9612038810428</v>
      </c>
      <c r="C196" s="800">
        <f>$G231*'Médias por UF'!FY172</f>
        <v>18718.781049573809</v>
      </c>
      <c r="D196" s="800">
        <f>$G231*'Médias por UF'!FZ172</f>
        <v>26332.691992693599</v>
      </c>
      <c r="E196" s="800">
        <f>$G231*'Médias por UF'!GA172</f>
        <v>33358.940682145083</v>
      </c>
      <c r="F196" s="800">
        <f>$G231*'Médias por UF'!GB172</f>
        <v>40620.311458757264</v>
      </c>
      <c r="G196" s="800">
        <f>$G231*'Médias por UF'!GC172</f>
        <v>48393.683959220652</v>
      </c>
      <c r="H196" s="800">
        <f>$G231*'Médias por UF'!GD172</f>
        <v>56411.791032046458</v>
      </c>
      <c r="I196" s="800">
        <f>$G231*'Médias por UF'!GE172</f>
        <v>64151.99976183031</v>
      </c>
      <c r="J196" s="800">
        <f>$G231*'Médias por UF'!GF172</f>
        <v>71277.26499226311</v>
      </c>
      <c r="K196" s="800">
        <f>$G231*'Médias por UF'!GG172</f>
        <v>79942.911341673476</v>
      </c>
      <c r="L196" s="800">
        <f>$G231*'Médias por UF'!GH172</f>
        <v>89036.508466673928</v>
      </c>
      <c r="M196" s="800">
        <f>$G231*'Médias por UF'!GI172</f>
        <v>100840.06</v>
      </c>
      <c r="N196" s="800">
        <f t="shared" si="66"/>
        <v>100840.06</v>
      </c>
      <c r="P196" s="138" t="s">
        <v>96</v>
      </c>
      <c r="Q196" s="800">
        <f>$V231*'Médias por UF'!FX172</f>
        <v>7025.7844606500803</v>
      </c>
      <c r="R196" s="800">
        <f>$V231*'Médias por UF'!FY172</f>
        <v>14995.975234440815</v>
      </c>
      <c r="S196" s="800">
        <f>$V231*'Médias por UF'!FZ172</f>
        <v>21095.625614338915</v>
      </c>
      <c r="T196" s="800">
        <f>$V231*'Médias por UF'!GA172</f>
        <v>26724.488469190019</v>
      </c>
      <c r="U196" s="800">
        <f>$V231*'Médias por UF'!GB172</f>
        <v>32541.712146617865</v>
      </c>
      <c r="V196" s="800">
        <f>$V231*'Médias por UF'!GC172</f>
        <v>38769.110244619893</v>
      </c>
      <c r="W196" s="800">
        <f>$V231*'Médias por UF'!GD172</f>
        <v>45192.569911825529</v>
      </c>
      <c r="X196" s="800">
        <f>$V231*'Médias por UF'!GE172</f>
        <v>51393.399875798204</v>
      </c>
      <c r="Y196" s="800">
        <f>$V231*'Médias por UF'!GF172</f>
        <v>57101.586784519226</v>
      </c>
      <c r="Z196" s="800">
        <f>$V231*'Médias por UF'!GG172</f>
        <v>64043.802610540602</v>
      </c>
      <c r="AA196" s="800">
        <f>$V231*'Médias por UF'!GH172</f>
        <v>71328.858027201612</v>
      </c>
      <c r="AB196" s="800">
        <f>$V231*'Médias por UF'!GI172</f>
        <v>80784.91</v>
      </c>
      <c r="AC196" s="800">
        <f t="shared" si="67"/>
        <v>80784.91</v>
      </c>
      <c r="AE196" s="138" t="s">
        <v>96</v>
      </c>
      <c r="AF196" s="800">
        <f>JAN!$X$24</f>
        <v>4345.4480000000003</v>
      </c>
      <c r="AG196" s="800">
        <f>FEV!$X24</f>
        <v>8004.7439999999997</v>
      </c>
      <c r="AH196" s="800">
        <f>MAR!$X24</f>
        <v>9372.9680000000008</v>
      </c>
      <c r="AI196" s="800">
        <f>ABR!$X24</f>
        <v>12992.127999999999</v>
      </c>
      <c r="AJ196" s="800">
        <f>MAI!$X24</f>
        <v>6690.3520000000017</v>
      </c>
      <c r="AK196" s="800">
        <f>JUN!$X24</f>
        <v>6141.0479999999998</v>
      </c>
      <c r="AL196" s="800">
        <f>JUL!$X24</f>
        <v>12929.655999999999</v>
      </c>
      <c r="AM196" s="800">
        <f>AGO!$X24</f>
        <v>10975.632000000001</v>
      </c>
      <c r="AN196" s="800">
        <f>SET!$X24</f>
        <v>8898.2320000000018</v>
      </c>
      <c r="AO196" s="800">
        <f>OUT!$X24*0</f>
        <v>0</v>
      </c>
      <c r="AP196" s="800">
        <f>NOV!$X24*0</f>
        <v>0</v>
      </c>
      <c r="AQ196" s="800">
        <f>DEZ!$X24*0</f>
        <v>0</v>
      </c>
      <c r="AR196" s="800">
        <f t="shared" si="68"/>
        <v>80350.207999999999</v>
      </c>
      <c r="AT196" s="809"/>
      <c r="AV196" s="809"/>
      <c r="AW196" s="809"/>
    </row>
    <row r="197" spans="1:49">
      <c r="A197" s="137" t="s">
        <v>97</v>
      </c>
      <c r="B197" s="800">
        <f>$G232*'Médias por UF'!FX173</f>
        <v>65373.777522724013</v>
      </c>
      <c r="C197" s="800">
        <f>$G232*'Médias por UF'!FY173</f>
        <v>111407.22242411786</v>
      </c>
      <c r="D197" s="800">
        <f>$G232*'Médias por UF'!FZ173</f>
        <v>153263.0340099638</v>
      </c>
      <c r="E197" s="800">
        <f>$G232*'Médias por UF'!GA173</f>
        <v>193268.61928561606</v>
      </c>
      <c r="F197" s="800">
        <f>$G232*'Médias por UF'!GB173</f>
        <v>233548.82172797871</v>
      </c>
      <c r="G197" s="800">
        <f>$G232*'Médias por UF'!GC173</f>
        <v>276024.33853992372</v>
      </c>
      <c r="H197" s="800">
        <f>$G232*'Médias por UF'!GD173</f>
        <v>327517.95507036691</v>
      </c>
      <c r="I197" s="800">
        <f>$G232*'Médias por UF'!GE173</f>
        <v>379734.44022656872</v>
      </c>
      <c r="J197" s="800">
        <f>$G232*'Médias por UF'!GF173</f>
        <v>424764.29783023108</v>
      </c>
      <c r="K197" s="800">
        <f>$G232*'Médias por UF'!GG173</f>
        <v>480877.40960382775</v>
      </c>
      <c r="L197" s="800">
        <f>$G232*'Médias por UF'!GH173</f>
        <v>539449.31759896188</v>
      </c>
      <c r="M197" s="800">
        <f>$G232*'Médias por UF'!GI173</f>
        <v>613204.17999999993</v>
      </c>
      <c r="N197" s="800">
        <f t="shared" si="66"/>
        <v>613204.17999999993</v>
      </c>
      <c r="P197" s="811" t="s">
        <v>97</v>
      </c>
      <c r="Q197" s="812">
        <f>$V232*'Médias por UF'!FX173</f>
        <v>56599.602818754705</v>
      </c>
      <c r="R197" s="812">
        <f>$V232*'Médias por UF'!FY173</f>
        <v>96454.645567236774</v>
      </c>
      <c r="S197" s="812">
        <f>$V232*'Médias por UF'!FZ173</f>
        <v>132692.75817426847</v>
      </c>
      <c r="T197" s="812">
        <f>$V232*'Médias por UF'!GA173</f>
        <v>167328.97353365578</v>
      </c>
      <c r="U197" s="812">
        <f>$V232*'Médias por UF'!GB173</f>
        <v>202202.9481774536</v>
      </c>
      <c r="V197" s="812">
        <f>$V232*'Médias por UF'!GC173</f>
        <v>238977.59195938526</v>
      </c>
      <c r="W197" s="812">
        <f>$V232*'Médias por UF'!GD173</f>
        <v>283559.96663264406</v>
      </c>
      <c r="X197" s="812">
        <f>$V232*'Médias por UF'!GE173</f>
        <v>328768.18975245859</v>
      </c>
      <c r="Y197" s="812">
        <f>$V232*'Médias por UF'!GF173</f>
        <v>367754.34218133497</v>
      </c>
      <c r="Z197" s="812">
        <f>$V232*'Médias por UF'!GG173</f>
        <v>416336.20420094958</v>
      </c>
      <c r="AA197" s="812">
        <f>$V232*'Médias por UF'!GH173</f>
        <v>467046.85386027035</v>
      </c>
      <c r="AB197" s="812">
        <f>$V232*'Médias por UF'!GI173</f>
        <v>530902.67000000004</v>
      </c>
      <c r="AC197" s="800">
        <f t="shared" si="67"/>
        <v>530902.67000000004</v>
      </c>
      <c r="AE197" s="138" t="s">
        <v>97</v>
      </c>
      <c r="AF197" s="800">
        <f>JAN!$X$25</f>
        <v>44244.136000000006</v>
      </c>
      <c r="AG197" s="800">
        <f>FEV!$X25</f>
        <v>55187.72800000001</v>
      </c>
      <c r="AH197" s="800">
        <f>MAR!$X25</f>
        <v>62431.815999999999</v>
      </c>
      <c r="AI197" s="800">
        <f>ABR!$X25</f>
        <v>40458.864000000001</v>
      </c>
      <c r="AJ197" s="800">
        <f>MAI!$X25</f>
        <v>53201.104000000007</v>
      </c>
      <c r="AK197" s="800">
        <f>JUN!$X25</f>
        <v>50202.960000000006</v>
      </c>
      <c r="AL197" s="800">
        <f>JUL!$X25</f>
        <v>61667.92</v>
      </c>
      <c r="AM197" s="800">
        <f>AGO!$X25</f>
        <v>67354.416000000012</v>
      </c>
      <c r="AN197" s="800">
        <f>SET!$X25</f>
        <v>62744.600000000006</v>
      </c>
      <c r="AO197" s="800">
        <f>OUT!$X25*0</f>
        <v>0</v>
      </c>
      <c r="AP197" s="800">
        <f>NOV!$X25*0</f>
        <v>0</v>
      </c>
      <c r="AQ197" s="800">
        <f>DEZ!$X25*0</f>
        <v>0</v>
      </c>
      <c r="AR197" s="800">
        <f t="shared" si="68"/>
        <v>497493.54400000011</v>
      </c>
      <c r="AT197" s="809"/>
      <c r="AV197" s="809"/>
      <c r="AW197" s="809"/>
    </row>
    <row r="198" spans="1:49">
      <c r="A198" s="137" t="s">
        <v>98</v>
      </c>
      <c r="B198" s="800">
        <f>$G233*'Médias por UF'!FX174</f>
        <v>6171.0525126670818</v>
      </c>
      <c r="C198" s="800">
        <f>$G233*'Médias por UF'!FY174</f>
        <v>11459.633623520733</v>
      </c>
      <c r="D198" s="800">
        <f>$G233*'Médias por UF'!FZ174</f>
        <v>15934.704644095516</v>
      </c>
      <c r="E198" s="800">
        <f>$G233*'Médias por UF'!GA174</f>
        <v>20509.363574905568</v>
      </c>
      <c r="F198" s="800">
        <f>$G233*'Médias por UF'!GB174</f>
        <v>25299.440588367379</v>
      </c>
      <c r="G198" s="800">
        <f>$G233*'Médias por UF'!GC174</f>
        <v>31763.692558268605</v>
      </c>
      <c r="H198" s="800">
        <f>$G233*'Médias por UF'!GD174</f>
        <v>37626.857969140234</v>
      </c>
      <c r="I198" s="800">
        <f>$G233*'Médias por UF'!GE174</f>
        <v>43321.477181009257</v>
      </c>
      <c r="J198" s="800">
        <f>$G233*'Médias por UF'!GF174</f>
        <v>48703.878470530923</v>
      </c>
      <c r="K198" s="800">
        <f>$G233*'Médias por UF'!GG174</f>
        <v>57514.198728972005</v>
      </c>
      <c r="L198" s="800">
        <f>$G233*'Médias por UF'!GH174</f>
        <v>63477.721358271752</v>
      </c>
      <c r="M198" s="800">
        <f>$G233*'Médias por UF'!GI174</f>
        <v>71031.460000000006</v>
      </c>
      <c r="N198" s="800">
        <f t="shared" si="66"/>
        <v>71031.460000000006</v>
      </c>
      <c r="P198" s="138" t="s">
        <v>98</v>
      </c>
      <c r="Q198" s="800">
        <f>$V233*'Médias por UF'!FX174</f>
        <v>5226.7366860546963</v>
      </c>
      <c r="R198" s="800">
        <f>$V233*'Médias por UF'!FY174</f>
        <v>9706.0408003099164</v>
      </c>
      <c r="S198" s="800">
        <f>$V233*'Médias por UF'!FZ174</f>
        <v>13496.320955587587</v>
      </c>
      <c r="T198" s="800">
        <f>$V233*'Médias por UF'!GA174</f>
        <v>17370.949734190981</v>
      </c>
      <c r="U198" s="800">
        <f>$V233*'Médias por UF'!GB174</f>
        <v>21428.032574419085</v>
      </c>
      <c r="V198" s="800">
        <f>$V233*'Médias por UF'!GC174</f>
        <v>26903.102321375689</v>
      </c>
      <c r="W198" s="800">
        <f>$V233*'Médias por UF'!GD174</f>
        <v>31869.065856203088</v>
      </c>
      <c r="X198" s="800">
        <f>$V233*'Médias por UF'!GE174</f>
        <v>36692.274715095751</v>
      </c>
      <c r="Y198" s="800">
        <f>$V233*'Médias por UF'!GF174</f>
        <v>41251.042319368229</v>
      </c>
      <c r="Z198" s="800">
        <f>$V233*'Médias por UF'!GG174</f>
        <v>48713.176860625405</v>
      </c>
      <c r="AA198" s="800">
        <f>$V233*'Médias por UF'!GH174</f>
        <v>53764.14060476749</v>
      </c>
      <c r="AB198" s="800">
        <f>$V233*'Médias por UF'!GI174</f>
        <v>60161.98</v>
      </c>
      <c r="AC198" s="800">
        <f t="shared" si="67"/>
        <v>60161.98</v>
      </c>
      <c r="AE198" s="138" t="s">
        <v>98</v>
      </c>
      <c r="AF198" s="800">
        <f>JAN!$X$26</f>
        <v>3074.848</v>
      </c>
      <c r="AG198" s="800">
        <f>FEV!$X26</f>
        <v>5115.0640000000003</v>
      </c>
      <c r="AH198" s="800">
        <f>MAR!$X26</f>
        <v>5009.0879999999997</v>
      </c>
      <c r="AI198" s="800">
        <f>ABR!$X26</f>
        <v>5177.4559999999992</v>
      </c>
      <c r="AJ198" s="800">
        <f>MAI!$X26</f>
        <v>4858.384</v>
      </c>
      <c r="AK198" s="800">
        <f>JUN!$X26</f>
        <v>3001.3760000000002</v>
      </c>
      <c r="AL198" s="800">
        <f>JUL!$X26</f>
        <v>4519.3680000000013</v>
      </c>
      <c r="AM198" s="800">
        <f>AGO!$X26</f>
        <v>9255.112000000001</v>
      </c>
      <c r="AN198" s="800">
        <f>SET!$X26</f>
        <v>14981.040000000003</v>
      </c>
      <c r="AO198" s="800">
        <f>OUT!$X26*0</f>
        <v>0</v>
      </c>
      <c r="AP198" s="800">
        <f>NOV!$X26*0</f>
        <v>0</v>
      </c>
      <c r="AQ198" s="800">
        <f>DEZ!$X26*0</f>
        <v>0</v>
      </c>
      <c r="AR198" s="800">
        <f t="shared" si="68"/>
        <v>54991.735999999997</v>
      </c>
      <c r="AT198" s="809"/>
      <c r="AV198" s="809"/>
      <c r="AW198" s="809"/>
    </row>
    <row r="199" spans="1:49">
      <c r="A199" s="137" t="s">
        <v>99</v>
      </c>
      <c r="B199" s="800">
        <f>$G234*'Médias por UF'!FX175</f>
        <v>506.44644360919455</v>
      </c>
      <c r="C199" s="800">
        <f>$G234*'Médias por UF'!FY175</f>
        <v>1227.7211609142644</v>
      </c>
      <c r="D199" s="800">
        <f>$G234*'Médias por UF'!FZ175</f>
        <v>1550.6477884647206</v>
      </c>
      <c r="E199" s="800">
        <f>$G234*'Médias por UF'!GA175</f>
        <v>1922.8271097101494</v>
      </c>
      <c r="F199" s="800">
        <f>$G234*'Médias por UF'!GB175</f>
        <v>2399.9903126460194</v>
      </c>
      <c r="G199" s="800">
        <f>$G234*'Médias por UF'!GC175</f>
        <v>3792.8440110047427</v>
      </c>
      <c r="H199" s="800">
        <f>$G234*'Médias por UF'!GD175</f>
        <v>4717.6947714969338</v>
      </c>
      <c r="I199" s="800">
        <f>$G234*'Médias por UF'!GE175</f>
        <v>5436.4724997354861</v>
      </c>
      <c r="J199" s="800">
        <f>$G234*'Médias por UF'!GF175</f>
        <v>6378.4721738548824</v>
      </c>
      <c r="K199" s="800">
        <f>$G234*'Médias por UF'!GG175</f>
        <v>6894.9628588633504</v>
      </c>
      <c r="L199" s="800">
        <f>$G234*'Médias por UF'!GH175</f>
        <v>8286.396428740054</v>
      </c>
      <c r="M199" s="800">
        <f>$G234*'Médias por UF'!GI175</f>
        <v>9106.58</v>
      </c>
      <c r="N199" s="800">
        <f t="shared" si="66"/>
        <v>9106.58</v>
      </c>
      <c r="P199" s="138" t="s">
        <v>99</v>
      </c>
      <c r="Q199" s="800">
        <f>$V234*'Médias por UF'!FX175</f>
        <v>398.01118688124143</v>
      </c>
      <c r="R199" s="800">
        <f>$V234*'Médias por UF'!FY175</f>
        <v>964.85376209250683</v>
      </c>
      <c r="S199" s="800">
        <f>$V234*'Médias por UF'!FZ175</f>
        <v>1218.6385638791576</v>
      </c>
      <c r="T199" s="800">
        <f>$V234*'Médias por UF'!GA175</f>
        <v>1511.130564268947</v>
      </c>
      <c r="U199" s="800">
        <f>$V234*'Médias por UF'!GB175</f>
        <v>1886.1283456397082</v>
      </c>
      <c r="V199" s="800">
        <f>$V234*'Médias por UF'!GC175</f>
        <v>2980.7581147520159</v>
      </c>
      <c r="W199" s="800">
        <f>$V234*'Médias por UF'!GD175</f>
        <v>3707.5890630517843</v>
      </c>
      <c r="X199" s="800">
        <f>$V234*'Médias por UF'!GE175</f>
        <v>4272.4692795683932</v>
      </c>
      <c r="Y199" s="800">
        <f>$V234*'Médias por UF'!GF175</f>
        <v>5012.7773873044998</v>
      </c>
      <c r="Z199" s="800">
        <f>$V234*'Médias por UF'!GG175</f>
        <v>5418.6822428867326</v>
      </c>
      <c r="AA199" s="800">
        <f>$V234*'Médias por UF'!GH175</f>
        <v>6512.1959472506651</v>
      </c>
      <c r="AB199" s="800">
        <f>$V234*'Médias por UF'!GI175</f>
        <v>7156.77</v>
      </c>
      <c r="AC199" s="800">
        <f t="shared" si="67"/>
        <v>7156.77</v>
      </c>
      <c r="AE199" s="138" t="s">
        <v>99</v>
      </c>
      <c r="AF199" s="800">
        <f>JAN!$X$27</f>
        <v>231.648</v>
      </c>
      <c r="AG199" s="800">
        <f>FEV!$X27</f>
        <v>1442.2720000000002</v>
      </c>
      <c r="AH199" s="800">
        <f>MAR!$X27</f>
        <v>987.05600000000015</v>
      </c>
      <c r="AI199" s="800">
        <f>ABR!$X27</f>
        <v>429.976</v>
      </c>
      <c r="AJ199" s="800">
        <f>MAI!$X27</f>
        <v>102.18400000000001</v>
      </c>
      <c r="AK199" s="800">
        <f>JUN!$X27</f>
        <v>607.60800000000006</v>
      </c>
      <c r="AL199" s="800">
        <f>JUL!$X27</f>
        <v>366.75200000000007</v>
      </c>
      <c r="AM199" s="800">
        <f>AGO!$X27</f>
        <v>328.32800000000003</v>
      </c>
      <c r="AN199" s="800">
        <f>SET!$X27</f>
        <v>731.84800000000007</v>
      </c>
      <c r="AO199" s="800">
        <f>OUT!$X27*0</f>
        <v>0</v>
      </c>
      <c r="AP199" s="800">
        <f>NOV!$X27*0</f>
        <v>0</v>
      </c>
      <c r="AQ199" s="800">
        <f>DEZ!$X27*0</f>
        <v>0</v>
      </c>
      <c r="AR199" s="800">
        <f t="shared" si="68"/>
        <v>5227.6720000000014</v>
      </c>
      <c r="AT199" s="809"/>
      <c r="AV199" s="809"/>
      <c r="AW199" s="809"/>
    </row>
    <row r="200" spans="1:49">
      <c r="A200" s="137" t="s">
        <v>100</v>
      </c>
      <c r="B200" s="800">
        <f>$G235*'Médias por UF'!FX176</f>
        <v>35878.968362090323</v>
      </c>
      <c r="C200" s="800">
        <f>$G235*'Médias por UF'!FY176</f>
        <v>63183.057936474404</v>
      </c>
      <c r="D200" s="800">
        <f>$G235*'Médias por UF'!FZ176</f>
        <v>87284.466787339115</v>
      </c>
      <c r="E200" s="800">
        <f>$G235*'Médias por UF'!GA176</f>
        <v>107989.57165239513</v>
      </c>
      <c r="F200" s="800">
        <f>$G235*'Médias por UF'!GB176</f>
        <v>131066.90171680292</v>
      </c>
      <c r="G200" s="800">
        <f>$G235*'Médias por UF'!GC176</f>
        <v>159188.02129431756</v>
      </c>
      <c r="H200" s="800">
        <f>$G235*'Médias por UF'!GD176</f>
        <v>189033.4314019611</v>
      </c>
      <c r="I200" s="800">
        <f>$G235*'Médias por UF'!GE176</f>
        <v>221457.19985848476</v>
      </c>
      <c r="J200" s="800">
        <f>$G235*'Médias por UF'!GF176</f>
        <v>252581.97671628612</v>
      </c>
      <c r="K200" s="800">
        <f>$G235*'Médias por UF'!GG176</f>
        <v>286821.90439427225</v>
      </c>
      <c r="L200" s="800">
        <f>$G235*'Médias por UF'!GH176</f>
        <v>320184.54011526122</v>
      </c>
      <c r="M200" s="800">
        <f>$G235*'Médias por UF'!GI176</f>
        <v>362299.08</v>
      </c>
      <c r="N200" s="800">
        <f t="shared" si="66"/>
        <v>362299.08</v>
      </c>
      <c r="P200" s="138" t="s">
        <v>100</v>
      </c>
      <c r="Q200" s="800">
        <f>$V235*'Médias por UF'!FX176</f>
        <v>31692.339377886601</v>
      </c>
      <c r="R200" s="800">
        <f>$V235*'Médias por UF'!FY176</f>
        <v>55810.381581962414</v>
      </c>
      <c r="S200" s="800">
        <f>$V235*'Médias por UF'!FZ176</f>
        <v>77099.456035782729</v>
      </c>
      <c r="T200" s="800">
        <f>$V235*'Médias por UF'!GA176</f>
        <v>95388.532901532832</v>
      </c>
      <c r="U200" s="800">
        <f>$V235*'Médias por UF'!GB176</f>
        <v>115773.02581547867</v>
      </c>
      <c r="V200" s="800">
        <f>$V235*'Médias por UF'!GC176</f>
        <v>140612.76079176052</v>
      </c>
      <c r="W200" s="800">
        <f>$V235*'Médias por UF'!GD176</f>
        <v>166975.58305738209</v>
      </c>
      <c r="X200" s="800">
        <f>$V235*'Médias por UF'!GE176</f>
        <v>195615.90134813613</v>
      </c>
      <c r="Y200" s="800">
        <f>$V235*'Médias por UF'!GF176</f>
        <v>223108.8041898098</v>
      </c>
      <c r="Z200" s="800">
        <f>$V235*'Médias por UF'!GG176</f>
        <v>253353.35852854571</v>
      </c>
      <c r="AA200" s="800">
        <f>$V235*'Médias por UF'!GH176</f>
        <v>282822.98996108072</v>
      </c>
      <c r="AB200" s="800">
        <f>$V235*'Médias por UF'!GI176</f>
        <v>320023.28728570876</v>
      </c>
      <c r="AC200" s="800">
        <f t="shared" si="67"/>
        <v>320023.28728570876</v>
      </c>
      <c r="AE200" s="138" t="s">
        <v>100</v>
      </c>
      <c r="AF200" s="800">
        <f>JAN!$X$28</f>
        <v>35357.567999999999</v>
      </c>
      <c r="AG200" s="800">
        <f>FEV!$X28</f>
        <v>49330.960000000006</v>
      </c>
      <c r="AH200" s="800">
        <f>MAR!$X28</f>
        <v>42986.696000000004</v>
      </c>
      <c r="AI200" s="800">
        <f>ABR!$X28</f>
        <v>34540.784</v>
      </c>
      <c r="AJ200" s="800">
        <f>MAI!$X28</f>
        <v>52775.392</v>
      </c>
      <c r="AK200" s="800">
        <f>JUN!$X28</f>
        <v>48152.264000000003</v>
      </c>
      <c r="AL200" s="800">
        <f>JUL!$X28</f>
        <v>53985.343999999997</v>
      </c>
      <c r="AM200" s="800">
        <f>AGO!$X28</f>
        <v>59105.703999999998</v>
      </c>
      <c r="AN200" s="800">
        <f>SET!$X28</f>
        <v>57296.544000000009</v>
      </c>
      <c r="AO200" s="800">
        <f>OUT!$X28*0</f>
        <v>0</v>
      </c>
      <c r="AP200" s="800">
        <f>NOV!$X28*0</f>
        <v>0</v>
      </c>
      <c r="AQ200" s="800">
        <f>DEZ!$X28*0</f>
        <v>0</v>
      </c>
      <c r="AR200" s="800">
        <f t="shared" si="68"/>
        <v>433531.25600000005</v>
      </c>
      <c r="AT200" s="809"/>
      <c r="AV200" s="809"/>
      <c r="AW200" s="809"/>
    </row>
    <row r="201" spans="1:49">
      <c r="A201" s="137" t="s">
        <v>101</v>
      </c>
      <c r="B201" s="800">
        <f>$G236*'Médias por UF'!FX177</f>
        <v>212524.05917457491</v>
      </c>
      <c r="C201" s="800">
        <f>$G236*'Médias por UF'!FY177</f>
        <v>395471.82787239348</v>
      </c>
      <c r="D201" s="800">
        <f>$G236*'Médias por UF'!FZ177</f>
        <v>555322.4345294534</v>
      </c>
      <c r="E201" s="800">
        <f>$G236*'Médias por UF'!GA177</f>
        <v>687748.43601314898</v>
      </c>
      <c r="F201" s="800">
        <f>$G236*'Médias por UF'!GB177</f>
        <v>825386.8504562712</v>
      </c>
      <c r="G201" s="800">
        <f>$G236*'Médias por UF'!GC177</f>
        <v>1010046.8724037088</v>
      </c>
      <c r="H201" s="800">
        <f>$G236*'Médias por UF'!GD177</f>
        <v>1277175.7891911471</v>
      </c>
      <c r="I201" s="800">
        <f>$G236*'Médias por UF'!GE177</f>
        <v>1569099.8879392268</v>
      </c>
      <c r="J201" s="800">
        <f>$G236*'Médias por UF'!GF177</f>
        <v>1815873.8832145883</v>
      </c>
      <c r="K201" s="800">
        <f>$G236*'Médias por UF'!GG177</f>
        <v>2073471.7104868097</v>
      </c>
      <c r="L201" s="800">
        <f>$G236*'Médias por UF'!GH177</f>
        <v>2323598.2914974503</v>
      </c>
      <c r="M201" s="800">
        <f>$G236*'Médias por UF'!GI177</f>
        <v>2611330.25</v>
      </c>
      <c r="N201" s="800">
        <f t="shared" si="66"/>
        <v>2611330.25</v>
      </c>
      <c r="P201" s="138" t="s">
        <v>101</v>
      </c>
      <c r="Q201" s="800">
        <f>$V236*'Médias por UF'!FX177</f>
        <v>179064.17172802187</v>
      </c>
      <c r="R201" s="800">
        <f>$V236*'Médias por UF'!FY177</f>
        <v>333208.55800879997</v>
      </c>
      <c r="S201" s="800">
        <f>$V236*'Médias por UF'!FZ177</f>
        <v>467892.21026181791</v>
      </c>
      <c r="T201" s="800">
        <f>$V236*'Médias por UF'!GA177</f>
        <v>579469.00002872723</v>
      </c>
      <c r="U201" s="800">
        <f>$V236*'Médias por UF'!GB177</f>
        <v>695437.55801665212</v>
      </c>
      <c r="V201" s="800">
        <f>$V236*'Médias por UF'!GC177</f>
        <v>851024.61959321774</v>
      </c>
      <c r="W201" s="800">
        <f>$V236*'Médias por UF'!GD177</f>
        <v>1076096.6345684936</v>
      </c>
      <c r="X201" s="800">
        <f>$V236*'Médias por UF'!GE177</f>
        <v>1322060.0664396829</v>
      </c>
      <c r="Y201" s="800">
        <f>$V236*'Médias por UF'!GF177</f>
        <v>1529981.8482822718</v>
      </c>
      <c r="Z201" s="800">
        <f>$V236*'Médias por UF'!GG177</f>
        <v>1747023.3529410379</v>
      </c>
      <c r="AA201" s="800">
        <f>$V236*'Médias por UF'!GH177</f>
        <v>1957769.8878500159</v>
      </c>
      <c r="AB201" s="800">
        <f>$V236*'Médias por UF'!GI177</f>
        <v>2200201.1920000003</v>
      </c>
      <c r="AC201" s="800">
        <f t="shared" si="67"/>
        <v>2200201.1920000003</v>
      </c>
      <c r="AE201" s="138" t="s">
        <v>101</v>
      </c>
      <c r="AF201" s="800">
        <f>JAN!$X$29</f>
        <v>178842.46</v>
      </c>
      <c r="AG201" s="800">
        <f>FEV!$X29</f>
        <v>250255.10000000003</v>
      </c>
      <c r="AH201" s="800">
        <f>MAR!$X29</f>
        <v>277236.68000000005</v>
      </c>
      <c r="AI201" s="800">
        <f>ABR!$X29</f>
        <v>186100.90400000001</v>
      </c>
      <c r="AJ201" s="800">
        <f>MAI!$X29</f>
        <v>246396.21799999999</v>
      </c>
      <c r="AK201" s="800">
        <f>JUN!$X29</f>
        <v>196664.92</v>
      </c>
      <c r="AL201" s="800">
        <f>JUL!$X29</f>
        <v>239456.71399999998</v>
      </c>
      <c r="AM201" s="800">
        <f>AGO!$X29</f>
        <v>345335.17600000004</v>
      </c>
      <c r="AN201" s="800">
        <f>SET!$X29</f>
        <v>328115.46199999988</v>
      </c>
      <c r="AO201" s="800">
        <f>OUT!$X29*0</f>
        <v>0</v>
      </c>
      <c r="AP201" s="800">
        <f>NOV!$X29*0</f>
        <v>0</v>
      </c>
      <c r="AQ201" s="800">
        <f>DEZ!$X29*0</f>
        <v>0</v>
      </c>
      <c r="AR201" s="800">
        <f t="shared" si="68"/>
        <v>2248403.6340000001</v>
      </c>
      <c r="AT201" s="809"/>
      <c r="AV201" s="809"/>
      <c r="AW201" s="809"/>
    </row>
    <row r="202" spans="1:49">
      <c r="A202" s="137" t="s">
        <v>102</v>
      </c>
      <c r="B202" s="800">
        <f>$G237*'Médias por UF'!FX178</f>
        <v>4768.8823166273633</v>
      </c>
      <c r="C202" s="800">
        <f>$G237*'Médias por UF'!FY178</f>
        <v>9169.0351658882882</v>
      </c>
      <c r="D202" s="800">
        <f>$G237*'Médias por UF'!FZ178</f>
        <v>13356.315306392984</v>
      </c>
      <c r="E202" s="800">
        <f>$G237*'Médias por UF'!GA178</f>
        <v>16881.516052077714</v>
      </c>
      <c r="F202" s="800">
        <f>$G237*'Médias por UF'!GB178</f>
        <v>19979.414884936647</v>
      </c>
      <c r="G202" s="800">
        <f>$G237*'Médias por UF'!GC178</f>
        <v>24426.617789477441</v>
      </c>
      <c r="H202" s="800">
        <f>$G237*'Médias por UF'!GD178</f>
        <v>29964.27424893502</v>
      </c>
      <c r="I202" s="800">
        <f>$G237*'Médias por UF'!GE178</f>
        <v>35867.550876570218</v>
      </c>
      <c r="J202" s="800">
        <f>$G237*'Médias por UF'!GF178</f>
        <v>40941.823290567794</v>
      </c>
      <c r="K202" s="800">
        <f>$G237*'Médias por UF'!GG178</f>
        <v>46247.790877711581</v>
      </c>
      <c r="L202" s="800">
        <f>$G237*'Médias por UF'!GH178</f>
        <v>52643.110601460503</v>
      </c>
      <c r="M202" s="800">
        <f>$G237*'Médias por UF'!GI178</f>
        <v>57866.66</v>
      </c>
      <c r="N202" s="800">
        <f t="shared" si="66"/>
        <v>57866.66</v>
      </c>
      <c r="P202" s="138" t="s">
        <v>102</v>
      </c>
      <c r="Q202" s="800">
        <f>$V237*'Médias por UF'!FX178</f>
        <v>3916.7442077336332</v>
      </c>
      <c r="R202" s="800">
        <f>$V237*'Médias por UF'!FY178</f>
        <v>7530.6461749505024</v>
      </c>
      <c r="S202" s="800">
        <f>$V237*'Médias por UF'!FZ178</f>
        <v>10969.713056365719</v>
      </c>
      <c r="T202" s="800">
        <f>$V237*'Médias por UF'!GA178</f>
        <v>13865.005639623198</v>
      </c>
      <c r="U202" s="800">
        <f>$V237*'Médias por UF'!GB178</f>
        <v>16409.349681714419</v>
      </c>
      <c r="V202" s="800">
        <f>$V237*'Médias por UF'!GC178</f>
        <v>20061.894462751301</v>
      </c>
      <c r="W202" s="800">
        <f>$V237*'Médias por UF'!GD178</f>
        <v>24610.042733547478</v>
      </c>
      <c r="X202" s="800">
        <f>$V237*'Médias por UF'!GE178</f>
        <v>29458.479537559768</v>
      </c>
      <c r="Y202" s="800">
        <f>$V237*'Médias por UF'!GF178</f>
        <v>33626.044548902566</v>
      </c>
      <c r="Z202" s="800">
        <f>$V237*'Médias por UF'!GG178</f>
        <v>37983.903777449283</v>
      </c>
      <c r="AA202" s="800">
        <f>$V237*'Médias por UF'!GH178</f>
        <v>43236.461886770216</v>
      </c>
      <c r="AB202" s="800">
        <f>$V237*'Médias por UF'!GI178</f>
        <v>47526.63</v>
      </c>
      <c r="AC202" s="800">
        <f t="shared" si="67"/>
        <v>47526.63</v>
      </c>
      <c r="AE202" s="138" t="s">
        <v>102</v>
      </c>
      <c r="AF202" s="800">
        <f>JAN!$X$30</f>
        <v>4174.9280000000008</v>
      </c>
      <c r="AG202" s="800">
        <f>FEV!$X30</f>
        <v>5016.616</v>
      </c>
      <c r="AH202" s="800">
        <f>MAR!$X30</f>
        <v>6248.5280000000002</v>
      </c>
      <c r="AI202" s="800">
        <f>ABR!$X30</f>
        <v>4167.576</v>
      </c>
      <c r="AJ202" s="800">
        <f>MAI!$X30</f>
        <v>5512.0879999999997</v>
      </c>
      <c r="AK202" s="800">
        <f>JUN!$X30</f>
        <v>3811.096</v>
      </c>
      <c r="AL202" s="800">
        <f>JUL!$X30</f>
        <v>5714.5440000000008</v>
      </c>
      <c r="AM202" s="800">
        <f>AGO!$X30</f>
        <v>9543.5600000000031</v>
      </c>
      <c r="AN202" s="800">
        <f>SET!$X30</f>
        <v>6893.7600000000011</v>
      </c>
      <c r="AO202" s="800">
        <f>OUT!$X30*0</f>
        <v>0</v>
      </c>
      <c r="AP202" s="800">
        <f>NOV!$X30*0</f>
        <v>0</v>
      </c>
      <c r="AQ202" s="800">
        <f>DEZ!$X30*0</f>
        <v>0</v>
      </c>
      <c r="AR202" s="800">
        <f t="shared" si="68"/>
        <v>51082.696000000011</v>
      </c>
      <c r="AT202" s="809"/>
      <c r="AV202" s="809"/>
      <c r="AW202" s="809"/>
    </row>
    <row r="203" spans="1:49">
      <c r="A203" s="137" t="s">
        <v>103</v>
      </c>
      <c r="B203" s="800">
        <f>$G238*'Médias por UF'!FX179</f>
        <v>3273.3801645965391</v>
      </c>
      <c r="C203" s="800">
        <f>$G238*'Médias por UF'!FY179</f>
        <v>6848.0242950176234</v>
      </c>
      <c r="D203" s="800">
        <f>$G238*'Médias por UF'!FZ179</f>
        <v>9477.9256791673633</v>
      </c>
      <c r="E203" s="800">
        <f>$G238*'Médias por UF'!GA179</f>
        <v>11744.385336170819</v>
      </c>
      <c r="F203" s="800">
        <f>$G238*'Médias por UF'!GB179</f>
        <v>15630.944364896481</v>
      </c>
      <c r="G203" s="800">
        <f>$G238*'Médias por UF'!GC179</f>
        <v>19357.826698032961</v>
      </c>
      <c r="H203" s="800">
        <f>$G238*'Médias por UF'!GD179</f>
        <v>23480.055703889469</v>
      </c>
      <c r="I203" s="800">
        <f>$G238*'Médias por UF'!GE179</f>
        <v>29590.266716458835</v>
      </c>
      <c r="J203" s="800">
        <f>$G238*'Médias por UF'!GF179</f>
        <v>32946.483661761871</v>
      </c>
      <c r="K203" s="800">
        <f>$G238*'Médias por UF'!GG179</f>
        <v>37429.707107509166</v>
      </c>
      <c r="L203" s="800">
        <f>$G238*'Médias por UF'!GH179</f>
        <v>40462.296990716226</v>
      </c>
      <c r="M203" s="800">
        <f>$G238*'Médias por UF'!GI179</f>
        <v>44524.409999999996</v>
      </c>
      <c r="N203" s="800">
        <f t="shared" si="66"/>
        <v>44524.409999999996</v>
      </c>
      <c r="P203" s="138" t="s">
        <v>103</v>
      </c>
      <c r="Q203" s="800">
        <f>$V238*'Médias por UF'!FX179</f>
        <v>2667.4001757704041</v>
      </c>
      <c r="R203" s="800">
        <f>$V238*'Médias por UF'!FY179</f>
        <v>5580.2932411492247</v>
      </c>
      <c r="S203" s="800">
        <f>$V238*'Médias por UF'!FZ179</f>
        <v>7723.3377583156207</v>
      </c>
      <c r="T203" s="800">
        <f>$V238*'Médias por UF'!GA179</f>
        <v>9570.2221968704962</v>
      </c>
      <c r="U203" s="800">
        <f>$V238*'Médias por UF'!GB179</f>
        <v>12737.287345150537</v>
      </c>
      <c r="V203" s="800">
        <f>$V238*'Médias por UF'!GC179</f>
        <v>15774.235725910688</v>
      </c>
      <c r="W203" s="800">
        <f>$V238*'Médias por UF'!GD179</f>
        <v>19133.342771805183</v>
      </c>
      <c r="X203" s="800">
        <f>$V238*'Médias por UF'!GE179</f>
        <v>24112.409396940257</v>
      </c>
      <c r="Y203" s="800">
        <f>$V238*'Médias por UF'!GF179</f>
        <v>26847.311308624674</v>
      </c>
      <c r="Z203" s="800">
        <f>$V238*'Médias por UF'!GG179</f>
        <v>30500.584196553438</v>
      </c>
      <c r="AA203" s="800">
        <f>$V238*'Médias por UF'!GH179</f>
        <v>32971.770059715498</v>
      </c>
      <c r="AB203" s="800">
        <f>$V238*'Médias por UF'!GI179</f>
        <v>36281.89</v>
      </c>
      <c r="AC203" s="800">
        <f t="shared" si="67"/>
        <v>36281.89</v>
      </c>
      <c r="AE203" s="138" t="s">
        <v>103</v>
      </c>
      <c r="AF203" s="800">
        <f>JAN!$X$31</f>
        <v>1418.64</v>
      </c>
      <c r="AG203" s="800">
        <f>FEV!$X31</f>
        <v>3332.864</v>
      </c>
      <c r="AH203" s="800">
        <f>MAR!$X31</f>
        <v>3983.1920000000005</v>
      </c>
      <c r="AI203" s="800">
        <f>ABR!$X31</f>
        <v>2664.9360000000001</v>
      </c>
      <c r="AJ203" s="800">
        <f>MAI!$X31</f>
        <v>4094.3039999999996</v>
      </c>
      <c r="AK203" s="800">
        <f>JUN!$X31</f>
        <v>2360.6480000000001</v>
      </c>
      <c r="AL203" s="800">
        <f>JUL!$X31</f>
        <v>2656.7840000000001</v>
      </c>
      <c r="AM203" s="800">
        <f>AGO!$X31</f>
        <v>3721.3760000000002</v>
      </c>
      <c r="AN203" s="800">
        <f>SET!$X31</f>
        <v>2512.4000000000005</v>
      </c>
      <c r="AO203" s="800">
        <f>OUT!$X31*0</f>
        <v>0</v>
      </c>
      <c r="AP203" s="800">
        <f>NOV!$X31*0</f>
        <v>0</v>
      </c>
      <c r="AQ203" s="800">
        <f>DEZ!$X31*0</f>
        <v>0</v>
      </c>
      <c r="AR203" s="800">
        <f t="shared" si="68"/>
        <v>26745.144</v>
      </c>
      <c r="AT203" s="809"/>
      <c r="AV203" s="809"/>
      <c r="AW203" s="809"/>
    </row>
    <row r="204" spans="1:49">
      <c r="A204" s="805" t="s">
        <v>37</v>
      </c>
      <c r="B204" s="806">
        <f>SUM(B177:B203)</f>
        <v>703067.48156711936</v>
      </c>
      <c r="C204" s="806">
        <f t="shared" ref="C204:D204" si="69">SUM(C177:C203)</f>
        <v>1289065.0925603106</v>
      </c>
      <c r="D204" s="806">
        <f t="shared" si="69"/>
        <v>1807254.5455623195</v>
      </c>
      <c r="E204" s="806">
        <f>SUM(E177:E203)</f>
        <v>2256895.0991598847</v>
      </c>
      <c r="F204" s="806">
        <f t="shared" ref="F204:N204" si="70">SUM(F177:F203)</f>
        <v>2721496.5893524904</v>
      </c>
      <c r="G204" s="806">
        <f t="shared" si="70"/>
        <v>3289488.4026390654</v>
      </c>
      <c r="H204" s="806">
        <f t="shared" si="70"/>
        <v>3995197.6418946465</v>
      </c>
      <c r="I204" s="806">
        <f t="shared" si="70"/>
        <v>4733649.4931987105</v>
      </c>
      <c r="J204" s="806">
        <f t="shared" si="70"/>
        <v>5410350.8720498644</v>
      </c>
      <c r="K204" s="806">
        <f t="shared" si="70"/>
        <v>6130674.8612696193</v>
      </c>
      <c r="L204" s="806">
        <f t="shared" si="70"/>
        <v>6849769.1214539092</v>
      </c>
      <c r="M204" s="806">
        <f t="shared" si="70"/>
        <v>7686017.7000000002</v>
      </c>
      <c r="N204" s="806">
        <f t="shared" si="70"/>
        <v>7686017.7000000002</v>
      </c>
      <c r="P204" s="807" t="s">
        <v>37</v>
      </c>
      <c r="Q204" s="806">
        <f>SUM(Q177:Q203)</f>
        <v>581406.99829664303</v>
      </c>
      <c r="R204" s="806">
        <f t="shared" ref="R204:S204" si="71">SUM(R177:R203)</f>
        <v>1065502.6412584176</v>
      </c>
      <c r="S204" s="806">
        <f t="shared" si="71"/>
        <v>1493167.2273112179</v>
      </c>
      <c r="T204" s="806">
        <f>SUM(T177:T203)</f>
        <v>1865059.549432535</v>
      </c>
      <c r="U204" s="806">
        <f t="shared" ref="U204:AC204" si="72">SUM(U177:U203)</f>
        <v>2248753.598523404</v>
      </c>
      <c r="V204" s="806">
        <f t="shared" si="72"/>
        <v>2718087.4135258538</v>
      </c>
      <c r="W204" s="806">
        <f t="shared" si="72"/>
        <v>3301597.3321320587</v>
      </c>
      <c r="X204" s="806">
        <f t="shared" si="72"/>
        <v>3913135.3319404195</v>
      </c>
      <c r="Y204" s="806">
        <f t="shared" si="72"/>
        <v>4472442.3834388899</v>
      </c>
      <c r="Z204" s="806">
        <f t="shared" si="72"/>
        <v>5068593.3891115664</v>
      </c>
      <c r="AA204" s="806">
        <f t="shared" si="72"/>
        <v>5663744.9407183016</v>
      </c>
      <c r="AB204" s="806">
        <f t="shared" si="72"/>
        <v>6357107.669285709</v>
      </c>
      <c r="AC204" s="806">
        <f t="shared" si="72"/>
        <v>6357107.669285709</v>
      </c>
      <c r="AE204" s="807" t="s">
        <v>37</v>
      </c>
      <c r="AF204" s="806">
        <f>SUM(AF177:AF203)</f>
        <v>524163.22799999994</v>
      </c>
      <c r="AG204" s="806">
        <f t="shared" ref="AG204:AH204" si="73">SUM(AG177:AG203)</f>
        <v>685729.24400000018</v>
      </c>
      <c r="AH204" s="806">
        <f t="shared" si="73"/>
        <v>763204.50400000007</v>
      </c>
      <c r="AI204" s="806">
        <f>SUM(AI177:AI203)</f>
        <v>544946.54400000011</v>
      </c>
      <c r="AJ204" s="806">
        <f t="shared" ref="AJ204:AQ204" si="74">SUM(AJ177:AJ203)</f>
        <v>694220.89800000004</v>
      </c>
      <c r="AK204" s="806">
        <f t="shared" si="74"/>
        <v>605826.76800000016</v>
      </c>
      <c r="AL204" s="806">
        <f t="shared" si="74"/>
        <v>748995</v>
      </c>
      <c r="AM204" s="806">
        <f t="shared" si="74"/>
        <v>1001444.7680000003</v>
      </c>
      <c r="AN204" s="806">
        <f t="shared" si="74"/>
        <v>919492.64</v>
      </c>
      <c r="AO204" s="806">
        <f t="shared" si="74"/>
        <v>0</v>
      </c>
      <c r="AP204" s="806">
        <f t="shared" si="74"/>
        <v>0</v>
      </c>
      <c r="AQ204" s="806">
        <f t="shared" si="74"/>
        <v>0</v>
      </c>
      <c r="AR204" s="806">
        <f t="shared" ref="AR204" si="75">SUM(AR177:AR203)</f>
        <v>6488023.5940000014</v>
      </c>
      <c r="AS204" s="802" t="b">
        <f>AR204='Taxas e Multas.'!O30</f>
        <v>1</v>
      </c>
    </row>
    <row r="205" spans="1:49">
      <c r="N205" s="802">
        <f>N204-SUM(G212:G238)</f>
        <v>0</v>
      </c>
      <c r="Q205" s="802">
        <f>Q204</f>
        <v>581406.99829664303</v>
      </c>
      <c r="R205" s="802">
        <f>R204-Q204</f>
        <v>484095.6429617746</v>
      </c>
      <c r="S205" s="802">
        <f t="shared" ref="S205:AB205" si="76">S204-R204</f>
        <v>427664.5860528003</v>
      </c>
      <c r="T205" s="802">
        <f t="shared" si="76"/>
        <v>371892.32212131703</v>
      </c>
      <c r="U205" s="802">
        <f t="shared" si="76"/>
        <v>383694.04909086903</v>
      </c>
      <c r="V205" s="802">
        <f t="shared" si="76"/>
        <v>469333.81500244979</v>
      </c>
      <c r="W205" s="802">
        <f t="shared" si="76"/>
        <v>583509.91860620491</v>
      </c>
      <c r="X205" s="802">
        <f t="shared" si="76"/>
        <v>611537.99980836082</v>
      </c>
      <c r="Y205" s="802">
        <f t="shared" si="76"/>
        <v>559307.05149847036</v>
      </c>
      <c r="Z205" s="802">
        <f t="shared" si="76"/>
        <v>596151.00567267649</v>
      </c>
      <c r="AA205" s="802">
        <f t="shared" si="76"/>
        <v>595151.55160673521</v>
      </c>
      <c r="AB205" s="802">
        <f t="shared" si="76"/>
        <v>693362.72856740747</v>
      </c>
      <c r="AC205" s="802">
        <f>AC204-SUM(V212:V238)</f>
        <v>0</v>
      </c>
      <c r="AF205" s="802">
        <f>AF204-JAN!X32</f>
        <v>0</v>
      </c>
      <c r="AG205" s="802">
        <f>AG204-FEV!X32</f>
        <v>0</v>
      </c>
      <c r="AH205" s="802">
        <f>AH204-MAR!X32</f>
        <v>0</v>
      </c>
      <c r="AI205" s="802">
        <f>AI204-ABR!X32</f>
        <v>0</v>
      </c>
      <c r="AJ205" s="802">
        <f>AJ204-MAI!X32</f>
        <v>0</v>
      </c>
      <c r="AK205" s="802">
        <f>AK204-JUN!X32</f>
        <v>0</v>
      </c>
      <c r="AL205" s="802">
        <f>AL204-JUL!X32</f>
        <v>0</v>
      </c>
      <c r="AM205" s="802">
        <f>AM204-AGO!X32</f>
        <v>0</v>
      </c>
      <c r="AR205" s="802">
        <f>AR204-'TOTAL POR UF'!H33</f>
        <v>0</v>
      </c>
    </row>
    <row r="206" spans="1:49">
      <c r="A206" s="137" t="s">
        <v>224</v>
      </c>
      <c r="B206" s="800">
        <f>$G$239*'Médias por UF'!FX180</f>
        <v>138024.43422121508</v>
      </c>
      <c r="C206" s="800">
        <f>$G$239*'Médias por UF'!FY180</f>
        <v>259493.84373781935</v>
      </c>
      <c r="D206" s="800">
        <f>$G$239*'Médias por UF'!FZ180</f>
        <v>364577.88113218051</v>
      </c>
      <c r="E206" s="800">
        <f>$G$239*'Médias por UF'!GA180</f>
        <v>459841.81647182303</v>
      </c>
      <c r="F206" s="800">
        <f>$G$239*'Médias por UF'!GB180</f>
        <v>558227.10902008403</v>
      </c>
      <c r="G206" s="800">
        <f>$G$239*'Médias por UF'!GC180</f>
        <v>680778.11555631598</v>
      </c>
      <c r="H206" s="800">
        <f>$G$239*'Médias por UF'!GD180</f>
        <v>815466.29664148076</v>
      </c>
      <c r="I206" s="800">
        <f>$G$239*'Médias por UF'!GE180</f>
        <v>955654.07643927704</v>
      </c>
      <c r="J206" s="800">
        <f>$G$239*'Médias por UF'!GF180</f>
        <v>1090277.1784942553</v>
      </c>
      <c r="K206" s="800">
        <f>$G$239*'Médias por UF'!GG180</f>
        <v>1231770.3382411394</v>
      </c>
      <c r="L206" s="800">
        <f>$G$239*'Médias por UF'!GH180</f>
        <v>1376571.8161778564</v>
      </c>
      <c r="M206" s="800">
        <f>$G$239*'Médias por UF'!GI180</f>
        <v>1537203.54</v>
      </c>
      <c r="N206" s="800">
        <f t="shared" ref="N206" si="77">M206</f>
        <v>1537203.54</v>
      </c>
      <c r="P206" s="137" t="s">
        <v>224</v>
      </c>
      <c r="Q206" s="800">
        <f>$V$239*'Médias por UF'!FX180</f>
        <v>144412.58037141533</v>
      </c>
      <c r="R206" s="800">
        <f>$V$239*'Médias por UF'!FY180</f>
        <v>271503.9244762602</v>
      </c>
      <c r="S206" s="800">
        <f>$V$239*'Médias por UF'!FZ180</f>
        <v>381451.53687975631</v>
      </c>
      <c r="T206" s="800">
        <f>$V$239*'Médias por UF'!GA180</f>
        <v>481124.54620131064</v>
      </c>
      <c r="U206" s="800">
        <f>$V$239*'Médias por UF'!GB180</f>
        <v>584063.37763110898</v>
      </c>
      <c r="V206" s="800">
        <f>$V$239*'Médias por UF'!GC180</f>
        <v>712286.37800687272</v>
      </c>
      <c r="W206" s="800">
        <f>$V$239*'Médias por UF'!GD180</f>
        <v>853208.29437471717</v>
      </c>
      <c r="X206" s="800">
        <f>$V$239*'Médias por UF'!GE180</f>
        <v>999884.3458388556</v>
      </c>
      <c r="Y206" s="800">
        <f>$V$239*'Médias por UF'!GF180</f>
        <v>1140738.1711420247</v>
      </c>
      <c r="Z206" s="800">
        <f>$V$239*'Médias por UF'!GG180</f>
        <v>1288780.0190890578</v>
      </c>
      <c r="AA206" s="800">
        <f>$V$239*'Médias por UF'!GH180</f>
        <v>1440283.3031881694</v>
      </c>
      <c r="AB206" s="800">
        <f>$V$239*'Médias por UF'!GI180</f>
        <v>1608349.5</v>
      </c>
      <c r="AC206" s="800">
        <f t="shared" ref="AC206" si="78">AB206</f>
        <v>1608349.5</v>
      </c>
      <c r="AE206" s="138" t="s">
        <v>224</v>
      </c>
      <c r="AF206" s="800">
        <f>JAN!$X$67</f>
        <v>129452.14200000001</v>
      </c>
      <c r="AG206" s="800">
        <f>FEV!$X$67</f>
        <v>167574.89600000004</v>
      </c>
      <c r="AH206" s="800">
        <f>MAR!$X$67</f>
        <v>184729.14600000004</v>
      </c>
      <c r="AI206" s="800">
        <f>ABR!$X$67</f>
        <v>136236.63600000003</v>
      </c>
      <c r="AJ206" s="800">
        <f>MAI!$X$67</f>
        <v>169721.23200000002</v>
      </c>
      <c r="AK206" s="800">
        <f>JUN!$X$67</f>
        <v>151456.69200000004</v>
      </c>
      <c r="AL206" s="800">
        <f>JUL!$X$67</f>
        <v>183407.06</v>
      </c>
      <c r="AM206" s="800">
        <f>AGO!$X$67</f>
        <v>250361.19200000007</v>
      </c>
      <c r="AN206" s="800">
        <f>SET!$X$67</f>
        <v>226149.95</v>
      </c>
      <c r="AO206" s="800">
        <f>OUT!$X67*0</f>
        <v>0</v>
      </c>
      <c r="AP206" s="800">
        <f>NOV!$X$67*0</f>
        <v>0</v>
      </c>
      <c r="AQ206" s="800">
        <f>DEZ!$X$67*0</f>
        <v>0</v>
      </c>
      <c r="AR206" s="800">
        <f>SUM(AF206:AQ206)</f>
        <v>1599088.9460000002</v>
      </c>
      <c r="AS206" s="802" t="b">
        <f>AR206='Taxas e Multas.'!O31</f>
        <v>1</v>
      </c>
    </row>
    <row r="207" spans="1:49">
      <c r="A207" s="139"/>
      <c r="B207" s="801"/>
      <c r="C207" s="801"/>
      <c r="D207" s="801"/>
      <c r="E207" s="801"/>
      <c r="F207" s="801"/>
      <c r="G207" s="801"/>
      <c r="H207" s="801"/>
      <c r="I207" s="801"/>
      <c r="J207" s="801"/>
      <c r="K207" s="801"/>
      <c r="L207" s="801"/>
      <c r="M207" s="801"/>
      <c r="N207" s="801"/>
      <c r="P207" s="813"/>
      <c r="Q207" s="438"/>
      <c r="R207" s="438"/>
      <c r="S207" s="438"/>
      <c r="T207" s="438"/>
      <c r="U207" s="438"/>
      <c r="V207" s="438"/>
      <c r="W207" s="438"/>
      <c r="X207" s="801"/>
      <c r="Y207" s="801"/>
      <c r="Z207" s="801"/>
      <c r="AA207" s="801"/>
      <c r="AB207" s="801"/>
      <c r="AC207" s="801"/>
      <c r="AE207" s="140"/>
      <c r="AF207" s="801"/>
      <c r="AG207" s="801"/>
      <c r="AH207" s="801"/>
      <c r="AI207" s="801"/>
      <c r="AJ207" s="801"/>
      <c r="AK207" s="801"/>
      <c r="AL207" s="801"/>
      <c r="AM207" s="801"/>
      <c r="AN207" s="801"/>
      <c r="AO207" s="801"/>
      <c r="AP207" s="801"/>
      <c r="AQ207" s="801"/>
      <c r="AR207" s="801"/>
    </row>
    <row r="208" spans="1:49" ht="21" customHeight="1" thickBot="1">
      <c r="A208" s="986" t="s">
        <v>169</v>
      </c>
      <c r="B208" s="987" t="s">
        <v>247</v>
      </c>
      <c r="C208" s="987"/>
      <c r="D208" s="987"/>
      <c r="E208" s="987"/>
      <c r="F208" s="987"/>
      <c r="G208" s="987"/>
      <c r="H208" s="987"/>
      <c r="P208" s="986" t="s">
        <v>169</v>
      </c>
      <c r="Q208" s="987" t="s">
        <v>247</v>
      </c>
      <c r="R208" s="987"/>
      <c r="S208" s="987"/>
      <c r="T208" s="987"/>
      <c r="U208" s="987"/>
      <c r="V208" s="987"/>
      <c r="W208" s="987"/>
      <c r="AF208" s="802">
        <f>JAN!X67-AF206</f>
        <v>0</v>
      </c>
      <c r="AG208" s="802">
        <f>FEV!X67-'Evolução das Receitas'!AG206</f>
        <v>0</v>
      </c>
      <c r="AH208" s="802">
        <f>AH206-MAR!X67</f>
        <v>0</v>
      </c>
      <c r="AI208" s="802">
        <f>AI206-ABR!X67</f>
        <v>0</v>
      </c>
      <c r="AJ208" s="802">
        <f>AJ206-MAI!X67</f>
        <v>0</v>
      </c>
      <c r="AK208" s="802">
        <f>AK206-JUN!X67</f>
        <v>0</v>
      </c>
      <c r="AL208" s="802">
        <f>AL206-JUL!X67</f>
        <v>0</v>
      </c>
      <c r="AM208" s="802">
        <f>AM206-AGO!X67</f>
        <v>0</v>
      </c>
    </row>
    <row r="209" spans="1:44" ht="21" customHeight="1">
      <c r="A209" s="986"/>
      <c r="B209" s="988">
        <v>2022</v>
      </c>
      <c r="C209" s="988"/>
      <c r="D209" s="988"/>
      <c r="E209" s="988"/>
      <c r="F209" s="988"/>
      <c r="G209" s="988"/>
      <c r="H209" s="988"/>
      <c r="I209" s="804"/>
      <c r="J209" s="989" t="s">
        <v>723</v>
      </c>
      <c r="K209" s="990"/>
      <c r="L209" s="990"/>
      <c r="M209" s="990"/>
      <c r="N209" s="991"/>
      <c r="P209" s="986"/>
      <c r="Q209" s="988">
        <v>2022</v>
      </c>
      <c r="R209" s="988"/>
      <c r="S209" s="988"/>
      <c r="T209" s="988"/>
      <c r="U209" s="988"/>
      <c r="V209" s="988"/>
      <c r="W209" s="988"/>
      <c r="Y209" s="977" t="s">
        <v>724</v>
      </c>
      <c r="Z209" s="978"/>
      <c r="AA209" s="978"/>
      <c r="AB209" s="978"/>
      <c r="AC209" s="979"/>
      <c r="AF209" s="814">
        <f t="shared" ref="AF209:AR209" si="79">AF32+AF34+AF66+AF68+AF100+AF102+AF134+AF136+AF170+AF172+AF204+AF206</f>
        <v>20850868.670000006</v>
      </c>
      <c r="AG209" s="814">
        <f t="shared" si="79"/>
        <v>24643200.43</v>
      </c>
      <c r="AH209" s="814">
        <f t="shared" si="79"/>
        <v>25022780.400000006</v>
      </c>
      <c r="AI209" s="814">
        <f t="shared" si="79"/>
        <v>16423502.059999997</v>
      </c>
      <c r="AJ209" s="814">
        <f t="shared" si="79"/>
        <v>19444466.520000003</v>
      </c>
      <c r="AK209" s="814">
        <f t="shared" si="79"/>
        <v>18995234.910000008</v>
      </c>
      <c r="AL209" s="814">
        <f t="shared" si="79"/>
        <v>17489413.369999997</v>
      </c>
      <c r="AM209" s="814">
        <f t="shared" si="79"/>
        <v>17109685.620000001</v>
      </c>
      <c r="AN209" s="814">
        <f t="shared" si="79"/>
        <v>14473753.27</v>
      </c>
      <c r="AO209" s="814">
        <f t="shared" si="79"/>
        <v>0</v>
      </c>
      <c r="AP209" s="814">
        <f t="shared" si="79"/>
        <v>0</v>
      </c>
      <c r="AQ209" s="814">
        <f t="shared" si="79"/>
        <v>0</v>
      </c>
      <c r="AR209" s="814">
        <f t="shared" si="79"/>
        <v>174452905.25000003</v>
      </c>
    </row>
    <row r="210" spans="1:44" ht="21" customHeight="1" thickBot="1">
      <c r="A210" s="986"/>
      <c r="B210" s="986" t="s">
        <v>248</v>
      </c>
      <c r="C210" s="986"/>
      <c r="D210" s="986" t="s">
        <v>249</v>
      </c>
      <c r="E210" s="986"/>
      <c r="F210" s="986" t="s">
        <v>28</v>
      </c>
      <c r="G210" s="986" t="s">
        <v>250</v>
      </c>
      <c r="H210" s="986" t="s">
        <v>170</v>
      </c>
      <c r="I210" s="804"/>
      <c r="J210" s="992"/>
      <c r="K210" s="993"/>
      <c r="L210" s="993"/>
      <c r="M210" s="993"/>
      <c r="N210" s="994"/>
      <c r="P210" s="986"/>
      <c r="Q210" s="986" t="s">
        <v>248</v>
      </c>
      <c r="R210" s="986"/>
      <c r="S210" s="986" t="s">
        <v>249</v>
      </c>
      <c r="T210" s="986"/>
      <c r="U210" s="986" t="s">
        <v>28</v>
      </c>
      <c r="V210" s="986" t="s">
        <v>250</v>
      </c>
      <c r="W210" s="986" t="s">
        <v>170</v>
      </c>
      <c r="Y210" s="980"/>
      <c r="Z210" s="981"/>
      <c r="AA210" s="981"/>
      <c r="AB210" s="981"/>
      <c r="AC210" s="982"/>
      <c r="AF210" s="815" t="b">
        <f>AF209='ARRECADAÇÃO MENSAL POR RECEITA'!R5</f>
        <v>1</v>
      </c>
      <c r="AG210" s="815" t="b">
        <f>AG209='ARRECADAÇÃO MENSAL POR RECEITA'!R6</f>
        <v>1</v>
      </c>
      <c r="AH210" s="815" t="b">
        <f>AH209='ARRECADAÇÃO MENSAL POR RECEITA'!R7</f>
        <v>1</v>
      </c>
      <c r="AI210" s="815" t="b">
        <f>AI209='ARRECADAÇÃO MENSAL POR RECEITA'!R8</f>
        <v>1</v>
      </c>
      <c r="AJ210" s="815" t="b">
        <f>AJ209='ARRECADAÇÃO MENSAL POR RECEITA'!R9</f>
        <v>1</v>
      </c>
      <c r="AK210" s="815" t="b">
        <f>AK209='ARRECADAÇÃO MENSAL POR RECEITA'!R10</f>
        <v>1</v>
      </c>
      <c r="AL210" s="815" t="b">
        <f>AL209='ARRECADAÇÃO MENSAL POR RECEITA'!R11</f>
        <v>1</v>
      </c>
      <c r="AM210" s="815" t="b">
        <f>AM209='ARRECADAÇÃO MENSAL POR RECEITA'!R12</f>
        <v>1</v>
      </c>
      <c r="AN210" s="815" t="b">
        <f>AN209='ARRECADAÇÃO MENSAL POR RECEITA'!R13</f>
        <v>1</v>
      </c>
      <c r="AO210" s="815" t="b">
        <f>AO209='ARRECADAÇÃO MENSAL POR RECEITA'!R14</f>
        <v>1</v>
      </c>
      <c r="AP210" s="815" t="b">
        <f>'ARRECADAÇÃO MENSAL POR RECEITA'!R15=AP209</f>
        <v>1</v>
      </c>
      <c r="AQ210" s="815" t="b">
        <f>AQ209='ARRECADAÇÃO MENSAL POR RECEITA'!R16</f>
        <v>1</v>
      </c>
      <c r="AR210" s="815" t="b">
        <f>AR209='ARRECADAÇÃO MENSAL POR RECEITA'!R17</f>
        <v>1</v>
      </c>
    </row>
    <row r="211" spans="1:44" ht="31.5" customHeight="1">
      <c r="A211" s="986"/>
      <c r="B211" s="821" t="s">
        <v>251</v>
      </c>
      <c r="C211" s="821" t="s">
        <v>252</v>
      </c>
      <c r="D211" s="821" t="s">
        <v>251</v>
      </c>
      <c r="E211" s="821" t="s">
        <v>252</v>
      </c>
      <c r="F211" s="986"/>
      <c r="G211" s="986"/>
      <c r="H211" s="986"/>
      <c r="I211" s="804"/>
      <c r="J211" s="992"/>
      <c r="K211" s="993"/>
      <c r="L211" s="993"/>
      <c r="M211" s="993"/>
      <c r="N211" s="994"/>
      <c r="P211" s="986"/>
      <c r="Q211" s="821" t="s">
        <v>251</v>
      </c>
      <c r="R211" s="821" t="s">
        <v>252</v>
      </c>
      <c r="S211" s="821" t="s">
        <v>251</v>
      </c>
      <c r="T211" s="821" t="s">
        <v>252</v>
      </c>
      <c r="U211" s="986"/>
      <c r="V211" s="986"/>
      <c r="W211" s="986"/>
      <c r="Y211" s="980"/>
      <c r="Z211" s="981"/>
      <c r="AA211" s="981"/>
      <c r="AB211" s="981"/>
      <c r="AC211" s="982"/>
    </row>
    <row r="212" spans="1:44" ht="21" customHeight="1">
      <c r="A212" s="822" t="s">
        <v>77</v>
      </c>
      <c r="B212" s="823">
        <v>278482.73</v>
      </c>
      <c r="C212" s="823">
        <f>'Anuid PF'!F5</f>
        <v>65999.62</v>
      </c>
      <c r="D212" s="823">
        <v>47831.360000000001</v>
      </c>
      <c r="E212" s="823">
        <f>'Anuid PJ'!E5</f>
        <v>10405.58</v>
      </c>
      <c r="F212" s="823">
        <f>RRT!C4</f>
        <v>247987.1</v>
      </c>
      <c r="G212" s="823">
        <v>35052.630000000005</v>
      </c>
      <c r="H212" s="824">
        <f>B212+C212+D212+E212+F212+G212</f>
        <v>685759.02</v>
      </c>
      <c r="J212" s="992"/>
      <c r="K212" s="993"/>
      <c r="L212" s="993"/>
      <c r="M212" s="993"/>
      <c r="N212" s="994"/>
      <c r="P212" s="822" t="s">
        <v>77</v>
      </c>
      <c r="Q212" s="823">
        <f>VLOOKUP($P$212:$P$238,'Anuid PF'!$A$5:$F$33,5,)</f>
        <v>173232.09</v>
      </c>
      <c r="R212" s="823">
        <f>VLOOKUP($P$212:$P$238,'Anuid PF'!$A$5:$F$33,6,)</f>
        <v>65999.62</v>
      </c>
      <c r="S212" s="823">
        <f>VLOOKUP($P$212:$P$238,'Anuid PJ'!$A$5:$E$33,4,)</f>
        <v>22368.199999999997</v>
      </c>
      <c r="T212" s="823">
        <f>VLOOKUP($P$212:$P$238,'Anuid PJ'!$A$5:$E$33,5,)</f>
        <v>10405.58</v>
      </c>
      <c r="U212" s="823">
        <f>VLOOKUP($P$212:$P$238,RRT!$A$4:$C$32,3,)</f>
        <v>247987.1</v>
      </c>
      <c r="V212" s="823">
        <f>VLOOKUP($P$212:$P$238,'Taxas e Multas.'!$A$3:$B$31,2,)</f>
        <v>28255.510000000002</v>
      </c>
      <c r="W212" s="824">
        <f>Q212+R212+S212+T212+U212+V212</f>
        <v>548248.1</v>
      </c>
      <c r="X212" s="816">
        <f t="shared" ref="X212:X238" si="80">W212-AC5-AC39-AC73-AC107-AC143-AC177</f>
        <v>0</v>
      </c>
      <c r="Y212" s="980"/>
      <c r="Z212" s="981"/>
      <c r="AA212" s="981"/>
      <c r="AB212" s="981"/>
      <c r="AC212" s="982"/>
    </row>
    <row r="213" spans="1:44" ht="21" customHeight="1">
      <c r="A213" s="822" t="s">
        <v>78</v>
      </c>
      <c r="B213" s="823">
        <v>837413.81</v>
      </c>
      <c r="C213" s="823">
        <f>'Anuid PF'!F6</f>
        <v>123638.42</v>
      </c>
      <c r="D213" s="823">
        <v>52815.799999999996</v>
      </c>
      <c r="E213" s="823">
        <f>'Anuid PJ'!E6</f>
        <v>22976.79</v>
      </c>
      <c r="F213" s="823">
        <f>RRT!C5</f>
        <v>671443.34000000008</v>
      </c>
      <c r="G213" s="823">
        <v>85898.75</v>
      </c>
      <c r="H213" s="824">
        <f t="shared" ref="H213:H239" si="81">B213+C213+D213+E213+F213+G213</f>
        <v>1794186.9100000001</v>
      </c>
      <c r="J213" s="992"/>
      <c r="K213" s="993"/>
      <c r="L213" s="993"/>
      <c r="M213" s="993"/>
      <c r="N213" s="994"/>
      <c r="P213" s="822" t="s">
        <v>78</v>
      </c>
      <c r="Q213" s="823">
        <f>VLOOKUP($P$212:$P$238,'Anuid PF'!$A$5:$F$33,5,)</f>
        <v>558689.82999999996</v>
      </c>
      <c r="R213" s="823">
        <f>VLOOKUP($P$212:$P$238,'Anuid PF'!$A$5:$F$33,6,)</f>
        <v>123638.42</v>
      </c>
      <c r="S213" s="823">
        <f>VLOOKUP($P$212:$P$238,'Anuid PJ'!$A$5:$E$33,4,)</f>
        <v>21671.61</v>
      </c>
      <c r="T213" s="823">
        <f>VLOOKUP($P$212:$P$238,'Anuid PJ'!$A$5:$E$33,5,)</f>
        <v>22976.79</v>
      </c>
      <c r="U213" s="823">
        <f>VLOOKUP($P$212:$P$238,RRT!$A$4:$C$32,3,)</f>
        <v>671443.34000000008</v>
      </c>
      <c r="V213" s="823">
        <f>VLOOKUP($P$212:$P$238,'Taxas e Multas.'!$A$3:$B$31,2,)</f>
        <v>65757.320000000007</v>
      </c>
      <c r="W213" s="824">
        <f t="shared" ref="W213:W239" si="82">Q213+R213+S213+T213+U213+V213</f>
        <v>1464177.3100000003</v>
      </c>
      <c r="X213" s="816">
        <f t="shared" si="80"/>
        <v>1.7462298274040222E-10</v>
      </c>
      <c r="Y213" s="980"/>
      <c r="Z213" s="981"/>
      <c r="AA213" s="981"/>
      <c r="AB213" s="981"/>
      <c r="AC213" s="982"/>
    </row>
    <row r="214" spans="1:44" ht="21" customHeight="1">
      <c r="A214" s="822" t="s">
        <v>79</v>
      </c>
      <c r="B214" s="823">
        <v>360617.41000000003</v>
      </c>
      <c r="C214" s="823">
        <f>'Anuid PF'!F7</f>
        <v>146693.6</v>
      </c>
      <c r="D214" s="823">
        <v>103140.51000000001</v>
      </c>
      <c r="E214" s="823">
        <f>'Anuid PJ'!E7</f>
        <v>25790.080000000002</v>
      </c>
      <c r="F214" s="823">
        <f>RRT!C6</f>
        <v>677529.99</v>
      </c>
      <c r="G214" s="823">
        <v>46335.5</v>
      </c>
      <c r="H214" s="824">
        <f t="shared" si="81"/>
        <v>1360107.0899999999</v>
      </c>
      <c r="J214" s="992"/>
      <c r="K214" s="993"/>
      <c r="L214" s="993"/>
      <c r="M214" s="993"/>
      <c r="N214" s="994"/>
      <c r="P214" s="822" t="s">
        <v>79</v>
      </c>
      <c r="Q214" s="823">
        <f>VLOOKUP($P$212:$P$238,'Anuid PF'!$A$5:$F$33,5,)</f>
        <v>193991.7</v>
      </c>
      <c r="R214" s="823">
        <f>VLOOKUP($P$212:$P$238,'Anuid PF'!$A$5:$F$33,6,)</f>
        <v>70623.45</v>
      </c>
      <c r="S214" s="823">
        <f>VLOOKUP($P$212:$P$238,'Anuid PJ'!$A$5:$E$33,4,)</f>
        <v>30504.54</v>
      </c>
      <c r="T214" s="823">
        <f>VLOOKUP($P$212:$P$238,'Anuid PJ'!$A$5:$E$33,5,)</f>
        <v>29503.100000000002</v>
      </c>
      <c r="U214" s="823">
        <f>VLOOKUP($P$212:$P$238,RRT!$A$4:$C$32,3,)</f>
        <v>311896.82</v>
      </c>
      <c r="V214" s="823">
        <f>VLOOKUP($P$212:$P$238,'Taxas e Multas.'!$A$3:$B$31,2,)</f>
        <v>34372.410000000003</v>
      </c>
      <c r="W214" s="824">
        <f t="shared" si="82"/>
        <v>670892.02</v>
      </c>
      <c r="X214" s="816">
        <f t="shared" si="80"/>
        <v>0</v>
      </c>
      <c r="Y214" s="980"/>
      <c r="Z214" s="981"/>
      <c r="AA214" s="981"/>
      <c r="AB214" s="981"/>
      <c r="AC214" s="982"/>
    </row>
    <row r="215" spans="1:44" ht="21" customHeight="1">
      <c r="A215" s="822" t="s">
        <v>80</v>
      </c>
      <c r="B215" s="823">
        <v>967502.23</v>
      </c>
      <c r="C215" s="823">
        <f>'Anuid PF'!F8</f>
        <v>70623.45</v>
      </c>
      <c r="D215" s="823">
        <v>81067.89</v>
      </c>
      <c r="E215" s="823">
        <f>'Anuid PJ'!E8</f>
        <v>29503.100000000002</v>
      </c>
      <c r="F215" s="823">
        <f>RRT!C7</f>
        <v>311896.82</v>
      </c>
      <c r="G215" s="823">
        <v>86770.290000000008</v>
      </c>
      <c r="H215" s="824">
        <f t="shared" si="81"/>
        <v>1547363.78</v>
      </c>
      <c r="J215" s="992"/>
      <c r="K215" s="993"/>
      <c r="L215" s="993"/>
      <c r="M215" s="993"/>
      <c r="N215" s="994"/>
      <c r="P215" s="822" t="s">
        <v>80</v>
      </c>
      <c r="Q215" s="823">
        <f>VLOOKUP($P$212:$P$238,'Anuid PF'!$A$5:$F$33,5,)</f>
        <v>564760.02</v>
      </c>
      <c r="R215" s="823">
        <f>VLOOKUP($P$212:$P$238,'Anuid PF'!$A$5:$F$33,6,)</f>
        <v>146693.6</v>
      </c>
      <c r="S215" s="823">
        <f>VLOOKUP($P$212:$P$238,'Anuid PJ'!$A$5:$E$33,4,)</f>
        <v>38358.76</v>
      </c>
      <c r="T215" s="823">
        <f>VLOOKUP($P$212:$P$238,'Anuid PJ'!$A$5:$E$33,5,)</f>
        <v>25790.080000000002</v>
      </c>
      <c r="U215" s="823">
        <f>VLOOKUP($P$212:$P$238,RRT!$A$4:$C$32,3,)</f>
        <v>677529.99</v>
      </c>
      <c r="V215" s="823">
        <f>VLOOKUP($P$212:$P$238,'Taxas e Multas.'!$A$3:$B$31,2,)</f>
        <v>64497.72</v>
      </c>
      <c r="W215" s="824">
        <f t="shared" si="82"/>
        <v>1517630.17</v>
      </c>
      <c r="X215" s="816">
        <f t="shared" si="80"/>
        <v>0</v>
      </c>
      <c r="Y215" s="980"/>
      <c r="Z215" s="981"/>
      <c r="AA215" s="981"/>
      <c r="AB215" s="981"/>
      <c r="AC215" s="982"/>
    </row>
    <row r="216" spans="1:44" ht="21" customHeight="1" thickBot="1">
      <c r="A216" s="822" t="s">
        <v>81</v>
      </c>
      <c r="B216" s="823">
        <v>2547294.12</v>
      </c>
      <c r="C216" s="823">
        <f>'Anuid PF'!F9</f>
        <v>369690.77</v>
      </c>
      <c r="D216" s="823">
        <v>331564.08</v>
      </c>
      <c r="E216" s="823">
        <f>'Anuid PJ'!E9</f>
        <v>99609.25</v>
      </c>
      <c r="F216" s="823">
        <f>RRT!C8</f>
        <v>1628784.86</v>
      </c>
      <c r="G216" s="823">
        <v>209385.96</v>
      </c>
      <c r="H216" s="824">
        <f t="shared" si="81"/>
        <v>5186329.04</v>
      </c>
      <c r="J216" s="995"/>
      <c r="K216" s="996"/>
      <c r="L216" s="996"/>
      <c r="M216" s="996"/>
      <c r="N216" s="997"/>
      <c r="P216" s="822" t="s">
        <v>81</v>
      </c>
      <c r="Q216" s="823">
        <f>VLOOKUP($P$212:$P$238,'Anuid PF'!$A$5:$F$33,5,)</f>
        <v>1725578.28</v>
      </c>
      <c r="R216" s="823">
        <f>VLOOKUP($P$212:$P$238,'Anuid PF'!$A$5:$F$33,6,)</f>
        <v>369690.77</v>
      </c>
      <c r="S216" s="823">
        <f>VLOOKUP($P$212:$P$238,'Anuid PJ'!$A$5:$E$33,4,)</f>
        <v>167980.98</v>
      </c>
      <c r="T216" s="823">
        <f>VLOOKUP($P$212:$P$238,'Anuid PJ'!$A$5:$E$33,5,)</f>
        <v>99609.25</v>
      </c>
      <c r="U216" s="823">
        <f>VLOOKUP($P$212:$P$238,RRT!$A$4:$C$32,3,)</f>
        <v>1628784.86</v>
      </c>
      <c r="V216" s="823">
        <f>VLOOKUP($P$212:$P$238,'Taxas e Multas.'!$A$3:$B$31,2,)</f>
        <v>160121</v>
      </c>
      <c r="W216" s="824">
        <f t="shared" si="82"/>
        <v>4151765.1400000006</v>
      </c>
      <c r="X216" s="816">
        <f t="shared" si="80"/>
        <v>2.3283064365386963E-10</v>
      </c>
      <c r="Y216" s="983"/>
      <c r="Z216" s="984"/>
      <c r="AA216" s="984"/>
      <c r="AB216" s="984"/>
      <c r="AC216" s="985"/>
    </row>
    <row r="217" spans="1:44" ht="21" customHeight="1">
      <c r="A217" s="822" t="s">
        <v>82</v>
      </c>
      <c r="B217" s="823">
        <v>1694723.2000000002</v>
      </c>
      <c r="C217" s="823">
        <f>'Anuid PF'!F10</f>
        <v>211350.33000000002</v>
      </c>
      <c r="D217" s="823">
        <v>142304.68</v>
      </c>
      <c r="E217" s="823">
        <f>'Anuid PJ'!E10</f>
        <v>56778.33</v>
      </c>
      <c r="F217" s="823">
        <f>RRT!C9</f>
        <v>1064727.24</v>
      </c>
      <c r="G217" s="823">
        <v>137824.76</v>
      </c>
      <c r="H217" s="824">
        <f t="shared" si="81"/>
        <v>3307708.54</v>
      </c>
      <c r="J217" s="817"/>
      <c r="K217" s="817"/>
      <c r="L217" s="817"/>
      <c r="M217" s="817"/>
      <c r="N217" s="817"/>
      <c r="P217" s="822" t="s">
        <v>82</v>
      </c>
      <c r="Q217" s="823">
        <f>VLOOKUP($P$212:$P$238,'Anuid PF'!$A$5:$F$33,5,)</f>
        <v>1150209.6499999999</v>
      </c>
      <c r="R217" s="823">
        <f>VLOOKUP($P$212:$P$238,'Anuid PF'!$A$5:$F$33,6,)</f>
        <v>211350.33000000002</v>
      </c>
      <c r="S217" s="823">
        <f>VLOOKUP($P$212:$P$238,'Anuid PJ'!$A$5:$E$33,4,)</f>
        <v>83922</v>
      </c>
      <c r="T217" s="823">
        <f>VLOOKUP($P$212:$P$238,'Anuid PJ'!$A$5:$E$33,5,)</f>
        <v>56778.33</v>
      </c>
      <c r="U217" s="823">
        <f>VLOOKUP($P$212:$P$238,RRT!$A$4:$C$32,3,)</f>
        <v>1064727.24</v>
      </c>
      <c r="V217" s="823">
        <f>VLOOKUP($P$212:$P$238,'Taxas e Multas.'!$A$3:$B$31,2,)</f>
        <v>110694.43000000001</v>
      </c>
      <c r="W217" s="824">
        <f t="shared" si="82"/>
        <v>2677681.98</v>
      </c>
      <c r="X217" s="816">
        <f t="shared" si="80"/>
        <v>0</v>
      </c>
    </row>
    <row r="218" spans="1:44" ht="21" customHeight="1">
      <c r="A218" s="822" t="s">
        <v>83</v>
      </c>
      <c r="B218" s="823">
        <v>2566672.96</v>
      </c>
      <c r="C218" s="823">
        <f>'Anuid PF'!F11</f>
        <v>394786.83999999997</v>
      </c>
      <c r="D218" s="823">
        <v>250370.98</v>
      </c>
      <c r="E218" s="823">
        <f>'Anuid PJ'!E11</f>
        <v>65835.459999999992</v>
      </c>
      <c r="F218" s="823">
        <f>RRT!C10</f>
        <v>1640958.15</v>
      </c>
      <c r="G218" s="823">
        <v>229355.04</v>
      </c>
      <c r="H218" s="824">
        <f t="shared" si="81"/>
        <v>5147979.43</v>
      </c>
      <c r="J218" s="817"/>
      <c r="K218" s="817"/>
      <c r="L218" s="817"/>
      <c r="M218" s="817"/>
      <c r="N218" s="817"/>
      <c r="P218" s="822" t="s">
        <v>83</v>
      </c>
      <c r="Q218" s="823">
        <f>VLOOKUP($P$212:$P$238,'Anuid PF'!$A$5:$F$33,5,)</f>
        <v>1763978.32</v>
      </c>
      <c r="R218" s="823">
        <f>VLOOKUP($P$212:$P$238,'Anuid PF'!$A$5:$F$33,6,)</f>
        <v>394786.83999999997</v>
      </c>
      <c r="S218" s="823">
        <f>VLOOKUP($P$212:$P$238,'Anuid PJ'!$A$5:$E$33,4,)</f>
        <v>117069.78</v>
      </c>
      <c r="T218" s="823">
        <f>VLOOKUP($P$212:$P$238,'Anuid PJ'!$A$5:$E$33,5,)</f>
        <v>65835.459999999992</v>
      </c>
      <c r="U218" s="823">
        <f>VLOOKUP($P$212:$P$238,RRT!$A$4:$C$32,3,)</f>
        <v>1640958.15</v>
      </c>
      <c r="V218" s="823">
        <f>VLOOKUP($P$212:$P$238,'Taxas e Multas.'!$A$3:$B$31,2,)</f>
        <v>176003.27000000002</v>
      </c>
      <c r="W218" s="824">
        <f t="shared" si="82"/>
        <v>4158631.82</v>
      </c>
      <c r="X218" s="816">
        <f t="shared" si="80"/>
        <v>2.3283064365386963E-10</v>
      </c>
    </row>
    <row r="219" spans="1:44" ht="21" customHeight="1">
      <c r="A219" s="822" t="s">
        <v>84</v>
      </c>
      <c r="B219" s="823">
        <v>1478469.8900000001</v>
      </c>
      <c r="C219" s="823">
        <f>'Anuid PF'!F12</f>
        <v>230979.35</v>
      </c>
      <c r="D219" s="823">
        <v>136836.69</v>
      </c>
      <c r="E219" s="823">
        <f>'Anuid PJ'!E12</f>
        <v>20060.740000000002</v>
      </c>
      <c r="F219" s="823">
        <f>RRT!C11</f>
        <v>1537311.36</v>
      </c>
      <c r="G219" s="823">
        <v>130076.64</v>
      </c>
      <c r="H219" s="824">
        <f t="shared" si="81"/>
        <v>3533734.6700000004</v>
      </c>
      <c r="J219" s="817"/>
      <c r="K219" s="817"/>
      <c r="L219" s="817"/>
      <c r="M219" s="817"/>
      <c r="N219" s="817"/>
      <c r="P219" s="822" t="s">
        <v>84</v>
      </c>
      <c r="Q219" s="823">
        <f>VLOOKUP($P$212:$P$238,'Anuid PF'!$A$5:$F$33,5,)</f>
        <v>1418616.52</v>
      </c>
      <c r="R219" s="823">
        <f>VLOOKUP($P$212:$P$238,'Anuid PF'!$A$5:$F$33,6,)</f>
        <v>230979.35</v>
      </c>
      <c r="S219" s="823">
        <f>VLOOKUP($P$212:$P$238,'Anuid PJ'!$A$5:$E$33,4,)</f>
        <v>99098.45</v>
      </c>
      <c r="T219" s="823">
        <f>VLOOKUP($P$212:$P$238,'Anuid PJ'!$A$5:$E$33,5,)</f>
        <v>20060.740000000002</v>
      </c>
      <c r="U219" s="823">
        <f>VLOOKUP($P$212:$P$238,RRT!$A$4:$C$32,3,)</f>
        <v>1537311.36</v>
      </c>
      <c r="V219" s="823">
        <f>VLOOKUP($P$212:$P$238,'Taxas e Multas.'!$A$3:$B$31,2,)</f>
        <v>125197.05</v>
      </c>
      <c r="W219" s="824">
        <f t="shared" si="82"/>
        <v>3431263.4699999997</v>
      </c>
      <c r="X219" s="816">
        <f t="shared" si="80"/>
        <v>-4.220055416226387E-10</v>
      </c>
    </row>
    <row r="220" spans="1:44" ht="21" customHeight="1">
      <c r="A220" s="822" t="s">
        <v>85</v>
      </c>
      <c r="B220" s="823">
        <v>2035863.61</v>
      </c>
      <c r="C220" s="823">
        <f>'Anuid PF'!F13</f>
        <v>317093.52</v>
      </c>
      <c r="D220" s="823">
        <v>222730.04</v>
      </c>
      <c r="E220" s="823">
        <f>'Anuid PJ'!E13</f>
        <v>111529.82</v>
      </c>
      <c r="F220" s="823">
        <f>RRT!C12</f>
        <v>2884284.79</v>
      </c>
      <c r="G220" s="823">
        <v>182694.62</v>
      </c>
      <c r="H220" s="824">
        <f t="shared" si="81"/>
        <v>5754196.3999999994</v>
      </c>
      <c r="P220" s="822" t="s">
        <v>85</v>
      </c>
      <c r="Q220" s="823">
        <f>VLOOKUP($P$212:$P$238,'Anuid PF'!$A$5:$F$33,5,)</f>
        <v>1363273.97</v>
      </c>
      <c r="R220" s="823">
        <f>VLOOKUP($P$212:$P$238,'Anuid PF'!$A$5:$F$33,6,)</f>
        <v>317093.52</v>
      </c>
      <c r="S220" s="823">
        <f>VLOOKUP($P$212:$P$238,'Anuid PJ'!$A$5:$E$33,4,)</f>
        <v>80298.62</v>
      </c>
      <c r="T220" s="823">
        <f>VLOOKUP($P$212:$P$238,'Anuid PJ'!$A$5:$E$33,5,)</f>
        <v>111529.82</v>
      </c>
      <c r="U220" s="823">
        <f>VLOOKUP($P$212:$P$238,RRT!$A$4:$C$32,3,)</f>
        <v>2884284.79</v>
      </c>
      <c r="V220" s="823">
        <f>VLOOKUP($P$212:$P$238,'Taxas e Multas.'!$A$3:$B$31,2,)</f>
        <v>153353.85999999999</v>
      </c>
      <c r="W220" s="824">
        <f t="shared" si="82"/>
        <v>4909834.58</v>
      </c>
      <c r="X220" s="816">
        <f t="shared" si="80"/>
        <v>3.4924596548080444E-10</v>
      </c>
    </row>
    <row r="221" spans="1:44" ht="21" customHeight="1">
      <c r="A221" s="822" t="s">
        <v>86</v>
      </c>
      <c r="B221" s="823">
        <v>864816.26</v>
      </c>
      <c r="C221" s="823">
        <f>'Anuid PF'!F14</f>
        <v>165818.14000000001</v>
      </c>
      <c r="D221" s="823">
        <v>101446.95</v>
      </c>
      <c r="E221" s="823">
        <f>'Anuid PJ'!E14</f>
        <v>50933.57</v>
      </c>
      <c r="F221" s="823">
        <f>RRT!C13</f>
        <v>489800.62</v>
      </c>
      <c r="G221" s="823">
        <v>65315.44</v>
      </c>
      <c r="H221" s="824">
        <f t="shared" si="81"/>
        <v>1738130.98</v>
      </c>
      <c r="P221" s="822" t="s">
        <v>86</v>
      </c>
      <c r="Q221" s="823">
        <f>VLOOKUP($P$212:$P$238,'Anuid PF'!$A$5:$F$33,5,)</f>
        <v>512036.4</v>
      </c>
      <c r="R221" s="823">
        <f>VLOOKUP($P$212:$P$238,'Anuid PF'!$A$5:$F$33,6,)</f>
        <v>165818.14000000001</v>
      </c>
      <c r="S221" s="823">
        <f>VLOOKUP($P$212:$P$238,'Anuid PJ'!$A$5:$E$33,4,)</f>
        <v>40883.160000000003</v>
      </c>
      <c r="T221" s="823">
        <f>VLOOKUP($P$212:$P$238,'Anuid PJ'!$A$5:$E$33,5,)</f>
        <v>50933.57</v>
      </c>
      <c r="U221" s="823">
        <f>VLOOKUP($P$212:$P$238,RRT!$A$4:$C$32,3,)</f>
        <v>489800.62</v>
      </c>
      <c r="V221" s="823">
        <f>VLOOKUP($P$212:$P$238,'Taxas e Multas.'!$A$3:$B$31,2,)</f>
        <v>44648.26</v>
      </c>
      <c r="W221" s="824">
        <f t="shared" si="82"/>
        <v>1304120.1500000001</v>
      </c>
      <c r="X221" s="816">
        <f t="shared" si="80"/>
        <v>1.2369127944111824E-10</v>
      </c>
    </row>
    <row r="222" spans="1:44" ht="21" customHeight="1">
      <c r="A222" s="822" t="s">
        <v>87</v>
      </c>
      <c r="B222" s="823">
        <v>1406753.09</v>
      </c>
      <c r="C222" s="823">
        <f>'Anuid PF'!F15</f>
        <v>723080.07</v>
      </c>
      <c r="D222" s="823">
        <v>212950.53999999998</v>
      </c>
      <c r="E222" s="823">
        <f>'Anuid PJ'!E15</f>
        <v>109991.88</v>
      </c>
      <c r="F222" s="823">
        <f>RRT!C14</f>
        <v>5364068.88</v>
      </c>
      <c r="G222" s="823">
        <v>137702.06</v>
      </c>
      <c r="H222" s="824">
        <f t="shared" si="81"/>
        <v>7954546.5199999996</v>
      </c>
      <c r="P222" s="822" t="s">
        <v>87</v>
      </c>
      <c r="Q222" s="823">
        <f>VLOOKUP($P$212:$P$238,'Anuid PF'!$A$5:$F$33,5,)</f>
        <v>1039263.51</v>
      </c>
      <c r="R222" s="823">
        <f>VLOOKUP($P$212:$P$238,'Anuid PF'!$A$5:$F$33,6,)</f>
        <v>167836.07</v>
      </c>
      <c r="S222" s="823">
        <f>VLOOKUP($P$212:$P$238,'Anuid PJ'!$A$5:$E$33,4,)</f>
        <v>102373.44</v>
      </c>
      <c r="T222" s="823">
        <f>VLOOKUP($P$212:$P$238,'Anuid PJ'!$A$5:$E$33,5,)</f>
        <v>58593.32</v>
      </c>
      <c r="U222" s="823">
        <f>VLOOKUP($P$212:$P$238,RRT!$A$4:$C$32,3,)</f>
        <v>3102099.55</v>
      </c>
      <c r="V222" s="823">
        <f>VLOOKUP($P$212:$P$238,'Taxas e Multas.'!$A$3:$B$31,2,)</f>
        <v>123360.06</v>
      </c>
      <c r="W222" s="824">
        <f t="shared" si="82"/>
        <v>4593525.9499999993</v>
      </c>
      <c r="X222" s="816">
        <f t="shared" si="80"/>
        <v>0</v>
      </c>
    </row>
    <row r="223" spans="1:44" ht="21" customHeight="1">
      <c r="A223" s="822" t="s">
        <v>88</v>
      </c>
      <c r="B223" s="823">
        <v>1461825.2</v>
      </c>
      <c r="C223" s="823">
        <f>'Anuid PF'!F16</f>
        <v>293680.92</v>
      </c>
      <c r="D223" s="823">
        <v>206314.22</v>
      </c>
      <c r="E223" s="823">
        <f>'Anuid PJ'!E16</f>
        <v>64930.83</v>
      </c>
      <c r="F223" s="823">
        <f>RRT!C15</f>
        <v>2068501.13</v>
      </c>
      <c r="G223" s="823">
        <v>177461.41</v>
      </c>
      <c r="H223" s="824">
        <f t="shared" si="81"/>
        <v>4272713.71</v>
      </c>
      <c r="P223" s="822" t="s">
        <v>88</v>
      </c>
      <c r="Q223" s="823">
        <f>VLOOKUP($P$212:$P$238,'Anuid PF'!$A$5:$F$33,5,)</f>
        <v>844523.85</v>
      </c>
      <c r="R223" s="823">
        <f>VLOOKUP($P$212:$P$238,'Anuid PF'!$A$5:$F$33,6,)</f>
        <v>293680.92</v>
      </c>
      <c r="S223" s="823">
        <f>VLOOKUP($P$212:$P$238,'Anuid PJ'!$A$5:$E$33,4,)</f>
        <v>87773.540000000008</v>
      </c>
      <c r="T223" s="823">
        <f>VLOOKUP($P$212:$P$238,'Anuid PJ'!$A$5:$E$33,5,)</f>
        <v>64930.83</v>
      </c>
      <c r="U223" s="823">
        <f>VLOOKUP($P$212:$P$238,RRT!$A$4:$C$32,3,)</f>
        <v>2068501.13</v>
      </c>
      <c r="V223" s="823">
        <f>VLOOKUP($P$212:$P$238,'Taxas e Multas.'!$A$3:$B$31,2,)</f>
        <v>143612.68</v>
      </c>
      <c r="W223" s="824">
        <f t="shared" si="82"/>
        <v>3503022.95</v>
      </c>
      <c r="X223" s="816">
        <f t="shared" si="80"/>
        <v>0</v>
      </c>
    </row>
    <row r="224" spans="1:44" ht="21" customHeight="1">
      <c r="A224" s="822" t="s">
        <v>89</v>
      </c>
      <c r="B224" s="823">
        <v>6841917.0099999998</v>
      </c>
      <c r="C224" s="823">
        <f>'Anuid PF'!F17</f>
        <v>167836.07</v>
      </c>
      <c r="D224" s="823">
        <v>550411.37</v>
      </c>
      <c r="E224" s="823">
        <f>'Anuid PJ'!E17</f>
        <v>58593.32</v>
      </c>
      <c r="F224" s="823">
        <f>RRT!C16</f>
        <v>3102099.55</v>
      </c>
      <c r="G224" s="823">
        <v>646195.09000000008</v>
      </c>
      <c r="H224" s="824">
        <f t="shared" si="81"/>
        <v>11367052.41</v>
      </c>
      <c r="P224" s="822" t="s">
        <v>89</v>
      </c>
      <c r="Q224" s="823">
        <f>VLOOKUP($P$212:$P$238,'Anuid PF'!$A$5:$F$33,5,)</f>
        <v>4794475.05</v>
      </c>
      <c r="R224" s="823">
        <f>VLOOKUP($P$212:$P$238,'Anuid PF'!$A$5:$F$33,6,)</f>
        <v>723080.07</v>
      </c>
      <c r="S224" s="823">
        <f>VLOOKUP($P$212:$P$238,'Anuid PJ'!$A$5:$E$33,4,)</f>
        <v>366538.9</v>
      </c>
      <c r="T224" s="823">
        <f>VLOOKUP($P$212:$P$238,'Anuid PJ'!$A$5:$E$33,5,)</f>
        <v>109991.88</v>
      </c>
      <c r="U224" s="823">
        <f>VLOOKUP($P$212:$P$238,RRT!$A$4:$C$32,3,)</f>
        <v>5364068.88</v>
      </c>
      <c r="V224" s="823">
        <f>VLOOKUP($P$212:$P$238,'Taxas e Multas.'!$A$3:$B$31,2,)</f>
        <v>524881.82000000007</v>
      </c>
      <c r="W224" s="824">
        <f t="shared" si="82"/>
        <v>11883036.600000001</v>
      </c>
      <c r="X224" s="816">
        <f t="shared" si="80"/>
        <v>1.1641532182693481E-9</v>
      </c>
    </row>
    <row r="225" spans="1:24" ht="21" customHeight="1">
      <c r="A225" s="822" t="s">
        <v>90</v>
      </c>
      <c r="B225" s="823">
        <v>1233554.49</v>
      </c>
      <c r="C225" s="823">
        <f>'Anuid PF'!F18</f>
        <v>309741.52</v>
      </c>
      <c r="D225" s="823">
        <v>148233.93</v>
      </c>
      <c r="E225" s="823">
        <f>'Anuid PJ'!E18</f>
        <v>38300.33</v>
      </c>
      <c r="F225" s="823">
        <f>RRT!C17</f>
        <v>928212.6</v>
      </c>
      <c r="G225" s="823">
        <v>107213.95999999999</v>
      </c>
      <c r="H225" s="824">
        <f t="shared" si="81"/>
        <v>2765256.83</v>
      </c>
      <c r="P225" s="822" t="s">
        <v>90</v>
      </c>
      <c r="Q225" s="823">
        <f>VLOOKUP($P$212:$P$238,'Anuid PF'!$A$5:$F$33,5,)</f>
        <v>661650.40999999992</v>
      </c>
      <c r="R225" s="823">
        <f>VLOOKUP($P$212:$P$238,'Anuid PF'!$A$5:$F$33,6,)</f>
        <v>309741.52</v>
      </c>
      <c r="S225" s="823">
        <f>VLOOKUP($P$212:$P$238,'Anuid PJ'!$A$5:$E$33,4,)</f>
        <v>50489.86</v>
      </c>
      <c r="T225" s="823">
        <f>VLOOKUP($P$212:$P$238,'Anuid PJ'!$A$5:$E$33,5,)</f>
        <v>38300.33</v>
      </c>
      <c r="U225" s="823">
        <f>VLOOKUP($P$212:$P$238,RRT!$A$4:$C$32,3,)</f>
        <v>928212.6</v>
      </c>
      <c r="V225" s="823">
        <f>VLOOKUP($P$212:$P$238,'Taxas e Multas.'!$A$3:$B$31,2,)</f>
        <v>77079.790000000008</v>
      </c>
      <c r="W225" s="824">
        <f t="shared" si="82"/>
        <v>2065474.5099999998</v>
      </c>
      <c r="X225" s="816">
        <f t="shared" si="80"/>
        <v>0</v>
      </c>
    </row>
    <row r="226" spans="1:24" ht="21" customHeight="1">
      <c r="A226" s="822" t="s">
        <v>91</v>
      </c>
      <c r="B226" s="823">
        <v>1208483.1200000001</v>
      </c>
      <c r="C226" s="823">
        <f>'Anuid PF'!F19</f>
        <v>273180.46000000002</v>
      </c>
      <c r="D226" s="823">
        <v>168039.75</v>
      </c>
      <c r="E226" s="823">
        <f>'Anuid PJ'!E19</f>
        <v>28773.33</v>
      </c>
      <c r="F226" s="823">
        <f>RRT!C18</f>
        <v>878041.3</v>
      </c>
      <c r="G226" s="823">
        <v>121509.67</v>
      </c>
      <c r="H226" s="824">
        <f t="shared" si="81"/>
        <v>2678027.63</v>
      </c>
      <c r="P226" s="822" t="s">
        <v>91</v>
      </c>
      <c r="Q226" s="823">
        <f>VLOOKUP($P$212:$P$238,'Anuid PF'!$A$5:$F$33,5,)</f>
        <v>789002.26</v>
      </c>
      <c r="R226" s="823">
        <f>VLOOKUP($P$212:$P$238,'Anuid PF'!$A$5:$F$33,6,)</f>
        <v>273180.46000000002</v>
      </c>
      <c r="S226" s="823">
        <f>VLOOKUP($P$212:$P$238,'Anuid PJ'!$A$5:$E$33,4,)</f>
        <v>62991.5</v>
      </c>
      <c r="T226" s="823">
        <f>VLOOKUP($P$212:$P$238,'Anuid PJ'!$A$5:$E$33,5,)</f>
        <v>28773.33</v>
      </c>
      <c r="U226" s="823">
        <f>VLOOKUP($P$212:$P$238,RRT!$A$4:$C$32,3,)</f>
        <v>878041.3</v>
      </c>
      <c r="V226" s="823">
        <f>VLOOKUP($P$212:$P$238,'Taxas e Multas.'!$A$3:$B$31,2,)</f>
        <v>95283.22</v>
      </c>
      <c r="W226" s="824">
        <f t="shared" si="82"/>
        <v>2127272.0700000003</v>
      </c>
      <c r="X226" s="816">
        <f t="shared" si="80"/>
        <v>3.2014213502407074E-10</v>
      </c>
    </row>
    <row r="227" spans="1:24" ht="21" customHeight="1">
      <c r="A227" s="822" t="s">
        <v>92</v>
      </c>
      <c r="B227" s="823">
        <v>5335547.1999999993</v>
      </c>
      <c r="C227" s="823">
        <f>'Anuid PF'!F20</f>
        <v>464660.17</v>
      </c>
      <c r="D227" s="823">
        <v>745416.42999999993</v>
      </c>
      <c r="E227" s="823">
        <f>'Anuid PJ'!E20</f>
        <v>48179.87</v>
      </c>
      <c r="F227" s="823">
        <f>RRT!C19</f>
        <v>1890684.29</v>
      </c>
      <c r="G227" s="823">
        <v>486484.29</v>
      </c>
      <c r="H227" s="824">
        <f t="shared" si="81"/>
        <v>8970972.2499999981</v>
      </c>
      <c r="P227" s="822" t="s">
        <v>92</v>
      </c>
      <c r="Q227" s="823">
        <f>VLOOKUP($P$212:$P$238,'Anuid PF'!$A$5:$F$33,5,)</f>
        <v>3699470.39</v>
      </c>
      <c r="R227" s="823">
        <f>VLOOKUP($P$212:$P$238,'Anuid PF'!$A$5:$F$33,6,)</f>
        <v>867607.55</v>
      </c>
      <c r="S227" s="823">
        <f>VLOOKUP($P$212:$P$238,'Anuid PJ'!$A$5:$E$33,4,)</f>
        <v>492458.63</v>
      </c>
      <c r="T227" s="823">
        <f>VLOOKUP($P$212:$P$238,'Anuid PJ'!$A$5:$E$33,5,)</f>
        <v>185014.2</v>
      </c>
      <c r="U227" s="823">
        <f>VLOOKUP($P$212:$P$238,RRT!$A$4:$C$32,3,)</f>
        <v>6434187.1500000004</v>
      </c>
      <c r="V227" s="823">
        <f>VLOOKUP($P$212:$P$238,'Taxas e Multas.'!$A$3:$B$31,2,)</f>
        <v>410922.9</v>
      </c>
      <c r="W227" s="824">
        <f t="shared" si="82"/>
        <v>12089660.820000002</v>
      </c>
      <c r="X227" s="816">
        <f t="shared" si="80"/>
        <v>1.280568540096283E-9</v>
      </c>
    </row>
    <row r="228" spans="1:24" ht="21" customHeight="1">
      <c r="A228" s="822" t="s">
        <v>93</v>
      </c>
      <c r="B228" s="823">
        <v>2022690.72</v>
      </c>
      <c r="C228" s="823">
        <f>'Anuid PF'!F21</f>
        <v>200000</v>
      </c>
      <c r="D228" s="823">
        <v>165853.87</v>
      </c>
      <c r="E228" s="823">
        <f>'Anuid PJ'!E21</f>
        <v>45000</v>
      </c>
      <c r="F228" s="823">
        <f>RRT!C20</f>
        <v>521167.17000000004</v>
      </c>
      <c r="G228" s="823">
        <v>225905.29</v>
      </c>
      <c r="H228" s="824">
        <f t="shared" si="81"/>
        <v>3180617.05</v>
      </c>
      <c r="P228" s="822" t="s">
        <v>93</v>
      </c>
      <c r="Q228" s="823">
        <f>VLOOKUP($P$212:$P$238,'Anuid PF'!$A$5:$F$33,5,)</f>
        <v>1472090.38</v>
      </c>
      <c r="R228" s="823">
        <f>VLOOKUP($P$212:$P$238,'Anuid PF'!$A$5:$F$33,6,)</f>
        <v>464660.17</v>
      </c>
      <c r="S228" s="823">
        <f>VLOOKUP($P$212:$P$238,'Anuid PJ'!$A$5:$E$33,4,)</f>
        <v>108536.37999999999</v>
      </c>
      <c r="T228" s="823">
        <f>VLOOKUP($P$212:$P$238,'Anuid PJ'!$A$5:$E$33,5,)</f>
        <v>48179.87</v>
      </c>
      <c r="U228" s="823">
        <f>VLOOKUP($P$212:$P$238,RRT!$A$4:$C$32,3,)</f>
        <v>1890684.29</v>
      </c>
      <c r="V228" s="823">
        <f>VLOOKUP($P$212:$P$238,'Taxas e Multas.'!$A$3:$B$31,2,)</f>
        <v>189430.22</v>
      </c>
      <c r="W228" s="824">
        <f t="shared" si="82"/>
        <v>4173581.31</v>
      </c>
      <c r="X228" s="816">
        <f t="shared" si="80"/>
        <v>0</v>
      </c>
    </row>
    <row r="229" spans="1:24" ht="21" customHeight="1">
      <c r="A229" s="822" t="s">
        <v>94</v>
      </c>
      <c r="B229" s="823">
        <v>615779.12</v>
      </c>
      <c r="C229" s="823">
        <f>'Anuid PF'!F22</f>
        <v>867607.55</v>
      </c>
      <c r="D229" s="823">
        <v>94150.35</v>
      </c>
      <c r="E229" s="823">
        <f>'Anuid PJ'!E22</f>
        <v>185014.2</v>
      </c>
      <c r="F229" s="823">
        <f>RRT!C21</f>
        <v>6434187.1500000004</v>
      </c>
      <c r="G229" s="823">
        <v>50086.6</v>
      </c>
      <c r="H229" s="824">
        <f t="shared" si="81"/>
        <v>8246824.9699999997</v>
      </c>
      <c r="P229" s="822" t="s">
        <v>94</v>
      </c>
      <c r="Q229" s="823">
        <f>VLOOKUP($P$212:$P$238,'Anuid PF'!$A$5:$F$33,5,)</f>
        <v>441365.22</v>
      </c>
      <c r="R229" s="823">
        <f>VLOOKUP($P$212:$P$238,'Anuid PF'!$A$5:$F$33,6,)</f>
        <v>200000</v>
      </c>
      <c r="S229" s="823">
        <f>VLOOKUP($P$212:$P$238,'Anuid PJ'!$A$5:$E$33,4,)</f>
        <v>58238.9</v>
      </c>
      <c r="T229" s="823">
        <f>VLOOKUP($P$212:$P$238,'Anuid PJ'!$A$5:$E$33,5,)</f>
        <v>45000</v>
      </c>
      <c r="U229" s="823">
        <f>VLOOKUP($P$212:$P$238,RRT!$A$4:$C$32,3,)</f>
        <v>521167.17000000004</v>
      </c>
      <c r="V229" s="823">
        <f>VLOOKUP($P$212:$P$238,'Taxas e Multas.'!$A$3:$B$31,2,)</f>
        <v>44159.64</v>
      </c>
      <c r="W229" s="824">
        <f t="shared" si="82"/>
        <v>1309930.93</v>
      </c>
      <c r="X229" s="816">
        <f t="shared" si="80"/>
        <v>-1.0186340659856796E-10</v>
      </c>
    </row>
    <row r="230" spans="1:24" ht="21" customHeight="1">
      <c r="A230" s="822" t="s">
        <v>95</v>
      </c>
      <c r="B230" s="823">
        <v>6969152.5800000001</v>
      </c>
      <c r="C230" s="823">
        <f>'Anuid PF'!F23</f>
        <v>1162226.3400000001</v>
      </c>
      <c r="D230" s="823">
        <v>895276.94</v>
      </c>
      <c r="E230" s="823">
        <f>'Anuid PJ'!E23</f>
        <v>227054.9</v>
      </c>
      <c r="F230" s="823">
        <f>RRT!C22</f>
        <v>5685356.5199999996</v>
      </c>
      <c r="G230" s="823">
        <v>654547.02</v>
      </c>
      <c r="H230" s="824">
        <f t="shared" si="81"/>
        <v>15593614.299999999</v>
      </c>
      <c r="P230" s="822" t="s">
        <v>95</v>
      </c>
      <c r="Q230" s="823">
        <f>VLOOKUP($P$212:$P$238,'Anuid PF'!$A$5:$F$33,5,)</f>
        <v>4562590.3600000003</v>
      </c>
      <c r="R230" s="823">
        <f>VLOOKUP($P$212:$P$238,'Anuid PF'!$A$5:$F$33,6,)</f>
        <v>1162226.3400000001</v>
      </c>
      <c r="S230" s="823">
        <f>VLOOKUP($P$212:$P$238,'Anuid PJ'!$A$5:$E$33,4,)</f>
        <v>536205.69999999995</v>
      </c>
      <c r="T230" s="823">
        <f>VLOOKUP($P$212:$P$238,'Anuid PJ'!$A$5:$E$33,5,)</f>
        <v>227054.9</v>
      </c>
      <c r="U230" s="823">
        <f>VLOOKUP($P$212:$P$238,RRT!$A$4:$C$32,3,)</f>
        <v>5685356.5199999996</v>
      </c>
      <c r="V230" s="823">
        <f>VLOOKUP($P$212:$P$238,'Taxas e Multas.'!$A$3:$B$31,2,)</f>
        <v>502437.18</v>
      </c>
      <c r="W230" s="824">
        <f t="shared" si="82"/>
        <v>12675871</v>
      </c>
      <c r="X230" s="816">
        <f t="shared" si="80"/>
        <v>0</v>
      </c>
    </row>
    <row r="231" spans="1:24" ht="21" customHeight="1">
      <c r="A231" s="822" t="s">
        <v>96</v>
      </c>
      <c r="B231" s="823">
        <v>1092162.3700000001</v>
      </c>
      <c r="C231" s="823">
        <f>'Anuid PF'!F24</f>
        <v>193603.36</v>
      </c>
      <c r="D231" s="823">
        <v>105048.29000000001</v>
      </c>
      <c r="E231" s="823">
        <f>'Anuid PJ'!E24</f>
        <v>45000</v>
      </c>
      <c r="F231" s="823">
        <f>RRT!C23</f>
        <v>918560.92999999993</v>
      </c>
      <c r="G231" s="823">
        <v>100840.06</v>
      </c>
      <c r="H231" s="824">
        <f t="shared" si="81"/>
        <v>2455215.0100000002</v>
      </c>
      <c r="P231" s="822" t="s">
        <v>96</v>
      </c>
      <c r="Q231" s="823">
        <f>VLOOKUP($P$212:$P$238,'Anuid PF'!$A$5:$F$33,5,)</f>
        <v>694746.1</v>
      </c>
      <c r="R231" s="823">
        <f>VLOOKUP($P$212:$P$238,'Anuid PF'!$A$5:$F$33,6,)</f>
        <v>193603.36</v>
      </c>
      <c r="S231" s="823">
        <f>VLOOKUP($P$212:$P$238,'Anuid PJ'!$A$5:$E$33,4,)</f>
        <v>58238.9</v>
      </c>
      <c r="T231" s="823">
        <f>VLOOKUP($P$212:$P$238,'Anuid PJ'!$A$5:$E$33,5,)</f>
        <v>45000</v>
      </c>
      <c r="U231" s="823">
        <f>VLOOKUP($P$212:$P$238,RRT!$A$4:$C$32,3,)</f>
        <v>918560.92999999993</v>
      </c>
      <c r="V231" s="823">
        <f>VLOOKUP($P$212:$P$238,'Taxas e Multas.'!$A$3:$B$31,2,)</f>
        <v>80784.91</v>
      </c>
      <c r="W231" s="824">
        <f t="shared" si="82"/>
        <v>1990934.2</v>
      </c>
      <c r="X231" s="816">
        <f t="shared" si="80"/>
        <v>2.6193447411060333E-10</v>
      </c>
    </row>
    <row r="232" spans="1:24" ht="21" customHeight="1">
      <c r="A232" s="822" t="s">
        <v>97</v>
      </c>
      <c r="B232" s="823">
        <v>6417380.54</v>
      </c>
      <c r="C232" s="823">
        <f>'Anuid PF'!F25</f>
        <v>76550.48</v>
      </c>
      <c r="D232" s="823">
        <v>852328.64</v>
      </c>
      <c r="E232" s="823">
        <f>'Anuid PJ'!E25</f>
        <v>19144.309999999998</v>
      </c>
      <c r="F232" s="823">
        <f>RRT!C24</f>
        <v>955515.52</v>
      </c>
      <c r="G232" s="823">
        <v>613204.17999999993</v>
      </c>
      <c r="H232" s="824">
        <f t="shared" si="81"/>
        <v>8934123.6699999999</v>
      </c>
      <c r="P232" s="822" t="s">
        <v>97</v>
      </c>
      <c r="Q232" s="823">
        <f>VLOOKUP($P$212:$P$238,'Anuid PF'!$A$5:$F$33,5,)</f>
        <v>4736160.08</v>
      </c>
      <c r="R232" s="823">
        <f>VLOOKUP($P$212:$P$238,'Anuid PF'!$A$5:$F$33,6,)</f>
        <v>1698548.27</v>
      </c>
      <c r="S232" s="823">
        <f>VLOOKUP($P$212:$P$238,'Anuid PJ'!$A$5:$E$33,4,)</f>
        <v>58238.9</v>
      </c>
      <c r="T232" s="823">
        <f>VLOOKUP($P$212:$P$238,'Anuid PJ'!$A$5:$E$33,5,)</f>
        <v>45000</v>
      </c>
      <c r="U232" s="823">
        <f>VLOOKUP($P$212:$P$238,RRT!$A$4:$C$32,3,)</f>
        <v>8793716.6199999992</v>
      </c>
      <c r="V232" s="823">
        <f>VLOOKUP($P$212:$P$238,'Taxas e Multas.'!$A$3:$B$31,2,)</f>
        <v>530902.67000000004</v>
      </c>
      <c r="W232" s="824">
        <f t="shared" si="82"/>
        <v>15862566.539999999</v>
      </c>
      <c r="X232" s="816">
        <f t="shared" si="80"/>
        <v>0</v>
      </c>
    </row>
    <row r="233" spans="1:24" ht="21" customHeight="1">
      <c r="A233" s="822" t="s">
        <v>98</v>
      </c>
      <c r="B233" s="823">
        <v>555177.37</v>
      </c>
      <c r="C233" s="823">
        <f>'Anuid PF'!F26</f>
        <v>16201.14</v>
      </c>
      <c r="D233" s="823">
        <v>78577.400000000009</v>
      </c>
      <c r="E233" s="823">
        <f>'Anuid PJ'!E26</f>
        <v>5896.87</v>
      </c>
      <c r="F233" s="823">
        <f>RRT!C25</f>
        <v>119732.91</v>
      </c>
      <c r="G233" s="823">
        <v>71031.460000000006</v>
      </c>
      <c r="H233" s="824">
        <f t="shared" si="81"/>
        <v>846617.15</v>
      </c>
      <c r="P233" s="822" t="s">
        <v>98</v>
      </c>
      <c r="Q233" s="823">
        <f>VLOOKUP($P$212:$P$238,'Anuid PF'!$A$5:$F$33,5,)</f>
        <v>357610.5</v>
      </c>
      <c r="R233" s="823">
        <f>VLOOKUP($P$212:$P$238,'Anuid PF'!$A$5:$F$33,6,)</f>
        <v>76550.48</v>
      </c>
      <c r="S233" s="823">
        <f>VLOOKUP($P$212:$P$238,'Anuid PJ'!$A$5:$E$33,4,)</f>
        <v>34600.170000000006</v>
      </c>
      <c r="T233" s="823">
        <f>VLOOKUP($P$212:$P$238,'Anuid PJ'!$A$5:$E$33,5,)</f>
        <v>19144.309999999998</v>
      </c>
      <c r="U233" s="823">
        <f>VLOOKUP($P$212:$P$238,RRT!$A$4:$C$32,3,)</f>
        <v>955515.52</v>
      </c>
      <c r="V233" s="823">
        <f>VLOOKUP($P$212:$P$238,'Taxas e Multas.'!$A$3:$B$31,2,)</f>
        <v>60161.98</v>
      </c>
      <c r="W233" s="824">
        <f t="shared" si="82"/>
        <v>1503582.96</v>
      </c>
      <c r="X233" s="816">
        <f t="shared" si="80"/>
        <v>0</v>
      </c>
    </row>
    <row r="234" spans="1:24" ht="21" customHeight="1">
      <c r="A234" s="822" t="s">
        <v>99</v>
      </c>
      <c r="B234" s="823">
        <v>96143.44</v>
      </c>
      <c r="C234" s="823">
        <f>'Anuid PF'!F27</f>
        <v>1698548.27</v>
      </c>
      <c r="D234" s="823">
        <v>20353.640000000003</v>
      </c>
      <c r="E234" s="823">
        <f>'Anuid PJ'!E27</f>
        <v>45000</v>
      </c>
      <c r="F234" s="823">
        <f>RRT!C26</f>
        <v>8793716.6199999992</v>
      </c>
      <c r="G234" s="823">
        <v>9106.58</v>
      </c>
      <c r="H234" s="824">
        <f t="shared" si="81"/>
        <v>10662868.549999999</v>
      </c>
      <c r="P234" s="822" t="s">
        <v>99</v>
      </c>
      <c r="Q234" s="823">
        <f>VLOOKUP($P$212:$P$238,'Anuid PF'!$A$5:$F$33,5,)</f>
        <v>60890.82</v>
      </c>
      <c r="R234" s="823">
        <f>VLOOKUP($P$212:$P$238,'Anuid PF'!$A$5:$F$33,6,)</f>
        <v>16201.14</v>
      </c>
      <c r="S234" s="823">
        <f>VLOOKUP($P$212:$P$238,'Anuid PJ'!$A$5:$E$33,4,)</f>
        <v>6861.2</v>
      </c>
      <c r="T234" s="823">
        <f>VLOOKUP($P$212:$P$238,'Anuid PJ'!$A$5:$E$33,5,)</f>
        <v>5896.87</v>
      </c>
      <c r="U234" s="823">
        <f>VLOOKUP($P$212:$P$238,RRT!$A$4:$C$32,3,)</f>
        <v>119732.91</v>
      </c>
      <c r="V234" s="823">
        <f>VLOOKUP($P$212:$P$238,'Taxas e Multas.'!$A$3:$B$31,2,)</f>
        <v>7156.77</v>
      </c>
      <c r="W234" s="824">
        <f t="shared" si="82"/>
        <v>216739.71</v>
      </c>
      <c r="X234" s="816">
        <f t="shared" si="80"/>
        <v>-1.0913936421275139E-11</v>
      </c>
    </row>
    <row r="235" spans="1:24" ht="21" customHeight="1">
      <c r="A235" s="822" t="s">
        <v>100</v>
      </c>
      <c r="B235" s="823">
        <v>4467462.87</v>
      </c>
      <c r="C235" s="823">
        <f>'Anuid PF'!F28</f>
        <v>700847.52</v>
      </c>
      <c r="D235" s="823">
        <v>599889.73</v>
      </c>
      <c r="E235" s="823">
        <f>'Anuid PJ'!E28</f>
        <v>196070.56</v>
      </c>
      <c r="F235" s="823">
        <f>RRT!C27</f>
        <v>5391545.71</v>
      </c>
      <c r="G235" s="823">
        <v>362299.08</v>
      </c>
      <c r="H235" s="824">
        <f t="shared" si="81"/>
        <v>11718115.470000001</v>
      </c>
      <c r="P235" s="822" t="s">
        <v>100</v>
      </c>
      <c r="Q235" s="823">
        <f>VLOOKUP($P$212:$P$238,'Anuid PF'!$A$5:$F$33,5,)</f>
        <v>3316553.47</v>
      </c>
      <c r="R235" s="823">
        <f>VLOOKUP($P$212:$P$238,'Anuid PF'!$A$5:$F$33,6,)</f>
        <v>700847.52</v>
      </c>
      <c r="S235" s="823">
        <f>VLOOKUP($P$212:$P$238,'Anuid PJ'!$A$5:$E$33,4,)</f>
        <v>341605.97</v>
      </c>
      <c r="T235" s="823">
        <f>VLOOKUP($P$212:$P$238,'Anuid PJ'!$A$5:$E$33,5,)</f>
        <v>196070.56</v>
      </c>
      <c r="U235" s="823">
        <f>VLOOKUP($P$212:$P$238,RRT!$A$4:$C$32,3,)</f>
        <v>5391545.71</v>
      </c>
      <c r="V235" s="823">
        <f>VLOOKUP($P$212:$P$238,'Taxas e Multas.'!$A$3:$B$31,2,)</f>
        <v>320023.28728570876</v>
      </c>
      <c r="W235" s="824">
        <f t="shared" si="82"/>
        <v>10266646.517285708</v>
      </c>
      <c r="X235" s="816">
        <f t="shared" si="80"/>
        <v>0</v>
      </c>
    </row>
    <row r="236" spans="1:24" ht="21" customHeight="1">
      <c r="A236" s="822" t="s">
        <v>101</v>
      </c>
      <c r="B236" s="823">
        <v>24698303.699999999</v>
      </c>
      <c r="C236" s="823">
        <f>'Anuid PF'!F29</f>
        <v>73005.62</v>
      </c>
      <c r="D236" s="823">
        <v>2373494.96</v>
      </c>
      <c r="E236" s="823">
        <f>'Anuid PJ'!E29</f>
        <v>45000</v>
      </c>
      <c r="F236" s="823">
        <f>RRT!C28</f>
        <v>648401.06000000006</v>
      </c>
      <c r="G236" s="823">
        <v>2611330.25</v>
      </c>
      <c r="H236" s="824">
        <f t="shared" si="81"/>
        <v>30449535.59</v>
      </c>
      <c r="P236" s="822" t="s">
        <v>101</v>
      </c>
      <c r="Q236" s="823">
        <f>VLOOKUP($P$212:$P$238,'Anuid PF'!$A$5:$F$33,5,)</f>
        <v>16795375.52</v>
      </c>
      <c r="R236" s="823">
        <f>VLOOKUP($P$212:$P$238,'Anuid PF'!$A$5:$F$33,6,)</f>
        <v>4054515.912</v>
      </c>
      <c r="S236" s="823">
        <f>VLOOKUP($P$212:$P$238,'Anuid PJ'!$A$5:$E$33,4,)</f>
        <v>1218522.2080000001</v>
      </c>
      <c r="T236" s="823">
        <f>VLOOKUP($P$212:$P$238,'Anuid PJ'!$A$5:$E$33,5,)</f>
        <v>507349.61600000004</v>
      </c>
      <c r="U236" s="823">
        <f>VLOOKUP($P$212:$P$238,RRT!$A$4:$C$32,3,)</f>
        <v>31198029.792000003</v>
      </c>
      <c r="V236" s="823">
        <f>VLOOKUP($P$212:$P$238,'Taxas e Multas.'!$A$3:$B$31,2,)</f>
        <v>2200201.1920000003</v>
      </c>
      <c r="W236" s="824">
        <f t="shared" si="82"/>
        <v>55973994.24000001</v>
      </c>
      <c r="X236" s="816">
        <f t="shared" si="80"/>
        <v>1.257285475730896E-8</v>
      </c>
    </row>
    <row r="237" spans="1:24" ht="21" customHeight="1">
      <c r="A237" s="822" t="s">
        <v>102</v>
      </c>
      <c r="B237" s="823">
        <v>651600.30000000005</v>
      </c>
      <c r="C237" s="823">
        <f>'Anuid PF'!F30</f>
        <v>4054515.912</v>
      </c>
      <c r="D237" s="823">
        <v>49754.61</v>
      </c>
      <c r="E237" s="823">
        <f>'Anuid PJ'!E30</f>
        <v>507349.61600000004</v>
      </c>
      <c r="F237" s="823">
        <f>RRT!C29</f>
        <v>31198029.792000003</v>
      </c>
      <c r="G237" s="823">
        <v>57866.66</v>
      </c>
      <c r="H237" s="824">
        <f t="shared" si="81"/>
        <v>36519116.890000001</v>
      </c>
      <c r="P237" s="822" t="s">
        <v>102</v>
      </c>
      <c r="Q237" s="823">
        <f>VLOOKUP($P$212:$P$238,'Anuid PF'!$A$5:$F$33,5,)</f>
        <v>437802.01</v>
      </c>
      <c r="R237" s="823">
        <f>VLOOKUP($P$212:$P$238,'Anuid PF'!$A$5:$F$33,6,)</f>
        <v>73005.62</v>
      </c>
      <c r="S237" s="823">
        <f>VLOOKUP($P$212:$P$238,'Anuid PJ'!$A$5:$E$33,4,)</f>
        <v>58238.9</v>
      </c>
      <c r="T237" s="823">
        <f>VLOOKUP($P$212:$P$238,'Anuid PJ'!$A$5:$E$33,5,)</f>
        <v>45000</v>
      </c>
      <c r="U237" s="823">
        <f>VLOOKUP($P$212:$P$238,RRT!$A$4:$C$32,3,)</f>
        <v>648401.06000000006</v>
      </c>
      <c r="V237" s="823">
        <f>VLOOKUP($P$212:$P$238,'Taxas e Multas.'!$A$3:$B$31,2,)</f>
        <v>47526.63</v>
      </c>
      <c r="W237" s="824">
        <f t="shared" si="82"/>
        <v>1309974.22</v>
      </c>
      <c r="X237" s="816">
        <f t="shared" si="80"/>
        <v>-1.0913936421275139E-10</v>
      </c>
    </row>
    <row r="238" spans="1:24" ht="21" customHeight="1">
      <c r="A238" s="822" t="s">
        <v>103</v>
      </c>
      <c r="B238" s="823">
        <v>351755.99</v>
      </c>
      <c r="C238" s="823">
        <f>'Anuid PF'!F31</f>
        <v>50794.41</v>
      </c>
      <c r="D238" s="823">
        <v>68179.06</v>
      </c>
      <c r="E238" s="823">
        <f>'Anuid PJ'!E31</f>
        <v>45000</v>
      </c>
      <c r="F238" s="823">
        <f>RRT!C30</f>
        <v>499713.14999999997</v>
      </c>
      <c r="G238" s="823">
        <v>44524.409999999996</v>
      </c>
      <c r="H238" s="824">
        <f t="shared" si="81"/>
        <v>1059967.02</v>
      </c>
      <c r="P238" s="822" t="s">
        <v>103</v>
      </c>
      <c r="Q238" s="823">
        <f>VLOOKUP($P$212:$P$238,'Anuid PF'!$A$5:$F$33,5,)</f>
        <v>228245</v>
      </c>
      <c r="R238" s="823">
        <f>VLOOKUP($P$212:$P$238,'Anuid PF'!$A$5:$F$33,6,)</f>
        <v>50794.41</v>
      </c>
      <c r="S238" s="823">
        <f>VLOOKUP($P$212:$P$238,'Anuid PJ'!$A$5:$E$33,4,)</f>
        <v>58238.9</v>
      </c>
      <c r="T238" s="823">
        <f>VLOOKUP($P$212:$P$238,'Anuid PJ'!$A$5:$E$33,5,)</f>
        <v>45000</v>
      </c>
      <c r="U238" s="823">
        <f>VLOOKUP($P$212:$P$238,RRT!$A$4:$C$32,3,)</f>
        <v>499713.14999999997</v>
      </c>
      <c r="V238" s="823">
        <f>VLOOKUP($P$212:$P$238,'Taxas e Multas.'!$A$3:$B$31,2,)</f>
        <v>36281.89</v>
      </c>
      <c r="W238" s="824">
        <f t="shared" si="82"/>
        <v>918273.35</v>
      </c>
      <c r="X238" s="816">
        <f t="shared" si="80"/>
        <v>0</v>
      </c>
    </row>
    <row r="239" spans="1:24" ht="21" customHeight="1">
      <c r="A239" s="822" t="s">
        <v>224</v>
      </c>
      <c r="B239" s="823">
        <v>15811509.066</v>
      </c>
      <c r="C239" s="823">
        <f>'Anuid PF'!F33</f>
        <v>3338414.43</v>
      </c>
      <c r="D239" s="823">
        <v>1760876.5420000004</v>
      </c>
      <c r="E239" s="823">
        <f>'Anuid PJ'!E33</f>
        <v>592289.79</v>
      </c>
      <c r="F239" s="823">
        <f>RRT!C32</f>
        <v>21638045.420000002</v>
      </c>
      <c r="G239" s="823">
        <v>1537203.54</v>
      </c>
      <c r="H239" s="824">
        <f t="shared" si="81"/>
        <v>44678338.787999995</v>
      </c>
      <c r="P239" s="822" t="s">
        <v>224</v>
      </c>
      <c r="Q239" s="823">
        <f>'Anuid PF'!E33</f>
        <v>13589407.380000001</v>
      </c>
      <c r="R239" s="823">
        <f>'Anuid PF'!F33</f>
        <v>3338414.43</v>
      </c>
      <c r="S239" s="823">
        <f>'Anuid PJ'!D33</f>
        <v>1186094.26</v>
      </c>
      <c r="T239" s="823">
        <f>'Anuid PJ'!E33</f>
        <v>592289.79</v>
      </c>
      <c r="U239" s="823">
        <f>RRT!C32</f>
        <v>21638045.420000002</v>
      </c>
      <c r="V239" s="823">
        <f>'Taxas e Multas.'!B31</f>
        <v>1608349.5</v>
      </c>
      <c r="W239" s="824">
        <f t="shared" si="82"/>
        <v>41952600.780000001</v>
      </c>
      <c r="X239" s="816">
        <f>W239-AC34-AC68-AC102-AC136-AC172-AC206</f>
        <v>-3.7252902984619141E-9</v>
      </c>
    </row>
    <row r="240" spans="1:24" ht="16.5" customHeight="1">
      <c r="A240" s="825"/>
      <c r="B240" s="826">
        <f>SUM(B212:B239)</f>
        <v>94869054.395999968</v>
      </c>
      <c r="C240" s="826">
        <f t="shared" ref="C240:F240" si="83">SUM(C212:C239)</f>
        <v>16761168.282</v>
      </c>
      <c r="D240" s="826">
        <f t="shared" si="83"/>
        <v>10565259.252</v>
      </c>
      <c r="E240" s="826">
        <f t="shared" si="83"/>
        <v>2800012.5260000001</v>
      </c>
      <c r="F240" s="826">
        <f t="shared" si="83"/>
        <v>108190303.97200002</v>
      </c>
      <c r="G240" s="826">
        <f>SUM(G212:G239)</f>
        <v>9223221.2400000002</v>
      </c>
      <c r="H240" s="826">
        <f>SUM(H212:H239)</f>
        <v>242409019.66800001</v>
      </c>
      <c r="P240" s="825"/>
      <c r="Q240" s="826">
        <f>SUM(Q212:Q239)</f>
        <v>67945589.090000004</v>
      </c>
      <c r="R240" s="826">
        <f t="shared" ref="R240:V240" si="84">SUM(R212:R239)</f>
        <v>16761168.282</v>
      </c>
      <c r="S240" s="826">
        <f t="shared" si="84"/>
        <v>5588402.3580000009</v>
      </c>
      <c r="T240" s="826">
        <f t="shared" si="84"/>
        <v>2800012.5260000001</v>
      </c>
      <c r="U240" s="826">
        <f t="shared" si="84"/>
        <v>108190303.97200002</v>
      </c>
      <c r="V240" s="826">
        <f t="shared" si="84"/>
        <v>7965457.169285709</v>
      </c>
      <c r="W240" s="826"/>
    </row>
    <row r="241" spans="1:23">
      <c r="A241" s="818"/>
      <c r="B241" s="819">
        <f>B240-N32-N34</f>
        <v>0</v>
      </c>
      <c r="C241" s="819">
        <f>C240-N66-N68</f>
        <v>0</v>
      </c>
      <c r="D241" s="819">
        <f>D240-N100-N102</f>
        <v>0</v>
      </c>
      <c r="E241" s="819">
        <f>E240-N134-N136</f>
        <v>0</v>
      </c>
      <c r="F241" s="819">
        <f>F240-N170-N172</f>
        <v>0</v>
      </c>
      <c r="G241" s="819">
        <f>G240-N204-N206</f>
        <v>0</v>
      </c>
      <c r="H241" s="820">
        <f>SUM(H212:H239)-(N32+N34+N66+N68+N100+N102+N134+N136+N170+N172+N204+N206)</f>
        <v>0</v>
      </c>
      <c r="P241" s="818"/>
      <c r="Q241" s="819">
        <f>Q240-AC32-AC34</f>
        <v>0</v>
      </c>
      <c r="R241" s="819">
        <f>R240-AC66-AC68</f>
        <v>0</v>
      </c>
      <c r="S241" s="819">
        <f>S240-AC100-AC102</f>
        <v>0</v>
      </c>
      <c r="T241" s="819">
        <f>T240-AC134-AC136</f>
        <v>0</v>
      </c>
      <c r="U241" s="819">
        <f>U240-AC170-AC172</f>
        <v>0</v>
      </c>
      <c r="V241" s="819">
        <f>V240-AC204-AC206</f>
        <v>0</v>
      </c>
      <c r="W241" s="820">
        <f>SUM(W212:W239)-(AC32+AC34+AC66+AC68+AC100+AC102+AC134+AC136+AC170+AC172+AC204+AC206)</f>
        <v>0</v>
      </c>
    </row>
    <row r="243" spans="1:23">
      <c r="A243" s="803" t="s">
        <v>172</v>
      </c>
      <c r="B243" s="803" t="s">
        <v>106</v>
      </c>
      <c r="C243" s="803" t="s">
        <v>107</v>
      </c>
      <c r="D243" s="803" t="s">
        <v>108</v>
      </c>
      <c r="E243" s="803" t="s">
        <v>109</v>
      </c>
      <c r="F243" s="803" t="s">
        <v>110</v>
      </c>
      <c r="G243" s="803" t="s">
        <v>111</v>
      </c>
      <c r="H243" s="803" t="s">
        <v>112</v>
      </c>
      <c r="I243" s="803" t="s">
        <v>113</v>
      </c>
      <c r="J243" s="803" t="s">
        <v>114</v>
      </c>
      <c r="K243" s="803" t="s">
        <v>115</v>
      </c>
      <c r="L243" s="803" t="s">
        <v>116</v>
      </c>
      <c r="M243" s="803" t="s">
        <v>117</v>
      </c>
      <c r="N243" s="803" t="s">
        <v>253</v>
      </c>
      <c r="O243" s="803" t="s">
        <v>254</v>
      </c>
    </row>
    <row r="244" spans="1:23">
      <c r="A244" s="137" t="s">
        <v>77</v>
      </c>
      <c r="B244" s="800">
        <f t="shared" ref="B244:B270" si="85">AF5</f>
        <v>13954.04</v>
      </c>
      <c r="C244" s="800">
        <f t="shared" ref="C244:C270" si="86">AG5</f>
        <v>21182.608</v>
      </c>
      <c r="D244" s="800">
        <f t="shared" ref="D244:D270" si="87">AH5</f>
        <v>22564.648000000001</v>
      </c>
      <c r="E244" s="800">
        <f t="shared" ref="E244:E270" si="88">AI5</f>
        <v>14084.392000000002</v>
      </c>
      <c r="F244" s="800">
        <f t="shared" ref="F244:F270" si="89">AJ5</f>
        <v>20661.968000000001</v>
      </c>
      <c r="G244" s="800">
        <f t="shared" ref="G244:G270" si="90">AK5</f>
        <v>18805.28</v>
      </c>
      <c r="H244" s="800">
        <f t="shared" ref="H244:H270" si="91">AL5</f>
        <v>16574.488000000001</v>
      </c>
      <c r="I244" s="800">
        <f t="shared" ref="I244:I270" si="92">AM5</f>
        <v>11541.864000000001</v>
      </c>
      <c r="J244" s="800">
        <f t="shared" ref="J244:J270" si="93">AN5</f>
        <v>6457.648000000001</v>
      </c>
      <c r="K244" s="800">
        <f t="shared" ref="K244:K270" si="94">AO5</f>
        <v>0</v>
      </c>
      <c r="L244" s="800">
        <f t="shared" ref="L244:L270" si="95">AP5</f>
        <v>0</v>
      </c>
      <c r="M244" s="800">
        <f t="shared" ref="M244:M270" si="96">AQ5</f>
        <v>0</v>
      </c>
      <c r="N244" s="800" t="s">
        <v>167</v>
      </c>
      <c r="O244" s="800" t="s">
        <v>187</v>
      </c>
    </row>
    <row r="245" spans="1:23">
      <c r="A245" s="137" t="s">
        <v>78</v>
      </c>
      <c r="B245" s="800">
        <f t="shared" si="85"/>
        <v>80737.26400000001</v>
      </c>
      <c r="C245" s="800">
        <f t="shared" si="86"/>
        <v>110854.81599999999</v>
      </c>
      <c r="D245" s="800">
        <f t="shared" si="87"/>
        <v>82566.872000000003</v>
      </c>
      <c r="E245" s="800">
        <f t="shared" si="88"/>
        <v>47907.144</v>
      </c>
      <c r="F245" s="800">
        <f t="shared" si="89"/>
        <v>41121.4</v>
      </c>
      <c r="G245" s="800">
        <f t="shared" si="90"/>
        <v>59599.080000000009</v>
      </c>
      <c r="H245" s="800">
        <f t="shared" si="91"/>
        <v>41764.712</v>
      </c>
      <c r="I245" s="800">
        <f t="shared" si="92"/>
        <v>17943.328000000001</v>
      </c>
      <c r="J245" s="800">
        <f t="shared" si="93"/>
        <v>12681.928</v>
      </c>
      <c r="K245" s="800">
        <f t="shared" si="94"/>
        <v>0</v>
      </c>
      <c r="L245" s="800">
        <f t="shared" si="95"/>
        <v>0</v>
      </c>
      <c r="M245" s="800">
        <f t="shared" si="96"/>
        <v>0</v>
      </c>
      <c r="N245" s="800" t="s">
        <v>167</v>
      </c>
      <c r="O245" s="800" t="s">
        <v>187</v>
      </c>
    </row>
    <row r="246" spans="1:23">
      <c r="A246" s="137" t="s">
        <v>79</v>
      </c>
      <c r="B246" s="800">
        <f t="shared" si="85"/>
        <v>14083.384</v>
      </c>
      <c r="C246" s="800">
        <f t="shared" si="86"/>
        <v>22179.928</v>
      </c>
      <c r="D246" s="800">
        <f t="shared" si="87"/>
        <v>26225.296000000002</v>
      </c>
      <c r="E246" s="800">
        <f t="shared" si="88"/>
        <v>16615.04</v>
      </c>
      <c r="F246" s="800">
        <f t="shared" si="89"/>
        <v>19574.935999999998</v>
      </c>
      <c r="G246" s="800">
        <f t="shared" si="90"/>
        <v>20358.792000000001</v>
      </c>
      <c r="H246" s="800">
        <f t="shared" si="91"/>
        <v>21805.864000000001</v>
      </c>
      <c r="I246" s="800">
        <f t="shared" si="92"/>
        <v>9724.9040000000005</v>
      </c>
      <c r="J246" s="800">
        <f t="shared" si="93"/>
        <v>7783.1039999999994</v>
      </c>
      <c r="K246" s="800">
        <f t="shared" si="94"/>
        <v>0</v>
      </c>
      <c r="L246" s="800">
        <f t="shared" si="95"/>
        <v>0</v>
      </c>
      <c r="M246" s="800">
        <f t="shared" si="96"/>
        <v>0</v>
      </c>
      <c r="N246" s="800" t="s">
        <v>167</v>
      </c>
      <c r="O246" s="800" t="s">
        <v>187</v>
      </c>
    </row>
    <row r="247" spans="1:23">
      <c r="A247" s="137" t="s">
        <v>80</v>
      </c>
      <c r="B247" s="800">
        <f t="shared" si="85"/>
        <v>43704.776000000005</v>
      </c>
      <c r="C247" s="800">
        <f t="shared" si="86"/>
        <v>56372.152000000002</v>
      </c>
      <c r="D247" s="800">
        <f t="shared" si="87"/>
        <v>73756.728000000003</v>
      </c>
      <c r="E247" s="800">
        <f t="shared" si="88"/>
        <v>50320.072</v>
      </c>
      <c r="F247" s="800">
        <f t="shared" si="89"/>
        <v>48918.688000000002</v>
      </c>
      <c r="G247" s="800">
        <f t="shared" si="90"/>
        <v>67248.280000000013</v>
      </c>
      <c r="H247" s="800">
        <f t="shared" si="91"/>
        <v>49223.200000000004</v>
      </c>
      <c r="I247" s="800">
        <f t="shared" si="92"/>
        <v>20361.832000000002</v>
      </c>
      <c r="J247" s="800">
        <f t="shared" si="93"/>
        <v>12703.224000000002</v>
      </c>
      <c r="K247" s="800">
        <f t="shared" si="94"/>
        <v>0</v>
      </c>
      <c r="L247" s="800">
        <f t="shared" si="95"/>
        <v>0</v>
      </c>
      <c r="M247" s="800">
        <f t="shared" si="96"/>
        <v>0</v>
      </c>
      <c r="N247" s="800" t="s">
        <v>167</v>
      </c>
      <c r="O247" s="800" t="s">
        <v>187</v>
      </c>
    </row>
    <row r="248" spans="1:23">
      <c r="A248" s="137" t="s">
        <v>81</v>
      </c>
      <c r="B248" s="800">
        <f t="shared" si="85"/>
        <v>231566.07999999999</v>
      </c>
      <c r="C248" s="800">
        <f t="shared" si="86"/>
        <v>280273.24</v>
      </c>
      <c r="D248" s="800">
        <f t="shared" si="87"/>
        <v>293871.56800000003</v>
      </c>
      <c r="E248" s="800">
        <f t="shared" si="88"/>
        <v>129599.92800000001</v>
      </c>
      <c r="F248" s="800">
        <f t="shared" si="89"/>
        <v>161512.38400000002</v>
      </c>
      <c r="G248" s="800">
        <f t="shared" si="90"/>
        <v>171049.74400000001</v>
      </c>
      <c r="H248" s="800">
        <f t="shared" si="91"/>
        <v>136445.44</v>
      </c>
      <c r="I248" s="800">
        <f t="shared" si="92"/>
        <v>66028.335999999996</v>
      </c>
      <c r="J248" s="800">
        <f t="shared" si="93"/>
        <v>59893.168000000005</v>
      </c>
      <c r="K248" s="800">
        <f t="shared" si="94"/>
        <v>0</v>
      </c>
      <c r="L248" s="800">
        <f t="shared" si="95"/>
        <v>0</v>
      </c>
      <c r="M248" s="800">
        <f t="shared" si="96"/>
        <v>0</v>
      </c>
      <c r="N248" s="800" t="s">
        <v>167</v>
      </c>
      <c r="O248" s="800" t="s">
        <v>187</v>
      </c>
    </row>
    <row r="249" spans="1:23">
      <c r="A249" s="137" t="s">
        <v>82</v>
      </c>
      <c r="B249" s="800">
        <f t="shared" si="85"/>
        <v>191930.12</v>
      </c>
      <c r="C249" s="800">
        <f t="shared" si="86"/>
        <v>201744.71200000003</v>
      </c>
      <c r="D249" s="800">
        <f t="shared" si="87"/>
        <v>175314.88</v>
      </c>
      <c r="E249" s="800">
        <f t="shared" si="88"/>
        <v>68408.384000000005</v>
      </c>
      <c r="F249" s="800">
        <f t="shared" si="89"/>
        <v>93006.52</v>
      </c>
      <c r="G249" s="800">
        <f t="shared" si="90"/>
        <v>129730.56000000001</v>
      </c>
      <c r="H249" s="800">
        <f t="shared" si="91"/>
        <v>113325.376</v>
      </c>
      <c r="I249" s="800">
        <f t="shared" si="92"/>
        <v>64609.376000000004</v>
      </c>
      <c r="J249" s="800">
        <f t="shared" si="93"/>
        <v>45471.415999999997</v>
      </c>
      <c r="K249" s="800">
        <f t="shared" si="94"/>
        <v>0</v>
      </c>
      <c r="L249" s="800">
        <f t="shared" si="95"/>
        <v>0</v>
      </c>
      <c r="M249" s="800">
        <f t="shared" si="96"/>
        <v>0</v>
      </c>
      <c r="N249" s="800" t="s">
        <v>167</v>
      </c>
      <c r="O249" s="800" t="s">
        <v>187</v>
      </c>
    </row>
    <row r="250" spans="1:23">
      <c r="A250" s="137" t="s">
        <v>83</v>
      </c>
      <c r="B250" s="800">
        <f t="shared" si="85"/>
        <v>252936.65600000002</v>
      </c>
      <c r="C250" s="800">
        <f t="shared" si="86"/>
        <v>357140.37599999999</v>
      </c>
      <c r="D250" s="800">
        <f t="shared" si="87"/>
        <v>264620.72000000003</v>
      </c>
      <c r="E250" s="800">
        <f t="shared" si="88"/>
        <v>126403.64</v>
      </c>
      <c r="F250" s="800">
        <f t="shared" si="89"/>
        <v>152377.67199999999</v>
      </c>
      <c r="G250" s="800">
        <f t="shared" si="90"/>
        <v>185119.79200000002</v>
      </c>
      <c r="H250" s="800">
        <f t="shared" si="91"/>
        <v>163041.91200000001</v>
      </c>
      <c r="I250" s="800">
        <f t="shared" si="92"/>
        <v>114199.80800000002</v>
      </c>
      <c r="J250" s="800">
        <f t="shared" si="93"/>
        <v>68259.248000000007</v>
      </c>
      <c r="K250" s="800">
        <f t="shared" si="94"/>
        <v>0</v>
      </c>
      <c r="L250" s="800">
        <f t="shared" si="95"/>
        <v>0</v>
      </c>
      <c r="M250" s="800">
        <f t="shared" si="96"/>
        <v>0</v>
      </c>
      <c r="N250" s="800" t="s">
        <v>167</v>
      </c>
      <c r="O250" s="800" t="s">
        <v>187</v>
      </c>
    </row>
    <row r="251" spans="1:23">
      <c r="A251" s="137" t="s">
        <v>84</v>
      </c>
      <c r="B251" s="800">
        <f t="shared" si="85"/>
        <v>147594.65600000002</v>
      </c>
      <c r="C251" s="800">
        <f t="shared" si="86"/>
        <v>333021.90400000004</v>
      </c>
      <c r="D251" s="800">
        <f t="shared" si="87"/>
        <v>280274.56800000003</v>
      </c>
      <c r="E251" s="800">
        <f t="shared" si="88"/>
        <v>111690.144</v>
      </c>
      <c r="F251" s="800">
        <f t="shared" si="89"/>
        <v>112224.648</v>
      </c>
      <c r="G251" s="800">
        <f t="shared" si="90"/>
        <v>117918.88</v>
      </c>
      <c r="H251" s="800">
        <f t="shared" si="91"/>
        <v>109909.50400000002</v>
      </c>
      <c r="I251" s="800">
        <f t="shared" si="92"/>
        <v>62043.448000000004</v>
      </c>
      <c r="J251" s="800">
        <f t="shared" si="93"/>
        <v>53644.296000000002</v>
      </c>
      <c r="K251" s="800">
        <f t="shared" si="94"/>
        <v>0</v>
      </c>
      <c r="L251" s="800">
        <f t="shared" si="95"/>
        <v>0</v>
      </c>
      <c r="M251" s="800">
        <f t="shared" si="96"/>
        <v>0</v>
      </c>
      <c r="N251" s="800" t="s">
        <v>167</v>
      </c>
      <c r="O251" s="800" t="s">
        <v>187</v>
      </c>
    </row>
    <row r="252" spans="1:23">
      <c r="A252" s="137" t="s">
        <v>85</v>
      </c>
      <c r="B252" s="800">
        <f t="shared" si="85"/>
        <v>170713.60800000001</v>
      </c>
      <c r="C252" s="800">
        <f t="shared" si="86"/>
        <v>222603.64800000002</v>
      </c>
      <c r="D252" s="800">
        <f t="shared" si="87"/>
        <v>209140.17600000001</v>
      </c>
      <c r="E252" s="800">
        <f t="shared" si="88"/>
        <v>114349.36000000002</v>
      </c>
      <c r="F252" s="800">
        <f t="shared" si="89"/>
        <v>117442.488</v>
      </c>
      <c r="G252" s="800">
        <f t="shared" si="90"/>
        <v>152958.44</v>
      </c>
      <c r="H252" s="800">
        <f t="shared" si="91"/>
        <v>145755.98400000003</v>
      </c>
      <c r="I252" s="800">
        <f t="shared" si="92"/>
        <v>67855.648000000001</v>
      </c>
      <c r="J252" s="800">
        <f t="shared" si="93"/>
        <v>56676.135999999999</v>
      </c>
      <c r="K252" s="800">
        <f t="shared" si="94"/>
        <v>0</v>
      </c>
      <c r="L252" s="800">
        <f t="shared" si="95"/>
        <v>0</v>
      </c>
      <c r="M252" s="800">
        <f t="shared" si="96"/>
        <v>0</v>
      </c>
      <c r="N252" s="800" t="s">
        <v>167</v>
      </c>
      <c r="O252" s="800" t="s">
        <v>187</v>
      </c>
    </row>
    <row r="253" spans="1:23">
      <c r="A253" s="137" t="s">
        <v>86</v>
      </c>
      <c r="B253" s="800">
        <f t="shared" si="85"/>
        <v>51888.304000000004</v>
      </c>
      <c r="C253" s="800">
        <f t="shared" si="86"/>
        <v>71154.144</v>
      </c>
      <c r="D253" s="800">
        <f t="shared" si="87"/>
        <v>74720.056000000011</v>
      </c>
      <c r="E253" s="800">
        <f t="shared" si="88"/>
        <v>37325.224000000002</v>
      </c>
      <c r="F253" s="800">
        <f t="shared" si="89"/>
        <v>51466.904000000002</v>
      </c>
      <c r="G253" s="800">
        <f t="shared" si="90"/>
        <v>55285.983999999997</v>
      </c>
      <c r="H253" s="800">
        <f t="shared" si="91"/>
        <v>41241.504000000001</v>
      </c>
      <c r="I253" s="800">
        <f t="shared" si="92"/>
        <v>22343.176000000003</v>
      </c>
      <c r="J253" s="800">
        <f t="shared" si="93"/>
        <v>14099.744000000001</v>
      </c>
      <c r="K253" s="800">
        <f t="shared" si="94"/>
        <v>0</v>
      </c>
      <c r="L253" s="800">
        <f t="shared" si="95"/>
        <v>0</v>
      </c>
      <c r="M253" s="800">
        <f t="shared" si="96"/>
        <v>0</v>
      </c>
      <c r="N253" s="800" t="s">
        <v>167</v>
      </c>
      <c r="O253" s="800" t="s">
        <v>187</v>
      </c>
    </row>
    <row r="254" spans="1:23">
      <c r="A254" s="137" t="s">
        <v>87</v>
      </c>
      <c r="B254" s="800">
        <f t="shared" si="85"/>
        <v>117466.10400000001</v>
      </c>
      <c r="C254" s="800">
        <f t="shared" si="86"/>
        <v>143115.24799999999</v>
      </c>
      <c r="D254" s="800">
        <f t="shared" si="87"/>
        <v>145075.552</v>
      </c>
      <c r="E254" s="800">
        <f t="shared" si="88"/>
        <v>114961.88799999999</v>
      </c>
      <c r="F254" s="800">
        <f t="shared" si="89"/>
        <v>115179.31200000002</v>
      </c>
      <c r="G254" s="800">
        <f t="shared" si="90"/>
        <v>121825.52800000001</v>
      </c>
      <c r="H254" s="800">
        <f t="shared" si="91"/>
        <v>81496.864000000001</v>
      </c>
      <c r="I254" s="800">
        <f t="shared" si="92"/>
        <v>37817.616000000002</v>
      </c>
      <c r="J254" s="800">
        <f t="shared" si="93"/>
        <v>26066.464000000004</v>
      </c>
      <c r="K254" s="800">
        <f t="shared" si="94"/>
        <v>0</v>
      </c>
      <c r="L254" s="800">
        <f t="shared" si="95"/>
        <v>0</v>
      </c>
      <c r="M254" s="800">
        <f t="shared" si="96"/>
        <v>0</v>
      </c>
      <c r="N254" s="800" t="s">
        <v>167</v>
      </c>
      <c r="O254" s="800" t="s">
        <v>187</v>
      </c>
    </row>
    <row r="255" spans="1:23">
      <c r="A255" s="137" t="s">
        <v>88</v>
      </c>
      <c r="B255" s="800">
        <f t="shared" si="85"/>
        <v>161989.60800000001</v>
      </c>
      <c r="C255" s="800">
        <f t="shared" si="86"/>
        <v>164712.92800000001</v>
      </c>
      <c r="D255" s="800">
        <f t="shared" si="87"/>
        <v>107597.416</v>
      </c>
      <c r="E255" s="800">
        <f t="shared" si="88"/>
        <v>57951.280000000006</v>
      </c>
      <c r="F255" s="800">
        <f t="shared" si="89"/>
        <v>71242.288</v>
      </c>
      <c r="G255" s="800">
        <f t="shared" si="90"/>
        <v>78747.744000000006</v>
      </c>
      <c r="H255" s="800">
        <f t="shared" si="91"/>
        <v>60606.216000000008</v>
      </c>
      <c r="I255" s="800">
        <f t="shared" si="92"/>
        <v>26614.471999999998</v>
      </c>
      <c r="J255" s="800">
        <f t="shared" si="93"/>
        <v>19466.664000000001</v>
      </c>
      <c r="K255" s="800">
        <f t="shared" si="94"/>
        <v>0</v>
      </c>
      <c r="L255" s="800">
        <f t="shared" si="95"/>
        <v>0</v>
      </c>
      <c r="M255" s="800">
        <f t="shared" si="96"/>
        <v>0</v>
      </c>
      <c r="N255" s="800" t="s">
        <v>167</v>
      </c>
      <c r="O255" s="800" t="s">
        <v>187</v>
      </c>
    </row>
    <row r="256" spans="1:23">
      <c r="A256" s="137" t="s">
        <v>89</v>
      </c>
      <c r="B256" s="800">
        <f t="shared" si="85"/>
        <v>791285.48</v>
      </c>
      <c r="C256" s="800">
        <f t="shared" si="86"/>
        <v>854765.24000000011</v>
      </c>
      <c r="D256" s="800">
        <f t="shared" si="87"/>
        <v>956672.93599999999</v>
      </c>
      <c r="E256" s="800">
        <f t="shared" si="88"/>
        <v>418721.93599999999</v>
      </c>
      <c r="F256" s="800">
        <f t="shared" si="89"/>
        <v>441141.28</v>
      </c>
      <c r="G256" s="800">
        <f t="shared" si="90"/>
        <v>484384.60800000001</v>
      </c>
      <c r="H256" s="800">
        <f t="shared" si="91"/>
        <v>366756.33600000001</v>
      </c>
      <c r="I256" s="800">
        <f t="shared" si="92"/>
        <v>158363.16800000001</v>
      </c>
      <c r="J256" s="800">
        <f t="shared" si="93"/>
        <v>91939.343999999997</v>
      </c>
      <c r="K256" s="800">
        <f t="shared" si="94"/>
        <v>0</v>
      </c>
      <c r="L256" s="800">
        <f t="shared" si="95"/>
        <v>0</v>
      </c>
      <c r="M256" s="800">
        <f t="shared" si="96"/>
        <v>0</v>
      </c>
      <c r="N256" s="800" t="s">
        <v>167</v>
      </c>
      <c r="O256" s="800" t="s">
        <v>187</v>
      </c>
    </row>
    <row r="257" spans="1:15">
      <c r="A257" s="137" t="s">
        <v>90</v>
      </c>
      <c r="B257" s="800">
        <f t="shared" si="85"/>
        <v>82368.168000000005</v>
      </c>
      <c r="C257" s="800">
        <f t="shared" si="86"/>
        <v>101812.25600000001</v>
      </c>
      <c r="D257" s="800">
        <f t="shared" si="87"/>
        <v>97399.831999999995</v>
      </c>
      <c r="E257" s="800">
        <f t="shared" si="88"/>
        <v>55695.296000000002</v>
      </c>
      <c r="F257" s="800">
        <f t="shared" si="89"/>
        <v>70927.407999999996</v>
      </c>
      <c r="G257" s="800">
        <f t="shared" si="90"/>
        <v>71490.384000000005</v>
      </c>
      <c r="H257" s="800">
        <f t="shared" si="91"/>
        <v>56972.592000000004</v>
      </c>
      <c r="I257" s="800">
        <f t="shared" si="92"/>
        <v>26629.216</v>
      </c>
      <c r="J257" s="800">
        <f t="shared" si="93"/>
        <v>19142.768</v>
      </c>
      <c r="K257" s="800">
        <f t="shared" si="94"/>
        <v>0</v>
      </c>
      <c r="L257" s="800">
        <f t="shared" si="95"/>
        <v>0</v>
      </c>
      <c r="M257" s="800">
        <f t="shared" si="96"/>
        <v>0</v>
      </c>
      <c r="N257" s="800" t="s">
        <v>167</v>
      </c>
      <c r="O257" s="800" t="s">
        <v>187</v>
      </c>
    </row>
    <row r="258" spans="1:15">
      <c r="A258" s="137" t="s">
        <v>91</v>
      </c>
      <c r="B258" s="800">
        <f t="shared" si="85"/>
        <v>84675.912000000011</v>
      </c>
      <c r="C258" s="800">
        <f t="shared" si="86"/>
        <v>147139.06399999998</v>
      </c>
      <c r="D258" s="800">
        <f t="shared" si="87"/>
        <v>120666.03200000001</v>
      </c>
      <c r="E258" s="800">
        <f t="shared" si="88"/>
        <v>59901.488000000005</v>
      </c>
      <c r="F258" s="800">
        <f t="shared" si="89"/>
        <v>61212.088000000003</v>
      </c>
      <c r="G258" s="800">
        <f t="shared" si="90"/>
        <v>76885.648000000001</v>
      </c>
      <c r="H258" s="800">
        <f t="shared" si="91"/>
        <v>76943.047999999995</v>
      </c>
      <c r="I258" s="800">
        <f t="shared" si="92"/>
        <v>43202.240000000005</v>
      </c>
      <c r="J258" s="800">
        <f t="shared" si="93"/>
        <v>36470.103999999999</v>
      </c>
      <c r="K258" s="800">
        <f t="shared" si="94"/>
        <v>0</v>
      </c>
      <c r="L258" s="800">
        <f t="shared" si="95"/>
        <v>0</v>
      </c>
      <c r="M258" s="800">
        <f t="shared" si="96"/>
        <v>0</v>
      </c>
      <c r="N258" s="800" t="s">
        <v>167</v>
      </c>
      <c r="O258" s="800" t="s">
        <v>187</v>
      </c>
    </row>
    <row r="259" spans="1:15">
      <c r="A259" s="137" t="s">
        <v>92</v>
      </c>
      <c r="B259" s="800">
        <f t="shared" si="85"/>
        <v>654530.46400000004</v>
      </c>
      <c r="C259" s="800">
        <f t="shared" si="86"/>
        <v>791752.32000000007</v>
      </c>
      <c r="D259" s="800">
        <f t="shared" si="87"/>
        <v>735945.85600000003</v>
      </c>
      <c r="E259" s="800">
        <f t="shared" si="88"/>
        <v>270465.48800000001</v>
      </c>
      <c r="F259" s="800">
        <f t="shared" si="89"/>
        <v>358492.76</v>
      </c>
      <c r="G259" s="800">
        <f t="shared" si="90"/>
        <v>344727.07200000004</v>
      </c>
      <c r="H259" s="800">
        <f t="shared" si="91"/>
        <v>243590.31200000003</v>
      </c>
      <c r="I259" s="800">
        <f t="shared" si="92"/>
        <v>126511.72</v>
      </c>
      <c r="J259" s="800">
        <f t="shared" si="93"/>
        <v>82921.664000000004</v>
      </c>
      <c r="K259" s="800">
        <f t="shared" si="94"/>
        <v>0</v>
      </c>
      <c r="L259" s="800">
        <f t="shared" si="95"/>
        <v>0</v>
      </c>
      <c r="M259" s="800">
        <f t="shared" si="96"/>
        <v>0</v>
      </c>
      <c r="N259" s="800" t="s">
        <v>167</v>
      </c>
      <c r="O259" s="800" t="s">
        <v>187</v>
      </c>
    </row>
    <row r="260" spans="1:15">
      <c r="A260" s="137" t="s">
        <v>93</v>
      </c>
      <c r="B260" s="800">
        <f t="shared" si="85"/>
        <v>203885.11200000002</v>
      </c>
      <c r="C260" s="800">
        <f t="shared" si="86"/>
        <v>270845.27999999997</v>
      </c>
      <c r="D260" s="800">
        <f t="shared" si="87"/>
        <v>209542.08799999999</v>
      </c>
      <c r="E260" s="800">
        <f t="shared" si="88"/>
        <v>110916.8</v>
      </c>
      <c r="F260" s="800">
        <f t="shared" si="89"/>
        <v>130141.98400000001</v>
      </c>
      <c r="G260" s="800">
        <f t="shared" si="90"/>
        <v>131906.25600000002</v>
      </c>
      <c r="H260" s="800">
        <f t="shared" si="91"/>
        <v>112706.13600000001</v>
      </c>
      <c r="I260" s="800">
        <f t="shared" si="92"/>
        <v>60733.280000000006</v>
      </c>
      <c r="J260" s="800">
        <f t="shared" si="93"/>
        <v>40429.815999999999</v>
      </c>
      <c r="K260" s="800">
        <f t="shared" si="94"/>
        <v>0</v>
      </c>
      <c r="L260" s="800">
        <f t="shared" si="95"/>
        <v>0</v>
      </c>
      <c r="M260" s="800">
        <f t="shared" si="96"/>
        <v>0</v>
      </c>
      <c r="N260" s="800" t="s">
        <v>167</v>
      </c>
      <c r="O260" s="800" t="s">
        <v>187</v>
      </c>
    </row>
    <row r="261" spans="1:15">
      <c r="A261" s="137" t="s">
        <v>94</v>
      </c>
      <c r="B261" s="800">
        <f t="shared" si="85"/>
        <v>60009.648000000001</v>
      </c>
      <c r="C261" s="800">
        <f t="shared" si="86"/>
        <v>74255.528000000006</v>
      </c>
      <c r="D261" s="800">
        <f t="shared" si="87"/>
        <v>60187.552000000003</v>
      </c>
      <c r="E261" s="800">
        <f t="shared" si="88"/>
        <v>26192.664000000004</v>
      </c>
      <c r="F261" s="800">
        <f t="shared" si="89"/>
        <v>33896.048000000003</v>
      </c>
      <c r="G261" s="800">
        <f t="shared" si="90"/>
        <v>42503.048000000003</v>
      </c>
      <c r="H261" s="800">
        <f t="shared" si="91"/>
        <v>25629.08</v>
      </c>
      <c r="I261" s="800">
        <f t="shared" si="92"/>
        <v>17587.832000000002</v>
      </c>
      <c r="J261" s="800">
        <f t="shared" si="93"/>
        <v>12298.232000000002</v>
      </c>
      <c r="K261" s="800">
        <f t="shared" si="94"/>
        <v>0</v>
      </c>
      <c r="L261" s="800">
        <f t="shared" si="95"/>
        <v>0</v>
      </c>
      <c r="M261" s="800">
        <f t="shared" si="96"/>
        <v>0</v>
      </c>
      <c r="N261" s="800" t="s">
        <v>167</v>
      </c>
      <c r="O261" s="800" t="s">
        <v>187</v>
      </c>
    </row>
    <row r="262" spans="1:15">
      <c r="A262" s="137" t="s">
        <v>95</v>
      </c>
      <c r="B262" s="800">
        <f t="shared" si="85"/>
        <v>747995.91200000001</v>
      </c>
      <c r="C262" s="800">
        <f t="shared" si="86"/>
        <v>867383.56799999997</v>
      </c>
      <c r="D262" s="800">
        <f t="shared" si="87"/>
        <v>797805.18400000001</v>
      </c>
      <c r="E262" s="800">
        <f t="shared" si="88"/>
        <v>338587.45600000001</v>
      </c>
      <c r="F262" s="800">
        <f t="shared" si="89"/>
        <v>408230.95200000005</v>
      </c>
      <c r="G262" s="800">
        <f t="shared" si="90"/>
        <v>419935.72000000003</v>
      </c>
      <c r="H262" s="800">
        <f t="shared" si="91"/>
        <v>328405.46400000004</v>
      </c>
      <c r="I262" s="800">
        <f t="shared" si="92"/>
        <v>164785.20800000001</v>
      </c>
      <c r="J262" s="800">
        <f t="shared" si="93"/>
        <v>142814.704</v>
      </c>
      <c r="K262" s="800">
        <f t="shared" si="94"/>
        <v>0</v>
      </c>
      <c r="L262" s="800">
        <f t="shared" si="95"/>
        <v>0</v>
      </c>
      <c r="M262" s="800">
        <f t="shared" si="96"/>
        <v>0</v>
      </c>
      <c r="N262" s="800" t="s">
        <v>167</v>
      </c>
      <c r="O262" s="800" t="s">
        <v>187</v>
      </c>
    </row>
    <row r="263" spans="1:15">
      <c r="A263" s="137" t="s">
        <v>96</v>
      </c>
      <c r="B263" s="800">
        <f t="shared" si="85"/>
        <v>81070.688000000009</v>
      </c>
      <c r="C263" s="800">
        <f t="shared" si="86"/>
        <v>108622.96799999999</v>
      </c>
      <c r="D263" s="800">
        <f t="shared" si="87"/>
        <v>94694.432000000001</v>
      </c>
      <c r="E263" s="800">
        <f t="shared" si="88"/>
        <v>57831.776000000005</v>
      </c>
      <c r="F263" s="800">
        <f t="shared" si="89"/>
        <v>72613.824000000008</v>
      </c>
      <c r="G263" s="800">
        <f t="shared" si="90"/>
        <v>87603.392000000007</v>
      </c>
      <c r="H263" s="800">
        <f t="shared" si="91"/>
        <v>76831.368000000002</v>
      </c>
      <c r="I263" s="800">
        <f t="shared" si="92"/>
        <v>20956.800000000003</v>
      </c>
      <c r="J263" s="800">
        <f t="shared" si="93"/>
        <v>12992.584000000001</v>
      </c>
      <c r="K263" s="800">
        <f t="shared" si="94"/>
        <v>0</v>
      </c>
      <c r="L263" s="800">
        <f t="shared" si="95"/>
        <v>0</v>
      </c>
      <c r="M263" s="800">
        <f t="shared" si="96"/>
        <v>0</v>
      </c>
      <c r="N263" s="800" t="s">
        <v>167</v>
      </c>
      <c r="O263" s="800" t="s">
        <v>187</v>
      </c>
    </row>
    <row r="264" spans="1:15">
      <c r="A264" s="137" t="s">
        <v>97</v>
      </c>
      <c r="B264" s="800">
        <f t="shared" si="85"/>
        <v>988047.04800000007</v>
      </c>
      <c r="C264" s="800">
        <f t="shared" si="86"/>
        <v>970484.2080000001</v>
      </c>
      <c r="D264" s="800">
        <f t="shared" si="87"/>
        <v>714152.4</v>
      </c>
      <c r="E264" s="800">
        <f t="shared" si="88"/>
        <v>349032.26400000002</v>
      </c>
      <c r="F264" s="800">
        <f t="shared" si="89"/>
        <v>453470.88</v>
      </c>
      <c r="G264" s="800">
        <f t="shared" si="90"/>
        <v>524358.70400000003</v>
      </c>
      <c r="H264" s="800">
        <f t="shared" si="91"/>
        <v>404428.78399999999</v>
      </c>
      <c r="I264" s="800">
        <f t="shared" si="92"/>
        <v>128019.16800000001</v>
      </c>
      <c r="J264" s="800">
        <f t="shared" si="93"/>
        <v>88909.256000000008</v>
      </c>
      <c r="K264" s="800">
        <f t="shared" si="94"/>
        <v>0</v>
      </c>
      <c r="L264" s="800">
        <f t="shared" si="95"/>
        <v>0</v>
      </c>
      <c r="M264" s="800">
        <f t="shared" si="96"/>
        <v>0</v>
      </c>
      <c r="N264" s="800" t="s">
        <v>167</v>
      </c>
      <c r="O264" s="800" t="s">
        <v>187</v>
      </c>
    </row>
    <row r="265" spans="1:15">
      <c r="A265" s="137" t="s">
        <v>98</v>
      </c>
      <c r="B265" s="800">
        <f t="shared" si="85"/>
        <v>41901.192000000003</v>
      </c>
      <c r="C265" s="800">
        <f t="shared" si="86"/>
        <v>44577.128000000004</v>
      </c>
      <c r="D265" s="800">
        <f t="shared" si="87"/>
        <v>51722.112000000001</v>
      </c>
      <c r="E265" s="800">
        <f t="shared" si="88"/>
        <v>28183.608000000004</v>
      </c>
      <c r="F265" s="800">
        <f t="shared" si="89"/>
        <v>34653.408000000003</v>
      </c>
      <c r="G265" s="800">
        <f t="shared" si="90"/>
        <v>34687.128000000004</v>
      </c>
      <c r="H265" s="800">
        <f t="shared" si="91"/>
        <v>28630.832000000002</v>
      </c>
      <c r="I265" s="800">
        <f t="shared" si="92"/>
        <v>25757.704000000002</v>
      </c>
      <c r="J265" s="800">
        <f t="shared" si="93"/>
        <v>28683.847999999998</v>
      </c>
      <c r="K265" s="800">
        <f t="shared" si="94"/>
        <v>0</v>
      </c>
      <c r="L265" s="800">
        <f t="shared" si="95"/>
        <v>0</v>
      </c>
      <c r="M265" s="800">
        <f t="shared" si="96"/>
        <v>0</v>
      </c>
      <c r="N265" s="800" t="s">
        <v>167</v>
      </c>
      <c r="O265" s="800" t="s">
        <v>187</v>
      </c>
    </row>
    <row r="266" spans="1:15">
      <c r="A266" s="137" t="s">
        <v>99</v>
      </c>
      <c r="B266" s="800">
        <f t="shared" si="85"/>
        <v>10118.168</v>
      </c>
      <c r="C266" s="800">
        <f t="shared" si="86"/>
        <v>11839.824000000001</v>
      </c>
      <c r="D266" s="800">
        <f t="shared" si="87"/>
        <v>8702.5360000000001</v>
      </c>
      <c r="E266" s="800">
        <f t="shared" si="88"/>
        <v>4868.6959999999999</v>
      </c>
      <c r="F266" s="800">
        <f t="shared" si="89"/>
        <v>5508.3919999999998</v>
      </c>
      <c r="G266" s="800">
        <f t="shared" si="90"/>
        <v>6043.2400000000007</v>
      </c>
      <c r="H266" s="800">
        <f t="shared" si="91"/>
        <v>2730.6000000000004</v>
      </c>
      <c r="I266" s="800">
        <f t="shared" si="92"/>
        <v>1384.7600000000002</v>
      </c>
      <c r="J266" s="800">
        <f t="shared" si="93"/>
        <v>1145.5040000000001</v>
      </c>
      <c r="K266" s="800">
        <f t="shared" si="94"/>
        <v>0</v>
      </c>
      <c r="L266" s="800">
        <f t="shared" si="95"/>
        <v>0</v>
      </c>
      <c r="M266" s="800">
        <f t="shared" si="96"/>
        <v>0</v>
      </c>
      <c r="N266" s="800" t="s">
        <v>167</v>
      </c>
      <c r="O266" s="800" t="s">
        <v>187</v>
      </c>
    </row>
    <row r="267" spans="1:15">
      <c r="A267" s="137" t="s">
        <v>100</v>
      </c>
      <c r="B267" s="800">
        <f t="shared" si="85"/>
        <v>551830.79200000002</v>
      </c>
      <c r="C267" s="800">
        <f t="shared" si="86"/>
        <v>692159.32000000007</v>
      </c>
      <c r="D267" s="800">
        <f t="shared" si="87"/>
        <v>516115.12800000003</v>
      </c>
      <c r="E267" s="800">
        <f t="shared" si="88"/>
        <v>262753.00800000003</v>
      </c>
      <c r="F267" s="800">
        <f t="shared" si="89"/>
        <v>315602.16000000003</v>
      </c>
      <c r="G267" s="800">
        <f t="shared" si="90"/>
        <v>412829.95200000005</v>
      </c>
      <c r="H267" s="800">
        <f t="shared" si="91"/>
        <v>313105.44800000003</v>
      </c>
      <c r="I267" s="800">
        <f t="shared" si="92"/>
        <v>103556.376</v>
      </c>
      <c r="J267" s="800">
        <f t="shared" si="93"/>
        <v>70843.888000000006</v>
      </c>
      <c r="K267" s="800">
        <f t="shared" si="94"/>
        <v>0</v>
      </c>
      <c r="L267" s="800">
        <f t="shared" si="95"/>
        <v>0</v>
      </c>
      <c r="M267" s="800">
        <f t="shared" si="96"/>
        <v>0</v>
      </c>
      <c r="N267" s="800" t="s">
        <v>167</v>
      </c>
      <c r="O267" s="800" t="s">
        <v>187</v>
      </c>
    </row>
    <row r="268" spans="1:15">
      <c r="A268" s="137" t="s">
        <v>101</v>
      </c>
      <c r="B268" s="800">
        <f t="shared" si="85"/>
        <v>3071719.08</v>
      </c>
      <c r="C268" s="800">
        <f t="shared" si="86"/>
        <v>3320795.6960000005</v>
      </c>
      <c r="D268" s="800">
        <f t="shared" si="87"/>
        <v>2762173.6880000001</v>
      </c>
      <c r="E268" s="800">
        <f t="shared" si="88"/>
        <v>1289127.952</v>
      </c>
      <c r="F268" s="800">
        <f t="shared" si="89"/>
        <v>1538621.6</v>
      </c>
      <c r="G268" s="800">
        <f t="shared" si="90"/>
        <v>1593098.4160000002</v>
      </c>
      <c r="H268" s="800">
        <f t="shared" si="91"/>
        <v>1193413.08</v>
      </c>
      <c r="I268" s="800">
        <f t="shared" si="92"/>
        <v>536718.13600000006</v>
      </c>
      <c r="J268" s="800">
        <f t="shared" si="93"/>
        <v>408236.39199999999</v>
      </c>
      <c r="K268" s="800">
        <f t="shared" si="94"/>
        <v>0</v>
      </c>
      <c r="L268" s="800">
        <f t="shared" si="95"/>
        <v>0</v>
      </c>
      <c r="M268" s="800">
        <f t="shared" si="96"/>
        <v>0</v>
      </c>
      <c r="N268" s="800" t="s">
        <v>167</v>
      </c>
      <c r="O268" s="800" t="s">
        <v>187</v>
      </c>
    </row>
    <row r="269" spans="1:15">
      <c r="A269" s="137" t="s">
        <v>102</v>
      </c>
      <c r="B269" s="800">
        <f t="shared" si="85"/>
        <v>66389.568000000014</v>
      </c>
      <c r="C269" s="800">
        <f t="shared" si="86"/>
        <v>62505.52</v>
      </c>
      <c r="D269" s="800">
        <f t="shared" si="87"/>
        <v>55323.19200000001</v>
      </c>
      <c r="E269" s="800">
        <f t="shared" si="88"/>
        <v>32430.576000000001</v>
      </c>
      <c r="F269" s="800">
        <f t="shared" si="89"/>
        <v>39940.984000000004</v>
      </c>
      <c r="G269" s="800">
        <f t="shared" si="90"/>
        <v>48740.528000000006</v>
      </c>
      <c r="H269" s="800">
        <f t="shared" si="91"/>
        <v>37506.488000000005</v>
      </c>
      <c r="I269" s="800">
        <f t="shared" si="92"/>
        <v>18388.856</v>
      </c>
      <c r="J269" s="800">
        <f t="shared" si="93"/>
        <v>11831.24</v>
      </c>
      <c r="K269" s="800">
        <f t="shared" si="94"/>
        <v>0</v>
      </c>
      <c r="L269" s="800">
        <f t="shared" si="95"/>
        <v>0</v>
      </c>
      <c r="M269" s="800">
        <f t="shared" si="96"/>
        <v>0</v>
      </c>
      <c r="N269" s="800" t="s">
        <v>167</v>
      </c>
      <c r="O269" s="800" t="s">
        <v>187</v>
      </c>
    </row>
    <row r="270" spans="1:15">
      <c r="A270" s="137" t="s">
        <v>103</v>
      </c>
      <c r="B270" s="800">
        <f t="shared" si="85"/>
        <v>24559.64</v>
      </c>
      <c r="C270" s="800">
        <f t="shared" si="86"/>
        <v>35064.384000000005</v>
      </c>
      <c r="D270" s="800">
        <f t="shared" si="87"/>
        <v>31904.368000000002</v>
      </c>
      <c r="E270" s="800">
        <f t="shared" si="88"/>
        <v>21321.328000000001</v>
      </c>
      <c r="F270" s="800">
        <f t="shared" si="89"/>
        <v>19502.896000000001</v>
      </c>
      <c r="G270" s="800">
        <f t="shared" si="90"/>
        <v>29315.216</v>
      </c>
      <c r="H270" s="800">
        <f t="shared" si="91"/>
        <v>17469.176000000003</v>
      </c>
      <c r="I270" s="800">
        <f t="shared" si="92"/>
        <v>9519.2479999999996</v>
      </c>
      <c r="J270" s="800">
        <f t="shared" si="93"/>
        <v>7976.9440000000004</v>
      </c>
      <c r="K270" s="800">
        <f t="shared" si="94"/>
        <v>0</v>
      </c>
      <c r="L270" s="800">
        <f t="shared" si="95"/>
        <v>0</v>
      </c>
      <c r="M270" s="800">
        <f t="shared" si="96"/>
        <v>0</v>
      </c>
      <c r="N270" s="800" t="s">
        <v>167</v>
      </c>
      <c r="O270" s="800" t="s">
        <v>187</v>
      </c>
    </row>
    <row r="271" spans="1:15">
      <c r="A271" s="137" t="s">
        <v>77</v>
      </c>
      <c r="B271" s="800">
        <f t="shared" ref="B271:B297" si="97">Q5</f>
        <v>22378.428610677849</v>
      </c>
      <c r="C271" s="800">
        <f t="shared" ref="C271:C297" si="98">R5</f>
        <v>46461.35701253415</v>
      </c>
      <c r="D271" s="800">
        <f t="shared" ref="D271:D297" si="99">S5</f>
        <v>65616.713611865562</v>
      </c>
      <c r="E271" s="800">
        <f t="shared" ref="E271:E297" si="100">T5</f>
        <v>81137.682787823593</v>
      </c>
      <c r="F271" s="800">
        <f t="shared" ref="F271:F297" si="101">U5</f>
        <v>98226.654495071329</v>
      </c>
      <c r="G271" s="800">
        <f t="shared" ref="G271:G297" si="102">V5</f>
        <v>117338.0380505249</v>
      </c>
      <c r="H271" s="800">
        <f t="shared" ref="H271:H297" si="103">W5</f>
        <v>133658.72546499173</v>
      </c>
      <c r="I271" s="800">
        <f t="shared" ref="I271:I297" si="104">X5</f>
        <v>147806.06446075568</v>
      </c>
      <c r="J271" s="800">
        <f t="shared" ref="J271:J297" si="105">Y5</f>
        <v>156550.02177868201</v>
      </c>
      <c r="K271" s="800">
        <f t="shared" ref="K271:K297" si="106">Z5</f>
        <v>161358.97811544986</v>
      </c>
      <c r="L271" s="800">
        <f t="shared" ref="L271:L297" si="107">AA5</f>
        <v>166820.14389366386</v>
      </c>
      <c r="M271" s="800">
        <f t="shared" ref="M271:M297" si="108">AB5</f>
        <v>173232.09</v>
      </c>
      <c r="N271" s="800" t="s">
        <v>166</v>
      </c>
      <c r="O271" s="800" t="s">
        <v>187</v>
      </c>
    </row>
    <row r="272" spans="1:15">
      <c r="A272" s="137" t="s">
        <v>78</v>
      </c>
      <c r="B272" s="800">
        <f t="shared" si="97"/>
        <v>104840.64529962625</v>
      </c>
      <c r="C272" s="800">
        <f t="shared" si="98"/>
        <v>221849.20627218491</v>
      </c>
      <c r="D272" s="800">
        <f t="shared" si="99"/>
        <v>279057.5470266816</v>
      </c>
      <c r="E272" s="800">
        <f t="shared" si="100"/>
        <v>327420.41793593613</v>
      </c>
      <c r="F272" s="800">
        <f t="shared" si="101"/>
        <v>372734.75047496735</v>
      </c>
      <c r="G272" s="800">
        <f t="shared" si="102"/>
        <v>414392.41672283068</v>
      </c>
      <c r="H272" s="800">
        <f t="shared" si="103"/>
        <v>452488.53850849502</v>
      </c>
      <c r="I272" s="800">
        <f t="shared" si="104"/>
        <v>489181.24652594642</v>
      </c>
      <c r="J272" s="800">
        <f t="shared" si="105"/>
        <v>507702.76616359141</v>
      </c>
      <c r="K272" s="800">
        <f t="shared" si="106"/>
        <v>521651.9762155934</v>
      </c>
      <c r="L272" s="800">
        <f t="shared" si="107"/>
        <v>537258.7821090701</v>
      </c>
      <c r="M272" s="800">
        <f t="shared" si="108"/>
        <v>558689.82999999996</v>
      </c>
      <c r="N272" s="800" t="s">
        <v>166</v>
      </c>
      <c r="O272" s="800" t="s">
        <v>187</v>
      </c>
    </row>
    <row r="273" spans="1:15">
      <c r="A273" s="137" t="s">
        <v>79</v>
      </c>
      <c r="B273" s="800">
        <f t="shared" si="97"/>
        <v>24641.672081346613</v>
      </c>
      <c r="C273" s="800">
        <f t="shared" si="98"/>
        <v>53477.132613726346</v>
      </c>
      <c r="D273" s="800">
        <f t="shared" si="99"/>
        <v>76074.422458925881</v>
      </c>
      <c r="E273" s="800">
        <f t="shared" si="100"/>
        <v>93330.845512154046</v>
      </c>
      <c r="F273" s="800">
        <f t="shared" si="101"/>
        <v>111426.61608004988</v>
      </c>
      <c r="G273" s="800">
        <f t="shared" si="102"/>
        <v>131792.76277223093</v>
      </c>
      <c r="H273" s="800">
        <f t="shared" si="103"/>
        <v>150418.72341063409</v>
      </c>
      <c r="I273" s="800">
        <f t="shared" si="104"/>
        <v>168298.28442586426</v>
      </c>
      <c r="J273" s="800">
        <f t="shared" si="105"/>
        <v>176817.43577820613</v>
      </c>
      <c r="K273" s="800">
        <f t="shared" si="106"/>
        <v>100</v>
      </c>
      <c r="L273" s="800">
        <f t="shared" si="107"/>
        <v>186679.92200338241</v>
      </c>
      <c r="M273" s="800">
        <f t="shared" si="108"/>
        <v>193991.7</v>
      </c>
      <c r="N273" s="800" t="s">
        <v>166</v>
      </c>
      <c r="O273" s="800" t="s">
        <v>187</v>
      </c>
    </row>
    <row r="274" spans="1:15">
      <c r="A274" s="137" t="s">
        <v>80</v>
      </c>
      <c r="B274" s="800">
        <f t="shared" si="97"/>
        <v>67867.161942646067</v>
      </c>
      <c r="C274" s="800">
        <f t="shared" si="98"/>
        <v>151246.70872897649</v>
      </c>
      <c r="D274" s="800">
        <f t="shared" si="99"/>
        <v>222637.61008220288</v>
      </c>
      <c r="E274" s="800">
        <f t="shared" si="100"/>
        <v>278691.5027862704</v>
      </c>
      <c r="F274" s="800">
        <f t="shared" si="101"/>
        <v>338426.76056140085</v>
      </c>
      <c r="G274" s="800">
        <f t="shared" si="102"/>
        <v>401261.36497528583</v>
      </c>
      <c r="H274" s="800">
        <f t="shared" si="103"/>
        <v>444338.97688087809</v>
      </c>
      <c r="I274" s="800">
        <f t="shared" si="104"/>
        <v>487371.35030928382</v>
      </c>
      <c r="J274" s="800">
        <f t="shared" si="105"/>
        <v>511204.30032580841</v>
      </c>
      <c r="K274" s="800">
        <f t="shared" si="106"/>
        <v>528486.03167696076</v>
      </c>
      <c r="L274" s="800">
        <f t="shared" si="107"/>
        <v>544535.54013940343</v>
      </c>
      <c r="M274" s="800">
        <f t="shared" si="108"/>
        <v>564760.02</v>
      </c>
      <c r="N274" s="800" t="s">
        <v>166</v>
      </c>
      <c r="O274" s="800" t="s">
        <v>187</v>
      </c>
    </row>
    <row r="275" spans="1:15">
      <c r="A275" s="137" t="s">
        <v>81</v>
      </c>
      <c r="B275" s="800">
        <f t="shared" si="97"/>
        <v>290056.55526759179</v>
      </c>
      <c r="C275" s="800">
        <f t="shared" si="98"/>
        <v>633551.04574860691</v>
      </c>
      <c r="D275" s="800">
        <f t="shared" si="99"/>
        <v>827205.34482060419</v>
      </c>
      <c r="E275" s="800">
        <f t="shared" si="100"/>
        <v>972687.60850114597</v>
      </c>
      <c r="F275" s="800">
        <f t="shared" si="101"/>
        <v>1110434.8959664002</v>
      </c>
      <c r="G275" s="800">
        <f t="shared" si="102"/>
        <v>1260453.6068005154</v>
      </c>
      <c r="H275" s="800">
        <f t="shared" si="103"/>
        <v>1383633.9796339844</v>
      </c>
      <c r="I275" s="800">
        <f t="shared" si="104"/>
        <v>1502318.7255777111</v>
      </c>
      <c r="J275" s="800">
        <f t="shared" si="105"/>
        <v>1573455.5066669709</v>
      </c>
      <c r="K275" s="800">
        <f t="shared" si="106"/>
        <v>1618452.3462838996</v>
      </c>
      <c r="L275" s="800">
        <f t="shared" si="107"/>
        <v>1672234.1935574368</v>
      </c>
      <c r="M275" s="800">
        <f t="shared" si="108"/>
        <v>1725578.28</v>
      </c>
      <c r="N275" s="800" t="s">
        <v>166</v>
      </c>
      <c r="O275" s="800" t="s">
        <v>187</v>
      </c>
    </row>
    <row r="276" spans="1:15">
      <c r="A276" s="137" t="s">
        <v>82</v>
      </c>
      <c r="B276" s="800">
        <f t="shared" si="97"/>
        <v>247646.23586851521</v>
      </c>
      <c r="C276" s="800">
        <f t="shared" si="98"/>
        <v>456670.68771512638</v>
      </c>
      <c r="D276" s="800">
        <f t="shared" si="99"/>
        <v>576286.29843307321</v>
      </c>
      <c r="E276" s="800">
        <f t="shared" si="100"/>
        <v>664110.98618868412</v>
      </c>
      <c r="F276" s="800">
        <f t="shared" si="101"/>
        <v>751111.49718613399</v>
      </c>
      <c r="G276" s="800">
        <f t="shared" si="102"/>
        <v>851492.34183976951</v>
      </c>
      <c r="H276" s="800">
        <f t="shared" si="103"/>
        <v>941080.3254148378</v>
      </c>
      <c r="I276" s="800">
        <f t="shared" si="104"/>
        <v>1014277.4622850514</v>
      </c>
      <c r="J276" s="800">
        <f t="shared" si="105"/>
        <v>1060227.5245347435</v>
      </c>
      <c r="K276" s="800">
        <f t="shared" si="106"/>
        <v>1090642.3428357206</v>
      </c>
      <c r="L276" s="800">
        <f t="shared" si="107"/>
        <v>1120967.2607185559</v>
      </c>
      <c r="M276" s="800">
        <f t="shared" si="108"/>
        <v>1150209.6499999999</v>
      </c>
      <c r="N276" s="800" t="s">
        <v>166</v>
      </c>
      <c r="O276" s="800" t="s">
        <v>187</v>
      </c>
    </row>
    <row r="277" spans="1:15">
      <c r="A277" s="137" t="s">
        <v>83</v>
      </c>
      <c r="B277" s="800">
        <f t="shared" si="97"/>
        <v>313448.81699461065</v>
      </c>
      <c r="C277" s="800">
        <f t="shared" si="98"/>
        <v>750889.98217871098</v>
      </c>
      <c r="D277" s="800">
        <f t="shared" si="99"/>
        <v>955916.85517138324</v>
      </c>
      <c r="E277" s="800">
        <f t="shared" si="100"/>
        <v>1112579.2182893308</v>
      </c>
      <c r="F277" s="800">
        <f t="shared" si="101"/>
        <v>1246374.1178915112</v>
      </c>
      <c r="G277" s="800">
        <f t="shared" si="102"/>
        <v>1393801.5015091766</v>
      </c>
      <c r="H277" s="800">
        <f t="shared" si="103"/>
        <v>1493441.8250308542</v>
      </c>
      <c r="I277" s="800">
        <f t="shared" si="104"/>
        <v>1592453.3051958438</v>
      </c>
      <c r="J277" s="800">
        <f t="shared" si="105"/>
        <v>1646120.6952509161</v>
      </c>
      <c r="K277" s="800">
        <f t="shared" si="106"/>
        <v>1681057.6705580479</v>
      </c>
      <c r="L277" s="800">
        <f t="shared" si="107"/>
        <v>1722125.5954151985</v>
      </c>
      <c r="M277" s="800">
        <f t="shared" si="108"/>
        <v>1763978.32</v>
      </c>
      <c r="N277" s="800" t="s">
        <v>166</v>
      </c>
      <c r="O277" s="800" t="s">
        <v>187</v>
      </c>
    </row>
    <row r="278" spans="1:15">
      <c r="A278" s="137" t="s">
        <v>84</v>
      </c>
      <c r="B278" s="800">
        <f t="shared" si="97"/>
        <v>233412.93564700166</v>
      </c>
      <c r="C278" s="800">
        <f t="shared" si="98"/>
        <v>588613.40421623504</v>
      </c>
      <c r="D278" s="800">
        <f t="shared" si="99"/>
        <v>739446.23824520921</v>
      </c>
      <c r="E278" s="800">
        <f t="shared" si="100"/>
        <v>856523.56275681464</v>
      </c>
      <c r="F278" s="800">
        <f t="shared" si="101"/>
        <v>963584.85971356661</v>
      </c>
      <c r="G278" s="800">
        <f t="shared" si="102"/>
        <v>1074745.6126600015</v>
      </c>
      <c r="H278" s="800">
        <f t="shared" si="103"/>
        <v>1165649.2479542468</v>
      </c>
      <c r="I278" s="800">
        <f t="shared" si="104"/>
        <v>1262932.9914431146</v>
      </c>
      <c r="J278" s="800">
        <f t="shared" si="105"/>
        <v>1312018.3935590603</v>
      </c>
      <c r="K278" s="800">
        <f t="shared" si="106"/>
        <v>1347818.5224385615</v>
      </c>
      <c r="L278" s="800">
        <f t="shared" si="107"/>
        <v>1378691.549658813</v>
      </c>
      <c r="M278" s="800">
        <f t="shared" si="108"/>
        <v>1418616.52</v>
      </c>
      <c r="N278" s="800" t="s">
        <v>166</v>
      </c>
      <c r="O278" s="800" t="s">
        <v>187</v>
      </c>
    </row>
    <row r="279" spans="1:15">
      <c r="A279" s="137" t="s">
        <v>85</v>
      </c>
      <c r="B279" s="800">
        <f t="shared" si="97"/>
        <v>215526.80518952149</v>
      </c>
      <c r="C279" s="800">
        <f t="shared" si="98"/>
        <v>499445.65234633093</v>
      </c>
      <c r="D279" s="800">
        <f t="shared" si="99"/>
        <v>655608.2651798398</v>
      </c>
      <c r="E279" s="800">
        <f t="shared" si="100"/>
        <v>775316.75768856972</v>
      </c>
      <c r="F279" s="800">
        <f t="shared" si="101"/>
        <v>899346.59626205487</v>
      </c>
      <c r="G279" s="800">
        <f t="shared" si="102"/>
        <v>1026715.2004034187</v>
      </c>
      <c r="H279" s="800">
        <f t="shared" si="103"/>
        <v>1118923.259033171</v>
      </c>
      <c r="I279" s="800">
        <f t="shared" si="104"/>
        <v>1204704.424061652</v>
      </c>
      <c r="J279" s="800">
        <f t="shared" si="105"/>
        <v>1255425.3699387915</v>
      </c>
      <c r="K279" s="800">
        <f t="shared" si="106"/>
        <v>1289092.4409539034</v>
      </c>
      <c r="L279" s="800">
        <f t="shared" si="107"/>
        <v>1323423.5856204065</v>
      </c>
      <c r="M279" s="800">
        <f t="shared" si="108"/>
        <v>1363273.97</v>
      </c>
      <c r="N279" s="800" t="s">
        <v>166</v>
      </c>
      <c r="O279" s="800" t="s">
        <v>187</v>
      </c>
    </row>
    <row r="280" spans="1:15">
      <c r="A280" s="137" t="s">
        <v>86</v>
      </c>
      <c r="B280" s="800">
        <f t="shared" si="97"/>
        <v>79841.852959665586</v>
      </c>
      <c r="C280" s="800">
        <f t="shared" si="98"/>
        <v>168550.99845287506</v>
      </c>
      <c r="D280" s="800">
        <f t="shared" si="99"/>
        <v>227342.6181227628</v>
      </c>
      <c r="E280" s="800">
        <f t="shared" si="100"/>
        <v>273126.03859818401</v>
      </c>
      <c r="F280" s="800">
        <f t="shared" si="101"/>
        <v>313428.65263564745</v>
      </c>
      <c r="G280" s="800">
        <f t="shared" si="102"/>
        <v>361527.53376212186</v>
      </c>
      <c r="H280" s="800">
        <f t="shared" si="103"/>
        <v>405741.23368852725</v>
      </c>
      <c r="I280" s="800">
        <f t="shared" si="104"/>
        <v>439739.0814070811</v>
      </c>
      <c r="J280" s="800">
        <f t="shared" si="105"/>
        <v>462407.34186756908</v>
      </c>
      <c r="K280" s="800">
        <f t="shared" si="106"/>
        <v>479324.21276159934</v>
      </c>
      <c r="L280" s="800">
        <f t="shared" si="107"/>
        <v>494769.92524982418</v>
      </c>
      <c r="M280" s="800">
        <f t="shared" si="108"/>
        <v>512036.4</v>
      </c>
      <c r="N280" s="800" t="s">
        <v>166</v>
      </c>
      <c r="O280" s="800" t="s">
        <v>187</v>
      </c>
    </row>
    <row r="281" spans="1:15">
      <c r="A281" s="137" t="s">
        <v>87</v>
      </c>
      <c r="B281" s="800">
        <f t="shared" si="97"/>
        <v>143098.64361751999</v>
      </c>
      <c r="C281" s="800">
        <f t="shared" si="98"/>
        <v>330290.93588169658</v>
      </c>
      <c r="D281" s="800">
        <f t="shared" si="99"/>
        <v>452703.77240520838</v>
      </c>
      <c r="E281" s="800">
        <f t="shared" si="100"/>
        <v>559387.11279846635</v>
      </c>
      <c r="F281" s="800">
        <f t="shared" si="101"/>
        <v>657722.12832865771</v>
      </c>
      <c r="G281" s="800">
        <f t="shared" si="102"/>
        <v>757846.63679649308</v>
      </c>
      <c r="H281" s="800">
        <f t="shared" si="103"/>
        <v>828304.34296445665</v>
      </c>
      <c r="I281" s="800">
        <f t="shared" si="104"/>
        <v>907806.47913349711</v>
      </c>
      <c r="J281" s="800">
        <f t="shared" si="105"/>
        <v>951628.71923669253</v>
      </c>
      <c r="K281" s="800">
        <f t="shared" si="106"/>
        <v>979372.2202886811</v>
      </c>
      <c r="L281" s="800">
        <f t="shared" si="107"/>
        <v>1007960.0165129299</v>
      </c>
      <c r="M281" s="800">
        <f t="shared" si="108"/>
        <v>1039263.51</v>
      </c>
      <c r="N281" s="800" t="s">
        <v>166</v>
      </c>
      <c r="O281" s="800" t="s">
        <v>187</v>
      </c>
    </row>
    <row r="282" spans="1:15">
      <c r="A282" s="137" t="s">
        <v>88</v>
      </c>
      <c r="B282" s="800">
        <f t="shared" si="97"/>
        <v>176426.72208837653</v>
      </c>
      <c r="C282" s="800">
        <f t="shared" si="98"/>
        <v>334334.6038319841</v>
      </c>
      <c r="D282" s="800">
        <f t="shared" si="99"/>
        <v>423050.84444016078</v>
      </c>
      <c r="E282" s="800">
        <f t="shared" si="100"/>
        <v>500005.15802219248</v>
      </c>
      <c r="F282" s="800">
        <f t="shared" si="101"/>
        <v>573729.43213725544</v>
      </c>
      <c r="G282" s="800">
        <f t="shared" si="102"/>
        <v>640003.89096855442</v>
      </c>
      <c r="H282" s="800">
        <f t="shared" si="103"/>
        <v>698054.99572629901</v>
      </c>
      <c r="I282" s="800">
        <f t="shared" si="104"/>
        <v>745560.10157375946</v>
      </c>
      <c r="J282" s="800">
        <f t="shared" si="105"/>
        <v>777159.31078805856</v>
      </c>
      <c r="K282" s="800">
        <f t="shared" si="106"/>
        <v>799728.49116504029</v>
      </c>
      <c r="L282" s="800">
        <f t="shared" si="107"/>
        <v>821207.06257162755</v>
      </c>
      <c r="M282" s="800">
        <f t="shared" si="108"/>
        <v>844523.85</v>
      </c>
      <c r="N282" s="800" t="s">
        <v>166</v>
      </c>
      <c r="O282" s="800" t="s">
        <v>187</v>
      </c>
    </row>
    <row r="283" spans="1:15">
      <c r="A283" s="137" t="s">
        <v>89</v>
      </c>
      <c r="B283" s="800">
        <f t="shared" si="97"/>
        <v>1079836.0565591808</v>
      </c>
      <c r="C283" s="800">
        <f t="shared" si="98"/>
        <v>1990035.5855005879</v>
      </c>
      <c r="D283" s="800">
        <f t="shared" si="99"/>
        <v>2484252.1216278709</v>
      </c>
      <c r="E283" s="800">
        <f t="shared" si="100"/>
        <v>2880002.2661524359</v>
      </c>
      <c r="F283" s="800">
        <f t="shared" si="101"/>
        <v>3268886.2286694306</v>
      </c>
      <c r="G283" s="800">
        <f t="shared" si="102"/>
        <v>3653080.5400624373</v>
      </c>
      <c r="H283" s="800">
        <f t="shared" si="103"/>
        <v>3975885.6978916354</v>
      </c>
      <c r="I283" s="800">
        <f t="shared" si="104"/>
        <v>4254998.7269819267</v>
      </c>
      <c r="J283" s="800">
        <f t="shared" si="105"/>
        <v>4417245.567880068</v>
      </c>
      <c r="K283" s="800">
        <f t="shared" si="106"/>
        <v>4527303.830342426</v>
      </c>
      <c r="L283" s="800">
        <f t="shared" si="107"/>
        <v>4655033.9679488596</v>
      </c>
      <c r="M283" s="800">
        <f t="shared" si="108"/>
        <v>4794475.05</v>
      </c>
      <c r="N283" s="800" t="s">
        <v>166</v>
      </c>
      <c r="O283" s="800" t="s">
        <v>187</v>
      </c>
    </row>
    <row r="284" spans="1:15">
      <c r="A284" s="137" t="s">
        <v>90</v>
      </c>
      <c r="B284" s="800">
        <f t="shared" si="97"/>
        <v>103916.27814464596</v>
      </c>
      <c r="C284" s="800">
        <f t="shared" si="98"/>
        <v>226682.19127050322</v>
      </c>
      <c r="D284" s="800">
        <f t="shared" si="99"/>
        <v>301393.70247166848</v>
      </c>
      <c r="E284" s="800">
        <f t="shared" si="100"/>
        <v>360721.49170943751</v>
      </c>
      <c r="F284" s="800">
        <f t="shared" si="101"/>
        <v>418664.18401092757</v>
      </c>
      <c r="G284" s="800">
        <f t="shared" si="102"/>
        <v>480500.86897074652</v>
      </c>
      <c r="H284" s="800">
        <f t="shared" si="103"/>
        <v>529042.39144113776</v>
      </c>
      <c r="I284" s="800">
        <f t="shared" si="104"/>
        <v>571600.83947072295</v>
      </c>
      <c r="J284" s="800">
        <f t="shared" si="105"/>
        <v>597959.27304298733</v>
      </c>
      <c r="K284" s="800">
        <f t="shared" si="106"/>
        <v>616379.64704296808</v>
      </c>
      <c r="L284" s="800">
        <f t="shared" si="107"/>
        <v>638512.68611417105</v>
      </c>
      <c r="M284" s="800">
        <f t="shared" si="108"/>
        <v>661650.40999999992</v>
      </c>
      <c r="N284" s="800" t="s">
        <v>166</v>
      </c>
      <c r="O284" s="800" t="s">
        <v>187</v>
      </c>
    </row>
    <row r="285" spans="1:15">
      <c r="A285" s="137" t="s">
        <v>91</v>
      </c>
      <c r="B285" s="800">
        <f t="shared" si="97"/>
        <v>127508.0893286763</v>
      </c>
      <c r="C285" s="800">
        <f t="shared" si="98"/>
        <v>277217.79911494016</v>
      </c>
      <c r="D285" s="800">
        <f t="shared" si="99"/>
        <v>365066.33151932032</v>
      </c>
      <c r="E285" s="800">
        <f t="shared" si="100"/>
        <v>432494.62277910759</v>
      </c>
      <c r="F285" s="800">
        <f t="shared" si="101"/>
        <v>496798.98558560689</v>
      </c>
      <c r="G285" s="800">
        <f t="shared" si="102"/>
        <v>566409.94078574644</v>
      </c>
      <c r="H285" s="800">
        <f t="shared" si="103"/>
        <v>621808.66165941162</v>
      </c>
      <c r="I285" s="800">
        <f t="shared" si="104"/>
        <v>679694.25073389709</v>
      </c>
      <c r="J285" s="800">
        <f t="shared" si="105"/>
        <v>716368.12862695311</v>
      </c>
      <c r="K285" s="800">
        <f t="shared" si="106"/>
        <v>738403.89273441141</v>
      </c>
      <c r="L285" s="800">
        <f t="shared" si="107"/>
        <v>762778.51973904239</v>
      </c>
      <c r="M285" s="800">
        <f t="shared" si="108"/>
        <v>789002.26</v>
      </c>
      <c r="N285" s="800" t="s">
        <v>166</v>
      </c>
      <c r="O285" s="800" t="s">
        <v>187</v>
      </c>
    </row>
    <row r="286" spans="1:15">
      <c r="A286" s="137" t="s">
        <v>92</v>
      </c>
      <c r="B286" s="800">
        <f t="shared" si="97"/>
        <v>766412.21590760478</v>
      </c>
      <c r="C286" s="800">
        <f t="shared" si="98"/>
        <v>1486439.1330440757</v>
      </c>
      <c r="D286" s="800">
        <f t="shared" si="99"/>
        <v>1919003.852426179</v>
      </c>
      <c r="E286" s="800">
        <f t="shared" si="100"/>
        <v>2234308.6268059383</v>
      </c>
      <c r="F286" s="800">
        <f t="shared" si="101"/>
        <v>2559596.3927326361</v>
      </c>
      <c r="G286" s="800">
        <f t="shared" si="102"/>
        <v>2871414.5669867401</v>
      </c>
      <c r="H286" s="800">
        <f t="shared" si="103"/>
        <v>3118001.0823072293</v>
      </c>
      <c r="I286" s="800">
        <f t="shared" si="104"/>
        <v>3328851.8601142913</v>
      </c>
      <c r="J286" s="800">
        <f t="shared" si="105"/>
        <v>3433726.3182882727</v>
      </c>
      <c r="K286" s="800">
        <f t="shared" si="106"/>
        <v>3508561.629445204</v>
      </c>
      <c r="L286" s="800">
        <f t="shared" si="107"/>
        <v>3594048.9736840241</v>
      </c>
      <c r="M286" s="800">
        <f t="shared" si="108"/>
        <v>3699470.39</v>
      </c>
      <c r="N286" s="800" t="s">
        <v>166</v>
      </c>
      <c r="O286" s="800" t="s">
        <v>187</v>
      </c>
    </row>
    <row r="287" spans="1:15">
      <c r="A287" s="137" t="s">
        <v>93</v>
      </c>
      <c r="B287" s="800">
        <f t="shared" si="97"/>
        <v>265927.66895695875</v>
      </c>
      <c r="C287" s="800">
        <f t="shared" si="98"/>
        <v>577985.22034422052</v>
      </c>
      <c r="D287" s="800">
        <f t="shared" si="99"/>
        <v>746427.689629448</v>
      </c>
      <c r="E287" s="800">
        <f t="shared" si="100"/>
        <v>874316.31071525638</v>
      </c>
      <c r="F287" s="800">
        <f t="shared" si="101"/>
        <v>989401.61990722944</v>
      </c>
      <c r="G287" s="800">
        <f t="shared" si="102"/>
        <v>1107050.9915660173</v>
      </c>
      <c r="H287" s="800">
        <f t="shared" si="103"/>
        <v>1203748.6245051422</v>
      </c>
      <c r="I287" s="800">
        <f t="shared" si="104"/>
        <v>1292666.8998374261</v>
      </c>
      <c r="J287" s="800">
        <f t="shared" si="105"/>
        <v>1350105.3900168634</v>
      </c>
      <c r="K287" s="800">
        <f t="shared" si="106"/>
        <v>1386763.5368465518</v>
      </c>
      <c r="L287" s="800">
        <f t="shared" si="107"/>
        <v>1425376.8609754469</v>
      </c>
      <c r="M287" s="800">
        <f t="shared" si="108"/>
        <v>1472090.38</v>
      </c>
      <c r="N287" s="800" t="s">
        <v>166</v>
      </c>
      <c r="O287" s="800" t="s">
        <v>187</v>
      </c>
    </row>
    <row r="288" spans="1:15">
      <c r="A288" s="137" t="s">
        <v>94</v>
      </c>
      <c r="B288" s="800">
        <f t="shared" si="97"/>
        <v>85498.041968480728</v>
      </c>
      <c r="C288" s="800">
        <f t="shared" si="98"/>
        <v>164198.24936875582</v>
      </c>
      <c r="D288" s="800">
        <f t="shared" si="99"/>
        <v>208703.27743869592</v>
      </c>
      <c r="E288" s="800">
        <f t="shared" si="100"/>
        <v>242062.56627611705</v>
      </c>
      <c r="F288" s="800">
        <f t="shared" si="101"/>
        <v>279170.82581188437</v>
      </c>
      <c r="G288" s="800">
        <f t="shared" si="102"/>
        <v>321245.59509501979</v>
      </c>
      <c r="H288" s="800">
        <f t="shared" si="103"/>
        <v>354987.93752828595</v>
      </c>
      <c r="I288" s="800">
        <f t="shared" si="104"/>
        <v>386905.71950738208</v>
      </c>
      <c r="J288" s="800">
        <f t="shared" si="105"/>
        <v>405835.62127033679</v>
      </c>
      <c r="K288" s="800">
        <f t="shared" si="106"/>
        <v>415957.61794993398</v>
      </c>
      <c r="L288" s="800">
        <f t="shared" si="107"/>
        <v>428316.0740219166</v>
      </c>
      <c r="M288" s="800">
        <f t="shared" si="108"/>
        <v>441365.22</v>
      </c>
      <c r="N288" s="800" t="s">
        <v>166</v>
      </c>
      <c r="O288" s="800" t="s">
        <v>187</v>
      </c>
    </row>
    <row r="289" spans="1:15">
      <c r="A289" s="137" t="s">
        <v>95</v>
      </c>
      <c r="B289" s="800">
        <f t="shared" si="97"/>
        <v>975134.08487597911</v>
      </c>
      <c r="C289" s="800">
        <f t="shared" si="98"/>
        <v>1901138.3866626285</v>
      </c>
      <c r="D289" s="800">
        <f t="shared" si="99"/>
        <v>2365724.2205006094</v>
      </c>
      <c r="E289" s="800">
        <f t="shared" si="100"/>
        <v>2680663.4788278108</v>
      </c>
      <c r="F289" s="800">
        <f t="shared" si="101"/>
        <v>3028536.3180848449</v>
      </c>
      <c r="G289" s="800">
        <f t="shared" si="102"/>
        <v>3405518.5882628509</v>
      </c>
      <c r="H289" s="800">
        <f t="shared" si="103"/>
        <v>3758494.6367347781</v>
      </c>
      <c r="I289" s="800">
        <f t="shared" si="104"/>
        <v>4040147.7908188645</v>
      </c>
      <c r="J289" s="800">
        <f t="shared" si="105"/>
        <v>4211285.9496548418</v>
      </c>
      <c r="K289" s="800">
        <f t="shared" si="106"/>
        <v>4320871.0145568624</v>
      </c>
      <c r="L289" s="800">
        <f t="shared" si="107"/>
        <v>4434449.000044534</v>
      </c>
      <c r="M289" s="800">
        <f t="shared" si="108"/>
        <v>4562590.3600000003</v>
      </c>
      <c r="N289" s="800" t="s">
        <v>166</v>
      </c>
      <c r="O289" s="800" t="s">
        <v>187</v>
      </c>
    </row>
    <row r="290" spans="1:15">
      <c r="A290" s="137" t="s">
        <v>96</v>
      </c>
      <c r="B290" s="800">
        <f t="shared" si="97"/>
        <v>105221.57573346201</v>
      </c>
      <c r="C290" s="800">
        <f t="shared" si="98"/>
        <v>244898.55841465641</v>
      </c>
      <c r="D290" s="800">
        <f t="shared" si="99"/>
        <v>334093.31418393296</v>
      </c>
      <c r="E290" s="800">
        <f t="shared" si="100"/>
        <v>397001.57333642489</v>
      </c>
      <c r="F290" s="800">
        <f t="shared" si="101"/>
        <v>459036.12199559348</v>
      </c>
      <c r="G290" s="800">
        <f t="shared" si="102"/>
        <v>521250.66811846313</v>
      </c>
      <c r="H290" s="800">
        <f t="shared" si="103"/>
        <v>570741.97148133151</v>
      </c>
      <c r="I290" s="800">
        <f t="shared" si="104"/>
        <v>616998.72069903743</v>
      </c>
      <c r="J290" s="800">
        <f t="shared" si="105"/>
        <v>642704.2051926133</v>
      </c>
      <c r="K290" s="800">
        <f t="shared" si="106"/>
        <v>657012.90514436772</v>
      </c>
      <c r="L290" s="800">
        <f t="shared" si="107"/>
        <v>673824.07951457601</v>
      </c>
      <c r="M290" s="800">
        <f t="shared" si="108"/>
        <v>694746.1</v>
      </c>
      <c r="N290" s="800" t="s">
        <v>166</v>
      </c>
      <c r="O290" s="800" t="s">
        <v>187</v>
      </c>
    </row>
    <row r="291" spans="1:15">
      <c r="A291" s="137" t="s">
        <v>97</v>
      </c>
      <c r="B291" s="800">
        <f t="shared" si="97"/>
        <v>962237.44408097572</v>
      </c>
      <c r="C291" s="800">
        <f t="shared" si="98"/>
        <v>1966310.577925615</v>
      </c>
      <c r="D291" s="800">
        <f t="shared" si="99"/>
        <v>2482173.4075068878</v>
      </c>
      <c r="E291" s="800">
        <f t="shared" si="100"/>
        <v>2879761.9246168295</v>
      </c>
      <c r="F291" s="800">
        <f t="shared" si="101"/>
        <v>3278780.1841372647</v>
      </c>
      <c r="G291" s="800">
        <f t="shared" si="102"/>
        <v>3689919.916904171</v>
      </c>
      <c r="H291" s="800">
        <f t="shared" si="103"/>
        <v>3968586.5349124162</v>
      </c>
      <c r="I291" s="800">
        <f t="shared" si="104"/>
        <v>4232430.3069269462</v>
      </c>
      <c r="J291" s="800">
        <f t="shared" si="105"/>
        <v>4374377.3118497944</v>
      </c>
      <c r="K291" s="800">
        <f t="shared" si="106"/>
        <v>4477060.4940977031</v>
      </c>
      <c r="L291" s="800">
        <f t="shared" si="107"/>
        <v>4588078.2698408868</v>
      </c>
      <c r="M291" s="800">
        <f t="shared" si="108"/>
        <v>4736160.08</v>
      </c>
      <c r="N291" s="800" t="s">
        <v>166</v>
      </c>
      <c r="O291" s="800" t="s">
        <v>187</v>
      </c>
    </row>
    <row r="292" spans="1:15">
      <c r="A292" s="137" t="s">
        <v>98</v>
      </c>
      <c r="B292" s="800">
        <f t="shared" si="97"/>
        <v>57477.313180153396</v>
      </c>
      <c r="C292" s="800">
        <f t="shared" si="98"/>
        <v>110781.81625299442</v>
      </c>
      <c r="D292" s="800">
        <f t="shared" si="99"/>
        <v>151891.99398167603</v>
      </c>
      <c r="E292" s="800">
        <f t="shared" si="100"/>
        <v>183244.94080216449</v>
      </c>
      <c r="F292" s="800">
        <f t="shared" si="101"/>
        <v>215897.48705842879</v>
      </c>
      <c r="G292" s="800">
        <f t="shared" si="102"/>
        <v>257578.54156568655</v>
      </c>
      <c r="H292" s="800">
        <f t="shared" si="103"/>
        <v>288646.48486585816</v>
      </c>
      <c r="I292" s="800">
        <f t="shared" si="104"/>
        <v>310607.09768550692</v>
      </c>
      <c r="J292" s="800">
        <f t="shared" si="105"/>
        <v>324767.52031209302</v>
      </c>
      <c r="K292" s="800">
        <f t="shared" si="106"/>
        <v>335510.41699414485</v>
      </c>
      <c r="L292" s="800">
        <f t="shared" si="107"/>
        <v>345730.86595693167</v>
      </c>
      <c r="M292" s="800">
        <f t="shared" si="108"/>
        <v>357610.5</v>
      </c>
      <c r="N292" s="800" t="s">
        <v>166</v>
      </c>
      <c r="O292" s="800" t="s">
        <v>187</v>
      </c>
    </row>
    <row r="293" spans="1:15">
      <c r="A293" s="137" t="s">
        <v>99</v>
      </c>
      <c r="B293" s="800">
        <f t="shared" si="97"/>
        <v>10877.650614938409</v>
      </c>
      <c r="C293" s="800">
        <f t="shared" si="98"/>
        <v>23242.795083194153</v>
      </c>
      <c r="D293" s="800">
        <f t="shared" si="99"/>
        <v>29618.970386717381</v>
      </c>
      <c r="E293" s="800">
        <f t="shared" si="100"/>
        <v>34905.06606682673</v>
      </c>
      <c r="F293" s="800">
        <f t="shared" si="101"/>
        <v>40167.402950809679</v>
      </c>
      <c r="G293" s="800">
        <f t="shared" si="102"/>
        <v>44106.23743513567</v>
      </c>
      <c r="H293" s="800">
        <f t="shared" si="103"/>
        <v>48855.2092913866</v>
      </c>
      <c r="I293" s="800">
        <f t="shared" si="104"/>
        <v>52334.333287586458</v>
      </c>
      <c r="J293" s="800">
        <f t="shared" si="105"/>
        <v>54865.395787131281</v>
      </c>
      <c r="K293" s="800">
        <f t="shared" si="106"/>
        <v>56674.81874353085</v>
      </c>
      <c r="L293" s="800">
        <f t="shared" si="107"/>
        <v>59234.205028662676</v>
      </c>
      <c r="M293" s="800">
        <f t="shared" si="108"/>
        <v>60890.82</v>
      </c>
      <c r="N293" s="800" t="s">
        <v>166</v>
      </c>
      <c r="O293" s="800" t="s">
        <v>187</v>
      </c>
    </row>
    <row r="294" spans="1:15">
      <c r="A294" s="137" t="s">
        <v>100</v>
      </c>
      <c r="B294" s="800">
        <f t="shared" si="97"/>
        <v>609097.47613012837</v>
      </c>
      <c r="C294" s="800">
        <f t="shared" si="98"/>
        <v>1377923.0871943163</v>
      </c>
      <c r="D294" s="800">
        <f t="shared" si="99"/>
        <v>1761370.0533659626</v>
      </c>
      <c r="E294" s="800">
        <f t="shared" si="100"/>
        <v>2051128.6840135599</v>
      </c>
      <c r="F294" s="800">
        <f t="shared" si="101"/>
        <v>2337296.0407096967</v>
      </c>
      <c r="G294" s="800">
        <f t="shared" si="102"/>
        <v>2635566.0117196944</v>
      </c>
      <c r="H294" s="800">
        <f t="shared" si="103"/>
        <v>2834934.8106352082</v>
      </c>
      <c r="I294" s="800">
        <f t="shared" si="104"/>
        <v>3024321.1891502975</v>
      </c>
      <c r="J294" s="800">
        <f t="shared" si="105"/>
        <v>3114049.3753235331</v>
      </c>
      <c r="K294" s="800">
        <f t="shared" si="106"/>
        <v>3177480.9250568273</v>
      </c>
      <c r="L294" s="800">
        <f t="shared" si="107"/>
        <v>3242176.8889406919</v>
      </c>
      <c r="M294" s="800">
        <f t="shared" si="108"/>
        <v>3316553.47</v>
      </c>
      <c r="N294" s="800" t="s">
        <v>166</v>
      </c>
      <c r="O294" s="800" t="s">
        <v>187</v>
      </c>
    </row>
    <row r="295" spans="1:15">
      <c r="A295" s="137" t="s">
        <v>101</v>
      </c>
      <c r="B295" s="800">
        <f t="shared" si="97"/>
        <v>3618700.9196806261</v>
      </c>
      <c r="C295" s="800">
        <f t="shared" si="98"/>
        <v>7109756.921654298</v>
      </c>
      <c r="D295" s="800">
        <f t="shared" si="99"/>
        <v>9044298.4664923195</v>
      </c>
      <c r="E295" s="800">
        <f t="shared" si="100"/>
        <v>10393414.570731321</v>
      </c>
      <c r="F295" s="800">
        <f t="shared" si="101"/>
        <v>11747843.437883783</v>
      </c>
      <c r="G295" s="800">
        <f t="shared" si="102"/>
        <v>13082349.77604961</v>
      </c>
      <c r="H295" s="800">
        <f t="shared" si="103"/>
        <v>14119342.732625039</v>
      </c>
      <c r="I295" s="800">
        <f t="shared" si="104"/>
        <v>15007247.02793882</v>
      </c>
      <c r="J295" s="800">
        <f t="shared" si="105"/>
        <v>15511602.651640741</v>
      </c>
      <c r="K295" s="800">
        <f t="shared" si="106"/>
        <v>15866849.336393911</v>
      </c>
      <c r="L295" s="800">
        <f t="shared" si="107"/>
        <v>16310444.151713392</v>
      </c>
      <c r="M295" s="800">
        <f t="shared" si="108"/>
        <v>16795375.52</v>
      </c>
      <c r="N295" s="800" t="s">
        <v>166</v>
      </c>
      <c r="O295" s="800" t="s">
        <v>187</v>
      </c>
    </row>
    <row r="296" spans="1:15">
      <c r="A296" s="137" t="s">
        <v>102</v>
      </c>
      <c r="B296" s="800">
        <f t="shared" si="97"/>
        <v>68135.929869214015</v>
      </c>
      <c r="C296" s="800">
        <f t="shared" si="98"/>
        <v>150350.42454933407</v>
      </c>
      <c r="D296" s="800">
        <f t="shared" si="99"/>
        <v>200995.60928439823</v>
      </c>
      <c r="E296" s="800">
        <f t="shared" si="100"/>
        <v>238194.37947674899</v>
      </c>
      <c r="F296" s="800">
        <f t="shared" si="101"/>
        <v>275162.45697338635</v>
      </c>
      <c r="G296" s="800">
        <f t="shared" si="102"/>
        <v>316330.59096561791</v>
      </c>
      <c r="H296" s="800">
        <f t="shared" si="103"/>
        <v>353847.88518091204</v>
      </c>
      <c r="I296" s="800">
        <f t="shared" si="104"/>
        <v>383097.41143780772</v>
      </c>
      <c r="J296" s="800">
        <f t="shared" si="105"/>
        <v>401032.45499641291</v>
      </c>
      <c r="K296" s="800">
        <f t="shared" si="106"/>
        <v>412535.7492890018</v>
      </c>
      <c r="L296" s="800">
        <f t="shared" si="107"/>
        <v>425077.03745736269</v>
      </c>
      <c r="M296" s="800">
        <f t="shared" si="108"/>
        <v>437802.01</v>
      </c>
      <c r="N296" s="800" t="s">
        <v>166</v>
      </c>
      <c r="O296" s="800" t="s">
        <v>187</v>
      </c>
    </row>
    <row r="297" spans="1:15">
      <c r="A297" s="137" t="s">
        <v>103</v>
      </c>
      <c r="B297" s="800">
        <f t="shared" si="97"/>
        <v>25395.880986718206</v>
      </c>
      <c r="C297" s="800">
        <f t="shared" si="98"/>
        <v>64665.992547640657</v>
      </c>
      <c r="D297" s="800">
        <f t="shared" si="99"/>
        <v>95697.596208965013</v>
      </c>
      <c r="E297" s="800">
        <f t="shared" si="100"/>
        <v>115197.32145156845</v>
      </c>
      <c r="F297" s="800">
        <f t="shared" si="101"/>
        <v>135929.26466559092</v>
      </c>
      <c r="G297" s="800">
        <f t="shared" si="102"/>
        <v>158823.16114073759</v>
      </c>
      <c r="H297" s="800">
        <f t="shared" si="103"/>
        <v>177545.19201896185</v>
      </c>
      <c r="I297" s="800">
        <f t="shared" si="104"/>
        <v>198069.91256692898</v>
      </c>
      <c r="J297" s="800">
        <f t="shared" si="105"/>
        <v>208083.50805512772</v>
      </c>
      <c r="K297" s="800">
        <f t="shared" si="106"/>
        <v>215455.99897927357</v>
      </c>
      <c r="L297" s="800">
        <f t="shared" si="107"/>
        <v>220887.86862512195</v>
      </c>
      <c r="M297" s="800">
        <f t="shared" si="108"/>
        <v>228245</v>
      </c>
      <c r="N297" s="800" t="s">
        <v>166</v>
      </c>
      <c r="O297" s="800" t="s">
        <v>187</v>
      </c>
    </row>
    <row r="298" spans="1:15">
      <c r="A298" s="137" t="s">
        <v>77</v>
      </c>
      <c r="B298" s="800">
        <f t="shared" ref="B298:M298" si="109">B5</f>
        <v>22378.428610677849</v>
      </c>
      <c r="C298" s="800">
        <f t="shared" si="109"/>
        <v>74689.888809603071</v>
      </c>
      <c r="D298" s="800">
        <f t="shared" si="109"/>
        <v>105483.46752764157</v>
      </c>
      <c r="E298" s="800">
        <f t="shared" si="109"/>
        <v>130434.51365521898</v>
      </c>
      <c r="F298" s="800">
        <f t="shared" si="109"/>
        <v>157906.2337847118</v>
      </c>
      <c r="G298" s="800">
        <f t="shared" si="109"/>
        <v>188629.12275176067</v>
      </c>
      <c r="H298" s="800">
        <f t="shared" si="109"/>
        <v>214865.77201609363</v>
      </c>
      <c r="I298" s="800">
        <f t="shared" si="109"/>
        <v>237608.61132361344</v>
      </c>
      <c r="J298" s="800">
        <f t="shared" si="109"/>
        <v>251665.13575219706</v>
      </c>
      <c r="K298" s="800">
        <f t="shared" si="109"/>
        <v>259395.87022012338</v>
      </c>
      <c r="L298" s="800">
        <f t="shared" si="109"/>
        <v>268175.07709166553</v>
      </c>
      <c r="M298" s="800">
        <f t="shared" si="109"/>
        <v>278482.73</v>
      </c>
      <c r="N298" s="800" t="s">
        <v>214</v>
      </c>
      <c r="O298" s="800" t="s">
        <v>187</v>
      </c>
    </row>
    <row r="299" spans="1:15">
      <c r="A299" s="137" t="s">
        <v>78</v>
      </c>
      <c r="B299" s="800">
        <f t="shared" ref="B299:M299" si="110">B6</f>
        <v>157144.44671960222</v>
      </c>
      <c r="C299" s="800">
        <f t="shared" si="110"/>
        <v>332527.24337199103</v>
      </c>
      <c r="D299" s="800">
        <f t="shared" si="110"/>
        <v>418276.1724244518</v>
      </c>
      <c r="E299" s="800">
        <f t="shared" si="110"/>
        <v>490766.72767700936</v>
      </c>
      <c r="F299" s="800">
        <f t="shared" si="110"/>
        <v>558687.8635586435</v>
      </c>
      <c r="G299" s="800">
        <f t="shared" si="110"/>
        <v>621128.06406906212</v>
      </c>
      <c r="H299" s="800">
        <f t="shared" si="110"/>
        <v>678229.90623210487</v>
      </c>
      <c r="I299" s="800">
        <f t="shared" si="110"/>
        <v>733228.18751478277</v>
      </c>
      <c r="J299" s="800">
        <f t="shared" si="110"/>
        <v>760989.88191818749</v>
      </c>
      <c r="K299" s="800">
        <f t="shared" si="110"/>
        <v>781898.19366629515</v>
      </c>
      <c r="L299" s="800">
        <f t="shared" si="110"/>
        <v>805291.05690346332</v>
      </c>
      <c r="M299" s="800">
        <f t="shared" si="110"/>
        <v>837413.81</v>
      </c>
      <c r="N299" s="800" t="s">
        <v>214</v>
      </c>
      <c r="O299" s="800" t="s">
        <v>187</v>
      </c>
    </row>
    <row r="300" spans="1:15">
      <c r="A300" s="137" t="s">
        <v>79</v>
      </c>
      <c r="B300" s="800">
        <f t="shared" ref="B300:M300" si="111">B7</f>
        <v>45807.196720501575</v>
      </c>
      <c r="C300" s="800">
        <f t="shared" si="111"/>
        <v>99410.361666960627</v>
      </c>
      <c r="D300" s="800">
        <f t="shared" si="111"/>
        <v>141417.1905003342</v>
      </c>
      <c r="E300" s="800">
        <f t="shared" si="111"/>
        <v>173495.71028916759</v>
      </c>
      <c r="F300" s="800">
        <f t="shared" si="111"/>
        <v>207134.52016685219</v>
      </c>
      <c r="G300" s="800">
        <f t="shared" si="111"/>
        <v>244993.80523840111</v>
      </c>
      <c r="H300" s="800">
        <f t="shared" si="111"/>
        <v>279618.20248932939</v>
      </c>
      <c r="I300" s="800">
        <f t="shared" si="111"/>
        <v>312855.09347615647</v>
      </c>
      <c r="J300" s="800">
        <f t="shared" si="111"/>
        <v>328691.61790518888</v>
      </c>
      <c r="K300" s="800">
        <f t="shared" si="111"/>
        <v>336846.2120246212</v>
      </c>
      <c r="L300" s="800">
        <f t="shared" si="111"/>
        <v>347025.31073165388</v>
      </c>
      <c r="M300" s="800">
        <f t="shared" si="111"/>
        <v>360617.41000000003</v>
      </c>
      <c r="N300" s="800" t="s">
        <v>214</v>
      </c>
      <c r="O300" s="800" t="s">
        <v>187</v>
      </c>
    </row>
    <row r="301" spans="1:15">
      <c r="A301" s="137" t="s">
        <v>80</v>
      </c>
      <c r="B301" s="800">
        <f t="shared" ref="B301:M301" si="112">B8</f>
        <v>116264.65790422134</v>
      </c>
      <c r="C301" s="800">
        <f t="shared" si="112"/>
        <v>259103.9074887865</v>
      </c>
      <c r="D301" s="800">
        <f t="shared" si="112"/>
        <v>381405.15724962571</v>
      </c>
      <c r="E301" s="800">
        <f t="shared" si="112"/>
        <v>477432.25596558308</v>
      </c>
      <c r="F301" s="800">
        <f t="shared" si="112"/>
        <v>579765.97836162581</v>
      </c>
      <c r="G301" s="800">
        <f t="shared" si="112"/>
        <v>687409.25645981974</v>
      </c>
      <c r="H301" s="800">
        <f t="shared" si="112"/>
        <v>761206.41650265537</v>
      </c>
      <c r="I301" s="800">
        <f t="shared" si="112"/>
        <v>834926.07756183471</v>
      </c>
      <c r="J301" s="800">
        <f t="shared" si="112"/>
        <v>875754.80387370428</v>
      </c>
      <c r="K301" s="800">
        <f t="shared" si="112"/>
        <v>905360.50014891312</v>
      </c>
      <c r="L301" s="800">
        <f t="shared" si="112"/>
        <v>932855.24956091482</v>
      </c>
      <c r="M301" s="800">
        <f t="shared" si="112"/>
        <v>967502.23</v>
      </c>
      <c r="N301" s="800" t="s">
        <v>214</v>
      </c>
      <c r="O301" s="800" t="s">
        <v>187</v>
      </c>
    </row>
    <row r="302" spans="1:15">
      <c r="A302" s="137" t="s">
        <v>81</v>
      </c>
      <c r="B302" s="800">
        <f t="shared" ref="B302:M302" si="113">B9</f>
        <v>428180.72426166118</v>
      </c>
      <c r="C302" s="800">
        <f t="shared" si="113"/>
        <v>935246.38798494695</v>
      </c>
      <c r="D302" s="800">
        <f t="shared" si="113"/>
        <v>1221118.3551140304</v>
      </c>
      <c r="E302" s="800">
        <f t="shared" si="113"/>
        <v>1435878.8902534351</v>
      </c>
      <c r="F302" s="800">
        <f t="shared" si="113"/>
        <v>1639221.0738408361</v>
      </c>
      <c r="G302" s="800">
        <f t="shared" si="113"/>
        <v>1860678.3003409994</v>
      </c>
      <c r="H302" s="800">
        <f t="shared" si="113"/>
        <v>2042516.8428486756</v>
      </c>
      <c r="I302" s="800">
        <f t="shared" si="113"/>
        <v>2217718.9527617358</v>
      </c>
      <c r="J302" s="800">
        <f t="shared" si="113"/>
        <v>2322730.881970997</v>
      </c>
      <c r="K302" s="800">
        <f t="shared" si="113"/>
        <v>2389155.0983066275</v>
      </c>
      <c r="L302" s="800">
        <f t="shared" si="113"/>
        <v>2468547.7198471697</v>
      </c>
      <c r="M302" s="800">
        <f t="shared" si="113"/>
        <v>2547294.12</v>
      </c>
      <c r="N302" s="800" t="s">
        <v>214</v>
      </c>
      <c r="O302" s="800" t="s">
        <v>187</v>
      </c>
    </row>
    <row r="303" spans="1:15">
      <c r="A303" s="137" t="s">
        <v>82</v>
      </c>
      <c r="B303" s="800">
        <f t="shared" ref="B303:M303" si="114">B10</f>
        <v>364882.89010533423</v>
      </c>
      <c r="C303" s="800">
        <f t="shared" si="114"/>
        <v>672860.29919048224</v>
      </c>
      <c r="D303" s="800">
        <f t="shared" si="114"/>
        <v>849102.38737490424</v>
      </c>
      <c r="E303" s="800">
        <f t="shared" si="114"/>
        <v>978503.6107711693</v>
      </c>
      <c r="F303" s="800">
        <f t="shared" si="114"/>
        <v>1106690.489049606</v>
      </c>
      <c r="G303" s="800">
        <f t="shared" si="114"/>
        <v>1254592.0009784203</v>
      </c>
      <c r="H303" s="800">
        <f t="shared" si="114"/>
        <v>1386591.2710296558</v>
      </c>
      <c r="I303" s="800">
        <f t="shared" si="114"/>
        <v>1494440.2062455327</v>
      </c>
      <c r="J303" s="800">
        <f t="shared" si="114"/>
        <v>1562143.1998137031</v>
      </c>
      <c r="K303" s="800">
        <f t="shared" si="114"/>
        <v>1606956.5068472952</v>
      </c>
      <c r="L303" s="800">
        <f t="shared" si="114"/>
        <v>1651637.3542685767</v>
      </c>
      <c r="M303" s="800">
        <f t="shared" si="114"/>
        <v>1694723.2000000002</v>
      </c>
      <c r="N303" s="800" t="s">
        <v>214</v>
      </c>
      <c r="O303" s="800" t="s">
        <v>187</v>
      </c>
    </row>
    <row r="304" spans="1:15">
      <c r="A304" s="137" t="s">
        <v>83</v>
      </c>
      <c r="B304" s="800">
        <f t="shared" ref="B304:M304" si="115">B11</f>
        <v>456083.04467373242</v>
      </c>
      <c r="C304" s="800">
        <f t="shared" si="115"/>
        <v>1092580.8958882098</v>
      </c>
      <c r="D304" s="800">
        <f t="shared" si="115"/>
        <v>1390904.8180232882</v>
      </c>
      <c r="E304" s="800">
        <f t="shared" si="115"/>
        <v>1618856.0613608693</v>
      </c>
      <c r="F304" s="800">
        <f t="shared" si="115"/>
        <v>1813534.0498039648</v>
      </c>
      <c r="G304" s="800">
        <f t="shared" si="115"/>
        <v>2028047.9555616095</v>
      </c>
      <c r="H304" s="800">
        <f t="shared" si="115"/>
        <v>2173029.3996128845</v>
      </c>
      <c r="I304" s="800">
        <f t="shared" si="115"/>
        <v>2317095.8464550739</v>
      </c>
      <c r="J304" s="800">
        <f t="shared" si="115"/>
        <v>2395184.4699525139</v>
      </c>
      <c r="K304" s="800">
        <f t="shared" si="115"/>
        <v>2446019.442700367</v>
      </c>
      <c r="L304" s="800">
        <f t="shared" si="115"/>
        <v>2505775.2407501754</v>
      </c>
      <c r="M304" s="800">
        <f t="shared" si="115"/>
        <v>2566672.96</v>
      </c>
      <c r="N304" s="800" t="s">
        <v>214</v>
      </c>
      <c r="O304" s="800" t="s">
        <v>187</v>
      </c>
    </row>
    <row r="305" spans="1:15">
      <c r="A305" s="137" t="s">
        <v>84</v>
      </c>
      <c r="B305" s="800">
        <f t="shared" ref="B305:M305" si="116">B12</f>
        <v>243260.94643998623</v>
      </c>
      <c r="C305" s="800">
        <f t="shared" si="116"/>
        <v>613447.80828021269</v>
      </c>
      <c r="D305" s="800">
        <f t="shared" si="116"/>
        <v>770644.48574115592</v>
      </c>
      <c r="E305" s="800">
        <f t="shared" si="116"/>
        <v>892661.46259982639</v>
      </c>
      <c r="F305" s="800">
        <f t="shared" si="116"/>
        <v>1004239.8220108013</v>
      </c>
      <c r="G305" s="800">
        <f t="shared" si="116"/>
        <v>1120090.5990629625</v>
      </c>
      <c r="H305" s="800">
        <f t="shared" si="116"/>
        <v>1214829.5829809583</v>
      </c>
      <c r="I305" s="800">
        <f t="shared" si="116"/>
        <v>1316217.8605788918</v>
      </c>
      <c r="J305" s="800">
        <f t="shared" si="116"/>
        <v>1367374.2429019795</v>
      </c>
      <c r="K305" s="800">
        <f t="shared" si="116"/>
        <v>1404684.8281519397</v>
      </c>
      <c r="L305" s="800">
        <f t="shared" si="116"/>
        <v>1436860.4305890889</v>
      </c>
      <c r="M305" s="800">
        <f t="shared" si="116"/>
        <v>1478469.8900000001</v>
      </c>
      <c r="N305" s="800" t="s">
        <v>214</v>
      </c>
      <c r="O305" s="800" t="s">
        <v>187</v>
      </c>
    </row>
    <row r="306" spans="1:15">
      <c r="A306" s="137" t="s">
        <v>85</v>
      </c>
      <c r="B306" s="800">
        <f t="shared" ref="B306:M306" si="117">B13</f>
        <v>321859.86773069977</v>
      </c>
      <c r="C306" s="800">
        <f t="shared" si="117"/>
        <v>745853.91576471331</v>
      </c>
      <c r="D306" s="800">
        <f t="shared" si="117"/>
        <v>979061.46443540324</v>
      </c>
      <c r="E306" s="800">
        <f t="shared" si="117"/>
        <v>1157829.7597814084</v>
      </c>
      <c r="F306" s="800">
        <f t="shared" si="117"/>
        <v>1343051.3956833489</v>
      </c>
      <c r="G306" s="800">
        <f t="shared" si="117"/>
        <v>1533259.0222750145</v>
      </c>
      <c r="H306" s="800">
        <f t="shared" si="117"/>
        <v>1670959.1729740403</v>
      </c>
      <c r="I306" s="800">
        <f t="shared" si="117"/>
        <v>1799061.6352435204</v>
      </c>
      <c r="J306" s="800">
        <f t="shared" si="117"/>
        <v>1874806.4453465459</v>
      </c>
      <c r="K306" s="800">
        <f t="shared" si="117"/>
        <v>1925083.6209130627</v>
      </c>
      <c r="L306" s="800">
        <f t="shared" si="117"/>
        <v>1976352.4998429371</v>
      </c>
      <c r="M306" s="800">
        <f t="shared" si="117"/>
        <v>2035863.61</v>
      </c>
      <c r="N306" s="800" t="s">
        <v>214</v>
      </c>
      <c r="O306" s="800" t="s">
        <v>187</v>
      </c>
    </row>
    <row r="307" spans="1:15">
      <c r="A307" s="137" t="s">
        <v>86</v>
      </c>
      <c r="B307" s="800">
        <f t="shared" ref="B307:M307" si="118">B14</f>
        <v>134850.8283162055</v>
      </c>
      <c r="C307" s="800">
        <f t="shared" si="118"/>
        <v>284678.28478850564</v>
      </c>
      <c r="D307" s="800">
        <f t="shared" si="118"/>
        <v>383975.81254679541</v>
      </c>
      <c r="E307" s="800">
        <f t="shared" si="118"/>
        <v>461302.82770736056</v>
      </c>
      <c r="F307" s="800">
        <f t="shared" si="118"/>
        <v>529372.90229600808</v>
      </c>
      <c r="G307" s="800">
        <f t="shared" si="118"/>
        <v>610610.67071634345</v>
      </c>
      <c r="H307" s="800">
        <f t="shared" si="118"/>
        <v>685286.46839618846</v>
      </c>
      <c r="I307" s="800">
        <f t="shared" si="118"/>
        <v>742707.95544673654</v>
      </c>
      <c r="J307" s="800">
        <f t="shared" si="118"/>
        <v>780994.06212224846</v>
      </c>
      <c r="K307" s="800">
        <f t="shared" si="118"/>
        <v>809566.22030763945</v>
      </c>
      <c r="L307" s="800">
        <f t="shared" si="118"/>
        <v>835653.6299275452</v>
      </c>
      <c r="M307" s="800">
        <f t="shared" si="118"/>
        <v>864816.26</v>
      </c>
      <c r="N307" s="800" t="s">
        <v>214</v>
      </c>
      <c r="O307" s="800" t="s">
        <v>187</v>
      </c>
    </row>
    <row r="308" spans="1:15">
      <c r="A308" s="137" t="s">
        <v>87</v>
      </c>
      <c r="B308" s="800">
        <f t="shared" ref="B308:M308" si="119">B15</f>
        <v>193699.15054917597</v>
      </c>
      <c r="C308" s="800">
        <f t="shared" si="119"/>
        <v>447083.71859468881</v>
      </c>
      <c r="D308" s="800">
        <f t="shared" si="119"/>
        <v>612782.44117864163</v>
      </c>
      <c r="E308" s="800">
        <f t="shared" si="119"/>
        <v>757189.62694593321</v>
      </c>
      <c r="F308" s="800">
        <f t="shared" si="119"/>
        <v>890296.47195802722</v>
      </c>
      <c r="G308" s="800">
        <f t="shared" si="119"/>
        <v>1025825.5849467614</v>
      </c>
      <c r="H308" s="800">
        <f t="shared" si="119"/>
        <v>1121197.5429847136</v>
      </c>
      <c r="I308" s="800">
        <f t="shared" si="119"/>
        <v>1228812.0937134295</v>
      </c>
      <c r="J308" s="800">
        <f t="shared" si="119"/>
        <v>1288130.1310376613</v>
      </c>
      <c r="K308" s="800">
        <f t="shared" si="119"/>
        <v>1325683.8943101764</v>
      </c>
      <c r="L308" s="800">
        <f t="shared" si="119"/>
        <v>1364380.5004045754</v>
      </c>
      <c r="M308" s="800">
        <f t="shared" si="119"/>
        <v>1406753.09</v>
      </c>
      <c r="N308" s="800" t="s">
        <v>214</v>
      </c>
      <c r="O308" s="800" t="s">
        <v>187</v>
      </c>
    </row>
    <row r="309" spans="1:15">
      <c r="A309" s="137" t="s">
        <v>88</v>
      </c>
      <c r="B309" s="800">
        <f t="shared" ref="B309:M309" si="120">B16</f>
        <v>305385.13305714866</v>
      </c>
      <c r="C309" s="800">
        <f t="shared" si="120"/>
        <v>578715.15305767977</v>
      </c>
      <c r="D309" s="800">
        <f t="shared" si="120"/>
        <v>732278.17696789373</v>
      </c>
      <c r="E309" s="800">
        <f t="shared" si="120"/>
        <v>865481.94006222929</v>
      </c>
      <c r="F309" s="800">
        <f t="shared" si="120"/>
        <v>993094.67918511713</v>
      </c>
      <c r="G309" s="800">
        <f t="shared" si="120"/>
        <v>1107812.190165956</v>
      </c>
      <c r="H309" s="800">
        <f t="shared" si="120"/>
        <v>1208295.5191124515</v>
      </c>
      <c r="I309" s="800">
        <f t="shared" si="120"/>
        <v>1290524.2931802119</v>
      </c>
      <c r="J309" s="800">
        <f t="shared" si="120"/>
        <v>1345220.8187188744</v>
      </c>
      <c r="K309" s="800">
        <f t="shared" si="120"/>
        <v>1384286.8517485128</v>
      </c>
      <c r="L309" s="800">
        <f t="shared" si="120"/>
        <v>1421465.0995175352</v>
      </c>
      <c r="M309" s="800">
        <f t="shared" si="120"/>
        <v>1461825.2</v>
      </c>
      <c r="N309" s="800" t="s">
        <v>214</v>
      </c>
      <c r="O309" s="800" t="s">
        <v>187</v>
      </c>
    </row>
    <row r="310" spans="1:15">
      <c r="A310" s="137" t="s">
        <v>89</v>
      </c>
      <c r="B310" s="800">
        <f t="shared" ref="B310:M310" si="121">B17</f>
        <v>1540971.3485491141</v>
      </c>
      <c r="C310" s="800">
        <f t="shared" si="121"/>
        <v>2839864.2564511378</v>
      </c>
      <c r="D310" s="800">
        <f t="shared" si="121"/>
        <v>3545131.9843857191</v>
      </c>
      <c r="E310" s="800">
        <f t="shared" si="121"/>
        <v>4109884.041137496</v>
      </c>
      <c r="F310" s="800">
        <f t="shared" si="121"/>
        <v>4664837.7681490127</v>
      </c>
      <c r="G310" s="800">
        <f t="shared" si="121"/>
        <v>5213099.1662899945</v>
      </c>
      <c r="H310" s="800">
        <f t="shared" si="121"/>
        <v>5673755.6672070911</v>
      </c>
      <c r="I310" s="800">
        <f t="shared" si="121"/>
        <v>6072061.6676618196</v>
      </c>
      <c r="J310" s="800">
        <f t="shared" si="121"/>
        <v>6303594.7153851064</v>
      </c>
      <c r="K310" s="800">
        <f t="shared" si="121"/>
        <v>6460652.4725283524</v>
      </c>
      <c r="L310" s="800">
        <f t="shared" si="121"/>
        <v>6642928.7367836237</v>
      </c>
      <c r="M310" s="800">
        <f t="shared" si="121"/>
        <v>6841917.0099999998</v>
      </c>
      <c r="N310" s="800" t="s">
        <v>214</v>
      </c>
      <c r="O310" s="800" t="s">
        <v>187</v>
      </c>
    </row>
    <row r="311" spans="1:15">
      <c r="A311" s="137" t="s">
        <v>90</v>
      </c>
      <c r="B311" s="800">
        <f t="shared" ref="B311:M311" si="122">B18</f>
        <v>193737.34158105773</v>
      </c>
      <c r="C311" s="800">
        <f t="shared" si="122"/>
        <v>422617.18668740505</v>
      </c>
      <c r="D311" s="800">
        <f t="shared" si="122"/>
        <v>561906.33198829391</v>
      </c>
      <c r="E311" s="800">
        <f t="shared" si="122"/>
        <v>672514.68299955328</v>
      </c>
      <c r="F311" s="800">
        <f t="shared" si="122"/>
        <v>780540.71482985409</v>
      </c>
      <c r="G311" s="800">
        <f t="shared" si="122"/>
        <v>895826.55041015707</v>
      </c>
      <c r="H311" s="800">
        <f t="shared" si="122"/>
        <v>986325.41822584695</v>
      </c>
      <c r="I311" s="800">
        <f t="shared" si="122"/>
        <v>1065669.681995481</v>
      </c>
      <c r="J311" s="800">
        <f t="shared" si="122"/>
        <v>1114811.2884858835</v>
      </c>
      <c r="K311" s="800">
        <f t="shared" si="122"/>
        <v>1149153.495052574</v>
      </c>
      <c r="L311" s="800">
        <f t="shared" si="122"/>
        <v>1190417.4454877106</v>
      </c>
      <c r="M311" s="800">
        <f t="shared" si="122"/>
        <v>1233554.49</v>
      </c>
      <c r="N311" s="800" t="s">
        <v>214</v>
      </c>
      <c r="O311" s="800" t="s">
        <v>187</v>
      </c>
    </row>
    <row r="312" spans="1:15">
      <c r="A312" s="137" t="s">
        <v>91</v>
      </c>
      <c r="B312" s="800">
        <f t="shared" ref="B312:M312" si="123">B19</f>
        <v>195299.0269218715</v>
      </c>
      <c r="C312" s="800">
        <f t="shared" si="123"/>
        <v>424603.38553904288</v>
      </c>
      <c r="D312" s="800">
        <f t="shared" si="123"/>
        <v>559157.45960147516</v>
      </c>
      <c r="E312" s="800">
        <f t="shared" si="123"/>
        <v>662434.66922302486</v>
      </c>
      <c r="F312" s="800">
        <f t="shared" si="123"/>
        <v>760927.082912702</v>
      </c>
      <c r="G312" s="800">
        <f t="shared" si="123"/>
        <v>867547.39135953062</v>
      </c>
      <c r="H312" s="800">
        <f t="shared" si="123"/>
        <v>952399.39044685406</v>
      </c>
      <c r="I312" s="800">
        <f t="shared" si="123"/>
        <v>1041060.425825602</v>
      </c>
      <c r="J312" s="800">
        <f t="shared" si="123"/>
        <v>1097232.3338486531</v>
      </c>
      <c r="K312" s="800">
        <f t="shared" si="123"/>
        <v>1130983.6300238569</v>
      </c>
      <c r="L312" s="800">
        <f t="shared" si="123"/>
        <v>1168317.2687023983</v>
      </c>
      <c r="M312" s="800">
        <f t="shared" si="123"/>
        <v>1208483.1200000001</v>
      </c>
      <c r="N312" s="800" t="s">
        <v>214</v>
      </c>
      <c r="O312" s="800" t="s">
        <v>187</v>
      </c>
    </row>
    <row r="313" spans="1:15">
      <c r="A313" s="137" t="s">
        <v>92</v>
      </c>
      <c r="B313" s="800">
        <f t="shared" ref="B313:M313" si="124">B20</f>
        <v>1105355.1242591823</v>
      </c>
      <c r="C313" s="800">
        <f t="shared" si="124"/>
        <v>2143811.2265263312</v>
      </c>
      <c r="D313" s="800">
        <f t="shared" si="124"/>
        <v>2767676.0595999015</v>
      </c>
      <c r="E313" s="800">
        <f t="shared" si="124"/>
        <v>3222423.1797920312</v>
      </c>
      <c r="F313" s="800">
        <f t="shared" si="124"/>
        <v>3691568.2318448601</v>
      </c>
      <c r="G313" s="800">
        <f t="shared" si="124"/>
        <v>4141286.816171898</v>
      </c>
      <c r="H313" s="800">
        <f t="shared" si="124"/>
        <v>4496925.2867303807</v>
      </c>
      <c r="I313" s="800">
        <f t="shared" si="124"/>
        <v>4801024.0248057758</v>
      </c>
      <c r="J313" s="800">
        <f t="shared" si="124"/>
        <v>4952278.8160792114</v>
      </c>
      <c r="K313" s="800">
        <f t="shared" si="124"/>
        <v>5060209.761001437</v>
      </c>
      <c r="L313" s="800">
        <f t="shared" si="124"/>
        <v>5183503.560411701</v>
      </c>
      <c r="M313" s="800">
        <f t="shared" si="124"/>
        <v>5335547.1999999993</v>
      </c>
      <c r="N313" s="800" t="s">
        <v>214</v>
      </c>
      <c r="O313" s="800" t="s">
        <v>187</v>
      </c>
    </row>
    <row r="314" spans="1:15">
      <c r="A314" s="137" t="s">
        <v>93</v>
      </c>
      <c r="B314" s="800">
        <f t="shared" ref="B314:M314" si="125">B21</f>
        <v>365391.57887199335</v>
      </c>
      <c r="C314" s="800">
        <f t="shared" si="125"/>
        <v>794166.82383822801</v>
      </c>
      <c r="D314" s="800">
        <f t="shared" si="125"/>
        <v>1025611.1862945025</v>
      </c>
      <c r="E314" s="800">
        <f t="shared" si="125"/>
        <v>1201333.4996648682</v>
      </c>
      <c r="F314" s="800">
        <f t="shared" si="125"/>
        <v>1359463.7273149767</v>
      </c>
      <c r="G314" s="800">
        <f t="shared" si="125"/>
        <v>1521117.0439191251</v>
      </c>
      <c r="H314" s="800">
        <f t="shared" si="125"/>
        <v>1653982.1230265195</v>
      </c>
      <c r="I314" s="800">
        <f t="shared" si="125"/>
        <v>1776158.1611261747</v>
      </c>
      <c r="J314" s="800">
        <f t="shared" si="125"/>
        <v>1855080.1503159681</v>
      </c>
      <c r="K314" s="800">
        <f t="shared" si="125"/>
        <v>1905449.4037342318</v>
      </c>
      <c r="L314" s="800">
        <f t="shared" si="125"/>
        <v>1958505.1219462263</v>
      </c>
      <c r="M314" s="800">
        <f t="shared" si="125"/>
        <v>2022690.72</v>
      </c>
      <c r="N314" s="800" t="s">
        <v>214</v>
      </c>
      <c r="O314" s="800" t="s">
        <v>187</v>
      </c>
    </row>
    <row r="315" spans="1:15">
      <c r="A315" s="137" t="s">
        <v>94</v>
      </c>
      <c r="B315" s="800">
        <f t="shared" ref="B315:M315" si="126">B22</f>
        <v>119284.22689280802</v>
      </c>
      <c r="C315" s="800">
        <f t="shared" si="126"/>
        <v>229084.32499922178</v>
      </c>
      <c r="D315" s="800">
        <f t="shared" si="126"/>
        <v>291176.36528387089</v>
      </c>
      <c r="E315" s="800">
        <f t="shared" si="126"/>
        <v>337718.21451279975</v>
      </c>
      <c r="F315" s="800">
        <f t="shared" si="126"/>
        <v>389490.51184439828</v>
      </c>
      <c r="G315" s="800">
        <f t="shared" si="126"/>
        <v>448191.93014684663</v>
      </c>
      <c r="H315" s="800">
        <f t="shared" si="126"/>
        <v>495268.20391915541</v>
      </c>
      <c r="I315" s="800">
        <f t="shared" si="126"/>
        <v>539798.90731132508</v>
      </c>
      <c r="J315" s="800">
        <f t="shared" si="126"/>
        <v>566209.32145605236</v>
      </c>
      <c r="K315" s="800">
        <f t="shared" si="126"/>
        <v>580331.21852806292</v>
      </c>
      <c r="L315" s="800">
        <f t="shared" si="126"/>
        <v>597573.35465415847</v>
      </c>
      <c r="M315" s="800">
        <f t="shared" si="126"/>
        <v>615779.12</v>
      </c>
      <c r="N315" s="800" t="s">
        <v>214</v>
      </c>
      <c r="O315" s="800" t="s">
        <v>187</v>
      </c>
    </row>
    <row r="316" spans="1:15">
      <c r="A316" s="137" t="s">
        <v>95</v>
      </c>
      <c r="B316" s="800">
        <f t="shared" ref="B316:M316" si="127">B23</f>
        <v>1489473.6733409853</v>
      </c>
      <c r="C316" s="800">
        <f t="shared" si="127"/>
        <v>2903903.8017752036</v>
      </c>
      <c r="D316" s="800">
        <f t="shared" si="127"/>
        <v>3613537.870813875</v>
      </c>
      <c r="E316" s="800">
        <f t="shared" si="127"/>
        <v>4094593.4930666471</v>
      </c>
      <c r="F316" s="800">
        <f t="shared" si="127"/>
        <v>4625953.6862749811</v>
      </c>
      <c r="G316" s="800">
        <f t="shared" si="127"/>
        <v>5201777.2324469658</v>
      </c>
      <c r="H316" s="800">
        <f t="shared" si="127"/>
        <v>5740932.3493412063</v>
      </c>
      <c r="I316" s="800">
        <f t="shared" si="127"/>
        <v>6171144.9370542634</v>
      </c>
      <c r="J316" s="800">
        <f t="shared" si="127"/>
        <v>6432550.8155316385</v>
      </c>
      <c r="K316" s="800">
        <f t="shared" si="127"/>
        <v>6599937.0977819227</v>
      </c>
      <c r="L316" s="800">
        <f t="shared" si="127"/>
        <v>6773422.3875269797</v>
      </c>
      <c r="M316" s="800">
        <f t="shared" si="127"/>
        <v>6969152.5800000001</v>
      </c>
      <c r="N316" s="800" t="s">
        <v>214</v>
      </c>
      <c r="O316" s="800" t="s">
        <v>187</v>
      </c>
    </row>
    <row r="317" spans="1:15">
      <c r="A317" s="137" t="s">
        <v>96</v>
      </c>
      <c r="B317" s="800">
        <f t="shared" ref="B317:M317" si="128">B24</f>
        <v>165411.57341968868</v>
      </c>
      <c r="C317" s="800">
        <f t="shared" si="128"/>
        <v>384988.11287711386</v>
      </c>
      <c r="D317" s="800">
        <f t="shared" si="128"/>
        <v>525205.02931974549</v>
      </c>
      <c r="E317" s="800">
        <f t="shared" si="128"/>
        <v>624098.75957394892</v>
      </c>
      <c r="F317" s="800">
        <f t="shared" si="128"/>
        <v>721618.98989331</v>
      </c>
      <c r="G317" s="800">
        <f t="shared" si="128"/>
        <v>819422.18179611827</v>
      </c>
      <c r="H317" s="800">
        <f t="shared" si="128"/>
        <v>897224.04232499248</v>
      </c>
      <c r="I317" s="800">
        <f t="shared" si="128"/>
        <v>969941.0836356316</v>
      </c>
      <c r="J317" s="800">
        <f t="shared" si="128"/>
        <v>1010350.9007853818</v>
      </c>
      <c r="K317" s="800">
        <f t="shared" si="128"/>
        <v>1032844.6199310193</v>
      </c>
      <c r="L317" s="800">
        <f t="shared" si="128"/>
        <v>1059272.3063083158</v>
      </c>
      <c r="M317" s="800">
        <f t="shared" si="128"/>
        <v>1092162.3700000001</v>
      </c>
      <c r="N317" s="800" t="s">
        <v>214</v>
      </c>
      <c r="O317" s="800" t="s">
        <v>187</v>
      </c>
    </row>
    <row r="318" spans="1:15">
      <c r="A318" s="137" t="s">
        <v>97</v>
      </c>
      <c r="B318" s="800">
        <f t="shared" ref="B318:M318" si="129">B25</f>
        <v>1303808.0943633544</v>
      </c>
      <c r="C318" s="800">
        <f t="shared" si="129"/>
        <v>2664302.5204452113</v>
      </c>
      <c r="D318" s="800">
        <f t="shared" si="129"/>
        <v>3363283.9796749842</v>
      </c>
      <c r="E318" s="800">
        <f t="shared" si="129"/>
        <v>3902006.651529605</v>
      </c>
      <c r="F318" s="800">
        <f t="shared" si="129"/>
        <v>4442666.589221389</v>
      </c>
      <c r="G318" s="800">
        <f t="shared" si="129"/>
        <v>4999750.8253351189</v>
      </c>
      <c r="H318" s="800">
        <f t="shared" si="129"/>
        <v>5377337.245841777</v>
      </c>
      <c r="I318" s="800">
        <f t="shared" si="129"/>
        <v>5734839.0742272399</v>
      </c>
      <c r="J318" s="800">
        <f t="shared" si="129"/>
        <v>5927173.7782314112</v>
      </c>
      <c r="K318" s="800">
        <f t="shared" si="129"/>
        <v>6066306.9672310119</v>
      </c>
      <c r="L318" s="800">
        <f t="shared" si="129"/>
        <v>6216733.3256340818</v>
      </c>
      <c r="M318" s="800">
        <f t="shared" si="129"/>
        <v>6417380.54</v>
      </c>
      <c r="N318" s="800" t="s">
        <v>214</v>
      </c>
      <c r="O318" s="800" t="s">
        <v>187</v>
      </c>
    </row>
    <row r="319" spans="1:15">
      <c r="A319" s="137" t="s">
        <v>98</v>
      </c>
      <c r="B319" s="800">
        <f t="shared" ref="B319:M319" si="130">B26</f>
        <v>89231.450323812911</v>
      </c>
      <c r="C319" s="800">
        <f t="shared" si="130"/>
        <v>171984.76384547068</v>
      </c>
      <c r="D319" s="800">
        <f t="shared" si="130"/>
        <v>235806.82821897772</v>
      </c>
      <c r="E319" s="800">
        <f t="shared" si="130"/>
        <v>284481.14443046658</v>
      </c>
      <c r="F319" s="800">
        <f t="shared" si="130"/>
        <v>335173.04177228449</v>
      </c>
      <c r="G319" s="800">
        <f t="shared" si="130"/>
        <v>399881.3717015399</v>
      </c>
      <c r="H319" s="800">
        <f t="shared" si="130"/>
        <v>448113.2302535075</v>
      </c>
      <c r="I319" s="800">
        <f t="shared" si="130"/>
        <v>482206.28755691688</v>
      </c>
      <c r="J319" s="800">
        <f t="shared" si="130"/>
        <v>504189.83164165867</v>
      </c>
      <c r="K319" s="800">
        <f t="shared" si="130"/>
        <v>520867.79027576832</v>
      </c>
      <c r="L319" s="800">
        <f t="shared" si="130"/>
        <v>536734.66771750781</v>
      </c>
      <c r="M319" s="800">
        <f t="shared" si="130"/>
        <v>555177.37</v>
      </c>
      <c r="N319" s="800" t="s">
        <v>214</v>
      </c>
      <c r="O319" s="800" t="s">
        <v>187</v>
      </c>
    </row>
    <row r="320" spans="1:15">
      <c r="A320" s="137" t="s">
        <v>99</v>
      </c>
      <c r="B320" s="800">
        <f t="shared" ref="B320:M320" si="131">B27</f>
        <v>17175.244958735882</v>
      </c>
      <c r="C320" s="800">
        <f t="shared" si="131"/>
        <v>36699.165399864418</v>
      </c>
      <c r="D320" s="800">
        <f t="shared" si="131"/>
        <v>46766.814804549183</v>
      </c>
      <c r="E320" s="800">
        <f t="shared" si="131"/>
        <v>55113.285140387205</v>
      </c>
      <c r="F320" s="800">
        <f t="shared" si="131"/>
        <v>63422.241571997118</v>
      </c>
      <c r="G320" s="800">
        <f t="shared" si="131"/>
        <v>69641.45650314317</v>
      </c>
      <c r="H320" s="800">
        <f t="shared" si="131"/>
        <v>77139.836237939802</v>
      </c>
      <c r="I320" s="800">
        <f t="shared" si="131"/>
        <v>82633.192201633545</v>
      </c>
      <c r="J320" s="800">
        <f t="shared" si="131"/>
        <v>86629.608337288111</v>
      </c>
      <c r="K320" s="800">
        <f t="shared" si="131"/>
        <v>89486.59314129017</v>
      </c>
      <c r="L320" s="800">
        <f t="shared" si="131"/>
        <v>93527.731062267325</v>
      </c>
      <c r="M320" s="800">
        <f t="shared" si="131"/>
        <v>96143.44</v>
      </c>
      <c r="N320" s="800" t="s">
        <v>214</v>
      </c>
      <c r="O320" s="800" t="s">
        <v>187</v>
      </c>
    </row>
    <row r="321" spans="1:15">
      <c r="A321" s="137" t="s">
        <v>100</v>
      </c>
      <c r="B321" s="800">
        <f t="shared" ref="B321:M321" si="132">B28</f>
        <v>820466.30136858905</v>
      </c>
      <c r="C321" s="800">
        <f t="shared" si="132"/>
        <v>1856089.5476099108</v>
      </c>
      <c r="D321" s="800">
        <f t="shared" si="132"/>
        <v>2372600.1660821578</v>
      </c>
      <c r="E321" s="800">
        <f t="shared" si="132"/>
        <v>2762910.7506662756</v>
      </c>
      <c r="F321" s="800">
        <f t="shared" si="132"/>
        <v>3148383.8184790607</v>
      </c>
      <c r="G321" s="800">
        <f t="shared" si="132"/>
        <v>3550159.3462299034</v>
      </c>
      <c r="H321" s="800">
        <f t="shared" si="132"/>
        <v>3818713.0465239482</v>
      </c>
      <c r="I321" s="800">
        <f t="shared" si="132"/>
        <v>4073820.2298554229</v>
      </c>
      <c r="J321" s="800">
        <f t="shared" si="132"/>
        <v>4194685.8645413537</v>
      </c>
      <c r="K321" s="800">
        <f t="shared" si="132"/>
        <v>4280129.4118211903</v>
      </c>
      <c r="L321" s="800">
        <f t="shared" si="132"/>
        <v>4367276.1498745428</v>
      </c>
      <c r="M321" s="800">
        <f t="shared" si="132"/>
        <v>4467462.87</v>
      </c>
      <c r="N321" s="800" t="s">
        <v>214</v>
      </c>
      <c r="O321" s="800" t="s">
        <v>187</v>
      </c>
    </row>
    <row r="322" spans="1:15">
      <c r="A322" s="137" t="s">
        <v>101</v>
      </c>
      <c r="B322" s="800">
        <f t="shared" ref="B322:M322" si="133">B29</f>
        <v>5321451.3844785662</v>
      </c>
      <c r="C322" s="800">
        <f t="shared" si="133"/>
        <v>10455195.567082798</v>
      </c>
      <c r="D322" s="800">
        <f t="shared" si="133"/>
        <v>13300019.997342195</v>
      </c>
      <c r="E322" s="800">
        <f t="shared" si="133"/>
        <v>15283951.77840759</v>
      </c>
      <c r="F322" s="800">
        <f t="shared" si="133"/>
        <v>17275696.200027909</v>
      </c>
      <c r="G322" s="800">
        <f t="shared" si="133"/>
        <v>19238143.707697239</v>
      </c>
      <c r="H322" s="800">
        <f t="shared" si="133"/>
        <v>20763085.317115977</v>
      </c>
      <c r="I322" s="800">
        <f t="shared" si="133"/>
        <v>22068785.800923575</v>
      </c>
      <c r="J322" s="800">
        <f t="shared" si="133"/>
        <v>22810461.886234045</v>
      </c>
      <c r="K322" s="800">
        <f t="shared" si="133"/>
        <v>23332867.02674453</v>
      </c>
      <c r="L322" s="800">
        <f t="shared" si="133"/>
        <v>23985191.796468165</v>
      </c>
      <c r="M322" s="800">
        <f t="shared" si="133"/>
        <v>24698303.699999999</v>
      </c>
      <c r="N322" s="800" t="s">
        <v>214</v>
      </c>
      <c r="O322" s="800" t="s">
        <v>187</v>
      </c>
    </row>
    <row r="323" spans="1:15">
      <c r="A323" s="137" t="s">
        <v>102</v>
      </c>
      <c r="B323" s="800">
        <f t="shared" ref="B323:M323" si="134">B30</f>
        <v>101409.74990854615</v>
      </c>
      <c r="C323" s="800">
        <f t="shared" si="134"/>
        <v>223773.25709736565</v>
      </c>
      <c r="D323" s="800">
        <f t="shared" si="134"/>
        <v>299150.74923570285</v>
      </c>
      <c r="E323" s="800">
        <f t="shared" si="134"/>
        <v>354515.34159325465</v>
      </c>
      <c r="F323" s="800">
        <f t="shared" si="134"/>
        <v>409536.58370046236</v>
      </c>
      <c r="G323" s="800">
        <f t="shared" si="134"/>
        <v>470808.95762076089</v>
      </c>
      <c r="H323" s="800">
        <f t="shared" si="134"/>
        <v>526647.62351878616</v>
      </c>
      <c r="I323" s="800">
        <f t="shared" si="134"/>
        <v>570181.00081838132</v>
      </c>
      <c r="J323" s="800">
        <f t="shared" si="134"/>
        <v>596874.52779259544</v>
      </c>
      <c r="K323" s="800">
        <f t="shared" si="134"/>
        <v>613995.39485311718</v>
      </c>
      <c r="L323" s="800">
        <f t="shared" si="134"/>
        <v>632661.15459435375</v>
      </c>
      <c r="M323" s="800">
        <f t="shared" si="134"/>
        <v>651600.30000000005</v>
      </c>
      <c r="N323" s="800" t="s">
        <v>214</v>
      </c>
      <c r="O323" s="800" t="s">
        <v>187</v>
      </c>
    </row>
    <row r="324" spans="1:15">
      <c r="A324" s="137" t="s">
        <v>103</v>
      </c>
      <c r="B324" s="800">
        <f t="shared" ref="B324:M324" si="135">B31</f>
        <v>39138.440090276847</v>
      </c>
      <c r="C324" s="800">
        <f t="shared" si="135"/>
        <v>99658.920142513351</v>
      </c>
      <c r="D324" s="800">
        <f t="shared" si="135"/>
        <v>147482.76060857731</v>
      </c>
      <c r="E324" s="800">
        <f t="shared" si="135"/>
        <v>177534.43822447237</v>
      </c>
      <c r="F324" s="800">
        <f t="shared" si="135"/>
        <v>209485.12809663717</v>
      </c>
      <c r="G324" s="800">
        <f t="shared" si="135"/>
        <v>244767.67632145141</v>
      </c>
      <c r="H324" s="800">
        <f t="shared" si="135"/>
        <v>273620.82318723312</v>
      </c>
      <c r="I324" s="800">
        <f t="shared" si="135"/>
        <v>305252.15529012046</v>
      </c>
      <c r="J324" s="800">
        <f t="shared" si="135"/>
        <v>320684.4416245895</v>
      </c>
      <c r="K324" s="800">
        <f t="shared" si="135"/>
        <v>332046.43353586434</v>
      </c>
      <c r="L324" s="800">
        <f t="shared" si="135"/>
        <v>340417.66920291662</v>
      </c>
      <c r="M324" s="800">
        <f t="shared" si="135"/>
        <v>351755.99</v>
      </c>
      <c r="N324" s="800" t="s">
        <v>214</v>
      </c>
      <c r="O324" s="800" t="s">
        <v>187</v>
      </c>
    </row>
    <row r="325" spans="1:15">
      <c r="A325" s="137" t="s">
        <v>77</v>
      </c>
      <c r="B325" s="800">
        <f t="shared" ref="B325:B351" si="136">AF39</f>
        <v>6155.8240000000023</v>
      </c>
      <c r="C325" s="800">
        <f t="shared" ref="C325:C351" si="137">AG39</f>
        <v>11930.32</v>
      </c>
      <c r="D325" s="800">
        <f t="shared" ref="D325:D351" si="138">AH39</f>
        <v>10044.896000000001</v>
      </c>
      <c r="E325" s="800">
        <f t="shared" ref="E325:E351" si="139">AI39</f>
        <v>7100.2000000000007</v>
      </c>
      <c r="F325" s="800">
        <f t="shared" ref="F325:F351" si="140">AJ39</f>
        <v>9385.2960000000003</v>
      </c>
      <c r="G325" s="800">
        <f t="shared" ref="G325:G351" si="141">AK39</f>
        <v>5531.6800000000021</v>
      </c>
      <c r="H325" s="800">
        <f t="shared" ref="H325:H351" si="142">AL39</f>
        <v>4878.0080000000016</v>
      </c>
      <c r="I325" s="800">
        <f t="shared" ref="I325:I351" si="143">AM39</f>
        <v>6857.3840000000018</v>
      </c>
      <c r="J325" s="800">
        <f t="shared" ref="J325:J351" si="144">AN39</f>
        <v>3265.1999999999994</v>
      </c>
      <c r="K325" s="800">
        <f t="shared" ref="K325:K351" si="145">AO39</f>
        <v>0</v>
      </c>
      <c r="L325" s="800">
        <f t="shared" ref="L325:L351" si="146">AP39</f>
        <v>0</v>
      </c>
      <c r="M325" s="800">
        <f t="shared" ref="M325:M351" si="147">AQ39</f>
        <v>0</v>
      </c>
      <c r="N325" s="800" t="s">
        <v>167</v>
      </c>
      <c r="O325" s="800" t="s">
        <v>189</v>
      </c>
    </row>
    <row r="326" spans="1:15">
      <c r="A326" s="137" t="s">
        <v>78</v>
      </c>
      <c r="B326" s="800">
        <f t="shared" si="136"/>
        <v>18091.863999999998</v>
      </c>
      <c r="C326" s="800">
        <f t="shared" si="137"/>
        <v>19235.207999999984</v>
      </c>
      <c r="D326" s="800">
        <f t="shared" si="138"/>
        <v>16746.151999999998</v>
      </c>
      <c r="E326" s="800">
        <f t="shared" si="139"/>
        <v>12631.696</v>
      </c>
      <c r="F326" s="800">
        <f t="shared" si="140"/>
        <v>11193.752</v>
      </c>
      <c r="G326" s="800">
        <f t="shared" si="141"/>
        <v>15039.304000000004</v>
      </c>
      <c r="H326" s="800">
        <f t="shared" si="142"/>
        <v>8872.952000000003</v>
      </c>
      <c r="I326" s="800">
        <f t="shared" si="143"/>
        <v>11295.136000000002</v>
      </c>
      <c r="J326" s="800">
        <f t="shared" si="144"/>
        <v>8812.8239999999987</v>
      </c>
      <c r="K326" s="800">
        <f t="shared" si="145"/>
        <v>0</v>
      </c>
      <c r="L326" s="800">
        <f t="shared" si="146"/>
        <v>0</v>
      </c>
      <c r="M326" s="800">
        <f t="shared" si="147"/>
        <v>0</v>
      </c>
      <c r="N326" s="800" t="s">
        <v>167</v>
      </c>
      <c r="O326" s="800" t="s">
        <v>189</v>
      </c>
    </row>
    <row r="327" spans="1:15">
      <c r="A327" s="137" t="s">
        <v>79</v>
      </c>
      <c r="B327" s="800">
        <f t="shared" si="136"/>
        <v>8773.4640000000018</v>
      </c>
      <c r="C327" s="800">
        <f t="shared" si="137"/>
        <v>6035.0879999999979</v>
      </c>
      <c r="D327" s="800">
        <f t="shared" si="138"/>
        <v>7545.5920000000006</v>
      </c>
      <c r="E327" s="800">
        <f t="shared" si="139"/>
        <v>7248.344000000001</v>
      </c>
      <c r="F327" s="800">
        <f t="shared" si="140"/>
        <v>5324.4880000000003</v>
      </c>
      <c r="G327" s="800">
        <f t="shared" si="141"/>
        <v>4547.2639999999983</v>
      </c>
      <c r="H327" s="800">
        <f t="shared" si="142"/>
        <v>5921.7440000000006</v>
      </c>
      <c r="I327" s="800">
        <f t="shared" si="143"/>
        <v>4433.9440000000022</v>
      </c>
      <c r="J327" s="800">
        <f t="shared" si="144"/>
        <v>6344.2400000000016</v>
      </c>
      <c r="K327" s="800">
        <f t="shared" si="145"/>
        <v>0</v>
      </c>
      <c r="L327" s="800">
        <f t="shared" si="146"/>
        <v>0</v>
      </c>
      <c r="M327" s="800">
        <f t="shared" si="147"/>
        <v>0</v>
      </c>
      <c r="N327" s="800" t="s">
        <v>167</v>
      </c>
      <c r="O327" s="800" t="s">
        <v>189</v>
      </c>
    </row>
    <row r="328" spans="1:15">
      <c r="A328" s="137" t="s">
        <v>80</v>
      </c>
      <c r="B328" s="800">
        <f t="shared" si="136"/>
        <v>10111.896000000002</v>
      </c>
      <c r="C328" s="800">
        <f t="shared" si="137"/>
        <v>13143.264000000003</v>
      </c>
      <c r="D328" s="800">
        <f t="shared" si="138"/>
        <v>16104.976000000002</v>
      </c>
      <c r="E328" s="800">
        <f t="shared" si="139"/>
        <v>12948.568000000001</v>
      </c>
      <c r="F328" s="800">
        <f t="shared" si="140"/>
        <v>9533.9120000000021</v>
      </c>
      <c r="G328" s="800">
        <f t="shared" si="141"/>
        <v>11991.96</v>
      </c>
      <c r="H328" s="800">
        <f t="shared" si="142"/>
        <v>8751.6239999999998</v>
      </c>
      <c r="I328" s="800">
        <f t="shared" si="143"/>
        <v>8534.3520000000026</v>
      </c>
      <c r="J328" s="800">
        <f t="shared" si="144"/>
        <v>6961.1999999999989</v>
      </c>
      <c r="K328" s="800">
        <f t="shared" si="145"/>
        <v>0</v>
      </c>
      <c r="L328" s="800">
        <f t="shared" si="146"/>
        <v>0</v>
      </c>
      <c r="M328" s="800">
        <f t="shared" si="147"/>
        <v>0</v>
      </c>
      <c r="N328" s="800" t="s">
        <v>167</v>
      </c>
      <c r="O328" s="800" t="s">
        <v>189</v>
      </c>
    </row>
    <row r="329" spans="1:15">
      <c r="A329" s="137" t="s">
        <v>81</v>
      </c>
      <c r="B329" s="800">
        <f t="shared" si="136"/>
        <v>30706.631999999998</v>
      </c>
      <c r="C329" s="800">
        <f t="shared" si="137"/>
        <v>38622.728000000025</v>
      </c>
      <c r="D329" s="800">
        <f t="shared" si="138"/>
        <v>45949.256000000001</v>
      </c>
      <c r="E329" s="800">
        <f t="shared" si="139"/>
        <v>40568.336000000003</v>
      </c>
      <c r="F329" s="800">
        <f t="shared" si="140"/>
        <v>33000.944000000003</v>
      </c>
      <c r="G329" s="800">
        <f t="shared" si="141"/>
        <v>26079.536000000011</v>
      </c>
      <c r="H329" s="800">
        <f t="shared" si="142"/>
        <v>23323.896000000022</v>
      </c>
      <c r="I329" s="800">
        <f t="shared" si="143"/>
        <v>27897.864000000001</v>
      </c>
      <c r="J329" s="800">
        <f t="shared" si="144"/>
        <v>23301.82399999999</v>
      </c>
      <c r="K329" s="800">
        <f t="shared" si="145"/>
        <v>0</v>
      </c>
      <c r="L329" s="800">
        <f t="shared" si="146"/>
        <v>0</v>
      </c>
      <c r="M329" s="800">
        <f t="shared" si="147"/>
        <v>0</v>
      </c>
      <c r="N329" s="800" t="s">
        <v>167</v>
      </c>
      <c r="O329" s="800" t="s">
        <v>189</v>
      </c>
    </row>
    <row r="330" spans="1:15">
      <c r="A330" s="137" t="s">
        <v>82</v>
      </c>
      <c r="B330" s="800">
        <f t="shared" si="136"/>
        <v>32234.296000000028</v>
      </c>
      <c r="C330" s="800">
        <f t="shared" si="137"/>
        <v>26505.079999999984</v>
      </c>
      <c r="D330" s="800">
        <f t="shared" si="138"/>
        <v>30811.256000000001</v>
      </c>
      <c r="E330" s="800">
        <f t="shared" si="139"/>
        <v>16564.416000000001</v>
      </c>
      <c r="F330" s="800">
        <f t="shared" si="140"/>
        <v>24647.528000000002</v>
      </c>
      <c r="G330" s="800">
        <f t="shared" si="141"/>
        <v>50687.815999999992</v>
      </c>
      <c r="H330" s="800">
        <f t="shared" si="142"/>
        <v>37589.008000000009</v>
      </c>
      <c r="I330" s="800">
        <f t="shared" si="143"/>
        <v>41165.815999999992</v>
      </c>
      <c r="J330" s="800">
        <f t="shared" si="144"/>
        <v>38420.984000000004</v>
      </c>
      <c r="K330" s="800">
        <f t="shared" si="145"/>
        <v>0</v>
      </c>
      <c r="L330" s="800">
        <f t="shared" si="146"/>
        <v>0</v>
      </c>
      <c r="M330" s="800">
        <f t="shared" si="147"/>
        <v>0</v>
      </c>
      <c r="N330" s="800" t="s">
        <v>167</v>
      </c>
      <c r="O330" s="800" t="s">
        <v>189</v>
      </c>
    </row>
    <row r="331" spans="1:15">
      <c r="A331" s="137" t="s">
        <v>83</v>
      </c>
      <c r="B331" s="800">
        <f t="shared" si="136"/>
        <v>43282.104000000014</v>
      </c>
      <c r="C331" s="800">
        <f t="shared" si="137"/>
        <v>40493.136000000035</v>
      </c>
      <c r="D331" s="800">
        <f t="shared" si="138"/>
        <v>38141.248</v>
      </c>
      <c r="E331" s="800">
        <f t="shared" si="139"/>
        <v>30164.248</v>
      </c>
      <c r="F331" s="800">
        <f t="shared" si="140"/>
        <v>87297.888000000006</v>
      </c>
      <c r="G331" s="800">
        <f t="shared" si="141"/>
        <v>59005.864000000016</v>
      </c>
      <c r="H331" s="800">
        <f t="shared" si="142"/>
        <v>46717.120000000024</v>
      </c>
      <c r="I331" s="800">
        <f t="shared" si="143"/>
        <v>57915.767999999996</v>
      </c>
      <c r="J331" s="800">
        <f t="shared" si="144"/>
        <v>53768.863999999994</v>
      </c>
      <c r="K331" s="800">
        <f t="shared" si="145"/>
        <v>0</v>
      </c>
      <c r="L331" s="800">
        <f t="shared" si="146"/>
        <v>0</v>
      </c>
      <c r="M331" s="800">
        <f t="shared" si="147"/>
        <v>0</v>
      </c>
      <c r="N331" s="800" t="s">
        <v>167</v>
      </c>
      <c r="O331" s="800" t="s">
        <v>189</v>
      </c>
    </row>
    <row r="332" spans="1:15">
      <c r="A332" s="137" t="s">
        <v>84</v>
      </c>
      <c r="B332" s="800">
        <f t="shared" si="136"/>
        <v>23181.047999999995</v>
      </c>
      <c r="C332" s="800">
        <f t="shared" si="137"/>
        <v>29789.40800000001</v>
      </c>
      <c r="D332" s="800">
        <f t="shared" si="138"/>
        <v>28355.552000000003</v>
      </c>
      <c r="E332" s="800">
        <f t="shared" si="139"/>
        <v>16189.800000000001</v>
      </c>
      <c r="F332" s="800">
        <f t="shared" si="140"/>
        <v>17392.16</v>
      </c>
      <c r="G332" s="800">
        <f t="shared" si="141"/>
        <v>15633.576000000001</v>
      </c>
      <c r="H332" s="800">
        <f t="shared" si="142"/>
        <v>14686.111999999988</v>
      </c>
      <c r="I332" s="800">
        <f t="shared" si="143"/>
        <v>24432.695999999996</v>
      </c>
      <c r="J332" s="800">
        <f t="shared" si="144"/>
        <v>16443.856000000007</v>
      </c>
      <c r="K332" s="800">
        <f t="shared" si="145"/>
        <v>0</v>
      </c>
      <c r="L332" s="800">
        <f t="shared" si="146"/>
        <v>0</v>
      </c>
      <c r="M332" s="800">
        <f t="shared" si="147"/>
        <v>0</v>
      </c>
      <c r="N332" s="800" t="s">
        <v>167</v>
      </c>
      <c r="O332" s="800" t="s">
        <v>189</v>
      </c>
    </row>
    <row r="333" spans="1:15">
      <c r="A333" s="137" t="s">
        <v>85</v>
      </c>
      <c r="B333" s="800">
        <f t="shared" si="136"/>
        <v>33011.752</v>
      </c>
      <c r="C333" s="800">
        <f t="shared" si="137"/>
        <v>33891.439999999995</v>
      </c>
      <c r="D333" s="800">
        <f t="shared" si="138"/>
        <v>39958.480000000003</v>
      </c>
      <c r="E333" s="800">
        <f t="shared" si="139"/>
        <v>29428.112000000001</v>
      </c>
      <c r="F333" s="800">
        <f t="shared" si="140"/>
        <v>30644.144</v>
      </c>
      <c r="G333" s="800">
        <f t="shared" si="141"/>
        <v>29775.192000000017</v>
      </c>
      <c r="H333" s="800">
        <f t="shared" si="142"/>
        <v>43371.728000000003</v>
      </c>
      <c r="I333" s="800">
        <f t="shared" si="143"/>
        <v>70162.439999999988</v>
      </c>
      <c r="J333" s="800">
        <f t="shared" si="144"/>
        <v>57500.592000000004</v>
      </c>
      <c r="K333" s="800">
        <f t="shared" si="145"/>
        <v>0</v>
      </c>
      <c r="L333" s="800">
        <f t="shared" si="146"/>
        <v>0</v>
      </c>
      <c r="M333" s="800">
        <f t="shared" si="147"/>
        <v>0</v>
      </c>
      <c r="N333" s="800" t="s">
        <v>167</v>
      </c>
      <c r="O333" s="800" t="s">
        <v>189</v>
      </c>
    </row>
    <row r="334" spans="1:15">
      <c r="A334" s="137" t="s">
        <v>86</v>
      </c>
      <c r="B334" s="800">
        <f t="shared" si="136"/>
        <v>8598.5120000000043</v>
      </c>
      <c r="C334" s="800">
        <f t="shared" si="137"/>
        <v>14842.480000000005</v>
      </c>
      <c r="D334" s="800">
        <f t="shared" si="138"/>
        <v>12652.992</v>
      </c>
      <c r="E334" s="800">
        <f t="shared" si="139"/>
        <v>7447.44</v>
      </c>
      <c r="F334" s="800">
        <f t="shared" si="140"/>
        <v>17578.727999999999</v>
      </c>
      <c r="G334" s="800">
        <f t="shared" si="141"/>
        <v>8488.8640000000014</v>
      </c>
      <c r="H334" s="800">
        <f t="shared" si="142"/>
        <v>7720.4640000000072</v>
      </c>
      <c r="I334" s="800">
        <f t="shared" si="143"/>
        <v>13310.304000000004</v>
      </c>
      <c r="J334" s="800">
        <f t="shared" si="144"/>
        <v>6775.2720000000008</v>
      </c>
      <c r="K334" s="800">
        <f t="shared" si="145"/>
        <v>0</v>
      </c>
      <c r="L334" s="800">
        <f t="shared" si="146"/>
        <v>0</v>
      </c>
      <c r="M334" s="800">
        <f t="shared" si="147"/>
        <v>0</v>
      </c>
      <c r="N334" s="800" t="s">
        <v>167</v>
      </c>
      <c r="O334" s="800" t="s">
        <v>189</v>
      </c>
    </row>
    <row r="335" spans="1:15">
      <c r="A335" s="137" t="s">
        <v>87</v>
      </c>
      <c r="B335" s="800">
        <f t="shared" si="136"/>
        <v>24164.480000000007</v>
      </c>
      <c r="C335" s="800">
        <f t="shared" si="137"/>
        <v>18992</v>
      </c>
      <c r="D335" s="800">
        <f t="shared" si="138"/>
        <v>24922.904000000002</v>
      </c>
      <c r="E335" s="800">
        <f t="shared" si="139"/>
        <v>15448.992000000002</v>
      </c>
      <c r="F335" s="800">
        <f t="shared" si="140"/>
        <v>15437.951999999999</v>
      </c>
      <c r="G335" s="800">
        <f t="shared" si="141"/>
        <v>15653.26399999999</v>
      </c>
      <c r="H335" s="800">
        <f t="shared" si="142"/>
        <v>13205.039999999992</v>
      </c>
      <c r="I335" s="800">
        <f t="shared" si="143"/>
        <v>13494.984000000004</v>
      </c>
      <c r="J335" s="800">
        <f t="shared" si="144"/>
        <v>13386.864000000001</v>
      </c>
      <c r="K335" s="800">
        <f t="shared" si="145"/>
        <v>0</v>
      </c>
      <c r="L335" s="800">
        <f t="shared" si="146"/>
        <v>0</v>
      </c>
      <c r="M335" s="800">
        <f t="shared" si="147"/>
        <v>0</v>
      </c>
      <c r="N335" s="800" t="s">
        <v>167</v>
      </c>
      <c r="O335" s="800" t="s">
        <v>189</v>
      </c>
    </row>
    <row r="336" spans="1:15">
      <c r="A336" s="137" t="s">
        <v>88</v>
      </c>
      <c r="B336" s="800">
        <f t="shared" si="136"/>
        <v>27042.232000000004</v>
      </c>
      <c r="C336" s="800">
        <f t="shared" si="137"/>
        <v>29419.695999999996</v>
      </c>
      <c r="D336" s="800">
        <f t="shared" si="138"/>
        <v>33284.455999999998</v>
      </c>
      <c r="E336" s="800">
        <f t="shared" si="139"/>
        <v>22258.296000000002</v>
      </c>
      <c r="F336" s="800">
        <f t="shared" si="140"/>
        <v>23924.04</v>
      </c>
      <c r="G336" s="800">
        <f t="shared" si="141"/>
        <v>20206.424000000014</v>
      </c>
      <c r="H336" s="800">
        <f t="shared" si="142"/>
        <v>20391.280000000006</v>
      </c>
      <c r="I336" s="800">
        <f t="shared" si="143"/>
        <v>27745.664000000004</v>
      </c>
      <c r="J336" s="800">
        <f t="shared" si="144"/>
        <v>17887.271999999997</v>
      </c>
      <c r="K336" s="800">
        <f t="shared" si="145"/>
        <v>0</v>
      </c>
      <c r="L336" s="800">
        <f t="shared" si="146"/>
        <v>0</v>
      </c>
      <c r="M336" s="800">
        <f t="shared" si="147"/>
        <v>0</v>
      </c>
      <c r="N336" s="800" t="s">
        <v>167</v>
      </c>
      <c r="O336" s="800" t="s">
        <v>189</v>
      </c>
    </row>
    <row r="337" spans="1:15">
      <c r="A337" s="137" t="s">
        <v>89</v>
      </c>
      <c r="B337" s="800">
        <f t="shared" si="136"/>
        <v>111609.44</v>
      </c>
      <c r="C337" s="800">
        <f t="shared" si="137"/>
        <v>119723.60800000001</v>
      </c>
      <c r="D337" s="800">
        <f t="shared" si="138"/>
        <v>172165.44</v>
      </c>
      <c r="E337" s="800">
        <f t="shared" si="139"/>
        <v>115499.8</v>
      </c>
      <c r="F337" s="800">
        <f t="shared" si="140"/>
        <v>107947.51200000002</v>
      </c>
      <c r="G337" s="800">
        <f t="shared" si="141"/>
        <v>94902.296000000002</v>
      </c>
      <c r="H337" s="800">
        <f t="shared" si="142"/>
        <v>83044.431999999986</v>
      </c>
      <c r="I337" s="800">
        <f t="shared" si="143"/>
        <v>91492.895999999979</v>
      </c>
      <c r="J337" s="800">
        <f t="shared" si="144"/>
        <v>59657.088000000018</v>
      </c>
      <c r="K337" s="800">
        <f t="shared" si="145"/>
        <v>0</v>
      </c>
      <c r="L337" s="800">
        <f t="shared" si="146"/>
        <v>0</v>
      </c>
      <c r="M337" s="800">
        <f t="shared" si="147"/>
        <v>0</v>
      </c>
      <c r="N337" s="800" t="s">
        <v>167</v>
      </c>
      <c r="O337" s="800" t="s">
        <v>189</v>
      </c>
    </row>
    <row r="338" spans="1:15">
      <c r="A338" s="137" t="s">
        <v>90</v>
      </c>
      <c r="B338" s="800">
        <f t="shared" si="136"/>
        <v>19167.431999999997</v>
      </c>
      <c r="C338" s="800">
        <f t="shared" si="137"/>
        <v>21845.207999999984</v>
      </c>
      <c r="D338" s="800">
        <f t="shared" si="138"/>
        <v>23358.616000000002</v>
      </c>
      <c r="E338" s="800">
        <f t="shared" si="139"/>
        <v>16920.727999999999</v>
      </c>
      <c r="F338" s="800">
        <f t="shared" si="140"/>
        <v>20652.312000000002</v>
      </c>
      <c r="G338" s="800">
        <f t="shared" si="141"/>
        <v>19844.808000000008</v>
      </c>
      <c r="H338" s="800">
        <f t="shared" si="142"/>
        <v>15526.791999999994</v>
      </c>
      <c r="I338" s="800">
        <f t="shared" si="143"/>
        <v>13231.624000000005</v>
      </c>
      <c r="J338" s="800">
        <f t="shared" si="144"/>
        <v>12787.616000000004</v>
      </c>
      <c r="K338" s="800">
        <f t="shared" si="145"/>
        <v>0</v>
      </c>
      <c r="L338" s="800">
        <f t="shared" si="146"/>
        <v>0</v>
      </c>
      <c r="M338" s="800">
        <f t="shared" si="147"/>
        <v>0</v>
      </c>
      <c r="N338" s="800" t="s">
        <v>167</v>
      </c>
      <c r="O338" s="800" t="s">
        <v>189</v>
      </c>
    </row>
    <row r="339" spans="1:15">
      <c r="A339" s="137" t="s">
        <v>91</v>
      </c>
      <c r="B339" s="800">
        <f t="shared" si="136"/>
        <v>22427.247999999992</v>
      </c>
      <c r="C339" s="800">
        <f t="shared" si="137"/>
        <v>27811.008000000009</v>
      </c>
      <c r="D339" s="800">
        <f t="shared" si="138"/>
        <v>39497.448000000004</v>
      </c>
      <c r="E339" s="800">
        <f t="shared" si="139"/>
        <v>23121.4</v>
      </c>
      <c r="F339" s="800">
        <f t="shared" si="140"/>
        <v>25568.616000000002</v>
      </c>
      <c r="G339" s="800">
        <f t="shared" si="141"/>
        <v>23840.76</v>
      </c>
      <c r="H339" s="800">
        <f t="shared" si="142"/>
        <v>20070.351999999992</v>
      </c>
      <c r="I339" s="800">
        <f t="shared" si="143"/>
        <v>26234.407999999996</v>
      </c>
      <c r="J339" s="800">
        <f t="shared" si="144"/>
        <v>25361.056</v>
      </c>
      <c r="K339" s="800">
        <f t="shared" si="145"/>
        <v>0</v>
      </c>
      <c r="L339" s="800">
        <f t="shared" si="146"/>
        <v>0</v>
      </c>
      <c r="M339" s="800">
        <f t="shared" si="147"/>
        <v>0</v>
      </c>
      <c r="N339" s="800" t="s">
        <v>167</v>
      </c>
      <c r="O339" s="800" t="s">
        <v>189</v>
      </c>
    </row>
    <row r="340" spans="1:15">
      <c r="A340" s="137" t="s">
        <v>92</v>
      </c>
      <c r="B340" s="800">
        <f t="shared" si="136"/>
        <v>75913.848000000056</v>
      </c>
      <c r="C340" s="800">
        <f t="shared" si="137"/>
        <v>110487.46399999998</v>
      </c>
      <c r="D340" s="800">
        <f t="shared" si="138"/>
        <v>113339.23200000002</v>
      </c>
      <c r="E340" s="800">
        <f t="shared" si="139"/>
        <v>70059.26400000001</v>
      </c>
      <c r="F340" s="800">
        <f t="shared" si="140"/>
        <v>69937.831999999995</v>
      </c>
      <c r="G340" s="800">
        <f t="shared" si="141"/>
        <v>58783.287999999993</v>
      </c>
      <c r="H340" s="800">
        <f t="shared" si="142"/>
        <v>50937.808000000012</v>
      </c>
      <c r="I340" s="800">
        <f t="shared" si="143"/>
        <v>55525.936000000016</v>
      </c>
      <c r="J340" s="800">
        <f t="shared" si="144"/>
        <v>37285.496000000006</v>
      </c>
      <c r="K340" s="800">
        <f t="shared" si="145"/>
        <v>0</v>
      </c>
      <c r="L340" s="800">
        <f t="shared" si="146"/>
        <v>0</v>
      </c>
      <c r="M340" s="800">
        <f t="shared" si="147"/>
        <v>0</v>
      </c>
      <c r="N340" s="800" t="s">
        <v>167</v>
      </c>
      <c r="O340" s="800" t="s">
        <v>189</v>
      </c>
    </row>
    <row r="341" spans="1:15">
      <c r="A341" s="137" t="s">
        <v>93</v>
      </c>
      <c r="B341" s="800">
        <f t="shared" si="136"/>
        <v>45186.383999999984</v>
      </c>
      <c r="C341" s="800">
        <f t="shared" si="137"/>
        <v>50809.495999999999</v>
      </c>
      <c r="D341" s="800">
        <f t="shared" si="138"/>
        <v>34278.944000000003</v>
      </c>
      <c r="E341" s="800">
        <f t="shared" si="139"/>
        <v>30799.648000000001</v>
      </c>
      <c r="F341" s="800">
        <f t="shared" si="140"/>
        <v>45471.288</v>
      </c>
      <c r="G341" s="800">
        <f t="shared" si="141"/>
        <v>43926.231999999989</v>
      </c>
      <c r="H341" s="800">
        <f t="shared" si="142"/>
        <v>25861.935999999987</v>
      </c>
      <c r="I341" s="800">
        <f t="shared" si="143"/>
        <v>27987.312000000002</v>
      </c>
      <c r="J341" s="800">
        <f t="shared" si="144"/>
        <v>24480.936000000005</v>
      </c>
      <c r="K341" s="800">
        <f t="shared" si="145"/>
        <v>0</v>
      </c>
      <c r="L341" s="800">
        <f t="shared" si="146"/>
        <v>0</v>
      </c>
      <c r="M341" s="800">
        <f t="shared" si="147"/>
        <v>0</v>
      </c>
      <c r="N341" s="800" t="s">
        <v>167</v>
      </c>
      <c r="O341" s="800" t="s">
        <v>189</v>
      </c>
    </row>
    <row r="342" spans="1:15">
      <c r="A342" s="137" t="s">
        <v>94</v>
      </c>
      <c r="B342" s="800">
        <f t="shared" si="136"/>
        <v>8050.8</v>
      </c>
      <c r="C342" s="800">
        <f t="shared" si="137"/>
        <v>5731.8799999999937</v>
      </c>
      <c r="D342" s="800">
        <f t="shared" si="138"/>
        <v>8351.5679999999993</v>
      </c>
      <c r="E342" s="800">
        <f t="shared" si="139"/>
        <v>5110.7839999999997</v>
      </c>
      <c r="F342" s="800">
        <f t="shared" si="140"/>
        <v>4931.3600000000006</v>
      </c>
      <c r="G342" s="800">
        <f t="shared" si="141"/>
        <v>4263.9679999999998</v>
      </c>
      <c r="H342" s="800">
        <f t="shared" si="142"/>
        <v>2508.2480000000041</v>
      </c>
      <c r="I342" s="800">
        <f t="shared" si="143"/>
        <v>7429.5119999999997</v>
      </c>
      <c r="J342" s="800">
        <f t="shared" si="144"/>
        <v>4252.7440000000006</v>
      </c>
      <c r="K342" s="800">
        <f t="shared" si="145"/>
        <v>0</v>
      </c>
      <c r="L342" s="800">
        <f t="shared" si="146"/>
        <v>0</v>
      </c>
      <c r="M342" s="800">
        <f t="shared" si="147"/>
        <v>0</v>
      </c>
      <c r="N342" s="800" t="s">
        <v>167</v>
      </c>
      <c r="O342" s="800" t="s">
        <v>189</v>
      </c>
    </row>
    <row r="343" spans="1:15">
      <c r="A343" s="137" t="s">
        <v>95</v>
      </c>
      <c r="B343" s="800">
        <f t="shared" si="136"/>
        <v>92360.152000000002</v>
      </c>
      <c r="C343" s="800">
        <f t="shared" si="137"/>
        <v>97922.192000000185</v>
      </c>
      <c r="D343" s="800">
        <f t="shared" si="138"/>
        <v>104439.77600000001</v>
      </c>
      <c r="E343" s="800">
        <f t="shared" si="139"/>
        <v>72213.2</v>
      </c>
      <c r="F343" s="800">
        <f t="shared" si="140"/>
        <v>77149.736000000004</v>
      </c>
      <c r="G343" s="800">
        <f t="shared" si="141"/>
        <v>65444.231999999938</v>
      </c>
      <c r="H343" s="800">
        <f t="shared" si="142"/>
        <v>62047.472000000023</v>
      </c>
      <c r="I343" s="800">
        <f t="shared" si="143"/>
        <v>67534.263999999966</v>
      </c>
      <c r="J343" s="800">
        <f t="shared" si="144"/>
        <v>56911.304000000004</v>
      </c>
      <c r="K343" s="800">
        <f t="shared" si="145"/>
        <v>0</v>
      </c>
      <c r="L343" s="800">
        <f t="shared" si="146"/>
        <v>0</v>
      </c>
      <c r="M343" s="800">
        <f t="shared" si="147"/>
        <v>0</v>
      </c>
      <c r="N343" s="800" t="s">
        <v>167</v>
      </c>
      <c r="O343" s="800" t="s">
        <v>189</v>
      </c>
    </row>
    <row r="344" spans="1:15">
      <c r="A344" s="137" t="s">
        <v>96</v>
      </c>
      <c r="B344" s="800">
        <f t="shared" si="136"/>
        <v>13076.752000000004</v>
      </c>
      <c r="C344" s="800">
        <f t="shared" si="137"/>
        <v>21988.11199999999</v>
      </c>
      <c r="D344" s="800">
        <f t="shared" si="138"/>
        <v>22676.648000000001</v>
      </c>
      <c r="E344" s="800">
        <f t="shared" si="139"/>
        <v>17679.295999999998</v>
      </c>
      <c r="F344" s="800">
        <f t="shared" si="140"/>
        <v>14261.536000000002</v>
      </c>
      <c r="G344" s="800">
        <f t="shared" si="141"/>
        <v>11886.383999999998</v>
      </c>
      <c r="H344" s="800">
        <f t="shared" si="142"/>
        <v>9397.5919999999933</v>
      </c>
      <c r="I344" s="800">
        <f t="shared" si="143"/>
        <v>11588.807999999997</v>
      </c>
      <c r="J344" s="800">
        <f t="shared" si="144"/>
        <v>10501.048000000003</v>
      </c>
      <c r="K344" s="800">
        <f t="shared" si="145"/>
        <v>0</v>
      </c>
      <c r="L344" s="800">
        <f t="shared" si="146"/>
        <v>0</v>
      </c>
      <c r="M344" s="800">
        <f t="shared" si="147"/>
        <v>0</v>
      </c>
      <c r="N344" s="800" t="s">
        <v>167</v>
      </c>
      <c r="O344" s="800" t="s">
        <v>189</v>
      </c>
    </row>
    <row r="345" spans="1:15">
      <c r="A345" s="137" t="s">
        <v>97</v>
      </c>
      <c r="B345" s="800">
        <f t="shared" si="136"/>
        <v>124074.58399999999</v>
      </c>
      <c r="C345" s="800">
        <f t="shared" si="137"/>
        <v>120469.47200000007</v>
      </c>
      <c r="D345" s="800">
        <f t="shared" si="138"/>
        <v>137496.39199999999</v>
      </c>
      <c r="E345" s="800">
        <f t="shared" si="139"/>
        <v>81205</v>
      </c>
      <c r="F345" s="800">
        <f t="shared" si="140"/>
        <v>102612.984</v>
      </c>
      <c r="G345" s="800">
        <f t="shared" si="141"/>
        <v>99332.463999999978</v>
      </c>
      <c r="H345" s="800">
        <f t="shared" si="142"/>
        <v>79734.904000000097</v>
      </c>
      <c r="I345" s="800">
        <f t="shared" si="143"/>
        <v>85678.391999999978</v>
      </c>
      <c r="J345" s="800">
        <f t="shared" si="144"/>
        <v>81375.695999999996</v>
      </c>
      <c r="K345" s="800">
        <f t="shared" si="145"/>
        <v>0</v>
      </c>
      <c r="L345" s="800">
        <f t="shared" si="146"/>
        <v>0</v>
      </c>
      <c r="M345" s="800">
        <f t="shared" si="147"/>
        <v>0</v>
      </c>
      <c r="N345" s="800" t="s">
        <v>167</v>
      </c>
      <c r="O345" s="800" t="s">
        <v>189</v>
      </c>
    </row>
    <row r="346" spans="1:15">
      <c r="A346" s="137" t="s">
        <v>98</v>
      </c>
      <c r="B346" s="800">
        <f t="shared" si="136"/>
        <v>8707.5120000000024</v>
      </c>
      <c r="C346" s="800">
        <f t="shared" si="137"/>
        <v>10929.864000000001</v>
      </c>
      <c r="D346" s="800">
        <f t="shared" si="138"/>
        <v>10167.608</v>
      </c>
      <c r="E346" s="800">
        <f t="shared" si="139"/>
        <v>15040.512000000001</v>
      </c>
      <c r="F346" s="800">
        <f t="shared" si="140"/>
        <v>11613.936</v>
      </c>
      <c r="G346" s="800">
        <f t="shared" si="141"/>
        <v>5634.0479999999989</v>
      </c>
      <c r="H346" s="800">
        <f t="shared" si="142"/>
        <v>5106.2880000000005</v>
      </c>
      <c r="I346" s="800">
        <f t="shared" si="143"/>
        <v>10729.375999999998</v>
      </c>
      <c r="J346" s="800">
        <f t="shared" si="144"/>
        <v>17595.128000000004</v>
      </c>
      <c r="K346" s="800">
        <f t="shared" si="145"/>
        <v>0</v>
      </c>
      <c r="L346" s="800">
        <f t="shared" si="146"/>
        <v>0</v>
      </c>
      <c r="M346" s="800">
        <f t="shared" si="147"/>
        <v>0</v>
      </c>
      <c r="N346" s="800" t="s">
        <v>167</v>
      </c>
      <c r="O346" s="800" t="s">
        <v>189</v>
      </c>
    </row>
    <row r="347" spans="1:15">
      <c r="A347" s="137" t="s">
        <v>99</v>
      </c>
      <c r="B347" s="800">
        <f t="shared" si="136"/>
        <v>779.41600000000039</v>
      </c>
      <c r="C347" s="800">
        <f t="shared" si="137"/>
        <v>4241.9999999999991</v>
      </c>
      <c r="D347" s="800">
        <f t="shared" si="138"/>
        <v>2528.1360000000004</v>
      </c>
      <c r="E347" s="800">
        <f t="shared" si="139"/>
        <v>201.72800000000001</v>
      </c>
      <c r="F347" s="800">
        <f t="shared" si="140"/>
        <v>182.84000000000003</v>
      </c>
      <c r="G347" s="800">
        <f t="shared" si="141"/>
        <v>630.80799999999954</v>
      </c>
      <c r="H347" s="800">
        <f t="shared" si="142"/>
        <v>192.36800000000005</v>
      </c>
      <c r="I347" s="800">
        <f t="shared" si="143"/>
        <v>573.31999999999994</v>
      </c>
      <c r="J347" s="800">
        <f t="shared" si="144"/>
        <v>1154.9279999999999</v>
      </c>
      <c r="K347" s="800">
        <f t="shared" si="145"/>
        <v>0</v>
      </c>
      <c r="L347" s="800">
        <f t="shared" si="146"/>
        <v>0</v>
      </c>
      <c r="M347" s="800">
        <f t="shared" si="147"/>
        <v>0</v>
      </c>
      <c r="N347" s="800" t="s">
        <v>167</v>
      </c>
      <c r="O347" s="800" t="s">
        <v>189</v>
      </c>
    </row>
    <row r="348" spans="1:15">
      <c r="A348" s="137" t="s">
        <v>100</v>
      </c>
      <c r="B348" s="800">
        <f t="shared" si="136"/>
        <v>85075.73599999999</v>
      </c>
      <c r="C348" s="800">
        <f t="shared" si="137"/>
        <v>106951.984</v>
      </c>
      <c r="D348" s="800">
        <f t="shared" si="138"/>
        <v>90482.296000000002</v>
      </c>
      <c r="E348" s="800">
        <f t="shared" si="139"/>
        <v>58745.464000000007</v>
      </c>
      <c r="F348" s="800">
        <f t="shared" si="140"/>
        <v>110921.58399999999</v>
      </c>
      <c r="G348" s="800">
        <f t="shared" si="141"/>
        <v>95189.280000000028</v>
      </c>
      <c r="H348" s="800">
        <f t="shared" si="142"/>
        <v>88985.712000000014</v>
      </c>
      <c r="I348" s="800">
        <f t="shared" si="143"/>
        <v>88286.208000000013</v>
      </c>
      <c r="J348" s="800">
        <f t="shared" si="144"/>
        <v>65683.823999999993</v>
      </c>
      <c r="K348" s="800">
        <f t="shared" si="145"/>
        <v>0</v>
      </c>
      <c r="L348" s="800">
        <f t="shared" si="146"/>
        <v>0</v>
      </c>
      <c r="M348" s="800">
        <f t="shared" si="147"/>
        <v>0</v>
      </c>
      <c r="N348" s="800" t="s">
        <v>167</v>
      </c>
      <c r="O348" s="800" t="s">
        <v>189</v>
      </c>
    </row>
    <row r="349" spans="1:15">
      <c r="A349" s="137" t="s">
        <v>101</v>
      </c>
      <c r="B349" s="800">
        <f t="shared" si="136"/>
        <v>411876.2800000002</v>
      </c>
      <c r="C349" s="800">
        <f t="shared" si="137"/>
        <v>513328.43200000003</v>
      </c>
      <c r="D349" s="800">
        <f t="shared" si="138"/>
        <v>520882.19200000004</v>
      </c>
      <c r="E349" s="800">
        <f t="shared" si="139"/>
        <v>345118.984</v>
      </c>
      <c r="F349" s="800">
        <f t="shared" si="140"/>
        <v>399717.19200000004</v>
      </c>
      <c r="G349" s="800">
        <f t="shared" si="141"/>
        <v>325029.02399999986</v>
      </c>
      <c r="H349" s="800">
        <f t="shared" si="142"/>
        <v>279459.55199999979</v>
      </c>
      <c r="I349" s="800">
        <f t="shared" si="143"/>
        <v>324729.82399999996</v>
      </c>
      <c r="J349" s="800">
        <f t="shared" si="144"/>
        <v>263065.52</v>
      </c>
      <c r="K349" s="800">
        <f t="shared" si="145"/>
        <v>0</v>
      </c>
      <c r="L349" s="800">
        <f t="shared" si="146"/>
        <v>0</v>
      </c>
      <c r="M349" s="800">
        <f t="shared" si="147"/>
        <v>0</v>
      </c>
      <c r="N349" s="800" t="s">
        <v>167</v>
      </c>
      <c r="O349" s="800" t="s">
        <v>189</v>
      </c>
    </row>
    <row r="350" spans="1:15">
      <c r="A350" s="137" t="s">
        <v>102</v>
      </c>
      <c r="B350" s="800">
        <f t="shared" si="136"/>
        <v>11842.119999999995</v>
      </c>
      <c r="C350" s="800">
        <f t="shared" si="137"/>
        <v>18528.352000000014</v>
      </c>
      <c r="D350" s="800">
        <f t="shared" si="138"/>
        <v>15698.032000000001</v>
      </c>
      <c r="E350" s="800">
        <f t="shared" si="139"/>
        <v>10193.976000000001</v>
      </c>
      <c r="F350" s="800">
        <f t="shared" si="140"/>
        <v>10310.168000000001</v>
      </c>
      <c r="G350" s="800">
        <f t="shared" si="141"/>
        <v>16579.735999999986</v>
      </c>
      <c r="H350" s="800">
        <f t="shared" si="142"/>
        <v>7572.1440000000002</v>
      </c>
      <c r="I350" s="800">
        <f t="shared" si="143"/>
        <v>7129.5679999999993</v>
      </c>
      <c r="J350" s="800">
        <f t="shared" si="144"/>
        <v>6730.3919999999989</v>
      </c>
      <c r="K350" s="800">
        <f t="shared" si="145"/>
        <v>0</v>
      </c>
      <c r="L350" s="800">
        <f t="shared" si="146"/>
        <v>0</v>
      </c>
      <c r="M350" s="800">
        <f t="shared" si="147"/>
        <v>0</v>
      </c>
      <c r="N350" s="800" t="s">
        <v>167</v>
      </c>
      <c r="O350" s="800" t="s">
        <v>189</v>
      </c>
    </row>
    <row r="351" spans="1:15">
      <c r="A351" s="137" t="s">
        <v>103</v>
      </c>
      <c r="B351" s="800">
        <f t="shared" si="136"/>
        <v>4399.840000000002</v>
      </c>
      <c r="C351" s="800">
        <f t="shared" si="137"/>
        <v>5992.0079999999962</v>
      </c>
      <c r="D351" s="800">
        <f t="shared" si="138"/>
        <v>6929.0880000000006</v>
      </c>
      <c r="E351" s="800">
        <f t="shared" si="139"/>
        <v>5162.6480000000001</v>
      </c>
      <c r="F351" s="800">
        <f t="shared" si="140"/>
        <v>2883.0240000000003</v>
      </c>
      <c r="G351" s="800">
        <f t="shared" si="141"/>
        <v>4467.2320000000063</v>
      </c>
      <c r="H351" s="800">
        <f t="shared" si="142"/>
        <v>3918.8399999999997</v>
      </c>
      <c r="I351" s="800">
        <f t="shared" si="143"/>
        <v>2999.8720000000017</v>
      </c>
      <c r="J351" s="800">
        <f t="shared" si="144"/>
        <v>1447.1520000000005</v>
      </c>
      <c r="K351" s="800">
        <f t="shared" si="145"/>
        <v>0</v>
      </c>
      <c r="L351" s="800">
        <f t="shared" si="146"/>
        <v>0</v>
      </c>
      <c r="M351" s="800">
        <f t="shared" si="147"/>
        <v>0</v>
      </c>
      <c r="N351" s="800" t="s">
        <v>167</v>
      </c>
      <c r="O351" s="800" t="s">
        <v>189</v>
      </c>
    </row>
    <row r="352" spans="1:15">
      <c r="A352" s="137" t="s">
        <v>77</v>
      </c>
      <c r="B352" s="800">
        <f t="shared" ref="B352:B378" si="148">Q39</f>
        <v>8336.8028472214592</v>
      </c>
      <c r="C352" s="800">
        <f t="shared" ref="C352:C378" si="149">R39</f>
        <v>15414.778995684548</v>
      </c>
      <c r="D352" s="800">
        <f t="shared" ref="D352:D378" si="150">S39</f>
        <v>20051.869902990798</v>
      </c>
      <c r="E352" s="800">
        <f t="shared" ref="E352:E378" si="151">T39</f>
        <v>24519.669594373237</v>
      </c>
      <c r="F352" s="800">
        <f t="shared" ref="F352:F378" si="152">U39</f>
        <v>28996.360266469539</v>
      </c>
      <c r="G352" s="800">
        <f t="shared" ref="G352:G378" si="153">V39</f>
        <v>33497.957700139377</v>
      </c>
      <c r="H352" s="800">
        <f t="shared" ref="H352:H378" si="154">W39</f>
        <v>37991.99380145537</v>
      </c>
      <c r="I352" s="800">
        <f t="shared" ref="I352:I378" si="155">X39</f>
        <v>46138.790768203071</v>
      </c>
      <c r="J352" s="800">
        <f t="shared" ref="J352:J378" si="156">Y39</f>
        <v>51881.722589591016</v>
      </c>
      <c r="K352" s="800">
        <f t="shared" ref="K352:K378" si="157">Z39</f>
        <v>59207.079410862025</v>
      </c>
      <c r="L352" s="800">
        <f t="shared" ref="L352:L378" si="158">AA39</f>
        <v>62369.803261508045</v>
      </c>
      <c r="M352" s="800">
        <f t="shared" ref="M352:M378" si="159">AB39</f>
        <v>65999.62</v>
      </c>
      <c r="N352" s="800" t="s">
        <v>166</v>
      </c>
      <c r="O352" s="800" t="s">
        <v>189</v>
      </c>
    </row>
    <row r="353" spans="1:15">
      <c r="A353" s="137" t="s">
        <v>78</v>
      </c>
      <c r="B353" s="800">
        <f t="shared" si="148"/>
        <v>14647.249170255513</v>
      </c>
      <c r="C353" s="800">
        <f t="shared" si="149"/>
        <v>27253.377779136492</v>
      </c>
      <c r="D353" s="800">
        <f t="shared" si="150"/>
        <v>38639.668306413805</v>
      </c>
      <c r="E353" s="800">
        <f t="shared" si="151"/>
        <v>46721.822660287267</v>
      </c>
      <c r="F353" s="800">
        <f t="shared" si="152"/>
        <v>55972.015388699205</v>
      </c>
      <c r="G353" s="800">
        <f t="shared" si="153"/>
        <v>64642.435439189525</v>
      </c>
      <c r="H353" s="800">
        <f t="shared" si="154"/>
        <v>73075.645601512093</v>
      </c>
      <c r="I353" s="800">
        <f t="shared" si="155"/>
        <v>81485.054392479884</v>
      </c>
      <c r="J353" s="800">
        <f t="shared" si="156"/>
        <v>90163.512291066145</v>
      </c>
      <c r="K353" s="800">
        <f t="shared" si="157"/>
        <v>103544.54296144353</v>
      </c>
      <c r="L353" s="800">
        <f t="shared" si="158"/>
        <v>112431.65547464951</v>
      </c>
      <c r="M353" s="800">
        <f t="shared" si="159"/>
        <v>123638.42</v>
      </c>
      <c r="N353" s="800" t="s">
        <v>166</v>
      </c>
      <c r="O353" s="800" t="s">
        <v>189</v>
      </c>
    </row>
    <row r="354" spans="1:15">
      <c r="A354" s="137" t="s">
        <v>79</v>
      </c>
      <c r="B354" s="800">
        <f t="shared" si="148"/>
        <v>9295.076188049039</v>
      </c>
      <c r="C354" s="800">
        <f t="shared" si="149"/>
        <v>15936.929809039138</v>
      </c>
      <c r="D354" s="800">
        <f t="shared" si="150"/>
        <v>22069.357401442783</v>
      </c>
      <c r="E354" s="800">
        <f t="shared" si="151"/>
        <v>27466.920173312079</v>
      </c>
      <c r="F354" s="800">
        <f t="shared" si="152"/>
        <v>33708.307141402263</v>
      </c>
      <c r="G354" s="800">
        <f t="shared" si="153"/>
        <v>39447.590588893421</v>
      </c>
      <c r="H354" s="800">
        <f t="shared" si="154"/>
        <v>45953.859650875835</v>
      </c>
      <c r="I354" s="800">
        <f t="shared" si="155"/>
        <v>51179.718342835535</v>
      </c>
      <c r="J354" s="800">
        <f t="shared" si="156"/>
        <v>57407.249349611171</v>
      </c>
      <c r="K354" s="800">
        <f t="shared" si="157"/>
        <v>63391.9932957864</v>
      </c>
      <c r="L354" s="800">
        <f t="shared" si="158"/>
        <v>67423.528979617186</v>
      </c>
      <c r="M354" s="800">
        <f t="shared" si="159"/>
        <v>70623.45</v>
      </c>
      <c r="N354" s="800" t="s">
        <v>166</v>
      </c>
      <c r="O354" s="800" t="s">
        <v>189</v>
      </c>
    </row>
    <row r="355" spans="1:15">
      <c r="A355" s="137" t="s">
        <v>80</v>
      </c>
      <c r="B355" s="800">
        <f t="shared" si="148"/>
        <v>14680.310540965855</v>
      </c>
      <c r="C355" s="800">
        <f t="shared" si="149"/>
        <v>31169.392001600219</v>
      </c>
      <c r="D355" s="800">
        <f t="shared" si="150"/>
        <v>45625.821652772182</v>
      </c>
      <c r="E355" s="800">
        <f t="shared" si="151"/>
        <v>58274.01152110783</v>
      </c>
      <c r="F355" s="800">
        <f t="shared" si="152"/>
        <v>70331.08591617721</v>
      </c>
      <c r="G355" s="800">
        <f t="shared" si="153"/>
        <v>84414.630082112417</v>
      </c>
      <c r="H355" s="800">
        <f t="shared" si="154"/>
        <v>96068.814142511867</v>
      </c>
      <c r="I355" s="800">
        <f t="shared" si="155"/>
        <v>108367.24658781498</v>
      </c>
      <c r="J355" s="800">
        <f t="shared" si="156"/>
        <v>117930.55101029112</v>
      </c>
      <c r="K355" s="800">
        <f t="shared" si="157"/>
        <v>129066.74517076746</v>
      </c>
      <c r="L355" s="800">
        <f t="shared" si="158"/>
        <v>136272.705903383</v>
      </c>
      <c r="M355" s="800">
        <f t="shared" si="159"/>
        <v>146693.6</v>
      </c>
      <c r="N355" s="800" t="s">
        <v>166</v>
      </c>
      <c r="O355" s="800" t="s">
        <v>189</v>
      </c>
    </row>
    <row r="356" spans="1:15">
      <c r="A356" s="137" t="s">
        <v>81</v>
      </c>
      <c r="B356" s="800">
        <f t="shared" si="148"/>
        <v>51220.805625233101</v>
      </c>
      <c r="C356" s="800">
        <f t="shared" si="149"/>
        <v>96098.153271213741</v>
      </c>
      <c r="D356" s="800">
        <f t="shared" si="150"/>
        <v>129933.62854377193</v>
      </c>
      <c r="E356" s="800">
        <f t="shared" si="151"/>
        <v>158679.17110927339</v>
      </c>
      <c r="F356" s="800">
        <f t="shared" si="152"/>
        <v>181807.93040468317</v>
      </c>
      <c r="G356" s="800">
        <f t="shared" si="153"/>
        <v>207257.28209835145</v>
      </c>
      <c r="H356" s="800">
        <f t="shared" si="154"/>
        <v>234337.63737538646</v>
      </c>
      <c r="I356" s="800">
        <f t="shared" si="155"/>
        <v>259534.16571315285</v>
      </c>
      <c r="J356" s="800">
        <f t="shared" si="156"/>
        <v>285266.1440721252</v>
      </c>
      <c r="K356" s="800">
        <f t="shared" si="157"/>
        <v>318651.89221077482</v>
      </c>
      <c r="L356" s="800">
        <f t="shared" si="158"/>
        <v>340635.93684421608</v>
      </c>
      <c r="M356" s="800">
        <f t="shared" si="159"/>
        <v>369690.77</v>
      </c>
      <c r="N356" s="800" t="s">
        <v>166</v>
      </c>
      <c r="O356" s="800" t="s">
        <v>189</v>
      </c>
    </row>
    <row r="357" spans="1:15">
      <c r="A357" s="137" t="s">
        <v>82</v>
      </c>
      <c r="B357" s="800">
        <f t="shared" si="148"/>
        <v>30304.53610661795</v>
      </c>
      <c r="C357" s="800">
        <f t="shared" si="149"/>
        <v>48804.758811206397</v>
      </c>
      <c r="D357" s="800">
        <f t="shared" si="150"/>
        <v>67155.402568693171</v>
      </c>
      <c r="E357" s="800">
        <f t="shared" si="151"/>
        <v>83078.299086937885</v>
      </c>
      <c r="F357" s="800">
        <f t="shared" si="152"/>
        <v>94891.694415894468</v>
      </c>
      <c r="G357" s="800">
        <f t="shared" si="153"/>
        <v>107011.15699112409</v>
      </c>
      <c r="H357" s="800">
        <f t="shared" si="154"/>
        <v>122340.48846577024</v>
      </c>
      <c r="I357" s="800">
        <f t="shared" si="155"/>
        <v>138373.9811071436</v>
      </c>
      <c r="J357" s="800">
        <f t="shared" si="156"/>
        <v>151642.8649883967</v>
      </c>
      <c r="K357" s="800">
        <f t="shared" si="157"/>
        <v>177448.06321080055</v>
      </c>
      <c r="L357" s="800">
        <f t="shared" si="158"/>
        <v>191847.4160579498</v>
      </c>
      <c r="M357" s="800">
        <f t="shared" si="159"/>
        <v>211350.33000000002</v>
      </c>
      <c r="N357" s="800" t="s">
        <v>166</v>
      </c>
      <c r="O357" s="800" t="s">
        <v>189</v>
      </c>
    </row>
    <row r="358" spans="1:15">
      <c r="A358" s="137" t="s">
        <v>83</v>
      </c>
      <c r="B358" s="800">
        <f t="shared" si="148"/>
        <v>50239.437655159883</v>
      </c>
      <c r="C358" s="800">
        <f t="shared" si="149"/>
        <v>88767.795608625442</v>
      </c>
      <c r="D358" s="800">
        <f t="shared" si="150"/>
        <v>127712.11436805535</v>
      </c>
      <c r="E358" s="800">
        <f t="shared" si="151"/>
        <v>160502.30442299371</v>
      </c>
      <c r="F358" s="800">
        <f t="shared" si="152"/>
        <v>190626.58371231082</v>
      </c>
      <c r="G358" s="800">
        <f t="shared" si="153"/>
        <v>219144.07330035811</v>
      </c>
      <c r="H358" s="800">
        <f t="shared" si="154"/>
        <v>249623.61924269484</v>
      </c>
      <c r="I358" s="800">
        <f t="shared" si="155"/>
        <v>283138.22909428016</v>
      </c>
      <c r="J358" s="800">
        <f t="shared" si="156"/>
        <v>309886.40902198962</v>
      </c>
      <c r="K358" s="800">
        <f t="shared" si="157"/>
        <v>348682.19858074363</v>
      </c>
      <c r="L358" s="800">
        <f t="shared" si="158"/>
        <v>371384.66763311444</v>
      </c>
      <c r="M358" s="800">
        <f t="shared" si="159"/>
        <v>394786.83999999997</v>
      </c>
      <c r="N358" s="800" t="s">
        <v>166</v>
      </c>
      <c r="O358" s="800" t="s">
        <v>189</v>
      </c>
    </row>
    <row r="359" spans="1:15">
      <c r="A359" s="137" t="s">
        <v>84</v>
      </c>
      <c r="B359" s="800">
        <f t="shared" si="148"/>
        <v>30323.179836155792</v>
      </c>
      <c r="C359" s="800">
        <f t="shared" si="149"/>
        <v>60036.94693157835</v>
      </c>
      <c r="D359" s="800">
        <f t="shared" si="150"/>
        <v>83206.431067686368</v>
      </c>
      <c r="E359" s="800">
        <f t="shared" si="151"/>
        <v>97060.180642045831</v>
      </c>
      <c r="F359" s="800">
        <f t="shared" si="152"/>
        <v>110313.02994771644</v>
      </c>
      <c r="G359" s="800">
        <f t="shared" si="153"/>
        <v>125058.1461529888</v>
      </c>
      <c r="H359" s="800">
        <f t="shared" si="154"/>
        <v>141881.00702150853</v>
      </c>
      <c r="I359" s="800">
        <f t="shared" si="155"/>
        <v>159076.72428414642</v>
      </c>
      <c r="J359" s="800">
        <f t="shared" si="156"/>
        <v>174829.40431208871</v>
      </c>
      <c r="K359" s="800">
        <f t="shared" si="157"/>
        <v>197405.43312183404</v>
      </c>
      <c r="L359" s="800">
        <f t="shared" si="158"/>
        <v>210389.48663828519</v>
      </c>
      <c r="M359" s="800">
        <f t="shared" si="159"/>
        <v>230979.35</v>
      </c>
      <c r="N359" s="800" t="s">
        <v>166</v>
      </c>
      <c r="O359" s="800" t="s">
        <v>189</v>
      </c>
    </row>
    <row r="360" spans="1:15">
      <c r="A360" s="137" t="s">
        <v>85</v>
      </c>
      <c r="B360" s="800">
        <f t="shared" si="148"/>
        <v>35969.719411687285</v>
      </c>
      <c r="C360" s="800">
        <f t="shared" si="149"/>
        <v>70505.016395671671</v>
      </c>
      <c r="D360" s="800">
        <f t="shared" si="150"/>
        <v>98862.765185164462</v>
      </c>
      <c r="E360" s="800">
        <f t="shared" si="151"/>
        <v>118860.67190653639</v>
      </c>
      <c r="F360" s="800">
        <f t="shared" si="152"/>
        <v>143612.90400361028</v>
      </c>
      <c r="G360" s="800">
        <f t="shared" si="153"/>
        <v>167065.9142032885</v>
      </c>
      <c r="H360" s="800">
        <f t="shared" si="154"/>
        <v>193198.27758525324</v>
      </c>
      <c r="I360" s="800">
        <f t="shared" si="155"/>
        <v>218518.39541467864</v>
      </c>
      <c r="J360" s="800">
        <f t="shared" si="156"/>
        <v>244778.58180175687</v>
      </c>
      <c r="K360" s="800">
        <f t="shared" si="157"/>
        <v>276423.83266402024</v>
      </c>
      <c r="L360" s="800">
        <f t="shared" si="158"/>
        <v>293720.50018183095</v>
      </c>
      <c r="M360" s="800">
        <f t="shared" si="159"/>
        <v>317093.52</v>
      </c>
      <c r="N360" s="800" t="s">
        <v>166</v>
      </c>
      <c r="O360" s="800" t="s">
        <v>189</v>
      </c>
    </row>
    <row r="361" spans="1:15">
      <c r="A361" s="137" t="s">
        <v>86</v>
      </c>
      <c r="B361" s="800">
        <f t="shared" si="148"/>
        <v>19420.810379660044</v>
      </c>
      <c r="C361" s="800">
        <f t="shared" si="149"/>
        <v>36118.744590265771</v>
      </c>
      <c r="D361" s="800">
        <f t="shared" si="150"/>
        <v>57961.883298556408</v>
      </c>
      <c r="E361" s="800">
        <f t="shared" si="151"/>
        <v>70462.287548212</v>
      </c>
      <c r="F361" s="800">
        <f t="shared" si="152"/>
        <v>80925.291359078168</v>
      </c>
      <c r="G361" s="800">
        <f t="shared" si="153"/>
        <v>96527.478677244886</v>
      </c>
      <c r="H361" s="800">
        <f t="shared" si="154"/>
        <v>111517.37007011712</v>
      </c>
      <c r="I361" s="800">
        <f t="shared" si="155"/>
        <v>123102.80482324504</v>
      </c>
      <c r="J361" s="800">
        <f t="shared" si="156"/>
        <v>133864.023782832</v>
      </c>
      <c r="K361" s="800">
        <f t="shared" si="157"/>
        <v>147114.43019768235</v>
      </c>
      <c r="L361" s="800">
        <f t="shared" si="158"/>
        <v>155185.55969272868</v>
      </c>
      <c r="M361" s="800">
        <f t="shared" si="159"/>
        <v>165818.14000000001</v>
      </c>
      <c r="N361" s="800" t="s">
        <v>166</v>
      </c>
      <c r="O361" s="800" t="s">
        <v>189</v>
      </c>
    </row>
    <row r="362" spans="1:15">
      <c r="A362" s="137" t="s">
        <v>87</v>
      </c>
      <c r="B362" s="800">
        <f t="shared" si="148"/>
        <v>15885.739586203224</v>
      </c>
      <c r="C362" s="800">
        <f t="shared" si="149"/>
        <v>34821.668665685414</v>
      </c>
      <c r="D362" s="800">
        <f t="shared" si="150"/>
        <v>52620.618185059182</v>
      </c>
      <c r="E362" s="800">
        <f t="shared" si="151"/>
        <v>66065.639449984097</v>
      </c>
      <c r="F362" s="800">
        <f t="shared" si="152"/>
        <v>77778.008084481553</v>
      </c>
      <c r="G362" s="800">
        <f t="shared" si="153"/>
        <v>92962.873710273663</v>
      </c>
      <c r="H362" s="800">
        <f t="shared" si="154"/>
        <v>108449.72684505519</v>
      </c>
      <c r="I362" s="800">
        <f t="shared" si="155"/>
        <v>123157.88552355992</v>
      </c>
      <c r="J362" s="800">
        <f t="shared" si="156"/>
        <v>133828.77786542769</v>
      </c>
      <c r="K362" s="800">
        <f t="shared" si="157"/>
        <v>145573.8889337912</v>
      </c>
      <c r="L362" s="800">
        <f t="shared" si="158"/>
        <v>154879.96391051891</v>
      </c>
      <c r="M362" s="800">
        <f t="shared" si="159"/>
        <v>167836.07</v>
      </c>
      <c r="N362" s="800" t="s">
        <v>166</v>
      </c>
      <c r="O362" s="800" t="s">
        <v>189</v>
      </c>
    </row>
    <row r="363" spans="1:15">
      <c r="A363" s="137" t="s">
        <v>88</v>
      </c>
      <c r="B363" s="800">
        <f t="shared" si="148"/>
        <v>36041.247969075936</v>
      </c>
      <c r="C363" s="800">
        <f t="shared" si="149"/>
        <v>67629.101447970388</v>
      </c>
      <c r="D363" s="800">
        <f t="shared" si="150"/>
        <v>94361.511764548981</v>
      </c>
      <c r="E363" s="800">
        <f t="shared" si="151"/>
        <v>116375.44742246465</v>
      </c>
      <c r="F363" s="800">
        <f t="shared" si="152"/>
        <v>140602.90225037583</v>
      </c>
      <c r="G363" s="800">
        <f t="shared" si="153"/>
        <v>161041.2893503861</v>
      </c>
      <c r="H363" s="800">
        <f t="shared" si="154"/>
        <v>184733.8194167809</v>
      </c>
      <c r="I363" s="800">
        <f t="shared" si="155"/>
        <v>208198.36112138457</v>
      </c>
      <c r="J363" s="800">
        <f t="shared" si="156"/>
        <v>230703.30766831504</v>
      </c>
      <c r="K363" s="800">
        <f t="shared" si="157"/>
        <v>256334.58822697602</v>
      </c>
      <c r="L363" s="800">
        <f t="shared" si="158"/>
        <v>276090.48467400001</v>
      </c>
      <c r="M363" s="800">
        <f t="shared" si="159"/>
        <v>293680.92</v>
      </c>
      <c r="N363" s="800" t="s">
        <v>166</v>
      </c>
      <c r="O363" s="800" t="s">
        <v>189</v>
      </c>
    </row>
    <row r="364" spans="1:15">
      <c r="A364" s="137" t="s">
        <v>89</v>
      </c>
      <c r="B364" s="800">
        <f t="shared" si="148"/>
        <v>91304.528428417208</v>
      </c>
      <c r="C364" s="800">
        <f t="shared" si="149"/>
        <v>167401.36778119957</v>
      </c>
      <c r="D364" s="800">
        <f t="shared" si="150"/>
        <v>237501.09224339595</v>
      </c>
      <c r="E364" s="800">
        <f t="shared" si="151"/>
        <v>293814.0173835071</v>
      </c>
      <c r="F364" s="800">
        <f t="shared" si="152"/>
        <v>340213.69325914688</v>
      </c>
      <c r="G364" s="800">
        <f t="shared" si="153"/>
        <v>387953.99745750282</v>
      </c>
      <c r="H364" s="800">
        <f t="shared" si="154"/>
        <v>443599.90426975494</v>
      </c>
      <c r="I364" s="800">
        <f t="shared" si="155"/>
        <v>491586.09882922145</v>
      </c>
      <c r="J364" s="800">
        <f t="shared" si="156"/>
        <v>544373.78347346769</v>
      </c>
      <c r="K364" s="800">
        <f t="shared" si="157"/>
        <v>610950.68106150371</v>
      </c>
      <c r="L364" s="800">
        <f t="shared" si="158"/>
        <v>661886.92369456135</v>
      </c>
      <c r="M364" s="800">
        <f t="shared" si="159"/>
        <v>723080.07</v>
      </c>
      <c r="N364" s="800" t="s">
        <v>166</v>
      </c>
      <c r="O364" s="800" t="s">
        <v>189</v>
      </c>
    </row>
    <row r="365" spans="1:15">
      <c r="A365" s="137" t="s">
        <v>90</v>
      </c>
      <c r="B365" s="800">
        <f t="shared" si="148"/>
        <v>37263.111414137398</v>
      </c>
      <c r="C365" s="800">
        <f t="shared" si="149"/>
        <v>70419.955014427469</v>
      </c>
      <c r="D365" s="800">
        <f t="shared" si="150"/>
        <v>100946.74103323862</v>
      </c>
      <c r="E365" s="800">
        <f t="shared" si="151"/>
        <v>125769.39477051707</v>
      </c>
      <c r="F365" s="800">
        <f t="shared" si="152"/>
        <v>146504.6015714125</v>
      </c>
      <c r="G365" s="800">
        <f t="shared" si="153"/>
        <v>167188.31945475188</v>
      </c>
      <c r="H365" s="800">
        <f t="shared" si="154"/>
        <v>189621.17210701018</v>
      </c>
      <c r="I365" s="800">
        <f t="shared" si="155"/>
        <v>213637.63788822529</v>
      </c>
      <c r="J365" s="800">
        <f t="shared" si="156"/>
        <v>234083.74377634362</v>
      </c>
      <c r="K365" s="800">
        <f t="shared" si="157"/>
        <v>263827.7574928563</v>
      </c>
      <c r="L365" s="800">
        <f t="shared" si="158"/>
        <v>286021.15556731808</v>
      </c>
      <c r="M365" s="800">
        <f t="shared" si="159"/>
        <v>309741.52</v>
      </c>
      <c r="N365" s="800" t="s">
        <v>166</v>
      </c>
      <c r="O365" s="800" t="s">
        <v>189</v>
      </c>
    </row>
    <row r="366" spans="1:15">
      <c r="A366" s="137" t="s">
        <v>91</v>
      </c>
      <c r="B366" s="800">
        <f t="shared" si="148"/>
        <v>36108.718000127592</v>
      </c>
      <c r="C366" s="800">
        <f t="shared" si="149"/>
        <v>62836.238130962462</v>
      </c>
      <c r="D366" s="800">
        <f t="shared" si="150"/>
        <v>84664.858800467089</v>
      </c>
      <c r="E366" s="800">
        <f t="shared" si="151"/>
        <v>102974.81008457387</v>
      </c>
      <c r="F366" s="800">
        <f t="shared" si="152"/>
        <v>121904.65756977</v>
      </c>
      <c r="G366" s="800">
        <f t="shared" si="153"/>
        <v>140210.52843826677</v>
      </c>
      <c r="H366" s="800">
        <f t="shared" si="154"/>
        <v>161350.30201427086</v>
      </c>
      <c r="I366" s="800">
        <f t="shared" si="155"/>
        <v>182772.12493247245</v>
      </c>
      <c r="J366" s="800">
        <f t="shared" si="156"/>
        <v>202230.74347229648</v>
      </c>
      <c r="K366" s="800">
        <f t="shared" si="157"/>
        <v>228189.06169958811</v>
      </c>
      <c r="L366" s="800">
        <f t="shared" si="158"/>
        <v>248232.11462550596</v>
      </c>
      <c r="M366" s="800">
        <f t="shared" si="159"/>
        <v>273180.46000000002</v>
      </c>
      <c r="N366" s="800" t="s">
        <v>166</v>
      </c>
      <c r="O366" s="800" t="s">
        <v>189</v>
      </c>
    </row>
    <row r="367" spans="1:15">
      <c r="A367" s="137" t="s">
        <v>92</v>
      </c>
      <c r="B367" s="800">
        <f t="shared" si="148"/>
        <v>120839.37504212784</v>
      </c>
      <c r="C367" s="800">
        <f t="shared" si="149"/>
        <v>218028.14088487098</v>
      </c>
      <c r="D367" s="800">
        <f t="shared" si="150"/>
        <v>303503.09370740718</v>
      </c>
      <c r="E367" s="800">
        <f t="shared" si="151"/>
        <v>365671.63684856868</v>
      </c>
      <c r="F367" s="800">
        <f t="shared" si="152"/>
        <v>424411.93014624494</v>
      </c>
      <c r="G367" s="800">
        <f t="shared" si="153"/>
        <v>481134.33452623396</v>
      </c>
      <c r="H367" s="800">
        <f t="shared" si="154"/>
        <v>534917.18518358469</v>
      </c>
      <c r="I367" s="800">
        <f t="shared" si="155"/>
        <v>593564.90662966494</v>
      </c>
      <c r="J367" s="800">
        <f t="shared" si="156"/>
        <v>642655.92486714327</v>
      </c>
      <c r="K367" s="800">
        <f t="shared" si="157"/>
        <v>717095.31842351763</v>
      </c>
      <c r="L367" s="800">
        <f t="shared" si="158"/>
        <v>772252.50076300139</v>
      </c>
      <c r="M367" s="800">
        <f t="shared" si="159"/>
        <v>867607.55</v>
      </c>
      <c r="N367" s="800" t="s">
        <v>166</v>
      </c>
      <c r="O367" s="800" t="s">
        <v>189</v>
      </c>
    </row>
    <row r="368" spans="1:15">
      <c r="A368" s="137" t="s">
        <v>93</v>
      </c>
      <c r="B368" s="800">
        <f t="shared" si="148"/>
        <v>58849.093528752172</v>
      </c>
      <c r="C368" s="800">
        <f t="shared" si="149"/>
        <v>119124.95219093903</v>
      </c>
      <c r="D368" s="800">
        <f t="shared" si="150"/>
        <v>165877.37158067335</v>
      </c>
      <c r="E368" s="800">
        <f t="shared" si="151"/>
        <v>202545.54118853566</v>
      </c>
      <c r="F368" s="800">
        <f t="shared" si="152"/>
        <v>240638.27004566506</v>
      </c>
      <c r="G368" s="800">
        <f t="shared" si="153"/>
        <v>276307.33062605822</v>
      </c>
      <c r="H368" s="800">
        <f t="shared" si="154"/>
        <v>312212.44306456763</v>
      </c>
      <c r="I368" s="800">
        <f t="shared" si="155"/>
        <v>345178.56355595158</v>
      </c>
      <c r="J368" s="800">
        <f t="shared" si="156"/>
        <v>375771.6120210244</v>
      </c>
      <c r="K368" s="800">
        <f t="shared" si="157"/>
        <v>414187.4665309288</v>
      </c>
      <c r="L368" s="800">
        <f t="shared" si="158"/>
        <v>438242.07795567444</v>
      </c>
      <c r="M368" s="800">
        <f t="shared" si="159"/>
        <v>464660.17</v>
      </c>
      <c r="N368" s="800" t="s">
        <v>166</v>
      </c>
      <c r="O368" s="800" t="s">
        <v>189</v>
      </c>
    </row>
    <row r="369" spans="1:15">
      <c r="A369" s="137" t="s">
        <v>94</v>
      </c>
      <c r="B369" s="800">
        <f t="shared" si="148"/>
        <v>36298.056638275375</v>
      </c>
      <c r="C369" s="800">
        <f t="shared" si="149"/>
        <v>61609.665369901923</v>
      </c>
      <c r="D369" s="800">
        <f t="shared" si="150"/>
        <v>79315.353684136353</v>
      </c>
      <c r="E369" s="800">
        <f t="shared" si="151"/>
        <v>94225.196804507796</v>
      </c>
      <c r="F369" s="800">
        <f t="shared" si="152"/>
        <v>108373.53453594926</v>
      </c>
      <c r="G369" s="800">
        <f t="shared" si="153"/>
        <v>118974.57827252185</v>
      </c>
      <c r="H369" s="800">
        <f t="shared" si="154"/>
        <v>131174.37937365251</v>
      </c>
      <c r="I369" s="800">
        <f t="shared" si="155"/>
        <v>145288.39004766324</v>
      </c>
      <c r="J369" s="800">
        <f t="shared" si="156"/>
        <v>157138.03299645116</v>
      </c>
      <c r="K369" s="800">
        <f t="shared" si="157"/>
        <v>173604.53859553568</v>
      </c>
      <c r="L369" s="800">
        <f t="shared" si="158"/>
        <v>181872.97092342298</v>
      </c>
      <c r="M369" s="800">
        <f t="shared" si="159"/>
        <v>200000</v>
      </c>
      <c r="N369" s="800" t="s">
        <v>166</v>
      </c>
      <c r="O369" s="800" t="s">
        <v>189</v>
      </c>
    </row>
    <row r="370" spans="1:15">
      <c r="A370" s="137" t="s">
        <v>95</v>
      </c>
      <c r="B370" s="800">
        <f t="shared" si="148"/>
        <v>139664.85722889481</v>
      </c>
      <c r="C370" s="800">
        <f t="shared" si="149"/>
        <v>247479.6768692164</v>
      </c>
      <c r="D370" s="800">
        <f t="shared" si="150"/>
        <v>343236.54698076524</v>
      </c>
      <c r="E370" s="800">
        <f t="shared" si="151"/>
        <v>414132.77425572486</v>
      </c>
      <c r="F370" s="800">
        <f t="shared" si="152"/>
        <v>488208.80302057369</v>
      </c>
      <c r="G370" s="800">
        <f t="shared" si="153"/>
        <v>573360.02303359925</v>
      </c>
      <c r="H370" s="800">
        <f t="shared" si="154"/>
        <v>684558.01371708862</v>
      </c>
      <c r="I370" s="800">
        <f t="shared" si="155"/>
        <v>792356.06523748278</v>
      </c>
      <c r="J370" s="800">
        <f t="shared" si="156"/>
        <v>884882.24900393328</v>
      </c>
      <c r="K370" s="800">
        <f t="shared" si="157"/>
        <v>1005467.4465442627</v>
      </c>
      <c r="L370" s="800">
        <f t="shared" si="158"/>
        <v>1077675.692291734</v>
      </c>
      <c r="M370" s="800">
        <f t="shared" si="159"/>
        <v>1162226.3400000001</v>
      </c>
      <c r="N370" s="800" t="s">
        <v>166</v>
      </c>
      <c r="O370" s="800" t="s">
        <v>189</v>
      </c>
    </row>
    <row r="371" spans="1:15">
      <c r="A371" s="137" t="s">
        <v>96</v>
      </c>
      <c r="B371" s="800">
        <f t="shared" si="148"/>
        <v>21366.503422018093</v>
      </c>
      <c r="C371" s="800">
        <f t="shared" si="149"/>
        <v>42859.678325243534</v>
      </c>
      <c r="D371" s="800">
        <f t="shared" si="150"/>
        <v>61043.985368333764</v>
      </c>
      <c r="E371" s="800">
        <f t="shared" si="151"/>
        <v>77128.738016070187</v>
      </c>
      <c r="F371" s="800">
        <f t="shared" si="152"/>
        <v>92736.445485417906</v>
      </c>
      <c r="G371" s="800">
        <f t="shared" si="153"/>
        <v>106864.96132898824</v>
      </c>
      <c r="H371" s="800">
        <f t="shared" si="154"/>
        <v>122361.8919234136</v>
      </c>
      <c r="I371" s="800">
        <f t="shared" si="155"/>
        <v>135209.51753133564</v>
      </c>
      <c r="J371" s="800">
        <f t="shared" si="156"/>
        <v>145696.08401291427</v>
      </c>
      <c r="K371" s="800">
        <f t="shared" si="157"/>
        <v>165031.88069855675</v>
      </c>
      <c r="L371" s="800">
        <f t="shared" si="158"/>
        <v>177300.11821354827</v>
      </c>
      <c r="M371" s="800">
        <f t="shared" si="159"/>
        <v>193603.36</v>
      </c>
      <c r="N371" s="800" t="s">
        <v>166</v>
      </c>
      <c r="O371" s="800" t="s">
        <v>189</v>
      </c>
    </row>
    <row r="372" spans="1:15">
      <c r="A372" s="137" t="s">
        <v>97</v>
      </c>
      <c r="B372" s="800">
        <f t="shared" si="148"/>
        <v>228824.42352782053</v>
      </c>
      <c r="C372" s="800">
        <f t="shared" si="149"/>
        <v>409685.39670533827</v>
      </c>
      <c r="D372" s="800">
        <f t="shared" si="150"/>
        <v>570746.72738636727</v>
      </c>
      <c r="E372" s="800">
        <f t="shared" si="151"/>
        <v>702996.07069958071</v>
      </c>
      <c r="F372" s="800">
        <f t="shared" si="152"/>
        <v>827314.54071892519</v>
      </c>
      <c r="G372" s="800">
        <f t="shared" si="153"/>
        <v>939101.25233798625</v>
      </c>
      <c r="H372" s="800">
        <f t="shared" si="154"/>
        <v>1063968.1901491005</v>
      </c>
      <c r="I372" s="800">
        <f t="shared" si="155"/>
        <v>1179891.0913707966</v>
      </c>
      <c r="J372" s="800">
        <f t="shared" si="156"/>
        <v>1288522.1066161138</v>
      </c>
      <c r="K372" s="800">
        <f t="shared" si="157"/>
        <v>1438715.4134615795</v>
      </c>
      <c r="L372" s="800">
        <f t="shared" si="158"/>
        <v>1542978.5963739841</v>
      </c>
      <c r="M372" s="800">
        <f t="shared" si="159"/>
        <v>1698548.27</v>
      </c>
      <c r="N372" s="800" t="s">
        <v>166</v>
      </c>
      <c r="O372" s="800" t="s">
        <v>189</v>
      </c>
    </row>
    <row r="373" spans="1:15">
      <c r="A373" s="137" t="s">
        <v>98</v>
      </c>
      <c r="B373" s="800">
        <f t="shared" si="148"/>
        <v>9513.8276982349798</v>
      </c>
      <c r="C373" s="800">
        <f t="shared" si="149"/>
        <v>17668.672117599825</v>
      </c>
      <c r="D373" s="800">
        <f t="shared" si="150"/>
        <v>25259.005839159741</v>
      </c>
      <c r="E373" s="800">
        <f t="shared" si="151"/>
        <v>31300.773908672789</v>
      </c>
      <c r="F373" s="800">
        <f t="shared" si="152"/>
        <v>37896.637730751492</v>
      </c>
      <c r="G373" s="800">
        <f t="shared" si="153"/>
        <v>44231.402212929992</v>
      </c>
      <c r="H373" s="800">
        <f t="shared" si="154"/>
        <v>49464.794606514151</v>
      </c>
      <c r="I373" s="800">
        <f t="shared" si="155"/>
        <v>54708.601124587309</v>
      </c>
      <c r="J373" s="800">
        <f t="shared" si="156"/>
        <v>58701.099792667555</v>
      </c>
      <c r="K373" s="800">
        <f t="shared" si="157"/>
        <v>66524.912620549832</v>
      </c>
      <c r="L373" s="800">
        <f t="shared" si="158"/>
        <v>70397.83438321171</v>
      </c>
      <c r="M373" s="800">
        <f t="shared" si="159"/>
        <v>76550.48</v>
      </c>
      <c r="N373" s="800" t="s">
        <v>166</v>
      </c>
      <c r="O373" s="800" t="s">
        <v>189</v>
      </c>
    </row>
    <row r="374" spans="1:15">
      <c r="A374" s="137" t="s">
        <v>99</v>
      </c>
      <c r="B374" s="800">
        <f t="shared" si="148"/>
        <v>2599.0670826936516</v>
      </c>
      <c r="C374" s="800">
        <f t="shared" si="149"/>
        <v>4729.9551597191085</v>
      </c>
      <c r="D374" s="800">
        <f t="shared" si="150"/>
        <v>5970.7188209029546</v>
      </c>
      <c r="E374" s="800">
        <f t="shared" si="151"/>
        <v>7326.7386692616428</v>
      </c>
      <c r="F374" s="800">
        <f t="shared" si="152"/>
        <v>8259.0370686177394</v>
      </c>
      <c r="G374" s="800">
        <f t="shared" si="153"/>
        <v>9654.4869268326693</v>
      </c>
      <c r="H374" s="800">
        <f t="shared" si="154"/>
        <v>11069.101613930146</v>
      </c>
      <c r="I374" s="800">
        <f t="shared" si="155"/>
        <v>12211.495025753888</v>
      </c>
      <c r="J374" s="800">
        <f t="shared" si="156"/>
        <v>13143.161442987008</v>
      </c>
      <c r="K374" s="800">
        <f t="shared" si="157"/>
        <v>13602.235713820284</v>
      </c>
      <c r="L374" s="800">
        <f t="shared" si="158"/>
        <v>14917.371156706617</v>
      </c>
      <c r="M374" s="800">
        <f t="shared" si="159"/>
        <v>16201.14</v>
      </c>
      <c r="N374" s="800" t="s">
        <v>166</v>
      </c>
      <c r="O374" s="800" t="s">
        <v>189</v>
      </c>
    </row>
    <row r="375" spans="1:15">
      <c r="A375" s="137" t="s">
        <v>100</v>
      </c>
      <c r="B375" s="800">
        <f t="shared" si="148"/>
        <v>88220.034612701449</v>
      </c>
      <c r="C375" s="800">
        <f t="shared" si="149"/>
        <v>163498.3171574749</v>
      </c>
      <c r="D375" s="800">
        <f t="shared" si="150"/>
        <v>228626.57756970421</v>
      </c>
      <c r="E375" s="800">
        <f t="shared" si="151"/>
        <v>276708.57450305764</v>
      </c>
      <c r="F375" s="800">
        <f t="shared" si="152"/>
        <v>327935.30748740502</v>
      </c>
      <c r="G375" s="800">
        <f t="shared" si="153"/>
        <v>375998.36692535045</v>
      </c>
      <c r="H375" s="800">
        <f t="shared" si="154"/>
        <v>428946.46793774544</v>
      </c>
      <c r="I375" s="800">
        <f t="shared" si="155"/>
        <v>484716.18238412315</v>
      </c>
      <c r="J375" s="800">
        <f t="shared" si="156"/>
        <v>532530.99626695213</v>
      </c>
      <c r="K375" s="800">
        <f t="shared" si="157"/>
        <v>603310.11832010129</v>
      </c>
      <c r="L375" s="800">
        <f t="shared" si="158"/>
        <v>645425.06202282826</v>
      </c>
      <c r="M375" s="800">
        <f t="shared" si="159"/>
        <v>700847.52</v>
      </c>
      <c r="N375" s="800" t="s">
        <v>166</v>
      </c>
      <c r="O375" s="800" t="s">
        <v>189</v>
      </c>
    </row>
    <row r="376" spans="1:15">
      <c r="A376" s="137" t="s">
        <v>101</v>
      </c>
      <c r="B376" s="800">
        <f t="shared" si="148"/>
        <v>429267.31481459923</v>
      </c>
      <c r="C376" s="800">
        <f t="shared" si="149"/>
        <v>807312.67678728502</v>
      </c>
      <c r="D376" s="800">
        <f t="shared" si="150"/>
        <v>1136025.3838936999</v>
      </c>
      <c r="E376" s="800">
        <f t="shared" si="151"/>
        <v>1381939.6629652041</v>
      </c>
      <c r="F376" s="800">
        <f t="shared" si="152"/>
        <v>1634160.9889386925</v>
      </c>
      <c r="G376" s="800">
        <f t="shared" si="153"/>
        <v>1904949.5011064569</v>
      </c>
      <c r="H376" s="800">
        <f t="shared" si="154"/>
        <v>2310151.1043383372</v>
      </c>
      <c r="I376" s="800">
        <f t="shared" si="155"/>
        <v>2714072.3622637484</v>
      </c>
      <c r="J376" s="800">
        <f t="shared" si="156"/>
        <v>3051785.0300273825</v>
      </c>
      <c r="K376" s="800">
        <f t="shared" si="157"/>
        <v>3453150.1898887195</v>
      </c>
      <c r="L376" s="800">
        <f t="shared" si="158"/>
        <v>3712513.2215679386</v>
      </c>
      <c r="M376" s="800">
        <f t="shared" si="159"/>
        <v>4054515.912</v>
      </c>
      <c r="N376" s="800" t="s">
        <v>166</v>
      </c>
      <c r="O376" s="800" t="s">
        <v>189</v>
      </c>
    </row>
    <row r="377" spans="1:15">
      <c r="A377" s="137" t="s">
        <v>102</v>
      </c>
      <c r="B377" s="800">
        <f t="shared" si="148"/>
        <v>6561.911106264386</v>
      </c>
      <c r="C377" s="800">
        <f t="shared" si="149"/>
        <v>14895.607250449531</v>
      </c>
      <c r="D377" s="800">
        <f t="shared" si="150"/>
        <v>21586.157281783602</v>
      </c>
      <c r="E377" s="800">
        <f t="shared" si="151"/>
        <v>27267.092293593538</v>
      </c>
      <c r="F377" s="800">
        <f t="shared" si="152"/>
        <v>32774.702286627362</v>
      </c>
      <c r="G377" s="800">
        <f t="shared" si="153"/>
        <v>39025.525649543459</v>
      </c>
      <c r="H377" s="800">
        <f t="shared" si="154"/>
        <v>45457.95495008045</v>
      </c>
      <c r="I377" s="800">
        <f t="shared" si="155"/>
        <v>51871.064213644277</v>
      </c>
      <c r="J377" s="800">
        <f t="shared" si="156"/>
        <v>56917.28607548841</v>
      </c>
      <c r="K377" s="800">
        <f t="shared" si="157"/>
        <v>62823.987676059609</v>
      </c>
      <c r="L377" s="800">
        <f t="shared" si="158"/>
        <v>68190.585150452942</v>
      </c>
      <c r="M377" s="800">
        <f t="shared" si="159"/>
        <v>73005.62</v>
      </c>
      <c r="N377" s="800" t="s">
        <v>166</v>
      </c>
      <c r="O377" s="800" t="s">
        <v>189</v>
      </c>
    </row>
    <row r="378" spans="1:15">
      <c r="A378" s="137" t="s">
        <v>103</v>
      </c>
      <c r="B378" s="800">
        <f t="shared" si="148"/>
        <v>4284.3351863326416</v>
      </c>
      <c r="C378" s="800">
        <f t="shared" si="149"/>
        <v>9548.6365617746269</v>
      </c>
      <c r="D378" s="800">
        <f t="shared" si="150"/>
        <v>14616.929438422827</v>
      </c>
      <c r="E378" s="800">
        <f t="shared" si="151"/>
        <v>17984.13105620772</v>
      </c>
      <c r="F378" s="800">
        <f t="shared" si="152"/>
        <v>23253.830884967148</v>
      </c>
      <c r="G378" s="800">
        <f t="shared" si="153"/>
        <v>27990.423703661068</v>
      </c>
      <c r="H378" s="800">
        <f t="shared" si="154"/>
        <v>32429.26946605249</v>
      </c>
      <c r="I378" s="800">
        <f t="shared" si="155"/>
        <v>39106.461200349579</v>
      </c>
      <c r="J378" s="800">
        <f t="shared" si="156"/>
        <v>41948.884690546016</v>
      </c>
      <c r="K378" s="800">
        <f t="shared" si="157"/>
        <v>46380.579157911125</v>
      </c>
      <c r="L378" s="800">
        <f t="shared" si="158"/>
        <v>48481.770519564678</v>
      </c>
      <c r="M378" s="800">
        <f t="shared" si="159"/>
        <v>50794.41</v>
      </c>
      <c r="N378" s="800" t="s">
        <v>166</v>
      </c>
      <c r="O378" s="800" t="s">
        <v>189</v>
      </c>
    </row>
    <row r="379" spans="1:15">
      <c r="A379" s="137" t="s">
        <v>77</v>
      </c>
      <c r="B379" s="800">
        <f t="shared" ref="B379:M379" si="160">B39</f>
        <v>8336.8028472214592</v>
      </c>
      <c r="C379" s="800">
        <f t="shared" si="160"/>
        <v>15414.778995684548</v>
      </c>
      <c r="D379" s="800">
        <f t="shared" si="160"/>
        <v>20051.869902990798</v>
      </c>
      <c r="E379" s="800">
        <f t="shared" si="160"/>
        <v>24519.669594373237</v>
      </c>
      <c r="F379" s="800">
        <f t="shared" si="160"/>
        <v>28996.360266469539</v>
      </c>
      <c r="G379" s="800">
        <f t="shared" si="160"/>
        <v>33497.957700139377</v>
      </c>
      <c r="H379" s="800">
        <f t="shared" si="160"/>
        <v>37991.99380145537</v>
      </c>
      <c r="I379" s="800">
        <f t="shared" si="160"/>
        <v>46138.790768203071</v>
      </c>
      <c r="J379" s="800">
        <f t="shared" si="160"/>
        <v>51881.722589591016</v>
      </c>
      <c r="K379" s="800">
        <f t="shared" si="160"/>
        <v>59207.079410862025</v>
      </c>
      <c r="L379" s="800">
        <f t="shared" si="160"/>
        <v>62369.803261508045</v>
      </c>
      <c r="M379" s="800">
        <f t="shared" si="160"/>
        <v>65999.62</v>
      </c>
      <c r="N379" s="800" t="s">
        <v>214</v>
      </c>
      <c r="O379" s="800" t="s">
        <v>189</v>
      </c>
    </row>
    <row r="380" spans="1:15">
      <c r="A380" s="137" t="s">
        <v>78</v>
      </c>
      <c r="B380" s="800">
        <f t="shared" ref="B380:M380" si="161">B40</f>
        <v>14647.249170255513</v>
      </c>
      <c r="C380" s="800">
        <f t="shared" si="161"/>
        <v>27253.377779136492</v>
      </c>
      <c r="D380" s="800">
        <f t="shared" si="161"/>
        <v>38639.668306413805</v>
      </c>
      <c r="E380" s="800">
        <f t="shared" si="161"/>
        <v>46721.822660287267</v>
      </c>
      <c r="F380" s="800">
        <f t="shared" si="161"/>
        <v>55972.015388699205</v>
      </c>
      <c r="G380" s="800">
        <f t="shared" si="161"/>
        <v>64642.435439189525</v>
      </c>
      <c r="H380" s="800">
        <f t="shared" si="161"/>
        <v>73075.645601512093</v>
      </c>
      <c r="I380" s="800">
        <f t="shared" si="161"/>
        <v>81485.054392479884</v>
      </c>
      <c r="J380" s="800">
        <f t="shared" si="161"/>
        <v>90163.512291066145</v>
      </c>
      <c r="K380" s="800">
        <f t="shared" si="161"/>
        <v>103544.54296144353</v>
      </c>
      <c r="L380" s="800">
        <f t="shared" si="161"/>
        <v>112431.65547464951</v>
      </c>
      <c r="M380" s="800">
        <f t="shared" si="161"/>
        <v>123638.42</v>
      </c>
      <c r="N380" s="800" t="s">
        <v>214</v>
      </c>
      <c r="O380" s="800" t="s">
        <v>189</v>
      </c>
    </row>
    <row r="381" spans="1:15">
      <c r="A381" s="137" t="s">
        <v>79</v>
      </c>
      <c r="B381" s="800">
        <f t="shared" ref="B381:M381" si="162">B41</f>
        <v>19307.017545860344</v>
      </c>
      <c r="C381" s="800">
        <f t="shared" si="162"/>
        <v>33102.965185575951</v>
      </c>
      <c r="D381" s="800">
        <f t="shared" si="162"/>
        <v>45840.772249221576</v>
      </c>
      <c r="E381" s="800">
        <f t="shared" si="162"/>
        <v>57052.174612480318</v>
      </c>
      <c r="F381" s="800">
        <f t="shared" si="162"/>
        <v>70016.303713256828</v>
      </c>
      <c r="G381" s="800">
        <f t="shared" si="162"/>
        <v>81937.501988516509</v>
      </c>
      <c r="H381" s="800">
        <f t="shared" si="162"/>
        <v>95451.823807555702</v>
      </c>
      <c r="I381" s="800">
        <f t="shared" si="162"/>
        <v>106306.57565860319</v>
      </c>
      <c r="J381" s="800">
        <f t="shared" si="162"/>
        <v>119241.92422194217</v>
      </c>
      <c r="K381" s="800">
        <f t="shared" si="162"/>
        <v>131672.97417125292</v>
      </c>
      <c r="L381" s="800">
        <f t="shared" si="162"/>
        <v>140046.97010305178</v>
      </c>
      <c r="M381" s="800">
        <f t="shared" si="162"/>
        <v>146693.6</v>
      </c>
      <c r="N381" s="800" t="s">
        <v>214</v>
      </c>
      <c r="O381" s="800" t="s">
        <v>189</v>
      </c>
    </row>
    <row r="382" spans="1:15">
      <c r="A382" s="137" t="s">
        <v>80</v>
      </c>
      <c r="B382" s="800">
        <f t="shared" ref="B382:M382" si="163">B42</f>
        <v>7067.6169749353403</v>
      </c>
      <c r="C382" s="800">
        <f t="shared" si="163"/>
        <v>15006.039783299428</v>
      </c>
      <c r="D382" s="800">
        <f t="shared" si="163"/>
        <v>21965.872636594053</v>
      </c>
      <c r="E382" s="800">
        <f t="shared" si="163"/>
        <v>28055.155364381149</v>
      </c>
      <c r="F382" s="800">
        <f t="shared" si="163"/>
        <v>33859.854347066575</v>
      </c>
      <c r="G382" s="800">
        <f t="shared" si="163"/>
        <v>40640.167034366605</v>
      </c>
      <c r="H382" s="800">
        <f t="shared" si="163"/>
        <v>46250.900462958023</v>
      </c>
      <c r="I382" s="800">
        <f t="shared" si="163"/>
        <v>52171.797686008264</v>
      </c>
      <c r="J382" s="800">
        <f t="shared" si="163"/>
        <v>56775.908238312673</v>
      </c>
      <c r="K382" s="800">
        <f t="shared" si="163"/>
        <v>62137.263140521718</v>
      </c>
      <c r="L382" s="800">
        <f t="shared" si="163"/>
        <v>65606.465665388765</v>
      </c>
      <c r="M382" s="800">
        <f t="shared" si="163"/>
        <v>70623.45</v>
      </c>
      <c r="N382" s="800" t="s">
        <v>214</v>
      </c>
      <c r="O382" s="800" t="s">
        <v>189</v>
      </c>
    </row>
    <row r="383" spans="1:15">
      <c r="A383" s="137" t="s">
        <v>81</v>
      </c>
      <c r="B383" s="800">
        <f t="shared" ref="B383:M383" si="164">B43</f>
        <v>51220.805625233101</v>
      </c>
      <c r="C383" s="800">
        <f t="shared" si="164"/>
        <v>96098.153271213741</v>
      </c>
      <c r="D383" s="800">
        <f t="shared" si="164"/>
        <v>129933.62854377193</v>
      </c>
      <c r="E383" s="800">
        <f t="shared" si="164"/>
        <v>158679.17110927339</v>
      </c>
      <c r="F383" s="800">
        <f t="shared" si="164"/>
        <v>181807.93040468317</v>
      </c>
      <c r="G383" s="800">
        <f t="shared" si="164"/>
        <v>207257.28209835145</v>
      </c>
      <c r="H383" s="800">
        <f t="shared" si="164"/>
        <v>234337.63737538646</v>
      </c>
      <c r="I383" s="800">
        <f t="shared" si="164"/>
        <v>259534.16571315285</v>
      </c>
      <c r="J383" s="800">
        <f t="shared" si="164"/>
        <v>285266.1440721252</v>
      </c>
      <c r="K383" s="800">
        <f t="shared" si="164"/>
        <v>318651.89221077482</v>
      </c>
      <c r="L383" s="800">
        <f t="shared" si="164"/>
        <v>340635.93684421608</v>
      </c>
      <c r="M383" s="800">
        <f t="shared" si="164"/>
        <v>369690.77</v>
      </c>
      <c r="N383" s="800" t="s">
        <v>214</v>
      </c>
      <c r="O383" s="800" t="s">
        <v>189</v>
      </c>
    </row>
    <row r="384" spans="1:15">
      <c r="A384" s="137" t="s">
        <v>82</v>
      </c>
      <c r="B384" s="800">
        <f t="shared" ref="B384:M384" si="165">B44</f>
        <v>30304.53610661795</v>
      </c>
      <c r="C384" s="800">
        <f t="shared" si="165"/>
        <v>48804.758811206397</v>
      </c>
      <c r="D384" s="800">
        <f t="shared" si="165"/>
        <v>67155.402568693171</v>
      </c>
      <c r="E384" s="800">
        <f t="shared" si="165"/>
        <v>83078.299086937885</v>
      </c>
      <c r="F384" s="800">
        <f t="shared" si="165"/>
        <v>94891.694415894468</v>
      </c>
      <c r="G384" s="800">
        <f t="shared" si="165"/>
        <v>107011.15699112409</v>
      </c>
      <c r="H384" s="800">
        <f t="shared" si="165"/>
        <v>122340.48846577024</v>
      </c>
      <c r="I384" s="800">
        <f t="shared" si="165"/>
        <v>138373.9811071436</v>
      </c>
      <c r="J384" s="800">
        <f t="shared" si="165"/>
        <v>151642.8649883967</v>
      </c>
      <c r="K384" s="800">
        <f t="shared" si="165"/>
        <v>177448.06321080055</v>
      </c>
      <c r="L384" s="800">
        <f t="shared" si="165"/>
        <v>191847.4160579498</v>
      </c>
      <c r="M384" s="800">
        <f t="shared" si="165"/>
        <v>211350.33000000002</v>
      </c>
      <c r="N384" s="800" t="s">
        <v>214</v>
      </c>
      <c r="O384" s="800" t="s">
        <v>189</v>
      </c>
    </row>
    <row r="385" spans="1:15">
      <c r="A385" s="137" t="s">
        <v>83</v>
      </c>
      <c r="B385" s="800">
        <f t="shared" ref="B385:M385" si="166">B45</f>
        <v>50239.437655159883</v>
      </c>
      <c r="C385" s="800">
        <f t="shared" si="166"/>
        <v>88767.795608625442</v>
      </c>
      <c r="D385" s="800">
        <f t="shared" si="166"/>
        <v>127712.11436805535</v>
      </c>
      <c r="E385" s="800">
        <f t="shared" si="166"/>
        <v>160502.30442299371</v>
      </c>
      <c r="F385" s="800">
        <f t="shared" si="166"/>
        <v>190626.58371231082</v>
      </c>
      <c r="G385" s="800">
        <f t="shared" si="166"/>
        <v>219144.07330035811</v>
      </c>
      <c r="H385" s="800">
        <f t="shared" si="166"/>
        <v>249623.61924269484</v>
      </c>
      <c r="I385" s="800">
        <f t="shared" si="166"/>
        <v>283138.22909428016</v>
      </c>
      <c r="J385" s="800">
        <f t="shared" si="166"/>
        <v>309886.40902198962</v>
      </c>
      <c r="K385" s="800">
        <f t="shared" si="166"/>
        <v>348682.19858074363</v>
      </c>
      <c r="L385" s="800">
        <f t="shared" si="166"/>
        <v>371384.66763311444</v>
      </c>
      <c r="M385" s="800">
        <f t="shared" si="166"/>
        <v>394786.83999999997</v>
      </c>
      <c r="N385" s="800" t="s">
        <v>214</v>
      </c>
      <c r="O385" s="800" t="s">
        <v>189</v>
      </c>
    </row>
    <row r="386" spans="1:15">
      <c r="A386" s="137" t="s">
        <v>84</v>
      </c>
      <c r="B386" s="800">
        <f t="shared" ref="B386:M386" si="167">B46</f>
        <v>30323.179836155792</v>
      </c>
      <c r="C386" s="800">
        <f t="shared" si="167"/>
        <v>60036.94693157835</v>
      </c>
      <c r="D386" s="800">
        <f t="shared" si="167"/>
        <v>83206.431067686368</v>
      </c>
      <c r="E386" s="800">
        <f t="shared" si="167"/>
        <v>97060.180642045831</v>
      </c>
      <c r="F386" s="800">
        <f t="shared" si="167"/>
        <v>110313.02994771644</v>
      </c>
      <c r="G386" s="800">
        <f t="shared" si="167"/>
        <v>125058.1461529888</v>
      </c>
      <c r="H386" s="800">
        <f t="shared" si="167"/>
        <v>141881.00702150853</v>
      </c>
      <c r="I386" s="800">
        <f t="shared" si="167"/>
        <v>159076.72428414642</v>
      </c>
      <c r="J386" s="800">
        <f t="shared" si="167"/>
        <v>174829.40431208871</v>
      </c>
      <c r="K386" s="800">
        <f t="shared" si="167"/>
        <v>197405.43312183404</v>
      </c>
      <c r="L386" s="800">
        <f t="shared" si="167"/>
        <v>210389.48663828519</v>
      </c>
      <c r="M386" s="800">
        <f t="shared" si="167"/>
        <v>230979.35</v>
      </c>
      <c r="N386" s="800" t="s">
        <v>214</v>
      </c>
      <c r="O386" s="800" t="s">
        <v>189</v>
      </c>
    </row>
    <row r="387" spans="1:15">
      <c r="A387" s="137" t="s">
        <v>85</v>
      </c>
      <c r="B387" s="800">
        <f t="shared" ref="B387:M387" si="168">B47</f>
        <v>35969.719411687285</v>
      </c>
      <c r="C387" s="800">
        <f t="shared" si="168"/>
        <v>70505.016395671671</v>
      </c>
      <c r="D387" s="800">
        <f t="shared" si="168"/>
        <v>98862.765185164462</v>
      </c>
      <c r="E387" s="800">
        <f t="shared" si="168"/>
        <v>118860.67190653639</v>
      </c>
      <c r="F387" s="800">
        <f t="shared" si="168"/>
        <v>143612.90400361028</v>
      </c>
      <c r="G387" s="800">
        <f t="shared" si="168"/>
        <v>167065.9142032885</v>
      </c>
      <c r="H387" s="800">
        <f t="shared" si="168"/>
        <v>193198.27758525324</v>
      </c>
      <c r="I387" s="800">
        <f t="shared" si="168"/>
        <v>218518.39541467864</v>
      </c>
      <c r="J387" s="800">
        <f t="shared" si="168"/>
        <v>244778.58180175687</v>
      </c>
      <c r="K387" s="800">
        <f t="shared" si="168"/>
        <v>276423.83266402024</v>
      </c>
      <c r="L387" s="800">
        <f t="shared" si="168"/>
        <v>293720.50018183095</v>
      </c>
      <c r="M387" s="800">
        <f t="shared" si="168"/>
        <v>317093.52</v>
      </c>
      <c r="N387" s="800" t="s">
        <v>214</v>
      </c>
      <c r="O387" s="800" t="s">
        <v>189</v>
      </c>
    </row>
    <row r="388" spans="1:15">
      <c r="A388" s="137" t="s">
        <v>86</v>
      </c>
      <c r="B388" s="800">
        <f t="shared" ref="B388:M388" si="169">B48</f>
        <v>19420.810379660044</v>
      </c>
      <c r="C388" s="800">
        <f t="shared" si="169"/>
        <v>36118.744590265771</v>
      </c>
      <c r="D388" s="800">
        <f t="shared" si="169"/>
        <v>57961.883298556408</v>
      </c>
      <c r="E388" s="800">
        <f t="shared" si="169"/>
        <v>70462.287548212</v>
      </c>
      <c r="F388" s="800">
        <f t="shared" si="169"/>
        <v>80925.291359078168</v>
      </c>
      <c r="G388" s="800">
        <f t="shared" si="169"/>
        <v>96527.478677244886</v>
      </c>
      <c r="H388" s="800">
        <f t="shared" si="169"/>
        <v>111517.37007011712</v>
      </c>
      <c r="I388" s="800">
        <f t="shared" si="169"/>
        <v>123102.80482324504</v>
      </c>
      <c r="J388" s="800">
        <f t="shared" si="169"/>
        <v>133864.023782832</v>
      </c>
      <c r="K388" s="800">
        <f t="shared" si="169"/>
        <v>147114.43019768235</v>
      </c>
      <c r="L388" s="800">
        <f t="shared" si="169"/>
        <v>155185.55969272868</v>
      </c>
      <c r="M388" s="800">
        <f t="shared" si="169"/>
        <v>165818.14000000001</v>
      </c>
      <c r="N388" s="800" t="s">
        <v>214</v>
      </c>
      <c r="O388" s="800" t="s">
        <v>189</v>
      </c>
    </row>
    <row r="389" spans="1:15">
      <c r="A389" s="137" t="s">
        <v>87</v>
      </c>
      <c r="B389" s="800">
        <f t="shared" ref="B389:M389" si="170">B49</f>
        <v>68439.767995006056</v>
      </c>
      <c r="C389" s="800">
        <f t="shared" si="170"/>
        <v>150020.52071584261</v>
      </c>
      <c r="D389" s="800">
        <f t="shared" si="170"/>
        <v>226702.87906941495</v>
      </c>
      <c r="E389" s="800">
        <f t="shared" si="170"/>
        <v>284627.41768255923</v>
      </c>
      <c r="F389" s="800">
        <f t="shared" si="170"/>
        <v>335087.25228246517</v>
      </c>
      <c r="G389" s="800">
        <f t="shared" si="170"/>
        <v>400507.47869528783</v>
      </c>
      <c r="H389" s="800">
        <f t="shared" si="170"/>
        <v>467228.74337204976</v>
      </c>
      <c r="I389" s="800">
        <f t="shared" si="170"/>
        <v>530595.19616628101</v>
      </c>
      <c r="J389" s="800">
        <f t="shared" si="170"/>
        <v>576568.08853393607</v>
      </c>
      <c r="K389" s="800">
        <f t="shared" si="170"/>
        <v>627168.98578725033</v>
      </c>
      <c r="L389" s="800">
        <f t="shared" si="170"/>
        <v>667261.90112778195</v>
      </c>
      <c r="M389" s="800">
        <f t="shared" si="170"/>
        <v>723080.07</v>
      </c>
      <c r="N389" s="800" t="s">
        <v>214</v>
      </c>
      <c r="O389" s="800" t="s">
        <v>189</v>
      </c>
    </row>
    <row r="390" spans="1:15">
      <c r="A390" s="137" t="s">
        <v>88</v>
      </c>
      <c r="B390" s="800">
        <f t="shared" ref="B390:M390" si="171">B50</f>
        <v>36041.247969075936</v>
      </c>
      <c r="C390" s="800">
        <f t="shared" si="171"/>
        <v>67629.101447970388</v>
      </c>
      <c r="D390" s="800">
        <f t="shared" si="171"/>
        <v>94361.511764548981</v>
      </c>
      <c r="E390" s="800">
        <f t="shared" si="171"/>
        <v>116375.44742246465</v>
      </c>
      <c r="F390" s="800">
        <f t="shared" si="171"/>
        <v>140602.90225037583</v>
      </c>
      <c r="G390" s="800">
        <f t="shared" si="171"/>
        <v>161041.2893503861</v>
      </c>
      <c r="H390" s="800">
        <f t="shared" si="171"/>
        <v>184733.8194167809</v>
      </c>
      <c r="I390" s="800">
        <f t="shared" si="171"/>
        <v>208198.36112138457</v>
      </c>
      <c r="J390" s="800">
        <f t="shared" si="171"/>
        <v>230703.30766831504</v>
      </c>
      <c r="K390" s="800">
        <f t="shared" si="171"/>
        <v>256334.58822697602</v>
      </c>
      <c r="L390" s="800">
        <f t="shared" si="171"/>
        <v>276090.48467400001</v>
      </c>
      <c r="M390" s="800">
        <f t="shared" si="171"/>
        <v>293680.92</v>
      </c>
      <c r="N390" s="800" t="s">
        <v>214</v>
      </c>
      <c r="O390" s="800" t="s">
        <v>189</v>
      </c>
    </row>
    <row r="391" spans="1:15">
      <c r="A391" s="137" t="s">
        <v>89</v>
      </c>
      <c r="B391" s="800">
        <f t="shared" ref="B391:M391" si="172">B51</f>
        <v>21192.940948612817</v>
      </c>
      <c r="C391" s="800">
        <f t="shared" si="172"/>
        <v>38855.984069677317</v>
      </c>
      <c r="D391" s="800">
        <f t="shared" si="172"/>
        <v>55127.020639414201</v>
      </c>
      <c r="E391" s="800">
        <f t="shared" si="172"/>
        <v>68197.965943881602</v>
      </c>
      <c r="F391" s="800">
        <f t="shared" si="172"/>
        <v>78967.920159659086</v>
      </c>
      <c r="G391" s="800">
        <f t="shared" si="172"/>
        <v>90049.051240006214</v>
      </c>
      <c r="H391" s="800">
        <f t="shared" si="172"/>
        <v>102965.17311701302</v>
      </c>
      <c r="I391" s="800">
        <f t="shared" si="172"/>
        <v>114103.37847387792</v>
      </c>
      <c r="J391" s="800">
        <f t="shared" si="172"/>
        <v>126356.07067584893</v>
      </c>
      <c r="K391" s="800">
        <f t="shared" si="172"/>
        <v>141809.4143753488</v>
      </c>
      <c r="L391" s="800">
        <f t="shared" si="172"/>
        <v>153632.36336645961</v>
      </c>
      <c r="M391" s="800">
        <f t="shared" si="172"/>
        <v>167836.07</v>
      </c>
      <c r="N391" s="800" t="s">
        <v>214</v>
      </c>
      <c r="O391" s="800" t="s">
        <v>189</v>
      </c>
    </row>
    <row r="392" spans="1:15">
      <c r="A392" s="137" t="s">
        <v>90</v>
      </c>
      <c r="B392" s="800">
        <f t="shared" ref="B392:M392" si="173">B52</f>
        <v>37263.111414137398</v>
      </c>
      <c r="C392" s="800">
        <f t="shared" si="173"/>
        <v>70419.955014427469</v>
      </c>
      <c r="D392" s="800">
        <f t="shared" si="173"/>
        <v>100946.74103323862</v>
      </c>
      <c r="E392" s="800">
        <f t="shared" si="173"/>
        <v>125769.39477051707</v>
      </c>
      <c r="F392" s="800">
        <f t="shared" si="173"/>
        <v>146504.6015714125</v>
      </c>
      <c r="G392" s="800">
        <f t="shared" si="173"/>
        <v>167188.31945475188</v>
      </c>
      <c r="H392" s="800">
        <f t="shared" si="173"/>
        <v>189621.17210701018</v>
      </c>
      <c r="I392" s="800">
        <f t="shared" si="173"/>
        <v>213637.63788822529</v>
      </c>
      <c r="J392" s="800">
        <f t="shared" si="173"/>
        <v>234083.74377634362</v>
      </c>
      <c r="K392" s="800">
        <f t="shared" si="173"/>
        <v>263827.7574928563</v>
      </c>
      <c r="L392" s="800">
        <f t="shared" si="173"/>
        <v>286021.15556731808</v>
      </c>
      <c r="M392" s="800">
        <f t="shared" si="173"/>
        <v>309741.52</v>
      </c>
      <c r="N392" s="800" t="s">
        <v>214</v>
      </c>
      <c r="O392" s="800" t="s">
        <v>189</v>
      </c>
    </row>
    <row r="393" spans="1:15">
      <c r="A393" s="137" t="s">
        <v>91</v>
      </c>
      <c r="B393" s="800">
        <f t="shared" ref="B393:M393" si="174">B53</f>
        <v>36108.718000127592</v>
      </c>
      <c r="C393" s="800">
        <f t="shared" si="174"/>
        <v>62836.238130962462</v>
      </c>
      <c r="D393" s="800">
        <f t="shared" si="174"/>
        <v>84664.858800467089</v>
      </c>
      <c r="E393" s="800">
        <f t="shared" si="174"/>
        <v>102974.81008457387</v>
      </c>
      <c r="F393" s="800">
        <f t="shared" si="174"/>
        <v>121904.65756977</v>
      </c>
      <c r="G393" s="800">
        <f t="shared" si="174"/>
        <v>140210.52843826677</v>
      </c>
      <c r="H393" s="800">
        <f t="shared" si="174"/>
        <v>161350.30201427086</v>
      </c>
      <c r="I393" s="800">
        <f t="shared" si="174"/>
        <v>182772.12493247245</v>
      </c>
      <c r="J393" s="800">
        <f t="shared" si="174"/>
        <v>202230.74347229648</v>
      </c>
      <c r="K393" s="800">
        <f t="shared" si="174"/>
        <v>228189.06169958811</v>
      </c>
      <c r="L393" s="800">
        <f t="shared" si="174"/>
        <v>248232.11462550596</v>
      </c>
      <c r="M393" s="800">
        <f t="shared" si="174"/>
        <v>273180.46000000002</v>
      </c>
      <c r="N393" s="800" t="s">
        <v>214</v>
      </c>
      <c r="O393" s="800" t="s">
        <v>189</v>
      </c>
    </row>
    <row r="394" spans="1:15">
      <c r="A394" s="137" t="s">
        <v>92</v>
      </c>
      <c r="B394" s="800">
        <f t="shared" ref="B394:M394" si="175">B54</f>
        <v>64717.330490921704</v>
      </c>
      <c r="C394" s="800">
        <f t="shared" si="175"/>
        <v>116768.22430642528</v>
      </c>
      <c r="D394" s="800">
        <f t="shared" si="175"/>
        <v>162545.61076331083</v>
      </c>
      <c r="E394" s="800">
        <f t="shared" si="175"/>
        <v>195840.90173285626</v>
      </c>
      <c r="F394" s="800">
        <f t="shared" si="175"/>
        <v>227300.14234175612</v>
      </c>
      <c r="G394" s="800">
        <f t="shared" si="175"/>
        <v>257678.6724294835</v>
      </c>
      <c r="H394" s="800">
        <f t="shared" si="175"/>
        <v>286482.8806564972</v>
      </c>
      <c r="I394" s="800">
        <f t="shared" si="175"/>
        <v>317892.54302890081</v>
      </c>
      <c r="J394" s="800">
        <f t="shared" si="175"/>
        <v>344183.970391076</v>
      </c>
      <c r="K394" s="800">
        <f t="shared" si="175"/>
        <v>384051.09840834816</v>
      </c>
      <c r="L394" s="800">
        <f t="shared" si="175"/>
        <v>413591.35047575523</v>
      </c>
      <c r="M394" s="800">
        <f t="shared" si="175"/>
        <v>464660.17</v>
      </c>
      <c r="N394" s="800" t="s">
        <v>214</v>
      </c>
      <c r="O394" s="800" t="s">
        <v>189</v>
      </c>
    </row>
    <row r="395" spans="1:15">
      <c r="A395" s="137" t="s">
        <v>93</v>
      </c>
      <c r="B395" s="800">
        <f t="shared" ref="B395:M395" si="176">B55</f>
        <v>25329.949639863546</v>
      </c>
      <c r="C395" s="800">
        <f t="shared" si="176"/>
        <v>51274.010505759092</v>
      </c>
      <c r="D395" s="800">
        <f t="shared" si="176"/>
        <v>71397.284419998105</v>
      </c>
      <c r="E395" s="800">
        <f t="shared" si="176"/>
        <v>87180.074499837443</v>
      </c>
      <c r="F395" s="800">
        <f t="shared" si="176"/>
        <v>103576.02634444225</v>
      </c>
      <c r="G395" s="800">
        <f t="shared" si="176"/>
        <v>118928.77783178972</v>
      </c>
      <c r="H395" s="800">
        <f t="shared" si="176"/>
        <v>134383.1312524883</v>
      </c>
      <c r="I395" s="800">
        <f t="shared" si="176"/>
        <v>148572.47762637009</v>
      </c>
      <c r="J395" s="800">
        <f t="shared" si="176"/>
        <v>161740.40138668413</v>
      </c>
      <c r="K395" s="800">
        <f t="shared" si="176"/>
        <v>178275.43364903808</v>
      </c>
      <c r="L395" s="800">
        <f t="shared" si="176"/>
        <v>188629.06969438525</v>
      </c>
      <c r="M395" s="800">
        <f t="shared" si="176"/>
        <v>200000</v>
      </c>
      <c r="N395" s="800" t="s">
        <v>214</v>
      </c>
      <c r="O395" s="800" t="s">
        <v>189</v>
      </c>
    </row>
    <row r="396" spans="1:15">
      <c r="A396" s="137" t="s">
        <v>94</v>
      </c>
      <c r="B396" s="800">
        <f t="shared" ref="B396:M396" si="177">B56</f>
        <v>157462.33994847667</v>
      </c>
      <c r="C396" s="800">
        <f t="shared" si="177"/>
        <v>267265.05413950229</v>
      </c>
      <c r="D396" s="800">
        <f t="shared" si="177"/>
        <v>344072.99843638513</v>
      </c>
      <c r="E396" s="800">
        <f t="shared" si="177"/>
        <v>408752.46073913423</v>
      </c>
      <c r="F396" s="800">
        <f t="shared" si="177"/>
        <v>470128.48391787667</v>
      </c>
      <c r="G396" s="800">
        <f t="shared" si="177"/>
        <v>516116.2118365296</v>
      </c>
      <c r="H396" s="800">
        <f t="shared" si="177"/>
        <v>569039.40955572599</v>
      </c>
      <c r="I396" s="800">
        <f t="shared" si="177"/>
        <v>630266.52066348749</v>
      </c>
      <c r="J396" s="800">
        <f t="shared" si="177"/>
        <v>681670.71909935074</v>
      </c>
      <c r="K396" s="800">
        <f t="shared" si="177"/>
        <v>753103.04199876578</v>
      </c>
      <c r="L396" s="800">
        <f t="shared" si="177"/>
        <v>788971.81357046135</v>
      </c>
      <c r="M396" s="800">
        <f t="shared" si="177"/>
        <v>867607.55</v>
      </c>
      <c r="N396" s="800" t="s">
        <v>214</v>
      </c>
      <c r="O396" s="800" t="s">
        <v>189</v>
      </c>
    </row>
    <row r="397" spans="1:15">
      <c r="A397" s="137" t="s">
        <v>95</v>
      </c>
      <c r="B397" s="800">
        <f t="shared" ref="B397:M397" si="178">B57</f>
        <v>139664.85722889481</v>
      </c>
      <c r="C397" s="800">
        <f t="shared" si="178"/>
        <v>247479.6768692164</v>
      </c>
      <c r="D397" s="800">
        <f t="shared" si="178"/>
        <v>343236.54698076524</v>
      </c>
      <c r="E397" s="800">
        <f t="shared" si="178"/>
        <v>414132.77425572486</v>
      </c>
      <c r="F397" s="800">
        <f t="shared" si="178"/>
        <v>488208.80302057369</v>
      </c>
      <c r="G397" s="800">
        <f t="shared" si="178"/>
        <v>573360.02303359925</v>
      </c>
      <c r="H397" s="800">
        <f t="shared" si="178"/>
        <v>684558.01371708862</v>
      </c>
      <c r="I397" s="800">
        <f t="shared" si="178"/>
        <v>792356.06523748278</v>
      </c>
      <c r="J397" s="800">
        <f t="shared" si="178"/>
        <v>884882.24900393328</v>
      </c>
      <c r="K397" s="800">
        <f t="shared" si="178"/>
        <v>1005467.4465442627</v>
      </c>
      <c r="L397" s="800">
        <f t="shared" si="178"/>
        <v>1077675.692291734</v>
      </c>
      <c r="M397" s="800">
        <f t="shared" si="178"/>
        <v>1162226.3400000001</v>
      </c>
      <c r="N397" s="800" t="s">
        <v>214</v>
      </c>
      <c r="O397" s="800" t="s">
        <v>189</v>
      </c>
    </row>
    <row r="398" spans="1:15">
      <c r="A398" s="137" t="s">
        <v>96</v>
      </c>
      <c r="B398" s="800">
        <f t="shared" ref="B398:M398" si="179">B58</f>
        <v>21366.503422018093</v>
      </c>
      <c r="C398" s="800">
        <f t="shared" si="179"/>
        <v>42859.678325243534</v>
      </c>
      <c r="D398" s="800">
        <f t="shared" si="179"/>
        <v>61043.985368333764</v>
      </c>
      <c r="E398" s="800">
        <f t="shared" si="179"/>
        <v>77128.738016070187</v>
      </c>
      <c r="F398" s="800">
        <f t="shared" si="179"/>
        <v>92736.445485417906</v>
      </c>
      <c r="G398" s="800">
        <f t="shared" si="179"/>
        <v>106864.96132898824</v>
      </c>
      <c r="H398" s="800">
        <f t="shared" si="179"/>
        <v>122361.8919234136</v>
      </c>
      <c r="I398" s="800">
        <f t="shared" si="179"/>
        <v>135209.51753133564</v>
      </c>
      <c r="J398" s="800">
        <f t="shared" si="179"/>
        <v>145696.08401291427</v>
      </c>
      <c r="K398" s="800">
        <f t="shared" si="179"/>
        <v>165031.88069855675</v>
      </c>
      <c r="L398" s="800">
        <f t="shared" si="179"/>
        <v>177300.11821354827</v>
      </c>
      <c r="M398" s="800">
        <f t="shared" si="179"/>
        <v>193603.36</v>
      </c>
      <c r="N398" s="800" t="s">
        <v>214</v>
      </c>
      <c r="O398" s="800" t="s">
        <v>189</v>
      </c>
    </row>
    <row r="399" spans="1:15">
      <c r="A399" s="137" t="s">
        <v>97</v>
      </c>
      <c r="B399" s="800">
        <f t="shared" ref="B399:M399" si="180">B59</f>
        <v>10312.70041962243</v>
      </c>
      <c r="C399" s="800">
        <f t="shared" si="180"/>
        <v>18463.775402028499</v>
      </c>
      <c r="D399" s="800">
        <f t="shared" si="180"/>
        <v>25722.516522804239</v>
      </c>
      <c r="E399" s="800">
        <f t="shared" si="180"/>
        <v>31682.753796668276</v>
      </c>
      <c r="F399" s="800">
        <f t="shared" si="180"/>
        <v>37285.56104149649</v>
      </c>
      <c r="G399" s="800">
        <f t="shared" si="180"/>
        <v>42323.584736908284</v>
      </c>
      <c r="H399" s="800">
        <f t="shared" si="180"/>
        <v>47951.110427167849</v>
      </c>
      <c r="I399" s="800">
        <f t="shared" si="180"/>
        <v>53175.544662123924</v>
      </c>
      <c r="J399" s="800">
        <f t="shared" si="180"/>
        <v>58071.34686379839</v>
      </c>
      <c r="K399" s="800">
        <f t="shared" si="180"/>
        <v>64840.285924804695</v>
      </c>
      <c r="L399" s="800">
        <f t="shared" si="180"/>
        <v>69539.237870557976</v>
      </c>
      <c r="M399" s="800">
        <f t="shared" si="180"/>
        <v>76550.48</v>
      </c>
      <c r="N399" s="800" t="s">
        <v>214</v>
      </c>
      <c r="O399" s="800" t="s">
        <v>189</v>
      </c>
    </row>
    <row r="400" spans="1:15">
      <c r="A400" s="137" t="s">
        <v>98</v>
      </c>
      <c r="B400" s="800">
        <f t="shared" ref="B400:M400" si="181">B60</f>
        <v>2013.5060482309539</v>
      </c>
      <c r="C400" s="800">
        <f t="shared" si="181"/>
        <v>3739.3969390045786</v>
      </c>
      <c r="D400" s="800">
        <f t="shared" si="181"/>
        <v>5345.8148121480681</v>
      </c>
      <c r="E400" s="800">
        <f t="shared" si="181"/>
        <v>6624.4943232590449</v>
      </c>
      <c r="F400" s="800">
        <f t="shared" si="181"/>
        <v>8020.442633477769</v>
      </c>
      <c r="G400" s="800">
        <f t="shared" si="181"/>
        <v>9361.1318916352793</v>
      </c>
      <c r="H400" s="800">
        <f t="shared" si="181"/>
        <v>10468.726812573619</v>
      </c>
      <c r="I400" s="800">
        <f t="shared" si="181"/>
        <v>11578.525778330802</v>
      </c>
      <c r="J400" s="800">
        <f t="shared" si="181"/>
        <v>12423.498009352497</v>
      </c>
      <c r="K400" s="800">
        <f t="shared" si="181"/>
        <v>14079.329389617084</v>
      </c>
      <c r="L400" s="800">
        <f t="shared" si="181"/>
        <v>14898.994369979477</v>
      </c>
      <c r="M400" s="800">
        <f t="shared" si="181"/>
        <v>16201.14</v>
      </c>
      <c r="N400" s="800" t="s">
        <v>214</v>
      </c>
      <c r="O400" s="800" t="s">
        <v>189</v>
      </c>
    </row>
    <row r="401" spans="1:15">
      <c r="A401" s="137" t="s">
        <v>99</v>
      </c>
      <c r="B401" s="800">
        <f t="shared" ref="B401:M401" si="182">B61</f>
        <v>272489.52215234539</v>
      </c>
      <c r="C401" s="800">
        <f t="shared" si="182"/>
        <v>495894.55764955218</v>
      </c>
      <c r="D401" s="800">
        <f t="shared" si="182"/>
        <v>625977.80920979346</v>
      </c>
      <c r="E401" s="800">
        <f t="shared" si="182"/>
        <v>768144.6670676549</v>
      </c>
      <c r="F401" s="800">
        <f t="shared" si="182"/>
        <v>865888.02545787103</v>
      </c>
      <c r="G401" s="800">
        <f t="shared" si="182"/>
        <v>1012188.776055836</v>
      </c>
      <c r="H401" s="800">
        <f t="shared" si="182"/>
        <v>1160498.7918625022</v>
      </c>
      <c r="I401" s="800">
        <f t="shared" si="182"/>
        <v>1280268.7804751932</v>
      </c>
      <c r="J401" s="800">
        <f t="shared" si="182"/>
        <v>1377945.8810501166</v>
      </c>
      <c r="K401" s="800">
        <f t="shared" si="182"/>
        <v>1426075.8156427054</v>
      </c>
      <c r="L401" s="800">
        <f t="shared" si="182"/>
        <v>1563956.300061102</v>
      </c>
      <c r="M401" s="800">
        <f t="shared" si="182"/>
        <v>1698548.27</v>
      </c>
      <c r="N401" s="800" t="s">
        <v>214</v>
      </c>
      <c r="O401" s="800" t="s">
        <v>189</v>
      </c>
    </row>
    <row r="402" spans="1:15">
      <c r="A402" s="137" t="s">
        <v>100</v>
      </c>
      <c r="B402" s="800">
        <f t="shared" ref="B402:M402" si="183">B62</f>
        <v>88220.034612701449</v>
      </c>
      <c r="C402" s="800">
        <f t="shared" si="183"/>
        <v>163498.3171574749</v>
      </c>
      <c r="D402" s="800">
        <f t="shared" si="183"/>
        <v>228626.57756970421</v>
      </c>
      <c r="E402" s="800">
        <f t="shared" si="183"/>
        <v>276708.57450305764</v>
      </c>
      <c r="F402" s="800">
        <f t="shared" si="183"/>
        <v>327935.30748740502</v>
      </c>
      <c r="G402" s="800">
        <f t="shared" si="183"/>
        <v>375998.36692535045</v>
      </c>
      <c r="H402" s="800">
        <f t="shared" si="183"/>
        <v>428946.46793774544</v>
      </c>
      <c r="I402" s="800">
        <f t="shared" si="183"/>
        <v>484716.18238412315</v>
      </c>
      <c r="J402" s="800">
        <f t="shared" si="183"/>
        <v>532530.99626695213</v>
      </c>
      <c r="K402" s="800">
        <f t="shared" si="183"/>
        <v>603310.11832010129</v>
      </c>
      <c r="L402" s="800">
        <f t="shared" si="183"/>
        <v>645425.06202282826</v>
      </c>
      <c r="M402" s="800">
        <f t="shared" si="183"/>
        <v>700847.52</v>
      </c>
      <c r="N402" s="800" t="s">
        <v>214</v>
      </c>
      <c r="O402" s="800" t="s">
        <v>189</v>
      </c>
    </row>
    <row r="403" spans="1:15">
      <c r="A403" s="137" t="s">
        <v>101</v>
      </c>
      <c r="B403" s="800">
        <f t="shared" ref="B403:M403" si="184">B63</f>
        <v>7729.3879575172823</v>
      </c>
      <c r="C403" s="800">
        <f t="shared" si="184"/>
        <v>14536.473350191491</v>
      </c>
      <c r="D403" s="800">
        <f t="shared" si="184"/>
        <v>20455.274880395526</v>
      </c>
      <c r="E403" s="800">
        <f t="shared" si="184"/>
        <v>24883.207782898884</v>
      </c>
      <c r="F403" s="800">
        <f t="shared" si="184"/>
        <v>29424.705382012664</v>
      </c>
      <c r="G403" s="800">
        <f t="shared" si="184"/>
        <v>34300.52376545404</v>
      </c>
      <c r="H403" s="800">
        <f t="shared" si="184"/>
        <v>41596.584481700018</v>
      </c>
      <c r="I403" s="800">
        <f t="shared" si="184"/>
        <v>48869.591298308747</v>
      </c>
      <c r="J403" s="800">
        <f t="shared" si="184"/>
        <v>54950.446134509497</v>
      </c>
      <c r="K403" s="800">
        <f t="shared" si="184"/>
        <v>62177.427845285929</v>
      </c>
      <c r="L403" s="800">
        <f t="shared" si="184"/>
        <v>66847.519008766132</v>
      </c>
      <c r="M403" s="800">
        <f t="shared" si="184"/>
        <v>73005.62</v>
      </c>
      <c r="N403" s="800" t="s">
        <v>214</v>
      </c>
      <c r="O403" s="800" t="s">
        <v>189</v>
      </c>
    </row>
    <row r="404" spans="1:15">
      <c r="A404" s="137" t="s">
        <v>102</v>
      </c>
      <c r="B404" s="800">
        <f t="shared" ref="B404:M404" si="185">B64</f>
        <v>364429.10824507044</v>
      </c>
      <c r="C404" s="800">
        <f t="shared" si="185"/>
        <v>827257.909950634</v>
      </c>
      <c r="D404" s="800">
        <f t="shared" si="185"/>
        <v>1198831.2431005489</v>
      </c>
      <c r="E404" s="800">
        <f t="shared" si="185"/>
        <v>1514333.5482713191</v>
      </c>
      <c r="F404" s="800">
        <f t="shared" si="185"/>
        <v>1820209.8952408517</v>
      </c>
      <c r="G404" s="800">
        <f t="shared" si="185"/>
        <v>2167362.1115776855</v>
      </c>
      <c r="H404" s="800">
        <f t="shared" si="185"/>
        <v>2524600.1838225657</v>
      </c>
      <c r="I404" s="800">
        <f t="shared" si="185"/>
        <v>2880765.2784346533</v>
      </c>
      <c r="J404" s="800">
        <f t="shared" si="185"/>
        <v>3161017.4951041276</v>
      </c>
      <c r="K404" s="800">
        <f t="shared" si="185"/>
        <v>3489058.2079554372</v>
      </c>
      <c r="L404" s="800">
        <f t="shared" si="185"/>
        <v>3787103.1372804232</v>
      </c>
      <c r="M404" s="800">
        <f t="shared" si="185"/>
        <v>4054515.912</v>
      </c>
      <c r="N404" s="800" t="s">
        <v>214</v>
      </c>
      <c r="O404" s="800" t="s">
        <v>189</v>
      </c>
    </row>
    <row r="405" spans="1:15">
      <c r="A405" s="137" t="s">
        <v>103</v>
      </c>
      <c r="B405" s="800">
        <f t="shared" ref="B405:M405" si="186">B65</f>
        <v>4284.3351863326416</v>
      </c>
      <c r="C405" s="800">
        <f t="shared" si="186"/>
        <v>9548.6365617746269</v>
      </c>
      <c r="D405" s="800">
        <f t="shared" si="186"/>
        <v>14616.929438422827</v>
      </c>
      <c r="E405" s="800">
        <f t="shared" si="186"/>
        <v>17984.13105620772</v>
      </c>
      <c r="F405" s="800">
        <f t="shared" si="186"/>
        <v>23253.830884967148</v>
      </c>
      <c r="G405" s="800">
        <f t="shared" si="186"/>
        <v>27990.423703661068</v>
      </c>
      <c r="H405" s="800">
        <f t="shared" si="186"/>
        <v>32429.26946605249</v>
      </c>
      <c r="I405" s="800">
        <f t="shared" si="186"/>
        <v>39106.461200349579</v>
      </c>
      <c r="J405" s="800">
        <f t="shared" si="186"/>
        <v>41948.884690546016</v>
      </c>
      <c r="K405" s="800">
        <f t="shared" si="186"/>
        <v>46380.579157911125</v>
      </c>
      <c r="L405" s="800">
        <f t="shared" si="186"/>
        <v>48481.770519564678</v>
      </c>
      <c r="M405" s="800">
        <f t="shared" si="186"/>
        <v>50794.41</v>
      </c>
      <c r="N405" s="800" t="s">
        <v>214</v>
      </c>
      <c r="O405" s="800" t="s">
        <v>189</v>
      </c>
    </row>
    <row r="406" spans="1:15">
      <c r="A406" s="137" t="s">
        <v>77</v>
      </c>
      <c r="B406" s="800">
        <f t="shared" ref="B406:B432" si="187">AF73</f>
        <v>831.87199999999996</v>
      </c>
      <c r="C406" s="800">
        <f t="shared" ref="C406:M406" si="188">AG73</f>
        <v>1217.376</v>
      </c>
      <c r="D406" s="800">
        <f t="shared" si="188"/>
        <v>328.00800000000004</v>
      </c>
      <c r="E406" s="800">
        <f t="shared" si="188"/>
        <v>721.12</v>
      </c>
      <c r="F406" s="800">
        <f t="shared" si="188"/>
        <v>935.5680000000001</v>
      </c>
      <c r="G406" s="800">
        <f t="shared" si="188"/>
        <v>811.58400000000006</v>
      </c>
      <c r="H406" s="800">
        <f t="shared" si="188"/>
        <v>1622.3040000000001</v>
      </c>
      <c r="I406" s="800">
        <f t="shared" si="188"/>
        <v>3046.7840000000001</v>
      </c>
      <c r="J406" s="800">
        <f t="shared" si="188"/>
        <v>1965.5119999999999</v>
      </c>
      <c r="K406" s="800">
        <f t="shared" si="188"/>
        <v>0</v>
      </c>
      <c r="L406" s="800">
        <f t="shared" si="188"/>
        <v>0</v>
      </c>
      <c r="M406" s="800">
        <f t="shared" si="188"/>
        <v>0</v>
      </c>
      <c r="N406" s="800" t="s">
        <v>167</v>
      </c>
      <c r="O406" s="800" t="s">
        <v>212</v>
      </c>
    </row>
    <row r="407" spans="1:15">
      <c r="A407" s="137" t="s">
        <v>78</v>
      </c>
      <c r="B407" s="800">
        <f t="shared" si="187"/>
        <v>1153.1200000000001</v>
      </c>
      <c r="C407" s="800">
        <f t="shared" ref="C407:C432" si="189">AG74</f>
        <v>2189.5840000000003</v>
      </c>
      <c r="D407" s="800">
        <f t="shared" ref="D407:D432" si="190">AH74</f>
        <v>527.52800000000002</v>
      </c>
      <c r="E407" s="800">
        <f t="shared" ref="E407:E432" si="191">AI74</f>
        <v>793.83199999999999</v>
      </c>
      <c r="F407" s="800">
        <f t="shared" ref="F407:F432" si="192">AJ74</f>
        <v>544.43200000000002</v>
      </c>
      <c r="G407" s="800">
        <f t="shared" ref="G407:G432" si="193">AK74</f>
        <v>375.35200000000003</v>
      </c>
      <c r="H407" s="800">
        <f t="shared" ref="H407:H432" si="194">AL74</f>
        <v>1237.664</v>
      </c>
      <c r="I407" s="800">
        <f t="shared" ref="I407:I432" si="195">AM74</f>
        <v>3873.152</v>
      </c>
      <c r="J407" s="800">
        <f t="shared" ref="J407:J432" si="196">AN74</f>
        <v>625.58400000000006</v>
      </c>
      <c r="K407" s="800">
        <f t="shared" ref="K407:K432" si="197">AO74</f>
        <v>0</v>
      </c>
      <c r="L407" s="800">
        <f t="shared" ref="L407:L432" si="198">AP74</f>
        <v>0</v>
      </c>
      <c r="M407" s="800">
        <f t="shared" ref="M407:M432" si="199">AQ74</f>
        <v>0</v>
      </c>
      <c r="N407" s="800" t="s">
        <v>167</v>
      </c>
      <c r="O407" s="800" t="s">
        <v>212</v>
      </c>
    </row>
    <row r="408" spans="1:15">
      <c r="A408" s="137" t="s">
        <v>79</v>
      </c>
      <c r="B408" s="800">
        <f t="shared" si="187"/>
        <v>1326.424</v>
      </c>
      <c r="C408" s="800">
        <f t="shared" si="189"/>
        <v>1684.0320000000002</v>
      </c>
      <c r="D408" s="800">
        <f t="shared" si="190"/>
        <v>1677.5439999999999</v>
      </c>
      <c r="E408" s="800">
        <f t="shared" si="191"/>
        <v>1971.4560000000001</v>
      </c>
      <c r="F408" s="800">
        <f t="shared" si="192"/>
        <v>1095.624</v>
      </c>
      <c r="G408" s="800">
        <f t="shared" si="193"/>
        <v>1449.2719999999999</v>
      </c>
      <c r="H408" s="800">
        <f t="shared" si="194"/>
        <v>1082.104</v>
      </c>
      <c r="I408" s="800">
        <f t="shared" si="195"/>
        <v>2217.7440000000001</v>
      </c>
      <c r="J408" s="800">
        <f t="shared" si="196"/>
        <v>2832.0480000000002</v>
      </c>
      <c r="K408" s="800">
        <f t="shared" si="197"/>
        <v>0</v>
      </c>
      <c r="L408" s="800">
        <f t="shared" si="198"/>
        <v>0</v>
      </c>
      <c r="M408" s="800">
        <f t="shared" si="199"/>
        <v>0</v>
      </c>
      <c r="N408" s="800" t="s">
        <v>167</v>
      </c>
      <c r="O408" s="800" t="s">
        <v>212</v>
      </c>
    </row>
    <row r="409" spans="1:15">
      <c r="A409" s="137" t="s">
        <v>80</v>
      </c>
      <c r="B409" s="800">
        <f t="shared" si="187"/>
        <v>852.16000000000008</v>
      </c>
      <c r="C409" s="800">
        <f t="shared" si="189"/>
        <v>1501.424</v>
      </c>
      <c r="D409" s="800">
        <f t="shared" si="190"/>
        <v>1870.0160000000001</v>
      </c>
      <c r="E409" s="800">
        <f t="shared" si="191"/>
        <v>1935.9520000000002</v>
      </c>
      <c r="F409" s="800">
        <f t="shared" si="192"/>
        <v>1073.6479999999999</v>
      </c>
      <c r="G409" s="800">
        <f t="shared" si="193"/>
        <v>1056.7440000000001</v>
      </c>
      <c r="H409" s="800">
        <f t="shared" si="194"/>
        <v>1403.3600000000001</v>
      </c>
      <c r="I409" s="800">
        <f t="shared" si="195"/>
        <v>3873.9920000000002</v>
      </c>
      <c r="J409" s="800">
        <f t="shared" si="196"/>
        <v>2031.7360000000001</v>
      </c>
      <c r="K409" s="800">
        <f t="shared" si="197"/>
        <v>0</v>
      </c>
      <c r="L409" s="800">
        <f t="shared" si="198"/>
        <v>0</v>
      </c>
      <c r="M409" s="800">
        <f t="shared" si="199"/>
        <v>0</v>
      </c>
      <c r="N409" s="800" t="s">
        <v>167</v>
      </c>
      <c r="O409" s="800" t="s">
        <v>212</v>
      </c>
    </row>
    <row r="410" spans="1:15">
      <c r="A410" s="137" t="s">
        <v>81</v>
      </c>
      <c r="B410" s="800">
        <f t="shared" si="187"/>
        <v>8068.4800000000005</v>
      </c>
      <c r="C410" s="800">
        <f t="shared" si="189"/>
        <v>8301.8080000000009</v>
      </c>
      <c r="D410" s="800">
        <f t="shared" si="190"/>
        <v>4164.4160000000002</v>
      </c>
      <c r="E410" s="800">
        <f t="shared" si="191"/>
        <v>5298.9360000000006</v>
      </c>
      <c r="F410" s="800">
        <f t="shared" si="192"/>
        <v>2776.2640000000001</v>
      </c>
      <c r="G410" s="800">
        <f t="shared" si="193"/>
        <v>2508.84</v>
      </c>
      <c r="H410" s="800">
        <f t="shared" si="194"/>
        <v>4893.6959999999999</v>
      </c>
      <c r="I410" s="800">
        <f t="shared" si="195"/>
        <v>21264.944000000003</v>
      </c>
      <c r="J410" s="800">
        <f t="shared" si="196"/>
        <v>9504.9120000000003</v>
      </c>
      <c r="K410" s="800">
        <f t="shared" si="197"/>
        <v>0</v>
      </c>
      <c r="L410" s="800">
        <f t="shared" si="198"/>
        <v>0</v>
      </c>
      <c r="M410" s="800">
        <f t="shared" si="199"/>
        <v>0</v>
      </c>
      <c r="N410" s="800" t="s">
        <v>167</v>
      </c>
      <c r="O410" s="800" t="s">
        <v>212</v>
      </c>
    </row>
    <row r="411" spans="1:15">
      <c r="A411" s="137" t="s">
        <v>82</v>
      </c>
      <c r="B411" s="800">
        <f t="shared" si="187"/>
        <v>5424.0640000000003</v>
      </c>
      <c r="C411" s="800">
        <f t="shared" si="189"/>
        <v>3817.8080000000004</v>
      </c>
      <c r="D411" s="800">
        <f t="shared" si="190"/>
        <v>2607.2000000000003</v>
      </c>
      <c r="E411" s="800">
        <f t="shared" si="191"/>
        <v>963.75200000000007</v>
      </c>
      <c r="F411" s="800">
        <f t="shared" si="192"/>
        <v>2852.36</v>
      </c>
      <c r="G411" s="800">
        <f t="shared" si="193"/>
        <v>1824.3440000000001</v>
      </c>
      <c r="H411" s="800">
        <f t="shared" si="194"/>
        <v>4761.8239999999996</v>
      </c>
      <c r="I411" s="800">
        <f t="shared" si="195"/>
        <v>12949.304</v>
      </c>
      <c r="J411" s="800">
        <f t="shared" si="196"/>
        <v>4082.5120000000006</v>
      </c>
      <c r="K411" s="800">
        <f t="shared" si="197"/>
        <v>0</v>
      </c>
      <c r="L411" s="800">
        <f t="shared" si="198"/>
        <v>0</v>
      </c>
      <c r="M411" s="800">
        <f t="shared" si="199"/>
        <v>0</v>
      </c>
      <c r="N411" s="800" t="s">
        <v>167</v>
      </c>
      <c r="O411" s="800" t="s">
        <v>212</v>
      </c>
    </row>
    <row r="412" spans="1:15">
      <c r="A412" s="137" t="s">
        <v>83</v>
      </c>
      <c r="B412" s="800">
        <f t="shared" si="187"/>
        <v>6695.5520000000006</v>
      </c>
      <c r="C412" s="800">
        <f t="shared" si="189"/>
        <v>8834.4080000000013</v>
      </c>
      <c r="D412" s="800">
        <f t="shared" si="190"/>
        <v>4580.3599999999997</v>
      </c>
      <c r="E412" s="800">
        <f t="shared" si="191"/>
        <v>2867.56</v>
      </c>
      <c r="F412" s="800">
        <f t="shared" si="192"/>
        <v>2974.1040000000003</v>
      </c>
      <c r="G412" s="800">
        <f t="shared" si="193"/>
        <v>2974.92</v>
      </c>
      <c r="H412" s="800">
        <f t="shared" si="194"/>
        <v>5902.5280000000002</v>
      </c>
      <c r="I412" s="800">
        <f t="shared" si="195"/>
        <v>22826.896000000001</v>
      </c>
      <c r="J412" s="800">
        <f t="shared" si="196"/>
        <v>10434.92</v>
      </c>
      <c r="K412" s="800">
        <f t="shared" si="197"/>
        <v>0</v>
      </c>
      <c r="L412" s="800">
        <f t="shared" si="198"/>
        <v>0</v>
      </c>
      <c r="M412" s="800">
        <f t="shared" si="199"/>
        <v>0</v>
      </c>
      <c r="N412" s="800" t="s">
        <v>167</v>
      </c>
      <c r="O412" s="800" t="s">
        <v>212</v>
      </c>
    </row>
    <row r="413" spans="1:15">
      <c r="A413" s="137" t="s">
        <v>84</v>
      </c>
      <c r="B413" s="800">
        <f t="shared" si="187"/>
        <v>4260.7760000000007</v>
      </c>
      <c r="C413" s="800">
        <f t="shared" si="189"/>
        <v>9363.6240000000016</v>
      </c>
      <c r="D413" s="800">
        <f t="shared" si="190"/>
        <v>6242.4160000000011</v>
      </c>
      <c r="E413" s="800">
        <f t="shared" si="191"/>
        <v>2253.8080000000004</v>
      </c>
      <c r="F413" s="800">
        <f t="shared" si="192"/>
        <v>1680.6480000000001</v>
      </c>
      <c r="G413" s="800">
        <f t="shared" si="193"/>
        <v>2192.944</v>
      </c>
      <c r="H413" s="800">
        <f t="shared" si="194"/>
        <v>5440.9440000000004</v>
      </c>
      <c r="I413" s="800">
        <f t="shared" si="195"/>
        <v>18249.232</v>
      </c>
      <c r="J413" s="800">
        <f t="shared" si="196"/>
        <v>5577.3760000000002</v>
      </c>
      <c r="K413" s="800">
        <f t="shared" si="197"/>
        <v>0</v>
      </c>
      <c r="L413" s="800">
        <f t="shared" si="198"/>
        <v>0</v>
      </c>
      <c r="M413" s="800">
        <f t="shared" si="199"/>
        <v>0</v>
      </c>
      <c r="N413" s="800" t="s">
        <v>167</v>
      </c>
      <c r="O413" s="800" t="s">
        <v>212</v>
      </c>
    </row>
    <row r="414" spans="1:15">
      <c r="A414" s="137" t="s">
        <v>85</v>
      </c>
      <c r="B414" s="800">
        <f t="shared" si="187"/>
        <v>4981.0720000000001</v>
      </c>
      <c r="C414" s="800">
        <f t="shared" si="189"/>
        <v>8991.64</v>
      </c>
      <c r="D414" s="800">
        <f t="shared" si="190"/>
        <v>4145.7920000000004</v>
      </c>
      <c r="E414" s="800">
        <f t="shared" si="191"/>
        <v>4380.8320000000003</v>
      </c>
      <c r="F414" s="800">
        <f t="shared" si="192"/>
        <v>3055.2400000000002</v>
      </c>
      <c r="G414" s="800">
        <f t="shared" si="193"/>
        <v>3335.9120000000003</v>
      </c>
      <c r="H414" s="800">
        <f t="shared" si="194"/>
        <v>5713.1440000000002</v>
      </c>
      <c r="I414" s="800">
        <f t="shared" si="195"/>
        <v>13932.608</v>
      </c>
      <c r="J414" s="800">
        <f t="shared" si="196"/>
        <v>6610.8960000000006</v>
      </c>
      <c r="K414" s="800">
        <f t="shared" si="197"/>
        <v>0</v>
      </c>
      <c r="L414" s="800">
        <f t="shared" si="198"/>
        <v>0</v>
      </c>
      <c r="M414" s="800">
        <f t="shared" si="199"/>
        <v>0</v>
      </c>
      <c r="N414" s="800" t="s">
        <v>167</v>
      </c>
      <c r="O414" s="800" t="s">
        <v>212</v>
      </c>
    </row>
    <row r="415" spans="1:15">
      <c r="A415" s="137" t="s">
        <v>86</v>
      </c>
      <c r="B415" s="800">
        <f t="shared" si="187"/>
        <v>2333.3040000000001</v>
      </c>
      <c r="C415" s="800">
        <f t="shared" si="189"/>
        <v>3229.4240000000004</v>
      </c>
      <c r="D415" s="800">
        <f t="shared" si="190"/>
        <v>1724.6080000000002</v>
      </c>
      <c r="E415" s="800">
        <f t="shared" si="191"/>
        <v>676.31200000000001</v>
      </c>
      <c r="F415" s="800">
        <f t="shared" si="192"/>
        <v>1073.6559999999999</v>
      </c>
      <c r="G415" s="800">
        <f t="shared" si="193"/>
        <v>1635</v>
      </c>
      <c r="H415" s="800">
        <f t="shared" si="194"/>
        <v>1680.6400000000003</v>
      </c>
      <c r="I415" s="800">
        <f t="shared" si="195"/>
        <v>3638.5519999999997</v>
      </c>
      <c r="J415" s="800">
        <f t="shared" si="196"/>
        <v>1743.616</v>
      </c>
      <c r="K415" s="800">
        <f t="shared" si="197"/>
        <v>0</v>
      </c>
      <c r="L415" s="800">
        <f t="shared" si="198"/>
        <v>0</v>
      </c>
      <c r="M415" s="800">
        <f t="shared" si="199"/>
        <v>0</v>
      </c>
      <c r="N415" s="800" t="s">
        <v>167</v>
      </c>
      <c r="O415" s="800" t="s">
        <v>212</v>
      </c>
    </row>
    <row r="416" spans="1:15">
      <c r="A416" s="137" t="s">
        <v>87</v>
      </c>
      <c r="B416" s="800">
        <f t="shared" si="187"/>
        <v>4037.6239999999998</v>
      </c>
      <c r="C416" s="800">
        <f t="shared" si="189"/>
        <v>5579.5839999999998</v>
      </c>
      <c r="D416" s="800">
        <f t="shared" si="190"/>
        <v>3964.9040000000005</v>
      </c>
      <c r="E416" s="800">
        <f t="shared" si="191"/>
        <v>2723.848</v>
      </c>
      <c r="F416" s="800">
        <f t="shared" si="192"/>
        <v>2360.328</v>
      </c>
      <c r="G416" s="800">
        <f t="shared" si="193"/>
        <v>2926.7520000000004</v>
      </c>
      <c r="H416" s="800">
        <f t="shared" si="194"/>
        <v>3967.1440000000002</v>
      </c>
      <c r="I416" s="800">
        <f t="shared" si="195"/>
        <v>20357.296000000002</v>
      </c>
      <c r="J416" s="800">
        <f t="shared" si="196"/>
        <v>17485.760000000002</v>
      </c>
      <c r="K416" s="800">
        <f t="shared" si="197"/>
        <v>0</v>
      </c>
      <c r="L416" s="800">
        <f t="shared" si="198"/>
        <v>0</v>
      </c>
      <c r="M416" s="800">
        <f t="shared" si="199"/>
        <v>0</v>
      </c>
      <c r="N416" s="800" t="s">
        <v>167</v>
      </c>
      <c r="O416" s="800" t="s">
        <v>212</v>
      </c>
    </row>
    <row r="417" spans="1:15">
      <c r="A417" s="137" t="s">
        <v>88</v>
      </c>
      <c r="B417" s="800">
        <f t="shared" si="187"/>
        <v>3286.8960000000002</v>
      </c>
      <c r="C417" s="800">
        <f t="shared" si="189"/>
        <v>4857.6400000000003</v>
      </c>
      <c r="D417" s="800">
        <f t="shared" si="190"/>
        <v>2732.3040000000001</v>
      </c>
      <c r="E417" s="800">
        <f t="shared" si="191"/>
        <v>2475.3200000000002</v>
      </c>
      <c r="F417" s="800">
        <f t="shared" si="192"/>
        <v>1215.68</v>
      </c>
      <c r="G417" s="800">
        <f t="shared" si="193"/>
        <v>3802.5680000000002</v>
      </c>
      <c r="H417" s="800">
        <f t="shared" si="194"/>
        <v>4047.72</v>
      </c>
      <c r="I417" s="800">
        <f t="shared" si="195"/>
        <v>9888.5440000000017</v>
      </c>
      <c r="J417" s="800">
        <f t="shared" si="196"/>
        <v>8090.3520000000008</v>
      </c>
      <c r="K417" s="800">
        <f t="shared" si="197"/>
        <v>0</v>
      </c>
      <c r="L417" s="800">
        <f t="shared" si="198"/>
        <v>0</v>
      </c>
      <c r="M417" s="800">
        <f t="shared" si="199"/>
        <v>0</v>
      </c>
      <c r="N417" s="800" t="s">
        <v>167</v>
      </c>
      <c r="O417" s="800" t="s">
        <v>212</v>
      </c>
    </row>
    <row r="418" spans="1:15">
      <c r="A418" s="137" t="s">
        <v>89</v>
      </c>
      <c r="B418" s="800">
        <f t="shared" si="187"/>
        <v>25196.232000000004</v>
      </c>
      <c r="C418" s="800">
        <f t="shared" si="189"/>
        <v>21225.335999999999</v>
      </c>
      <c r="D418" s="800">
        <f t="shared" si="190"/>
        <v>14554.6</v>
      </c>
      <c r="E418" s="800">
        <f t="shared" si="191"/>
        <v>6416.4800000000005</v>
      </c>
      <c r="F418" s="800">
        <f t="shared" si="192"/>
        <v>6900.1039999999994</v>
      </c>
      <c r="G418" s="800">
        <f t="shared" si="193"/>
        <v>9902.6080000000002</v>
      </c>
      <c r="H418" s="800">
        <f t="shared" si="194"/>
        <v>20318.760000000002</v>
      </c>
      <c r="I418" s="800">
        <f t="shared" si="195"/>
        <v>60329.864000000001</v>
      </c>
      <c r="J418" s="800">
        <f t="shared" si="196"/>
        <v>21143.504000000001</v>
      </c>
      <c r="K418" s="800">
        <f t="shared" si="197"/>
        <v>0</v>
      </c>
      <c r="L418" s="800">
        <f t="shared" si="198"/>
        <v>0</v>
      </c>
      <c r="M418" s="800">
        <f t="shared" si="199"/>
        <v>0</v>
      </c>
      <c r="N418" s="800" t="s">
        <v>167</v>
      </c>
      <c r="O418" s="800" t="s">
        <v>212</v>
      </c>
    </row>
    <row r="419" spans="1:15">
      <c r="A419" s="137" t="s">
        <v>90</v>
      </c>
      <c r="B419" s="800">
        <f t="shared" si="187"/>
        <v>1405.048</v>
      </c>
      <c r="C419" s="800">
        <f t="shared" si="189"/>
        <v>3922.36</v>
      </c>
      <c r="D419" s="800">
        <f t="shared" si="190"/>
        <v>2289.3200000000002</v>
      </c>
      <c r="E419" s="800">
        <f t="shared" si="191"/>
        <v>2294.4</v>
      </c>
      <c r="F419" s="800">
        <f t="shared" si="192"/>
        <v>1816.4720000000002</v>
      </c>
      <c r="G419" s="800">
        <f t="shared" si="193"/>
        <v>1555.5200000000002</v>
      </c>
      <c r="H419" s="800">
        <f t="shared" si="194"/>
        <v>2485.4639999999999</v>
      </c>
      <c r="I419" s="800">
        <f t="shared" si="195"/>
        <v>8250.32</v>
      </c>
      <c r="J419" s="800">
        <f t="shared" si="196"/>
        <v>5228.1760000000004</v>
      </c>
      <c r="K419" s="800">
        <f t="shared" si="197"/>
        <v>0</v>
      </c>
      <c r="L419" s="800">
        <f t="shared" si="198"/>
        <v>0</v>
      </c>
      <c r="M419" s="800">
        <f t="shared" si="199"/>
        <v>0</v>
      </c>
      <c r="N419" s="800" t="s">
        <v>167</v>
      </c>
      <c r="O419" s="800" t="s">
        <v>212</v>
      </c>
    </row>
    <row r="420" spans="1:15">
      <c r="A420" s="137" t="s">
        <v>91</v>
      </c>
      <c r="B420" s="800">
        <f t="shared" si="187"/>
        <v>2110.1120000000001</v>
      </c>
      <c r="C420" s="800">
        <f t="shared" si="189"/>
        <v>2755.7200000000003</v>
      </c>
      <c r="D420" s="800">
        <f t="shared" si="190"/>
        <v>796.36000000000013</v>
      </c>
      <c r="E420" s="800">
        <f t="shared" si="191"/>
        <v>524.13599999999997</v>
      </c>
      <c r="F420" s="800">
        <f t="shared" si="192"/>
        <v>1342.48</v>
      </c>
      <c r="G420" s="800">
        <f t="shared" si="193"/>
        <v>1088.864</v>
      </c>
      <c r="H420" s="800">
        <f t="shared" si="194"/>
        <v>1979.9040000000002</v>
      </c>
      <c r="I420" s="800">
        <f t="shared" si="195"/>
        <v>6284.0879999999997</v>
      </c>
      <c r="J420" s="800">
        <f t="shared" si="196"/>
        <v>5721.8720000000003</v>
      </c>
      <c r="K420" s="800">
        <f t="shared" si="197"/>
        <v>0</v>
      </c>
      <c r="L420" s="800">
        <f t="shared" si="198"/>
        <v>0</v>
      </c>
      <c r="M420" s="800">
        <f t="shared" si="199"/>
        <v>0</v>
      </c>
      <c r="N420" s="800" t="s">
        <v>167</v>
      </c>
      <c r="O420" s="800" t="s">
        <v>212</v>
      </c>
    </row>
    <row r="421" spans="1:15">
      <c r="A421" s="137" t="s">
        <v>92</v>
      </c>
      <c r="B421" s="800">
        <f t="shared" si="187"/>
        <v>28915.944000000003</v>
      </c>
      <c r="C421" s="800">
        <f t="shared" si="189"/>
        <v>22059.760000000002</v>
      </c>
      <c r="D421" s="800">
        <f t="shared" si="190"/>
        <v>19388.28</v>
      </c>
      <c r="E421" s="800">
        <f t="shared" si="191"/>
        <v>9982.3520000000008</v>
      </c>
      <c r="F421" s="800">
        <f t="shared" si="192"/>
        <v>7121.576</v>
      </c>
      <c r="G421" s="800">
        <f t="shared" si="193"/>
        <v>9131.8320000000003</v>
      </c>
      <c r="H421" s="800">
        <f t="shared" si="194"/>
        <v>44274.728000000003</v>
      </c>
      <c r="I421" s="800">
        <f t="shared" si="195"/>
        <v>96151.888000000006</v>
      </c>
      <c r="J421" s="800">
        <f t="shared" si="196"/>
        <v>37486.991999999998</v>
      </c>
      <c r="K421" s="800">
        <f t="shared" si="197"/>
        <v>0</v>
      </c>
      <c r="L421" s="800">
        <f t="shared" si="198"/>
        <v>0</v>
      </c>
      <c r="M421" s="800">
        <f t="shared" si="199"/>
        <v>0</v>
      </c>
      <c r="N421" s="800" t="s">
        <v>167</v>
      </c>
      <c r="O421" s="800" t="s">
        <v>212</v>
      </c>
    </row>
    <row r="422" spans="1:15">
      <c r="A422" s="137" t="s">
        <v>93</v>
      </c>
      <c r="B422" s="800">
        <f t="shared" si="187"/>
        <v>6274.5280000000002</v>
      </c>
      <c r="C422" s="800">
        <f t="shared" si="189"/>
        <v>7924.7360000000008</v>
      </c>
      <c r="D422" s="800">
        <f t="shared" si="190"/>
        <v>4309.8160000000007</v>
      </c>
      <c r="E422" s="800">
        <f t="shared" si="191"/>
        <v>1626.5360000000001</v>
      </c>
      <c r="F422" s="800">
        <f t="shared" si="192"/>
        <v>2000.768</v>
      </c>
      <c r="G422" s="800">
        <f t="shared" si="193"/>
        <v>2031.2</v>
      </c>
      <c r="H422" s="800">
        <f t="shared" si="194"/>
        <v>7004.9360000000006</v>
      </c>
      <c r="I422" s="800">
        <f t="shared" si="195"/>
        <v>16491.592000000001</v>
      </c>
      <c r="J422" s="800">
        <f t="shared" si="196"/>
        <v>6709.4880000000012</v>
      </c>
      <c r="K422" s="800">
        <f t="shared" si="197"/>
        <v>0</v>
      </c>
      <c r="L422" s="800">
        <f t="shared" si="198"/>
        <v>0</v>
      </c>
      <c r="M422" s="800">
        <f t="shared" si="199"/>
        <v>0</v>
      </c>
      <c r="N422" s="800" t="s">
        <v>167</v>
      </c>
      <c r="O422" s="800" t="s">
        <v>212</v>
      </c>
    </row>
    <row r="423" spans="1:15">
      <c r="A423" s="137" t="s">
        <v>94</v>
      </c>
      <c r="B423" s="800">
        <f t="shared" si="187"/>
        <v>3652.1280000000002</v>
      </c>
      <c r="C423" s="800">
        <f t="shared" si="189"/>
        <v>1947.7919999999999</v>
      </c>
      <c r="D423" s="800">
        <f t="shared" si="190"/>
        <v>733.80000000000007</v>
      </c>
      <c r="E423" s="800">
        <f t="shared" si="191"/>
        <v>1165.8</v>
      </c>
      <c r="F423" s="800">
        <f t="shared" si="192"/>
        <v>542.74400000000003</v>
      </c>
      <c r="G423" s="800">
        <f t="shared" si="193"/>
        <v>361.82400000000001</v>
      </c>
      <c r="H423" s="800">
        <f t="shared" si="194"/>
        <v>1959.616</v>
      </c>
      <c r="I423" s="800">
        <f t="shared" si="195"/>
        <v>8461.7520000000004</v>
      </c>
      <c r="J423" s="800">
        <f t="shared" si="196"/>
        <v>3753.52</v>
      </c>
      <c r="K423" s="800">
        <f t="shared" si="197"/>
        <v>0</v>
      </c>
      <c r="L423" s="800">
        <f t="shared" si="198"/>
        <v>0</v>
      </c>
      <c r="M423" s="800">
        <f t="shared" si="199"/>
        <v>0</v>
      </c>
      <c r="N423" s="800" t="s">
        <v>167</v>
      </c>
      <c r="O423" s="800" t="s">
        <v>212</v>
      </c>
    </row>
    <row r="424" spans="1:15">
      <c r="A424" s="137" t="s">
        <v>95</v>
      </c>
      <c r="B424" s="800">
        <f t="shared" si="187"/>
        <v>36010.576000000001</v>
      </c>
      <c r="C424" s="800">
        <f t="shared" si="189"/>
        <v>37906.800000000003</v>
      </c>
      <c r="D424" s="800">
        <f t="shared" si="190"/>
        <v>20595.528000000002</v>
      </c>
      <c r="E424" s="800">
        <f t="shared" si="191"/>
        <v>11487.216</v>
      </c>
      <c r="F424" s="800">
        <f t="shared" si="192"/>
        <v>12107.744000000001</v>
      </c>
      <c r="G424" s="800">
        <f t="shared" si="193"/>
        <v>9068.496000000001</v>
      </c>
      <c r="H424" s="800">
        <f t="shared" si="194"/>
        <v>19166.240000000002</v>
      </c>
      <c r="I424" s="800">
        <f t="shared" si="195"/>
        <v>78332.36</v>
      </c>
      <c r="J424" s="800">
        <f t="shared" si="196"/>
        <v>37508.184000000001</v>
      </c>
      <c r="K424" s="800">
        <f t="shared" si="197"/>
        <v>0</v>
      </c>
      <c r="L424" s="800">
        <f t="shared" si="198"/>
        <v>0</v>
      </c>
      <c r="M424" s="800">
        <f t="shared" si="199"/>
        <v>0</v>
      </c>
      <c r="N424" s="800" t="s">
        <v>167</v>
      </c>
      <c r="O424" s="800" t="s">
        <v>212</v>
      </c>
    </row>
    <row r="425" spans="1:15">
      <c r="A425" s="137" t="s">
        <v>96</v>
      </c>
      <c r="B425" s="800">
        <f t="shared" si="187"/>
        <v>1704.3200000000002</v>
      </c>
      <c r="C425" s="800">
        <f t="shared" si="189"/>
        <v>1846.3520000000001</v>
      </c>
      <c r="D425" s="800">
        <f t="shared" si="190"/>
        <v>1065.2</v>
      </c>
      <c r="E425" s="800">
        <f t="shared" si="191"/>
        <v>202.89600000000002</v>
      </c>
      <c r="F425" s="800">
        <f t="shared" si="192"/>
        <v>852.15200000000004</v>
      </c>
      <c r="G425" s="800">
        <f t="shared" si="193"/>
        <v>764.23199999999997</v>
      </c>
      <c r="H425" s="800">
        <f t="shared" si="194"/>
        <v>1246.1120000000001</v>
      </c>
      <c r="I425" s="800">
        <f t="shared" si="195"/>
        <v>6381.0400000000009</v>
      </c>
      <c r="J425" s="800">
        <f t="shared" si="196"/>
        <v>3580.2160000000003</v>
      </c>
      <c r="K425" s="800">
        <f t="shared" si="197"/>
        <v>0</v>
      </c>
      <c r="L425" s="800">
        <f t="shared" si="198"/>
        <v>0</v>
      </c>
      <c r="M425" s="800">
        <f t="shared" si="199"/>
        <v>0</v>
      </c>
      <c r="N425" s="800" t="s">
        <v>167</v>
      </c>
      <c r="O425" s="800" t="s">
        <v>212</v>
      </c>
    </row>
    <row r="426" spans="1:15">
      <c r="A426" s="137" t="s">
        <v>97</v>
      </c>
      <c r="B426" s="800">
        <f t="shared" si="187"/>
        <v>50172.640000000007</v>
      </c>
      <c r="C426" s="800">
        <f t="shared" si="189"/>
        <v>26247.736000000001</v>
      </c>
      <c r="D426" s="800">
        <f t="shared" si="190"/>
        <v>11733.416000000001</v>
      </c>
      <c r="E426" s="800">
        <f t="shared" si="191"/>
        <v>9877.4720000000016</v>
      </c>
      <c r="F426" s="800">
        <f t="shared" si="192"/>
        <v>12020.928</v>
      </c>
      <c r="G426" s="800">
        <f t="shared" si="193"/>
        <v>11502.400000000001</v>
      </c>
      <c r="H426" s="800">
        <f t="shared" si="194"/>
        <v>27116.208000000002</v>
      </c>
      <c r="I426" s="800">
        <f t="shared" si="195"/>
        <v>123189.72</v>
      </c>
      <c r="J426" s="800">
        <f t="shared" si="196"/>
        <v>41676.880000000005</v>
      </c>
      <c r="K426" s="800">
        <f t="shared" si="197"/>
        <v>0</v>
      </c>
      <c r="L426" s="800">
        <f t="shared" si="198"/>
        <v>0</v>
      </c>
      <c r="M426" s="800">
        <f t="shared" si="199"/>
        <v>0</v>
      </c>
      <c r="N426" s="800" t="s">
        <v>167</v>
      </c>
      <c r="O426" s="800" t="s">
        <v>212</v>
      </c>
    </row>
    <row r="427" spans="1:15">
      <c r="A427" s="137" t="s">
        <v>98</v>
      </c>
      <c r="B427" s="800">
        <f t="shared" si="187"/>
        <v>1301.9120000000003</v>
      </c>
      <c r="C427" s="800">
        <f t="shared" si="189"/>
        <v>1673.8880000000001</v>
      </c>
      <c r="D427" s="800">
        <f t="shared" si="190"/>
        <v>561.34399999999994</v>
      </c>
      <c r="E427" s="800">
        <f t="shared" si="191"/>
        <v>557.95200000000011</v>
      </c>
      <c r="F427" s="800">
        <f t="shared" si="192"/>
        <v>405.79200000000003</v>
      </c>
      <c r="G427" s="800">
        <f t="shared" si="193"/>
        <v>1727.992</v>
      </c>
      <c r="H427" s="800">
        <f t="shared" si="194"/>
        <v>2341.752</v>
      </c>
      <c r="I427" s="800">
        <f t="shared" si="195"/>
        <v>3091.3119999999999</v>
      </c>
      <c r="J427" s="800">
        <f t="shared" si="196"/>
        <v>4335.424</v>
      </c>
      <c r="K427" s="800">
        <f t="shared" si="197"/>
        <v>0</v>
      </c>
      <c r="L427" s="800">
        <f t="shared" si="198"/>
        <v>0</v>
      </c>
      <c r="M427" s="800">
        <f t="shared" si="199"/>
        <v>0</v>
      </c>
      <c r="N427" s="800" t="s">
        <v>167</v>
      </c>
      <c r="O427" s="800" t="s">
        <v>212</v>
      </c>
    </row>
    <row r="428" spans="1:15">
      <c r="A428" s="137" t="s">
        <v>99</v>
      </c>
      <c r="B428" s="800">
        <f t="shared" si="187"/>
        <v>628.97600000000011</v>
      </c>
      <c r="C428" s="800">
        <f t="shared" si="189"/>
        <v>439.608</v>
      </c>
      <c r="D428" s="800">
        <f t="shared" si="190"/>
        <v>223.18400000000003</v>
      </c>
      <c r="E428" s="800">
        <f t="shared" si="191"/>
        <v>20.288</v>
      </c>
      <c r="F428" s="800">
        <f t="shared" si="192"/>
        <v>40.576000000000001</v>
      </c>
      <c r="G428" s="800">
        <f t="shared" si="193"/>
        <v>0</v>
      </c>
      <c r="H428" s="800">
        <f t="shared" si="194"/>
        <v>118.352</v>
      </c>
      <c r="I428" s="800">
        <f t="shared" si="195"/>
        <v>667.84799999999996</v>
      </c>
      <c r="J428" s="800">
        <f t="shared" si="196"/>
        <v>211.34400000000002</v>
      </c>
      <c r="K428" s="800">
        <f t="shared" si="197"/>
        <v>0</v>
      </c>
      <c r="L428" s="800">
        <f t="shared" si="198"/>
        <v>0</v>
      </c>
      <c r="M428" s="800">
        <f t="shared" si="199"/>
        <v>0</v>
      </c>
      <c r="N428" s="800" t="s">
        <v>167</v>
      </c>
      <c r="O428" s="800" t="s">
        <v>212</v>
      </c>
    </row>
    <row r="429" spans="1:15">
      <c r="A429" s="137" t="s">
        <v>100</v>
      </c>
      <c r="B429" s="800">
        <f t="shared" si="187"/>
        <v>17618.096000000001</v>
      </c>
      <c r="C429" s="800">
        <f t="shared" si="189"/>
        <v>20401.960000000003</v>
      </c>
      <c r="D429" s="800">
        <f t="shared" si="190"/>
        <v>13354.128000000001</v>
      </c>
      <c r="E429" s="800">
        <f t="shared" si="191"/>
        <v>9168.2880000000005</v>
      </c>
      <c r="F429" s="800">
        <f t="shared" si="192"/>
        <v>10899.6</v>
      </c>
      <c r="G429" s="800">
        <f t="shared" si="193"/>
        <v>9691.8320000000003</v>
      </c>
      <c r="H429" s="800">
        <f t="shared" si="194"/>
        <v>17864.024000000001</v>
      </c>
      <c r="I429" s="800">
        <f t="shared" si="195"/>
        <v>70588.968000000008</v>
      </c>
      <c r="J429" s="800">
        <f t="shared" si="196"/>
        <v>42756.72</v>
      </c>
      <c r="K429" s="800">
        <f t="shared" si="197"/>
        <v>0</v>
      </c>
      <c r="L429" s="800">
        <f t="shared" si="198"/>
        <v>0</v>
      </c>
      <c r="M429" s="800">
        <f t="shared" si="199"/>
        <v>0</v>
      </c>
      <c r="N429" s="800" t="s">
        <v>167</v>
      </c>
      <c r="O429" s="800" t="s">
        <v>212</v>
      </c>
    </row>
    <row r="430" spans="1:15">
      <c r="A430" s="137" t="s">
        <v>101</v>
      </c>
      <c r="B430" s="800">
        <f t="shared" si="187"/>
        <v>109741.11200000002</v>
      </c>
      <c r="C430" s="800">
        <f t="shared" si="189"/>
        <v>100539.39200000001</v>
      </c>
      <c r="D430" s="800">
        <f t="shared" si="190"/>
        <v>56169.768000000011</v>
      </c>
      <c r="E430" s="800">
        <f t="shared" si="191"/>
        <v>29190.528000000006</v>
      </c>
      <c r="F430" s="800">
        <f t="shared" si="192"/>
        <v>28406.184000000005</v>
      </c>
      <c r="G430" s="800">
        <f t="shared" si="193"/>
        <v>30339.304</v>
      </c>
      <c r="H430" s="800">
        <f t="shared" si="194"/>
        <v>54922.92</v>
      </c>
      <c r="I430" s="800">
        <f t="shared" si="195"/>
        <v>282244.21600000001</v>
      </c>
      <c r="J430" s="800">
        <f t="shared" si="196"/>
        <v>152503.47200000001</v>
      </c>
      <c r="K430" s="800">
        <f t="shared" si="197"/>
        <v>0</v>
      </c>
      <c r="L430" s="800">
        <f t="shared" si="198"/>
        <v>0</v>
      </c>
      <c r="M430" s="800">
        <f t="shared" si="199"/>
        <v>0</v>
      </c>
      <c r="N430" s="800" t="s">
        <v>167</v>
      </c>
      <c r="O430" s="800" t="s">
        <v>212</v>
      </c>
    </row>
    <row r="431" spans="1:15">
      <c r="A431" s="137" t="s">
        <v>102</v>
      </c>
      <c r="B431" s="800">
        <f t="shared" si="187"/>
        <v>2397.5439999999999</v>
      </c>
      <c r="C431" s="800">
        <f t="shared" si="189"/>
        <v>1274.856</v>
      </c>
      <c r="D431" s="800">
        <f t="shared" si="190"/>
        <v>923.16800000000012</v>
      </c>
      <c r="E431" s="800">
        <f t="shared" si="191"/>
        <v>913.024</v>
      </c>
      <c r="F431" s="800">
        <f t="shared" si="192"/>
        <v>941.76800000000003</v>
      </c>
      <c r="G431" s="800">
        <f t="shared" si="193"/>
        <v>769.29600000000005</v>
      </c>
      <c r="H431" s="800">
        <f t="shared" si="194"/>
        <v>1799</v>
      </c>
      <c r="I431" s="800">
        <f t="shared" si="195"/>
        <v>3980.6080000000002</v>
      </c>
      <c r="J431" s="800">
        <f t="shared" si="196"/>
        <v>941.18400000000008</v>
      </c>
      <c r="K431" s="800">
        <f t="shared" si="197"/>
        <v>0</v>
      </c>
      <c r="L431" s="800">
        <f t="shared" si="198"/>
        <v>0</v>
      </c>
      <c r="M431" s="800">
        <f t="shared" si="199"/>
        <v>0</v>
      </c>
      <c r="N431" s="800" t="s">
        <v>167</v>
      </c>
      <c r="O431" s="800" t="s">
        <v>212</v>
      </c>
    </row>
    <row r="432" spans="1:15">
      <c r="A432" s="137" t="s">
        <v>103</v>
      </c>
      <c r="B432" s="800">
        <f t="shared" si="187"/>
        <v>1055.056</v>
      </c>
      <c r="C432" s="800">
        <f t="shared" si="189"/>
        <v>869.06399999999996</v>
      </c>
      <c r="D432" s="800">
        <f t="shared" si="190"/>
        <v>20.288</v>
      </c>
      <c r="E432" s="800">
        <f t="shared" si="191"/>
        <v>963.75200000000007</v>
      </c>
      <c r="F432" s="800">
        <f t="shared" si="192"/>
        <v>1051.672</v>
      </c>
      <c r="G432" s="800">
        <f t="shared" si="193"/>
        <v>658</v>
      </c>
      <c r="H432" s="800">
        <f t="shared" si="194"/>
        <v>1477.7520000000002</v>
      </c>
      <c r="I432" s="800">
        <f t="shared" si="195"/>
        <v>3709.0160000000005</v>
      </c>
      <c r="J432" s="800">
        <f t="shared" si="196"/>
        <v>1090.5520000000001</v>
      </c>
      <c r="K432" s="800">
        <f t="shared" si="197"/>
        <v>0</v>
      </c>
      <c r="L432" s="800">
        <f t="shared" si="198"/>
        <v>0</v>
      </c>
      <c r="M432" s="800">
        <f t="shared" si="199"/>
        <v>0</v>
      </c>
      <c r="N432" s="800" t="s">
        <v>167</v>
      </c>
      <c r="O432" s="800" t="s">
        <v>212</v>
      </c>
    </row>
    <row r="433" spans="1:15">
      <c r="A433" s="137" t="s">
        <v>77</v>
      </c>
      <c r="B433" s="800">
        <f t="shared" ref="B433:B459" si="200">Q73</f>
        <v>2874.7499695612287</v>
      </c>
      <c r="C433" s="800">
        <f t="shared" ref="C433:M433" si="201">R73</f>
        <v>5276.4583517132151</v>
      </c>
      <c r="D433" s="800">
        <f t="shared" si="201"/>
        <v>7468.104061444099</v>
      </c>
      <c r="E433" s="800">
        <f t="shared" si="201"/>
        <v>9009.6529426355064</v>
      </c>
      <c r="F433" s="800">
        <f t="shared" si="201"/>
        <v>11063.833776957141</v>
      </c>
      <c r="G433" s="800">
        <f t="shared" si="201"/>
        <v>13337.576326721375</v>
      </c>
      <c r="H433" s="800">
        <f t="shared" si="201"/>
        <v>14586.96461547268</v>
      </c>
      <c r="I433" s="800">
        <f t="shared" si="201"/>
        <v>17310.543676746012</v>
      </c>
      <c r="J433" s="800">
        <f t="shared" si="201"/>
        <v>18527.009506689385</v>
      </c>
      <c r="K433" s="800">
        <f t="shared" si="201"/>
        <v>19880.949981549362</v>
      </c>
      <c r="L433" s="800">
        <f t="shared" si="201"/>
        <v>21320.091099360452</v>
      </c>
      <c r="M433" s="800">
        <f t="shared" si="201"/>
        <v>22368.199999999997</v>
      </c>
      <c r="N433" s="800" t="s">
        <v>166</v>
      </c>
      <c r="O433" s="800" t="s">
        <v>212</v>
      </c>
    </row>
    <row r="434" spans="1:15">
      <c r="A434" s="137" t="s">
        <v>78</v>
      </c>
      <c r="B434" s="800">
        <f t="shared" si="200"/>
        <v>3102.6624001961541</v>
      </c>
      <c r="C434" s="800">
        <f t="shared" ref="C434:C459" si="202">R74</f>
        <v>8206.8245315387721</v>
      </c>
      <c r="D434" s="800">
        <f t="shared" ref="D434:D459" si="203">S74</f>
        <v>9078.4774214530589</v>
      </c>
      <c r="E434" s="800">
        <f t="shared" ref="E434:E459" si="204">T74</f>
        <v>10182.621147827474</v>
      </c>
      <c r="F434" s="800">
        <f t="shared" ref="F434:F459" si="205">U74</f>
        <v>11349.961994480975</v>
      </c>
      <c r="G434" s="800">
        <f t="shared" ref="G434:G459" si="206">V74</f>
        <v>12444.174081803081</v>
      </c>
      <c r="H434" s="800">
        <f t="shared" ref="H434:H459" si="207">W74</f>
        <v>13992.341920219033</v>
      </c>
      <c r="I434" s="800">
        <f t="shared" ref="I434:I459" si="208">X74</f>
        <v>16930.264310100301</v>
      </c>
      <c r="J434" s="800">
        <f t="shared" ref="J434:J459" si="209">Y74</f>
        <v>18912.967369455957</v>
      </c>
      <c r="K434" s="800">
        <f t="shared" ref="K434:K459" si="210">Z74</f>
        <v>19581.505313102654</v>
      </c>
      <c r="L434" s="800">
        <f t="shared" ref="L434:L459" si="211">AA74</f>
        <v>20595.24297345844</v>
      </c>
      <c r="M434" s="800">
        <f t="shared" ref="M434:M459" si="212">AB74</f>
        <v>21671.61</v>
      </c>
      <c r="N434" s="800" t="s">
        <v>166</v>
      </c>
      <c r="O434" s="800" t="s">
        <v>212</v>
      </c>
    </row>
    <row r="435" spans="1:15">
      <c r="A435" s="137" t="s">
        <v>79</v>
      </c>
      <c r="B435" s="800">
        <f t="shared" si="200"/>
        <v>2674.072813248451</v>
      </c>
      <c r="C435" s="800">
        <f t="shared" si="202"/>
        <v>4699.602924544648</v>
      </c>
      <c r="D435" s="800">
        <f t="shared" si="203"/>
        <v>7563.5463852818739</v>
      </c>
      <c r="E435" s="800">
        <f t="shared" si="204"/>
        <v>9652.2643920699229</v>
      </c>
      <c r="F435" s="800">
        <f t="shared" si="205"/>
        <v>12585.644559262368</v>
      </c>
      <c r="G435" s="800">
        <f t="shared" si="206"/>
        <v>15053.818198829347</v>
      </c>
      <c r="H435" s="800">
        <f t="shared" si="207"/>
        <v>18106.448265772036</v>
      </c>
      <c r="I435" s="800">
        <f t="shared" si="208"/>
        <v>21466.702647620124</v>
      </c>
      <c r="J435" s="800">
        <f t="shared" si="209"/>
        <v>24204.519316596161</v>
      </c>
      <c r="K435" s="800">
        <f t="shared" si="210"/>
        <v>26363.751562655503</v>
      </c>
      <c r="L435" s="800">
        <f t="shared" si="211"/>
        <v>28568.870885168548</v>
      </c>
      <c r="M435" s="800">
        <f t="shared" si="212"/>
        <v>30504.54</v>
      </c>
      <c r="N435" s="800" t="s">
        <v>166</v>
      </c>
      <c r="O435" s="800" t="s">
        <v>212</v>
      </c>
    </row>
    <row r="436" spans="1:15">
      <c r="A436" s="137" t="s">
        <v>80</v>
      </c>
      <c r="B436" s="800">
        <f t="shared" si="200"/>
        <v>4614.8162314850897</v>
      </c>
      <c r="C436" s="800">
        <f t="shared" si="202"/>
        <v>10848.798714708673</v>
      </c>
      <c r="D436" s="800">
        <f t="shared" si="203"/>
        <v>15067.665381494488</v>
      </c>
      <c r="E436" s="800">
        <f t="shared" si="204"/>
        <v>17759.841885438775</v>
      </c>
      <c r="F436" s="800">
        <f t="shared" si="205"/>
        <v>20796.987221821408</v>
      </c>
      <c r="G436" s="800">
        <f t="shared" si="206"/>
        <v>23852.709877259425</v>
      </c>
      <c r="H436" s="800">
        <f t="shared" si="207"/>
        <v>26555.713560143326</v>
      </c>
      <c r="I436" s="800">
        <f t="shared" si="208"/>
        <v>30855.835361639485</v>
      </c>
      <c r="J436" s="800">
        <f t="shared" si="209"/>
        <v>32893.971558708326</v>
      </c>
      <c r="K436" s="800">
        <f t="shared" si="210"/>
        <v>34585.788488825114</v>
      </c>
      <c r="L436" s="800">
        <f t="shared" si="211"/>
        <v>36313.286180697483</v>
      </c>
      <c r="M436" s="800">
        <f t="shared" si="212"/>
        <v>38358.76</v>
      </c>
      <c r="N436" s="800" t="s">
        <v>166</v>
      </c>
      <c r="O436" s="800" t="s">
        <v>212</v>
      </c>
    </row>
    <row r="437" spans="1:15">
      <c r="A437" s="137" t="s">
        <v>81</v>
      </c>
      <c r="B437" s="800">
        <f t="shared" si="200"/>
        <v>22154.913572022768</v>
      </c>
      <c r="C437" s="800">
        <f t="shared" si="202"/>
        <v>55312.736295441202</v>
      </c>
      <c r="D437" s="800">
        <f t="shared" si="203"/>
        <v>68486.783333689964</v>
      </c>
      <c r="E437" s="800">
        <f t="shared" si="204"/>
        <v>78710.970137438082</v>
      </c>
      <c r="F437" s="800">
        <f t="shared" si="205"/>
        <v>87467.671330809229</v>
      </c>
      <c r="G437" s="800">
        <f t="shared" si="206"/>
        <v>99521.766186198918</v>
      </c>
      <c r="H437" s="800">
        <f t="shared" si="207"/>
        <v>111751.4444190738</v>
      </c>
      <c r="I437" s="800">
        <f t="shared" si="208"/>
        <v>132850.23347935174</v>
      </c>
      <c r="J437" s="800">
        <f t="shared" si="209"/>
        <v>142455.60083590931</v>
      </c>
      <c r="K437" s="800">
        <f t="shared" si="210"/>
        <v>151362.77234927713</v>
      </c>
      <c r="L437" s="800">
        <f t="shared" si="211"/>
        <v>159492.77060817822</v>
      </c>
      <c r="M437" s="800">
        <f t="shared" si="212"/>
        <v>167980.98</v>
      </c>
      <c r="N437" s="800" t="s">
        <v>166</v>
      </c>
      <c r="O437" s="800" t="s">
        <v>212</v>
      </c>
    </row>
    <row r="438" spans="1:15">
      <c r="A438" s="137" t="s">
        <v>82</v>
      </c>
      <c r="B438" s="800">
        <f t="shared" si="200"/>
        <v>13997.795942864002</v>
      </c>
      <c r="C438" s="800">
        <f t="shared" si="202"/>
        <v>27647.007748474633</v>
      </c>
      <c r="D438" s="800">
        <f t="shared" si="203"/>
        <v>34229.303891489973</v>
      </c>
      <c r="E438" s="800">
        <f t="shared" si="204"/>
        <v>38579.730477185934</v>
      </c>
      <c r="F438" s="800">
        <f t="shared" si="205"/>
        <v>44040.002383732717</v>
      </c>
      <c r="G438" s="800">
        <f t="shared" si="206"/>
        <v>50043.244245420166</v>
      </c>
      <c r="H438" s="800">
        <f t="shared" si="207"/>
        <v>54846.997761950057</v>
      </c>
      <c r="I438" s="800">
        <f t="shared" si="208"/>
        <v>65459.37893876098</v>
      </c>
      <c r="J438" s="800">
        <f t="shared" si="209"/>
        <v>71276.652345822818</v>
      </c>
      <c r="K438" s="800">
        <f t="shared" si="210"/>
        <v>74325.871266350194</v>
      </c>
      <c r="L438" s="800">
        <f t="shared" si="211"/>
        <v>77727.470983530264</v>
      </c>
      <c r="M438" s="800">
        <f t="shared" si="212"/>
        <v>83922</v>
      </c>
      <c r="N438" s="800" t="s">
        <v>166</v>
      </c>
      <c r="O438" s="800" t="s">
        <v>212</v>
      </c>
    </row>
    <row r="439" spans="1:15">
      <c r="A439" s="137" t="s">
        <v>83</v>
      </c>
      <c r="B439" s="800">
        <f t="shared" si="200"/>
        <v>12179.403299024843</v>
      </c>
      <c r="C439" s="800">
        <f t="shared" si="202"/>
        <v>36920.971015032279</v>
      </c>
      <c r="D439" s="800">
        <f t="shared" si="203"/>
        <v>45857.682437846561</v>
      </c>
      <c r="E439" s="800">
        <f t="shared" si="204"/>
        <v>53588.887723389555</v>
      </c>
      <c r="F439" s="800">
        <f t="shared" si="205"/>
        <v>60244.267178180577</v>
      </c>
      <c r="G439" s="800">
        <f t="shared" si="206"/>
        <v>72447.788512552463</v>
      </c>
      <c r="H439" s="800">
        <f t="shared" si="207"/>
        <v>79612.637994750432</v>
      </c>
      <c r="I439" s="800">
        <f t="shared" si="208"/>
        <v>95991.56900428074</v>
      </c>
      <c r="J439" s="800">
        <f t="shared" si="209"/>
        <v>100928.62546046886</v>
      </c>
      <c r="K439" s="800">
        <f t="shared" si="210"/>
        <v>106558.60583394862</v>
      </c>
      <c r="L439" s="800">
        <f t="shared" si="211"/>
        <v>111313.1784174186</v>
      </c>
      <c r="M439" s="800">
        <f t="shared" si="212"/>
        <v>117069.78</v>
      </c>
      <c r="N439" s="800" t="s">
        <v>166</v>
      </c>
      <c r="O439" s="800" t="s">
        <v>212</v>
      </c>
    </row>
    <row r="440" spans="1:15">
      <c r="A440" s="137" t="s">
        <v>84</v>
      </c>
      <c r="B440" s="800">
        <f t="shared" si="200"/>
        <v>9851.1766090626443</v>
      </c>
      <c r="C440" s="800">
        <f t="shared" si="202"/>
        <v>34493.896752145272</v>
      </c>
      <c r="D440" s="800">
        <f t="shared" si="203"/>
        <v>41873.775656452082</v>
      </c>
      <c r="E440" s="800">
        <f t="shared" si="204"/>
        <v>46633.358986828112</v>
      </c>
      <c r="F440" s="800">
        <f t="shared" si="205"/>
        <v>52068.066053137773</v>
      </c>
      <c r="G440" s="800">
        <f t="shared" si="206"/>
        <v>57221.479781490787</v>
      </c>
      <c r="H440" s="800">
        <f t="shared" si="207"/>
        <v>63382.673765878259</v>
      </c>
      <c r="I440" s="800">
        <f t="shared" si="208"/>
        <v>77169.047346641499</v>
      </c>
      <c r="J440" s="800">
        <f t="shared" si="209"/>
        <v>83086.361639014329</v>
      </c>
      <c r="K440" s="800">
        <f t="shared" si="210"/>
        <v>89053.480259383272</v>
      </c>
      <c r="L440" s="800">
        <f t="shared" si="211"/>
        <v>93770.408347167395</v>
      </c>
      <c r="M440" s="800">
        <f t="shared" si="212"/>
        <v>99098.45</v>
      </c>
      <c r="N440" s="800" t="s">
        <v>166</v>
      </c>
      <c r="O440" s="800" t="s">
        <v>212</v>
      </c>
    </row>
    <row r="441" spans="1:15">
      <c r="A441" s="137" t="s">
        <v>85</v>
      </c>
      <c r="B441" s="800">
        <f t="shared" si="200"/>
        <v>7011.0208472538916</v>
      </c>
      <c r="C441" s="800">
        <f t="shared" si="202"/>
        <v>21452.605862703404</v>
      </c>
      <c r="D441" s="800">
        <f t="shared" si="203"/>
        <v>28037.321177331189</v>
      </c>
      <c r="E441" s="800">
        <f t="shared" si="204"/>
        <v>33354.107369919526</v>
      </c>
      <c r="F441" s="800">
        <f t="shared" si="205"/>
        <v>39375.847713105104</v>
      </c>
      <c r="G441" s="800">
        <f t="shared" si="206"/>
        <v>47497.884803278153</v>
      </c>
      <c r="H441" s="800">
        <f t="shared" si="207"/>
        <v>52920.406494240167</v>
      </c>
      <c r="I441" s="800">
        <f t="shared" si="208"/>
        <v>64552.443384161161</v>
      </c>
      <c r="J441" s="800">
        <f t="shared" si="209"/>
        <v>69217.107020926036</v>
      </c>
      <c r="K441" s="800">
        <f t="shared" si="210"/>
        <v>72786.210634198913</v>
      </c>
      <c r="L441" s="800">
        <f t="shared" si="211"/>
        <v>76749.937700017574</v>
      </c>
      <c r="M441" s="800">
        <f t="shared" si="212"/>
        <v>80298.62</v>
      </c>
      <c r="N441" s="800" t="s">
        <v>166</v>
      </c>
      <c r="O441" s="800" t="s">
        <v>212</v>
      </c>
    </row>
    <row r="442" spans="1:15">
      <c r="A442" s="137" t="s">
        <v>86</v>
      </c>
      <c r="B442" s="800">
        <f t="shared" si="200"/>
        <v>6074.869443188576</v>
      </c>
      <c r="C442" s="800">
        <f t="shared" si="202"/>
        <v>13471.611020456834</v>
      </c>
      <c r="D442" s="800">
        <f t="shared" si="203"/>
        <v>16674.412892231074</v>
      </c>
      <c r="E442" s="800">
        <f t="shared" si="204"/>
        <v>18810.688788621032</v>
      </c>
      <c r="F442" s="800">
        <f t="shared" si="205"/>
        <v>20978.56257474373</v>
      </c>
      <c r="G442" s="800">
        <f t="shared" si="206"/>
        <v>23929.010067297982</v>
      </c>
      <c r="H442" s="800">
        <f t="shared" si="207"/>
        <v>26512.46845692653</v>
      </c>
      <c r="I442" s="800">
        <f t="shared" si="208"/>
        <v>32177.186049083852</v>
      </c>
      <c r="J442" s="800">
        <f t="shared" si="209"/>
        <v>34546.784047591063</v>
      </c>
      <c r="K442" s="800">
        <f t="shared" si="210"/>
        <v>36568.686582514842</v>
      </c>
      <c r="L442" s="800">
        <f t="shared" si="211"/>
        <v>38607.614413635609</v>
      </c>
      <c r="M442" s="800">
        <f t="shared" si="212"/>
        <v>40883.160000000003</v>
      </c>
      <c r="N442" s="800" t="s">
        <v>166</v>
      </c>
      <c r="O442" s="800" t="s">
        <v>212</v>
      </c>
    </row>
    <row r="443" spans="1:15">
      <c r="A443" s="137" t="s">
        <v>87</v>
      </c>
      <c r="B443" s="800">
        <f t="shared" si="200"/>
        <v>11213.413001282819</v>
      </c>
      <c r="C443" s="800">
        <f t="shared" si="202"/>
        <v>29821.38609679959</v>
      </c>
      <c r="D443" s="800">
        <f t="shared" si="203"/>
        <v>37763.37246740752</v>
      </c>
      <c r="E443" s="800">
        <f t="shared" si="204"/>
        <v>45501.510022466478</v>
      </c>
      <c r="F443" s="800">
        <f t="shared" si="205"/>
        <v>51904.280190320838</v>
      </c>
      <c r="G443" s="800">
        <f t="shared" si="206"/>
        <v>59126.111896367343</v>
      </c>
      <c r="H443" s="800">
        <f t="shared" si="207"/>
        <v>64413.489960738822</v>
      </c>
      <c r="I443" s="800">
        <f t="shared" si="208"/>
        <v>78876.044615176608</v>
      </c>
      <c r="J443" s="800">
        <f t="shared" si="209"/>
        <v>85640.290476333073</v>
      </c>
      <c r="K443" s="800">
        <f t="shared" si="210"/>
        <v>90861.441100702708</v>
      </c>
      <c r="L443" s="800">
        <f t="shared" si="211"/>
        <v>95164.205556201632</v>
      </c>
      <c r="M443" s="800">
        <f t="shared" si="212"/>
        <v>102373.44</v>
      </c>
      <c r="N443" s="800" t="s">
        <v>166</v>
      </c>
      <c r="O443" s="800" t="s">
        <v>212</v>
      </c>
    </row>
    <row r="444" spans="1:15">
      <c r="A444" s="137" t="s">
        <v>88</v>
      </c>
      <c r="B444" s="800">
        <f t="shared" si="200"/>
        <v>13559.038927192518</v>
      </c>
      <c r="C444" s="800">
        <f t="shared" si="202"/>
        <v>26722.157562733675</v>
      </c>
      <c r="D444" s="800">
        <f t="shared" si="203"/>
        <v>32807.818522693429</v>
      </c>
      <c r="E444" s="800">
        <f t="shared" si="204"/>
        <v>38406.398206590566</v>
      </c>
      <c r="F444" s="800">
        <f t="shared" si="205"/>
        <v>45835.054379526242</v>
      </c>
      <c r="G444" s="800">
        <f t="shared" si="206"/>
        <v>51794.375125041101</v>
      </c>
      <c r="H444" s="800">
        <f t="shared" si="207"/>
        <v>57688.159678708653</v>
      </c>
      <c r="I444" s="800">
        <f t="shared" si="208"/>
        <v>69852.038291530072</v>
      </c>
      <c r="J444" s="800">
        <f t="shared" si="209"/>
        <v>75236.720031599471</v>
      </c>
      <c r="K444" s="800">
        <f t="shared" si="210"/>
        <v>80098.151891443558</v>
      </c>
      <c r="L444" s="800">
        <f t="shared" si="211"/>
        <v>84207.450433831007</v>
      </c>
      <c r="M444" s="800">
        <f t="shared" si="212"/>
        <v>87773.540000000008</v>
      </c>
      <c r="N444" s="800" t="s">
        <v>166</v>
      </c>
      <c r="O444" s="800" t="s">
        <v>212</v>
      </c>
    </row>
    <row r="445" spans="1:15">
      <c r="A445" s="137" t="s">
        <v>89</v>
      </c>
      <c r="B445" s="800">
        <f t="shared" si="200"/>
        <v>56723.92174510449</v>
      </c>
      <c r="C445" s="800">
        <f t="shared" si="202"/>
        <v>122751.59757601931</v>
      </c>
      <c r="D445" s="800">
        <f t="shared" si="203"/>
        <v>154025.36242119616</v>
      </c>
      <c r="E445" s="800">
        <f t="shared" si="204"/>
        <v>174289.36090812902</v>
      </c>
      <c r="F445" s="800">
        <f t="shared" si="205"/>
        <v>200535.41055287526</v>
      </c>
      <c r="G445" s="800">
        <f t="shared" si="206"/>
        <v>227736.52828041304</v>
      </c>
      <c r="H445" s="800">
        <f t="shared" si="207"/>
        <v>252865.45547354111</v>
      </c>
      <c r="I445" s="800">
        <f t="shared" si="208"/>
        <v>301559.56387340772</v>
      </c>
      <c r="J445" s="800">
        <f t="shared" si="209"/>
        <v>318565.95538978704</v>
      </c>
      <c r="K445" s="800">
        <f t="shared" si="210"/>
        <v>333395.3744393455</v>
      </c>
      <c r="L445" s="800">
        <f t="shared" si="211"/>
        <v>347185.01474264602</v>
      </c>
      <c r="M445" s="800">
        <f t="shared" si="212"/>
        <v>366538.9</v>
      </c>
      <c r="N445" s="800" t="s">
        <v>166</v>
      </c>
      <c r="O445" s="800" t="s">
        <v>212</v>
      </c>
    </row>
    <row r="446" spans="1:15">
      <c r="A446" s="137" t="s">
        <v>90</v>
      </c>
      <c r="B446" s="800">
        <f t="shared" si="200"/>
        <v>6325.2295426624732</v>
      </c>
      <c r="C446" s="800">
        <f t="shared" si="202"/>
        <v>12580.407557491881</v>
      </c>
      <c r="D446" s="800">
        <f t="shared" si="203"/>
        <v>17386.474180928421</v>
      </c>
      <c r="E446" s="800">
        <f t="shared" si="204"/>
        <v>20597.554655068216</v>
      </c>
      <c r="F446" s="800">
        <f t="shared" si="205"/>
        <v>24900.438144743635</v>
      </c>
      <c r="G446" s="800">
        <f t="shared" si="206"/>
        <v>29542.275933154582</v>
      </c>
      <c r="H446" s="800">
        <f t="shared" si="207"/>
        <v>34278.354490405211</v>
      </c>
      <c r="I446" s="800">
        <f t="shared" si="208"/>
        <v>40888.88212297485</v>
      </c>
      <c r="J446" s="800">
        <f t="shared" si="209"/>
        <v>43560.441829117866</v>
      </c>
      <c r="K446" s="800">
        <f t="shared" si="210"/>
        <v>46423.311392299045</v>
      </c>
      <c r="L446" s="800">
        <f t="shared" si="211"/>
        <v>48361.010186387743</v>
      </c>
      <c r="M446" s="800">
        <f t="shared" si="212"/>
        <v>50489.86</v>
      </c>
      <c r="N446" s="800" t="s">
        <v>166</v>
      </c>
      <c r="O446" s="800" t="s">
        <v>212</v>
      </c>
    </row>
    <row r="447" spans="1:15">
      <c r="A447" s="137" t="s">
        <v>91</v>
      </c>
      <c r="B447" s="800">
        <f t="shared" si="200"/>
        <v>6411.6331508915746</v>
      </c>
      <c r="C447" s="800">
        <f t="shared" si="202"/>
        <v>15992.655844245608</v>
      </c>
      <c r="D447" s="800">
        <f t="shared" si="203"/>
        <v>22014.633523885404</v>
      </c>
      <c r="E447" s="800">
        <f t="shared" si="204"/>
        <v>25827.492280254814</v>
      </c>
      <c r="F447" s="800">
        <f t="shared" si="205"/>
        <v>31001.361606340353</v>
      </c>
      <c r="G447" s="800">
        <f t="shared" si="206"/>
        <v>36756.489892500969</v>
      </c>
      <c r="H447" s="800">
        <f t="shared" si="207"/>
        <v>40763.48649076197</v>
      </c>
      <c r="I447" s="800">
        <f t="shared" si="208"/>
        <v>47169.523854740568</v>
      </c>
      <c r="J447" s="800">
        <f t="shared" si="209"/>
        <v>51180.248516317886</v>
      </c>
      <c r="K447" s="800">
        <f t="shared" si="210"/>
        <v>54032.387034095314</v>
      </c>
      <c r="L447" s="800">
        <f t="shared" si="211"/>
        <v>57784.346373290296</v>
      </c>
      <c r="M447" s="800">
        <f t="shared" si="212"/>
        <v>62991.5</v>
      </c>
      <c r="N447" s="800" t="s">
        <v>166</v>
      </c>
      <c r="O447" s="800" t="s">
        <v>212</v>
      </c>
    </row>
    <row r="448" spans="1:15">
      <c r="A448" s="137" t="s">
        <v>92</v>
      </c>
      <c r="B448" s="800">
        <f t="shared" si="200"/>
        <v>69424.50893040729</v>
      </c>
      <c r="C448" s="800">
        <f t="shared" si="202"/>
        <v>143352.54902876419</v>
      </c>
      <c r="D448" s="800">
        <f t="shared" si="203"/>
        <v>187715.67645105571</v>
      </c>
      <c r="E448" s="800">
        <f t="shared" si="204"/>
        <v>221613.27070165775</v>
      </c>
      <c r="F448" s="800">
        <f t="shared" si="205"/>
        <v>257337.69607261295</v>
      </c>
      <c r="G448" s="800">
        <f t="shared" si="206"/>
        <v>298631.55630151118</v>
      </c>
      <c r="H448" s="800">
        <f t="shared" si="207"/>
        <v>333172.7871591716</v>
      </c>
      <c r="I448" s="800">
        <f t="shared" si="208"/>
        <v>395395.82789902424</v>
      </c>
      <c r="J448" s="800">
        <f t="shared" si="209"/>
        <v>422828.25866870937</v>
      </c>
      <c r="K448" s="800">
        <f t="shared" si="210"/>
        <v>446273.15613976703</v>
      </c>
      <c r="L448" s="800">
        <f t="shared" si="211"/>
        <v>467932.03061222041</v>
      </c>
      <c r="M448" s="800">
        <f t="shared" si="212"/>
        <v>492458.63</v>
      </c>
      <c r="N448" s="800" t="s">
        <v>166</v>
      </c>
      <c r="O448" s="800" t="s">
        <v>212</v>
      </c>
    </row>
    <row r="449" spans="1:15">
      <c r="A449" s="137" t="s">
        <v>93</v>
      </c>
      <c r="B449" s="800">
        <f t="shared" si="200"/>
        <v>16074.465144325854</v>
      </c>
      <c r="C449" s="800">
        <f t="shared" si="202"/>
        <v>37876.219620290387</v>
      </c>
      <c r="D449" s="800">
        <f t="shared" si="203"/>
        <v>46672.437126846526</v>
      </c>
      <c r="E449" s="800">
        <f t="shared" si="204"/>
        <v>54376.47716983009</v>
      </c>
      <c r="F449" s="800">
        <f t="shared" si="205"/>
        <v>61387.447538709654</v>
      </c>
      <c r="G449" s="800">
        <f t="shared" si="206"/>
        <v>69031.421622703667</v>
      </c>
      <c r="H449" s="800">
        <f t="shared" si="207"/>
        <v>74930.081448648183</v>
      </c>
      <c r="I449" s="800">
        <f t="shared" si="208"/>
        <v>87071.036270413621</v>
      </c>
      <c r="J449" s="800">
        <f t="shared" si="209"/>
        <v>93138.09637647304</v>
      </c>
      <c r="K449" s="800">
        <f t="shared" si="210"/>
        <v>98047.616708764515</v>
      </c>
      <c r="L449" s="800">
        <f t="shared" si="211"/>
        <v>102806.56006008793</v>
      </c>
      <c r="M449" s="800">
        <f t="shared" si="212"/>
        <v>108536.37999999999</v>
      </c>
      <c r="N449" s="800" t="s">
        <v>166</v>
      </c>
      <c r="O449" s="800" t="s">
        <v>212</v>
      </c>
    </row>
    <row r="450" spans="1:15">
      <c r="A450" s="137" t="s">
        <v>94</v>
      </c>
      <c r="B450" s="800">
        <f t="shared" si="200"/>
        <v>9084.7798822417753</v>
      </c>
      <c r="C450" s="800">
        <f t="shared" si="202"/>
        <v>17772.275393852942</v>
      </c>
      <c r="D450" s="800">
        <f t="shared" si="203"/>
        <v>21353.297745100746</v>
      </c>
      <c r="E450" s="800">
        <f t="shared" si="204"/>
        <v>25501.676118983803</v>
      </c>
      <c r="F450" s="800">
        <f t="shared" si="205"/>
        <v>29378.597202846566</v>
      </c>
      <c r="G450" s="800">
        <f t="shared" si="206"/>
        <v>33628.877118646691</v>
      </c>
      <c r="H450" s="800">
        <f t="shared" si="207"/>
        <v>38866.702191710399</v>
      </c>
      <c r="I450" s="800">
        <f t="shared" si="208"/>
        <v>45972.868056049483</v>
      </c>
      <c r="J450" s="800">
        <f t="shared" si="209"/>
        <v>49482.851361721892</v>
      </c>
      <c r="K450" s="800">
        <f t="shared" si="210"/>
        <v>53158.932980055542</v>
      </c>
      <c r="L450" s="800">
        <f t="shared" si="211"/>
        <v>55792.56891052948</v>
      </c>
      <c r="M450" s="800">
        <f t="shared" si="212"/>
        <v>58238.9</v>
      </c>
      <c r="N450" s="800" t="s">
        <v>166</v>
      </c>
      <c r="O450" s="800" t="s">
        <v>212</v>
      </c>
    </row>
    <row r="451" spans="1:15">
      <c r="A451" s="137" t="s">
        <v>95</v>
      </c>
      <c r="B451" s="800">
        <f t="shared" si="200"/>
        <v>87304.33500801117</v>
      </c>
      <c r="C451" s="800">
        <f t="shared" si="202"/>
        <v>188696.24063842907</v>
      </c>
      <c r="D451" s="800">
        <f t="shared" si="203"/>
        <v>232333.33613408724</v>
      </c>
      <c r="E451" s="800">
        <f t="shared" si="204"/>
        <v>260679.0186712677</v>
      </c>
      <c r="F451" s="800">
        <f t="shared" si="205"/>
        <v>289653.98341735272</v>
      </c>
      <c r="G451" s="800">
        <f t="shared" si="206"/>
        <v>326997.38215722801</v>
      </c>
      <c r="H451" s="800">
        <f t="shared" si="207"/>
        <v>370417.58064002375</v>
      </c>
      <c r="I451" s="800">
        <f t="shared" si="208"/>
        <v>441341.00452819938</v>
      </c>
      <c r="J451" s="800">
        <f t="shared" si="209"/>
        <v>467026.10662642098</v>
      </c>
      <c r="K451" s="800">
        <f t="shared" si="210"/>
        <v>487926.56153872143</v>
      </c>
      <c r="L451" s="800">
        <f t="shared" si="211"/>
        <v>510348.5269911167</v>
      </c>
      <c r="M451" s="800">
        <f t="shared" si="212"/>
        <v>536205.69999999995</v>
      </c>
      <c r="N451" s="800" t="s">
        <v>166</v>
      </c>
      <c r="O451" s="800" t="s">
        <v>212</v>
      </c>
    </row>
    <row r="452" spans="1:15">
      <c r="A452" s="137" t="s">
        <v>96</v>
      </c>
      <c r="B452" s="800">
        <f t="shared" si="200"/>
        <v>4882.6949707046142</v>
      </c>
      <c r="C452" s="800">
        <f t="shared" si="202"/>
        <v>14919.646512043246</v>
      </c>
      <c r="D452" s="800">
        <f t="shared" si="203"/>
        <v>19938.527880758429</v>
      </c>
      <c r="E452" s="800">
        <f t="shared" si="204"/>
        <v>23400.774491007476</v>
      </c>
      <c r="F452" s="800">
        <f t="shared" si="205"/>
        <v>27659.885417710771</v>
      </c>
      <c r="G452" s="800">
        <f t="shared" si="206"/>
        <v>32695.445246101663</v>
      </c>
      <c r="H452" s="800">
        <f t="shared" si="207"/>
        <v>36757.888149515114</v>
      </c>
      <c r="I452" s="800">
        <f t="shared" si="208"/>
        <v>47454.210879950675</v>
      </c>
      <c r="J452" s="800">
        <f t="shared" si="209"/>
        <v>50820.57545822001</v>
      </c>
      <c r="K452" s="800">
        <f t="shared" si="210"/>
        <v>53024.567724411412</v>
      </c>
      <c r="L452" s="800">
        <f t="shared" si="211"/>
        <v>55432.102975655667</v>
      </c>
      <c r="M452" s="800">
        <f t="shared" si="212"/>
        <v>58238.9</v>
      </c>
      <c r="N452" s="800" t="s">
        <v>166</v>
      </c>
      <c r="O452" s="800" t="s">
        <v>212</v>
      </c>
    </row>
    <row r="453" spans="1:15">
      <c r="A453" s="137" t="s">
        <v>97</v>
      </c>
      <c r="B453" s="800">
        <f t="shared" si="200"/>
        <v>8008.1297360246044</v>
      </c>
      <c r="C453" s="800">
        <f t="shared" si="202"/>
        <v>17520.828562649469</v>
      </c>
      <c r="D453" s="800">
        <f t="shared" si="203"/>
        <v>22038.22546684571</v>
      </c>
      <c r="E453" s="800">
        <f t="shared" si="204"/>
        <v>25878.539444974409</v>
      </c>
      <c r="F453" s="800">
        <f t="shared" si="205"/>
        <v>29721.868347120901</v>
      </c>
      <c r="G453" s="800">
        <f t="shared" si="206"/>
        <v>34217.325561529178</v>
      </c>
      <c r="H453" s="800">
        <f t="shared" si="207"/>
        <v>37758.871119829724</v>
      </c>
      <c r="I453" s="800">
        <f t="shared" si="208"/>
        <v>46089.167520835428</v>
      </c>
      <c r="J453" s="800">
        <f t="shared" si="209"/>
        <v>49421.269945527209</v>
      </c>
      <c r="K453" s="800">
        <f t="shared" si="210"/>
        <v>52312.174998818373</v>
      </c>
      <c r="L453" s="800">
        <f t="shared" si="211"/>
        <v>55232.039382852745</v>
      </c>
      <c r="M453" s="800">
        <f t="shared" si="212"/>
        <v>58238.9</v>
      </c>
      <c r="N453" s="800" t="s">
        <v>166</v>
      </c>
      <c r="O453" s="800" t="s">
        <v>212</v>
      </c>
    </row>
    <row r="454" spans="1:15">
      <c r="A454" s="137" t="s">
        <v>98</v>
      </c>
      <c r="B454" s="800">
        <f t="shared" si="200"/>
        <v>5359.4028549121713</v>
      </c>
      <c r="C454" s="800">
        <f t="shared" si="202"/>
        <v>9343.2961311427589</v>
      </c>
      <c r="D454" s="800">
        <f t="shared" si="203"/>
        <v>13183.746473953577</v>
      </c>
      <c r="E454" s="800">
        <f t="shared" si="204"/>
        <v>15674.041525308388</v>
      </c>
      <c r="F454" s="800">
        <f t="shared" si="205"/>
        <v>17485.716582168945</v>
      </c>
      <c r="G454" s="800">
        <f t="shared" si="206"/>
        <v>21517.509572143179</v>
      </c>
      <c r="H454" s="800">
        <f t="shared" si="207"/>
        <v>23575.090731845659</v>
      </c>
      <c r="I454" s="800">
        <f t="shared" si="208"/>
        <v>27660.088921597668</v>
      </c>
      <c r="J454" s="800">
        <f t="shared" si="209"/>
        <v>29725.755641881922</v>
      </c>
      <c r="K454" s="800">
        <f t="shared" si="210"/>
        <v>31297.241391166328</v>
      </c>
      <c r="L454" s="800">
        <f t="shared" si="211"/>
        <v>33001.85842227278</v>
      </c>
      <c r="M454" s="800">
        <f t="shared" si="212"/>
        <v>34600.170000000006</v>
      </c>
      <c r="N454" s="800" t="s">
        <v>166</v>
      </c>
      <c r="O454" s="800" t="s">
        <v>212</v>
      </c>
    </row>
    <row r="455" spans="1:15">
      <c r="A455" s="137" t="s">
        <v>99</v>
      </c>
      <c r="B455" s="800">
        <f t="shared" si="200"/>
        <v>1561.612165007763</v>
      </c>
      <c r="C455" s="800">
        <f t="shared" si="202"/>
        <v>2226.7456519889924</v>
      </c>
      <c r="D455" s="800">
        <f t="shared" si="203"/>
        <v>3811.4399351118445</v>
      </c>
      <c r="E455" s="800">
        <f t="shared" si="204"/>
        <v>4004.9538487553355</v>
      </c>
      <c r="F455" s="800">
        <f t="shared" si="205"/>
        <v>4134.6801288802635</v>
      </c>
      <c r="G455" s="800">
        <f t="shared" si="206"/>
        <v>4241.3664147428999</v>
      </c>
      <c r="H455" s="800">
        <f t="shared" si="207"/>
        <v>4741.1170240470356</v>
      </c>
      <c r="I455" s="800">
        <f t="shared" si="208"/>
        <v>5577.9942422453187</v>
      </c>
      <c r="J455" s="800">
        <f t="shared" si="209"/>
        <v>6237.7051597713607</v>
      </c>
      <c r="K455" s="800">
        <f t="shared" si="210"/>
        <v>6317.4278598125184</v>
      </c>
      <c r="L455" s="800">
        <f t="shared" si="211"/>
        <v>6606.4930411980058</v>
      </c>
      <c r="M455" s="800">
        <f t="shared" si="212"/>
        <v>6861.2</v>
      </c>
      <c r="N455" s="800" t="s">
        <v>166</v>
      </c>
      <c r="O455" s="800" t="s">
        <v>212</v>
      </c>
    </row>
    <row r="456" spans="1:15">
      <c r="A456" s="137" t="s">
        <v>100</v>
      </c>
      <c r="B456" s="800">
        <f t="shared" si="200"/>
        <v>42444.779756512093</v>
      </c>
      <c r="C456" s="800">
        <f t="shared" si="202"/>
        <v>110732.48699588444</v>
      </c>
      <c r="D456" s="800">
        <f t="shared" si="203"/>
        <v>139393.23384739709</v>
      </c>
      <c r="E456" s="800">
        <f t="shared" si="204"/>
        <v>160430.78566333122</v>
      </c>
      <c r="F456" s="800">
        <f t="shared" si="205"/>
        <v>183200.77185046909</v>
      </c>
      <c r="G456" s="800">
        <f t="shared" si="206"/>
        <v>212701.6631559431</v>
      </c>
      <c r="H456" s="800">
        <f t="shared" si="207"/>
        <v>231377.75621519325</v>
      </c>
      <c r="I456" s="800">
        <f t="shared" si="208"/>
        <v>282791.4437250318</v>
      </c>
      <c r="J456" s="800">
        <f t="shared" si="209"/>
        <v>300176.30351352255</v>
      </c>
      <c r="K456" s="800">
        <f t="shared" si="210"/>
        <v>316233.51539377036</v>
      </c>
      <c r="L456" s="800">
        <f t="shared" si="211"/>
        <v>327064.14614618354</v>
      </c>
      <c r="M456" s="800">
        <f t="shared" si="212"/>
        <v>341605.97</v>
      </c>
      <c r="N456" s="800" t="s">
        <v>166</v>
      </c>
      <c r="O456" s="800" t="s">
        <v>212</v>
      </c>
    </row>
    <row r="457" spans="1:15">
      <c r="A457" s="137" t="s">
        <v>101</v>
      </c>
      <c r="B457" s="800">
        <f t="shared" si="200"/>
        <v>204885.29166372301</v>
      </c>
      <c r="C457" s="800">
        <f t="shared" si="202"/>
        <v>458340.12177868024</v>
      </c>
      <c r="D457" s="800">
        <f t="shared" si="203"/>
        <v>569866.69952954876</v>
      </c>
      <c r="E457" s="800">
        <f t="shared" si="204"/>
        <v>642684.83095719316</v>
      </c>
      <c r="F457" s="800">
        <f t="shared" si="205"/>
        <v>711645.24961445271</v>
      </c>
      <c r="G457" s="800">
        <f t="shared" si="206"/>
        <v>789887.6811607586</v>
      </c>
      <c r="H457" s="800">
        <f t="shared" si="207"/>
        <v>852437.48783675604</v>
      </c>
      <c r="I457" s="800">
        <f t="shared" si="208"/>
        <v>999128.27150600322</v>
      </c>
      <c r="J457" s="800">
        <f t="shared" si="209"/>
        <v>1062226.2915916427</v>
      </c>
      <c r="K457" s="800">
        <f t="shared" si="210"/>
        <v>1110255.4791339247</v>
      </c>
      <c r="L457" s="800">
        <f t="shared" si="211"/>
        <v>1161664.3893611794</v>
      </c>
      <c r="M457" s="800">
        <f t="shared" si="212"/>
        <v>1218522.2080000001</v>
      </c>
      <c r="N457" s="800" t="s">
        <v>166</v>
      </c>
      <c r="O457" s="800" t="s">
        <v>212</v>
      </c>
    </row>
    <row r="458" spans="1:15">
      <c r="A458" s="137" t="s">
        <v>102</v>
      </c>
      <c r="B458" s="800">
        <f t="shared" si="200"/>
        <v>10057.548931800926</v>
      </c>
      <c r="C458" s="800">
        <f t="shared" si="202"/>
        <v>20184.19935657048</v>
      </c>
      <c r="D458" s="800">
        <f t="shared" si="203"/>
        <v>25971.097674334804</v>
      </c>
      <c r="E458" s="800">
        <f t="shared" si="204"/>
        <v>29676.499500787173</v>
      </c>
      <c r="F458" s="800">
        <f t="shared" si="205"/>
        <v>32252.461819193792</v>
      </c>
      <c r="G458" s="800">
        <f t="shared" si="206"/>
        <v>36638.743882990733</v>
      </c>
      <c r="H458" s="800">
        <f t="shared" si="207"/>
        <v>40124.293303161263</v>
      </c>
      <c r="I458" s="800">
        <f t="shared" si="208"/>
        <v>45939.325956676956</v>
      </c>
      <c r="J458" s="800">
        <f t="shared" si="209"/>
        <v>49553.505321352277</v>
      </c>
      <c r="K458" s="800">
        <f t="shared" si="210"/>
        <v>52611.977322566643</v>
      </c>
      <c r="L458" s="800">
        <f t="shared" si="211"/>
        <v>55392.777238071183</v>
      </c>
      <c r="M458" s="800">
        <f t="shared" si="212"/>
        <v>58238.9</v>
      </c>
      <c r="N458" s="800" t="s">
        <v>166</v>
      </c>
      <c r="O458" s="800" t="s">
        <v>212</v>
      </c>
    </row>
    <row r="459" spans="1:15">
      <c r="A459" s="137" t="s">
        <v>103</v>
      </c>
      <c r="B459" s="800">
        <f t="shared" si="200"/>
        <v>7015.1666535212071</v>
      </c>
      <c r="C459" s="800">
        <f t="shared" si="202"/>
        <v>14447.548207573851</v>
      </c>
      <c r="D459" s="800">
        <f t="shared" si="203"/>
        <v>18630.559429008692</v>
      </c>
      <c r="E459" s="800">
        <f t="shared" si="204"/>
        <v>21016.963752875152</v>
      </c>
      <c r="F459" s="800">
        <f t="shared" si="205"/>
        <v>24052.91426563741</v>
      </c>
      <c r="G459" s="800">
        <f t="shared" si="206"/>
        <v>30403.689190976344</v>
      </c>
      <c r="H459" s="800">
        <f t="shared" si="207"/>
        <v>34478.620696220154</v>
      </c>
      <c r="I459" s="800">
        <f t="shared" si="208"/>
        <v>42478.797331781381</v>
      </c>
      <c r="J459" s="800">
        <f t="shared" si="209"/>
        <v>47440.379753311034</v>
      </c>
      <c r="K459" s="800">
        <f t="shared" si="210"/>
        <v>50798.814491822646</v>
      </c>
      <c r="L459" s="800">
        <f t="shared" si="211"/>
        <v>54336.448050906045</v>
      </c>
      <c r="M459" s="800">
        <f t="shared" si="212"/>
        <v>58238.9</v>
      </c>
      <c r="N459" s="800" t="s">
        <v>166</v>
      </c>
      <c r="O459" s="800" t="s">
        <v>212</v>
      </c>
    </row>
    <row r="460" spans="1:15">
      <c r="A460" s="137" t="s">
        <v>77</v>
      </c>
      <c r="B460" s="800">
        <f t="shared" ref="B460:B486" si="213">B73</f>
        <v>2874.7499695612287</v>
      </c>
      <c r="C460" s="800">
        <f t="shared" ref="C460:M460" si="214">C73</f>
        <v>11282.990090655549</v>
      </c>
      <c r="D460" s="800">
        <f t="shared" si="214"/>
        <v>15969.527001743318</v>
      </c>
      <c r="E460" s="800">
        <f t="shared" si="214"/>
        <v>19265.920072882858</v>
      </c>
      <c r="F460" s="800">
        <f t="shared" si="214"/>
        <v>23658.507003951898</v>
      </c>
      <c r="G460" s="800">
        <f t="shared" si="214"/>
        <v>28520.596865679305</v>
      </c>
      <c r="H460" s="800">
        <f t="shared" si="214"/>
        <v>31192.244160457049</v>
      </c>
      <c r="I460" s="800">
        <f t="shared" si="214"/>
        <v>37016.248352489798</v>
      </c>
      <c r="J460" s="800">
        <f t="shared" si="214"/>
        <v>39617.495437177888</v>
      </c>
      <c r="K460" s="800">
        <f t="shared" si="214"/>
        <v>42512.713392650323</v>
      </c>
      <c r="L460" s="800">
        <f t="shared" si="214"/>
        <v>45590.121360069461</v>
      </c>
      <c r="M460" s="800">
        <f t="shared" si="214"/>
        <v>47831.360000000001</v>
      </c>
      <c r="N460" s="800" t="s">
        <v>214</v>
      </c>
      <c r="O460" s="800" t="s">
        <v>212</v>
      </c>
    </row>
    <row r="461" spans="1:15">
      <c r="A461" s="137" t="s">
        <v>78</v>
      </c>
      <c r="B461" s="800">
        <f t="shared" si="213"/>
        <v>7561.4869774917515</v>
      </c>
      <c r="C461" s="800">
        <f t="shared" ref="C461:M461" si="215">C74</f>
        <v>20000.821493781285</v>
      </c>
      <c r="D461" s="800">
        <f t="shared" si="215"/>
        <v>22125.123504713327</v>
      </c>
      <c r="E461" s="800">
        <f t="shared" si="215"/>
        <v>24816.02806710836</v>
      </c>
      <c r="F461" s="800">
        <f t="shared" si="215"/>
        <v>27660.950095913879</v>
      </c>
      <c r="G461" s="800">
        <f t="shared" si="215"/>
        <v>30327.650297771837</v>
      </c>
      <c r="H461" s="800">
        <f t="shared" si="215"/>
        <v>34100.684369546347</v>
      </c>
      <c r="I461" s="800">
        <f t="shared" si="215"/>
        <v>41260.684081588552</v>
      </c>
      <c r="J461" s="800">
        <f t="shared" si="215"/>
        <v>46092.722321586254</v>
      </c>
      <c r="K461" s="800">
        <f t="shared" si="215"/>
        <v>47722.013653612586</v>
      </c>
      <c r="L461" s="800">
        <f t="shared" si="215"/>
        <v>50192.58992929395</v>
      </c>
      <c r="M461" s="800">
        <f t="shared" si="215"/>
        <v>52815.799999999996</v>
      </c>
      <c r="N461" s="800" t="s">
        <v>214</v>
      </c>
      <c r="O461" s="800" t="s">
        <v>212</v>
      </c>
    </row>
    <row r="462" spans="1:15">
      <c r="A462" s="137" t="s">
        <v>79</v>
      </c>
      <c r="B462" s="800">
        <f t="shared" si="213"/>
        <v>9041.448706834457</v>
      </c>
      <c r="C462" s="800">
        <f t="shared" ref="C462:M462" si="216">C75</f>
        <v>15890.075458768648</v>
      </c>
      <c r="D462" s="800">
        <f t="shared" si="216"/>
        <v>25573.505831808281</v>
      </c>
      <c r="E462" s="800">
        <f t="shared" si="216"/>
        <v>32635.78051178388</v>
      </c>
      <c r="F462" s="800">
        <f t="shared" si="216"/>
        <v>42553.986997379601</v>
      </c>
      <c r="G462" s="800">
        <f t="shared" si="216"/>
        <v>50899.259142230643</v>
      </c>
      <c r="H462" s="800">
        <f t="shared" si="216"/>
        <v>61220.667757007432</v>
      </c>
      <c r="I462" s="800">
        <f t="shared" si="216"/>
        <v>72582.201177067094</v>
      </c>
      <c r="J462" s="800">
        <f t="shared" si="216"/>
        <v>81839.177598435504</v>
      </c>
      <c r="K462" s="800">
        <f t="shared" si="216"/>
        <v>89139.871694035901</v>
      </c>
      <c r="L462" s="800">
        <f t="shared" si="216"/>
        <v>96595.71700541742</v>
      </c>
      <c r="M462" s="800">
        <f t="shared" si="216"/>
        <v>103140.51000000001</v>
      </c>
      <c r="N462" s="800" t="s">
        <v>214</v>
      </c>
      <c r="O462" s="800" t="s">
        <v>212</v>
      </c>
    </row>
    <row r="463" spans="1:15">
      <c r="A463" s="137" t="s">
        <v>80</v>
      </c>
      <c r="B463" s="800">
        <f t="shared" si="213"/>
        <v>9753.0111667907859</v>
      </c>
      <c r="C463" s="800">
        <f t="shared" ref="C463:M463" si="217">C76</f>
        <v>22927.988830612459</v>
      </c>
      <c r="D463" s="800">
        <f t="shared" si="217"/>
        <v>31844.195164384957</v>
      </c>
      <c r="E463" s="800">
        <f t="shared" si="217"/>
        <v>37533.875140545293</v>
      </c>
      <c r="F463" s="800">
        <f t="shared" si="217"/>
        <v>43952.616623426395</v>
      </c>
      <c r="G463" s="800">
        <f t="shared" si="217"/>
        <v>50410.619648069449</v>
      </c>
      <c r="H463" s="800">
        <f t="shared" si="217"/>
        <v>56123.181921553441</v>
      </c>
      <c r="I463" s="800">
        <f t="shared" si="217"/>
        <v>65211.113887818581</v>
      </c>
      <c r="J463" s="800">
        <f t="shared" si="217"/>
        <v>69518.536782328083</v>
      </c>
      <c r="K463" s="800">
        <f t="shared" si="217"/>
        <v>73094.044144684041</v>
      </c>
      <c r="L463" s="800">
        <f t="shared" si="217"/>
        <v>76744.959681577398</v>
      </c>
      <c r="M463" s="800">
        <f t="shared" si="217"/>
        <v>81067.89</v>
      </c>
      <c r="N463" s="800" t="s">
        <v>214</v>
      </c>
      <c r="O463" s="800" t="s">
        <v>212</v>
      </c>
    </row>
    <row r="464" spans="1:15">
      <c r="A464" s="137" t="s">
        <v>81</v>
      </c>
      <c r="B464" s="800">
        <f t="shared" si="213"/>
        <v>43729.793313428949</v>
      </c>
      <c r="C464" s="800">
        <f t="shared" ref="C464:M464" si="218">C77</f>
        <v>109177.33973263265</v>
      </c>
      <c r="D464" s="800">
        <f t="shared" si="218"/>
        <v>135180.5264393281</v>
      </c>
      <c r="E464" s="800">
        <f t="shared" si="218"/>
        <v>155361.22244034492</v>
      </c>
      <c r="F464" s="800">
        <f t="shared" si="218"/>
        <v>172645.36719896583</v>
      </c>
      <c r="G464" s="800">
        <f t="shared" si="218"/>
        <v>196437.97080777926</v>
      </c>
      <c r="H464" s="800">
        <f t="shared" si="218"/>
        <v>220577.14425455395</v>
      </c>
      <c r="I464" s="800">
        <f t="shared" si="218"/>
        <v>262222.33875148516</v>
      </c>
      <c r="J464" s="800">
        <f t="shared" si="218"/>
        <v>281181.59705941414</v>
      </c>
      <c r="K464" s="800">
        <f t="shared" si="218"/>
        <v>298762.74302148679</v>
      </c>
      <c r="L464" s="800">
        <f t="shared" si="218"/>
        <v>314809.88950863155</v>
      </c>
      <c r="M464" s="800">
        <f t="shared" si="218"/>
        <v>331564.08</v>
      </c>
      <c r="N464" s="800" t="s">
        <v>214</v>
      </c>
      <c r="O464" s="800" t="s">
        <v>212</v>
      </c>
    </row>
    <row r="465" spans="1:15">
      <c r="A465" s="137" t="s">
        <v>82</v>
      </c>
      <c r="B465" s="800">
        <f t="shared" si="213"/>
        <v>23735.753108297704</v>
      </c>
      <c r="C465" s="800">
        <f t="shared" ref="C465:M465" si="219">C78</f>
        <v>46880.419801770724</v>
      </c>
      <c r="D465" s="800">
        <f t="shared" si="219"/>
        <v>58041.873845966911</v>
      </c>
      <c r="E465" s="800">
        <f t="shared" si="219"/>
        <v>65418.796025382995</v>
      </c>
      <c r="F465" s="800">
        <f t="shared" si="219"/>
        <v>74677.658378212174</v>
      </c>
      <c r="G465" s="800">
        <f t="shared" si="219"/>
        <v>84857.222879654422</v>
      </c>
      <c r="H465" s="800">
        <f t="shared" si="219"/>
        <v>93002.84151325062</v>
      </c>
      <c r="I465" s="800">
        <f t="shared" si="219"/>
        <v>110998.02164961655</v>
      </c>
      <c r="J465" s="800">
        <f t="shared" si="219"/>
        <v>120862.24355405693</v>
      </c>
      <c r="K465" s="800">
        <f t="shared" si="219"/>
        <v>126032.73666355853</v>
      </c>
      <c r="L465" s="800">
        <f t="shared" si="219"/>
        <v>131800.7540992893</v>
      </c>
      <c r="M465" s="800">
        <f t="shared" si="219"/>
        <v>142304.68</v>
      </c>
      <c r="N465" s="800" t="s">
        <v>214</v>
      </c>
      <c r="O465" s="800" t="s">
        <v>212</v>
      </c>
    </row>
    <row r="466" spans="1:15">
      <c r="A466" s="137" t="s">
        <v>83</v>
      </c>
      <c r="B466" s="800">
        <f t="shared" si="213"/>
        <v>26047.449134969615</v>
      </c>
      <c r="C466" s="800">
        <f t="shared" ref="C466:M466" si="220">C79</f>
        <v>78960.938472637659</v>
      </c>
      <c r="D466" s="800">
        <f t="shared" si="220"/>
        <v>98073.413074599041</v>
      </c>
      <c r="E466" s="800">
        <f t="shared" si="220"/>
        <v>114607.73511673989</v>
      </c>
      <c r="F466" s="800">
        <f t="shared" si="220"/>
        <v>128841.24504874705</v>
      </c>
      <c r="G466" s="800">
        <f t="shared" si="220"/>
        <v>154940.27415717792</v>
      </c>
      <c r="H466" s="800">
        <f t="shared" si="220"/>
        <v>170263.360835998</v>
      </c>
      <c r="I466" s="800">
        <f t="shared" si="220"/>
        <v>205292.11896818626</v>
      </c>
      <c r="J466" s="800">
        <f t="shared" si="220"/>
        <v>215850.74189590637</v>
      </c>
      <c r="K466" s="800">
        <f t="shared" si="220"/>
        <v>227891.28475409653</v>
      </c>
      <c r="L466" s="800">
        <f t="shared" si="220"/>
        <v>238059.63902284557</v>
      </c>
      <c r="M466" s="800">
        <f t="shared" si="220"/>
        <v>250370.98</v>
      </c>
      <c r="N466" s="800" t="s">
        <v>214</v>
      </c>
      <c r="O466" s="800" t="s">
        <v>212</v>
      </c>
    </row>
    <row r="467" spans="1:15">
      <c r="A467" s="137" t="s">
        <v>84</v>
      </c>
      <c r="B467" s="800">
        <f t="shared" si="213"/>
        <v>13602.658768018635</v>
      </c>
      <c r="C467" s="800">
        <f t="shared" ref="C467:M467" si="221">C80</f>
        <v>47629.71223833783</v>
      </c>
      <c r="D467" s="800">
        <f t="shared" si="221"/>
        <v>57819.964476048626</v>
      </c>
      <c r="E467" s="800">
        <f t="shared" si="221"/>
        <v>64392.071594856556</v>
      </c>
      <c r="F467" s="800">
        <f t="shared" si="221"/>
        <v>71896.400129494839</v>
      </c>
      <c r="G467" s="800">
        <f t="shared" si="221"/>
        <v>79012.314422688971</v>
      </c>
      <c r="H467" s="800">
        <f t="shared" si="221"/>
        <v>87519.7874585588</v>
      </c>
      <c r="I467" s="800">
        <f t="shared" si="221"/>
        <v>106556.22776509325</v>
      </c>
      <c r="J467" s="800">
        <f t="shared" si="221"/>
        <v>114726.94790711354</v>
      </c>
      <c r="K467" s="800">
        <f t="shared" si="221"/>
        <v>122966.43864434156</v>
      </c>
      <c r="L467" s="800">
        <f t="shared" si="221"/>
        <v>129479.64673690415</v>
      </c>
      <c r="M467" s="800">
        <f t="shared" si="221"/>
        <v>136836.69</v>
      </c>
      <c r="N467" s="800" t="s">
        <v>214</v>
      </c>
      <c r="O467" s="800" t="s">
        <v>212</v>
      </c>
    </row>
    <row r="468" spans="1:15">
      <c r="A468" s="137" t="s">
        <v>85</v>
      </c>
      <c r="B468" s="800">
        <f t="shared" si="213"/>
        <v>19446.971239975148</v>
      </c>
      <c r="C468" s="800">
        <f t="shared" ref="C468:M468" si="222">C81</f>
        <v>59504.631112018666</v>
      </c>
      <c r="D468" s="800">
        <f t="shared" si="222"/>
        <v>77769.128128476223</v>
      </c>
      <c r="E468" s="800">
        <f t="shared" si="222"/>
        <v>92516.679223957661</v>
      </c>
      <c r="F468" s="800">
        <f t="shared" si="222"/>
        <v>109219.61219475266</v>
      </c>
      <c r="G468" s="800">
        <f t="shared" si="222"/>
        <v>131748.28885165817</v>
      </c>
      <c r="H468" s="800">
        <f t="shared" si="222"/>
        <v>146789.12608060229</v>
      </c>
      <c r="I468" s="800">
        <f t="shared" si="222"/>
        <v>179053.74086194695</v>
      </c>
      <c r="J468" s="800">
        <f t="shared" si="222"/>
        <v>191992.45286475832</v>
      </c>
      <c r="K468" s="800">
        <f t="shared" si="222"/>
        <v>201892.33147473208</v>
      </c>
      <c r="L468" s="800">
        <f t="shared" si="222"/>
        <v>212886.80545098311</v>
      </c>
      <c r="M468" s="800">
        <f t="shared" si="222"/>
        <v>222730.04</v>
      </c>
      <c r="N468" s="800" t="s">
        <v>214</v>
      </c>
      <c r="O468" s="800" t="s">
        <v>212</v>
      </c>
    </row>
    <row r="469" spans="1:15">
      <c r="A469" s="137" t="s">
        <v>86</v>
      </c>
      <c r="B469" s="800">
        <f t="shared" si="213"/>
        <v>15074.103289953107</v>
      </c>
      <c r="C469" s="800">
        <f t="shared" ref="C469:M469" si="223">C82</f>
        <v>33428.283176049343</v>
      </c>
      <c r="D469" s="800">
        <f t="shared" si="223"/>
        <v>41375.674751108301</v>
      </c>
      <c r="E469" s="800">
        <f t="shared" si="223"/>
        <v>46676.602420282536</v>
      </c>
      <c r="F469" s="800">
        <f t="shared" si="223"/>
        <v>52055.936688648784</v>
      </c>
      <c r="G469" s="800">
        <f t="shared" si="223"/>
        <v>59377.139336750748</v>
      </c>
      <c r="H469" s="800">
        <f t="shared" si="223"/>
        <v>65787.699921591251</v>
      </c>
      <c r="I469" s="800">
        <f t="shared" si="223"/>
        <v>79844.057657532016</v>
      </c>
      <c r="J469" s="800">
        <f t="shared" si="223"/>
        <v>85723.947804836207</v>
      </c>
      <c r="K469" s="800">
        <f t="shared" si="223"/>
        <v>90741.070878622239</v>
      </c>
      <c r="L469" s="800">
        <f t="shared" si="223"/>
        <v>95800.440304501171</v>
      </c>
      <c r="M469" s="800">
        <f t="shared" si="223"/>
        <v>101446.95</v>
      </c>
      <c r="N469" s="800" t="s">
        <v>214</v>
      </c>
      <c r="O469" s="800" t="s">
        <v>212</v>
      </c>
    </row>
    <row r="470" spans="1:15">
      <c r="A470" s="137" t="s">
        <v>87</v>
      </c>
      <c r="B470" s="800">
        <f t="shared" si="213"/>
        <v>23325.408952421611</v>
      </c>
      <c r="C470" s="800">
        <f t="shared" ref="C470:M470" si="224">C83</f>
        <v>62032.498593990436</v>
      </c>
      <c r="D470" s="800">
        <f t="shared" si="224"/>
        <v>78552.899650100284</v>
      </c>
      <c r="E470" s="800">
        <f t="shared" si="224"/>
        <v>94649.267721194556</v>
      </c>
      <c r="F470" s="800">
        <f t="shared" si="224"/>
        <v>107967.89181686308</v>
      </c>
      <c r="G470" s="800">
        <f t="shared" si="224"/>
        <v>122990.27420033798</v>
      </c>
      <c r="H470" s="800">
        <f t="shared" si="224"/>
        <v>133988.73253085869</v>
      </c>
      <c r="I470" s="800">
        <f t="shared" si="224"/>
        <v>164072.79362563131</v>
      </c>
      <c r="J470" s="800">
        <f t="shared" si="224"/>
        <v>178143.3358368341</v>
      </c>
      <c r="K470" s="800">
        <f t="shared" si="224"/>
        <v>189004.03217448623</v>
      </c>
      <c r="L470" s="800">
        <f t="shared" si="224"/>
        <v>197954.36161824918</v>
      </c>
      <c r="M470" s="800">
        <f t="shared" si="224"/>
        <v>212950.53999999998</v>
      </c>
      <c r="N470" s="800" t="s">
        <v>214</v>
      </c>
      <c r="O470" s="800" t="s">
        <v>212</v>
      </c>
    </row>
    <row r="471" spans="1:15">
      <c r="A471" s="137" t="s">
        <v>88</v>
      </c>
      <c r="B471" s="800">
        <f t="shared" si="213"/>
        <v>31870.909390385314</v>
      </c>
      <c r="C471" s="800">
        <f t="shared" ref="C471:M471" si="225">C84</f>
        <v>62811.196794301548</v>
      </c>
      <c r="D471" s="800">
        <f t="shared" si="225"/>
        <v>77115.717201460109</v>
      </c>
      <c r="E471" s="800">
        <f t="shared" si="225"/>
        <v>90275.339117029245</v>
      </c>
      <c r="F471" s="800">
        <f t="shared" si="225"/>
        <v>107736.60824172683</v>
      </c>
      <c r="G471" s="800">
        <f t="shared" si="225"/>
        <v>121744.16235587919</v>
      </c>
      <c r="H471" s="800">
        <f t="shared" si="225"/>
        <v>135597.67177384239</v>
      </c>
      <c r="I471" s="800">
        <f t="shared" si="225"/>
        <v>164189.21688161555</v>
      </c>
      <c r="J471" s="800">
        <f t="shared" si="225"/>
        <v>176846.06555321591</v>
      </c>
      <c r="K471" s="800">
        <f t="shared" si="225"/>
        <v>188273.00039311053</v>
      </c>
      <c r="L471" s="800">
        <f t="shared" si="225"/>
        <v>197932.02432583334</v>
      </c>
      <c r="M471" s="800">
        <f t="shared" si="225"/>
        <v>206314.22</v>
      </c>
      <c r="N471" s="800" t="s">
        <v>214</v>
      </c>
      <c r="O471" s="800" t="s">
        <v>212</v>
      </c>
    </row>
    <row r="472" spans="1:15">
      <c r="A472" s="137" t="s">
        <v>89</v>
      </c>
      <c r="B472" s="800">
        <f t="shared" si="213"/>
        <v>85179.203297373766</v>
      </c>
      <c r="C472" s="800">
        <f t="shared" ref="C472:M472" si="226">C85</f>
        <v>184329.34401097801</v>
      </c>
      <c r="D472" s="800">
        <f t="shared" si="226"/>
        <v>231291.44204065949</v>
      </c>
      <c r="E472" s="800">
        <f t="shared" si="226"/>
        <v>261720.77755967437</v>
      </c>
      <c r="F472" s="800">
        <f t="shared" si="226"/>
        <v>301133.03132606257</v>
      </c>
      <c r="G472" s="800">
        <f t="shared" si="226"/>
        <v>341979.45846911712</v>
      </c>
      <c r="H472" s="800">
        <f t="shared" si="226"/>
        <v>379714.19069808349</v>
      </c>
      <c r="I472" s="800">
        <f t="shared" si="226"/>
        <v>452835.46354333701</v>
      </c>
      <c r="J472" s="800">
        <f t="shared" si="226"/>
        <v>478373.02927861566</v>
      </c>
      <c r="K472" s="800">
        <f t="shared" si="226"/>
        <v>500641.55481675512</v>
      </c>
      <c r="L472" s="800">
        <f t="shared" si="226"/>
        <v>521348.70161930966</v>
      </c>
      <c r="M472" s="800">
        <f t="shared" si="226"/>
        <v>550411.37</v>
      </c>
      <c r="N472" s="800" t="s">
        <v>214</v>
      </c>
      <c r="O472" s="800" t="s">
        <v>212</v>
      </c>
    </row>
    <row r="473" spans="1:15">
      <c r="A473" s="137" t="s">
        <v>90</v>
      </c>
      <c r="B473" s="800">
        <f t="shared" si="213"/>
        <v>18570.335375478582</v>
      </c>
      <c r="C473" s="800">
        <f t="shared" ref="C473:M473" si="227">C86</f>
        <v>36935.005429777826</v>
      </c>
      <c r="D473" s="800">
        <f t="shared" si="227"/>
        <v>51045.207823562007</v>
      </c>
      <c r="E473" s="800">
        <f t="shared" si="227"/>
        <v>60472.66668813413</v>
      </c>
      <c r="F473" s="800">
        <f t="shared" si="227"/>
        <v>73105.566244732268</v>
      </c>
      <c r="G473" s="800">
        <f t="shared" si="227"/>
        <v>86733.606762148294</v>
      </c>
      <c r="H473" s="800">
        <f t="shared" si="227"/>
        <v>100638.33015274575</v>
      </c>
      <c r="I473" s="800">
        <f t="shared" si="227"/>
        <v>120046.27642848098</v>
      </c>
      <c r="J473" s="800">
        <f t="shared" si="227"/>
        <v>127889.74825571965</v>
      </c>
      <c r="K473" s="800">
        <f t="shared" si="227"/>
        <v>136294.88953414129</v>
      </c>
      <c r="L473" s="800">
        <f t="shared" si="227"/>
        <v>141983.80820818848</v>
      </c>
      <c r="M473" s="800">
        <f t="shared" si="227"/>
        <v>148233.93</v>
      </c>
      <c r="N473" s="800" t="s">
        <v>214</v>
      </c>
      <c r="O473" s="800" t="s">
        <v>212</v>
      </c>
    </row>
    <row r="474" spans="1:15">
      <c r="A474" s="137" t="s">
        <v>91</v>
      </c>
      <c r="B474" s="800">
        <f t="shared" si="213"/>
        <v>17104.041525722238</v>
      </c>
      <c r="C474" s="800">
        <f t="shared" ref="C474:M474" si="228">C87</f>
        <v>42662.92896506784</v>
      </c>
      <c r="D474" s="800">
        <f t="shared" si="228"/>
        <v>58727.503134475635</v>
      </c>
      <c r="E474" s="800">
        <f t="shared" si="228"/>
        <v>68898.904549041516</v>
      </c>
      <c r="F474" s="800">
        <f t="shared" si="228"/>
        <v>82701.016073423103</v>
      </c>
      <c r="G474" s="800">
        <f t="shared" si="228"/>
        <v>98053.72744597905</v>
      </c>
      <c r="H474" s="800">
        <f t="shared" si="228"/>
        <v>108743.0221384793</v>
      </c>
      <c r="I474" s="800">
        <f t="shared" si="228"/>
        <v>125832.13602104476</v>
      </c>
      <c r="J474" s="800">
        <f t="shared" si="228"/>
        <v>136531.37590976447</v>
      </c>
      <c r="K474" s="800">
        <f t="shared" si="228"/>
        <v>144139.90473496611</v>
      </c>
      <c r="L474" s="800">
        <f t="shared" si="228"/>
        <v>154148.84736005822</v>
      </c>
      <c r="M474" s="800">
        <f t="shared" si="228"/>
        <v>168039.75</v>
      </c>
      <c r="N474" s="800" t="s">
        <v>214</v>
      </c>
      <c r="O474" s="800" t="s">
        <v>212</v>
      </c>
    </row>
    <row r="475" spans="1:15">
      <c r="A475" s="137" t="s">
        <v>92</v>
      </c>
      <c r="B475" s="800">
        <f t="shared" si="213"/>
        <v>105085.31366666743</v>
      </c>
      <c r="C475" s="800">
        <f t="shared" ref="C475:M475" si="229">C88</f>
        <v>216987.45603954865</v>
      </c>
      <c r="D475" s="800">
        <f t="shared" si="229"/>
        <v>284138.282631337</v>
      </c>
      <c r="E475" s="800">
        <f t="shared" si="229"/>
        <v>335447.81840264081</v>
      </c>
      <c r="F475" s="800">
        <f t="shared" si="229"/>
        <v>389522.56093242217</v>
      </c>
      <c r="G475" s="800">
        <f t="shared" si="229"/>
        <v>452027.55119473988</v>
      </c>
      <c r="H475" s="800">
        <f t="shared" si="229"/>
        <v>504311.33591331221</v>
      </c>
      <c r="I475" s="800">
        <f t="shared" si="229"/>
        <v>598496.05330174649</v>
      </c>
      <c r="J475" s="800">
        <f t="shared" si="229"/>
        <v>640019.51002451894</v>
      </c>
      <c r="K475" s="800">
        <f t="shared" si="229"/>
        <v>675507.18494777451</v>
      </c>
      <c r="L475" s="800">
        <f t="shared" si="229"/>
        <v>708291.42285842774</v>
      </c>
      <c r="M475" s="800">
        <f t="shared" si="229"/>
        <v>745416.42999999993</v>
      </c>
      <c r="N475" s="800" t="s">
        <v>214</v>
      </c>
      <c r="O475" s="800" t="s">
        <v>212</v>
      </c>
    </row>
    <row r="476" spans="1:15">
      <c r="A476" s="137" t="s">
        <v>93</v>
      </c>
      <c r="B476" s="800">
        <f t="shared" si="213"/>
        <v>24563.305431474237</v>
      </c>
      <c r="C476" s="800">
        <f t="shared" ref="C476:M476" si="230">C89</f>
        <v>57878.451492440523</v>
      </c>
      <c r="D476" s="800">
        <f t="shared" si="230"/>
        <v>71319.905084536425</v>
      </c>
      <c r="E476" s="800">
        <f t="shared" si="230"/>
        <v>83092.40805325337</v>
      </c>
      <c r="F476" s="800">
        <f t="shared" si="230"/>
        <v>93805.834907309167</v>
      </c>
      <c r="G476" s="800">
        <f t="shared" si="230"/>
        <v>105486.55140080297</v>
      </c>
      <c r="H476" s="800">
        <f t="shared" si="230"/>
        <v>114500.26237906136</v>
      </c>
      <c r="I476" s="800">
        <f t="shared" si="230"/>
        <v>133052.79142678672</v>
      </c>
      <c r="J476" s="800">
        <f t="shared" si="230"/>
        <v>142323.83398516729</v>
      </c>
      <c r="K476" s="800">
        <f t="shared" si="230"/>
        <v>149826.04611859415</v>
      </c>
      <c r="L476" s="800">
        <f t="shared" si="230"/>
        <v>157098.16236134848</v>
      </c>
      <c r="M476" s="800">
        <f t="shared" si="230"/>
        <v>165853.87</v>
      </c>
      <c r="N476" s="800" t="s">
        <v>214</v>
      </c>
      <c r="O476" s="800" t="s">
        <v>212</v>
      </c>
    </row>
    <row r="477" spans="1:15">
      <c r="A477" s="137" t="s">
        <v>94</v>
      </c>
      <c r="B477" s="800">
        <f t="shared" si="213"/>
        <v>14686.664850916175</v>
      </c>
      <c r="C477" s="800">
        <f t="shared" ref="C477:M477" si="231">C90</f>
        <v>28731.070618223257</v>
      </c>
      <c r="D477" s="800">
        <f t="shared" si="231"/>
        <v>34520.23400777566</v>
      </c>
      <c r="E477" s="800">
        <f t="shared" si="231"/>
        <v>41226.598239131694</v>
      </c>
      <c r="F477" s="800">
        <f t="shared" si="231"/>
        <v>47494.118349711709</v>
      </c>
      <c r="G477" s="800">
        <f t="shared" si="231"/>
        <v>54365.218965804255</v>
      </c>
      <c r="H477" s="800">
        <f t="shared" si="231"/>
        <v>62832.807877471947</v>
      </c>
      <c r="I477" s="800">
        <f t="shared" si="231"/>
        <v>74320.799637027463</v>
      </c>
      <c r="J477" s="800">
        <f t="shared" si="231"/>
        <v>79995.119665791994</v>
      </c>
      <c r="K477" s="800">
        <f t="shared" si="231"/>
        <v>85937.958060656587</v>
      </c>
      <c r="L477" s="800">
        <f t="shared" si="231"/>
        <v>90195.554694979975</v>
      </c>
      <c r="M477" s="800">
        <f t="shared" si="231"/>
        <v>94150.35</v>
      </c>
      <c r="N477" s="800" t="s">
        <v>214</v>
      </c>
      <c r="O477" s="800" t="s">
        <v>212</v>
      </c>
    </row>
    <row r="478" spans="1:15">
      <c r="A478" s="137" t="s">
        <v>95</v>
      </c>
      <c r="B478" s="800">
        <f t="shared" si="213"/>
        <v>145767.86090619164</v>
      </c>
      <c r="C478" s="800">
        <f t="shared" ref="C478:M478" si="232">C91</f>
        <v>315057.06281801261</v>
      </c>
      <c r="D478" s="800">
        <f t="shared" si="232"/>
        <v>387915.82826164854</v>
      </c>
      <c r="E478" s="800">
        <f t="shared" si="232"/>
        <v>435243.25488933705</v>
      </c>
      <c r="F478" s="800">
        <f t="shared" si="232"/>
        <v>483621.36383984407</v>
      </c>
      <c r="G478" s="800">
        <f t="shared" si="232"/>
        <v>545971.84566619433</v>
      </c>
      <c r="H478" s="800">
        <f t="shared" si="232"/>
        <v>618468.46857018431</v>
      </c>
      <c r="I478" s="800">
        <f t="shared" si="232"/>
        <v>736885.90783449798</v>
      </c>
      <c r="J478" s="800">
        <f t="shared" si="232"/>
        <v>779771.09090898489</v>
      </c>
      <c r="K478" s="800">
        <f t="shared" si="232"/>
        <v>814667.57805653359</v>
      </c>
      <c r="L478" s="800">
        <f t="shared" si="232"/>
        <v>852104.45837877959</v>
      </c>
      <c r="M478" s="800">
        <f t="shared" si="232"/>
        <v>895276.94</v>
      </c>
      <c r="N478" s="800" t="s">
        <v>214</v>
      </c>
      <c r="O478" s="800" t="s">
        <v>212</v>
      </c>
    </row>
    <row r="479" spans="1:15">
      <c r="A479" s="137" t="s">
        <v>96</v>
      </c>
      <c r="B479" s="800">
        <f t="shared" si="213"/>
        <v>8807.1505001660389</v>
      </c>
      <c r="C479" s="800">
        <f t="shared" ref="C479:M479" si="233">C92</f>
        <v>26911.280149429462</v>
      </c>
      <c r="D479" s="800">
        <f t="shared" si="233"/>
        <v>35964.076570659767</v>
      </c>
      <c r="E479" s="800">
        <f t="shared" si="233"/>
        <v>42209.09641074876</v>
      </c>
      <c r="F479" s="800">
        <f t="shared" si="233"/>
        <v>49891.458539334577</v>
      </c>
      <c r="G479" s="800">
        <f t="shared" si="233"/>
        <v>58974.338696156847</v>
      </c>
      <c r="H479" s="800">
        <f t="shared" si="233"/>
        <v>66301.961302803247</v>
      </c>
      <c r="I479" s="800">
        <f t="shared" si="233"/>
        <v>85595.430309264324</v>
      </c>
      <c r="J479" s="800">
        <f t="shared" si="233"/>
        <v>91667.503141405119</v>
      </c>
      <c r="K479" s="800">
        <f t="shared" si="233"/>
        <v>95642.949427935804</v>
      </c>
      <c r="L479" s="800">
        <f t="shared" si="233"/>
        <v>99985.535933826701</v>
      </c>
      <c r="M479" s="800">
        <f t="shared" si="233"/>
        <v>105048.29000000001</v>
      </c>
      <c r="N479" s="800" t="s">
        <v>214</v>
      </c>
      <c r="O479" s="800" t="s">
        <v>212</v>
      </c>
    </row>
    <row r="480" spans="1:15">
      <c r="A480" s="137" t="s">
        <v>97</v>
      </c>
      <c r="B480" s="800">
        <f t="shared" si="213"/>
        <v>117199.30024175267</v>
      </c>
      <c r="C480" s="800">
        <f t="shared" ref="C480:M480" si="234">C93</f>
        <v>256418.02953826694</v>
      </c>
      <c r="D480" s="800">
        <f t="shared" si="234"/>
        <v>322530.31462081138</v>
      </c>
      <c r="E480" s="800">
        <f t="shared" si="234"/>
        <v>378733.4638930576</v>
      </c>
      <c r="F480" s="800">
        <f t="shared" si="234"/>
        <v>434980.73669936426</v>
      </c>
      <c r="G480" s="800">
        <f t="shared" si="234"/>
        <v>500771.93354090484</v>
      </c>
      <c r="H480" s="800">
        <f t="shared" si="234"/>
        <v>552602.59499234613</v>
      </c>
      <c r="I480" s="800">
        <f t="shared" si="234"/>
        <v>674516.81731224025</v>
      </c>
      <c r="J480" s="800">
        <f t="shared" si="234"/>
        <v>723282.27009342692</v>
      </c>
      <c r="K480" s="800">
        <f t="shared" si="234"/>
        <v>765590.78162851406</v>
      </c>
      <c r="L480" s="800">
        <f t="shared" si="234"/>
        <v>808323.11413184868</v>
      </c>
      <c r="M480" s="800">
        <f t="shared" si="234"/>
        <v>852328.64</v>
      </c>
      <c r="N480" s="800" t="s">
        <v>214</v>
      </c>
      <c r="O480" s="800" t="s">
        <v>212</v>
      </c>
    </row>
    <row r="481" spans="1:15">
      <c r="A481" s="137" t="s">
        <v>98</v>
      </c>
      <c r="B481" s="800">
        <f t="shared" si="213"/>
        <v>12171.267999306814</v>
      </c>
      <c r="C481" s="800">
        <f t="shared" ref="C481:M481" si="235">C94</f>
        <v>21218.737289882014</v>
      </c>
      <c r="D481" s="800">
        <f t="shared" si="235"/>
        <v>29940.445962619251</v>
      </c>
      <c r="E481" s="800">
        <f t="shared" si="235"/>
        <v>35595.935816233483</v>
      </c>
      <c r="F481" s="800">
        <f t="shared" si="235"/>
        <v>39710.271543860101</v>
      </c>
      <c r="G481" s="800">
        <f t="shared" si="235"/>
        <v>48866.521657382706</v>
      </c>
      <c r="H481" s="800">
        <f t="shared" si="235"/>
        <v>53539.313086396083</v>
      </c>
      <c r="I481" s="800">
        <f t="shared" si="235"/>
        <v>62816.392845120376</v>
      </c>
      <c r="J481" s="800">
        <f t="shared" si="235"/>
        <v>67507.546678944433</v>
      </c>
      <c r="K481" s="800">
        <f t="shared" si="235"/>
        <v>71076.40961562423</v>
      </c>
      <c r="L481" s="800">
        <f t="shared" si="235"/>
        <v>74947.615286002838</v>
      </c>
      <c r="M481" s="800">
        <f t="shared" si="235"/>
        <v>78577.400000000009</v>
      </c>
      <c r="N481" s="800" t="s">
        <v>214</v>
      </c>
      <c r="O481" s="800" t="s">
        <v>212</v>
      </c>
    </row>
    <row r="482" spans="1:15">
      <c r="A482" s="137" t="s">
        <v>99</v>
      </c>
      <c r="B482" s="800">
        <f t="shared" si="213"/>
        <v>4632.4974969668001</v>
      </c>
      <c r="C482" s="800">
        <f t="shared" ref="C482:M482" si="236">C95</f>
        <v>6605.605341944447</v>
      </c>
      <c r="D482" s="800">
        <f t="shared" si="236"/>
        <v>11306.575572915795</v>
      </c>
      <c r="E482" s="800">
        <f t="shared" si="236"/>
        <v>11880.631500929947</v>
      </c>
      <c r="F482" s="800">
        <f t="shared" si="236"/>
        <v>12265.462434906794</v>
      </c>
      <c r="G482" s="800">
        <f t="shared" si="236"/>
        <v>12581.94559461431</v>
      </c>
      <c r="H482" s="800">
        <f t="shared" si="236"/>
        <v>14064.447779590266</v>
      </c>
      <c r="I482" s="800">
        <f t="shared" si="236"/>
        <v>16547.030654802955</v>
      </c>
      <c r="J482" s="800">
        <f t="shared" si="236"/>
        <v>18504.05253426934</v>
      </c>
      <c r="K482" s="800">
        <f t="shared" si="236"/>
        <v>18740.548648136548</v>
      </c>
      <c r="L482" s="800">
        <f t="shared" si="236"/>
        <v>19598.055882797384</v>
      </c>
      <c r="M482" s="800">
        <f t="shared" si="236"/>
        <v>20353.640000000003</v>
      </c>
      <c r="N482" s="800" t="s">
        <v>214</v>
      </c>
      <c r="O482" s="800" t="s">
        <v>212</v>
      </c>
    </row>
    <row r="483" spans="1:15">
      <c r="A483" s="137" t="s">
        <v>100</v>
      </c>
      <c r="B483" s="800">
        <f t="shared" si="213"/>
        <v>74536.716873078956</v>
      </c>
      <c r="C483" s="800">
        <f t="shared" ref="C483:M483" si="237">C96</f>
        <v>194455.85721522849</v>
      </c>
      <c r="D483" s="800">
        <f t="shared" si="237"/>
        <v>244786.61604345473</v>
      </c>
      <c r="E483" s="800">
        <f t="shared" si="237"/>
        <v>281730.38280116604</v>
      </c>
      <c r="F483" s="800">
        <f t="shared" si="237"/>
        <v>321716.45466608647</v>
      </c>
      <c r="G483" s="800">
        <f t="shared" si="237"/>
        <v>373522.58006840356</v>
      </c>
      <c r="H483" s="800">
        <f t="shared" si="237"/>
        <v>406319.42030737374</v>
      </c>
      <c r="I483" s="800">
        <f t="shared" si="237"/>
        <v>496606.3175726101</v>
      </c>
      <c r="J483" s="800">
        <f t="shared" si="237"/>
        <v>527135.6401269132</v>
      </c>
      <c r="K483" s="800">
        <f t="shared" si="237"/>
        <v>555333.49773284036</v>
      </c>
      <c r="L483" s="800">
        <f t="shared" si="237"/>
        <v>574353.02528323664</v>
      </c>
      <c r="M483" s="800">
        <f t="shared" si="237"/>
        <v>599889.73</v>
      </c>
      <c r="N483" s="800" t="s">
        <v>214</v>
      </c>
      <c r="O483" s="800" t="s">
        <v>212</v>
      </c>
    </row>
    <row r="484" spans="1:15">
      <c r="A484" s="137" t="s">
        <v>101</v>
      </c>
      <c r="B484" s="800">
        <f t="shared" si="213"/>
        <v>399085.22302613338</v>
      </c>
      <c r="C484" s="800">
        <f t="shared" ref="C484:M484" si="238">C97</f>
        <v>892776.4811057786</v>
      </c>
      <c r="D484" s="800">
        <f t="shared" si="238"/>
        <v>1110013.2031448523</v>
      </c>
      <c r="E484" s="800">
        <f t="shared" si="238"/>
        <v>1251851.7899226912</v>
      </c>
      <c r="F484" s="800">
        <f t="shared" si="238"/>
        <v>1386176.142033716</v>
      </c>
      <c r="G484" s="800">
        <f t="shared" si="238"/>
        <v>1538580.4361155701</v>
      </c>
      <c r="H484" s="800">
        <f t="shared" si="238"/>
        <v>1660417.8962125257</v>
      </c>
      <c r="I484" s="800">
        <f t="shared" si="238"/>
        <v>1946149.1150869613</v>
      </c>
      <c r="J484" s="800">
        <f t="shared" si="238"/>
        <v>2069054.4110889556</v>
      </c>
      <c r="K484" s="800">
        <f t="shared" si="238"/>
        <v>2162607.9251866657</v>
      </c>
      <c r="L484" s="800">
        <f t="shared" si="238"/>
        <v>2262744.6223452305</v>
      </c>
      <c r="M484" s="800">
        <f t="shared" si="238"/>
        <v>2373494.96</v>
      </c>
      <c r="N484" s="800" t="s">
        <v>214</v>
      </c>
      <c r="O484" s="800" t="s">
        <v>212</v>
      </c>
    </row>
    <row r="485" spans="1:15">
      <c r="A485" s="137" t="s">
        <v>102</v>
      </c>
      <c r="B485" s="800">
        <f t="shared" si="213"/>
        <v>8592.3570784762705</v>
      </c>
      <c r="C485" s="800">
        <f t="shared" ref="C485:M485" si="239">C98</f>
        <v>17243.748888602207</v>
      </c>
      <c r="D485" s="800">
        <f t="shared" si="239"/>
        <v>22187.607184518169</v>
      </c>
      <c r="E485" s="800">
        <f t="shared" si="239"/>
        <v>25353.203079502884</v>
      </c>
      <c r="F485" s="800">
        <f t="shared" si="239"/>
        <v>27553.897126385931</v>
      </c>
      <c r="G485" s="800">
        <f t="shared" si="239"/>
        <v>31301.182075693217</v>
      </c>
      <c r="H485" s="800">
        <f t="shared" si="239"/>
        <v>34278.953840549882</v>
      </c>
      <c r="I485" s="800">
        <f t="shared" si="239"/>
        <v>39246.847839456772</v>
      </c>
      <c r="J485" s="800">
        <f t="shared" si="239"/>
        <v>42334.510634589715</v>
      </c>
      <c r="K485" s="800">
        <f t="shared" si="239"/>
        <v>44947.421963896079</v>
      </c>
      <c r="L485" s="800">
        <f t="shared" si="239"/>
        <v>47323.11270125481</v>
      </c>
      <c r="M485" s="800">
        <f t="shared" si="239"/>
        <v>49754.61</v>
      </c>
      <c r="N485" s="800" t="s">
        <v>214</v>
      </c>
      <c r="O485" s="800" t="s">
        <v>212</v>
      </c>
    </row>
    <row r="486" spans="1:15">
      <c r="A486" s="137" t="s">
        <v>103</v>
      </c>
      <c r="B486" s="800">
        <f t="shared" si="213"/>
        <v>8212.5086184735901</v>
      </c>
      <c r="C486" s="800">
        <f t="shared" ref="C486:M486" si="240">C99</f>
        <v>16913.441979451363</v>
      </c>
      <c r="D486" s="800">
        <f t="shared" si="240"/>
        <v>21810.405573318683</v>
      </c>
      <c r="E486" s="800">
        <f t="shared" si="240"/>
        <v>24604.119114974699</v>
      </c>
      <c r="F486" s="800">
        <f t="shared" si="240"/>
        <v>28158.242770583729</v>
      </c>
      <c r="G486" s="800">
        <f t="shared" si="240"/>
        <v>35592.961913307554</v>
      </c>
      <c r="H486" s="800">
        <f t="shared" si="240"/>
        <v>40363.398847932149</v>
      </c>
      <c r="I486" s="800">
        <f t="shared" si="240"/>
        <v>49729.038014305945</v>
      </c>
      <c r="J486" s="800">
        <f t="shared" si="240"/>
        <v>55537.458599385944</v>
      </c>
      <c r="K486" s="800">
        <f t="shared" si="240"/>
        <v>59469.107781342806</v>
      </c>
      <c r="L486" s="800">
        <f t="shared" si="240"/>
        <v>63610.541267943008</v>
      </c>
      <c r="M486" s="800">
        <f t="shared" si="240"/>
        <v>68179.06</v>
      </c>
      <c r="N486" s="800" t="s">
        <v>214</v>
      </c>
      <c r="O486" s="800" t="s">
        <v>212</v>
      </c>
    </row>
    <row r="487" spans="1:15">
      <c r="A487" s="137" t="s">
        <v>77</v>
      </c>
      <c r="B487" s="800">
        <f t="shared" ref="B487:B513" si="241">AF107</f>
        <v>545.5440000000001</v>
      </c>
      <c r="C487" s="800">
        <f t="shared" ref="C487:C513" si="242">AG107</f>
        <v>713.68000000000018</v>
      </c>
      <c r="D487" s="800">
        <f t="shared" ref="D487:D513" si="243">AH107</f>
        <v>872.06399999999996</v>
      </c>
      <c r="E487" s="800">
        <f t="shared" ref="E487:E513" si="244">AI107</f>
        <v>873.6</v>
      </c>
      <c r="F487" s="800">
        <f t="shared" ref="F487:F513" si="245">AJ107</f>
        <v>297.608</v>
      </c>
      <c r="G487" s="800">
        <f t="shared" ref="G487:G513" si="246">AK107</f>
        <v>1414.1599999999999</v>
      </c>
      <c r="H487" s="800">
        <f t="shared" ref="H487:H513" si="247">AL107</f>
        <v>169.6239999999998</v>
      </c>
      <c r="I487" s="800">
        <f t="shared" ref="I487:I513" si="248">AM107</f>
        <v>544.46400000000028</v>
      </c>
      <c r="J487" s="800">
        <f t="shared" ref="J487:J513" si="249">AN107</f>
        <v>663.30400000000009</v>
      </c>
      <c r="K487" s="800">
        <f t="shared" ref="K487:K513" si="250">AO107</f>
        <v>0</v>
      </c>
      <c r="L487" s="800">
        <f t="shared" ref="L487:L513" si="251">AP107</f>
        <v>0</v>
      </c>
      <c r="M487" s="800">
        <f t="shared" ref="M487:M513" si="252">AQ107</f>
        <v>0</v>
      </c>
      <c r="N487" s="800" t="s">
        <v>167</v>
      </c>
      <c r="O487" s="800" t="s">
        <v>188</v>
      </c>
    </row>
    <row r="488" spans="1:15">
      <c r="A488" s="137" t="s">
        <v>78</v>
      </c>
      <c r="B488" s="800">
        <f t="shared" si="241"/>
        <v>844.97599999999989</v>
      </c>
      <c r="C488" s="800">
        <f t="shared" si="242"/>
        <v>375.45600000000013</v>
      </c>
      <c r="D488" s="800">
        <f t="shared" si="243"/>
        <v>192.60000000000002</v>
      </c>
      <c r="E488" s="800">
        <f t="shared" si="244"/>
        <v>561.85600000000011</v>
      </c>
      <c r="F488" s="800">
        <f t="shared" si="245"/>
        <v>1943.9360000000001</v>
      </c>
      <c r="G488" s="800">
        <f t="shared" si="246"/>
        <v>0</v>
      </c>
      <c r="H488" s="800">
        <f t="shared" si="247"/>
        <v>365.69600000000014</v>
      </c>
      <c r="I488" s="800">
        <f t="shared" si="248"/>
        <v>1213.8560000000004</v>
      </c>
      <c r="J488" s="800">
        <f t="shared" si="249"/>
        <v>548.24799999999993</v>
      </c>
      <c r="K488" s="800">
        <f t="shared" si="250"/>
        <v>0</v>
      </c>
      <c r="L488" s="800">
        <f t="shared" si="251"/>
        <v>0</v>
      </c>
      <c r="M488" s="800">
        <f t="shared" si="252"/>
        <v>0</v>
      </c>
      <c r="N488" s="800" t="s">
        <v>167</v>
      </c>
      <c r="O488" s="800" t="s">
        <v>188</v>
      </c>
    </row>
    <row r="489" spans="1:15">
      <c r="A489" s="137" t="s">
        <v>79</v>
      </c>
      <c r="B489" s="800">
        <f t="shared" si="241"/>
        <v>3782.328</v>
      </c>
      <c r="C489" s="800">
        <f t="shared" si="242"/>
        <v>2639.8080000000004</v>
      </c>
      <c r="D489" s="800">
        <f t="shared" si="243"/>
        <v>1891.232</v>
      </c>
      <c r="E489" s="800">
        <f t="shared" si="244"/>
        <v>1698.8320000000001</v>
      </c>
      <c r="F489" s="800">
        <f t="shared" si="245"/>
        <v>799.98400000000004</v>
      </c>
      <c r="G489" s="800">
        <f t="shared" si="246"/>
        <v>729.49600000000009</v>
      </c>
      <c r="H489" s="800">
        <f t="shared" si="247"/>
        <v>1515.0879999999997</v>
      </c>
      <c r="I489" s="800">
        <f t="shared" si="248"/>
        <v>0</v>
      </c>
      <c r="J489" s="800">
        <f t="shared" si="249"/>
        <v>779.41600000000005</v>
      </c>
      <c r="K489" s="800">
        <f t="shared" si="250"/>
        <v>0</v>
      </c>
      <c r="L489" s="800">
        <f t="shared" si="251"/>
        <v>0</v>
      </c>
      <c r="M489" s="800">
        <f t="shared" si="252"/>
        <v>0</v>
      </c>
      <c r="N489" s="800" t="s">
        <v>167</v>
      </c>
      <c r="O489" s="800" t="s">
        <v>188</v>
      </c>
    </row>
    <row r="490" spans="1:15">
      <c r="A490" s="137" t="s">
        <v>80</v>
      </c>
      <c r="B490" s="800">
        <f t="shared" si="241"/>
        <v>883.19200000000001</v>
      </c>
      <c r="C490" s="800">
        <f t="shared" si="242"/>
        <v>2429.7520000000004</v>
      </c>
      <c r="D490" s="800">
        <f t="shared" si="243"/>
        <v>3016.5200000000004</v>
      </c>
      <c r="E490" s="800">
        <f t="shared" si="244"/>
        <v>1550.9840000000002</v>
      </c>
      <c r="F490" s="800">
        <f t="shared" si="245"/>
        <v>1288.92</v>
      </c>
      <c r="G490" s="800">
        <f t="shared" si="246"/>
        <v>1646.5519999999997</v>
      </c>
      <c r="H490" s="800">
        <f t="shared" si="247"/>
        <v>1444.2480000000003</v>
      </c>
      <c r="I490" s="800">
        <f t="shared" si="248"/>
        <v>657.03200000000072</v>
      </c>
      <c r="J490" s="800">
        <f t="shared" si="249"/>
        <v>670.60799999999983</v>
      </c>
      <c r="K490" s="800">
        <f t="shared" si="250"/>
        <v>0</v>
      </c>
      <c r="L490" s="800">
        <f t="shared" si="251"/>
        <v>0</v>
      </c>
      <c r="M490" s="800">
        <f t="shared" si="252"/>
        <v>0</v>
      </c>
      <c r="N490" s="800" t="s">
        <v>167</v>
      </c>
      <c r="O490" s="800" t="s">
        <v>188</v>
      </c>
    </row>
    <row r="491" spans="1:15">
      <c r="A491" s="137" t="s">
        <v>81</v>
      </c>
      <c r="B491" s="800">
        <f t="shared" si="241"/>
        <v>2671.848</v>
      </c>
      <c r="C491" s="800">
        <f t="shared" si="242"/>
        <v>5451.7439999999988</v>
      </c>
      <c r="D491" s="800">
        <f t="shared" si="243"/>
        <v>7230.344000000001</v>
      </c>
      <c r="E491" s="800">
        <f t="shared" si="244"/>
        <v>9397.8559999999998</v>
      </c>
      <c r="F491" s="800">
        <f t="shared" si="245"/>
        <v>12345.944000000001</v>
      </c>
      <c r="G491" s="800">
        <f t="shared" si="246"/>
        <v>4115.1760000000004</v>
      </c>
      <c r="H491" s="800">
        <f t="shared" si="247"/>
        <v>3589.0879999999997</v>
      </c>
      <c r="I491" s="800">
        <f t="shared" si="248"/>
        <v>5403.4640000000018</v>
      </c>
      <c r="J491" s="800">
        <f t="shared" si="249"/>
        <v>3140.2240000000006</v>
      </c>
      <c r="K491" s="800">
        <f t="shared" si="250"/>
        <v>0</v>
      </c>
      <c r="L491" s="800">
        <f t="shared" si="251"/>
        <v>0</v>
      </c>
      <c r="M491" s="800">
        <f t="shared" si="252"/>
        <v>0</v>
      </c>
      <c r="N491" s="800" t="s">
        <v>167</v>
      </c>
      <c r="O491" s="800" t="s">
        <v>188</v>
      </c>
    </row>
    <row r="492" spans="1:15">
      <c r="A492" s="137" t="s">
        <v>82</v>
      </c>
      <c r="B492" s="800">
        <f t="shared" si="241"/>
        <v>10186.048000000001</v>
      </c>
      <c r="C492" s="800">
        <f t="shared" si="242"/>
        <v>11347.024000000001</v>
      </c>
      <c r="D492" s="800">
        <f t="shared" si="243"/>
        <v>10533.128000000001</v>
      </c>
      <c r="E492" s="800">
        <f t="shared" si="244"/>
        <v>3322.4160000000006</v>
      </c>
      <c r="F492" s="800">
        <f t="shared" si="245"/>
        <v>5126.2400000000007</v>
      </c>
      <c r="G492" s="800">
        <f t="shared" si="246"/>
        <v>3408.8399999999997</v>
      </c>
      <c r="H492" s="800">
        <f t="shared" si="247"/>
        <v>5578.5680000000002</v>
      </c>
      <c r="I492" s="800">
        <f t="shared" si="248"/>
        <v>4652.2000000000016</v>
      </c>
      <c r="J492" s="800">
        <f t="shared" si="249"/>
        <v>2203.4479999999999</v>
      </c>
      <c r="K492" s="800">
        <f t="shared" si="250"/>
        <v>0</v>
      </c>
      <c r="L492" s="800">
        <f t="shared" si="251"/>
        <v>0</v>
      </c>
      <c r="M492" s="800">
        <f t="shared" si="252"/>
        <v>0</v>
      </c>
      <c r="N492" s="800" t="s">
        <v>167</v>
      </c>
      <c r="O492" s="800" t="s">
        <v>188</v>
      </c>
    </row>
    <row r="493" spans="1:15">
      <c r="A493" s="137" t="s">
        <v>83</v>
      </c>
      <c r="B493" s="800">
        <f t="shared" si="241"/>
        <v>4898.4159999999993</v>
      </c>
      <c r="C493" s="800">
        <f t="shared" si="242"/>
        <v>4019.7280000000001</v>
      </c>
      <c r="D493" s="800">
        <f t="shared" si="243"/>
        <v>3325.056</v>
      </c>
      <c r="E493" s="800">
        <f t="shared" si="244"/>
        <v>3417.1040000000003</v>
      </c>
      <c r="F493" s="800">
        <f t="shared" si="245"/>
        <v>17085.472000000002</v>
      </c>
      <c r="G493" s="800">
        <f t="shared" si="246"/>
        <v>4249.9600000000009</v>
      </c>
      <c r="H493" s="800">
        <f t="shared" si="247"/>
        <v>2792.2640000000001</v>
      </c>
      <c r="I493" s="800">
        <f t="shared" si="248"/>
        <v>4580.0959999999995</v>
      </c>
      <c r="J493" s="800">
        <f t="shared" si="249"/>
        <v>5038.0720000000019</v>
      </c>
      <c r="K493" s="800">
        <f t="shared" si="250"/>
        <v>0</v>
      </c>
      <c r="L493" s="800">
        <f t="shared" si="251"/>
        <v>0</v>
      </c>
      <c r="M493" s="800">
        <f t="shared" si="252"/>
        <v>0</v>
      </c>
      <c r="N493" s="800" t="s">
        <v>167</v>
      </c>
      <c r="O493" s="800" t="s">
        <v>188</v>
      </c>
    </row>
    <row r="494" spans="1:15">
      <c r="A494" s="137" t="s">
        <v>84</v>
      </c>
      <c r="B494" s="800">
        <f t="shared" si="241"/>
        <v>2837.6800000000003</v>
      </c>
      <c r="C494" s="800">
        <f t="shared" si="242"/>
        <v>2749.1439999999989</v>
      </c>
      <c r="D494" s="800">
        <f t="shared" si="243"/>
        <v>5766.424</v>
      </c>
      <c r="E494" s="800">
        <f t="shared" si="244"/>
        <v>3926.288</v>
      </c>
      <c r="F494" s="800">
        <f t="shared" si="245"/>
        <v>1266.3920000000001</v>
      </c>
      <c r="G494" s="800">
        <f t="shared" si="246"/>
        <v>3340.7680000000009</v>
      </c>
      <c r="H494" s="800">
        <f t="shared" si="247"/>
        <v>2738.2000000000003</v>
      </c>
      <c r="I494" s="800">
        <f t="shared" si="248"/>
        <v>1700.3919999999985</v>
      </c>
      <c r="J494" s="800">
        <f t="shared" si="249"/>
        <v>2398.96</v>
      </c>
      <c r="K494" s="800">
        <f t="shared" si="250"/>
        <v>0</v>
      </c>
      <c r="L494" s="800">
        <f t="shared" si="251"/>
        <v>0</v>
      </c>
      <c r="M494" s="800">
        <f t="shared" si="252"/>
        <v>0</v>
      </c>
      <c r="N494" s="800" t="s">
        <v>167</v>
      </c>
      <c r="O494" s="800" t="s">
        <v>188</v>
      </c>
    </row>
    <row r="495" spans="1:15">
      <c r="A495" s="137" t="s">
        <v>85</v>
      </c>
      <c r="B495" s="800">
        <f t="shared" si="241"/>
        <v>7602.4080000000004</v>
      </c>
      <c r="C495" s="800">
        <f t="shared" si="242"/>
        <v>6025.7600000000011</v>
      </c>
      <c r="D495" s="800">
        <f t="shared" si="243"/>
        <v>10226.040000000001</v>
      </c>
      <c r="E495" s="800">
        <f t="shared" si="244"/>
        <v>4824.1040000000003</v>
      </c>
      <c r="F495" s="800">
        <f t="shared" si="245"/>
        <v>1677.5439999999999</v>
      </c>
      <c r="G495" s="800">
        <f t="shared" si="246"/>
        <v>5580.6639999999998</v>
      </c>
      <c r="H495" s="800">
        <f t="shared" si="247"/>
        <v>3860.9759999999997</v>
      </c>
      <c r="I495" s="800">
        <f t="shared" si="248"/>
        <v>3350.6560000000027</v>
      </c>
      <c r="J495" s="800">
        <f t="shared" si="249"/>
        <v>4882.6879999999992</v>
      </c>
      <c r="K495" s="800">
        <f t="shared" si="250"/>
        <v>0</v>
      </c>
      <c r="L495" s="800">
        <f t="shared" si="251"/>
        <v>0</v>
      </c>
      <c r="M495" s="800">
        <f t="shared" si="252"/>
        <v>0</v>
      </c>
      <c r="N495" s="800" t="s">
        <v>167</v>
      </c>
      <c r="O495" s="800" t="s">
        <v>188</v>
      </c>
    </row>
    <row r="496" spans="1:15">
      <c r="A496" s="137" t="s">
        <v>86</v>
      </c>
      <c r="B496" s="800">
        <f t="shared" si="241"/>
        <v>1187.9279999999999</v>
      </c>
      <c r="C496" s="800">
        <f t="shared" si="242"/>
        <v>2153.5439999999999</v>
      </c>
      <c r="D496" s="800">
        <f t="shared" si="243"/>
        <v>1578.44</v>
      </c>
      <c r="E496" s="800">
        <f t="shared" si="244"/>
        <v>283.84000000000003</v>
      </c>
      <c r="F496" s="800">
        <f t="shared" si="245"/>
        <v>2534.92</v>
      </c>
      <c r="G496" s="800">
        <f t="shared" si="246"/>
        <v>1708.7360000000001</v>
      </c>
      <c r="H496" s="800">
        <f t="shared" si="247"/>
        <v>683.43200000000002</v>
      </c>
      <c r="I496" s="800">
        <f t="shared" si="248"/>
        <v>2291.2239999999997</v>
      </c>
      <c r="J496" s="800">
        <f t="shared" si="249"/>
        <v>1217.0880000000002</v>
      </c>
      <c r="K496" s="800">
        <f t="shared" si="250"/>
        <v>0</v>
      </c>
      <c r="L496" s="800">
        <f t="shared" si="251"/>
        <v>0</v>
      </c>
      <c r="M496" s="800">
        <f t="shared" si="252"/>
        <v>0</v>
      </c>
      <c r="N496" s="800" t="s">
        <v>167</v>
      </c>
      <c r="O496" s="800" t="s">
        <v>188</v>
      </c>
    </row>
    <row r="497" spans="1:15">
      <c r="A497" s="137" t="s">
        <v>87</v>
      </c>
      <c r="B497" s="800">
        <f t="shared" si="241"/>
        <v>5388.68</v>
      </c>
      <c r="C497" s="800">
        <f t="shared" si="242"/>
        <v>5913.44</v>
      </c>
      <c r="D497" s="800">
        <f t="shared" si="243"/>
        <v>3148.9680000000003</v>
      </c>
      <c r="E497" s="800">
        <f t="shared" si="244"/>
        <v>6540.2720000000008</v>
      </c>
      <c r="F497" s="800">
        <f t="shared" si="245"/>
        <v>2813.6960000000004</v>
      </c>
      <c r="G497" s="800">
        <f t="shared" si="246"/>
        <v>1567.8640000000005</v>
      </c>
      <c r="H497" s="800">
        <f t="shared" si="247"/>
        <v>2140.12</v>
      </c>
      <c r="I497" s="800">
        <f t="shared" si="248"/>
        <v>2055.0240000000022</v>
      </c>
      <c r="J497" s="800">
        <f t="shared" si="249"/>
        <v>1725.6159999999975</v>
      </c>
      <c r="K497" s="800">
        <f t="shared" si="250"/>
        <v>0</v>
      </c>
      <c r="L497" s="800">
        <f t="shared" si="251"/>
        <v>0</v>
      </c>
      <c r="M497" s="800">
        <f t="shared" si="252"/>
        <v>0</v>
      </c>
      <c r="N497" s="800" t="s">
        <v>167</v>
      </c>
      <c r="O497" s="800" t="s">
        <v>188</v>
      </c>
    </row>
    <row r="498" spans="1:15">
      <c r="A498" s="137" t="s">
        <v>88</v>
      </c>
      <c r="B498" s="800">
        <f t="shared" si="241"/>
        <v>5973.1440000000002</v>
      </c>
      <c r="C498" s="800">
        <f t="shared" si="242"/>
        <v>5558.68</v>
      </c>
      <c r="D498" s="800">
        <f t="shared" si="243"/>
        <v>2647.9279999999999</v>
      </c>
      <c r="E498" s="800">
        <f t="shared" si="244"/>
        <v>9229.344000000001</v>
      </c>
      <c r="F498" s="800">
        <f t="shared" si="245"/>
        <v>4961.7360000000008</v>
      </c>
      <c r="G498" s="800">
        <f t="shared" si="246"/>
        <v>9111.3040000000019</v>
      </c>
      <c r="H498" s="800">
        <f t="shared" si="247"/>
        <v>5051.800000000002</v>
      </c>
      <c r="I498" s="800">
        <f t="shared" si="248"/>
        <v>3818.0880000000006</v>
      </c>
      <c r="J498" s="800">
        <f t="shared" si="249"/>
        <v>9450.9760000000006</v>
      </c>
      <c r="K498" s="800">
        <f t="shared" si="250"/>
        <v>0</v>
      </c>
      <c r="L498" s="800">
        <f t="shared" si="251"/>
        <v>0</v>
      </c>
      <c r="M498" s="800">
        <f t="shared" si="252"/>
        <v>0</v>
      </c>
      <c r="N498" s="800" t="s">
        <v>167</v>
      </c>
      <c r="O498" s="800" t="s">
        <v>188</v>
      </c>
    </row>
    <row r="499" spans="1:15">
      <c r="A499" s="137" t="s">
        <v>89</v>
      </c>
      <c r="B499" s="800">
        <f t="shared" si="241"/>
        <v>15688.647999999999</v>
      </c>
      <c r="C499" s="800">
        <f t="shared" si="242"/>
        <v>26778.776000000002</v>
      </c>
      <c r="D499" s="800">
        <f t="shared" si="243"/>
        <v>24738.736000000001</v>
      </c>
      <c r="E499" s="800">
        <f t="shared" si="244"/>
        <v>17481.655999999999</v>
      </c>
      <c r="F499" s="800">
        <f t="shared" si="245"/>
        <v>16732.816000000003</v>
      </c>
      <c r="G499" s="800">
        <f t="shared" si="246"/>
        <v>19942.152000000002</v>
      </c>
      <c r="H499" s="800">
        <f t="shared" si="247"/>
        <v>19959.04</v>
      </c>
      <c r="I499" s="800">
        <f t="shared" si="248"/>
        <v>21787.335999999999</v>
      </c>
      <c r="J499" s="800">
        <f t="shared" si="249"/>
        <v>12731.887999999999</v>
      </c>
      <c r="K499" s="800">
        <f t="shared" si="250"/>
        <v>0</v>
      </c>
      <c r="L499" s="800">
        <f t="shared" si="251"/>
        <v>0</v>
      </c>
      <c r="M499" s="800">
        <f t="shared" si="252"/>
        <v>0</v>
      </c>
      <c r="N499" s="800" t="s">
        <v>167</v>
      </c>
      <c r="O499" s="800" t="s">
        <v>188</v>
      </c>
    </row>
    <row r="500" spans="1:15">
      <c r="A500" s="137" t="s">
        <v>90</v>
      </c>
      <c r="B500" s="800">
        <f t="shared" si="241"/>
        <v>1310.6240000000003</v>
      </c>
      <c r="C500" s="800">
        <f t="shared" si="242"/>
        <v>2245.7919999999999</v>
      </c>
      <c r="D500" s="800">
        <f t="shared" si="243"/>
        <v>2591.4960000000001</v>
      </c>
      <c r="E500" s="800">
        <f t="shared" si="244"/>
        <v>2613.4639999999999</v>
      </c>
      <c r="F500" s="800">
        <f t="shared" si="245"/>
        <v>1918.8560000000002</v>
      </c>
      <c r="G500" s="800">
        <f t="shared" si="246"/>
        <v>2517.2800000000002</v>
      </c>
      <c r="H500" s="800">
        <f t="shared" si="247"/>
        <v>1962.2480000000005</v>
      </c>
      <c r="I500" s="800">
        <f t="shared" si="248"/>
        <v>1943.8240000000005</v>
      </c>
      <c r="J500" s="800">
        <f t="shared" si="249"/>
        <v>743.00799999999947</v>
      </c>
      <c r="K500" s="800">
        <f t="shared" si="250"/>
        <v>0</v>
      </c>
      <c r="L500" s="800">
        <f t="shared" si="251"/>
        <v>0</v>
      </c>
      <c r="M500" s="800">
        <f t="shared" si="252"/>
        <v>0</v>
      </c>
      <c r="N500" s="800" t="s">
        <v>167</v>
      </c>
      <c r="O500" s="800" t="s">
        <v>188</v>
      </c>
    </row>
    <row r="501" spans="1:15">
      <c r="A501" s="137" t="s">
        <v>91</v>
      </c>
      <c r="B501" s="800">
        <f t="shared" si="241"/>
        <v>3750.0239999999999</v>
      </c>
      <c r="C501" s="800">
        <f t="shared" si="242"/>
        <v>4714.9039999999995</v>
      </c>
      <c r="D501" s="800">
        <f t="shared" si="243"/>
        <v>7264.4320000000007</v>
      </c>
      <c r="E501" s="800">
        <f t="shared" si="244"/>
        <v>2089.8880000000004</v>
      </c>
      <c r="F501" s="800">
        <f t="shared" si="245"/>
        <v>1585.5200000000002</v>
      </c>
      <c r="G501" s="800">
        <f t="shared" si="246"/>
        <v>1796.576</v>
      </c>
      <c r="H501" s="800">
        <f t="shared" si="247"/>
        <v>3249.6000000000004</v>
      </c>
      <c r="I501" s="800">
        <f t="shared" si="248"/>
        <v>3371.1920000000009</v>
      </c>
      <c r="J501" s="800">
        <f t="shared" si="249"/>
        <v>5996.3600000000006</v>
      </c>
      <c r="K501" s="800">
        <f t="shared" si="250"/>
        <v>0</v>
      </c>
      <c r="L501" s="800">
        <f t="shared" si="251"/>
        <v>0</v>
      </c>
      <c r="M501" s="800">
        <f t="shared" si="252"/>
        <v>0</v>
      </c>
      <c r="N501" s="800" t="s">
        <v>167</v>
      </c>
      <c r="O501" s="800" t="s">
        <v>188</v>
      </c>
    </row>
    <row r="502" spans="1:15">
      <c r="A502" s="137" t="s">
        <v>92</v>
      </c>
      <c r="B502" s="800">
        <f t="shared" si="241"/>
        <v>17315.824000000001</v>
      </c>
      <c r="C502" s="800">
        <f t="shared" si="242"/>
        <v>23697.528000000002</v>
      </c>
      <c r="D502" s="800">
        <f t="shared" si="243"/>
        <v>27291.896000000004</v>
      </c>
      <c r="E502" s="800">
        <f t="shared" si="244"/>
        <v>12931.567999999999</v>
      </c>
      <c r="F502" s="800">
        <f t="shared" si="245"/>
        <v>17452.52</v>
      </c>
      <c r="G502" s="800">
        <f t="shared" si="246"/>
        <v>13625.696</v>
      </c>
      <c r="H502" s="800">
        <f t="shared" si="247"/>
        <v>20774.943999999996</v>
      </c>
      <c r="I502" s="800">
        <f t="shared" si="248"/>
        <v>25729.479999999996</v>
      </c>
      <c r="J502" s="800">
        <f t="shared" si="249"/>
        <v>12346.936000000005</v>
      </c>
      <c r="K502" s="800">
        <f t="shared" si="250"/>
        <v>0</v>
      </c>
      <c r="L502" s="800">
        <f t="shared" si="251"/>
        <v>0</v>
      </c>
      <c r="M502" s="800">
        <f t="shared" si="252"/>
        <v>0</v>
      </c>
      <c r="N502" s="800" t="s">
        <v>167</v>
      </c>
      <c r="O502" s="800" t="s">
        <v>188</v>
      </c>
    </row>
    <row r="503" spans="1:15">
      <c r="A503" s="137" t="s">
        <v>93</v>
      </c>
      <c r="B503" s="800">
        <f t="shared" si="241"/>
        <v>7136.4320000000007</v>
      </c>
      <c r="C503" s="800">
        <f t="shared" si="242"/>
        <v>5938.3999999999987</v>
      </c>
      <c r="D503" s="800">
        <f t="shared" si="243"/>
        <v>4657.3919999999998</v>
      </c>
      <c r="E503" s="800">
        <f t="shared" si="244"/>
        <v>5188.6400000000003</v>
      </c>
      <c r="F503" s="800">
        <f t="shared" si="245"/>
        <v>2596.4240000000004</v>
      </c>
      <c r="G503" s="800">
        <f t="shared" si="246"/>
        <v>7381.5119999999997</v>
      </c>
      <c r="H503" s="800">
        <f t="shared" si="247"/>
        <v>3322.9279999999999</v>
      </c>
      <c r="I503" s="800">
        <f t="shared" si="248"/>
        <v>2416.6880000000006</v>
      </c>
      <c r="J503" s="800">
        <f t="shared" si="249"/>
        <v>1967.976000000001</v>
      </c>
      <c r="K503" s="800">
        <f t="shared" si="250"/>
        <v>0</v>
      </c>
      <c r="L503" s="800">
        <f t="shared" si="251"/>
        <v>0</v>
      </c>
      <c r="M503" s="800">
        <f t="shared" si="252"/>
        <v>0</v>
      </c>
      <c r="N503" s="800" t="s">
        <v>167</v>
      </c>
      <c r="O503" s="800" t="s">
        <v>188</v>
      </c>
    </row>
    <row r="504" spans="1:15">
      <c r="A504" s="137" t="s">
        <v>94</v>
      </c>
      <c r="B504" s="800">
        <f t="shared" si="241"/>
        <v>3014.6080000000002</v>
      </c>
      <c r="C504" s="800">
        <f t="shared" si="242"/>
        <v>1226.7600000000002</v>
      </c>
      <c r="D504" s="800">
        <f t="shared" si="243"/>
        <v>2142.8240000000001</v>
      </c>
      <c r="E504" s="800">
        <f t="shared" si="244"/>
        <v>1410.2240000000002</v>
      </c>
      <c r="F504" s="800">
        <f t="shared" si="245"/>
        <v>603.39200000000005</v>
      </c>
      <c r="G504" s="800">
        <f t="shared" si="246"/>
        <v>1356.8720000000001</v>
      </c>
      <c r="H504" s="800">
        <f t="shared" si="247"/>
        <v>219.416</v>
      </c>
      <c r="I504" s="800">
        <f t="shared" si="248"/>
        <v>2118.559999999999</v>
      </c>
      <c r="J504" s="800">
        <f t="shared" si="249"/>
        <v>835.86400000000003</v>
      </c>
      <c r="K504" s="800">
        <f t="shared" si="250"/>
        <v>0</v>
      </c>
      <c r="L504" s="800">
        <f t="shared" si="251"/>
        <v>0</v>
      </c>
      <c r="M504" s="800">
        <f t="shared" si="252"/>
        <v>0</v>
      </c>
      <c r="N504" s="800" t="s">
        <v>167</v>
      </c>
      <c r="O504" s="800" t="s">
        <v>188</v>
      </c>
    </row>
    <row r="505" spans="1:15">
      <c r="A505" s="137" t="s">
        <v>95</v>
      </c>
      <c r="B505" s="800">
        <f t="shared" si="241"/>
        <v>20486.864000000001</v>
      </c>
      <c r="C505" s="800">
        <f t="shared" si="242"/>
        <v>23268.800000000003</v>
      </c>
      <c r="D505" s="800">
        <f t="shared" si="243"/>
        <v>17732.088</v>
      </c>
      <c r="E505" s="800">
        <f t="shared" si="244"/>
        <v>7708.4720000000007</v>
      </c>
      <c r="F505" s="800">
        <f t="shared" si="245"/>
        <v>13079.64</v>
      </c>
      <c r="G505" s="800">
        <f t="shared" si="246"/>
        <v>8610.4719999999998</v>
      </c>
      <c r="H505" s="800">
        <f t="shared" si="247"/>
        <v>10655.016000000007</v>
      </c>
      <c r="I505" s="800">
        <f t="shared" si="248"/>
        <v>14584.496000000008</v>
      </c>
      <c r="J505" s="800">
        <f t="shared" si="249"/>
        <v>9473.5200000000023</v>
      </c>
      <c r="K505" s="800">
        <f t="shared" si="250"/>
        <v>0</v>
      </c>
      <c r="L505" s="800">
        <f t="shared" si="251"/>
        <v>0</v>
      </c>
      <c r="M505" s="800">
        <f t="shared" si="252"/>
        <v>0</v>
      </c>
      <c r="N505" s="800" t="s">
        <v>167</v>
      </c>
      <c r="O505" s="800" t="s">
        <v>188</v>
      </c>
    </row>
    <row r="506" spans="1:15">
      <c r="A506" s="137" t="s">
        <v>96</v>
      </c>
      <c r="B506" s="800">
        <f t="shared" si="241"/>
        <v>1134.9599999999998</v>
      </c>
      <c r="C506" s="800">
        <f t="shared" si="242"/>
        <v>2038.0640000000003</v>
      </c>
      <c r="D506" s="800">
        <f t="shared" si="243"/>
        <v>1899.5919999999999</v>
      </c>
      <c r="E506" s="800">
        <f t="shared" si="244"/>
        <v>475.01600000000002</v>
      </c>
      <c r="F506" s="800">
        <f t="shared" si="245"/>
        <v>937.92800000000011</v>
      </c>
      <c r="G506" s="800">
        <f t="shared" si="246"/>
        <v>1436.2240000000002</v>
      </c>
      <c r="H506" s="800">
        <f t="shared" si="247"/>
        <v>1613.8720000000001</v>
      </c>
      <c r="I506" s="800">
        <f t="shared" si="248"/>
        <v>1357.1680000000001</v>
      </c>
      <c r="J506" s="800">
        <f t="shared" si="249"/>
        <v>1074.2559999999999</v>
      </c>
      <c r="K506" s="800">
        <f t="shared" si="250"/>
        <v>0</v>
      </c>
      <c r="L506" s="800">
        <f t="shared" si="251"/>
        <v>0</v>
      </c>
      <c r="M506" s="800">
        <f t="shared" si="252"/>
        <v>0</v>
      </c>
      <c r="N506" s="800" t="s">
        <v>167</v>
      </c>
      <c r="O506" s="800" t="s">
        <v>188</v>
      </c>
    </row>
    <row r="507" spans="1:15">
      <c r="A507" s="137" t="s">
        <v>97</v>
      </c>
      <c r="B507" s="800">
        <f t="shared" si="241"/>
        <v>16190.415999999997</v>
      </c>
      <c r="C507" s="800">
        <f t="shared" si="242"/>
        <v>35195.887999999999</v>
      </c>
      <c r="D507" s="800">
        <f t="shared" si="243"/>
        <v>30845.4</v>
      </c>
      <c r="E507" s="800">
        <f t="shared" si="244"/>
        <v>17939.935999999998</v>
      </c>
      <c r="F507" s="800">
        <f t="shared" si="245"/>
        <v>20886.192000000003</v>
      </c>
      <c r="G507" s="800">
        <f t="shared" si="246"/>
        <v>12524.903999999999</v>
      </c>
      <c r="H507" s="800">
        <f t="shared" si="247"/>
        <v>15989.368</v>
      </c>
      <c r="I507" s="800">
        <f t="shared" si="248"/>
        <v>14353.056000000006</v>
      </c>
      <c r="J507" s="800">
        <f t="shared" si="249"/>
        <v>10738.72800000001</v>
      </c>
      <c r="K507" s="800">
        <f t="shared" si="250"/>
        <v>0</v>
      </c>
      <c r="L507" s="800">
        <f t="shared" si="251"/>
        <v>0</v>
      </c>
      <c r="M507" s="800">
        <f t="shared" si="252"/>
        <v>0</v>
      </c>
      <c r="N507" s="800" t="s">
        <v>167</v>
      </c>
      <c r="O507" s="800" t="s">
        <v>188</v>
      </c>
    </row>
    <row r="508" spans="1:15">
      <c r="A508" s="137" t="s">
        <v>98</v>
      </c>
      <c r="B508" s="800">
        <f t="shared" si="241"/>
        <v>2109.6320000000001</v>
      </c>
      <c r="C508" s="800">
        <f t="shared" si="242"/>
        <v>3411.5519999999992</v>
      </c>
      <c r="D508" s="800">
        <f t="shared" si="243"/>
        <v>2007.9360000000001</v>
      </c>
      <c r="E508" s="800">
        <f t="shared" si="244"/>
        <v>1973.9840000000002</v>
      </c>
      <c r="F508" s="800">
        <f t="shared" si="245"/>
        <v>2155.248</v>
      </c>
      <c r="G508" s="800">
        <f t="shared" si="246"/>
        <v>2814.9120000000003</v>
      </c>
      <c r="H508" s="800">
        <f t="shared" si="247"/>
        <v>2167.88</v>
      </c>
      <c r="I508" s="800">
        <f t="shared" si="248"/>
        <v>1481.2079999999999</v>
      </c>
      <c r="J508" s="800">
        <f t="shared" si="249"/>
        <v>3253.0080000000012</v>
      </c>
      <c r="K508" s="800">
        <f t="shared" si="250"/>
        <v>0</v>
      </c>
      <c r="L508" s="800">
        <f t="shared" si="251"/>
        <v>0</v>
      </c>
      <c r="M508" s="800">
        <f t="shared" si="252"/>
        <v>0</v>
      </c>
      <c r="N508" s="800" t="s">
        <v>167</v>
      </c>
      <c r="O508" s="800" t="s">
        <v>188</v>
      </c>
    </row>
    <row r="509" spans="1:15">
      <c r="A509" s="137" t="s">
        <v>99</v>
      </c>
      <c r="B509" s="800">
        <f t="shared" si="241"/>
        <v>120.37600000000003</v>
      </c>
      <c r="C509" s="800">
        <f t="shared" si="242"/>
        <v>678.072</v>
      </c>
      <c r="D509" s="800">
        <f t="shared" si="243"/>
        <v>950.84799999999996</v>
      </c>
      <c r="E509" s="800">
        <f t="shared" si="244"/>
        <v>0</v>
      </c>
      <c r="F509" s="800">
        <f t="shared" si="245"/>
        <v>179.03200000000001</v>
      </c>
      <c r="G509" s="800">
        <f t="shared" si="246"/>
        <v>38.095999999999997</v>
      </c>
      <c r="H509" s="800">
        <f t="shared" si="247"/>
        <v>0</v>
      </c>
      <c r="I509" s="800">
        <f t="shared" si="248"/>
        <v>0</v>
      </c>
      <c r="J509" s="800">
        <f t="shared" si="249"/>
        <v>0</v>
      </c>
      <c r="K509" s="800">
        <f t="shared" si="250"/>
        <v>0</v>
      </c>
      <c r="L509" s="800">
        <f t="shared" si="251"/>
        <v>0</v>
      </c>
      <c r="M509" s="800">
        <f t="shared" si="252"/>
        <v>0</v>
      </c>
      <c r="N509" s="800" t="s">
        <v>167</v>
      </c>
      <c r="O509" s="800" t="s">
        <v>188</v>
      </c>
    </row>
    <row r="510" spans="1:15">
      <c r="A510" s="137" t="s">
        <v>100</v>
      </c>
      <c r="B510" s="800">
        <f t="shared" si="241"/>
        <v>18097.256000000005</v>
      </c>
      <c r="C510" s="800">
        <f t="shared" si="242"/>
        <v>28650.312000000002</v>
      </c>
      <c r="D510" s="800">
        <f t="shared" si="243"/>
        <v>30945.256000000001</v>
      </c>
      <c r="E510" s="800">
        <f t="shared" si="244"/>
        <v>22138.063999999998</v>
      </c>
      <c r="F510" s="800">
        <f t="shared" si="245"/>
        <v>39991.112000000001</v>
      </c>
      <c r="G510" s="800">
        <f t="shared" si="246"/>
        <v>24699.256000000001</v>
      </c>
      <c r="H510" s="800">
        <f t="shared" si="247"/>
        <v>14954.559999999998</v>
      </c>
      <c r="I510" s="800">
        <f t="shared" si="248"/>
        <v>15612.047999999999</v>
      </c>
      <c r="J510" s="800">
        <f t="shared" si="249"/>
        <v>25799.43199999999</v>
      </c>
      <c r="K510" s="800">
        <f t="shared" si="250"/>
        <v>0</v>
      </c>
      <c r="L510" s="800">
        <f t="shared" si="251"/>
        <v>0</v>
      </c>
      <c r="M510" s="800">
        <f t="shared" si="252"/>
        <v>0</v>
      </c>
      <c r="N510" s="800" t="s">
        <v>167</v>
      </c>
      <c r="O510" s="800" t="s">
        <v>188</v>
      </c>
    </row>
    <row r="511" spans="1:15">
      <c r="A511" s="137" t="s">
        <v>101</v>
      </c>
      <c r="B511" s="800">
        <f t="shared" si="241"/>
        <v>64372.064000000006</v>
      </c>
      <c r="C511" s="800">
        <f t="shared" si="242"/>
        <v>80940.640000000014</v>
      </c>
      <c r="D511" s="800">
        <f t="shared" si="243"/>
        <v>93335.216000000015</v>
      </c>
      <c r="E511" s="800">
        <f t="shared" si="244"/>
        <v>56751.528000000006</v>
      </c>
      <c r="F511" s="800">
        <f t="shared" si="245"/>
        <v>69605.208000000013</v>
      </c>
      <c r="G511" s="800">
        <f t="shared" si="246"/>
        <v>68904.552000000011</v>
      </c>
      <c r="H511" s="800">
        <f t="shared" si="247"/>
        <v>47690.504000000008</v>
      </c>
      <c r="I511" s="800">
        <f t="shared" si="248"/>
        <v>183847.71999999994</v>
      </c>
      <c r="J511" s="800">
        <f t="shared" si="249"/>
        <v>181900.568</v>
      </c>
      <c r="K511" s="800">
        <f t="shared" si="250"/>
        <v>0</v>
      </c>
      <c r="L511" s="800">
        <f t="shared" si="251"/>
        <v>0</v>
      </c>
      <c r="M511" s="800">
        <f t="shared" si="252"/>
        <v>0</v>
      </c>
      <c r="N511" s="800" t="s">
        <v>167</v>
      </c>
      <c r="O511" s="800" t="s">
        <v>188</v>
      </c>
    </row>
    <row r="512" spans="1:15">
      <c r="A512" s="137" t="s">
        <v>102</v>
      </c>
      <c r="B512" s="800">
        <f t="shared" si="241"/>
        <v>1317.5360000000001</v>
      </c>
      <c r="C512" s="800">
        <f t="shared" si="242"/>
        <v>773.58399999999983</v>
      </c>
      <c r="D512" s="800">
        <f t="shared" si="243"/>
        <v>1025</v>
      </c>
      <c r="E512" s="800">
        <f t="shared" si="244"/>
        <v>1194.6479999999999</v>
      </c>
      <c r="F512" s="800">
        <f t="shared" si="245"/>
        <v>4216.3680000000004</v>
      </c>
      <c r="G512" s="800">
        <f t="shared" si="246"/>
        <v>772.54399999999998</v>
      </c>
      <c r="H512" s="800">
        <f t="shared" si="247"/>
        <v>101.74399999999987</v>
      </c>
      <c r="I512" s="800">
        <f t="shared" si="248"/>
        <v>3020.0479999999998</v>
      </c>
      <c r="J512" s="800">
        <f t="shared" si="249"/>
        <v>1642.7200000000003</v>
      </c>
      <c r="K512" s="800">
        <f t="shared" si="250"/>
        <v>0</v>
      </c>
      <c r="L512" s="800">
        <f t="shared" si="251"/>
        <v>0</v>
      </c>
      <c r="M512" s="800">
        <f t="shared" si="252"/>
        <v>0</v>
      </c>
      <c r="N512" s="800" t="s">
        <v>167</v>
      </c>
      <c r="O512" s="800" t="s">
        <v>188</v>
      </c>
    </row>
    <row r="513" spans="1:15">
      <c r="A513" s="137" t="s">
        <v>103</v>
      </c>
      <c r="B513" s="800">
        <f t="shared" si="241"/>
        <v>115.42400000000001</v>
      </c>
      <c r="C513" s="800">
        <f t="shared" si="242"/>
        <v>3496.4320000000002</v>
      </c>
      <c r="D513" s="800">
        <f t="shared" si="243"/>
        <v>1280.7040000000002</v>
      </c>
      <c r="E513" s="800">
        <f t="shared" si="244"/>
        <v>2451.0240000000003</v>
      </c>
      <c r="F513" s="800">
        <f t="shared" si="245"/>
        <v>2902.9520000000002</v>
      </c>
      <c r="G513" s="800">
        <f t="shared" si="246"/>
        <v>1259.1040000000003</v>
      </c>
      <c r="H513" s="800">
        <f t="shared" si="247"/>
        <v>724.65600000000018</v>
      </c>
      <c r="I513" s="800">
        <f t="shared" si="248"/>
        <v>2137.0719999999997</v>
      </c>
      <c r="J513" s="800">
        <f t="shared" si="249"/>
        <v>1201.864</v>
      </c>
      <c r="K513" s="800">
        <f t="shared" si="250"/>
        <v>0</v>
      </c>
      <c r="L513" s="800">
        <f t="shared" si="251"/>
        <v>0</v>
      </c>
      <c r="M513" s="800">
        <f t="shared" si="252"/>
        <v>0</v>
      </c>
      <c r="N513" s="800" t="s">
        <v>167</v>
      </c>
      <c r="O513" s="800" t="s">
        <v>188</v>
      </c>
    </row>
    <row r="514" spans="1:15">
      <c r="A514" s="137" t="s">
        <v>77</v>
      </c>
      <c r="B514" s="800">
        <f t="shared" ref="B514:B540" si="253">Q107</f>
        <v>781.81918543192512</v>
      </c>
      <c r="C514" s="800">
        <f t="shared" ref="C514:M514" si="254">R107</f>
        <v>1447.7356628492498</v>
      </c>
      <c r="D514" s="800">
        <f t="shared" si="254"/>
        <v>2562.5446264471439</v>
      </c>
      <c r="E514" s="800">
        <f t="shared" si="254"/>
        <v>3710.1719416310766</v>
      </c>
      <c r="F514" s="800">
        <f t="shared" si="254"/>
        <v>4915.1812951853644</v>
      </c>
      <c r="G514" s="800">
        <f t="shared" si="254"/>
        <v>5846.6250022495824</v>
      </c>
      <c r="H514" s="800">
        <f t="shared" si="254"/>
        <v>6417.7087620389793</v>
      </c>
      <c r="I514" s="800">
        <f t="shared" si="254"/>
        <v>7108.7530148748701</v>
      </c>
      <c r="J514" s="800">
        <f t="shared" si="254"/>
        <v>7895.0117166723503</v>
      </c>
      <c r="K514" s="800">
        <f t="shared" si="254"/>
        <v>9551.178361864273</v>
      </c>
      <c r="L514" s="800">
        <f t="shared" si="254"/>
        <v>10309.343919339883</v>
      </c>
      <c r="M514" s="800">
        <f t="shared" si="254"/>
        <v>10405.58</v>
      </c>
      <c r="N514" s="800" t="s">
        <v>166</v>
      </c>
      <c r="O514" s="800" t="s">
        <v>188</v>
      </c>
    </row>
    <row r="515" spans="1:15">
      <c r="A515" s="137" t="s">
        <v>78</v>
      </c>
      <c r="B515" s="800">
        <f t="shared" si="253"/>
        <v>3201.8241273969097</v>
      </c>
      <c r="C515" s="800">
        <f t="shared" ref="C515:C540" si="255">R108</f>
        <v>6123.2330434006635</v>
      </c>
      <c r="D515" s="800">
        <f t="shared" ref="D515:D540" si="256">S108</f>
        <v>7338.2970153581336</v>
      </c>
      <c r="E515" s="800">
        <f t="shared" ref="E515:E540" si="257">T108</f>
        <v>8940.4977875580371</v>
      </c>
      <c r="F515" s="800">
        <f t="shared" ref="F515:F540" si="258">U108</f>
        <v>10609.001760729303</v>
      </c>
      <c r="G515" s="800">
        <f t="shared" ref="G515:G540" si="259">V108</f>
        <v>11523.990118693086</v>
      </c>
      <c r="H515" s="800">
        <f t="shared" ref="H515:H540" si="260">W108</f>
        <v>13544.74211956949</v>
      </c>
      <c r="I515" s="800">
        <f t="shared" ref="I515:I540" si="261">X108</f>
        <v>15542.829480765859</v>
      </c>
      <c r="J515" s="800">
        <f t="shared" ref="J515:J540" si="262">Y108</f>
        <v>17224.580742758932</v>
      </c>
      <c r="K515" s="800">
        <f t="shared" ref="K515:K540" si="263">Z108</f>
        <v>19817.841399422483</v>
      </c>
      <c r="L515" s="800">
        <f t="shared" ref="L515:L540" si="264">AA108</f>
        <v>21512.004394844549</v>
      </c>
      <c r="M515" s="800">
        <f t="shared" ref="M515:M540" si="265">AB108</f>
        <v>22976.79</v>
      </c>
      <c r="N515" s="800" t="s">
        <v>166</v>
      </c>
      <c r="O515" s="800" t="s">
        <v>188</v>
      </c>
    </row>
    <row r="516" spans="1:15">
      <c r="A516" s="137" t="s">
        <v>79</v>
      </c>
      <c r="B516" s="800">
        <f t="shared" si="253"/>
        <v>4620.071793719042</v>
      </c>
      <c r="C516" s="800">
        <f t="shared" si="255"/>
        <v>6734.4284732379874</v>
      </c>
      <c r="D516" s="800">
        <f t="shared" si="256"/>
        <v>10469.041152619273</v>
      </c>
      <c r="E516" s="800">
        <f t="shared" si="257"/>
        <v>12415.470851680242</v>
      </c>
      <c r="F516" s="800">
        <f t="shared" si="258"/>
        <v>15025.25025391009</v>
      </c>
      <c r="G516" s="800">
        <f t="shared" si="259"/>
        <v>16859.286611274507</v>
      </c>
      <c r="H516" s="800">
        <f t="shared" si="260"/>
        <v>20954.88594254334</v>
      </c>
      <c r="I516" s="800">
        <f t="shared" si="261"/>
        <v>22386.396114340587</v>
      </c>
      <c r="J516" s="800">
        <f t="shared" si="262"/>
        <v>24972.591967353623</v>
      </c>
      <c r="K516" s="800">
        <f t="shared" si="263"/>
        <v>26922.463837854408</v>
      </c>
      <c r="L516" s="800">
        <f t="shared" si="264"/>
        <v>27755.187760639838</v>
      </c>
      <c r="M516" s="800">
        <f t="shared" si="265"/>
        <v>29503.100000000002</v>
      </c>
      <c r="N516" s="800" t="s">
        <v>166</v>
      </c>
      <c r="O516" s="800" t="s">
        <v>188</v>
      </c>
    </row>
    <row r="517" spans="1:15">
      <c r="A517" s="137" t="s">
        <v>80</v>
      </c>
      <c r="B517" s="800">
        <f t="shared" si="253"/>
        <v>3455.9970311025768</v>
      </c>
      <c r="C517" s="800">
        <f t="shared" si="255"/>
        <v>5537.5470048436564</v>
      </c>
      <c r="D517" s="800">
        <f t="shared" si="256"/>
        <v>9700.1849567983245</v>
      </c>
      <c r="E517" s="800">
        <f t="shared" si="257"/>
        <v>12063.111508276159</v>
      </c>
      <c r="F517" s="800">
        <f t="shared" si="258"/>
        <v>13097.930619859446</v>
      </c>
      <c r="G517" s="800">
        <f t="shared" si="259"/>
        <v>13538.960207932156</v>
      </c>
      <c r="H517" s="800">
        <f t="shared" si="260"/>
        <v>15654.589347964537</v>
      </c>
      <c r="I517" s="800">
        <f t="shared" si="261"/>
        <v>17435.135691701376</v>
      </c>
      <c r="J517" s="800">
        <f t="shared" si="262"/>
        <v>18963.973138228444</v>
      </c>
      <c r="K517" s="800">
        <f t="shared" si="263"/>
        <v>20921.140242932932</v>
      </c>
      <c r="L517" s="800">
        <f t="shared" si="264"/>
        <v>22975.687835621546</v>
      </c>
      <c r="M517" s="800">
        <f t="shared" si="265"/>
        <v>25790.080000000002</v>
      </c>
      <c r="N517" s="800" t="s">
        <v>166</v>
      </c>
      <c r="O517" s="800" t="s">
        <v>188</v>
      </c>
    </row>
    <row r="518" spans="1:15">
      <c r="A518" s="137" t="s">
        <v>81</v>
      </c>
      <c r="B518" s="800">
        <f t="shared" si="253"/>
        <v>9151.0260307058234</v>
      </c>
      <c r="C518" s="800">
        <f t="shared" si="255"/>
        <v>17359.472533548811</v>
      </c>
      <c r="D518" s="800">
        <f t="shared" si="256"/>
        <v>27901.218688870042</v>
      </c>
      <c r="E518" s="800">
        <f t="shared" si="257"/>
        <v>33935.199292672834</v>
      </c>
      <c r="F518" s="800">
        <f t="shared" si="258"/>
        <v>40725.026381502546</v>
      </c>
      <c r="G518" s="800">
        <f t="shared" si="259"/>
        <v>45729.433918397663</v>
      </c>
      <c r="H518" s="800">
        <f t="shared" si="260"/>
        <v>54980.331071691144</v>
      </c>
      <c r="I518" s="800">
        <f t="shared" si="261"/>
        <v>66163.857903739219</v>
      </c>
      <c r="J518" s="800">
        <f t="shared" si="262"/>
        <v>71807.68669971927</v>
      </c>
      <c r="K518" s="800">
        <f t="shared" si="263"/>
        <v>80014.008195364688</v>
      </c>
      <c r="L518" s="800">
        <f t="shared" si="264"/>
        <v>88279.56558880466</v>
      </c>
      <c r="M518" s="800">
        <f t="shared" si="265"/>
        <v>99609.25</v>
      </c>
      <c r="N518" s="800" t="s">
        <v>166</v>
      </c>
      <c r="O518" s="800" t="s">
        <v>188</v>
      </c>
    </row>
    <row r="519" spans="1:15">
      <c r="A519" s="137" t="s">
        <v>82</v>
      </c>
      <c r="B519" s="800">
        <f t="shared" si="253"/>
        <v>7763.4719370208049</v>
      </c>
      <c r="C519" s="800">
        <f t="shared" si="255"/>
        <v>14269.067941477702</v>
      </c>
      <c r="D519" s="800">
        <f t="shared" si="256"/>
        <v>19052.509397627909</v>
      </c>
      <c r="E519" s="800">
        <f t="shared" si="257"/>
        <v>20822.168214241356</v>
      </c>
      <c r="F519" s="800">
        <f t="shared" si="258"/>
        <v>25156.143633535172</v>
      </c>
      <c r="G519" s="800">
        <f t="shared" si="259"/>
        <v>28506.595481044082</v>
      </c>
      <c r="H519" s="800">
        <f t="shared" si="260"/>
        <v>31415.361691032977</v>
      </c>
      <c r="I519" s="800">
        <f t="shared" si="261"/>
        <v>34812.553293551231</v>
      </c>
      <c r="J519" s="800">
        <f t="shared" si="262"/>
        <v>39973.308693485626</v>
      </c>
      <c r="K519" s="800">
        <f t="shared" si="263"/>
        <v>45428.551031384559</v>
      </c>
      <c r="L519" s="800">
        <f t="shared" si="264"/>
        <v>48314.654137424004</v>
      </c>
      <c r="M519" s="800">
        <f t="shared" si="265"/>
        <v>56778.33</v>
      </c>
      <c r="N519" s="800" t="s">
        <v>166</v>
      </c>
      <c r="O519" s="800" t="s">
        <v>188</v>
      </c>
    </row>
    <row r="520" spans="1:15">
      <c r="A520" s="137" t="s">
        <v>83</v>
      </c>
      <c r="B520" s="800">
        <f t="shared" si="253"/>
        <v>8723.4728731528285</v>
      </c>
      <c r="C520" s="800">
        <f t="shared" si="255"/>
        <v>17683.842359638984</v>
      </c>
      <c r="D520" s="800">
        <f t="shared" si="256"/>
        <v>22726.278829502902</v>
      </c>
      <c r="E520" s="800">
        <f t="shared" si="257"/>
        <v>28567.834564444944</v>
      </c>
      <c r="F520" s="800">
        <f t="shared" si="258"/>
        <v>32653.505497355814</v>
      </c>
      <c r="G520" s="800">
        <f t="shared" si="259"/>
        <v>38253.420341873411</v>
      </c>
      <c r="H520" s="800">
        <f t="shared" si="260"/>
        <v>43092.481408896041</v>
      </c>
      <c r="I520" s="800">
        <f t="shared" si="261"/>
        <v>50853.936952284646</v>
      </c>
      <c r="J520" s="800">
        <f t="shared" si="262"/>
        <v>54953.227761945054</v>
      </c>
      <c r="K520" s="800">
        <f t="shared" si="263"/>
        <v>57246.30630134009</v>
      </c>
      <c r="L520" s="800">
        <f t="shared" si="264"/>
        <v>59718.454193459431</v>
      </c>
      <c r="M520" s="800">
        <f t="shared" si="265"/>
        <v>65835.459999999992</v>
      </c>
      <c r="N520" s="800" t="s">
        <v>166</v>
      </c>
      <c r="O520" s="800" t="s">
        <v>188</v>
      </c>
    </row>
    <row r="521" spans="1:15">
      <c r="A521" s="137" t="s">
        <v>84</v>
      </c>
      <c r="B521" s="800">
        <f t="shared" si="253"/>
        <v>2148.757458971168</v>
      </c>
      <c r="C521" s="800">
        <f t="shared" si="255"/>
        <v>4070.9284394492179</v>
      </c>
      <c r="D521" s="800">
        <f t="shared" si="256"/>
        <v>5811.0841649390313</v>
      </c>
      <c r="E521" s="800">
        <f t="shared" si="257"/>
        <v>7023.7036554341721</v>
      </c>
      <c r="F521" s="800">
        <f t="shared" si="258"/>
        <v>7906.8354725514309</v>
      </c>
      <c r="G521" s="800">
        <f t="shared" si="259"/>
        <v>9019.7801759247213</v>
      </c>
      <c r="H521" s="800">
        <f t="shared" si="260"/>
        <v>10739.241675144449</v>
      </c>
      <c r="I521" s="800">
        <f t="shared" si="261"/>
        <v>12395.646221588144</v>
      </c>
      <c r="J521" s="800">
        <f t="shared" si="262"/>
        <v>14307.807136995614</v>
      </c>
      <c r="K521" s="800">
        <f t="shared" si="263"/>
        <v>16810.547850285358</v>
      </c>
      <c r="L521" s="800">
        <f t="shared" si="264"/>
        <v>18108.953163602313</v>
      </c>
      <c r="M521" s="800">
        <f t="shared" si="265"/>
        <v>20060.740000000002</v>
      </c>
      <c r="N521" s="800" t="s">
        <v>166</v>
      </c>
      <c r="O521" s="800" t="s">
        <v>188</v>
      </c>
    </row>
    <row r="522" spans="1:15">
      <c r="A522" s="137" t="s">
        <v>85</v>
      </c>
      <c r="B522" s="800">
        <f t="shared" si="253"/>
        <v>13152.689079442962</v>
      </c>
      <c r="C522" s="800">
        <f t="shared" si="255"/>
        <v>31039.445265758262</v>
      </c>
      <c r="D522" s="800">
        <f t="shared" si="256"/>
        <v>42356.288477511014</v>
      </c>
      <c r="E522" s="800">
        <f t="shared" si="257"/>
        <v>51036.74689178526</v>
      </c>
      <c r="F522" s="800">
        <f t="shared" si="258"/>
        <v>60383.422436254463</v>
      </c>
      <c r="G522" s="800">
        <f t="shared" si="259"/>
        <v>70604.600545903886</v>
      </c>
      <c r="H522" s="800">
        <f t="shared" si="260"/>
        <v>79588.230443438777</v>
      </c>
      <c r="I522" s="800">
        <f t="shared" si="261"/>
        <v>84975.067797659329</v>
      </c>
      <c r="J522" s="800">
        <f t="shared" si="262"/>
        <v>92219.732589581778</v>
      </c>
      <c r="K522" s="800">
        <f t="shared" si="263"/>
        <v>99655.523495643938</v>
      </c>
      <c r="L522" s="800">
        <f t="shared" si="264"/>
        <v>106972.77144922227</v>
      </c>
      <c r="M522" s="800">
        <f t="shared" si="265"/>
        <v>111529.82</v>
      </c>
      <c r="N522" s="800" t="s">
        <v>166</v>
      </c>
      <c r="O522" s="800" t="s">
        <v>188</v>
      </c>
    </row>
    <row r="523" spans="1:15">
      <c r="A523" s="137" t="s">
        <v>86</v>
      </c>
      <c r="B523" s="800">
        <f t="shared" si="253"/>
        <v>6768.7022007243932</v>
      </c>
      <c r="C523" s="800">
        <f t="shared" si="255"/>
        <v>11073.428654982043</v>
      </c>
      <c r="D523" s="800">
        <f t="shared" si="256"/>
        <v>17858.004683503092</v>
      </c>
      <c r="E523" s="800">
        <f t="shared" si="257"/>
        <v>20294.075246717377</v>
      </c>
      <c r="F523" s="800">
        <f t="shared" si="258"/>
        <v>22498.322886700786</v>
      </c>
      <c r="G523" s="800">
        <f t="shared" si="259"/>
        <v>25562.418455233328</v>
      </c>
      <c r="H523" s="800">
        <f t="shared" si="260"/>
        <v>31762.945556678569</v>
      </c>
      <c r="I523" s="800">
        <f t="shared" si="261"/>
        <v>35246.673312817453</v>
      </c>
      <c r="J523" s="800">
        <f t="shared" si="262"/>
        <v>39636.735133283968</v>
      </c>
      <c r="K523" s="800">
        <f t="shared" si="263"/>
        <v>43398.101912031503</v>
      </c>
      <c r="L523" s="800">
        <f t="shared" si="264"/>
        <v>47010.70236741985</v>
      </c>
      <c r="M523" s="800">
        <f t="shared" si="265"/>
        <v>50933.57</v>
      </c>
      <c r="N523" s="800" t="s">
        <v>166</v>
      </c>
      <c r="O523" s="800" t="s">
        <v>188</v>
      </c>
    </row>
    <row r="524" spans="1:15">
      <c r="A524" s="137" t="s">
        <v>87</v>
      </c>
      <c r="B524" s="800">
        <f t="shared" si="253"/>
        <v>6660.3627335449091</v>
      </c>
      <c r="C524" s="800">
        <f t="shared" si="255"/>
        <v>12517.827179027987</v>
      </c>
      <c r="D524" s="800">
        <f t="shared" si="256"/>
        <v>14739.93174025852</v>
      </c>
      <c r="E524" s="800">
        <f t="shared" si="257"/>
        <v>17929.904581157298</v>
      </c>
      <c r="F524" s="800">
        <f t="shared" si="258"/>
        <v>22164.753689815348</v>
      </c>
      <c r="G524" s="800">
        <f t="shared" si="259"/>
        <v>28161.251765681835</v>
      </c>
      <c r="H524" s="800">
        <f t="shared" si="260"/>
        <v>33011.758647772607</v>
      </c>
      <c r="I524" s="800">
        <f t="shared" si="261"/>
        <v>39020.364799729774</v>
      </c>
      <c r="J524" s="800">
        <f t="shared" si="262"/>
        <v>43158.222769052285</v>
      </c>
      <c r="K524" s="800">
        <f t="shared" si="263"/>
        <v>49794.58155701332</v>
      </c>
      <c r="L524" s="800">
        <f t="shared" si="264"/>
        <v>52970.458933706621</v>
      </c>
      <c r="M524" s="800">
        <f t="shared" si="265"/>
        <v>58593.32</v>
      </c>
      <c r="N524" s="800" t="s">
        <v>166</v>
      </c>
      <c r="O524" s="800" t="s">
        <v>188</v>
      </c>
    </row>
    <row r="525" spans="1:15">
      <c r="A525" s="137" t="s">
        <v>88</v>
      </c>
      <c r="B525" s="800">
        <f t="shared" si="253"/>
        <v>10077.727585687819</v>
      </c>
      <c r="C525" s="800">
        <f t="shared" si="255"/>
        <v>15372.237290201998</v>
      </c>
      <c r="D525" s="800">
        <f t="shared" si="256"/>
        <v>20633.338775597036</v>
      </c>
      <c r="E525" s="800">
        <f t="shared" si="257"/>
        <v>23798.274263531297</v>
      </c>
      <c r="F525" s="800">
        <f t="shared" si="258"/>
        <v>29685.627697364162</v>
      </c>
      <c r="G525" s="800">
        <f t="shared" si="259"/>
        <v>33422.668324834289</v>
      </c>
      <c r="H525" s="800">
        <f t="shared" si="260"/>
        <v>39170.565577089241</v>
      </c>
      <c r="I525" s="800">
        <f t="shared" si="261"/>
        <v>44202.916220890183</v>
      </c>
      <c r="J525" s="800">
        <f t="shared" si="262"/>
        <v>50368.836267432787</v>
      </c>
      <c r="K525" s="800">
        <f t="shared" si="263"/>
        <v>56142.000876776634</v>
      </c>
      <c r="L525" s="800">
        <f t="shared" si="264"/>
        <v>60286.687714707827</v>
      </c>
      <c r="M525" s="800">
        <f t="shared" si="265"/>
        <v>64930.83</v>
      </c>
      <c r="N525" s="800" t="s">
        <v>166</v>
      </c>
      <c r="O525" s="800" t="s">
        <v>188</v>
      </c>
    </row>
    <row r="526" spans="1:15">
      <c r="A526" s="137" t="s">
        <v>89</v>
      </c>
      <c r="B526" s="800">
        <f t="shared" si="253"/>
        <v>12055.517962127809</v>
      </c>
      <c r="C526" s="800">
        <f t="shared" si="255"/>
        <v>22710.94435394719</v>
      </c>
      <c r="D526" s="800">
        <f t="shared" si="256"/>
        <v>32914.678171853135</v>
      </c>
      <c r="E526" s="800">
        <f t="shared" si="257"/>
        <v>41813.119746262215</v>
      </c>
      <c r="F526" s="800">
        <f t="shared" si="258"/>
        <v>50149.204326089879</v>
      </c>
      <c r="G526" s="800">
        <f t="shared" si="259"/>
        <v>58143.611787810805</v>
      </c>
      <c r="H526" s="800">
        <f t="shared" si="260"/>
        <v>66199.927470436334</v>
      </c>
      <c r="I526" s="800">
        <f t="shared" si="261"/>
        <v>74171.024672602842</v>
      </c>
      <c r="J526" s="800">
        <f t="shared" si="262"/>
        <v>81679.353747047819</v>
      </c>
      <c r="K526" s="800">
        <f t="shared" si="263"/>
        <v>90910.458039180143</v>
      </c>
      <c r="L526" s="800">
        <f t="shared" si="264"/>
        <v>99758.996057909768</v>
      </c>
      <c r="M526" s="800">
        <f t="shared" si="265"/>
        <v>109991.88</v>
      </c>
      <c r="N526" s="800" t="s">
        <v>166</v>
      </c>
      <c r="O526" s="800" t="s">
        <v>188</v>
      </c>
    </row>
    <row r="527" spans="1:15">
      <c r="A527" s="137" t="s">
        <v>90</v>
      </c>
      <c r="B527" s="800">
        <f t="shared" si="253"/>
        <v>4101.2492656350814</v>
      </c>
      <c r="C527" s="800">
        <f t="shared" si="255"/>
        <v>12111.623492152599</v>
      </c>
      <c r="D527" s="800">
        <f t="shared" si="256"/>
        <v>17615.029591066963</v>
      </c>
      <c r="E527" s="800">
        <f t="shared" si="257"/>
        <v>21226.038275239349</v>
      </c>
      <c r="F527" s="800">
        <f t="shared" si="258"/>
        <v>23072.496455174962</v>
      </c>
      <c r="G527" s="800">
        <f t="shared" si="259"/>
        <v>25441.503010531051</v>
      </c>
      <c r="H527" s="800">
        <f t="shared" si="260"/>
        <v>28300.325149470325</v>
      </c>
      <c r="I527" s="800">
        <f t="shared" si="261"/>
        <v>31446.44872399732</v>
      </c>
      <c r="J527" s="800">
        <f t="shared" si="262"/>
        <v>33267.659293423909</v>
      </c>
      <c r="K527" s="800">
        <f t="shared" si="263"/>
        <v>34564.177074087485</v>
      </c>
      <c r="L527" s="800">
        <f t="shared" si="264"/>
        <v>36139.211353150924</v>
      </c>
      <c r="M527" s="800">
        <f t="shared" si="265"/>
        <v>38300.33</v>
      </c>
      <c r="N527" s="800" t="s">
        <v>166</v>
      </c>
      <c r="O527" s="800" t="s">
        <v>188</v>
      </c>
    </row>
    <row r="528" spans="1:15">
      <c r="A528" s="137" t="s">
        <v>91</v>
      </c>
      <c r="B528" s="800">
        <f t="shared" si="253"/>
        <v>3193.0495906773717</v>
      </c>
      <c r="C528" s="800">
        <f t="shared" si="255"/>
        <v>6667.7939886421282</v>
      </c>
      <c r="D528" s="800">
        <f t="shared" si="256"/>
        <v>8808.9008788263454</v>
      </c>
      <c r="E528" s="800">
        <f t="shared" si="257"/>
        <v>9704.1899851393919</v>
      </c>
      <c r="F528" s="800">
        <f t="shared" si="258"/>
        <v>12272.667640856984</v>
      </c>
      <c r="G528" s="800">
        <f t="shared" si="259"/>
        <v>14646.792526822337</v>
      </c>
      <c r="H528" s="800">
        <f t="shared" si="260"/>
        <v>16960.593523501684</v>
      </c>
      <c r="I528" s="800">
        <f t="shared" si="261"/>
        <v>19123.636477339882</v>
      </c>
      <c r="J528" s="800">
        <f t="shared" si="262"/>
        <v>20848.819644014544</v>
      </c>
      <c r="K528" s="800">
        <f t="shared" si="263"/>
        <v>23515.989479760887</v>
      </c>
      <c r="L528" s="800">
        <f t="shared" si="264"/>
        <v>26317.347150235888</v>
      </c>
      <c r="M528" s="800">
        <f t="shared" si="265"/>
        <v>28773.33</v>
      </c>
      <c r="N528" s="800" t="s">
        <v>166</v>
      </c>
      <c r="O528" s="800" t="s">
        <v>188</v>
      </c>
    </row>
    <row r="529" spans="1:15">
      <c r="A529" s="137" t="s">
        <v>92</v>
      </c>
      <c r="B529" s="800">
        <f t="shared" si="253"/>
        <v>24159.114187932439</v>
      </c>
      <c r="C529" s="800">
        <f t="shared" si="255"/>
        <v>43400.800119801839</v>
      </c>
      <c r="D529" s="800">
        <f t="shared" si="256"/>
        <v>61650.329766955139</v>
      </c>
      <c r="E529" s="800">
        <f t="shared" si="257"/>
        <v>78293.38590397955</v>
      </c>
      <c r="F529" s="800">
        <f t="shared" si="258"/>
        <v>92212.824016161234</v>
      </c>
      <c r="G529" s="800">
        <f t="shared" si="259"/>
        <v>106260.86435872962</v>
      </c>
      <c r="H529" s="800">
        <f t="shared" si="260"/>
        <v>119290.89039749464</v>
      </c>
      <c r="I529" s="800">
        <f t="shared" si="261"/>
        <v>133356.36144509909</v>
      </c>
      <c r="J529" s="800">
        <f t="shared" si="262"/>
        <v>145426.40209739163</v>
      </c>
      <c r="K529" s="800">
        <f t="shared" si="263"/>
        <v>158941.22768183897</v>
      </c>
      <c r="L529" s="800">
        <f t="shared" si="264"/>
        <v>168677.49023543097</v>
      </c>
      <c r="M529" s="800">
        <f t="shared" si="265"/>
        <v>185014.2</v>
      </c>
      <c r="N529" s="800" t="s">
        <v>166</v>
      </c>
      <c r="O529" s="800" t="s">
        <v>188</v>
      </c>
    </row>
    <row r="530" spans="1:15">
      <c r="A530" s="137" t="s">
        <v>93</v>
      </c>
      <c r="B530" s="800">
        <f t="shared" si="253"/>
        <v>4996.7100325373431</v>
      </c>
      <c r="C530" s="800">
        <f t="shared" si="255"/>
        <v>12168.143702712157</v>
      </c>
      <c r="D530" s="800">
        <f t="shared" si="256"/>
        <v>15598.084005197772</v>
      </c>
      <c r="E530" s="800">
        <f t="shared" si="257"/>
        <v>18050.824707293916</v>
      </c>
      <c r="F530" s="800">
        <f t="shared" si="258"/>
        <v>21666.965991842677</v>
      </c>
      <c r="G530" s="800">
        <f t="shared" si="259"/>
        <v>25343.87364619799</v>
      </c>
      <c r="H530" s="800">
        <f t="shared" si="260"/>
        <v>28581.953497952953</v>
      </c>
      <c r="I530" s="800">
        <f t="shared" si="261"/>
        <v>32138.782434021625</v>
      </c>
      <c r="J530" s="800">
        <f t="shared" si="262"/>
        <v>35337.056458209576</v>
      </c>
      <c r="K530" s="800">
        <f t="shared" si="263"/>
        <v>40673.741409205315</v>
      </c>
      <c r="L530" s="800">
        <f t="shared" si="264"/>
        <v>43596.384677784583</v>
      </c>
      <c r="M530" s="800">
        <f t="shared" si="265"/>
        <v>48179.87</v>
      </c>
      <c r="N530" s="800" t="s">
        <v>166</v>
      </c>
      <c r="O530" s="800" t="s">
        <v>188</v>
      </c>
    </row>
    <row r="531" spans="1:15">
      <c r="A531" s="137" t="s">
        <v>94</v>
      </c>
      <c r="B531" s="800">
        <f t="shared" si="253"/>
        <v>8213.9548198053435</v>
      </c>
      <c r="C531" s="800">
        <f t="shared" si="255"/>
        <v>11733.508976747344</v>
      </c>
      <c r="D531" s="800">
        <f t="shared" si="256"/>
        <v>14191.128604189063</v>
      </c>
      <c r="E531" s="800">
        <f t="shared" si="257"/>
        <v>16398.596227302751</v>
      </c>
      <c r="F531" s="800">
        <f t="shared" si="258"/>
        <v>19635.477242569992</v>
      </c>
      <c r="G531" s="800">
        <f t="shared" si="259"/>
        <v>24952.949903864679</v>
      </c>
      <c r="H531" s="800">
        <f t="shared" si="260"/>
        <v>28825.843649452683</v>
      </c>
      <c r="I531" s="800">
        <f t="shared" si="261"/>
        <v>32601.306200751125</v>
      </c>
      <c r="J531" s="800">
        <f t="shared" si="262"/>
        <v>34994.111498257269</v>
      </c>
      <c r="K531" s="800">
        <f t="shared" si="263"/>
        <v>37233.340584975645</v>
      </c>
      <c r="L531" s="800">
        <f t="shared" si="264"/>
        <v>40909.934916297279</v>
      </c>
      <c r="M531" s="800">
        <f t="shared" si="265"/>
        <v>45000</v>
      </c>
      <c r="N531" s="800" t="s">
        <v>166</v>
      </c>
      <c r="O531" s="800" t="s">
        <v>188</v>
      </c>
    </row>
    <row r="532" spans="1:15">
      <c r="A532" s="137" t="s">
        <v>95</v>
      </c>
      <c r="B532" s="800">
        <f t="shared" si="253"/>
        <v>22328.855146260466</v>
      </c>
      <c r="C532" s="800">
        <f t="shared" si="255"/>
        <v>43520.027524067162</v>
      </c>
      <c r="D532" s="800">
        <f t="shared" si="256"/>
        <v>60045.154545738624</v>
      </c>
      <c r="E532" s="800">
        <f t="shared" si="257"/>
        <v>71666.668855364638</v>
      </c>
      <c r="F532" s="800">
        <f t="shared" si="258"/>
        <v>84432.847546340534</v>
      </c>
      <c r="G532" s="800">
        <f t="shared" si="259"/>
        <v>103216.83954141711</v>
      </c>
      <c r="H532" s="800">
        <f t="shared" si="260"/>
        <v>128869.4068244738</v>
      </c>
      <c r="I532" s="800">
        <f t="shared" si="261"/>
        <v>154276.88691615826</v>
      </c>
      <c r="J532" s="800">
        <f t="shared" si="262"/>
        <v>173490.32842458595</v>
      </c>
      <c r="K532" s="800">
        <f t="shared" si="263"/>
        <v>194249.29526933405</v>
      </c>
      <c r="L532" s="800">
        <f t="shared" si="264"/>
        <v>207701.31893830962</v>
      </c>
      <c r="M532" s="800">
        <f t="shared" si="265"/>
        <v>227054.9</v>
      </c>
      <c r="N532" s="800" t="s">
        <v>166</v>
      </c>
      <c r="O532" s="800" t="s">
        <v>188</v>
      </c>
    </row>
    <row r="533" spans="1:15">
      <c r="A533" s="137" t="s">
        <v>96</v>
      </c>
      <c r="B533" s="800">
        <f t="shared" si="253"/>
        <v>4221.4152482697218</v>
      </c>
      <c r="C533" s="800">
        <f t="shared" si="255"/>
        <v>13046.555184139326</v>
      </c>
      <c r="D533" s="800">
        <f t="shared" si="256"/>
        <v>17767.813489975699</v>
      </c>
      <c r="E533" s="800">
        <f t="shared" si="257"/>
        <v>20887.224550926254</v>
      </c>
      <c r="F533" s="800">
        <f t="shared" si="258"/>
        <v>25469.369803431528</v>
      </c>
      <c r="G533" s="800">
        <f t="shared" si="259"/>
        <v>29230.13994930614</v>
      </c>
      <c r="H533" s="800">
        <f t="shared" si="260"/>
        <v>30795.620221155466</v>
      </c>
      <c r="I533" s="800">
        <f t="shared" si="261"/>
        <v>36085.146227791083</v>
      </c>
      <c r="J533" s="800">
        <f t="shared" si="262"/>
        <v>38509.657137433751</v>
      </c>
      <c r="K533" s="800">
        <f t="shared" si="263"/>
        <v>41668.101159271995</v>
      </c>
      <c r="L533" s="800">
        <f t="shared" si="264"/>
        <v>42988.567826347833</v>
      </c>
      <c r="M533" s="800">
        <f t="shared" si="265"/>
        <v>45000</v>
      </c>
      <c r="N533" s="800" t="s">
        <v>166</v>
      </c>
      <c r="O533" s="800" t="s">
        <v>188</v>
      </c>
    </row>
    <row r="534" spans="1:15">
      <c r="A534" s="137" t="s">
        <v>97</v>
      </c>
      <c r="B534" s="800">
        <f t="shared" si="253"/>
        <v>6885.2605961641029</v>
      </c>
      <c r="C534" s="800">
        <f t="shared" si="255"/>
        <v>11339.896598033558</v>
      </c>
      <c r="D534" s="800">
        <f t="shared" si="256"/>
        <v>16176.409547363866</v>
      </c>
      <c r="E534" s="800">
        <f t="shared" si="257"/>
        <v>20032.42112019124</v>
      </c>
      <c r="F534" s="800">
        <f t="shared" si="258"/>
        <v>22515.500280956774</v>
      </c>
      <c r="G534" s="800">
        <f t="shared" si="259"/>
        <v>25614.629823564464</v>
      </c>
      <c r="H534" s="800">
        <f t="shared" si="260"/>
        <v>28392.833974741599</v>
      </c>
      <c r="I534" s="800">
        <f t="shared" si="261"/>
        <v>31621.37171065716</v>
      </c>
      <c r="J534" s="800">
        <f t="shared" si="262"/>
        <v>34272.517348145622</v>
      </c>
      <c r="K534" s="800">
        <f t="shared" si="263"/>
        <v>37504.701533505977</v>
      </c>
      <c r="L534" s="800">
        <f t="shared" si="264"/>
        <v>40466.604162316813</v>
      </c>
      <c r="M534" s="800">
        <f t="shared" si="265"/>
        <v>45000</v>
      </c>
      <c r="N534" s="800" t="s">
        <v>166</v>
      </c>
      <c r="O534" s="800" t="s">
        <v>188</v>
      </c>
    </row>
    <row r="535" spans="1:15">
      <c r="A535" s="137" t="s">
        <v>98</v>
      </c>
      <c r="B535" s="800">
        <f t="shared" si="253"/>
        <v>2262.3605059185543</v>
      </c>
      <c r="C535" s="800">
        <f t="shared" si="255"/>
        <v>4994.518131763044</v>
      </c>
      <c r="D535" s="800">
        <f t="shared" si="256"/>
        <v>6941.5961807129243</v>
      </c>
      <c r="E535" s="800">
        <f t="shared" si="257"/>
        <v>8757.2520317715262</v>
      </c>
      <c r="F535" s="800">
        <f t="shared" si="258"/>
        <v>10295.946000440008</v>
      </c>
      <c r="G535" s="800">
        <f t="shared" si="259"/>
        <v>11422.459242362997</v>
      </c>
      <c r="H535" s="800">
        <f t="shared" si="260"/>
        <v>12848.777634182959</v>
      </c>
      <c r="I535" s="800">
        <f t="shared" si="261"/>
        <v>14505.815760562198</v>
      </c>
      <c r="J535" s="800">
        <f t="shared" si="262"/>
        <v>15648.929956039412</v>
      </c>
      <c r="K535" s="800">
        <f t="shared" si="263"/>
        <v>17480.88996703814</v>
      </c>
      <c r="L535" s="800">
        <f t="shared" si="264"/>
        <v>18231.44709873477</v>
      </c>
      <c r="M535" s="800">
        <f t="shared" si="265"/>
        <v>19144.309999999998</v>
      </c>
      <c r="N535" s="800" t="s">
        <v>166</v>
      </c>
      <c r="O535" s="800" t="s">
        <v>188</v>
      </c>
    </row>
    <row r="536" spans="1:15">
      <c r="A536" s="137" t="s">
        <v>99</v>
      </c>
      <c r="B536" s="800">
        <f t="shared" si="253"/>
        <v>0</v>
      </c>
      <c r="C536" s="800">
        <f t="shared" si="255"/>
        <v>1538.4506096274324</v>
      </c>
      <c r="D536" s="800">
        <f t="shared" si="256"/>
        <v>1729.2115267457752</v>
      </c>
      <c r="E536" s="800">
        <f t="shared" si="257"/>
        <v>2820.0324108995833</v>
      </c>
      <c r="F536" s="800">
        <f t="shared" si="258"/>
        <v>2820.0324108995833</v>
      </c>
      <c r="G536" s="800">
        <f t="shared" si="259"/>
        <v>3403.931059051512</v>
      </c>
      <c r="H536" s="800">
        <f t="shared" si="260"/>
        <v>3745.8487444839234</v>
      </c>
      <c r="I536" s="800">
        <f t="shared" si="261"/>
        <v>3825.3259899689906</v>
      </c>
      <c r="J536" s="800">
        <f t="shared" si="262"/>
        <v>4779.0529357897976</v>
      </c>
      <c r="K536" s="800">
        <f t="shared" si="263"/>
        <v>4837.1792442754577</v>
      </c>
      <c r="L536" s="800">
        <f t="shared" si="264"/>
        <v>5896.87</v>
      </c>
      <c r="M536" s="800">
        <f t="shared" si="265"/>
        <v>5896.87</v>
      </c>
      <c r="N536" s="800" t="s">
        <v>166</v>
      </c>
      <c r="O536" s="800" t="s">
        <v>188</v>
      </c>
    </row>
    <row r="537" spans="1:15">
      <c r="A537" s="137" t="s">
        <v>100</v>
      </c>
      <c r="B537" s="800">
        <f t="shared" si="253"/>
        <v>23239.704821683237</v>
      </c>
      <c r="C537" s="800">
        <f t="shared" si="255"/>
        <v>47414.791631773871</v>
      </c>
      <c r="D537" s="800">
        <f t="shared" si="256"/>
        <v>66631.956626909392</v>
      </c>
      <c r="E537" s="800">
        <f t="shared" si="257"/>
        <v>85290.590768726543</v>
      </c>
      <c r="F537" s="800">
        <f t="shared" si="258"/>
        <v>101847.93914191176</v>
      </c>
      <c r="G537" s="800">
        <f t="shared" si="259"/>
        <v>115670.60257544572</v>
      </c>
      <c r="H537" s="800">
        <f t="shared" si="260"/>
        <v>127155.07790119873</v>
      </c>
      <c r="I537" s="800">
        <f t="shared" si="261"/>
        <v>140344.70941026465</v>
      </c>
      <c r="J537" s="800">
        <f t="shared" si="262"/>
        <v>154244.97039126881</v>
      </c>
      <c r="K537" s="800">
        <f t="shared" si="263"/>
        <v>168709.35215100105</v>
      </c>
      <c r="L537" s="800">
        <f t="shared" si="264"/>
        <v>179329.7515972197</v>
      </c>
      <c r="M537" s="800">
        <f t="shared" si="265"/>
        <v>196070.56</v>
      </c>
      <c r="N537" s="800" t="s">
        <v>166</v>
      </c>
      <c r="O537" s="800" t="s">
        <v>188</v>
      </c>
    </row>
    <row r="538" spans="1:15">
      <c r="A538" s="137" t="s">
        <v>101</v>
      </c>
      <c r="B538" s="800">
        <f t="shared" si="253"/>
        <v>43516.885892802464</v>
      </c>
      <c r="C538" s="800">
        <f t="shared" si="255"/>
        <v>82915.648201266304</v>
      </c>
      <c r="D538" s="800">
        <f t="shared" si="256"/>
        <v>120232.50781932104</v>
      </c>
      <c r="E538" s="800">
        <f t="shared" si="257"/>
        <v>149795.43486533003</v>
      </c>
      <c r="F538" s="800">
        <f t="shared" si="258"/>
        <v>177850.99019108628</v>
      </c>
      <c r="G538" s="800">
        <f t="shared" si="259"/>
        <v>210103.32398324308</v>
      </c>
      <c r="H538" s="800">
        <f t="shared" si="260"/>
        <v>262838.70446972019</v>
      </c>
      <c r="I538" s="800">
        <f t="shared" si="261"/>
        <v>328426.74114711978</v>
      </c>
      <c r="J538" s="800">
        <f t="shared" si="262"/>
        <v>372829.61650086346</v>
      </c>
      <c r="K538" s="800">
        <f t="shared" si="263"/>
        <v>423658.31426413654</v>
      </c>
      <c r="L538" s="800">
        <f t="shared" si="264"/>
        <v>459551.48595986149</v>
      </c>
      <c r="M538" s="800">
        <f t="shared" si="265"/>
        <v>507349.61600000004</v>
      </c>
      <c r="N538" s="800" t="s">
        <v>166</v>
      </c>
      <c r="O538" s="800" t="s">
        <v>188</v>
      </c>
    </row>
    <row r="539" spans="1:15">
      <c r="A539" s="137" t="s">
        <v>102</v>
      </c>
      <c r="B539" s="800">
        <f t="shared" si="253"/>
        <v>7167.9700408115214</v>
      </c>
      <c r="C539" s="800">
        <f t="shared" si="255"/>
        <v>10219.927683145719</v>
      </c>
      <c r="D539" s="800">
        <f t="shared" si="256"/>
        <v>13359.079092514054</v>
      </c>
      <c r="E539" s="800">
        <f t="shared" si="257"/>
        <v>16327.200380952518</v>
      </c>
      <c r="F539" s="800">
        <f t="shared" si="258"/>
        <v>19125.889229072847</v>
      </c>
      <c r="G539" s="800">
        <f t="shared" si="259"/>
        <v>25112.259303620736</v>
      </c>
      <c r="H539" s="800">
        <f t="shared" si="260"/>
        <v>29634.938936681552</v>
      </c>
      <c r="I539" s="800">
        <f t="shared" si="261"/>
        <v>31685.181679032135</v>
      </c>
      <c r="J539" s="800">
        <f t="shared" si="262"/>
        <v>35554.585695001762</v>
      </c>
      <c r="K539" s="800">
        <f t="shared" si="263"/>
        <v>39588.80801352796</v>
      </c>
      <c r="L539" s="800">
        <f t="shared" si="264"/>
        <v>41958.581269444796</v>
      </c>
      <c r="M539" s="800">
        <f t="shared" si="265"/>
        <v>45000</v>
      </c>
      <c r="N539" s="800" t="s">
        <v>166</v>
      </c>
      <c r="O539" s="800" t="s">
        <v>188</v>
      </c>
    </row>
    <row r="540" spans="1:15">
      <c r="A540" s="137" t="s">
        <v>103</v>
      </c>
      <c r="B540" s="800">
        <f t="shared" si="253"/>
        <v>3964.4217840685983</v>
      </c>
      <c r="C540" s="800">
        <f t="shared" si="255"/>
        <v>8563.4956517040973</v>
      </c>
      <c r="D540" s="800">
        <f t="shared" si="256"/>
        <v>15164.184139518307</v>
      </c>
      <c r="E540" s="800">
        <f t="shared" si="257"/>
        <v>17728.362673818276</v>
      </c>
      <c r="F540" s="800">
        <f t="shared" si="258"/>
        <v>21690.07188871393</v>
      </c>
      <c r="G540" s="800">
        <f t="shared" si="259"/>
        <v>26754.175271211891</v>
      </c>
      <c r="H540" s="800">
        <f t="shared" si="260"/>
        <v>31193.044288155645</v>
      </c>
      <c r="I540" s="800">
        <f t="shared" si="261"/>
        <v>34798.803149549422</v>
      </c>
      <c r="J540" s="800">
        <f t="shared" si="262"/>
        <v>36948.671057141742</v>
      </c>
      <c r="K540" s="800">
        <f t="shared" si="263"/>
        <v>39774.087716989576</v>
      </c>
      <c r="L540" s="800">
        <f t="shared" si="264"/>
        <v>42045.929071192157</v>
      </c>
      <c r="M540" s="800">
        <f t="shared" si="265"/>
        <v>45000</v>
      </c>
      <c r="N540" s="800" t="s">
        <v>166</v>
      </c>
      <c r="O540" s="800" t="s">
        <v>188</v>
      </c>
    </row>
    <row r="541" spans="1:15">
      <c r="A541" s="137" t="s">
        <v>77</v>
      </c>
      <c r="B541" s="800">
        <f>B107</f>
        <v>781.81918543192512</v>
      </c>
      <c r="C541" s="800">
        <f t="shared" ref="C541:M541" si="266">C107</f>
        <v>1447.7356628492498</v>
      </c>
      <c r="D541" s="800">
        <f t="shared" si="266"/>
        <v>2562.5446264471439</v>
      </c>
      <c r="E541" s="800">
        <f t="shared" si="266"/>
        <v>3710.1719416310766</v>
      </c>
      <c r="F541" s="800">
        <f t="shared" si="266"/>
        <v>4915.1812951853644</v>
      </c>
      <c r="G541" s="800">
        <f t="shared" si="266"/>
        <v>5846.6250022495824</v>
      </c>
      <c r="H541" s="800">
        <f t="shared" si="266"/>
        <v>6417.7087620389793</v>
      </c>
      <c r="I541" s="800">
        <f t="shared" si="266"/>
        <v>7108.7530148748701</v>
      </c>
      <c r="J541" s="800">
        <f t="shared" si="266"/>
        <v>7895.0117166723503</v>
      </c>
      <c r="K541" s="800">
        <f t="shared" si="266"/>
        <v>9551.178361864273</v>
      </c>
      <c r="L541" s="800">
        <f t="shared" si="266"/>
        <v>10309.343919339883</v>
      </c>
      <c r="M541" s="800">
        <f t="shared" si="266"/>
        <v>10405.58</v>
      </c>
      <c r="N541" s="800" t="s">
        <v>214</v>
      </c>
      <c r="O541" s="800" t="s">
        <v>188</v>
      </c>
    </row>
    <row r="542" spans="1:15">
      <c r="A542" s="137" t="s">
        <v>78</v>
      </c>
      <c r="B542" s="800">
        <f t="shared" ref="B542:M542" si="267">B108</f>
        <v>3201.8241273969097</v>
      </c>
      <c r="C542" s="800">
        <f t="shared" si="267"/>
        <v>6123.2330434006635</v>
      </c>
      <c r="D542" s="800">
        <f t="shared" si="267"/>
        <v>7338.2970153581336</v>
      </c>
      <c r="E542" s="800">
        <f t="shared" si="267"/>
        <v>8940.4977875580371</v>
      </c>
      <c r="F542" s="800">
        <f t="shared" si="267"/>
        <v>10609.001760729303</v>
      </c>
      <c r="G542" s="800">
        <f t="shared" si="267"/>
        <v>11523.990118693086</v>
      </c>
      <c r="H542" s="800">
        <f t="shared" si="267"/>
        <v>13544.74211956949</v>
      </c>
      <c r="I542" s="800">
        <f t="shared" si="267"/>
        <v>15542.829480765859</v>
      </c>
      <c r="J542" s="800">
        <f t="shared" si="267"/>
        <v>17224.580742758932</v>
      </c>
      <c r="K542" s="800">
        <f t="shared" si="267"/>
        <v>19817.841399422483</v>
      </c>
      <c r="L542" s="800">
        <f t="shared" si="267"/>
        <v>21512.004394844549</v>
      </c>
      <c r="M542" s="800">
        <f t="shared" si="267"/>
        <v>22976.79</v>
      </c>
      <c r="N542" s="800" t="s">
        <v>214</v>
      </c>
      <c r="O542" s="800" t="s">
        <v>188</v>
      </c>
    </row>
    <row r="543" spans="1:15">
      <c r="A543" s="137" t="s">
        <v>79</v>
      </c>
      <c r="B543" s="800">
        <f t="shared" ref="B543:M543" si="268">B109</f>
        <v>4038.6271668318786</v>
      </c>
      <c r="C543" s="800">
        <f t="shared" si="268"/>
        <v>5886.8881263014919</v>
      </c>
      <c r="D543" s="800">
        <f t="shared" si="268"/>
        <v>9151.4928549658598</v>
      </c>
      <c r="E543" s="800">
        <f t="shared" si="268"/>
        <v>10852.960756751039</v>
      </c>
      <c r="F543" s="800">
        <f t="shared" si="268"/>
        <v>13134.294567972909</v>
      </c>
      <c r="G543" s="800">
        <f t="shared" si="268"/>
        <v>14737.514039124648</v>
      </c>
      <c r="H543" s="800">
        <f t="shared" si="268"/>
        <v>18317.674578233073</v>
      </c>
      <c r="I543" s="800">
        <f t="shared" si="268"/>
        <v>19569.026532823089</v>
      </c>
      <c r="J543" s="800">
        <f t="shared" si="268"/>
        <v>21829.744828353876</v>
      </c>
      <c r="K543" s="800">
        <f t="shared" si="268"/>
        <v>23534.22169790199</v>
      </c>
      <c r="L543" s="800">
        <f t="shared" si="268"/>
        <v>24262.145766442249</v>
      </c>
      <c r="M543" s="800">
        <f t="shared" si="268"/>
        <v>25790.080000000002</v>
      </c>
      <c r="N543" s="800" t="s">
        <v>214</v>
      </c>
      <c r="O543" s="800" t="s">
        <v>188</v>
      </c>
    </row>
    <row r="544" spans="1:15">
      <c r="A544" s="137" t="s">
        <v>80</v>
      </c>
      <c r="B544" s="800">
        <f t="shared" ref="B544:M544" si="269">B110</f>
        <v>3953.5598962206568</v>
      </c>
      <c r="C544" s="800">
        <f t="shared" si="269"/>
        <v>6334.792410050798</v>
      </c>
      <c r="D544" s="800">
        <f t="shared" si="269"/>
        <v>11096.728928290127</v>
      </c>
      <c r="E544" s="800">
        <f t="shared" si="269"/>
        <v>13799.848047769621</v>
      </c>
      <c r="F544" s="800">
        <f t="shared" si="269"/>
        <v>14983.650956909603</v>
      </c>
      <c r="G544" s="800">
        <f t="shared" si="269"/>
        <v>15488.175954112712</v>
      </c>
      <c r="H544" s="800">
        <f t="shared" si="269"/>
        <v>17908.39404111707</v>
      </c>
      <c r="I544" s="800">
        <f t="shared" si="269"/>
        <v>19945.287173433928</v>
      </c>
      <c r="J544" s="800">
        <f t="shared" si="269"/>
        <v>21694.232662111463</v>
      </c>
      <c r="K544" s="800">
        <f t="shared" si="269"/>
        <v>23933.174798266413</v>
      </c>
      <c r="L544" s="800">
        <f t="shared" si="269"/>
        <v>26283.517375018848</v>
      </c>
      <c r="M544" s="800">
        <f t="shared" si="269"/>
        <v>29503.100000000002</v>
      </c>
      <c r="N544" s="800" t="s">
        <v>214</v>
      </c>
      <c r="O544" s="800" t="s">
        <v>188</v>
      </c>
    </row>
    <row r="545" spans="1:15">
      <c r="A545" s="137" t="s">
        <v>81</v>
      </c>
      <c r="B545" s="800">
        <f t="shared" ref="B545:M545" si="270">B111</f>
        <v>9151.0260307058234</v>
      </c>
      <c r="C545" s="800">
        <f t="shared" si="270"/>
        <v>17359.472533548811</v>
      </c>
      <c r="D545" s="800">
        <f t="shared" si="270"/>
        <v>27901.218688870042</v>
      </c>
      <c r="E545" s="800">
        <f t="shared" si="270"/>
        <v>33935.199292672834</v>
      </c>
      <c r="F545" s="800">
        <f t="shared" si="270"/>
        <v>40725.026381502546</v>
      </c>
      <c r="G545" s="800">
        <f t="shared" si="270"/>
        <v>45729.433918397663</v>
      </c>
      <c r="H545" s="800">
        <f t="shared" si="270"/>
        <v>54980.331071691144</v>
      </c>
      <c r="I545" s="800">
        <f t="shared" si="270"/>
        <v>66163.857903739219</v>
      </c>
      <c r="J545" s="800">
        <f t="shared" si="270"/>
        <v>71807.68669971927</v>
      </c>
      <c r="K545" s="800">
        <f t="shared" si="270"/>
        <v>80014.008195364688</v>
      </c>
      <c r="L545" s="800">
        <f t="shared" si="270"/>
        <v>88279.56558880466</v>
      </c>
      <c r="M545" s="800">
        <f t="shared" si="270"/>
        <v>99609.25</v>
      </c>
      <c r="N545" s="800" t="s">
        <v>214</v>
      </c>
      <c r="O545" s="800" t="s">
        <v>188</v>
      </c>
    </row>
    <row r="546" spans="1:15">
      <c r="A546" s="137" t="s">
        <v>82</v>
      </c>
      <c r="B546" s="800">
        <f t="shared" ref="B546:M546" si="271">B112</f>
        <v>7763.4719370208049</v>
      </c>
      <c r="C546" s="800">
        <f t="shared" si="271"/>
        <v>14269.067941477702</v>
      </c>
      <c r="D546" s="800">
        <f t="shared" si="271"/>
        <v>19052.509397627909</v>
      </c>
      <c r="E546" s="800">
        <f t="shared" si="271"/>
        <v>20822.168214241356</v>
      </c>
      <c r="F546" s="800">
        <f t="shared" si="271"/>
        <v>25156.143633535172</v>
      </c>
      <c r="G546" s="800">
        <f t="shared" si="271"/>
        <v>28506.595481044082</v>
      </c>
      <c r="H546" s="800">
        <f t="shared" si="271"/>
        <v>31415.361691032977</v>
      </c>
      <c r="I546" s="800">
        <f t="shared" si="271"/>
        <v>34812.553293551231</v>
      </c>
      <c r="J546" s="800">
        <f t="shared" si="271"/>
        <v>39973.308693485626</v>
      </c>
      <c r="K546" s="800">
        <f t="shared" si="271"/>
        <v>45428.551031384559</v>
      </c>
      <c r="L546" s="800">
        <f t="shared" si="271"/>
        <v>48314.654137424004</v>
      </c>
      <c r="M546" s="800">
        <f t="shared" si="271"/>
        <v>56778.33</v>
      </c>
      <c r="N546" s="800" t="s">
        <v>214</v>
      </c>
      <c r="O546" s="800" t="s">
        <v>188</v>
      </c>
    </row>
    <row r="547" spans="1:15">
      <c r="A547" s="137" t="s">
        <v>83</v>
      </c>
      <c r="B547" s="800">
        <f t="shared" ref="B547:M547" si="272">B113</f>
        <v>8723.4728731528285</v>
      </c>
      <c r="C547" s="800">
        <f t="shared" si="272"/>
        <v>17683.842359638984</v>
      </c>
      <c r="D547" s="800">
        <f t="shared" si="272"/>
        <v>22726.278829502902</v>
      </c>
      <c r="E547" s="800">
        <f t="shared" si="272"/>
        <v>28567.834564444944</v>
      </c>
      <c r="F547" s="800">
        <f t="shared" si="272"/>
        <v>32653.505497355814</v>
      </c>
      <c r="G547" s="800">
        <f t="shared" si="272"/>
        <v>38253.420341873411</v>
      </c>
      <c r="H547" s="800">
        <f t="shared" si="272"/>
        <v>43092.481408896041</v>
      </c>
      <c r="I547" s="800">
        <f t="shared" si="272"/>
        <v>50853.936952284646</v>
      </c>
      <c r="J547" s="800">
        <f t="shared" si="272"/>
        <v>54953.227761945054</v>
      </c>
      <c r="K547" s="800">
        <f t="shared" si="272"/>
        <v>57246.30630134009</v>
      </c>
      <c r="L547" s="800">
        <f t="shared" si="272"/>
        <v>59718.454193459431</v>
      </c>
      <c r="M547" s="800">
        <f t="shared" si="272"/>
        <v>65835.459999999992</v>
      </c>
      <c r="N547" s="800" t="s">
        <v>214</v>
      </c>
      <c r="O547" s="800" t="s">
        <v>188</v>
      </c>
    </row>
    <row r="548" spans="1:15">
      <c r="A548" s="137" t="s">
        <v>84</v>
      </c>
      <c r="B548" s="800">
        <f t="shared" ref="B548:M548" si="273">B114</f>
        <v>2148.757458971168</v>
      </c>
      <c r="C548" s="800">
        <f t="shared" si="273"/>
        <v>4070.9284394492179</v>
      </c>
      <c r="D548" s="800">
        <f t="shared" si="273"/>
        <v>5811.0841649390313</v>
      </c>
      <c r="E548" s="800">
        <f t="shared" si="273"/>
        <v>7023.7036554341721</v>
      </c>
      <c r="F548" s="800">
        <f t="shared" si="273"/>
        <v>7906.8354725514309</v>
      </c>
      <c r="G548" s="800">
        <f t="shared" si="273"/>
        <v>9019.7801759247213</v>
      </c>
      <c r="H548" s="800">
        <f t="shared" si="273"/>
        <v>10739.241675144449</v>
      </c>
      <c r="I548" s="800">
        <f t="shared" si="273"/>
        <v>12395.646221588144</v>
      </c>
      <c r="J548" s="800">
        <f t="shared" si="273"/>
        <v>14307.807136995614</v>
      </c>
      <c r="K548" s="800">
        <f t="shared" si="273"/>
        <v>16810.547850285358</v>
      </c>
      <c r="L548" s="800">
        <f t="shared" si="273"/>
        <v>18108.953163602313</v>
      </c>
      <c r="M548" s="800">
        <f t="shared" si="273"/>
        <v>20060.740000000002</v>
      </c>
      <c r="N548" s="800" t="s">
        <v>214</v>
      </c>
      <c r="O548" s="800" t="s">
        <v>188</v>
      </c>
    </row>
    <row r="549" spans="1:15">
      <c r="A549" s="137" t="s">
        <v>85</v>
      </c>
      <c r="B549" s="800">
        <f t="shared" ref="B549:M549" si="274">B115</f>
        <v>13152.689079442962</v>
      </c>
      <c r="C549" s="800">
        <f t="shared" si="274"/>
        <v>31039.445265758262</v>
      </c>
      <c r="D549" s="800">
        <f t="shared" si="274"/>
        <v>42356.288477511014</v>
      </c>
      <c r="E549" s="800">
        <f t="shared" si="274"/>
        <v>51036.74689178526</v>
      </c>
      <c r="F549" s="800">
        <f t="shared" si="274"/>
        <v>60383.422436254463</v>
      </c>
      <c r="G549" s="800">
        <f t="shared" si="274"/>
        <v>70604.600545903886</v>
      </c>
      <c r="H549" s="800">
        <f t="shared" si="274"/>
        <v>79588.230443438777</v>
      </c>
      <c r="I549" s="800">
        <f t="shared" si="274"/>
        <v>84975.067797659329</v>
      </c>
      <c r="J549" s="800">
        <f t="shared" si="274"/>
        <v>92219.732589581778</v>
      </c>
      <c r="K549" s="800">
        <f t="shared" si="274"/>
        <v>99655.523495643938</v>
      </c>
      <c r="L549" s="800">
        <f t="shared" si="274"/>
        <v>106972.77144922227</v>
      </c>
      <c r="M549" s="800">
        <f t="shared" si="274"/>
        <v>111529.82</v>
      </c>
      <c r="N549" s="800" t="s">
        <v>214</v>
      </c>
      <c r="O549" s="800" t="s">
        <v>188</v>
      </c>
    </row>
    <row r="550" spans="1:15">
      <c r="A550" s="137" t="s">
        <v>86</v>
      </c>
      <c r="B550" s="800">
        <f t="shared" ref="B550:M550" si="275">B116</f>
        <v>6768.7022007243932</v>
      </c>
      <c r="C550" s="800">
        <f t="shared" si="275"/>
        <v>11073.428654982043</v>
      </c>
      <c r="D550" s="800">
        <f t="shared" si="275"/>
        <v>17858.004683503092</v>
      </c>
      <c r="E550" s="800">
        <f t="shared" si="275"/>
        <v>20294.075246717377</v>
      </c>
      <c r="F550" s="800">
        <f t="shared" si="275"/>
        <v>22498.322886700786</v>
      </c>
      <c r="G550" s="800">
        <f t="shared" si="275"/>
        <v>25562.418455233328</v>
      </c>
      <c r="H550" s="800">
        <f t="shared" si="275"/>
        <v>31762.945556678569</v>
      </c>
      <c r="I550" s="800">
        <f t="shared" si="275"/>
        <v>35246.673312817453</v>
      </c>
      <c r="J550" s="800">
        <f t="shared" si="275"/>
        <v>39636.735133283968</v>
      </c>
      <c r="K550" s="800">
        <f t="shared" si="275"/>
        <v>43398.101912031503</v>
      </c>
      <c r="L550" s="800">
        <f t="shared" si="275"/>
        <v>47010.70236741985</v>
      </c>
      <c r="M550" s="800">
        <f t="shared" si="275"/>
        <v>50933.57</v>
      </c>
      <c r="N550" s="800" t="s">
        <v>214</v>
      </c>
      <c r="O550" s="800" t="s">
        <v>188</v>
      </c>
    </row>
    <row r="551" spans="1:15">
      <c r="A551" s="137" t="s">
        <v>87</v>
      </c>
      <c r="B551" s="800">
        <f t="shared" ref="B551:M551" si="276">B117</f>
        <v>12502.889724366936</v>
      </c>
      <c r="C551" s="800">
        <f t="shared" si="276"/>
        <v>23498.571935100877</v>
      </c>
      <c r="D551" s="800">
        <f t="shared" si="276"/>
        <v>27669.925568011957</v>
      </c>
      <c r="E551" s="800">
        <f t="shared" si="276"/>
        <v>33658.169789697931</v>
      </c>
      <c r="F551" s="800">
        <f t="shared" si="276"/>
        <v>41607.864652143406</v>
      </c>
      <c r="G551" s="800">
        <f t="shared" si="276"/>
        <v>52864.541979540751</v>
      </c>
      <c r="H551" s="800">
        <f t="shared" si="276"/>
        <v>61969.954864731459</v>
      </c>
      <c r="I551" s="800">
        <f t="shared" si="276"/>
        <v>73249.361575826406</v>
      </c>
      <c r="J551" s="800">
        <f t="shared" si="276"/>
        <v>81016.983844350631</v>
      </c>
      <c r="K551" s="800">
        <f t="shared" si="276"/>
        <v>93474.813157356897</v>
      </c>
      <c r="L551" s="800">
        <f t="shared" si="276"/>
        <v>99436.597253427302</v>
      </c>
      <c r="M551" s="800">
        <f t="shared" si="276"/>
        <v>109991.88</v>
      </c>
      <c r="N551" s="800" t="s">
        <v>214</v>
      </c>
      <c r="O551" s="800" t="s">
        <v>188</v>
      </c>
    </row>
    <row r="552" spans="1:15">
      <c r="A552" s="137" t="s">
        <v>88</v>
      </c>
      <c r="B552" s="800">
        <f t="shared" ref="B552:M552" si="277">B118</f>
        <v>10077.727585687819</v>
      </c>
      <c r="C552" s="800">
        <f t="shared" si="277"/>
        <v>15372.237290201998</v>
      </c>
      <c r="D552" s="800">
        <f t="shared" si="277"/>
        <v>20633.338775597036</v>
      </c>
      <c r="E552" s="800">
        <f t="shared" si="277"/>
        <v>23798.274263531297</v>
      </c>
      <c r="F552" s="800">
        <f t="shared" si="277"/>
        <v>29685.627697364162</v>
      </c>
      <c r="G552" s="800">
        <f t="shared" si="277"/>
        <v>33422.668324834289</v>
      </c>
      <c r="H552" s="800">
        <f t="shared" si="277"/>
        <v>39170.565577089241</v>
      </c>
      <c r="I552" s="800">
        <f t="shared" si="277"/>
        <v>44202.916220890183</v>
      </c>
      <c r="J552" s="800">
        <f t="shared" si="277"/>
        <v>50368.836267432787</v>
      </c>
      <c r="K552" s="800">
        <f t="shared" si="277"/>
        <v>56142.000876776634</v>
      </c>
      <c r="L552" s="800">
        <f t="shared" si="277"/>
        <v>60286.687714707827</v>
      </c>
      <c r="M552" s="800">
        <f t="shared" si="277"/>
        <v>64930.83</v>
      </c>
      <c r="N552" s="800" t="s">
        <v>214</v>
      </c>
      <c r="O552" s="800" t="s">
        <v>188</v>
      </c>
    </row>
    <row r="553" spans="1:15">
      <c r="A553" s="137" t="s">
        <v>89</v>
      </c>
      <c r="B553" s="800">
        <f t="shared" ref="B553:M553" si="278">B119</f>
        <v>6422.045170249864</v>
      </c>
      <c r="C553" s="800">
        <f t="shared" si="278"/>
        <v>12098.2533440925</v>
      </c>
      <c r="D553" s="800">
        <f t="shared" si="278"/>
        <v>17533.842232903062</v>
      </c>
      <c r="E553" s="800">
        <f t="shared" si="278"/>
        <v>22274.094283060353</v>
      </c>
      <c r="F553" s="800">
        <f t="shared" si="278"/>
        <v>26714.775461824713</v>
      </c>
      <c r="G553" s="800">
        <f t="shared" si="278"/>
        <v>30973.443234527589</v>
      </c>
      <c r="H553" s="800">
        <f t="shared" si="278"/>
        <v>35265.089879835366</v>
      </c>
      <c r="I553" s="800">
        <f t="shared" si="278"/>
        <v>39511.340140469583</v>
      </c>
      <c r="J553" s="800">
        <f t="shared" si="278"/>
        <v>43511.071103557566</v>
      </c>
      <c r="K553" s="800">
        <f t="shared" si="278"/>
        <v>48428.534535788043</v>
      </c>
      <c r="L553" s="800">
        <f t="shared" si="278"/>
        <v>53142.202668959246</v>
      </c>
      <c r="M553" s="800">
        <f t="shared" si="278"/>
        <v>58593.32</v>
      </c>
      <c r="N553" s="800" t="s">
        <v>214</v>
      </c>
      <c r="O553" s="800" t="s">
        <v>188</v>
      </c>
    </row>
    <row r="554" spans="1:15">
      <c r="A554" s="137" t="s">
        <v>90</v>
      </c>
      <c r="B554" s="800">
        <f t="shared" ref="B554:M554" si="279">B120</f>
        <v>4101.2492656350814</v>
      </c>
      <c r="C554" s="800">
        <f t="shared" si="279"/>
        <v>12111.623492152599</v>
      </c>
      <c r="D554" s="800">
        <f t="shared" si="279"/>
        <v>17615.029591066963</v>
      </c>
      <c r="E554" s="800">
        <f t="shared" si="279"/>
        <v>21226.038275239349</v>
      </c>
      <c r="F554" s="800">
        <f t="shared" si="279"/>
        <v>23072.496455174962</v>
      </c>
      <c r="G554" s="800">
        <f t="shared" si="279"/>
        <v>25441.503010531051</v>
      </c>
      <c r="H554" s="800">
        <f t="shared" si="279"/>
        <v>28300.325149470325</v>
      </c>
      <c r="I554" s="800">
        <f t="shared" si="279"/>
        <v>31446.44872399732</v>
      </c>
      <c r="J554" s="800">
        <f t="shared" si="279"/>
        <v>33267.659293423909</v>
      </c>
      <c r="K554" s="800">
        <f t="shared" si="279"/>
        <v>34564.177074087485</v>
      </c>
      <c r="L554" s="800">
        <f t="shared" si="279"/>
        <v>36139.211353150924</v>
      </c>
      <c r="M554" s="800">
        <f t="shared" si="279"/>
        <v>38300.33</v>
      </c>
      <c r="N554" s="800" t="s">
        <v>214</v>
      </c>
      <c r="O554" s="800" t="s">
        <v>188</v>
      </c>
    </row>
    <row r="555" spans="1:15">
      <c r="A555" s="137" t="s">
        <v>91</v>
      </c>
      <c r="B555" s="800">
        <f t="shared" ref="B555:M555" si="280">B121</f>
        <v>3193.0495906773717</v>
      </c>
      <c r="C555" s="800">
        <f t="shared" si="280"/>
        <v>6667.7939886421282</v>
      </c>
      <c r="D555" s="800">
        <f t="shared" si="280"/>
        <v>8808.9008788263454</v>
      </c>
      <c r="E555" s="800">
        <f t="shared" si="280"/>
        <v>9704.1899851393919</v>
      </c>
      <c r="F555" s="800">
        <f t="shared" si="280"/>
        <v>12272.667640856984</v>
      </c>
      <c r="G555" s="800">
        <f t="shared" si="280"/>
        <v>14646.792526822337</v>
      </c>
      <c r="H555" s="800">
        <f t="shared" si="280"/>
        <v>16960.593523501684</v>
      </c>
      <c r="I555" s="800">
        <f t="shared" si="280"/>
        <v>19123.636477339882</v>
      </c>
      <c r="J555" s="800">
        <f t="shared" si="280"/>
        <v>20848.819644014544</v>
      </c>
      <c r="K555" s="800">
        <f t="shared" si="280"/>
        <v>23515.989479760887</v>
      </c>
      <c r="L555" s="800">
        <f t="shared" si="280"/>
        <v>26317.347150235888</v>
      </c>
      <c r="M555" s="800">
        <f t="shared" si="280"/>
        <v>28773.33</v>
      </c>
      <c r="N555" s="800" t="s">
        <v>214</v>
      </c>
      <c r="O555" s="800" t="s">
        <v>188</v>
      </c>
    </row>
    <row r="556" spans="1:15">
      <c r="A556" s="137" t="s">
        <v>92</v>
      </c>
      <c r="B556" s="800">
        <f t="shared" ref="B556:M556" si="281">B122</f>
        <v>6291.3169956129877</v>
      </c>
      <c r="C556" s="800">
        <f t="shared" si="281"/>
        <v>11302.077936007274</v>
      </c>
      <c r="D556" s="800">
        <f t="shared" si="281"/>
        <v>16054.469730588402</v>
      </c>
      <c r="E556" s="800">
        <f t="shared" si="281"/>
        <v>20388.51696093363</v>
      </c>
      <c r="F556" s="800">
        <f t="shared" si="281"/>
        <v>24013.302078605459</v>
      </c>
      <c r="G556" s="800">
        <f t="shared" si="281"/>
        <v>27671.57672703623</v>
      </c>
      <c r="H556" s="800">
        <f t="shared" si="281"/>
        <v>31064.748497874974</v>
      </c>
      <c r="I556" s="800">
        <f t="shared" si="281"/>
        <v>34727.562306557476</v>
      </c>
      <c r="J556" s="800">
        <f t="shared" si="281"/>
        <v>37870.74261121609</v>
      </c>
      <c r="K556" s="800">
        <f t="shared" si="281"/>
        <v>41390.161875960883</v>
      </c>
      <c r="L556" s="800">
        <f t="shared" si="281"/>
        <v>43925.598961967968</v>
      </c>
      <c r="M556" s="800">
        <f t="shared" si="281"/>
        <v>48179.87</v>
      </c>
      <c r="N556" s="800" t="s">
        <v>214</v>
      </c>
      <c r="O556" s="800" t="s">
        <v>188</v>
      </c>
    </row>
    <row r="557" spans="1:15">
      <c r="A557" s="137" t="s">
        <v>93</v>
      </c>
      <c r="B557" s="800">
        <f t="shared" ref="B557:M557" si="282">B123</f>
        <v>4666.9273176573624</v>
      </c>
      <c r="C557" s="800">
        <f t="shared" si="282"/>
        <v>11365.046576963512</v>
      </c>
      <c r="D557" s="800">
        <f t="shared" si="282"/>
        <v>14568.610920575329</v>
      </c>
      <c r="E557" s="800">
        <f t="shared" si="282"/>
        <v>16859.470808622482</v>
      </c>
      <c r="F557" s="800">
        <f t="shared" si="282"/>
        <v>20236.946874969162</v>
      </c>
      <c r="G557" s="800">
        <f t="shared" si="282"/>
        <v>23671.17873250612</v>
      </c>
      <c r="H557" s="800">
        <f t="shared" si="282"/>
        <v>26695.545409480823</v>
      </c>
      <c r="I557" s="800">
        <f t="shared" si="282"/>
        <v>30017.623740598989</v>
      </c>
      <c r="J557" s="800">
        <f t="shared" si="282"/>
        <v>33004.811773452915</v>
      </c>
      <c r="K557" s="800">
        <f t="shared" si="282"/>
        <v>37989.275674970464</v>
      </c>
      <c r="L557" s="800">
        <f t="shared" si="282"/>
        <v>40719.024573962241</v>
      </c>
      <c r="M557" s="800">
        <f t="shared" si="282"/>
        <v>45000</v>
      </c>
      <c r="N557" s="800" t="s">
        <v>214</v>
      </c>
      <c r="O557" s="800" t="s">
        <v>188</v>
      </c>
    </row>
    <row r="558" spans="1:15">
      <c r="A558" s="137" t="s">
        <v>94</v>
      </c>
      <c r="B558" s="800">
        <f t="shared" ref="B558:M558" si="283">B124</f>
        <v>33771.072884942885</v>
      </c>
      <c r="C558" s="800">
        <f t="shared" si="283"/>
        <v>48241.461700571745</v>
      </c>
      <c r="D558" s="800">
        <f t="shared" si="283"/>
        <v>58345.784573359029</v>
      </c>
      <c r="E558" s="800">
        <f t="shared" si="283"/>
        <v>67421.625824831921</v>
      </c>
      <c r="F558" s="800">
        <f t="shared" si="283"/>
        <v>80729.824747828738</v>
      </c>
      <c r="G558" s="800">
        <f t="shared" si="283"/>
        <v>102592.22364674669</v>
      </c>
      <c r="H558" s="800">
        <f t="shared" si="283"/>
        <v>118515.34226952375</v>
      </c>
      <c r="I558" s="800">
        <f t="shared" si="283"/>
        <v>134037.87968193355</v>
      </c>
      <c r="J558" s="800">
        <f t="shared" si="283"/>
        <v>143875.72319024155</v>
      </c>
      <c r="K558" s="800">
        <f t="shared" si="283"/>
        <v>153082.14937015114</v>
      </c>
      <c r="L558" s="800">
        <f t="shared" si="283"/>
        <v>168198.19734646243</v>
      </c>
      <c r="M558" s="800">
        <f t="shared" si="283"/>
        <v>185014.2</v>
      </c>
      <c r="N558" s="800" t="s">
        <v>214</v>
      </c>
      <c r="O558" s="800" t="s">
        <v>188</v>
      </c>
    </row>
    <row r="559" spans="1:15">
      <c r="A559" s="137" t="s">
        <v>95</v>
      </c>
      <c r="B559" s="800">
        <f t="shared" ref="B559:M559" si="284">B125</f>
        <v>22328.855146260466</v>
      </c>
      <c r="C559" s="800">
        <f t="shared" si="284"/>
        <v>43520.027524067162</v>
      </c>
      <c r="D559" s="800">
        <f t="shared" si="284"/>
        <v>60045.154545738624</v>
      </c>
      <c r="E559" s="800">
        <f t="shared" si="284"/>
        <v>71666.668855364638</v>
      </c>
      <c r="F559" s="800">
        <f t="shared" si="284"/>
        <v>84432.847546340534</v>
      </c>
      <c r="G559" s="800">
        <f t="shared" si="284"/>
        <v>103216.83954141711</v>
      </c>
      <c r="H559" s="800">
        <f t="shared" si="284"/>
        <v>128869.4068244738</v>
      </c>
      <c r="I559" s="800">
        <f t="shared" si="284"/>
        <v>154276.88691615826</v>
      </c>
      <c r="J559" s="800">
        <f t="shared" si="284"/>
        <v>173490.32842458595</v>
      </c>
      <c r="K559" s="800">
        <f t="shared" si="284"/>
        <v>194249.29526933405</v>
      </c>
      <c r="L559" s="800">
        <f t="shared" si="284"/>
        <v>207701.31893830962</v>
      </c>
      <c r="M559" s="800">
        <f t="shared" si="284"/>
        <v>227054.9</v>
      </c>
      <c r="N559" s="800" t="s">
        <v>214</v>
      </c>
      <c r="O559" s="800" t="s">
        <v>188</v>
      </c>
    </row>
    <row r="560" spans="1:15">
      <c r="A560" s="137" t="s">
        <v>96</v>
      </c>
      <c r="B560" s="800">
        <f t="shared" ref="B560:M560" si="285">B126</f>
        <v>4221.4152482697218</v>
      </c>
      <c r="C560" s="800">
        <f t="shared" si="285"/>
        <v>13046.555184139326</v>
      </c>
      <c r="D560" s="800">
        <f t="shared" si="285"/>
        <v>17767.813489975699</v>
      </c>
      <c r="E560" s="800">
        <f t="shared" si="285"/>
        <v>20887.224550926254</v>
      </c>
      <c r="F560" s="800">
        <f t="shared" si="285"/>
        <v>25469.369803431528</v>
      </c>
      <c r="G560" s="800">
        <f t="shared" si="285"/>
        <v>29230.13994930614</v>
      </c>
      <c r="H560" s="800">
        <f t="shared" si="285"/>
        <v>30795.620221155466</v>
      </c>
      <c r="I560" s="800">
        <f t="shared" si="285"/>
        <v>36085.146227791083</v>
      </c>
      <c r="J560" s="800">
        <f t="shared" si="285"/>
        <v>38509.657137433751</v>
      </c>
      <c r="K560" s="800">
        <f t="shared" si="285"/>
        <v>41668.101159271995</v>
      </c>
      <c r="L560" s="800">
        <f t="shared" si="285"/>
        <v>42988.567826347833</v>
      </c>
      <c r="M560" s="800">
        <f t="shared" si="285"/>
        <v>45000</v>
      </c>
      <c r="N560" s="800" t="s">
        <v>214</v>
      </c>
      <c r="O560" s="800" t="s">
        <v>188</v>
      </c>
    </row>
    <row r="561" spans="1:15">
      <c r="A561" s="137" t="s">
        <v>97</v>
      </c>
      <c r="B561" s="800">
        <f t="shared" ref="B561:M561" si="286">B127</f>
        <v>2929.190295194453</v>
      </c>
      <c r="C561" s="800">
        <f t="shared" si="286"/>
        <v>4824.3221297933287</v>
      </c>
      <c r="D561" s="800">
        <f t="shared" si="286"/>
        <v>6881.9155347043006</v>
      </c>
      <c r="E561" s="800">
        <f t="shared" si="286"/>
        <v>8522.3751105664069</v>
      </c>
      <c r="F561" s="800">
        <f t="shared" si="286"/>
        <v>9578.7492707494112</v>
      </c>
      <c r="G561" s="800">
        <f t="shared" si="286"/>
        <v>10897.209197279186</v>
      </c>
      <c r="H561" s="800">
        <f t="shared" si="286"/>
        <v>12079.138119799674</v>
      </c>
      <c r="I561" s="800">
        <f t="shared" si="286"/>
        <v>13452.652058978909</v>
      </c>
      <c r="J561" s="800">
        <f t="shared" si="286"/>
        <v>14580.526590961726</v>
      </c>
      <c r="K561" s="800">
        <f t="shared" si="286"/>
        <v>15955.591835886971</v>
      </c>
      <c r="L561" s="800">
        <f t="shared" si="286"/>
        <v>17215.671438459627</v>
      </c>
      <c r="M561" s="800">
        <f t="shared" si="286"/>
        <v>19144.309999999998</v>
      </c>
      <c r="N561" s="800" t="s">
        <v>214</v>
      </c>
      <c r="O561" s="800" t="s">
        <v>188</v>
      </c>
    </row>
    <row r="562" spans="1:15">
      <c r="A562" s="137" t="s">
        <v>98</v>
      </c>
      <c r="B562" s="800">
        <f t="shared" ref="B562:M562" si="287">B128</f>
        <v>696.85696671940366</v>
      </c>
      <c r="C562" s="800">
        <f t="shared" si="287"/>
        <v>1538.4218149230526</v>
      </c>
      <c r="D562" s="800">
        <f t="shared" si="287"/>
        <v>2138.1648265286462</v>
      </c>
      <c r="E562" s="800">
        <f t="shared" si="287"/>
        <v>2697.426900660957</v>
      </c>
      <c r="F562" s="800">
        <f t="shared" si="287"/>
        <v>3171.3786023948987</v>
      </c>
      <c r="G562" s="800">
        <f t="shared" si="287"/>
        <v>3518.3695433532516</v>
      </c>
      <c r="H562" s="800">
        <f t="shared" si="287"/>
        <v>3957.7070872590589</v>
      </c>
      <c r="I562" s="800">
        <f t="shared" si="287"/>
        <v>4468.1114014548666</v>
      </c>
      <c r="J562" s="800">
        <f t="shared" si="287"/>
        <v>4820.2158024953696</v>
      </c>
      <c r="K562" s="800">
        <f t="shared" si="287"/>
        <v>5384.4999177263744</v>
      </c>
      <c r="L562" s="800">
        <f t="shared" si="287"/>
        <v>5615.6880792839293</v>
      </c>
      <c r="M562" s="800">
        <f t="shared" si="287"/>
        <v>5896.87</v>
      </c>
      <c r="N562" s="800" t="s">
        <v>214</v>
      </c>
      <c r="O562" s="800" t="s">
        <v>188</v>
      </c>
    </row>
    <row r="563" spans="1:15">
      <c r="A563" s="137" t="s">
        <v>99</v>
      </c>
      <c r="B563" s="800">
        <f t="shared" ref="B563:M563" si="288">B129</f>
        <v>0</v>
      </c>
      <c r="C563" s="800">
        <f t="shared" si="288"/>
        <v>11740.173589248951</v>
      </c>
      <c r="D563" s="800">
        <f t="shared" si="288"/>
        <v>13195.902013027231</v>
      </c>
      <c r="E563" s="800">
        <f t="shared" si="288"/>
        <v>21520.138393839654</v>
      </c>
      <c r="F563" s="800">
        <f t="shared" si="288"/>
        <v>21520.138393839654</v>
      </c>
      <c r="G563" s="800">
        <f t="shared" si="288"/>
        <v>25975.966513984204</v>
      </c>
      <c r="H563" s="800">
        <f t="shared" si="288"/>
        <v>28585.197486425262</v>
      </c>
      <c r="I563" s="800">
        <f t="shared" si="288"/>
        <v>29191.701622827801</v>
      </c>
      <c r="J563" s="800">
        <f t="shared" si="288"/>
        <v>36469.751259658246</v>
      </c>
      <c r="K563" s="800">
        <f t="shared" si="288"/>
        <v>36913.322829296827</v>
      </c>
      <c r="L563" s="800">
        <f t="shared" si="288"/>
        <v>45000</v>
      </c>
      <c r="M563" s="800">
        <f t="shared" si="288"/>
        <v>45000</v>
      </c>
      <c r="N563" s="800" t="s">
        <v>214</v>
      </c>
      <c r="O563" s="800" t="s">
        <v>188</v>
      </c>
    </row>
    <row r="564" spans="1:15">
      <c r="A564" s="137" t="s">
        <v>100</v>
      </c>
      <c r="B564" s="800">
        <f t="shared" ref="B564:M564" si="289">B130</f>
        <v>23239.704821683237</v>
      </c>
      <c r="C564" s="800">
        <f t="shared" si="289"/>
        <v>47414.791631773871</v>
      </c>
      <c r="D564" s="800">
        <f t="shared" si="289"/>
        <v>66631.956626909392</v>
      </c>
      <c r="E564" s="800">
        <f t="shared" si="289"/>
        <v>85290.590768726543</v>
      </c>
      <c r="F564" s="800">
        <f t="shared" si="289"/>
        <v>101847.93914191176</v>
      </c>
      <c r="G564" s="800">
        <f t="shared" si="289"/>
        <v>115670.60257544572</v>
      </c>
      <c r="H564" s="800">
        <f t="shared" si="289"/>
        <v>127155.07790119873</v>
      </c>
      <c r="I564" s="800">
        <f t="shared" si="289"/>
        <v>140344.70941026465</v>
      </c>
      <c r="J564" s="800">
        <f t="shared" si="289"/>
        <v>154244.97039126881</v>
      </c>
      <c r="K564" s="800">
        <f t="shared" si="289"/>
        <v>168709.35215100105</v>
      </c>
      <c r="L564" s="800">
        <f t="shared" si="289"/>
        <v>179329.7515972197</v>
      </c>
      <c r="M564" s="800">
        <f t="shared" si="289"/>
        <v>196070.56</v>
      </c>
      <c r="N564" s="800" t="s">
        <v>214</v>
      </c>
      <c r="O564" s="800" t="s">
        <v>188</v>
      </c>
    </row>
    <row r="565" spans="1:15">
      <c r="A565" s="137" t="s">
        <v>101</v>
      </c>
      <c r="B565" s="800">
        <f t="shared" ref="B565:M565" si="290">B131</f>
        <v>3859.7838717514878</v>
      </c>
      <c r="C565" s="800">
        <f t="shared" si="290"/>
        <v>7354.3056925403944</v>
      </c>
      <c r="D565" s="800">
        <f t="shared" si="290"/>
        <v>10664.170586204693</v>
      </c>
      <c r="E565" s="800">
        <f t="shared" si="290"/>
        <v>13286.290866020583</v>
      </c>
      <c r="F565" s="800">
        <f t="shared" si="290"/>
        <v>15774.712951786058</v>
      </c>
      <c r="G565" s="800">
        <f t="shared" si="290"/>
        <v>18635.373480298324</v>
      </c>
      <c r="H565" s="800">
        <f t="shared" si="290"/>
        <v>23312.803100924011</v>
      </c>
      <c r="I565" s="800">
        <f t="shared" si="290"/>
        <v>29130.214915980916</v>
      </c>
      <c r="J565" s="800">
        <f t="shared" si="290"/>
        <v>33068.582715826582</v>
      </c>
      <c r="K565" s="800">
        <f t="shared" si="290"/>
        <v>37576.896760450378</v>
      </c>
      <c r="L565" s="800">
        <f t="shared" si="290"/>
        <v>40760.485897743863</v>
      </c>
      <c r="M565" s="800">
        <f t="shared" si="290"/>
        <v>45000</v>
      </c>
      <c r="N565" s="800" t="s">
        <v>214</v>
      </c>
      <c r="O565" s="800" t="s">
        <v>188</v>
      </c>
    </row>
    <row r="566" spans="1:15">
      <c r="A566" s="137" t="s">
        <v>102</v>
      </c>
      <c r="B566" s="800">
        <f t="shared" ref="B566:M566" si="291">B132</f>
        <v>80814.818837893996</v>
      </c>
      <c r="C566" s="800">
        <f t="shared" si="291"/>
        <v>115223.91967981667</v>
      </c>
      <c r="D566" s="800">
        <f t="shared" si="291"/>
        <v>150616.08106001408</v>
      </c>
      <c r="E566" s="800">
        <f t="shared" si="291"/>
        <v>184079.9743029181</v>
      </c>
      <c r="F566" s="800">
        <f t="shared" si="291"/>
        <v>215633.61235619214</v>
      </c>
      <c r="G566" s="800">
        <f t="shared" si="291"/>
        <v>283126.55810187577</v>
      </c>
      <c r="H566" s="800">
        <f t="shared" si="291"/>
        <v>334117.21977130749</v>
      </c>
      <c r="I566" s="800">
        <f t="shared" si="291"/>
        <v>357232.5501721598</v>
      </c>
      <c r="J566" s="800">
        <f t="shared" si="291"/>
        <v>400857.89776440535</v>
      </c>
      <c r="K566" s="800">
        <f t="shared" si="291"/>
        <v>446341.478745803</v>
      </c>
      <c r="L566" s="800">
        <f t="shared" si="291"/>
        <v>473059.33544350247</v>
      </c>
      <c r="M566" s="800">
        <f t="shared" si="291"/>
        <v>507349.61600000004</v>
      </c>
      <c r="N566" s="800" t="s">
        <v>214</v>
      </c>
      <c r="O566" s="800" t="s">
        <v>188</v>
      </c>
    </row>
    <row r="567" spans="1:15">
      <c r="A567" s="137" t="s">
        <v>103</v>
      </c>
      <c r="B567" s="800">
        <f t="shared" ref="B567:M567" si="292">B133</f>
        <v>3964.4217840685983</v>
      </c>
      <c r="C567" s="800">
        <f t="shared" si="292"/>
        <v>8563.4956517040973</v>
      </c>
      <c r="D567" s="800">
        <f t="shared" si="292"/>
        <v>15164.184139518307</v>
      </c>
      <c r="E567" s="800">
        <f t="shared" si="292"/>
        <v>17728.362673818276</v>
      </c>
      <c r="F567" s="800">
        <f t="shared" si="292"/>
        <v>21690.07188871393</v>
      </c>
      <c r="G567" s="800">
        <f t="shared" si="292"/>
        <v>26754.175271211891</v>
      </c>
      <c r="H567" s="800">
        <f t="shared" si="292"/>
        <v>31193.044288155645</v>
      </c>
      <c r="I567" s="800">
        <f t="shared" si="292"/>
        <v>34798.803149549422</v>
      </c>
      <c r="J567" s="800">
        <f t="shared" si="292"/>
        <v>36948.671057141742</v>
      </c>
      <c r="K567" s="800">
        <f t="shared" si="292"/>
        <v>39774.087716989576</v>
      </c>
      <c r="L567" s="800">
        <f t="shared" si="292"/>
        <v>42045.929071192157</v>
      </c>
      <c r="M567" s="800">
        <f t="shared" si="292"/>
        <v>45000</v>
      </c>
      <c r="N567" s="800" t="s">
        <v>214</v>
      </c>
      <c r="O567" s="800" t="s">
        <v>188</v>
      </c>
    </row>
    <row r="568" spans="1:15">
      <c r="A568" s="137" t="s">
        <v>77</v>
      </c>
      <c r="B568" s="800">
        <f t="shared" ref="B568:B594" si="293">AF143</f>
        <v>15506.807999999999</v>
      </c>
      <c r="C568" s="800">
        <f t="shared" ref="C568:M568" si="294">AG143</f>
        <v>16757.471999999998</v>
      </c>
      <c r="D568" s="800">
        <f t="shared" si="294"/>
        <v>23390.088</v>
      </c>
      <c r="E568" s="800">
        <f t="shared" si="294"/>
        <v>17042.592000000001</v>
      </c>
      <c r="F568" s="800">
        <f t="shared" si="294"/>
        <v>23998.752000000004</v>
      </c>
      <c r="G568" s="800">
        <f t="shared" si="294"/>
        <v>28868.064000000002</v>
      </c>
      <c r="H568" s="800">
        <f t="shared" si="294"/>
        <v>25216.080000000002</v>
      </c>
      <c r="I568" s="800">
        <f t="shared" si="294"/>
        <v>24520.464000000004</v>
      </c>
      <c r="J568" s="800">
        <f t="shared" si="294"/>
        <v>23911.8</v>
      </c>
      <c r="K568" s="800">
        <f t="shared" si="294"/>
        <v>0</v>
      </c>
      <c r="L568" s="800">
        <f t="shared" si="294"/>
        <v>0</v>
      </c>
      <c r="M568" s="800">
        <f t="shared" si="294"/>
        <v>0</v>
      </c>
      <c r="N568" s="800" t="s">
        <v>167</v>
      </c>
      <c r="O568" s="800" t="s">
        <v>28</v>
      </c>
    </row>
    <row r="569" spans="1:15">
      <c r="A569" s="137" t="s">
        <v>78</v>
      </c>
      <c r="B569" s="800">
        <f t="shared" si="293"/>
        <v>53341.103999999999</v>
      </c>
      <c r="C569" s="800">
        <f t="shared" ref="C569:C594" si="295">AG144</f>
        <v>67188.12000000001</v>
      </c>
      <c r="D569" s="800">
        <f t="shared" ref="D569:D594" si="296">AH144</f>
        <v>75822.144</v>
      </c>
      <c r="E569" s="800">
        <f t="shared" ref="E569:E594" si="297">AI144</f>
        <v>74430.911999999997</v>
      </c>
      <c r="F569" s="800">
        <f t="shared" ref="F569:F594" si="298">AJ144</f>
        <v>71213.687999999995</v>
      </c>
      <c r="G569" s="800">
        <f t="shared" ref="G569:G594" si="299">AK144</f>
        <v>55301.472000000002</v>
      </c>
      <c r="H569" s="800">
        <f t="shared" ref="H569:H594" si="300">AL144</f>
        <v>57040.512000000002</v>
      </c>
      <c r="I569" s="800">
        <f t="shared" ref="I569:I594" si="301">AM144</f>
        <v>76169.952000000005</v>
      </c>
      <c r="J569" s="800">
        <f t="shared" ref="J569:J594" si="302">AN144</f>
        <v>75387.384000000005</v>
      </c>
      <c r="K569" s="800">
        <f t="shared" ref="K569:K594" si="303">AO144</f>
        <v>0</v>
      </c>
      <c r="L569" s="800">
        <f t="shared" ref="L569:L594" si="304">AP144</f>
        <v>0</v>
      </c>
      <c r="M569" s="800">
        <f t="shared" ref="M569:M594" si="305">AQ144</f>
        <v>0</v>
      </c>
      <c r="N569" s="800" t="s">
        <v>167</v>
      </c>
      <c r="O569" s="800" t="s">
        <v>28</v>
      </c>
    </row>
    <row r="570" spans="1:15">
      <c r="A570" s="137" t="s">
        <v>79</v>
      </c>
      <c r="B570" s="800">
        <f t="shared" si="293"/>
        <v>23195.016</v>
      </c>
      <c r="C570" s="800">
        <f t="shared" si="295"/>
        <v>20607.624</v>
      </c>
      <c r="D570" s="800">
        <f t="shared" si="296"/>
        <v>33737.375999999997</v>
      </c>
      <c r="E570" s="800">
        <f t="shared" si="297"/>
        <v>26930.856000000003</v>
      </c>
      <c r="F570" s="800">
        <f t="shared" si="298"/>
        <v>31389.672000000002</v>
      </c>
      <c r="G570" s="800">
        <f t="shared" si="299"/>
        <v>38154.536</v>
      </c>
      <c r="H570" s="800">
        <f t="shared" si="300"/>
        <v>32780.904000000002</v>
      </c>
      <c r="I570" s="800">
        <f t="shared" si="301"/>
        <v>35893.784</v>
      </c>
      <c r="J570" s="800">
        <f t="shared" si="302"/>
        <v>37998.023999999998</v>
      </c>
      <c r="K570" s="800">
        <f t="shared" si="303"/>
        <v>0</v>
      </c>
      <c r="L570" s="800">
        <f t="shared" si="304"/>
        <v>0</v>
      </c>
      <c r="M570" s="800">
        <f t="shared" si="305"/>
        <v>0</v>
      </c>
      <c r="N570" s="800" t="s">
        <v>167</v>
      </c>
      <c r="O570" s="800" t="s">
        <v>28</v>
      </c>
    </row>
    <row r="571" spans="1:15">
      <c r="A571" s="137" t="s">
        <v>80</v>
      </c>
      <c r="B571" s="800">
        <f t="shared" si="293"/>
        <v>42826.44</v>
      </c>
      <c r="C571" s="800">
        <f t="shared" si="295"/>
        <v>54171.096000000005</v>
      </c>
      <c r="D571" s="800">
        <f t="shared" si="296"/>
        <v>66605.232000000004</v>
      </c>
      <c r="E571" s="800">
        <f t="shared" si="297"/>
        <v>57736.127999999997</v>
      </c>
      <c r="F571" s="800">
        <f t="shared" si="298"/>
        <v>65214</v>
      </c>
      <c r="G571" s="800">
        <f t="shared" si="299"/>
        <v>67474.752000000008</v>
      </c>
      <c r="H571" s="800">
        <f t="shared" si="300"/>
        <v>59909.928000000007</v>
      </c>
      <c r="I571" s="800">
        <f t="shared" si="301"/>
        <v>72778.824000000008</v>
      </c>
      <c r="J571" s="800">
        <f t="shared" si="302"/>
        <v>57562.224000000002</v>
      </c>
      <c r="K571" s="800">
        <f t="shared" si="303"/>
        <v>0</v>
      </c>
      <c r="L571" s="800">
        <f t="shared" si="304"/>
        <v>0</v>
      </c>
      <c r="M571" s="800">
        <f t="shared" si="305"/>
        <v>0</v>
      </c>
      <c r="N571" s="800" t="s">
        <v>167</v>
      </c>
      <c r="O571" s="800" t="s">
        <v>28</v>
      </c>
    </row>
    <row r="572" spans="1:15">
      <c r="A572" s="137" t="s">
        <v>81</v>
      </c>
      <c r="B572" s="800">
        <f t="shared" si="293"/>
        <v>140790.07200000001</v>
      </c>
      <c r="C572" s="800">
        <f t="shared" si="295"/>
        <v>185468.61600000001</v>
      </c>
      <c r="D572" s="800">
        <f t="shared" si="296"/>
        <v>223205.78400000001</v>
      </c>
      <c r="E572" s="800">
        <f t="shared" si="297"/>
        <v>179990.64</v>
      </c>
      <c r="F572" s="800">
        <f t="shared" si="298"/>
        <v>243639.50400000002</v>
      </c>
      <c r="G572" s="800">
        <f t="shared" si="299"/>
        <v>179468.92800000001</v>
      </c>
      <c r="H572" s="800">
        <f t="shared" si="300"/>
        <v>194859.432</v>
      </c>
      <c r="I572" s="800">
        <f t="shared" si="301"/>
        <v>233292.21600000001</v>
      </c>
      <c r="J572" s="800">
        <f t="shared" si="302"/>
        <v>195728.95199999999</v>
      </c>
      <c r="K572" s="800">
        <f t="shared" si="303"/>
        <v>0</v>
      </c>
      <c r="L572" s="800">
        <f t="shared" si="304"/>
        <v>0</v>
      </c>
      <c r="M572" s="800">
        <f t="shared" si="305"/>
        <v>0</v>
      </c>
      <c r="N572" s="800" t="s">
        <v>167</v>
      </c>
      <c r="O572" s="800" t="s">
        <v>28</v>
      </c>
    </row>
    <row r="573" spans="1:15">
      <c r="A573" s="137" t="s">
        <v>82</v>
      </c>
      <c r="B573" s="800">
        <f t="shared" si="293"/>
        <v>92425.512000000002</v>
      </c>
      <c r="C573" s="800">
        <f t="shared" si="295"/>
        <v>109385.61599999999</v>
      </c>
      <c r="D573" s="800">
        <f t="shared" si="296"/>
        <v>118950.336</v>
      </c>
      <c r="E573" s="800">
        <f t="shared" si="297"/>
        <v>101472.98400000001</v>
      </c>
      <c r="F573" s="800">
        <f t="shared" si="298"/>
        <v>138253.68</v>
      </c>
      <c r="G573" s="800">
        <f t="shared" si="299"/>
        <v>139036.24799999999</v>
      </c>
      <c r="H573" s="800">
        <f t="shared" si="300"/>
        <v>134253.88800000001</v>
      </c>
      <c r="I573" s="800">
        <f t="shared" si="301"/>
        <v>146340.21600000001</v>
      </c>
      <c r="J573" s="800">
        <f t="shared" si="302"/>
        <v>137471.11199999999</v>
      </c>
      <c r="K573" s="800">
        <f t="shared" si="303"/>
        <v>0</v>
      </c>
      <c r="L573" s="800">
        <f t="shared" si="304"/>
        <v>0</v>
      </c>
      <c r="M573" s="800">
        <f t="shared" si="305"/>
        <v>0</v>
      </c>
      <c r="N573" s="800" t="s">
        <v>167</v>
      </c>
      <c r="O573" s="800" t="s">
        <v>28</v>
      </c>
    </row>
    <row r="574" spans="1:15">
      <c r="A574" s="137" t="s">
        <v>83</v>
      </c>
      <c r="B574" s="800">
        <f t="shared" si="293"/>
        <v>109392.84</v>
      </c>
      <c r="C574" s="800">
        <f t="shared" si="295"/>
        <v>123037.08</v>
      </c>
      <c r="D574" s="800">
        <f t="shared" si="296"/>
        <v>145122.88800000001</v>
      </c>
      <c r="E574" s="800">
        <f t="shared" si="297"/>
        <v>129471.52800000001</v>
      </c>
      <c r="F574" s="800">
        <f t="shared" si="298"/>
        <v>161035.10399999999</v>
      </c>
      <c r="G574" s="800">
        <f t="shared" si="299"/>
        <v>135645.12</v>
      </c>
      <c r="H574" s="800">
        <f t="shared" si="300"/>
        <v>133558.272</v>
      </c>
      <c r="I574" s="800">
        <f t="shared" si="301"/>
        <v>140949.19200000001</v>
      </c>
      <c r="J574" s="800">
        <f t="shared" si="302"/>
        <v>129558.48000000001</v>
      </c>
      <c r="K574" s="800">
        <f t="shared" si="303"/>
        <v>0</v>
      </c>
      <c r="L574" s="800">
        <f t="shared" si="304"/>
        <v>0</v>
      </c>
      <c r="M574" s="800">
        <f t="shared" si="305"/>
        <v>0</v>
      </c>
      <c r="N574" s="800" t="s">
        <v>167</v>
      </c>
      <c r="O574" s="800" t="s">
        <v>28</v>
      </c>
    </row>
    <row r="575" spans="1:15">
      <c r="A575" s="137" t="s">
        <v>84</v>
      </c>
      <c r="B575" s="800">
        <f t="shared" si="293"/>
        <v>95610.432000000001</v>
      </c>
      <c r="C575" s="800">
        <f t="shared" si="295"/>
        <v>113211.504</v>
      </c>
      <c r="D575" s="800">
        <f t="shared" si="296"/>
        <v>146079.35999999999</v>
      </c>
      <c r="E575" s="800">
        <f t="shared" si="297"/>
        <v>119124.24000000002</v>
      </c>
      <c r="F575" s="800">
        <f t="shared" si="298"/>
        <v>143122.99200000003</v>
      </c>
      <c r="G575" s="800">
        <f t="shared" si="299"/>
        <v>137210.25599999999</v>
      </c>
      <c r="H575" s="800">
        <f t="shared" si="300"/>
        <v>142862.136</v>
      </c>
      <c r="I575" s="800">
        <f t="shared" si="301"/>
        <v>146427.16800000001</v>
      </c>
      <c r="J575" s="800">
        <f t="shared" si="302"/>
        <v>139818.81599999999</v>
      </c>
      <c r="K575" s="800">
        <f t="shared" si="303"/>
        <v>0</v>
      </c>
      <c r="L575" s="800">
        <f t="shared" si="304"/>
        <v>0</v>
      </c>
      <c r="M575" s="800">
        <f t="shared" si="305"/>
        <v>0</v>
      </c>
      <c r="N575" s="800" t="s">
        <v>167</v>
      </c>
      <c r="O575" s="800" t="s">
        <v>28</v>
      </c>
    </row>
    <row r="576" spans="1:15">
      <c r="A576" s="137" t="s">
        <v>85</v>
      </c>
      <c r="B576" s="800">
        <f t="shared" si="293"/>
        <v>169030.92</v>
      </c>
      <c r="C576" s="800">
        <f t="shared" si="295"/>
        <v>212423.736</v>
      </c>
      <c r="D576" s="800">
        <f t="shared" si="296"/>
        <v>301027.82400000002</v>
      </c>
      <c r="E576" s="800">
        <f t="shared" si="297"/>
        <v>231379.272</v>
      </c>
      <c r="F576" s="800">
        <f t="shared" si="298"/>
        <v>275985.64800000004</v>
      </c>
      <c r="G576" s="800">
        <f t="shared" si="299"/>
        <v>259725.62400000004</v>
      </c>
      <c r="H576" s="800">
        <f t="shared" si="300"/>
        <v>241900.46400000001</v>
      </c>
      <c r="I576" s="800">
        <f t="shared" si="301"/>
        <v>278333.35200000007</v>
      </c>
      <c r="J576" s="800">
        <f t="shared" si="302"/>
        <v>245291.592</v>
      </c>
      <c r="K576" s="800">
        <f t="shared" si="303"/>
        <v>0</v>
      </c>
      <c r="L576" s="800">
        <f t="shared" si="304"/>
        <v>0</v>
      </c>
      <c r="M576" s="800">
        <f t="shared" si="305"/>
        <v>0</v>
      </c>
      <c r="N576" s="800" t="s">
        <v>167</v>
      </c>
      <c r="O576" s="800" t="s">
        <v>28</v>
      </c>
    </row>
    <row r="577" spans="1:15">
      <c r="A577" s="137" t="s">
        <v>86</v>
      </c>
      <c r="B577" s="800">
        <f t="shared" si="293"/>
        <v>43574.640000000007</v>
      </c>
      <c r="C577" s="800">
        <f t="shared" si="295"/>
        <v>58170.887999999999</v>
      </c>
      <c r="D577" s="800">
        <f t="shared" si="296"/>
        <v>62866.296000000002</v>
      </c>
      <c r="E577" s="800">
        <f t="shared" si="297"/>
        <v>54605.856</v>
      </c>
      <c r="F577" s="800">
        <f t="shared" si="298"/>
        <v>59301.264000000003</v>
      </c>
      <c r="G577" s="800">
        <f t="shared" si="299"/>
        <v>59822.975999999995</v>
      </c>
      <c r="H577" s="800">
        <f t="shared" si="300"/>
        <v>61562.016000000003</v>
      </c>
      <c r="I577" s="800">
        <f t="shared" si="301"/>
        <v>69213.792000000001</v>
      </c>
      <c r="J577" s="800">
        <f t="shared" si="302"/>
        <v>60692.496000000006</v>
      </c>
      <c r="K577" s="800">
        <f t="shared" si="303"/>
        <v>0</v>
      </c>
      <c r="L577" s="800">
        <f t="shared" si="304"/>
        <v>0</v>
      </c>
      <c r="M577" s="800">
        <f t="shared" si="305"/>
        <v>0</v>
      </c>
      <c r="N577" s="800" t="s">
        <v>167</v>
      </c>
      <c r="O577" s="800" t="s">
        <v>28</v>
      </c>
    </row>
    <row r="578" spans="1:15">
      <c r="A578" s="137" t="s">
        <v>87</v>
      </c>
      <c r="B578" s="800">
        <f t="shared" si="293"/>
        <v>143417.88</v>
      </c>
      <c r="C578" s="800">
        <f t="shared" si="295"/>
        <v>210684.69600000003</v>
      </c>
      <c r="D578" s="800">
        <f t="shared" si="296"/>
        <v>278768.11200000002</v>
      </c>
      <c r="E578" s="800">
        <f t="shared" si="297"/>
        <v>237639.81600000005</v>
      </c>
      <c r="F578" s="800">
        <f t="shared" si="298"/>
        <v>279289.82400000002</v>
      </c>
      <c r="G578" s="800">
        <f t="shared" si="299"/>
        <v>284419.99199999997</v>
      </c>
      <c r="H578" s="800">
        <f t="shared" si="300"/>
        <v>260334.288</v>
      </c>
      <c r="I578" s="800">
        <f t="shared" si="301"/>
        <v>275376.984</v>
      </c>
      <c r="J578" s="800">
        <f t="shared" si="302"/>
        <v>250421.75999999998</v>
      </c>
      <c r="K578" s="800">
        <f t="shared" si="303"/>
        <v>0</v>
      </c>
      <c r="L578" s="800">
        <f t="shared" si="304"/>
        <v>0</v>
      </c>
      <c r="M578" s="800">
        <f t="shared" si="305"/>
        <v>0</v>
      </c>
      <c r="N578" s="800" t="s">
        <v>167</v>
      </c>
      <c r="O578" s="800" t="s">
        <v>28</v>
      </c>
    </row>
    <row r="579" spans="1:15">
      <c r="A579" s="137" t="s">
        <v>88</v>
      </c>
      <c r="B579" s="800">
        <f t="shared" si="293"/>
        <v>106720.008</v>
      </c>
      <c r="C579" s="800">
        <f t="shared" si="295"/>
        <v>139820.88</v>
      </c>
      <c r="D579" s="800">
        <f t="shared" si="296"/>
        <v>190975.46400000001</v>
      </c>
      <c r="E579" s="800">
        <f t="shared" si="297"/>
        <v>138132.36000000002</v>
      </c>
      <c r="F579" s="800">
        <f t="shared" si="298"/>
        <v>180251.49600000001</v>
      </c>
      <c r="G579" s="800">
        <f t="shared" si="299"/>
        <v>164339.28</v>
      </c>
      <c r="H579" s="800">
        <f t="shared" si="300"/>
        <v>173034.48</v>
      </c>
      <c r="I579" s="800">
        <f t="shared" si="301"/>
        <v>172773.62400000001</v>
      </c>
      <c r="J579" s="800">
        <f t="shared" si="302"/>
        <v>159817.77599999998</v>
      </c>
      <c r="K579" s="800">
        <f t="shared" si="303"/>
        <v>0</v>
      </c>
      <c r="L579" s="800">
        <f t="shared" si="304"/>
        <v>0</v>
      </c>
      <c r="M579" s="800">
        <f t="shared" si="305"/>
        <v>0</v>
      </c>
      <c r="N579" s="800" t="s">
        <v>167</v>
      </c>
      <c r="O579" s="800" t="s">
        <v>28</v>
      </c>
    </row>
    <row r="580" spans="1:15">
      <c r="A580" s="137" t="s">
        <v>89</v>
      </c>
      <c r="B580" s="800">
        <f t="shared" si="293"/>
        <v>340095.408</v>
      </c>
      <c r="C580" s="800">
        <f t="shared" si="295"/>
        <v>389284.10399999999</v>
      </c>
      <c r="D580" s="800">
        <f t="shared" si="296"/>
        <v>501600.10400000005</v>
      </c>
      <c r="E580" s="800">
        <f t="shared" si="297"/>
        <v>449976.6</v>
      </c>
      <c r="F580" s="800">
        <f t="shared" si="298"/>
        <v>521190.288</v>
      </c>
      <c r="G580" s="800">
        <f t="shared" si="299"/>
        <v>490061.47200000001</v>
      </c>
      <c r="H580" s="800">
        <f t="shared" si="300"/>
        <v>482061.88800000004</v>
      </c>
      <c r="I580" s="800">
        <f t="shared" si="301"/>
        <v>518668.68000000005</v>
      </c>
      <c r="J580" s="800">
        <f t="shared" si="302"/>
        <v>496669.82400000002</v>
      </c>
      <c r="K580" s="800">
        <f t="shared" si="303"/>
        <v>0</v>
      </c>
      <c r="L580" s="800">
        <f t="shared" si="304"/>
        <v>0</v>
      </c>
      <c r="M580" s="800">
        <f t="shared" si="305"/>
        <v>0</v>
      </c>
      <c r="N580" s="800" t="s">
        <v>167</v>
      </c>
      <c r="O580" s="800" t="s">
        <v>28</v>
      </c>
    </row>
    <row r="581" spans="1:15">
      <c r="A581" s="137" t="s">
        <v>90</v>
      </c>
      <c r="B581" s="800">
        <f t="shared" si="293"/>
        <v>58368.168000000005</v>
      </c>
      <c r="C581" s="800">
        <f t="shared" si="295"/>
        <v>72208.584000000003</v>
      </c>
      <c r="D581" s="800">
        <f t="shared" si="296"/>
        <v>95746.592000000004</v>
      </c>
      <c r="E581" s="800">
        <f t="shared" si="297"/>
        <v>88586.695999999996</v>
      </c>
      <c r="F581" s="800">
        <f t="shared" si="298"/>
        <v>104081.54400000002</v>
      </c>
      <c r="G581" s="800">
        <f t="shared" si="299"/>
        <v>102750.96</v>
      </c>
      <c r="H581" s="800">
        <f t="shared" si="300"/>
        <v>84604.288</v>
      </c>
      <c r="I581" s="800">
        <f t="shared" si="301"/>
        <v>110168.18399999999</v>
      </c>
      <c r="J581" s="800">
        <f t="shared" si="302"/>
        <v>87734.568000000014</v>
      </c>
      <c r="K581" s="800">
        <f t="shared" si="303"/>
        <v>0</v>
      </c>
      <c r="L581" s="800">
        <f t="shared" si="304"/>
        <v>0</v>
      </c>
      <c r="M581" s="800">
        <f t="shared" si="305"/>
        <v>0</v>
      </c>
      <c r="N581" s="800" t="s">
        <v>167</v>
      </c>
      <c r="O581" s="800" t="s">
        <v>28</v>
      </c>
    </row>
    <row r="582" spans="1:15">
      <c r="A582" s="137" t="s">
        <v>91</v>
      </c>
      <c r="B582" s="800">
        <f t="shared" si="293"/>
        <v>71673.888000000006</v>
      </c>
      <c r="C582" s="800">
        <f t="shared" si="295"/>
        <v>77300.327999999994</v>
      </c>
      <c r="D582" s="800">
        <f t="shared" si="296"/>
        <v>103994.592</v>
      </c>
      <c r="E582" s="800">
        <f t="shared" si="297"/>
        <v>81734.880000000019</v>
      </c>
      <c r="F582" s="800">
        <f t="shared" si="298"/>
        <v>99733.944000000003</v>
      </c>
      <c r="G582" s="800">
        <f t="shared" si="299"/>
        <v>89038.848000000013</v>
      </c>
      <c r="H582" s="800">
        <f t="shared" si="300"/>
        <v>80865.36</v>
      </c>
      <c r="I582" s="800">
        <f t="shared" si="301"/>
        <v>96951.48</v>
      </c>
      <c r="J582" s="800">
        <f t="shared" si="302"/>
        <v>97386.239999999991</v>
      </c>
      <c r="K582" s="800">
        <f t="shared" si="303"/>
        <v>0</v>
      </c>
      <c r="L582" s="800">
        <f t="shared" si="304"/>
        <v>0</v>
      </c>
      <c r="M582" s="800">
        <f t="shared" si="305"/>
        <v>0</v>
      </c>
      <c r="N582" s="800" t="s">
        <v>167</v>
      </c>
      <c r="O582" s="800" t="s">
        <v>28</v>
      </c>
    </row>
    <row r="583" spans="1:15">
      <c r="A583" s="137" t="s">
        <v>92</v>
      </c>
      <c r="B583" s="800">
        <f t="shared" si="293"/>
        <v>414622.89600000001</v>
      </c>
      <c r="C583" s="800">
        <f t="shared" si="295"/>
        <v>499191.43200000003</v>
      </c>
      <c r="D583" s="800">
        <f t="shared" si="296"/>
        <v>622489.36800000002</v>
      </c>
      <c r="E583" s="800">
        <f t="shared" si="297"/>
        <v>535624.31999999995</v>
      </c>
      <c r="F583" s="800">
        <f t="shared" si="298"/>
        <v>579795.93599999999</v>
      </c>
      <c r="G583" s="800">
        <f t="shared" si="299"/>
        <v>547188.93599999999</v>
      </c>
      <c r="H583" s="800">
        <f t="shared" si="300"/>
        <v>585708.6719999999</v>
      </c>
      <c r="I583" s="800">
        <f t="shared" si="301"/>
        <v>626663.0639999999</v>
      </c>
      <c r="J583" s="800">
        <f t="shared" si="302"/>
        <v>551101.77600000007</v>
      </c>
      <c r="K583" s="800">
        <f t="shared" si="303"/>
        <v>0</v>
      </c>
      <c r="L583" s="800">
        <f t="shared" si="304"/>
        <v>0</v>
      </c>
      <c r="M583" s="800">
        <f t="shared" si="305"/>
        <v>0</v>
      </c>
      <c r="N583" s="800" t="s">
        <v>167</v>
      </c>
      <c r="O583" s="800" t="s">
        <v>28</v>
      </c>
    </row>
    <row r="584" spans="1:15">
      <c r="A584" s="137" t="s">
        <v>93</v>
      </c>
      <c r="B584" s="800">
        <f t="shared" si="293"/>
        <v>113825.01600000002</v>
      </c>
      <c r="C584" s="800">
        <f t="shared" si="295"/>
        <v>138253.68000000002</v>
      </c>
      <c r="D584" s="800">
        <f t="shared" si="296"/>
        <v>174425.71200000003</v>
      </c>
      <c r="E584" s="800">
        <f t="shared" si="297"/>
        <v>152079.04800000001</v>
      </c>
      <c r="F584" s="800">
        <f t="shared" si="298"/>
        <v>170078.11199999999</v>
      </c>
      <c r="G584" s="800">
        <f t="shared" si="299"/>
        <v>132080.08799999999</v>
      </c>
      <c r="H584" s="800">
        <f t="shared" si="300"/>
        <v>152252.95199999999</v>
      </c>
      <c r="I584" s="800">
        <f t="shared" si="301"/>
        <v>171121.53600000002</v>
      </c>
      <c r="J584" s="800">
        <f t="shared" si="302"/>
        <v>171208.48800000001</v>
      </c>
      <c r="K584" s="800">
        <f t="shared" si="303"/>
        <v>0</v>
      </c>
      <c r="L584" s="800">
        <f t="shared" si="304"/>
        <v>0</v>
      </c>
      <c r="M584" s="800">
        <f t="shared" si="305"/>
        <v>0</v>
      </c>
      <c r="N584" s="800" t="s">
        <v>167</v>
      </c>
      <c r="O584" s="800" t="s">
        <v>28</v>
      </c>
    </row>
    <row r="585" spans="1:15">
      <c r="A585" s="137" t="s">
        <v>94</v>
      </c>
      <c r="B585" s="800">
        <f t="shared" si="293"/>
        <v>30712.272000000001</v>
      </c>
      <c r="C585" s="800">
        <f t="shared" si="295"/>
        <v>40163.232000000004</v>
      </c>
      <c r="D585" s="800">
        <f t="shared" si="296"/>
        <v>46346.216000000008</v>
      </c>
      <c r="E585" s="800">
        <f t="shared" si="297"/>
        <v>43128.192000000003</v>
      </c>
      <c r="F585" s="800">
        <f t="shared" si="298"/>
        <v>46345.416000000005</v>
      </c>
      <c r="G585" s="800">
        <f t="shared" si="299"/>
        <v>47214.936000000002</v>
      </c>
      <c r="H585" s="800">
        <f t="shared" si="300"/>
        <v>48953.976000000002</v>
      </c>
      <c r="I585" s="800">
        <f t="shared" si="301"/>
        <v>52953.768000000004</v>
      </c>
      <c r="J585" s="800">
        <f t="shared" si="302"/>
        <v>41823.912000000004</v>
      </c>
      <c r="K585" s="800">
        <f t="shared" si="303"/>
        <v>0</v>
      </c>
      <c r="L585" s="800">
        <f t="shared" si="304"/>
        <v>0</v>
      </c>
      <c r="M585" s="800">
        <f t="shared" si="305"/>
        <v>0</v>
      </c>
      <c r="N585" s="800" t="s">
        <v>167</v>
      </c>
      <c r="O585" s="800" t="s">
        <v>28</v>
      </c>
    </row>
    <row r="586" spans="1:15">
      <c r="A586" s="137" t="s">
        <v>95</v>
      </c>
      <c r="B586" s="800">
        <f t="shared" si="293"/>
        <v>365688.16800000001</v>
      </c>
      <c r="C586" s="800">
        <f t="shared" si="295"/>
        <v>455707.87200000009</v>
      </c>
      <c r="D586" s="800">
        <f t="shared" si="296"/>
        <v>526033.82400000002</v>
      </c>
      <c r="E586" s="800">
        <f t="shared" si="297"/>
        <v>459515.54400000005</v>
      </c>
      <c r="F586" s="800">
        <f t="shared" si="298"/>
        <v>568926.93599999999</v>
      </c>
      <c r="G586" s="800">
        <f t="shared" si="299"/>
        <v>519790.46399999998</v>
      </c>
      <c r="H586" s="800">
        <f t="shared" si="300"/>
        <v>525077.35200000007</v>
      </c>
      <c r="I586" s="800">
        <f t="shared" si="301"/>
        <v>585960.93599999999</v>
      </c>
      <c r="J586" s="800">
        <f t="shared" si="302"/>
        <v>519364.29600000003</v>
      </c>
      <c r="K586" s="800">
        <f t="shared" si="303"/>
        <v>0</v>
      </c>
      <c r="L586" s="800">
        <f t="shared" si="304"/>
        <v>0</v>
      </c>
      <c r="M586" s="800">
        <f t="shared" si="305"/>
        <v>0</v>
      </c>
      <c r="N586" s="800" t="s">
        <v>167</v>
      </c>
      <c r="O586" s="800" t="s">
        <v>28</v>
      </c>
    </row>
    <row r="587" spans="1:15">
      <c r="A587" s="137" t="s">
        <v>96</v>
      </c>
      <c r="B587" s="800">
        <f t="shared" si="293"/>
        <v>53599.896000000008</v>
      </c>
      <c r="C587" s="800">
        <f t="shared" si="295"/>
        <v>69561.600000000006</v>
      </c>
      <c r="D587" s="800">
        <f t="shared" si="296"/>
        <v>74865.672000000006</v>
      </c>
      <c r="E587" s="800">
        <f t="shared" si="297"/>
        <v>71822.352000000014</v>
      </c>
      <c r="F587" s="800">
        <f t="shared" si="298"/>
        <v>82865.256000000008</v>
      </c>
      <c r="G587" s="800">
        <f t="shared" si="299"/>
        <v>76865.567999999999</v>
      </c>
      <c r="H587" s="800">
        <f t="shared" si="300"/>
        <v>75561.288000000015</v>
      </c>
      <c r="I587" s="800">
        <f t="shared" si="301"/>
        <v>83213.064000000013</v>
      </c>
      <c r="J587" s="800">
        <f t="shared" si="302"/>
        <v>79126.319999999992</v>
      </c>
      <c r="K587" s="800">
        <f t="shared" si="303"/>
        <v>0</v>
      </c>
      <c r="L587" s="800">
        <f t="shared" si="304"/>
        <v>0</v>
      </c>
      <c r="M587" s="800">
        <f t="shared" si="305"/>
        <v>0</v>
      </c>
      <c r="N587" s="800" t="s">
        <v>167</v>
      </c>
      <c r="O587" s="800" t="s">
        <v>28</v>
      </c>
    </row>
    <row r="588" spans="1:15">
      <c r="A588" s="137" t="s">
        <v>97</v>
      </c>
      <c r="B588" s="800">
        <f t="shared" si="293"/>
        <v>556017.16799999995</v>
      </c>
      <c r="C588" s="800">
        <f t="shared" si="295"/>
        <v>672825.98400000005</v>
      </c>
      <c r="D588" s="800">
        <f t="shared" si="296"/>
        <v>769786.0560000001</v>
      </c>
      <c r="E588" s="800">
        <f t="shared" si="297"/>
        <v>668660.88000000012</v>
      </c>
      <c r="F588" s="800">
        <f t="shared" si="298"/>
        <v>764742.84</v>
      </c>
      <c r="G588" s="800">
        <f t="shared" si="299"/>
        <v>720484.27200000011</v>
      </c>
      <c r="H588" s="800">
        <f t="shared" si="300"/>
        <v>721266.84000000008</v>
      </c>
      <c r="I588" s="800">
        <f t="shared" si="301"/>
        <v>817348.8</v>
      </c>
      <c r="J588" s="800">
        <f t="shared" si="302"/>
        <v>736918.20000000007</v>
      </c>
      <c r="K588" s="800">
        <f t="shared" si="303"/>
        <v>0</v>
      </c>
      <c r="L588" s="800">
        <f t="shared" si="304"/>
        <v>0</v>
      </c>
      <c r="M588" s="800">
        <f t="shared" si="305"/>
        <v>0</v>
      </c>
      <c r="N588" s="800" t="s">
        <v>167</v>
      </c>
      <c r="O588" s="800" t="s">
        <v>28</v>
      </c>
    </row>
    <row r="589" spans="1:15">
      <c r="A589" s="137" t="s">
        <v>98</v>
      </c>
      <c r="B589" s="800">
        <f t="shared" si="293"/>
        <v>45495.144</v>
      </c>
      <c r="C589" s="800">
        <f t="shared" si="295"/>
        <v>56431.847999999998</v>
      </c>
      <c r="D589" s="800">
        <f t="shared" si="296"/>
        <v>72865.775999999998</v>
      </c>
      <c r="E589" s="800">
        <f t="shared" si="297"/>
        <v>71561.495999999999</v>
      </c>
      <c r="F589" s="800">
        <f t="shared" si="298"/>
        <v>85908.576000000001</v>
      </c>
      <c r="G589" s="800">
        <f t="shared" si="299"/>
        <v>73474.44</v>
      </c>
      <c r="H589" s="800">
        <f t="shared" si="300"/>
        <v>75648.239999999991</v>
      </c>
      <c r="I589" s="800">
        <f t="shared" si="301"/>
        <v>79734.984000000011</v>
      </c>
      <c r="J589" s="800">
        <f t="shared" si="302"/>
        <v>69474.648000000001</v>
      </c>
      <c r="K589" s="800">
        <f t="shared" si="303"/>
        <v>0</v>
      </c>
      <c r="L589" s="800">
        <f t="shared" si="304"/>
        <v>0</v>
      </c>
      <c r="M589" s="800">
        <f t="shared" si="305"/>
        <v>0</v>
      </c>
      <c r="N589" s="800" t="s">
        <v>167</v>
      </c>
      <c r="O589" s="800" t="s">
        <v>28</v>
      </c>
    </row>
    <row r="590" spans="1:15">
      <c r="A590" s="137" t="s">
        <v>99</v>
      </c>
      <c r="B590" s="800">
        <f t="shared" si="293"/>
        <v>10739.088</v>
      </c>
      <c r="C590" s="800">
        <f t="shared" si="295"/>
        <v>13303.656000000001</v>
      </c>
      <c r="D590" s="800">
        <f t="shared" si="296"/>
        <v>12694.992000000002</v>
      </c>
      <c r="E590" s="800">
        <f t="shared" si="297"/>
        <v>12260.232</v>
      </c>
      <c r="F590" s="800">
        <f t="shared" si="298"/>
        <v>17216.496000000003</v>
      </c>
      <c r="G590" s="800">
        <f t="shared" si="299"/>
        <v>13042.800000000001</v>
      </c>
      <c r="H590" s="800">
        <f t="shared" si="300"/>
        <v>11129.856</v>
      </c>
      <c r="I590" s="800">
        <f t="shared" si="301"/>
        <v>11999.376</v>
      </c>
      <c r="J590" s="800">
        <f t="shared" si="302"/>
        <v>11651.568000000001</v>
      </c>
      <c r="K590" s="800">
        <f t="shared" si="303"/>
        <v>0</v>
      </c>
      <c r="L590" s="800">
        <f t="shared" si="304"/>
        <v>0</v>
      </c>
      <c r="M590" s="800">
        <f t="shared" si="305"/>
        <v>0</v>
      </c>
      <c r="N590" s="800" t="s">
        <v>167</v>
      </c>
      <c r="O590" s="800" t="s">
        <v>28</v>
      </c>
    </row>
    <row r="591" spans="1:15">
      <c r="A591" s="137" t="s">
        <v>100</v>
      </c>
      <c r="B591" s="800">
        <f t="shared" si="293"/>
        <v>305108.40000000002</v>
      </c>
      <c r="C591" s="800">
        <f t="shared" si="295"/>
        <v>402918.38400000002</v>
      </c>
      <c r="D591" s="800">
        <f t="shared" si="296"/>
        <v>557275.36800000002</v>
      </c>
      <c r="E591" s="800">
        <f t="shared" si="297"/>
        <v>440759.68800000002</v>
      </c>
      <c r="F591" s="800">
        <f t="shared" si="298"/>
        <v>504843.31200000003</v>
      </c>
      <c r="G591" s="800">
        <f t="shared" si="299"/>
        <v>478236.00000000006</v>
      </c>
      <c r="H591" s="800">
        <f t="shared" si="300"/>
        <v>484670.44799999997</v>
      </c>
      <c r="I591" s="800">
        <f t="shared" si="301"/>
        <v>517103.54399999999</v>
      </c>
      <c r="J591" s="800">
        <f t="shared" si="302"/>
        <v>471627.64800000004</v>
      </c>
      <c r="K591" s="800">
        <f t="shared" si="303"/>
        <v>0</v>
      </c>
      <c r="L591" s="800">
        <f t="shared" si="304"/>
        <v>0</v>
      </c>
      <c r="M591" s="800">
        <f t="shared" si="305"/>
        <v>0</v>
      </c>
      <c r="N591" s="800" t="s">
        <v>167</v>
      </c>
      <c r="O591" s="800" t="s">
        <v>28</v>
      </c>
    </row>
    <row r="592" spans="1:15">
      <c r="A592" s="137" t="s">
        <v>101</v>
      </c>
      <c r="B592" s="800">
        <f t="shared" si="293"/>
        <v>1890930.432</v>
      </c>
      <c r="C592" s="800">
        <f t="shared" si="295"/>
        <v>2280100.8480000002</v>
      </c>
      <c r="D592" s="800">
        <f t="shared" si="296"/>
        <v>2854112.4480000003</v>
      </c>
      <c r="E592" s="800">
        <f t="shared" si="297"/>
        <v>2434221.2400000002</v>
      </c>
      <c r="F592" s="800">
        <f t="shared" si="298"/>
        <v>2888980.2</v>
      </c>
      <c r="G592" s="800">
        <f t="shared" si="299"/>
        <v>2716293.5280000004</v>
      </c>
      <c r="H592" s="800">
        <f t="shared" si="300"/>
        <v>2650731.7200000002</v>
      </c>
      <c r="I592" s="800">
        <f t="shared" si="301"/>
        <v>2908979.16</v>
      </c>
      <c r="J592" s="800">
        <f t="shared" si="302"/>
        <v>2603951.5440000002</v>
      </c>
      <c r="K592" s="800">
        <f t="shared" si="303"/>
        <v>0</v>
      </c>
      <c r="L592" s="800">
        <f t="shared" si="304"/>
        <v>0</v>
      </c>
      <c r="M592" s="800">
        <f t="shared" si="305"/>
        <v>0</v>
      </c>
      <c r="N592" s="800" t="s">
        <v>167</v>
      </c>
      <c r="O592" s="800" t="s">
        <v>28</v>
      </c>
    </row>
    <row r="593" spans="1:15">
      <c r="A593" s="137" t="s">
        <v>102</v>
      </c>
      <c r="B593" s="800">
        <f t="shared" si="293"/>
        <v>50268.911999999997</v>
      </c>
      <c r="C593" s="800">
        <f t="shared" si="295"/>
        <v>59292.671999999999</v>
      </c>
      <c r="D593" s="800">
        <f t="shared" si="296"/>
        <v>83995.631999999998</v>
      </c>
      <c r="E593" s="800">
        <f t="shared" si="297"/>
        <v>64518.384000000005</v>
      </c>
      <c r="F593" s="800">
        <f t="shared" si="298"/>
        <v>70952.831999999995</v>
      </c>
      <c r="G593" s="800">
        <f t="shared" si="299"/>
        <v>53562.432000000008</v>
      </c>
      <c r="H593" s="800">
        <f t="shared" si="300"/>
        <v>59475.168000000005</v>
      </c>
      <c r="I593" s="800">
        <f t="shared" si="301"/>
        <v>72257.112000000008</v>
      </c>
      <c r="J593" s="800">
        <f t="shared" si="302"/>
        <v>73996.152000000002</v>
      </c>
      <c r="K593" s="800">
        <f t="shared" si="303"/>
        <v>0</v>
      </c>
      <c r="L593" s="800">
        <f t="shared" si="304"/>
        <v>0</v>
      </c>
      <c r="M593" s="800">
        <f t="shared" si="305"/>
        <v>0</v>
      </c>
      <c r="N593" s="800" t="s">
        <v>167</v>
      </c>
      <c r="O593" s="800" t="s">
        <v>28</v>
      </c>
    </row>
    <row r="594" spans="1:15">
      <c r="A594" s="137" t="s">
        <v>103</v>
      </c>
      <c r="B594" s="800">
        <f t="shared" si="293"/>
        <v>25574.544000000002</v>
      </c>
      <c r="C594" s="800">
        <f t="shared" si="295"/>
        <v>33389.567999999999</v>
      </c>
      <c r="D594" s="800">
        <f t="shared" si="296"/>
        <v>41128.296000000002</v>
      </c>
      <c r="E594" s="800">
        <f t="shared" si="297"/>
        <v>41302.200000000004</v>
      </c>
      <c r="F594" s="800">
        <f t="shared" si="298"/>
        <v>52779.864000000001</v>
      </c>
      <c r="G594" s="800">
        <f t="shared" si="299"/>
        <v>43215.144</v>
      </c>
      <c r="H594" s="800">
        <f t="shared" si="300"/>
        <v>35041.656000000003</v>
      </c>
      <c r="I594" s="800">
        <f t="shared" si="301"/>
        <v>41215.248000000007</v>
      </c>
      <c r="J594" s="800">
        <f t="shared" si="302"/>
        <v>37737.168000000005</v>
      </c>
      <c r="K594" s="800">
        <f t="shared" si="303"/>
        <v>0</v>
      </c>
      <c r="L594" s="800">
        <f t="shared" si="304"/>
        <v>0</v>
      </c>
      <c r="M594" s="800">
        <f t="shared" si="305"/>
        <v>0</v>
      </c>
      <c r="N594" s="800" t="s">
        <v>167</v>
      </c>
      <c r="O594" s="800" t="s">
        <v>28</v>
      </c>
    </row>
    <row r="595" spans="1:15">
      <c r="A595" s="137" t="s">
        <v>77</v>
      </c>
      <c r="B595" s="800">
        <f t="shared" ref="B595:B621" si="306">Q143</f>
        <v>14153.096979190623</v>
      </c>
      <c r="C595" s="800">
        <f t="shared" ref="C595:M595" si="307">R143</f>
        <v>29594.291801536699</v>
      </c>
      <c r="D595" s="800">
        <f t="shared" si="307"/>
        <v>45931.057964344422</v>
      </c>
      <c r="E595" s="800">
        <f t="shared" si="307"/>
        <v>61988.761535344674</v>
      </c>
      <c r="F595" s="800">
        <f t="shared" si="307"/>
        <v>84102.16376536699</v>
      </c>
      <c r="G595" s="800">
        <f t="shared" si="307"/>
        <v>104284.38124831475</v>
      </c>
      <c r="H595" s="800">
        <f t="shared" si="307"/>
        <v>127700.02691687323</v>
      </c>
      <c r="I595" s="800">
        <f t="shared" si="307"/>
        <v>152428.41962164102</v>
      </c>
      <c r="J595" s="800">
        <f t="shared" si="307"/>
        <v>179081.35986032232</v>
      </c>
      <c r="K595" s="800">
        <f t="shared" si="307"/>
        <v>205195.33413268658</v>
      </c>
      <c r="L595" s="800">
        <f t="shared" si="307"/>
        <v>227203.7087035171</v>
      </c>
      <c r="M595" s="800">
        <f t="shared" si="307"/>
        <v>247987.1</v>
      </c>
      <c r="N595" s="800" t="s">
        <v>166</v>
      </c>
      <c r="O595" s="800" t="s">
        <v>28</v>
      </c>
    </row>
    <row r="596" spans="1:15">
      <c r="A596" s="137" t="s">
        <v>78</v>
      </c>
      <c r="B596" s="800">
        <f t="shared" si="306"/>
        <v>42460.803324275978</v>
      </c>
      <c r="C596" s="800">
        <f t="shared" ref="C596:C621" si="308">R144</f>
        <v>93518.215571630266</v>
      </c>
      <c r="D596" s="800">
        <f t="shared" ref="D596:D621" si="309">S144</f>
        <v>147191.17164026876</v>
      </c>
      <c r="E596" s="800">
        <f t="shared" ref="E596:E621" si="310">T144</f>
        <v>200238.31578247581</v>
      </c>
      <c r="F596" s="800">
        <f t="shared" ref="F596:F621" si="311">U144</f>
        <v>255537.24888516811</v>
      </c>
      <c r="G596" s="800">
        <f t="shared" ref="G596:G621" si="312">V144</f>
        <v>304682.03105515684</v>
      </c>
      <c r="H596" s="800">
        <f t="shared" ref="H596:H621" si="313">W144</f>
        <v>366516.0752499018</v>
      </c>
      <c r="I596" s="800">
        <f t="shared" ref="I596:I621" si="314">X144</f>
        <v>428605.10519175336</v>
      </c>
      <c r="J596" s="800">
        <f t="shared" ref="J596:J621" si="315">Y144</f>
        <v>485572.79839371343</v>
      </c>
      <c r="K596" s="800">
        <f t="shared" ref="K596:K621" si="316">Z144</f>
        <v>552495.65988671465</v>
      </c>
      <c r="L596" s="800">
        <f t="shared" ref="L596:L621" si="317">AA144</f>
        <v>614436.8693929764</v>
      </c>
      <c r="M596" s="800">
        <f t="shared" ref="M596:M621" si="318">AB144</f>
        <v>671443.34000000008</v>
      </c>
      <c r="N596" s="800" t="s">
        <v>166</v>
      </c>
      <c r="O596" s="800" t="s">
        <v>28</v>
      </c>
    </row>
    <row r="597" spans="1:15">
      <c r="A597" s="137" t="s">
        <v>79</v>
      </c>
      <c r="B597" s="800">
        <f t="shared" si="306"/>
        <v>21439.963258393538</v>
      </c>
      <c r="C597" s="800">
        <f t="shared" si="308"/>
        <v>45341.798320263253</v>
      </c>
      <c r="D597" s="800">
        <f t="shared" si="309"/>
        <v>70012.907800276473</v>
      </c>
      <c r="E597" s="800">
        <f t="shared" si="310"/>
        <v>89549.870825002668</v>
      </c>
      <c r="F597" s="800">
        <f t="shared" si="311"/>
        <v>109228.40608478145</v>
      </c>
      <c r="G597" s="800">
        <f t="shared" si="312"/>
        <v>132045.62325289828</v>
      </c>
      <c r="H597" s="800">
        <f t="shared" si="313"/>
        <v>162392.85509603645</v>
      </c>
      <c r="I597" s="800">
        <f t="shared" si="314"/>
        <v>195111.04083825304</v>
      </c>
      <c r="J597" s="800">
        <f t="shared" si="315"/>
        <v>226388.60179317257</v>
      </c>
      <c r="K597" s="800">
        <f t="shared" si="316"/>
        <v>257821.72723418198</v>
      </c>
      <c r="L597" s="800">
        <f t="shared" si="317"/>
        <v>285235.94157036947</v>
      </c>
      <c r="M597" s="800">
        <f t="shared" si="318"/>
        <v>311896.82</v>
      </c>
      <c r="N597" s="800" t="s">
        <v>166</v>
      </c>
      <c r="O597" s="800" t="s">
        <v>28</v>
      </c>
    </row>
    <row r="598" spans="1:15">
      <c r="A598" s="137" t="s">
        <v>80</v>
      </c>
      <c r="B598" s="800">
        <f t="shared" si="306"/>
        <v>37788.230650102785</v>
      </c>
      <c r="C598" s="800">
        <f t="shared" si="308"/>
        <v>81804.669396396566</v>
      </c>
      <c r="D598" s="800">
        <f t="shared" si="309"/>
        <v>138651.17236614777</v>
      </c>
      <c r="E598" s="800">
        <f t="shared" si="310"/>
        <v>183295.16250513197</v>
      </c>
      <c r="F598" s="800">
        <f t="shared" si="311"/>
        <v>235204.80243231237</v>
      </c>
      <c r="G598" s="800">
        <f t="shared" si="312"/>
        <v>289188.68901388132</v>
      </c>
      <c r="H598" s="800">
        <f t="shared" si="313"/>
        <v>355755.1229673812</v>
      </c>
      <c r="I598" s="800">
        <f t="shared" si="314"/>
        <v>425942.53237629659</v>
      </c>
      <c r="J598" s="800">
        <f t="shared" si="315"/>
        <v>491360.3357339846</v>
      </c>
      <c r="K598" s="800">
        <f t="shared" si="316"/>
        <v>557613.37870529329</v>
      </c>
      <c r="L598" s="800">
        <f t="shared" si="317"/>
        <v>622575.46275153605</v>
      </c>
      <c r="M598" s="800">
        <f t="shared" si="318"/>
        <v>677529.99</v>
      </c>
      <c r="N598" s="800" t="s">
        <v>166</v>
      </c>
      <c r="O598" s="800" t="s">
        <v>28</v>
      </c>
    </row>
    <row r="599" spans="1:15">
      <c r="A599" s="137" t="s">
        <v>81</v>
      </c>
      <c r="B599" s="800">
        <f t="shared" si="306"/>
        <v>107499.29223824115</v>
      </c>
      <c r="C599" s="800">
        <f t="shared" si="308"/>
        <v>237881.81349700337</v>
      </c>
      <c r="D599" s="800">
        <f t="shared" si="309"/>
        <v>362097.31683658867</v>
      </c>
      <c r="E599" s="800">
        <f t="shared" si="310"/>
        <v>472592.12158080644</v>
      </c>
      <c r="F599" s="800">
        <f t="shared" si="311"/>
        <v>591679.83388075093</v>
      </c>
      <c r="G599" s="800">
        <f t="shared" si="312"/>
        <v>711667.17705989419</v>
      </c>
      <c r="H599" s="800">
        <f t="shared" si="313"/>
        <v>854505.06227753451</v>
      </c>
      <c r="I599" s="800">
        <f t="shared" si="314"/>
        <v>1007915.0962912124</v>
      </c>
      <c r="J599" s="800">
        <f t="shared" si="315"/>
        <v>1166105.5086399335</v>
      </c>
      <c r="K599" s="800">
        <f t="shared" si="316"/>
        <v>1324370.4690454886</v>
      </c>
      <c r="L599" s="800">
        <f t="shared" si="317"/>
        <v>1476308.4509837565</v>
      </c>
      <c r="M599" s="800">
        <f t="shared" si="318"/>
        <v>1628784.86</v>
      </c>
      <c r="N599" s="800" t="s">
        <v>166</v>
      </c>
      <c r="O599" s="800" t="s">
        <v>28</v>
      </c>
    </row>
    <row r="600" spans="1:15">
      <c r="A600" s="137" t="s">
        <v>82</v>
      </c>
      <c r="B600" s="800">
        <f t="shared" si="306"/>
        <v>72097.554879535179</v>
      </c>
      <c r="C600" s="800">
        <f t="shared" si="308"/>
        <v>148971.10509331938</v>
      </c>
      <c r="D600" s="800">
        <f t="shared" si="309"/>
        <v>217967.64733330984</v>
      </c>
      <c r="E600" s="800">
        <f t="shared" si="310"/>
        <v>283684.74550169887</v>
      </c>
      <c r="F600" s="800">
        <f t="shared" si="311"/>
        <v>351839.8665895203</v>
      </c>
      <c r="G600" s="800">
        <f t="shared" si="312"/>
        <v>438792.96077093942</v>
      </c>
      <c r="H600" s="800">
        <f t="shared" si="313"/>
        <v>542439.59419348999</v>
      </c>
      <c r="I600" s="800">
        <f t="shared" si="314"/>
        <v>647420.05836002587</v>
      </c>
      <c r="J600" s="800">
        <f t="shared" si="315"/>
        <v>750630.84040265041</v>
      </c>
      <c r="K600" s="800">
        <f t="shared" si="316"/>
        <v>866733.06871097325</v>
      </c>
      <c r="L600" s="800">
        <f t="shared" si="317"/>
        <v>968255.91624705552</v>
      </c>
      <c r="M600" s="800">
        <f t="shared" si="318"/>
        <v>1064727.24</v>
      </c>
      <c r="N600" s="800" t="s">
        <v>166</v>
      </c>
      <c r="O600" s="800" t="s">
        <v>28</v>
      </c>
    </row>
    <row r="601" spans="1:15">
      <c r="A601" s="137" t="s">
        <v>83</v>
      </c>
      <c r="B601" s="800">
        <f t="shared" si="306"/>
        <v>112911.10657826946</v>
      </c>
      <c r="C601" s="800">
        <f t="shared" si="308"/>
        <v>229718.93653191923</v>
      </c>
      <c r="D601" s="800">
        <f t="shared" si="309"/>
        <v>361746.49178524246</v>
      </c>
      <c r="E601" s="800">
        <f t="shared" si="310"/>
        <v>476771.46736918867</v>
      </c>
      <c r="F601" s="800">
        <f t="shared" si="311"/>
        <v>611017.69427191699</v>
      </c>
      <c r="G601" s="800">
        <f t="shared" si="312"/>
        <v>747388.29927669582</v>
      </c>
      <c r="H601" s="800">
        <f t="shared" si="313"/>
        <v>902856.35499596968</v>
      </c>
      <c r="I601" s="800">
        <f t="shared" si="314"/>
        <v>1058754.5504751368</v>
      </c>
      <c r="J601" s="800">
        <f t="shared" si="315"/>
        <v>1205563.3976594845</v>
      </c>
      <c r="K601" s="800">
        <f t="shared" si="316"/>
        <v>1365076.3517954727</v>
      </c>
      <c r="L601" s="800">
        <f t="shared" si="317"/>
        <v>1511413.4987473323</v>
      </c>
      <c r="M601" s="800">
        <f t="shared" si="318"/>
        <v>1640958.15</v>
      </c>
      <c r="N601" s="800" t="s">
        <v>166</v>
      </c>
      <c r="O601" s="800" t="s">
        <v>28</v>
      </c>
    </row>
    <row r="602" spans="1:15">
      <c r="A602" s="137" t="s">
        <v>84</v>
      </c>
      <c r="B602" s="800">
        <f t="shared" si="306"/>
        <v>99356.985774323402</v>
      </c>
      <c r="C602" s="800">
        <f t="shared" si="308"/>
        <v>214246.74659722473</v>
      </c>
      <c r="D602" s="800">
        <f t="shared" si="309"/>
        <v>331188.07717196096</v>
      </c>
      <c r="E602" s="800">
        <f t="shared" si="310"/>
        <v>431362.42041129625</v>
      </c>
      <c r="F602" s="800">
        <f t="shared" si="311"/>
        <v>547191.16326745925</v>
      </c>
      <c r="G602" s="800">
        <f t="shared" si="312"/>
        <v>667025.01031110296</v>
      </c>
      <c r="H602" s="800">
        <f t="shared" si="313"/>
        <v>812078.65827096882</v>
      </c>
      <c r="I602" s="800">
        <f t="shared" si="314"/>
        <v>971082.12390974199</v>
      </c>
      <c r="J602" s="800">
        <f t="shared" si="315"/>
        <v>1109713.2732323897</v>
      </c>
      <c r="K602" s="800">
        <f t="shared" si="316"/>
        <v>1269455.2624533235</v>
      </c>
      <c r="L602" s="800">
        <f t="shared" si="317"/>
        <v>1403645.74348815</v>
      </c>
      <c r="M602" s="800">
        <f t="shared" si="318"/>
        <v>1537311.36</v>
      </c>
      <c r="N602" s="800" t="s">
        <v>166</v>
      </c>
      <c r="O602" s="800" t="s">
        <v>28</v>
      </c>
    </row>
    <row r="603" spans="1:15">
      <c r="A603" s="137" t="s">
        <v>85</v>
      </c>
      <c r="B603" s="800">
        <f t="shared" si="306"/>
        <v>178536.54123541439</v>
      </c>
      <c r="C603" s="800">
        <f t="shared" si="308"/>
        <v>389273.62849876587</v>
      </c>
      <c r="D603" s="800">
        <f t="shared" si="309"/>
        <v>606195.64152996789</v>
      </c>
      <c r="E603" s="800">
        <f t="shared" si="310"/>
        <v>825485.59297960077</v>
      </c>
      <c r="F603" s="800">
        <f t="shared" si="311"/>
        <v>1069403.0261027946</v>
      </c>
      <c r="G603" s="800">
        <f t="shared" si="312"/>
        <v>1311586.2683297042</v>
      </c>
      <c r="H603" s="800">
        <f t="shared" si="313"/>
        <v>1607614.4872246219</v>
      </c>
      <c r="I603" s="800">
        <f t="shared" si="314"/>
        <v>1878431.1277477448</v>
      </c>
      <c r="J603" s="800">
        <f t="shared" si="315"/>
        <v>2134652.4570483067</v>
      </c>
      <c r="K603" s="800">
        <f t="shared" si="316"/>
        <v>2406163.3031026288</v>
      </c>
      <c r="L603" s="800">
        <f t="shared" si="317"/>
        <v>2638077.8748798142</v>
      </c>
      <c r="M603" s="800">
        <f t="shared" si="318"/>
        <v>2884284.79</v>
      </c>
      <c r="N603" s="800" t="s">
        <v>166</v>
      </c>
      <c r="O603" s="800" t="s">
        <v>28</v>
      </c>
    </row>
    <row r="604" spans="1:15">
      <c r="A604" s="137" t="s">
        <v>86</v>
      </c>
      <c r="B604" s="800">
        <f t="shared" si="306"/>
        <v>31958.9418658424</v>
      </c>
      <c r="C604" s="800">
        <f t="shared" si="308"/>
        <v>68776.204319878074</v>
      </c>
      <c r="D604" s="800">
        <f t="shared" si="309"/>
        <v>103786.81087984357</v>
      </c>
      <c r="E604" s="800">
        <f t="shared" si="310"/>
        <v>134204.3302128897</v>
      </c>
      <c r="F604" s="800">
        <f t="shared" si="311"/>
        <v>167349.86407591397</v>
      </c>
      <c r="G604" s="800">
        <f t="shared" si="312"/>
        <v>206867.29544521109</v>
      </c>
      <c r="H604" s="800">
        <f t="shared" si="313"/>
        <v>254492.31419169932</v>
      </c>
      <c r="I604" s="800">
        <f t="shared" si="314"/>
        <v>304238.53453990549</v>
      </c>
      <c r="J604" s="800">
        <f t="shared" si="315"/>
        <v>353119.70771894912</v>
      </c>
      <c r="K604" s="800">
        <f t="shared" si="316"/>
        <v>404882.1327428525</v>
      </c>
      <c r="L604" s="800">
        <f t="shared" si="317"/>
        <v>450039.31239454681</v>
      </c>
      <c r="M604" s="800">
        <f t="shared" si="318"/>
        <v>489800.62</v>
      </c>
      <c r="N604" s="800" t="s">
        <v>166</v>
      </c>
      <c r="O604" s="800" t="s">
        <v>28</v>
      </c>
    </row>
    <row r="605" spans="1:15">
      <c r="A605" s="137" t="s">
        <v>87</v>
      </c>
      <c r="B605" s="800">
        <f t="shared" si="306"/>
        <v>168822.15523257028</v>
      </c>
      <c r="C605" s="800">
        <f t="shared" si="308"/>
        <v>398596.98149996094</v>
      </c>
      <c r="D605" s="800">
        <f t="shared" si="309"/>
        <v>656190.3701127182</v>
      </c>
      <c r="E605" s="800">
        <f t="shared" si="310"/>
        <v>897068.25183021056</v>
      </c>
      <c r="F605" s="800">
        <f t="shared" si="311"/>
        <v>1172664.3654872198</v>
      </c>
      <c r="G605" s="800">
        <f t="shared" si="312"/>
        <v>1458263.208070142</v>
      </c>
      <c r="H605" s="800">
        <f t="shared" si="313"/>
        <v>1765061.9829776166</v>
      </c>
      <c r="I605" s="800">
        <f t="shared" si="314"/>
        <v>2063783.6555758889</v>
      </c>
      <c r="J605" s="800">
        <f t="shared" si="315"/>
        <v>2341663.7194059659</v>
      </c>
      <c r="K605" s="800">
        <f t="shared" si="316"/>
        <v>2622076.9827146884</v>
      </c>
      <c r="L605" s="800">
        <f t="shared" si="317"/>
        <v>2870538.2427925202</v>
      </c>
      <c r="M605" s="800">
        <f t="shared" si="318"/>
        <v>3102099.55</v>
      </c>
      <c r="N605" s="800" t="s">
        <v>166</v>
      </c>
      <c r="O605" s="800" t="s">
        <v>28</v>
      </c>
    </row>
    <row r="606" spans="1:15">
      <c r="A606" s="137" t="s">
        <v>88</v>
      </c>
      <c r="B606" s="800">
        <f t="shared" si="306"/>
        <v>126567.392543425</v>
      </c>
      <c r="C606" s="800">
        <f t="shared" si="308"/>
        <v>288542.05816539843</v>
      </c>
      <c r="D606" s="800">
        <f t="shared" si="309"/>
        <v>461651.64215814054</v>
      </c>
      <c r="E606" s="800">
        <f t="shared" si="310"/>
        <v>635569.07607974904</v>
      </c>
      <c r="F606" s="800">
        <f t="shared" si="311"/>
        <v>824218.01851039159</v>
      </c>
      <c r="G606" s="800">
        <f t="shared" si="312"/>
        <v>992477.49004471488</v>
      </c>
      <c r="H606" s="800">
        <f t="shared" si="313"/>
        <v>1190735.2165706875</v>
      </c>
      <c r="I606" s="800">
        <f t="shared" si="314"/>
        <v>1385825.2133188248</v>
      </c>
      <c r="J606" s="800">
        <f t="shared" si="315"/>
        <v>1562879.962532545</v>
      </c>
      <c r="K606" s="800">
        <f t="shared" si="316"/>
        <v>1744567.8982965448</v>
      </c>
      <c r="L606" s="800">
        <f t="shared" si="317"/>
        <v>1923106.7696633008</v>
      </c>
      <c r="M606" s="800">
        <f t="shared" si="318"/>
        <v>2068501.13</v>
      </c>
      <c r="N606" s="800" t="s">
        <v>166</v>
      </c>
      <c r="O606" s="800" t="s">
        <v>28</v>
      </c>
    </row>
    <row r="607" spans="1:15">
      <c r="A607" s="137" t="s">
        <v>89</v>
      </c>
      <c r="B607" s="800">
        <f t="shared" si="306"/>
        <v>368747.29220138321</v>
      </c>
      <c r="C607" s="800">
        <f t="shared" si="308"/>
        <v>754788.46234783425</v>
      </c>
      <c r="D607" s="800">
        <f t="shared" si="309"/>
        <v>1171931.6394786222</v>
      </c>
      <c r="E607" s="800">
        <f t="shared" si="310"/>
        <v>1550300.8786721101</v>
      </c>
      <c r="F607" s="800">
        <f t="shared" si="311"/>
        <v>1983982.2434826251</v>
      </c>
      <c r="G607" s="800">
        <f t="shared" si="312"/>
        <v>2423644.5072552366</v>
      </c>
      <c r="H607" s="800">
        <f t="shared" si="313"/>
        <v>2932028.5167652625</v>
      </c>
      <c r="I607" s="800">
        <f t="shared" si="314"/>
        <v>3450641.9532681843</v>
      </c>
      <c r="J607" s="800">
        <f t="shared" si="315"/>
        <v>3931829.7564881225</v>
      </c>
      <c r="K607" s="800">
        <f t="shared" si="316"/>
        <v>4433979.5688775377</v>
      </c>
      <c r="L607" s="800">
        <f t="shared" si="317"/>
        <v>4901041.9508191124</v>
      </c>
      <c r="M607" s="800">
        <f t="shared" si="318"/>
        <v>5364068.88</v>
      </c>
      <c r="N607" s="800" t="s">
        <v>166</v>
      </c>
      <c r="O607" s="800" t="s">
        <v>28</v>
      </c>
    </row>
    <row r="608" spans="1:15">
      <c r="A608" s="137" t="s">
        <v>90</v>
      </c>
      <c r="B608" s="800">
        <f t="shared" si="306"/>
        <v>57514.542956744095</v>
      </c>
      <c r="C608" s="800">
        <f t="shared" si="308"/>
        <v>126222.01934749074</v>
      </c>
      <c r="D608" s="800">
        <f t="shared" si="309"/>
        <v>194864.0439209438</v>
      </c>
      <c r="E608" s="800">
        <f t="shared" si="310"/>
        <v>255732.90832969558</v>
      </c>
      <c r="F608" s="800">
        <f t="shared" si="311"/>
        <v>322221.4889731874</v>
      </c>
      <c r="G608" s="800">
        <f t="shared" si="312"/>
        <v>398714.3006360674</v>
      </c>
      <c r="H608" s="800">
        <f t="shared" si="313"/>
        <v>481772.36859929201</v>
      </c>
      <c r="I608" s="800">
        <f t="shared" si="314"/>
        <v>572473.02629575098</v>
      </c>
      <c r="J608" s="800">
        <f t="shared" si="315"/>
        <v>661067.03109765716</v>
      </c>
      <c r="K608" s="800">
        <f t="shared" si="316"/>
        <v>757071.35952488414</v>
      </c>
      <c r="L608" s="800">
        <f t="shared" si="317"/>
        <v>846877.96266841376</v>
      </c>
      <c r="M608" s="800">
        <f t="shared" si="318"/>
        <v>928212.6</v>
      </c>
      <c r="N608" s="800" t="s">
        <v>166</v>
      </c>
      <c r="O608" s="800" t="s">
        <v>28</v>
      </c>
    </row>
    <row r="609" spans="1:15">
      <c r="A609" s="137" t="s">
        <v>91</v>
      </c>
      <c r="B609" s="800">
        <f t="shared" si="306"/>
        <v>59241.221082721509</v>
      </c>
      <c r="C609" s="800">
        <f t="shared" si="308"/>
        <v>126182.48826087402</v>
      </c>
      <c r="D609" s="800">
        <f t="shared" si="309"/>
        <v>194773.18059248652</v>
      </c>
      <c r="E609" s="800">
        <f t="shared" si="310"/>
        <v>254523.94099837411</v>
      </c>
      <c r="F609" s="800">
        <f t="shared" si="311"/>
        <v>318617.86532275809</v>
      </c>
      <c r="G609" s="800">
        <f t="shared" si="312"/>
        <v>380944.61167891446</v>
      </c>
      <c r="H609" s="800">
        <f t="shared" si="313"/>
        <v>458053.33854118822</v>
      </c>
      <c r="I609" s="800">
        <f t="shared" si="314"/>
        <v>538205.48114433012</v>
      </c>
      <c r="J609" s="800">
        <f t="shared" si="315"/>
        <v>627937.10588623374</v>
      </c>
      <c r="K609" s="800">
        <f t="shared" si="316"/>
        <v>718256.89931885817</v>
      </c>
      <c r="L609" s="800">
        <f t="shared" si="317"/>
        <v>798126.35422152816</v>
      </c>
      <c r="M609" s="800">
        <f t="shared" si="318"/>
        <v>878041.3</v>
      </c>
      <c r="N609" s="800" t="s">
        <v>166</v>
      </c>
      <c r="O609" s="800" t="s">
        <v>28</v>
      </c>
    </row>
    <row r="610" spans="1:15">
      <c r="A610" s="137" t="s">
        <v>92</v>
      </c>
      <c r="B610" s="800">
        <f t="shared" si="306"/>
        <v>404496.85425785603</v>
      </c>
      <c r="C610" s="800">
        <f t="shared" si="308"/>
        <v>895853.19902120123</v>
      </c>
      <c r="D610" s="800">
        <f t="shared" si="309"/>
        <v>1424300.6872470363</v>
      </c>
      <c r="E610" s="800">
        <f t="shared" si="310"/>
        <v>1911789.4621193381</v>
      </c>
      <c r="F610" s="800">
        <f t="shared" si="311"/>
        <v>2462346.4735578317</v>
      </c>
      <c r="G610" s="800">
        <f t="shared" si="312"/>
        <v>2980192.961884636</v>
      </c>
      <c r="H610" s="800">
        <f t="shared" si="313"/>
        <v>3596930.5399890384</v>
      </c>
      <c r="I610" s="800">
        <f t="shared" si="314"/>
        <v>4197663.8041932844</v>
      </c>
      <c r="J610" s="800">
        <f t="shared" si="315"/>
        <v>4779603.3313379306</v>
      </c>
      <c r="K610" s="800">
        <f t="shared" si="316"/>
        <v>5379651.9144036109</v>
      </c>
      <c r="L610" s="800">
        <f t="shared" si="317"/>
        <v>5925529.9174991464</v>
      </c>
      <c r="M610" s="800">
        <f t="shared" si="318"/>
        <v>6434187.1500000004</v>
      </c>
      <c r="N610" s="800" t="s">
        <v>166</v>
      </c>
      <c r="O610" s="800" t="s">
        <v>28</v>
      </c>
    </row>
    <row r="611" spans="1:15">
      <c r="A611" s="137" t="s">
        <v>93</v>
      </c>
      <c r="B611" s="800">
        <f t="shared" si="306"/>
        <v>131871.20358943244</v>
      </c>
      <c r="C611" s="800">
        <f t="shared" si="308"/>
        <v>283744.00848744076</v>
      </c>
      <c r="D611" s="800">
        <f t="shared" si="309"/>
        <v>434833.54910092225</v>
      </c>
      <c r="E611" s="800">
        <f t="shared" si="310"/>
        <v>556290.74071299378</v>
      </c>
      <c r="F611" s="800">
        <f t="shared" si="311"/>
        <v>698307.19422484189</v>
      </c>
      <c r="G611" s="800">
        <f t="shared" si="312"/>
        <v>831246.49793215422</v>
      </c>
      <c r="H611" s="800">
        <f t="shared" si="313"/>
        <v>996334.29589629755</v>
      </c>
      <c r="I611" s="800">
        <f t="shared" si="314"/>
        <v>1171363.5965817403</v>
      </c>
      <c r="J611" s="800">
        <f t="shared" si="315"/>
        <v>1344714.7933979526</v>
      </c>
      <c r="K611" s="800">
        <f t="shared" si="316"/>
        <v>1537193.4192036295</v>
      </c>
      <c r="L611" s="800">
        <f t="shared" si="317"/>
        <v>1716732.7500140639</v>
      </c>
      <c r="M611" s="800">
        <f t="shared" si="318"/>
        <v>1890684.29</v>
      </c>
      <c r="N611" s="800" t="s">
        <v>166</v>
      </c>
      <c r="O611" s="800" t="s">
        <v>28</v>
      </c>
    </row>
    <row r="612" spans="1:15">
      <c r="A612" s="137" t="s">
        <v>94</v>
      </c>
      <c r="B612" s="800">
        <f t="shared" si="306"/>
        <v>36951.278440417882</v>
      </c>
      <c r="C612" s="800">
        <f t="shared" si="308"/>
        <v>73017.780485437659</v>
      </c>
      <c r="D612" s="800">
        <f t="shared" si="309"/>
        <v>111276.03269765928</v>
      </c>
      <c r="E612" s="800">
        <f t="shared" si="310"/>
        <v>141225.00644706236</v>
      </c>
      <c r="F612" s="800">
        <f t="shared" si="311"/>
        <v>178547.33118972369</v>
      </c>
      <c r="G612" s="800">
        <f t="shared" si="312"/>
        <v>220793.16870589816</v>
      </c>
      <c r="H612" s="800">
        <f t="shared" si="313"/>
        <v>271263.65012681269</v>
      </c>
      <c r="I612" s="800">
        <f t="shared" si="314"/>
        <v>324370.87627557147</v>
      </c>
      <c r="J612" s="800">
        <f t="shared" si="315"/>
        <v>373045.06587791158</v>
      </c>
      <c r="K612" s="800">
        <f t="shared" si="316"/>
        <v>429239.68744346133</v>
      </c>
      <c r="L612" s="800">
        <f t="shared" si="317"/>
        <v>477825.24876656896</v>
      </c>
      <c r="M612" s="800">
        <f t="shared" si="318"/>
        <v>521167.17000000004</v>
      </c>
      <c r="N612" s="800" t="s">
        <v>166</v>
      </c>
      <c r="O612" s="800" t="s">
        <v>28</v>
      </c>
    </row>
    <row r="613" spans="1:15">
      <c r="A613" s="137" t="s">
        <v>95</v>
      </c>
      <c r="B613" s="800">
        <f t="shared" si="306"/>
        <v>418013.46363112103</v>
      </c>
      <c r="C613" s="800">
        <f t="shared" si="308"/>
        <v>852545.56981753116</v>
      </c>
      <c r="D613" s="800">
        <f t="shared" si="309"/>
        <v>1297388.1840027606</v>
      </c>
      <c r="E613" s="800">
        <f t="shared" si="310"/>
        <v>1647961.7159559794</v>
      </c>
      <c r="F613" s="800">
        <f t="shared" si="311"/>
        <v>2052493.238307839</v>
      </c>
      <c r="G613" s="800">
        <f t="shared" si="312"/>
        <v>2504821.2553856727</v>
      </c>
      <c r="H613" s="800">
        <f t="shared" si="313"/>
        <v>3017748.953894143</v>
      </c>
      <c r="I613" s="800">
        <f t="shared" si="314"/>
        <v>3561084.3500864701</v>
      </c>
      <c r="J613" s="800">
        <f t="shared" si="315"/>
        <v>4107494.8573484789</v>
      </c>
      <c r="K613" s="800">
        <f t="shared" si="316"/>
        <v>4678773.4469909966</v>
      </c>
      <c r="L613" s="800">
        <f t="shared" si="317"/>
        <v>5205060.9023182401</v>
      </c>
      <c r="M613" s="800">
        <f t="shared" si="318"/>
        <v>5685356.5199999996</v>
      </c>
      <c r="N613" s="800" t="s">
        <v>166</v>
      </c>
      <c r="O613" s="800" t="s">
        <v>28</v>
      </c>
    </row>
    <row r="614" spans="1:15">
      <c r="A614" s="137" t="s">
        <v>96</v>
      </c>
      <c r="B614" s="800">
        <f t="shared" si="306"/>
        <v>59452.275327294556</v>
      </c>
      <c r="C614" s="800">
        <f t="shared" si="308"/>
        <v>125722.66855366014</v>
      </c>
      <c r="D614" s="800">
        <f t="shared" si="309"/>
        <v>195573.30482102325</v>
      </c>
      <c r="E614" s="800">
        <f t="shared" si="310"/>
        <v>261611.15332057895</v>
      </c>
      <c r="F614" s="800">
        <f t="shared" si="311"/>
        <v>331405.49235839653</v>
      </c>
      <c r="G614" s="800">
        <f t="shared" si="312"/>
        <v>398306.22991567472</v>
      </c>
      <c r="H614" s="800">
        <f t="shared" si="313"/>
        <v>487990.78307178634</v>
      </c>
      <c r="I614" s="800">
        <f t="shared" si="314"/>
        <v>575720.64764420304</v>
      </c>
      <c r="J614" s="800">
        <f t="shared" si="315"/>
        <v>666073.19659979467</v>
      </c>
      <c r="K614" s="800">
        <f t="shared" si="316"/>
        <v>752445.23236197769</v>
      </c>
      <c r="L614" s="800">
        <f t="shared" si="317"/>
        <v>837427.98449921166</v>
      </c>
      <c r="M614" s="800">
        <f t="shared" si="318"/>
        <v>918560.92999999993</v>
      </c>
      <c r="N614" s="800" t="s">
        <v>166</v>
      </c>
      <c r="O614" s="800" t="s">
        <v>28</v>
      </c>
    </row>
    <row r="615" spans="1:15">
      <c r="A615" s="137" t="s">
        <v>97</v>
      </c>
      <c r="B615" s="800">
        <f t="shared" si="306"/>
        <v>605865.0792969201</v>
      </c>
      <c r="C615" s="800">
        <f t="shared" si="308"/>
        <v>1267813.2575130793</v>
      </c>
      <c r="D615" s="800">
        <f t="shared" si="309"/>
        <v>1965432.7395401835</v>
      </c>
      <c r="E615" s="800">
        <f t="shared" si="310"/>
        <v>2576177.925094102</v>
      </c>
      <c r="F615" s="800">
        <f t="shared" si="311"/>
        <v>3275517.5892404066</v>
      </c>
      <c r="G615" s="800">
        <f t="shared" si="312"/>
        <v>3973321.9924249081</v>
      </c>
      <c r="H615" s="800">
        <f t="shared" si="313"/>
        <v>4754280.0388204297</v>
      </c>
      <c r="I615" s="800">
        <f t="shared" si="314"/>
        <v>5573142.9774283813</v>
      </c>
      <c r="J615" s="800">
        <f t="shared" si="315"/>
        <v>6371760.0901974365</v>
      </c>
      <c r="K615" s="800">
        <f t="shared" si="316"/>
        <v>7235507.8934048777</v>
      </c>
      <c r="L615" s="800">
        <f t="shared" si="317"/>
        <v>8017772.0136858644</v>
      </c>
      <c r="M615" s="800">
        <f t="shared" si="318"/>
        <v>8793716.6199999992</v>
      </c>
      <c r="N615" s="800" t="s">
        <v>166</v>
      </c>
      <c r="O615" s="800" t="s">
        <v>28</v>
      </c>
    </row>
    <row r="616" spans="1:15">
      <c r="A616" s="137" t="s">
        <v>98</v>
      </c>
      <c r="B616" s="800">
        <f t="shared" si="306"/>
        <v>56184.550770222304</v>
      </c>
      <c r="C616" s="800">
        <f t="shared" si="308"/>
        <v>125140.028658283</v>
      </c>
      <c r="D616" s="800">
        <f t="shared" si="309"/>
        <v>197182.82598684562</v>
      </c>
      <c r="E616" s="800">
        <f t="shared" si="310"/>
        <v>269795.78503035108</v>
      </c>
      <c r="F616" s="800">
        <f t="shared" si="311"/>
        <v>347955.08777788258</v>
      </c>
      <c r="G616" s="800">
        <f t="shared" si="312"/>
        <v>431628.80629178474</v>
      </c>
      <c r="H616" s="800">
        <f t="shared" si="313"/>
        <v>533357.95027158805</v>
      </c>
      <c r="I616" s="800">
        <f t="shared" si="314"/>
        <v>626976.28989677655</v>
      </c>
      <c r="J616" s="800">
        <f t="shared" si="315"/>
        <v>717609.17938018998</v>
      </c>
      <c r="K616" s="800">
        <f t="shared" si="316"/>
        <v>801483.07867727347</v>
      </c>
      <c r="L616" s="800">
        <f t="shared" si="317"/>
        <v>880615.80306607508</v>
      </c>
      <c r="M616" s="800">
        <f t="shared" si="318"/>
        <v>955515.52</v>
      </c>
      <c r="N616" s="800" t="s">
        <v>166</v>
      </c>
      <c r="O616" s="800" t="s">
        <v>28</v>
      </c>
    </row>
    <row r="617" spans="1:15">
      <c r="A617" s="137" t="s">
        <v>99</v>
      </c>
      <c r="B617" s="800">
        <f t="shared" si="306"/>
        <v>7644.3384285021584</v>
      </c>
      <c r="C617" s="800">
        <f t="shared" si="308"/>
        <v>16847.836083418344</v>
      </c>
      <c r="D617" s="800">
        <f t="shared" si="309"/>
        <v>26624.87299238257</v>
      </c>
      <c r="E617" s="800">
        <f t="shared" si="310"/>
        <v>35321.310970353072</v>
      </c>
      <c r="F617" s="800">
        <f t="shared" si="311"/>
        <v>44418.471273736919</v>
      </c>
      <c r="G617" s="800">
        <f t="shared" si="312"/>
        <v>52153.540072410469</v>
      </c>
      <c r="H617" s="800">
        <f t="shared" si="313"/>
        <v>65960.772380699709</v>
      </c>
      <c r="I617" s="800">
        <f t="shared" si="314"/>
        <v>76640.360825348253</v>
      </c>
      <c r="J617" s="800">
        <f t="shared" si="315"/>
        <v>86998.03643615183</v>
      </c>
      <c r="K617" s="800">
        <f t="shared" si="316"/>
        <v>96619.722991972827</v>
      </c>
      <c r="L617" s="800">
        <f t="shared" si="317"/>
        <v>108135.62404341849</v>
      </c>
      <c r="M617" s="800">
        <f t="shared" si="318"/>
        <v>119732.91</v>
      </c>
      <c r="N617" s="800" t="s">
        <v>166</v>
      </c>
      <c r="O617" s="800" t="s">
        <v>28</v>
      </c>
    </row>
    <row r="618" spans="1:15">
      <c r="A618" s="137" t="s">
        <v>100</v>
      </c>
      <c r="B618" s="800">
        <f t="shared" si="306"/>
        <v>287008.73281483969</v>
      </c>
      <c r="C618" s="800">
        <f t="shared" si="308"/>
        <v>688765.50539955811</v>
      </c>
      <c r="D618" s="800">
        <f t="shared" si="309"/>
        <v>1130086.8556612306</v>
      </c>
      <c r="E618" s="800">
        <f t="shared" si="310"/>
        <v>1532636.8155321493</v>
      </c>
      <c r="F618" s="800">
        <f t="shared" si="311"/>
        <v>1989286.2240691355</v>
      </c>
      <c r="G618" s="800">
        <f t="shared" si="312"/>
        <v>2442005.5559607577</v>
      </c>
      <c r="H618" s="800">
        <f t="shared" si="313"/>
        <v>2929937.0567525583</v>
      </c>
      <c r="I618" s="800">
        <f t="shared" si="314"/>
        <v>3436106.9475606401</v>
      </c>
      <c r="J618" s="800">
        <f t="shared" si="315"/>
        <v>3941323.1356234467</v>
      </c>
      <c r="K618" s="800">
        <f t="shared" si="316"/>
        <v>4463826.6621204745</v>
      </c>
      <c r="L618" s="800">
        <f t="shared" si="317"/>
        <v>4937833.1707249526</v>
      </c>
      <c r="M618" s="800">
        <f t="shared" si="318"/>
        <v>5391545.71</v>
      </c>
      <c r="N618" s="800" t="s">
        <v>166</v>
      </c>
      <c r="O618" s="800" t="s">
        <v>28</v>
      </c>
    </row>
    <row r="619" spans="1:15">
      <c r="A619" s="137" t="s">
        <v>101</v>
      </c>
      <c r="B619" s="800">
        <f t="shared" si="306"/>
        <v>2093160.8116387669</v>
      </c>
      <c r="C619" s="800">
        <f t="shared" si="308"/>
        <v>4540998.1216667918</v>
      </c>
      <c r="D619" s="800">
        <f t="shared" si="309"/>
        <v>7095472.8876862489</v>
      </c>
      <c r="E619" s="800">
        <f t="shared" si="310"/>
        <v>9250381.6733775102</v>
      </c>
      <c r="F619" s="800">
        <f t="shared" si="311"/>
        <v>11665944.531022636</v>
      </c>
      <c r="G619" s="800">
        <f t="shared" si="312"/>
        <v>14153578.973118823</v>
      </c>
      <c r="H619" s="800">
        <f t="shared" si="313"/>
        <v>16996425.046899442</v>
      </c>
      <c r="I619" s="800">
        <f t="shared" si="314"/>
        <v>19997518.822355788</v>
      </c>
      <c r="J619" s="800">
        <f t="shared" si="315"/>
        <v>22928976.855078883</v>
      </c>
      <c r="K619" s="800">
        <f t="shared" si="316"/>
        <v>25964087.181220628</v>
      </c>
      <c r="L619" s="800">
        <f t="shared" si="317"/>
        <v>28648183.588779017</v>
      </c>
      <c r="M619" s="800">
        <f t="shared" si="318"/>
        <v>31198029.792000003</v>
      </c>
      <c r="N619" s="800" t="s">
        <v>166</v>
      </c>
      <c r="O619" s="800" t="s">
        <v>28</v>
      </c>
    </row>
    <row r="620" spans="1:15">
      <c r="A620" s="137" t="s">
        <v>102</v>
      </c>
      <c r="B620" s="800">
        <f t="shared" si="306"/>
        <v>48564.059429552399</v>
      </c>
      <c r="C620" s="800">
        <f t="shared" si="308"/>
        <v>100628.85743607416</v>
      </c>
      <c r="D620" s="800">
        <f t="shared" si="309"/>
        <v>152411.91909775054</v>
      </c>
      <c r="E620" s="800">
        <f t="shared" si="310"/>
        <v>201594.43384235984</v>
      </c>
      <c r="F620" s="800">
        <f t="shared" si="311"/>
        <v>252034.6784133125</v>
      </c>
      <c r="G620" s="800">
        <f t="shared" si="312"/>
        <v>301817.4990909847</v>
      </c>
      <c r="H620" s="800">
        <f t="shared" si="313"/>
        <v>358693.72215851984</v>
      </c>
      <c r="I620" s="800">
        <f t="shared" si="314"/>
        <v>417075.09501126019</v>
      </c>
      <c r="J620" s="800">
        <f t="shared" si="315"/>
        <v>477639.06235094304</v>
      </c>
      <c r="K620" s="800">
        <f t="shared" si="316"/>
        <v>540107.4981411685</v>
      </c>
      <c r="L620" s="800">
        <f t="shared" si="317"/>
        <v>596143.70465554739</v>
      </c>
      <c r="M620" s="800">
        <f t="shared" si="318"/>
        <v>648401.06000000006</v>
      </c>
      <c r="N620" s="800" t="s">
        <v>166</v>
      </c>
      <c r="O620" s="800" t="s">
        <v>28</v>
      </c>
    </row>
    <row r="621" spans="1:15">
      <c r="A621" s="137" t="s">
        <v>103</v>
      </c>
      <c r="B621" s="800">
        <f t="shared" si="306"/>
        <v>27158.653287401761</v>
      </c>
      <c r="C621" s="800">
        <f t="shared" si="308"/>
        <v>63934.567557161834</v>
      </c>
      <c r="D621" s="800">
        <f t="shared" si="309"/>
        <v>104205.55366925096</v>
      </c>
      <c r="E621" s="800">
        <f t="shared" si="310"/>
        <v>137103.21047935824</v>
      </c>
      <c r="F621" s="800">
        <f t="shared" si="311"/>
        <v>180323.15949833317</v>
      </c>
      <c r="G621" s="800">
        <f t="shared" si="312"/>
        <v>224367.83902507511</v>
      </c>
      <c r="H621" s="800">
        <f t="shared" si="313"/>
        <v>276906.16815176595</v>
      </c>
      <c r="I621" s="800">
        <f t="shared" si="314"/>
        <v>325148.89481410827</v>
      </c>
      <c r="J621" s="800">
        <f t="shared" si="315"/>
        <v>369270.84941132262</v>
      </c>
      <c r="K621" s="800">
        <f t="shared" si="316"/>
        <v>417558.50580230064</v>
      </c>
      <c r="L621" s="800">
        <f t="shared" si="317"/>
        <v>460722.27511108713</v>
      </c>
      <c r="M621" s="800">
        <f t="shared" si="318"/>
        <v>499713.14999999997</v>
      </c>
      <c r="N621" s="800" t="s">
        <v>166</v>
      </c>
      <c r="O621" s="800" t="s">
        <v>28</v>
      </c>
    </row>
    <row r="622" spans="1:15">
      <c r="A622" s="137" t="s">
        <v>77</v>
      </c>
      <c r="B622" s="800">
        <f>B143</f>
        <v>14153.096979190623</v>
      </c>
      <c r="C622" s="800">
        <f t="shared" ref="C622:M622" si="319">C143</f>
        <v>29594.291801536699</v>
      </c>
      <c r="D622" s="800">
        <f t="shared" si="319"/>
        <v>45931.057964344422</v>
      </c>
      <c r="E622" s="800">
        <f t="shared" si="319"/>
        <v>61988.761535344674</v>
      </c>
      <c r="F622" s="800">
        <f t="shared" si="319"/>
        <v>84102.16376536699</v>
      </c>
      <c r="G622" s="800">
        <f t="shared" si="319"/>
        <v>104284.38124831475</v>
      </c>
      <c r="H622" s="800">
        <f t="shared" si="319"/>
        <v>127700.02691687323</v>
      </c>
      <c r="I622" s="800">
        <f t="shared" si="319"/>
        <v>152428.41962164102</v>
      </c>
      <c r="J622" s="800">
        <f t="shared" si="319"/>
        <v>179081.35986032232</v>
      </c>
      <c r="K622" s="800">
        <f t="shared" si="319"/>
        <v>205195.33413268658</v>
      </c>
      <c r="L622" s="800">
        <f t="shared" si="319"/>
        <v>227203.7087035171</v>
      </c>
      <c r="M622" s="800">
        <f t="shared" si="319"/>
        <v>247987.1</v>
      </c>
      <c r="N622" s="800" t="s">
        <v>214</v>
      </c>
      <c r="O622" s="800" t="s">
        <v>28</v>
      </c>
    </row>
    <row r="623" spans="1:15">
      <c r="A623" s="137" t="s">
        <v>78</v>
      </c>
      <c r="B623" s="800">
        <f t="shared" ref="B623:M623" si="320">B144</f>
        <v>42460.803324275978</v>
      </c>
      <c r="C623" s="800">
        <f t="shared" si="320"/>
        <v>93518.215571630266</v>
      </c>
      <c r="D623" s="800">
        <f t="shared" si="320"/>
        <v>147191.17164026876</v>
      </c>
      <c r="E623" s="800">
        <f t="shared" si="320"/>
        <v>200238.31578247581</v>
      </c>
      <c r="F623" s="800">
        <f t="shared" si="320"/>
        <v>255537.24888516811</v>
      </c>
      <c r="G623" s="800">
        <f t="shared" si="320"/>
        <v>304682.03105515684</v>
      </c>
      <c r="H623" s="800">
        <f t="shared" si="320"/>
        <v>366516.0752499018</v>
      </c>
      <c r="I623" s="800">
        <f t="shared" si="320"/>
        <v>428605.10519175336</v>
      </c>
      <c r="J623" s="800">
        <f t="shared" si="320"/>
        <v>485572.79839371343</v>
      </c>
      <c r="K623" s="800">
        <f t="shared" si="320"/>
        <v>552495.65988671465</v>
      </c>
      <c r="L623" s="800">
        <f t="shared" si="320"/>
        <v>614436.8693929764</v>
      </c>
      <c r="M623" s="800">
        <f t="shared" si="320"/>
        <v>671443.34000000008</v>
      </c>
      <c r="N623" s="800" t="s">
        <v>214</v>
      </c>
      <c r="O623" s="800" t="s">
        <v>28</v>
      </c>
    </row>
    <row r="624" spans="1:15">
      <c r="A624" s="137" t="s">
        <v>79</v>
      </c>
      <c r="B624" s="800">
        <f t="shared" ref="B624:M624" si="321">B145</f>
        <v>46573.793513059027</v>
      </c>
      <c r="C624" s="800">
        <f t="shared" si="321"/>
        <v>98495.483738853043</v>
      </c>
      <c r="D624" s="800">
        <f t="shared" si="321"/>
        <v>152088.2602194926</v>
      </c>
      <c r="E624" s="800">
        <f t="shared" si="321"/>
        <v>194528.18750946337</v>
      </c>
      <c r="F624" s="800">
        <f t="shared" si="321"/>
        <v>237275.65058963382</v>
      </c>
      <c r="G624" s="800">
        <f t="shared" si="321"/>
        <v>286841.23743897083</v>
      </c>
      <c r="H624" s="800">
        <f t="shared" si="321"/>
        <v>352764.19134151167</v>
      </c>
      <c r="I624" s="800">
        <f t="shared" si="321"/>
        <v>423837.54200517712</v>
      </c>
      <c r="J624" s="800">
        <f t="shared" si="321"/>
        <v>491781.43948066601</v>
      </c>
      <c r="K624" s="800">
        <f t="shared" si="321"/>
        <v>560063.26795751892</v>
      </c>
      <c r="L624" s="800">
        <f t="shared" si="321"/>
        <v>619614.86058053747</v>
      </c>
      <c r="M624" s="800">
        <f t="shared" si="321"/>
        <v>677529.99</v>
      </c>
      <c r="N624" s="800" t="s">
        <v>214</v>
      </c>
      <c r="O624" s="800" t="s">
        <v>28</v>
      </c>
    </row>
    <row r="625" spans="1:15">
      <c r="A625" s="137" t="s">
        <v>80</v>
      </c>
      <c r="B625" s="800">
        <f t="shared" ref="B625:M625" si="322">B146</f>
        <v>17395.582700617564</v>
      </c>
      <c r="C625" s="800">
        <f t="shared" si="322"/>
        <v>37658.283208817673</v>
      </c>
      <c r="D625" s="800">
        <f t="shared" si="322"/>
        <v>63827.225936188246</v>
      </c>
      <c r="E625" s="800">
        <f t="shared" si="322"/>
        <v>84378.815920360808</v>
      </c>
      <c r="F625" s="800">
        <f t="shared" si="322"/>
        <v>108275.10370037863</v>
      </c>
      <c r="G625" s="800">
        <f t="shared" si="322"/>
        <v>133126.25834230383</v>
      </c>
      <c r="H625" s="800">
        <f t="shared" si="322"/>
        <v>163769.71232260164</v>
      </c>
      <c r="I625" s="800">
        <f t="shared" si="322"/>
        <v>196080.06038362073</v>
      </c>
      <c r="J625" s="800">
        <f t="shared" si="322"/>
        <v>226194.74923842438</v>
      </c>
      <c r="K625" s="800">
        <f t="shared" si="322"/>
        <v>256693.93558156252</v>
      </c>
      <c r="L625" s="800">
        <f t="shared" si="322"/>
        <v>286598.83681640803</v>
      </c>
      <c r="M625" s="800">
        <f t="shared" si="322"/>
        <v>311896.82</v>
      </c>
      <c r="N625" s="800" t="s">
        <v>214</v>
      </c>
      <c r="O625" s="800" t="s">
        <v>28</v>
      </c>
    </row>
    <row r="626" spans="1:15">
      <c r="A626" s="137" t="s">
        <v>81</v>
      </c>
      <c r="B626" s="800">
        <f t="shared" ref="B626:M626" si="323">B147</f>
        <v>107499.29223824115</v>
      </c>
      <c r="C626" s="800">
        <f t="shared" si="323"/>
        <v>237881.81349700337</v>
      </c>
      <c r="D626" s="800">
        <f t="shared" si="323"/>
        <v>362097.31683658867</v>
      </c>
      <c r="E626" s="800">
        <f t="shared" si="323"/>
        <v>472592.12158080644</v>
      </c>
      <c r="F626" s="800">
        <f t="shared" si="323"/>
        <v>591679.83388075093</v>
      </c>
      <c r="G626" s="800">
        <f t="shared" si="323"/>
        <v>711667.17705989419</v>
      </c>
      <c r="H626" s="800">
        <f t="shared" si="323"/>
        <v>854505.06227753451</v>
      </c>
      <c r="I626" s="800">
        <f t="shared" si="323"/>
        <v>1007915.0962912124</v>
      </c>
      <c r="J626" s="800">
        <f t="shared" si="323"/>
        <v>1166105.5086399335</v>
      </c>
      <c r="K626" s="800">
        <f t="shared" si="323"/>
        <v>1324370.4690454886</v>
      </c>
      <c r="L626" s="800">
        <f t="shared" si="323"/>
        <v>1476308.4509837565</v>
      </c>
      <c r="M626" s="800">
        <f t="shared" si="323"/>
        <v>1628784.86</v>
      </c>
      <c r="N626" s="800" t="s">
        <v>214</v>
      </c>
      <c r="O626" s="800" t="s">
        <v>28</v>
      </c>
    </row>
    <row r="627" spans="1:15">
      <c r="A627" s="137" t="s">
        <v>82</v>
      </c>
      <c r="B627" s="800">
        <f t="shared" ref="B627:M627" si="324">B148</f>
        <v>72097.554879535179</v>
      </c>
      <c r="C627" s="800">
        <f t="shared" si="324"/>
        <v>148971.10509331938</v>
      </c>
      <c r="D627" s="800">
        <f t="shared" si="324"/>
        <v>217967.64733330984</v>
      </c>
      <c r="E627" s="800">
        <f t="shared" si="324"/>
        <v>283684.74550169887</v>
      </c>
      <c r="F627" s="800">
        <f t="shared" si="324"/>
        <v>351839.8665895203</v>
      </c>
      <c r="G627" s="800">
        <f t="shared" si="324"/>
        <v>438792.96077093942</v>
      </c>
      <c r="H627" s="800">
        <f t="shared" si="324"/>
        <v>542439.59419348999</v>
      </c>
      <c r="I627" s="800">
        <f t="shared" si="324"/>
        <v>647420.05836002587</v>
      </c>
      <c r="J627" s="800">
        <f t="shared" si="324"/>
        <v>750630.84040265041</v>
      </c>
      <c r="K627" s="800">
        <f t="shared" si="324"/>
        <v>866733.06871097325</v>
      </c>
      <c r="L627" s="800">
        <f t="shared" si="324"/>
        <v>968255.91624705552</v>
      </c>
      <c r="M627" s="800">
        <f t="shared" si="324"/>
        <v>1064727.24</v>
      </c>
      <c r="N627" s="800" t="s">
        <v>214</v>
      </c>
      <c r="O627" s="800" t="s">
        <v>28</v>
      </c>
    </row>
    <row r="628" spans="1:15">
      <c r="A628" s="137" t="s">
        <v>83</v>
      </c>
      <c r="B628" s="800">
        <f t="shared" ref="B628:M628" si="325">B149</f>
        <v>112911.10657826946</v>
      </c>
      <c r="C628" s="800">
        <f t="shared" si="325"/>
        <v>229718.93653191923</v>
      </c>
      <c r="D628" s="800">
        <f t="shared" si="325"/>
        <v>361746.49178524246</v>
      </c>
      <c r="E628" s="800">
        <f t="shared" si="325"/>
        <v>476771.46736918867</v>
      </c>
      <c r="F628" s="800">
        <f t="shared" si="325"/>
        <v>611017.69427191699</v>
      </c>
      <c r="G628" s="800">
        <f t="shared" si="325"/>
        <v>747388.29927669582</v>
      </c>
      <c r="H628" s="800">
        <f t="shared" si="325"/>
        <v>902856.35499596968</v>
      </c>
      <c r="I628" s="800">
        <f t="shared" si="325"/>
        <v>1058754.5504751368</v>
      </c>
      <c r="J628" s="800">
        <f t="shared" si="325"/>
        <v>1205563.3976594845</v>
      </c>
      <c r="K628" s="800">
        <f t="shared" si="325"/>
        <v>1365076.3517954727</v>
      </c>
      <c r="L628" s="800">
        <f t="shared" si="325"/>
        <v>1511413.4987473323</v>
      </c>
      <c r="M628" s="800">
        <f t="shared" si="325"/>
        <v>1640958.15</v>
      </c>
      <c r="N628" s="800" t="s">
        <v>214</v>
      </c>
      <c r="O628" s="800" t="s">
        <v>28</v>
      </c>
    </row>
    <row r="629" spans="1:15">
      <c r="A629" s="137" t="s">
        <v>84</v>
      </c>
      <c r="B629" s="800">
        <f t="shared" ref="B629:M629" si="326">B150</f>
        <v>99356.985774323402</v>
      </c>
      <c r="C629" s="800">
        <f t="shared" si="326"/>
        <v>214246.74659722473</v>
      </c>
      <c r="D629" s="800">
        <f t="shared" si="326"/>
        <v>331188.07717196096</v>
      </c>
      <c r="E629" s="800">
        <f t="shared" si="326"/>
        <v>431362.42041129625</v>
      </c>
      <c r="F629" s="800">
        <f t="shared" si="326"/>
        <v>547191.16326745925</v>
      </c>
      <c r="G629" s="800">
        <f t="shared" si="326"/>
        <v>667025.01031110296</v>
      </c>
      <c r="H629" s="800">
        <f t="shared" si="326"/>
        <v>812078.65827096882</v>
      </c>
      <c r="I629" s="800">
        <f t="shared" si="326"/>
        <v>971082.12390974199</v>
      </c>
      <c r="J629" s="800">
        <f t="shared" si="326"/>
        <v>1109713.2732323897</v>
      </c>
      <c r="K629" s="800">
        <f t="shared" si="326"/>
        <v>1269455.2624533235</v>
      </c>
      <c r="L629" s="800">
        <f t="shared" si="326"/>
        <v>1403645.74348815</v>
      </c>
      <c r="M629" s="800">
        <f t="shared" si="326"/>
        <v>1537311.36</v>
      </c>
      <c r="N629" s="800" t="s">
        <v>214</v>
      </c>
      <c r="O629" s="800" t="s">
        <v>28</v>
      </c>
    </row>
    <row r="630" spans="1:15">
      <c r="A630" s="137" t="s">
        <v>85</v>
      </c>
      <c r="B630" s="800">
        <f t="shared" ref="B630:M630" si="327">B151</f>
        <v>178536.54123541439</v>
      </c>
      <c r="C630" s="800">
        <f t="shared" si="327"/>
        <v>389273.62849876587</v>
      </c>
      <c r="D630" s="800">
        <f t="shared" si="327"/>
        <v>606195.64152996789</v>
      </c>
      <c r="E630" s="800">
        <f t="shared" si="327"/>
        <v>825485.59297960077</v>
      </c>
      <c r="F630" s="800">
        <f t="shared" si="327"/>
        <v>1069403.0261027946</v>
      </c>
      <c r="G630" s="800">
        <f t="shared" si="327"/>
        <v>1311586.2683297042</v>
      </c>
      <c r="H630" s="800">
        <f t="shared" si="327"/>
        <v>1607614.4872246219</v>
      </c>
      <c r="I630" s="800">
        <f t="shared" si="327"/>
        <v>1878431.1277477448</v>
      </c>
      <c r="J630" s="800">
        <f t="shared" si="327"/>
        <v>2134652.4570483067</v>
      </c>
      <c r="K630" s="800">
        <f t="shared" si="327"/>
        <v>2406163.3031026288</v>
      </c>
      <c r="L630" s="800">
        <f t="shared" si="327"/>
        <v>2638077.8748798142</v>
      </c>
      <c r="M630" s="800">
        <f t="shared" si="327"/>
        <v>2884284.79</v>
      </c>
      <c r="N630" s="800" t="s">
        <v>214</v>
      </c>
      <c r="O630" s="800" t="s">
        <v>28</v>
      </c>
    </row>
    <row r="631" spans="1:15">
      <c r="A631" s="137" t="s">
        <v>86</v>
      </c>
      <c r="B631" s="800">
        <f t="shared" ref="B631:M631" si="328">B152</f>
        <v>31958.9418658424</v>
      </c>
      <c r="C631" s="800">
        <f t="shared" si="328"/>
        <v>68776.204319878074</v>
      </c>
      <c r="D631" s="800">
        <f t="shared" si="328"/>
        <v>103786.81087984357</v>
      </c>
      <c r="E631" s="800">
        <f t="shared" si="328"/>
        <v>134204.3302128897</v>
      </c>
      <c r="F631" s="800">
        <f t="shared" si="328"/>
        <v>167349.86407591397</v>
      </c>
      <c r="G631" s="800">
        <f t="shared" si="328"/>
        <v>206867.29544521109</v>
      </c>
      <c r="H631" s="800">
        <f t="shared" si="328"/>
        <v>254492.31419169932</v>
      </c>
      <c r="I631" s="800">
        <f t="shared" si="328"/>
        <v>304238.53453990549</v>
      </c>
      <c r="J631" s="800">
        <f t="shared" si="328"/>
        <v>353119.70771894912</v>
      </c>
      <c r="K631" s="800">
        <f t="shared" si="328"/>
        <v>404882.1327428525</v>
      </c>
      <c r="L631" s="800">
        <f t="shared" si="328"/>
        <v>450039.31239454681</v>
      </c>
      <c r="M631" s="800">
        <f t="shared" si="328"/>
        <v>489800.62</v>
      </c>
      <c r="N631" s="800" t="s">
        <v>214</v>
      </c>
      <c r="O631" s="800" t="s">
        <v>28</v>
      </c>
    </row>
    <row r="632" spans="1:15">
      <c r="A632" s="137" t="s">
        <v>87</v>
      </c>
      <c r="B632" s="800">
        <f t="shared" ref="B632:M632" si="329">B153</f>
        <v>291922.82663448359</v>
      </c>
      <c r="C632" s="800">
        <f t="shared" si="329"/>
        <v>689243.40746120678</v>
      </c>
      <c r="D632" s="800">
        <f t="shared" si="329"/>
        <v>1134667.1139800507</v>
      </c>
      <c r="E632" s="800">
        <f t="shared" si="329"/>
        <v>1551186.8060064146</v>
      </c>
      <c r="F632" s="800">
        <f t="shared" si="329"/>
        <v>2027740.3507553271</v>
      </c>
      <c r="G632" s="800">
        <f t="shared" si="329"/>
        <v>2521590.3510440257</v>
      </c>
      <c r="H632" s="800">
        <f t="shared" si="329"/>
        <v>3052098.7162263454</v>
      </c>
      <c r="I632" s="800">
        <f t="shared" si="329"/>
        <v>3568640.3687229394</v>
      </c>
      <c r="J632" s="800">
        <f t="shared" si="329"/>
        <v>4049143.2599868029</v>
      </c>
      <c r="K632" s="800">
        <f t="shared" si="329"/>
        <v>4534026.4931034073</v>
      </c>
      <c r="L632" s="800">
        <f t="shared" si="329"/>
        <v>4963659.1633602614</v>
      </c>
      <c r="M632" s="800">
        <f t="shared" si="329"/>
        <v>5364068.88</v>
      </c>
      <c r="N632" s="800" t="s">
        <v>214</v>
      </c>
      <c r="O632" s="800" t="s">
        <v>28</v>
      </c>
    </row>
    <row r="633" spans="1:15">
      <c r="A633" s="137" t="s">
        <v>88</v>
      </c>
      <c r="B633" s="800">
        <f t="shared" ref="B633:M633" si="330">B154</f>
        <v>126567.392543425</v>
      </c>
      <c r="C633" s="800">
        <f t="shared" si="330"/>
        <v>288542.05816539843</v>
      </c>
      <c r="D633" s="800">
        <f t="shared" si="330"/>
        <v>461651.64215814054</v>
      </c>
      <c r="E633" s="800">
        <f t="shared" si="330"/>
        <v>635569.07607974904</v>
      </c>
      <c r="F633" s="800">
        <f t="shared" si="330"/>
        <v>824218.01851039159</v>
      </c>
      <c r="G633" s="800">
        <f t="shared" si="330"/>
        <v>992477.49004471488</v>
      </c>
      <c r="H633" s="800">
        <f t="shared" si="330"/>
        <v>1190735.2165706875</v>
      </c>
      <c r="I633" s="800">
        <f t="shared" si="330"/>
        <v>1385825.2133188248</v>
      </c>
      <c r="J633" s="800">
        <f t="shared" si="330"/>
        <v>1562879.962532545</v>
      </c>
      <c r="K633" s="800">
        <f t="shared" si="330"/>
        <v>1744567.8982965448</v>
      </c>
      <c r="L633" s="800">
        <f t="shared" si="330"/>
        <v>1923106.7696633008</v>
      </c>
      <c r="M633" s="800">
        <f t="shared" si="330"/>
        <v>2068501.13</v>
      </c>
      <c r="N633" s="800" t="s">
        <v>214</v>
      </c>
      <c r="O633" s="800" t="s">
        <v>28</v>
      </c>
    </row>
    <row r="634" spans="1:15">
      <c r="A634" s="137" t="s">
        <v>89</v>
      </c>
      <c r="B634" s="800">
        <f t="shared" ref="B634:M634" si="331">B155</f>
        <v>213250.58174898554</v>
      </c>
      <c r="C634" s="800">
        <f t="shared" si="331"/>
        <v>436502.40177273942</v>
      </c>
      <c r="D634" s="800">
        <f t="shared" si="331"/>
        <v>677740.85172772722</v>
      </c>
      <c r="E634" s="800">
        <f t="shared" si="331"/>
        <v>896555.91038818972</v>
      </c>
      <c r="F634" s="800">
        <f t="shared" si="331"/>
        <v>1147358.5746936644</v>
      </c>
      <c r="G634" s="800">
        <f t="shared" si="331"/>
        <v>1401620.058114623</v>
      </c>
      <c r="H634" s="800">
        <f t="shared" si="331"/>
        <v>1695624.0767819313</v>
      </c>
      <c r="I634" s="800">
        <f t="shared" si="331"/>
        <v>1995543.884672181</v>
      </c>
      <c r="J634" s="800">
        <f t="shared" si="331"/>
        <v>2273820.0405581691</v>
      </c>
      <c r="K634" s="800">
        <f t="shared" si="331"/>
        <v>2564218.7550216923</v>
      </c>
      <c r="L634" s="800">
        <f t="shared" si="331"/>
        <v>2834326.0256880014</v>
      </c>
      <c r="M634" s="800">
        <f t="shared" si="331"/>
        <v>3102099.55</v>
      </c>
      <c r="N634" s="800" t="s">
        <v>214</v>
      </c>
      <c r="O634" s="800" t="s">
        <v>28</v>
      </c>
    </row>
    <row r="635" spans="1:15">
      <c r="A635" s="137" t="s">
        <v>90</v>
      </c>
      <c r="B635" s="800">
        <f t="shared" ref="B635:M635" si="332">B156</f>
        <v>57514.542956744095</v>
      </c>
      <c r="C635" s="800">
        <f t="shared" si="332"/>
        <v>126222.01934749074</v>
      </c>
      <c r="D635" s="800">
        <f t="shared" si="332"/>
        <v>194864.0439209438</v>
      </c>
      <c r="E635" s="800">
        <f t="shared" si="332"/>
        <v>255732.90832969558</v>
      </c>
      <c r="F635" s="800">
        <f t="shared" si="332"/>
        <v>322221.4889731874</v>
      </c>
      <c r="G635" s="800">
        <f t="shared" si="332"/>
        <v>398714.3006360674</v>
      </c>
      <c r="H635" s="800">
        <f t="shared" si="332"/>
        <v>481772.36859929201</v>
      </c>
      <c r="I635" s="800">
        <f t="shared" si="332"/>
        <v>572473.02629575098</v>
      </c>
      <c r="J635" s="800">
        <f t="shared" si="332"/>
        <v>661067.03109765716</v>
      </c>
      <c r="K635" s="800">
        <f t="shared" si="332"/>
        <v>757071.35952488414</v>
      </c>
      <c r="L635" s="800">
        <f t="shared" si="332"/>
        <v>846877.96266841376</v>
      </c>
      <c r="M635" s="800">
        <f t="shared" si="332"/>
        <v>928212.6</v>
      </c>
      <c r="N635" s="800" t="s">
        <v>214</v>
      </c>
      <c r="O635" s="800" t="s">
        <v>28</v>
      </c>
    </row>
    <row r="636" spans="1:15">
      <c r="A636" s="137" t="s">
        <v>91</v>
      </c>
      <c r="B636" s="800">
        <f t="shared" ref="B636:M636" si="333">B157</f>
        <v>59241.221082721509</v>
      </c>
      <c r="C636" s="800">
        <f t="shared" si="333"/>
        <v>126182.48826087402</v>
      </c>
      <c r="D636" s="800">
        <f t="shared" si="333"/>
        <v>194773.18059248652</v>
      </c>
      <c r="E636" s="800">
        <f t="shared" si="333"/>
        <v>254523.94099837411</v>
      </c>
      <c r="F636" s="800">
        <f t="shared" si="333"/>
        <v>318617.86532275809</v>
      </c>
      <c r="G636" s="800">
        <f t="shared" si="333"/>
        <v>380944.61167891446</v>
      </c>
      <c r="H636" s="800">
        <f t="shared" si="333"/>
        <v>458053.33854118822</v>
      </c>
      <c r="I636" s="800">
        <f t="shared" si="333"/>
        <v>538205.48114433012</v>
      </c>
      <c r="J636" s="800">
        <f t="shared" si="333"/>
        <v>627937.10588623374</v>
      </c>
      <c r="K636" s="800">
        <f t="shared" si="333"/>
        <v>718256.89931885817</v>
      </c>
      <c r="L636" s="800">
        <f t="shared" si="333"/>
        <v>798126.35422152816</v>
      </c>
      <c r="M636" s="800">
        <f t="shared" si="333"/>
        <v>878041.3</v>
      </c>
      <c r="N636" s="800" t="s">
        <v>214</v>
      </c>
      <c r="O636" s="800" t="s">
        <v>28</v>
      </c>
    </row>
    <row r="637" spans="1:15">
      <c r="A637" s="137" t="s">
        <v>92</v>
      </c>
      <c r="B637" s="800">
        <f t="shared" ref="B637:M637" si="334">B158</f>
        <v>118861.29978357063</v>
      </c>
      <c r="C637" s="800">
        <f t="shared" si="334"/>
        <v>263246.2391983156</v>
      </c>
      <c r="D637" s="800">
        <f t="shared" si="334"/>
        <v>418530.40187277965</v>
      </c>
      <c r="E637" s="800">
        <f t="shared" si="334"/>
        <v>561778.85683921748</v>
      </c>
      <c r="F637" s="800">
        <f t="shared" si="334"/>
        <v>723559.89739786985</v>
      </c>
      <c r="G637" s="800">
        <f t="shared" si="334"/>
        <v>875728.95889480761</v>
      </c>
      <c r="H637" s="800">
        <f t="shared" si="334"/>
        <v>1056957.1424695801</v>
      </c>
      <c r="I637" s="800">
        <f t="shared" si="334"/>
        <v>1233482.4623946287</v>
      </c>
      <c r="J637" s="800">
        <f t="shared" si="334"/>
        <v>1404485.2473699478</v>
      </c>
      <c r="K637" s="800">
        <f t="shared" si="334"/>
        <v>1580809.3739131184</v>
      </c>
      <c r="L637" s="800">
        <f t="shared" si="334"/>
        <v>1741215.4890366583</v>
      </c>
      <c r="M637" s="800">
        <f t="shared" si="334"/>
        <v>1890684.29</v>
      </c>
      <c r="N637" s="800" t="s">
        <v>214</v>
      </c>
      <c r="O637" s="800" t="s">
        <v>28</v>
      </c>
    </row>
    <row r="638" spans="1:15">
      <c r="A638" s="137" t="s">
        <v>93</v>
      </c>
      <c r="B638" s="800">
        <f t="shared" ref="B638:M638" si="335">B159</f>
        <v>36350.300440269879</v>
      </c>
      <c r="C638" s="800">
        <f t="shared" si="335"/>
        <v>78214.042762187179</v>
      </c>
      <c r="D638" s="800">
        <f t="shared" si="335"/>
        <v>119861.87826524104</v>
      </c>
      <c r="E638" s="800">
        <f t="shared" si="335"/>
        <v>153341.55605354649</v>
      </c>
      <c r="F638" s="800">
        <f t="shared" si="335"/>
        <v>192488.39487887279</v>
      </c>
      <c r="G638" s="800">
        <f t="shared" si="335"/>
        <v>229133.11714231869</v>
      </c>
      <c r="H638" s="800">
        <f t="shared" si="335"/>
        <v>274639.5726206706</v>
      </c>
      <c r="I638" s="800">
        <f t="shared" si="335"/>
        <v>322886.40356319211</v>
      </c>
      <c r="J638" s="800">
        <f t="shared" si="335"/>
        <v>370670.66513381014</v>
      </c>
      <c r="K638" s="800">
        <f t="shared" si="335"/>
        <v>423727.40296529321</v>
      </c>
      <c r="L638" s="800">
        <f t="shared" si="335"/>
        <v>473217.42382021231</v>
      </c>
      <c r="M638" s="800">
        <f t="shared" si="335"/>
        <v>521167.17000000004</v>
      </c>
      <c r="N638" s="800" t="s">
        <v>214</v>
      </c>
      <c r="O638" s="800" t="s">
        <v>28</v>
      </c>
    </row>
    <row r="639" spans="1:15">
      <c r="A639" s="137" t="s">
        <v>94</v>
      </c>
      <c r="B639" s="800">
        <f t="shared" ref="B639:M639" si="336">B160</f>
        <v>456190.3638661828</v>
      </c>
      <c r="C639" s="800">
        <f t="shared" si="336"/>
        <v>901457.52066639904</v>
      </c>
      <c r="D639" s="800">
        <f t="shared" si="336"/>
        <v>1373783.4247814559</v>
      </c>
      <c r="E639" s="800">
        <f t="shared" si="336"/>
        <v>1743525.2526369914</v>
      </c>
      <c r="F639" s="800">
        <f t="shared" si="336"/>
        <v>2204296.4525330984</v>
      </c>
      <c r="G639" s="800">
        <f t="shared" si="336"/>
        <v>2725851.9927402032</v>
      </c>
      <c r="H639" s="800">
        <f t="shared" si="336"/>
        <v>3348946.7341314573</v>
      </c>
      <c r="I639" s="800">
        <f t="shared" si="336"/>
        <v>4004594.003813636</v>
      </c>
      <c r="J639" s="800">
        <f t="shared" si="336"/>
        <v>4605512.2183589619</v>
      </c>
      <c r="K639" s="800">
        <f t="shared" si="336"/>
        <v>5299275.6263191616</v>
      </c>
      <c r="L639" s="800">
        <f t="shared" si="336"/>
        <v>5899099.6604015008</v>
      </c>
      <c r="M639" s="800">
        <f t="shared" si="336"/>
        <v>6434187.1500000004</v>
      </c>
      <c r="N639" s="800" t="s">
        <v>214</v>
      </c>
      <c r="O639" s="800" t="s">
        <v>28</v>
      </c>
    </row>
    <row r="640" spans="1:15">
      <c r="A640" s="137" t="s">
        <v>95</v>
      </c>
      <c r="B640" s="800">
        <f t="shared" ref="B640:M640" si="337">B161</f>
        <v>418013.46363112103</v>
      </c>
      <c r="C640" s="800">
        <f t="shared" si="337"/>
        <v>852545.56981753116</v>
      </c>
      <c r="D640" s="800">
        <f t="shared" si="337"/>
        <v>1297388.1840027606</v>
      </c>
      <c r="E640" s="800">
        <f t="shared" si="337"/>
        <v>1647961.7159559794</v>
      </c>
      <c r="F640" s="800">
        <f t="shared" si="337"/>
        <v>2052493.238307839</v>
      </c>
      <c r="G640" s="800">
        <f t="shared" si="337"/>
        <v>2504821.2553856727</v>
      </c>
      <c r="H640" s="800">
        <f t="shared" si="337"/>
        <v>3017748.953894143</v>
      </c>
      <c r="I640" s="800">
        <f t="shared" si="337"/>
        <v>3561084.3500864701</v>
      </c>
      <c r="J640" s="800">
        <f t="shared" si="337"/>
        <v>4107494.8573484789</v>
      </c>
      <c r="K640" s="800">
        <f t="shared" si="337"/>
        <v>4678773.4469909966</v>
      </c>
      <c r="L640" s="800">
        <f t="shared" si="337"/>
        <v>5205060.9023182401</v>
      </c>
      <c r="M640" s="800">
        <f t="shared" si="337"/>
        <v>5685356.5199999996</v>
      </c>
      <c r="N640" s="800" t="s">
        <v>214</v>
      </c>
      <c r="O640" s="800" t="s">
        <v>28</v>
      </c>
    </row>
    <row r="641" spans="1:15">
      <c r="A641" s="137" t="s">
        <v>96</v>
      </c>
      <c r="B641" s="800">
        <f t="shared" ref="B641:M641" si="338">B162</f>
        <v>59452.275327294556</v>
      </c>
      <c r="C641" s="800">
        <f t="shared" si="338"/>
        <v>125722.66855366014</v>
      </c>
      <c r="D641" s="800">
        <f t="shared" si="338"/>
        <v>195573.30482102325</v>
      </c>
      <c r="E641" s="800">
        <f t="shared" si="338"/>
        <v>261611.15332057895</v>
      </c>
      <c r="F641" s="800">
        <f t="shared" si="338"/>
        <v>331405.49235839653</v>
      </c>
      <c r="G641" s="800">
        <f t="shared" si="338"/>
        <v>398306.22991567472</v>
      </c>
      <c r="H641" s="800">
        <f t="shared" si="338"/>
        <v>487990.78307178634</v>
      </c>
      <c r="I641" s="800">
        <f t="shared" si="338"/>
        <v>575720.64764420304</v>
      </c>
      <c r="J641" s="800">
        <f t="shared" si="338"/>
        <v>666073.19659979467</v>
      </c>
      <c r="K641" s="800">
        <f t="shared" si="338"/>
        <v>752445.23236197769</v>
      </c>
      <c r="L641" s="800">
        <f t="shared" si="338"/>
        <v>837427.98449921166</v>
      </c>
      <c r="M641" s="800">
        <f t="shared" si="338"/>
        <v>918560.92999999993</v>
      </c>
      <c r="N641" s="800" t="s">
        <v>214</v>
      </c>
      <c r="O641" s="800" t="s">
        <v>28</v>
      </c>
    </row>
    <row r="642" spans="1:15">
      <c r="A642" s="137" t="s">
        <v>97</v>
      </c>
      <c r="B642" s="800">
        <f t="shared" ref="B642:M642" si="339">B163</f>
        <v>65832.629286414041</v>
      </c>
      <c r="C642" s="800">
        <f t="shared" si="339"/>
        <v>137759.18606022853</v>
      </c>
      <c r="D642" s="800">
        <f t="shared" si="339"/>
        <v>213561.74724524649</v>
      </c>
      <c r="E642" s="800">
        <f t="shared" si="339"/>
        <v>279924.6434789949</v>
      </c>
      <c r="F642" s="800">
        <f t="shared" si="339"/>
        <v>355914.11775015714</v>
      </c>
      <c r="G642" s="800">
        <f t="shared" si="339"/>
        <v>431736.77226357139</v>
      </c>
      <c r="H642" s="800">
        <f t="shared" si="339"/>
        <v>516594.8096607101</v>
      </c>
      <c r="I642" s="800">
        <f t="shared" si="339"/>
        <v>605571.55071388104</v>
      </c>
      <c r="J642" s="800">
        <f t="shared" si="339"/>
        <v>692348.40272806643</v>
      </c>
      <c r="K642" s="800">
        <f t="shared" si="339"/>
        <v>786202.28351534787</v>
      </c>
      <c r="L642" s="800">
        <f t="shared" si="339"/>
        <v>871202.23745605489</v>
      </c>
      <c r="M642" s="800">
        <f t="shared" si="339"/>
        <v>955515.52</v>
      </c>
      <c r="N642" s="800" t="s">
        <v>214</v>
      </c>
      <c r="O642" s="800" t="s">
        <v>28</v>
      </c>
    </row>
    <row r="643" spans="1:15">
      <c r="A643" s="137" t="s">
        <v>98</v>
      </c>
      <c r="B643" s="800">
        <f t="shared" ref="B643:M643" si="340">B164</f>
        <v>7040.3249554350077</v>
      </c>
      <c r="C643" s="800">
        <f t="shared" si="340"/>
        <v>15680.93816910438</v>
      </c>
      <c r="D643" s="800">
        <f t="shared" si="340"/>
        <v>24708.414529393147</v>
      </c>
      <c r="E643" s="800">
        <f t="shared" si="340"/>
        <v>33807.336219319994</v>
      </c>
      <c r="F643" s="800">
        <f t="shared" si="340"/>
        <v>43601.254335409765</v>
      </c>
      <c r="G643" s="800">
        <f t="shared" si="340"/>
        <v>54086.168079343915</v>
      </c>
      <c r="H643" s="800">
        <f t="shared" si="340"/>
        <v>66833.55541692565</v>
      </c>
      <c r="I643" s="800">
        <f t="shared" si="340"/>
        <v>78564.6011174624</v>
      </c>
      <c r="J643" s="800">
        <f t="shared" si="340"/>
        <v>89921.548621106806</v>
      </c>
      <c r="K643" s="800">
        <f t="shared" si="340"/>
        <v>100431.54644499013</v>
      </c>
      <c r="L643" s="800">
        <f t="shared" si="340"/>
        <v>110347.4412357929</v>
      </c>
      <c r="M643" s="800">
        <f t="shared" si="340"/>
        <v>119732.91</v>
      </c>
      <c r="N643" s="800" t="s">
        <v>214</v>
      </c>
      <c r="O643" s="800" t="s">
        <v>28</v>
      </c>
    </row>
    <row r="644" spans="1:15">
      <c r="A644" s="137" t="s">
        <v>99</v>
      </c>
      <c r="B644" s="800">
        <f t="shared" ref="B644:M644" si="341">B165</f>
        <v>561434.16114770866</v>
      </c>
      <c r="C644" s="800">
        <f t="shared" si="341"/>
        <v>1237379.899793562</v>
      </c>
      <c r="D644" s="800">
        <f t="shared" si="341"/>
        <v>1955448.9082283536</v>
      </c>
      <c r="E644" s="800">
        <f t="shared" si="341"/>
        <v>2594153.9324500016</v>
      </c>
      <c r="F644" s="800">
        <f t="shared" si="341"/>
        <v>3262289.7837766819</v>
      </c>
      <c r="G644" s="800">
        <f t="shared" si="341"/>
        <v>3830387.5862249723</v>
      </c>
      <c r="H644" s="800">
        <f t="shared" si="341"/>
        <v>4844452.0420675986</v>
      </c>
      <c r="I644" s="800">
        <f t="shared" si="341"/>
        <v>5628808.4433315936</v>
      </c>
      <c r="J644" s="800">
        <f t="shared" si="341"/>
        <v>6389522.1365283271</v>
      </c>
      <c r="K644" s="800">
        <f t="shared" si="341"/>
        <v>7096181.5251488285</v>
      </c>
      <c r="L644" s="800">
        <f t="shared" si="341"/>
        <v>7941960.4381508864</v>
      </c>
      <c r="M644" s="800">
        <f t="shared" si="341"/>
        <v>8793716.6199999992</v>
      </c>
      <c r="N644" s="800" t="s">
        <v>214</v>
      </c>
      <c r="O644" s="800" t="s">
        <v>28</v>
      </c>
    </row>
    <row r="645" spans="1:15">
      <c r="A645" s="137" t="s">
        <v>100</v>
      </c>
      <c r="B645" s="800">
        <f t="shared" ref="B645:M645" si="342">B166</f>
        <v>287008.73281483969</v>
      </c>
      <c r="C645" s="800">
        <f t="shared" si="342"/>
        <v>688765.50539955811</v>
      </c>
      <c r="D645" s="800">
        <f t="shared" si="342"/>
        <v>1130086.8556612306</v>
      </c>
      <c r="E645" s="800">
        <f t="shared" si="342"/>
        <v>1532636.8155321493</v>
      </c>
      <c r="F645" s="800">
        <f t="shared" si="342"/>
        <v>1989286.2240691355</v>
      </c>
      <c r="G645" s="800">
        <f t="shared" si="342"/>
        <v>2442005.5559607577</v>
      </c>
      <c r="H645" s="800">
        <f t="shared" si="342"/>
        <v>2929937.0567525583</v>
      </c>
      <c r="I645" s="800">
        <f t="shared" si="342"/>
        <v>3436106.9475606401</v>
      </c>
      <c r="J645" s="800">
        <f t="shared" si="342"/>
        <v>3941323.1356234467</v>
      </c>
      <c r="K645" s="800">
        <f t="shared" si="342"/>
        <v>4463826.6621204745</v>
      </c>
      <c r="L645" s="800">
        <f t="shared" si="342"/>
        <v>4937833.1707249526</v>
      </c>
      <c r="M645" s="800">
        <f t="shared" si="342"/>
        <v>5391545.71</v>
      </c>
      <c r="N645" s="800" t="s">
        <v>214</v>
      </c>
      <c r="O645" s="800" t="s">
        <v>28</v>
      </c>
    </row>
    <row r="646" spans="1:15">
      <c r="A646" s="137" t="s">
        <v>101</v>
      </c>
      <c r="B646" s="800">
        <f t="shared" ref="B646:M646" si="343">B167</f>
        <v>43502.993556505309</v>
      </c>
      <c r="C646" s="800">
        <f t="shared" si="343"/>
        <v>94377.369826788723</v>
      </c>
      <c r="D646" s="800">
        <f t="shared" si="343"/>
        <v>147468.03475252687</v>
      </c>
      <c r="E646" s="800">
        <f t="shared" si="343"/>
        <v>192254.36100970022</v>
      </c>
      <c r="F646" s="800">
        <f t="shared" si="343"/>
        <v>242457.96450120525</v>
      </c>
      <c r="G646" s="800">
        <f t="shared" si="343"/>
        <v>294159.46039378527</v>
      </c>
      <c r="H646" s="800">
        <f t="shared" si="343"/>
        <v>353243.46088822879</v>
      </c>
      <c r="I646" s="800">
        <f t="shared" si="343"/>
        <v>415616.3862985468</v>
      </c>
      <c r="J646" s="800">
        <f t="shared" si="343"/>
        <v>476542.04437489674</v>
      </c>
      <c r="K646" s="800">
        <f t="shared" si="343"/>
        <v>539621.94928581174</v>
      </c>
      <c r="L646" s="800">
        <f t="shared" si="343"/>
        <v>595406.59233558946</v>
      </c>
      <c r="M646" s="800">
        <f t="shared" si="343"/>
        <v>648401.06000000006</v>
      </c>
      <c r="N646" s="800" t="s">
        <v>214</v>
      </c>
      <c r="O646" s="800" t="s">
        <v>28</v>
      </c>
    </row>
    <row r="647" spans="1:15">
      <c r="A647" s="137" t="s">
        <v>102</v>
      </c>
      <c r="B647" s="800">
        <f t="shared" ref="B647:M647" si="344">B168</f>
        <v>2336675.6570441672</v>
      </c>
      <c r="C647" s="800">
        <f t="shared" si="344"/>
        <v>4841790.49957994</v>
      </c>
      <c r="D647" s="800">
        <f t="shared" si="344"/>
        <v>7333349.505424181</v>
      </c>
      <c r="E647" s="800">
        <f t="shared" si="344"/>
        <v>9699782.3429149166</v>
      </c>
      <c r="F647" s="800">
        <f t="shared" si="344"/>
        <v>12126731.263757747</v>
      </c>
      <c r="G647" s="800">
        <f t="shared" si="344"/>
        <v>14522048.018224206</v>
      </c>
      <c r="H647" s="800">
        <f t="shared" si="344"/>
        <v>17258666.156568084</v>
      </c>
      <c r="I647" s="800">
        <f t="shared" si="344"/>
        <v>20067705.070782159</v>
      </c>
      <c r="J647" s="800">
        <f t="shared" si="344"/>
        <v>22981760.235012054</v>
      </c>
      <c r="K647" s="800">
        <f t="shared" si="344"/>
        <v>25987449.523741927</v>
      </c>
      <c r="L647" s="800">
        <f t="shared" si="344"/>
        <v>28683649.989956859</v>
      </c>
      <c r="M647" s="800">
        <f t="shared" si="344"/>
        <v>31198029.792000003</v>
      </c>
      <c r="N647" s="800" t="s">
        <v>214</v>
      </c>
      <c r="O647" s="800" t="s">
        <v>28</v>
      </c>
    </row>
    <row r="648" spans="1:15">
      <c r="A648" s="137" t="s">
        <v>103</v>
      </c>
      <c r="B648" s="800">
        <f t="shared" ref="B648:M648" si="345">B169</f>
        <v>27158.653287401761</v>
      </c>
      <c r="C648" s="800">
        <f t="shared" si="345"/>
        <v>63934.567557161834</v>
      </c>
      <c r="D648" s="800">
        <f t="shared" si="345"/>
        <v>104205.55366925096</v>
      </c>
      <c r="E648" s="800">
        <f t="shared" si="345"/>
        <v>137103.21047935824</v>
      </c>
      <c r="F648" s="800">
        <f t="shared" si="345"/>
        <v>180323.15949833317</v>
      </c>
      <c r="G648" s="800">
        <f t="shared" si="345"/>
        <v>224367.83902507511</v>
      </c>
      <c r="H648" s="800">
        <f t="shared" si="345"/>
        <v>276906.16815176595</v>
      </c>
      <c r="I648" s="800">
        <f t="shared" si="345"/>
        <v>325148.89481410827</v>
      </c>
      <c r="J648" s="800">
        <f t="shared" si="345"/>
        <v>369270.84941132262</v>
      </c>
      <c r="K648" s="800">
        <f t="shared" si="345"/>
        <v>417558.50580230064</v>
      </c>
      <c r="L648" s="800">
        <f t="shared" si="345"/>
        <v>460722.27511108713</v>
      </c>
      <c r="M648" s="800">
        <f t="shared" si="345"/>
        <v>499713.14999999997</v>
      </c>
      <c r="N648" s="800" t="s">
        <v>214</v>
      </c>
      <c r="O648" s="800" t="s">
        <v>28</v>
      </c>
    </row>
    <row r="649" spans="1:15">
      <c r="A649" s="137" t="s">
        <v>77</v>
      </c>
      <c r="B649" s="800">
        <f t="shared" ref="B649:B675" si="346">AF177</f>
        <v>1973.5680000000002</v>
      </c>
      <c r="C649" s="800">
        <f t="shared" ref="C649:M649" si="347">AG177</f>
        <v>3646.0640000000003</v>
      </c>
      <c r="D649" s="800">
        <f t="shared" si="347"/>
        <v>4330.0239999999994</v>
      </c>
      <c r="E649" s="800">
        <f t="shared" si="347"/>
        <v>2913.52</v>
      </c>
      <c r="F649" s="800">
        <f t="shared" si="347"/>
        <v>3701.5520000000006</v>
      </c>
      <c r="G649" s="800">
        <f t="shared" si="347"/>
        <v>2419.04</v>
      </c>
      <c r="H649" s="800">
        <f t="shared" si="347"/>
        <v>3805.5200000000004</v>
      </c>
      <c r="I649" s="800">
        <f t="shared" si="347"/>
        <v>4929.9040000000005</v>
      </c>
      <c r="J649" s="800">
        <f t="shared" si="347"/>
        <v>3060.7280000000001</v>
      </c>
      <c r="K649" s="800">
        <f t="shared" si="347"/>
        <v>0</v>
      </c>
      <c r="L649" s="800">
        <f t="shared" si="347"/>
        <v>0</v>
      </c>
      <c r="M649" s="800">
        <f t="shared" si="347"/>
        <v>0</v>
      </c>
      <c r="N649" s="800" t="s">
        <v>167</v>
      </c>
      <c r="O649" s="800" t="s">
        <v>132</v>
      </c>
    </row>
    <row r="650" spans="1:15">
      <c r="A650" s="137" t="s">
        <v>78</v>
      </c>
      <c r="B650" s="800">
        <f t="shared" si="346"/>
        <v>6551.88</v>
      </c>
      <c r="C650" s="800">
        <f t="shared" ref="C650:C675" si="348">AG178</f>
        <v>5885.6080000000002</v>
      </c>
      <c r="D650" s="800">
        <f t="shared" ref="D650:D675" si="349">AH178</f>
        <v>5611.8879999999999</v>
      </c>
      <c r="E650" s="800">
        <f t="shared" ref="E650:E675" si="350">AI178</f>
        <v>5178.9440000000004</v>
      </c>
      <c r="F650" s="800">
        <f t="shared" ref="F650:F675" si="351">AJ178</f>
        <v>5095.8720000000003</v>
      </c>
      <c r="G650" s="800">
        <f t="shared" ref="G650:G675" si="352">AK178</f>
        <v>6789.5120000000015</v>
      </c>
      <c r="H650" s="800">
        <f t="shared" ref="H650:H675" si="353">AL178</f>
        <v>4916.16</v>
      </c>
      <c r="I650" s="800">
        <f t="shared" ref="I650:I675" si="354">AM178</f>
        <v>9229.119999999999</v>
      </c>
      <c r="J650" s="800">
        <f t="shared" ref="J650:J675" si="355">AN178</f>
        <v>6780.4480000000012</v>
      </c>
      <c r="K650" s="800">
        <f t="shared" ref="K650:K675" si="356">AO178</f>
        <v>0</v>
      </c>
      <c r="L650" s="800">
        <f t="shared" ref="L650:L675" si="357">AP178</f>
        <v>0</v>
      </c>
      <c r="M650" s="800">
        <f t="shared" ref="M650:M675" si="358">AQ178</f>
        <v>0</v>
      </c>
      <c r="N650" s="800" t="s">
        <v>167</v>
      </c>
      <c r="O650" s="800" t="s">
        <v>132</v>
      </c>
    </row>
    <row r="651" spans="1:15">
      <c r="A651" s="137" t="s">
        <v>79</v>
      </c>
      <c r="B651" s="800">
        <f t="shared" si="346"/>
        <v>3912.6400000000003</v>
      </c>
      <c r="C651" s="800">
        <f t="shared" si="348"/>
        <v>4466.32</v>
      </c>
      <c r="D651" s="800">
        <f t="shared" si="349"/>
        <v>4404.04</v>
      </c>
      <c r="E651" s="800">
        <f t="shared" si="350"/>
        <v>4281.4640000000009</v>
      </c>
      <c r="F651" s="800">
        <f t="shared" si="351"/>
        <v>3140.76</v>
      </c>
      <c r="G651" s="800">
        <f t="shared" si="352"/>
        <v>2553.3680000000004</v>
      </c>
      <c r="H651" s="800">
        <f t="shared" si="353"/>
        <v>5913.0879999999997</v>
      </c>
      <c r="I651" s="800">
        <f t="shared" si="354"/>
        <v>3804.424</v>
      </c>
      <c r="J651" s="800">
        <f t="shared" si="355"/>
        <v>4939.6960000000008</v>
      </c>
      <c r="K651" s="800">
        <f t="shared" si="356"/>
        <v>0</v>
      </c>
      <c r="L651" s="800">
        <f t="shared" si="357"/>
        <v>0</v>
      </c>
      <c r="M651" s="800">
        <f t="shared" si="358"/>
        <v>0</v>
      </c>
      <c r="N651" s="800" t="s">
        <v>167</v>
      </c>
      <c r="O651" s="800" t="s">
        <v>132</v>
      </c>
    </row>
    <row r="652" spans="1:15">
      <c r="A652" s="137" t="s">
        <v>80</v>
      </c>
      <c r="B652" s="800">
        <f t="shared" si="346"/>
        <v>4253.7840000000006</v>
      </c>
      <c r="C652" s="800">
        <f t="shared" si="348"/>
        <v>6205.112000000001</v>
      </c>
      <c r="D652" s="800">
        <f t="shared" si="349"/>
        <v>6999.1840000000002</v>
      </c>
      <c r="E652" s="800">
        <f t="shared" si="350"/>
        <v>5589.8079999999991</v>
      </c>
      <c r="F652" s="800">
        <f t="shared" si="351"/>
        <v>5128.9119999999994</v>
      </c>
      <c r="G652" s="800">
        <f t="shared" si="352"/>
        <v>5866.952000000002</v>
      </c>
      <c r="H652" s="800">
        <f t="shared" si="353"/>
        <v>7086.1760000000013</v>
      </c>
      <c r="I652" s="800">
        <f t="shared" si="354"/>
        <v>7465.4560000000001</v>
      </c>
      <c r="J652" s="800">
        <f t="shared" si="355"/>
        <v>6657.8740000000016</v>
      </c>
      <c r="K652" s="800">
        <f t="shared" si="356"/>
        <v>0</v>
      </c>
      <c r="L652" s="800">
        <f t="shared" si="357"/>
        <v>0</v>
      </c>
      <c r="M652" s="800">
        <f t="shared" si="358"/>
        <v>0</v>
      </c>
      <c r="N652" s="800" t="s">
        <v>167</v>
      </c>
      <c r="O652" s="800" t="s">
        <v>132</v>
      </c>
    </row>
    <row r="653" spans="1:15">
      <c r="A653" s="137" t="s">
        <v>81</v>
      </c>
      <c r="B653" s="800">
        <f t="shared" si="346"/>
        <v>12183.904</v>
      </c>
      <c r="C653" s="800">
        <f t="shared" si="348"/>
        <v>15737.248000000005</v>
      </c>
      <c r="D653" s="800">
        <f t="shared" si="349"/>
        <v>19794.656000000003</v>
      </c>
      <c r="E653" s="800">
        <f t="shared" si="350"/>
        <v>20817.968000000001</v>
      </c>
      <c r="F653" s="800">
        <f t="shared" si="351"/>
        <v>19921.039999999997</v>
      </c>
      <c r="G653" s="800">
        <f t="shared" si="352"/>
        <v>13829.952000000001</v>
      </c>
      <c r="H653" s="800">
        <f t="shared" si="353"/>
        <v>17526.024000000001</v>
      </c>
      <c r="I653" s="800">
        <f t="shared" si="354"/>
        <v>25032.312000000002</v>
      </c>
      <c r="J653" s="800">
        <f t="shared" si="355"/>
        <v>24223.608</v>
      </c>
      <c r="K653" s="800">
        <f t="shared" si="356"/>
        <v>0</v>
      </c>
      <c r="L653" s="800">
        <f t="shared" si="357"/>
        <v>0</v>
      </c>
      <c r="M653" s="800">
        <f t="shared" si="358"/>
        <v>0</v>
      </c>
      <c r="N653" s="800" t="s">
        <v>167</v>
      </c>
      <c r="O653" s="800" t="s">
        <v>132</v>
      </c>
    </row>
    <row r="654" spans="1:15">
      <c r="A654" s="137" t="s">
        <v>82</v>
      </c>
      <c r="B654" s="800">
        <f t="shared" si="346"/>
        <v>15204.544000000002</v>
      </c>
      <c r="C654" s="800">
        <f t="shared" si="348"/>
        <v>13189.888000000001</v>
      </c>
      <c r="D654" s="800">
        <f t="shared" si="349"/>
        <v>17974.727999999999</v>
      </c>
      <c r="E654" s="800">
        <f t="shared" si="350"/>
        <v>9136.6640000000007</v>
      </c>
      <c r="F654" s="800">
        <f t="shared" si="351"/>
        <v>13215.32</v>
      </c>
      <c r="G654" s="800">
        <f t="shared" si="352"/>
        <v>21362.424000000003</v>
      </c>
      <c r="H654" s="800">
        <f t="shared" si="353"/>
        <v>26844.552</v>
      </c>
      <c r="I654" s="800">
        <f t="shared" si="354"/>
        <v>31971.88</v>
      </c>
      <c r="J654" s="800">
        <f t="shared" si="355"/>
        <v>28576.239999999998</v>
      </c>
      <c r="K654" s="800">
        <f t="shared" si="356"/>
        <v>0</v>
      </c>
      <c r="L654" s="800">
        <f t="shared" si="357"/>
        <v>0</v>
      </c>
      <c r="M654" s="800">
        <f t="shared" si="358"/>
        <v>0</v>
      </c>
      <c r="N654" s="800" t="s">
        <v>167</v>
      </c>
      <c r="O654" s="800" t="s">
        <v>132</v>
      </c>
    </row>
    <row r="655" spans="1:15">
      <c r="A655" s="137" t="s">
        <v>83</v>
      </c>
      <c r="B655" s="800">
        <f t="shared" si="346"/>
        <v>18313.168000000001</v>
      </c>
      <c r="C655" s="800">
        <f t="shared" si="348"/>
        <v>14923.616000000004</v>
      </c>
      <c r="D655" s="800">
        <f t="shared" si="349"/>
        <v>15589.96</v>
      </c>
      <c r="E655" s="800">
        <f t="shared" si="350"/>
        <v>13695.072000000002</v>
      </c>
      <c r="F655" s="800">
        <f t="shared" si="351"/>
        <v>39566.047999999995</v>
      </c>
      <c r="G655" s="800">
        <f t="shared" si="352"/>
        <v>28231.216000000004</v>
      </c>
      <c r="H655" s="800">
        <f t="shared" si="353"/>
        <v>27949.584000000006</v>
      </c>
      <c r="I655" s="800">
        <f t="shared" si="354"/>
        <v>43496.880000000005</v>
      </c>
      <c r="J655" s="800">
        <f t="shared" si="355"/>
        <v>39840.663999999997</v>
      </c>
      <c r="K655" s="800">
        <f t="shared" si="356"/>
        <v>0</v>
      </c>
      <c r="L655" s="800">
        <f t="shared" si="357"/>
        <v>0</v>
      </c>
      <c r="M655" s="800">
        <f t="shared" si="358"/>
        <v>0</v>
      </c>
      <c r="N655" s="800" t="s">
        <v>167</v>
      </c>
      <c r="O655" s="800" t="s">
        <v>132</v>
      </c>
    </row>
    <row r="656" spans="1:15">
      <c r="A656" s="137" t="s">
        <v>84</v>
      </c>
      <c r="B656" s="800">
        <f t="shared" si="346"/>
        <v>7768.463999999999</v>
      </c>
      <c r="C656" s="800">
        <f t="shared" si="348"/>
        <v>11635.696</v>
      </c>
      <c r="D656" s="800">
        <f t="shared" si="349"/>
        <v>14032.560000000001</v>
      </c>
      <c r="E656" s="800">
        <f t="shared" si="350"/>
        <v>7445.3920000000007</v>
      </c>
      <c r="F656" s="800">
        <f t="shared" si="351"/>
        <v>12203.032000000001</v>
      </c>
      <c r="G656" s="800">
        <f t="shared" si="352"/>
        <v>9967.5760000000009</v>
      </c>
      <c r="H656" s="800">
        <f t="shared" si="353"/>
        <v>12884.480000000001</v>
      </c>
      <c r="I656" s="800">
        <f t="shared" si="354"/>
        <v>20668.256000000001</v>
      </c>
      <c r="J656" s="800">
        <f t="shared" si="355"/>
        <v>19832.311999999998</v>
      </c>
      <c r="K656" s="800">
        <f t="shared" si="356"/>
        <v>0</v>
      </c>
      <c r="L656" s="800">
        <f t="shared" si="357"/>
        <v>0</v>
      </c>
      <c r="M656" s="800">
        <f t="shared" si="358"/>
        <v>0</v>
      </c>
      <c r="N656" s="800" t="s">
        <v>167</v>
      </c>
      <c r="O656" s="800" t="s">
        <v>132</v>
      </c>
    </row>
    <row r="657" spans="1:15">
      <c r="A657" s="137" t="s">
        <v>85</v>
      </c>
      <c r="B657" s="800">
        <f t="shared" si="346"/>
        <v>13443.144</v>
      </c>
      <c r="C657" s="800">
        <f t="shared" si="348"/>
        <v>12828.864000000001</v>
      </c>
      <c r="D657" s="800">
        <f t="shared" si="349"/>
        <v>18685.832000000002</v>
      </c>
      <c r="E657" s="800">
        <f t="shared" si="350"/>
        <v>12107.199999999999</v>
      </c>
      <c r="F657" s="800">
        <f t="shared" si="351"/>
        <v>13619.84</v>
      </c>
      <c r="G657" s="800">
        <f t="shared" si="352"/>
        <v>13772.128000000001</v>
      </c>
      <c r="H657" s="800">
        <f t="shared" si="353"/>
        <v>25756.872000000003</v>
      </c>
      <c r="I657" s="800">
        <f t="shared" si="354"/>
        <v>40161.040000000001</v>
      </c>
      <c r="J657" s="800">
        <f t="shared" si="355"/>
        <v>36068.351999999999</v>
      </c>
      <c r="K657" s="800">
        <f t="shared" si="356"/>
        <v>0</v>
      </c>
      <c r="L657" s="800">
        <f t="shared" si="357"/>
        <v>0</v>
      </c>
      <c r="M657" s="800">
        <f t="shared" si="358"/>
        <v>0</v>
      </c>
      <c r="N657" s="800" t="s">
        <v>167</v>
      </c>
      <c r="O657" s="800" t="s">
        <v>132</v>
      </c>
    </row>
    <row r="658" spans="1:15">
      <c r="A658" s="137" t="s">
        <v>86</v>
      </c>
      <c r="B658" s="800">
        <f t="shared" si="346"/>
        <v>2823.36</v>
      </c>
      <c r="C658" s="800">
        <f t="shared" si="348"/>
        <v>5137.2800000000007</v>
      </c>
      <c r="D658" s="800">
        <f t="shared" si="349"/>
        <v>4715.6000000000004</v>
      </c>
      <c r="E658" s="800">
        <f t="shared" si="350"/>
        <v>2949.4640000000004</v>
      </c>
      <c r="F658" s="800">
        <f t="shared" si="351"/>
        <v>8454.0959999999995</v>
      </c>
      <c r="G658" s="800">
        <f t="shared" si="352"/>
        <v>4350.2960000000003</v>
      </c>
      <c r="H658" s="800">
        <f t="shared" si="353"/>
        <v>6094.04</v>
      </c>
      <c r="I658" s="800">
        <f t="shared" si="354"/>
        <v>10119.144000000002</v>
      </c>
      <c r="J658" s="800">
        <f t="shared" si="355"/>
        <v>7829.9120000000012</v>
      </c>
      <c r="K658" s="800">
        <f t="shared" si="356"/>
        <v>0</v>
      </c>
      <c r="L658" s="800">
        <f t="shared" si="357"/>
        <v>0</v>
      </c>
      <c r="M658" s="800">
        <f t="shared" si="358"/>
        <v>0</v>
      </c>
      <c r="N658" s="800" t="s">
        <v>167</v>
      </c>
      <c r="O658" s="800" t="s">
        <v>132</v>
      </c>
    </row>
    <row r="659" spans="1:15">
      <c r="A659" s="137" t="s">
        <v>87</v>
      </c>
      <c r="B659" s="800">
        <f t="shared" si="346"/>
        <v>8133.2639999999992</v>
      </c>
      <c r="C659" s="800">
        <f t="shared" si="348"/>
        <v>7937.0079999999989</v>
      </c>
      <c r="D659" s="800">
        <f t="shared" si="349"/>
        <v>11944.248</v>
      </c>
      <c r="E659" s="800">
        <f t="shared" si="350"/>
        <v>10256.504000000001</v>
      </c>
      <c r="F659" s="800">
        <f t="shared" si="351"/>
        <v>7627.5519999999997</v>
      </c>
      <c r="G659" s="800">
        <f t="shared" si="352"/>
        <v>10129.768</v>
      </c>
      <c r="H659" s="800">
        <f t="shared" si="353"/>
        <v>12720.008</v>
      </c>
      <c r="I659" s="800">
        <f t="shared" si="354"/>
        <v>11765.616</v>
      </c>
      <c r="J659" s="800">
        <f t="shared" si="355"/>
        <v>14054.367999999999</v>
      </c>
      <c r="K659" s="800">
        <f t="shared" si="356"/>
        <v>0</v>
      </c>
      <c r="L659" s="800">
        <f t="shared" si="357"/>
        <v>0</v>
      </c>
      <c r="M659" s="800">
        <f t="shared" si="358"/>
        <v>0</v>
      </c>
      <c r="N659" s="800" t="s">
        <v>167</v>
      </c>
      <c r="O659" s="800" t="s">
        <v>132</v>
      </c>
    </row>
    <row r="660" spans="1:15">
      <c r="A660" s="137" t="s">
        <v>88</v>
      </c>
      <c r="B660" s="800">
        <f t="shared" si="346"/>
        <v>11452.376000000002</v>
      </c>
      <c r="C660" s="800">
        <f t="shared" si="348"/>
        <v>16917.176000000003</v>
      </c>
      <c r="D660" s="800">
        <f t="shared" si="349"/>
        <v>12919.144</v>
      </c>
      <c r="E660" s="800">
        <f t="shared" si="350"/>
        <v>14024.848</v>
      </c>
      <c r="F660" s="800">
        <f t="shared" si="351"/>
        <v>15595.600000000002</v>
      </c>
      <c r="G660" s="800">
        <f t="shared" si="352"/>
        <v>16681.016000000003</v>
      </c>
      <c r="H660" s="800">
        <f t="shared" si="353"/>
        <v>14851.536</v>
      </c>
      <c r="I660" s="800">
        <f t="shared" si="354"/>
        <v>26528.472000000005</v>
      </c>
      <c r="J660" s="800">
        <f t="shared" si="355"/>
        <v>31069.528000000009</v>
      </c>
      <c r="K660" s="800">
        <f t="shared" si="356"/>
        <v>0</v>
      </c>
      <c r="L660" s="800">
        <f t="shared" si="357"/>
        <v>0</v>
      </c>
      <c r="M660" s="800">
        <f t="shared" si="358"/>
        <v>0</v>
      </c>
      <c r="N660" s="800" t="s">
        <v>167</v>
      </c>
      <c r="O660" s="800" t="s">
        <v>132</v>
      </c>
    </row>
    <row r="661" spans="1:15">
      <c r="A661" s="137" t="s">
        <v>89</v>
      </c>
      <c r="B661" s="800">
        <f t="shared" si="346"/>
        <v>42590.271999999997</v>
      </c>
      <c r="C661" s="800">
        <f t="shared" si="348"/>
        <v>48997.536</v>
      </c>
      <c r="D661" s="800">
        <f t="shared" si="349"/>
        <v>68535.551999999996</v>
      </c>
      <c r="E661" s="800">
        <f t="shared" si="350"/>
        <v>51851.952000000012</v>
      </c>
      <c r="F661" s="800">
        <f t="shared" si="351"/>
        <v>50655.896000000008</v>
      </c>
      <c r="G661" s="800">
        <f t="shared" si="352"/>
        <v>46528.90400000001</v>
      </c>
      <c r="H661" s="800">
        <f t="shared" si="353"/>
        <v>62597.824000000008</v>
      </c>
      <c r="I661" s="800">
        <f t="shared" si="354"/>
        <v>73563.135999999999</v>
      </c>
      <c r="J661" s="800">
        <f t="shared" si="355"/>
        <v>52313.4</v>
      </c>
      <c r="K661" s="800">
        <f t="shared" si="356"/>
        <v>0</v>
      </c>
      <c r="L661" s="800">
        <f t="shared" si="357"/>
        <v>0</v>
      </c>
      <c r="M661" s="800">
        <f t="shared" si="358"/>
        <v>0</v>
      </c>
      <c r="N661" s="800" t="s">
        <v>167</v>
      </c>
      <c r="O661" s="800" t="s">
        <v>132</v>
      </c>
    </row>
    <row r="662" spans="1:15">
      <c r="A662" s="137" t="s">
        <v>90</v>
      </c>
      <c r="B662" s="800">
        <f t="shared" si="346"/>
        <v>6658.9519999999993</v>
      </c>
      <c r="C662" s="800">
        <f t="shared" si="348"/>
        <v>9064.496000000001</v>
      </c>
      <c r="D662" s="800">
        <f t="shared" si="349"/>
        <v>9643.1759999999995</v>
      </c>
      <c r="E662" s="800">
        <f t="shared" si="350"/>
        <v>7691.6399999999994</v>
      </c>
      <c r="F662" s="800">
        <f t="shared" si="351"/>
        <v>10161.448</v>
      </c>
      <c r="G662" s="800">
        <f t="shared" si="352"/>
        <v>9589.4160000000011</v>
      </c>
      <c r="H662" s="800">
        <f t="shared" si="353"/>
        <v>10016.24</v>
      </c>
      <c r="I662" s="800">
        <f t="shared" si="354"/>
        <v>10418.280000000001</v>
      </c>
      <c r="J662" s="800">
        <f t="shared" si="355"/>
        <v>10011.704000000002</v>
      </c>
      <c r="K662" s="800">
        <f t="shared" si="356"/>
        <v>0</v>
      </c>
      <c r="L662" s="800">
        <f t="shared" si="357"/>
        <v>0</v>
      </c>
      <c r="M662" s="800">
        <f t="shared" si="358"/>
        <v>0</v>
      </c>
      <c r="N662" s="800" t="s">
        <v>167</v>
      </c>
      <c r="O662" s="800" t="s">
        <v>132</v>
      </c>
    </row>
    <row r="663" spans="1:15">
      <c r="A663" s="137" t="s">
        <v>91</v>
      </c>
      <c r="B663" s="800">
        <f t="shared" si="346"/>
        <v>8130.1200000000008</v>
      </c>
      <c r="C663" s="800">
        <f t="shared" si="348"/>
        <v>10173.064</v>
      </c>
      <c r="D663" s="800">
        <f t="shared" si="349"/>
        <v>19173.728000000003</v>
      </c>
      <c r="E663" s="800">
        <f t="shared" si="350"/>
        <v>8968.1760000000013</v>
      </c>
      <c r="F663" s="800">
        <f t="shared" si="351"/>
        <v>10455.416000000003</v>
      </c>
      <c r="G663" s="800">
        <f t="shared" si="352"/>
        <v>10201.072</v>
      </c>
      <c r="H663" s="800">
        <f t="shared" si="353"/>
        <v>13406.000000000002</v>
      </c>
      <c r="I663" s="800">
        <f t="shared" si="354"/>
        <v>18957.944000000003</v>
      </c>
      <c r="J663" s="800">
        <f t="shared" si="355"/>
        <v>20681.991999999998</v>
      </c>
      <c r="K663" s="800">
        <f t="shared" si="356"/>
        <v>0</v>
      </c>
      <c r="L663" s="800">
        <f t="shared" si="357"/>
        <v>0</v>
      </c>
      <c r="M663" s="800">
        <f t="shared" si="358"/>
        <v>0</v>
      </c>
      <c r="N663" s="800" t="s">
        <v>167</v>
      </c>
      <c r="O663" s="800" t="s">
        <v>132</v>
      </c>
    </row>
    <row r="664" spans="1:15">
      <c r="A664" s="137" t="s">
        <v>92</v>
      </c>
      <c r="B664" s="800">
        <f t="shared" si="346"/>
        <v>30126.624000000003</v>
      </c>
      <c r="C664" s="800">
        <f t="shared" si="348"/>
        <v>53709.823999999993</v>
      </c>
      <c r="D664" s="800">
        <f t="shared" si="349"/>
        <v>51653.90400000001</v>
      </c>
      <c r="E664" s="800">
        <f t="shared" si="350"/>
        <v>34586.648000000008</v>
      </c>
      <c r="F664" s="800">
        <f t="shared" si="351"/>
        <v>39238.424000000006</v>
      </c>
      <c r="G664" s="800">
        <f t="shared" si="352"/>
        <v>40618.232000000011</v>
      </c>
      <c r="H664" s="800">
        <f t="shared" si="353"/>
        <v>47244.087999999996</v>
      </c>
      <c r="I664" s="800">
        <f t="shared" si="354"/>
        <v>60971.912000000004</v>
      </c>
      <c r="J664" s="800">
        <f t="shared" si="355"/>
        <v>47552.04</v>
      </c>
      <c r="K664" s="800">
        <f t="shared" si="356"/>
        <v>0</v>
      </c>
      <c r="L664" s="800">
        <f t="shared" si="357"/>
        <v>0</v>
      </c>
      <c r="M664" s="800">
        <f t="shared" si="358"/>
        <v>0</v>
      </c>
      <c r="N664" s="800" t="s">
        <v>167</v>
      </c>
      <c r="O664" s="800" t="s">
        <v>132</v>
      </c>
    </row>
    <row r="665" spans="1:15">
      <c r="A665" s="137" t="s">
        <v>93</v>
      </c>
      <c r="B665" s="800">
        <f t="shared" si="346"/>
        <v>15557.080000000002</v>
      </c>
      <c r="C665" s="800">
        <f t="shared" si="348"/>
        <v>21446.824000000004</v>
      </c>
      <c r="D665" s="800">
        <f t="shared" si="349"/>
        <v>13843.784000000001</v>
      </c>
      <c r="E665" s="800">
        <f t="shared" si="350"/>
        <v>13938.376</v>
      </c>
      <c r="F665" s="800">
        <f t="shared" si="351"/>
        <v>22232.967999999997</v>
      </c>
      <c r="G665" s="800">
        <f t="shared" si="352"/>
        <v>20050.896000000001</v>
      </c>
      <c r="H665" s="800">
        <f t="shared" si="353"/>
        <v>18359.152000000002</v>
      </c>
      <c r="I665" s="800">
        <f t="shared" si="354"/>
        <v>26249.376</v>
      </c>
      <c r="J665" s="800">
        <f t="shared" si="355"/>
        <v>19906.919999999998</v>
      </c>
      <c r="K665" s="800">
        <f t="shared" si="356"/>
        <v>0</v>
      </c>
      <c r="L665" s="800">
        <f t="shared" si="357"/>
        <v>0</v>
      </c>
      <c r="M665" s="800">
        <f t="shared" si="358"/>
        <v>0</v>
      </c>
      <c r="N665" s="800" t="s">
        <v>167</v>
      </c>
      <c r="O665" s="800" t="s">
        <v>132</v>
      </c>
    </row>
    <row r="666" spans="1:15">
      <c r="A666" s="137" t="s">
        <v>94</v>
      </c>
      <c r="B666" s="800">
        <f t="shared" si="346"/>
        <v>3522.096</v>
      </c>
      <c r="C666" s="800">
        <f t="shared" si="348"/>
        <v>1935.8320000000001</v>
      </c>
      <c r="D666" s="800">
        <f t="shared" si="349"/>
        <v>4160.4720000000007</v>
      </c>
      <c r="E666" s="800">
        <f t="shared" si="350"/>
        <v>2128.768</v>
      </c>
      <c r="F666" s="800">
        <f t="shared" si="351"/>
        <v>2053.0320000000002</v>
      </c>
      <c r="G666" s="800">
        <f t="shared" si="352"/>
        <v>2008.84</v>
      </c>
      <c r="H666" s="800">
        <f t="shared" si="353"/>
        <v>3284.7339999999999</v>
      </c>
      <c r="I666" s="800">
        <f t="shared" si="354"/>
        <v>7030.0159999999996</v>
      </c>
      <c r="J666" s="800">
        <f t="shared" si="355"/>
        <v>4342.2880000000005</v>
      </c>
      <c r="K666" s="800">
        <f t="shared" si="356"/>
        <v>0</v>
      </c>
      <c r="L666" s="800">
        <f t="shared" si="357"/>
        <v>0</v>
      </c>
      <c r="M666" s="800">
        <f t="shared" si="358"/>
        <v>0</v>
      </c>
      <c r="N666" s="800" t="s">
        <v>167</v>
      </c>
      <c r="O666" s="800" t="s">
        <v>132</v>
      </c>
    </row>
    <row r="667" spans="1:15">
      <c r="A667" s="137" t="s">
        <v>95</v>
      </c>
      <c r="B667" s="800">
        <f t="shared" si="346"/>
        <v>39874.312000000005</v>
      </c>
      <c r="C667" s="800">
        <f t="shared" si="348"/>
        <v>44206.44</v>
      </c>
      <c r="D667" s="800">
        <f t="shared" si="349"/>
        <v>50936</v>
      </c>
      <c r="E667" s="800">
        <f t="shared" si="350"/>
        <v>30851.512000000002</v>
      </c>
      <c r="F667" s="800">
        <f t="shared" si="351"/>
        <v>38524.063999999991</v>
      </c>
      <c r="G667" s="800">
        <f t="shared" si="352"/>
        <v>29934.240000000002</v>
      </c>
      <c r="H667" s="800">
        <f t="shared" si="353"/>
        <v>46441.840000000004</v>
      </c>
      <c r="I667" s="800">
        <f t="shared" si="354"/>
        <v>63462.296000000009</v>
      </c>
      <c r="J667" s="800">
        <f t="shared" si="355"/>
        <v>59576.680000000008</v>
      </c>
      <c r="K667" s="800">
        <f t="shared" si="356"/>
        <v>0</v>
      </c>
      <c r="L667" s="800">
        <f t="shared" si="357"/>
        <v>0</v>
      </c>
      <c r="M667" s="800">
        <f t="shared" si="358"/>
        <v>0</v>
      </c>
      <c r="N667" s="800" t="s">
        <v>167</v>
      </c>
      <c r="O667" s="800" t="s">
        <v>132</v>
      </c>
    </row>
    <row r="668" spans="1:15">
      <c r="A668" s="137" t="s">
        <v>96</v>
      </c>
      <c r="B668" s="800">
        <f t="shared" si="346"/>
        <v>4345.4480000000003</v>
      </c>
      <c r="C668" s="800">
        <f t="shared" si="348"/>
        <v>8004.7439999999997</v>
      </c>
      <c r="D668" s="800">
        <f t="shared" si="349"/>
        <v>9372.9680000000008</v>
      </c>
      <c r="E668" s="800">
        <f t="shared" si="350"/>
        <v>12992.127999999999</v>
      </c>
      <c r="F668" s="800">
        <f t="shared" si="351"/>
        <v>6690.3520000000017</v>
      </c>
      <c r="G668" s="800">
        <f t="shared" si="352"/>
        <v>6141.0479999999998</v>
      </c>
      <c r="H668" s="800">
        <f t="shared" si="353"/>
        <v>12929.655999999999</v>
      </c>
      <c r="I668" s="800">
        <f t="shared" si="354"/>
        <v>10975.632000000001</v>
      </c>
      <c r="J668" s="800">
        <f t="shared" si="355"/>
        <v>8898.2320000000018</v>
      </c>
      <c r="K668" s="800">
        <f t="shared" si="356"/>
        <v>0</v>
      </c>
      <c r="L668" s="800">
        <f t="shared" si="357"/>
        <v>0</v>
      </c>
      <c r="M668" s="800">
        <f t="shared" si="358"/>
        <v>0</v>
      </c>
      <c r="N668" s="800" t="s">
        <v>167</v>
      </c>
      <c r="O668" s="800" t="s">
        <v>132</v>
      </c>
    </row>
    <row r="669" spans="1:15">
      <c r="A669" s="137" t="s">
        <v>97</v>
      </c>
      <c r="B669" s="800">
        <f t="shared" si="346"/>
        <v>44244.136000000006</v>
      </c>
      <c r="C669" s="800">
        <f t="shared" si="348"/>
        <v>55187.72800000001</v>
      </c>
      <c r="D669" s="800">
        <f t="shared" si="349"/>
        <v>62431.815999999999</v>
      </c>
      <c r="E669" s="800">
        <f t="shared" si="350"/>
        <v>40458.864000000001</v>
      </c>
      <c r="F669" s="800">
        <f t="shared" si="351"/>
        <v>53201.104000000007</v>
      </c>
      <c r="G669" s="800">
        <f t="shared" si="352"/>
        <v>50202.960000000006</v>
      </c>
      <c r="H669" s="800">
        <f t="shared" si="353"/>
        <v>61667.92</v>
      </c>
      <c r="I669" s="800">
        <f t="shared" si="354"/>
        <v>67354.416000000012</v>
      </c>
      <c r="J669" s="800">
        <f t="shared" si="355"/>
        <v>62744.600000000006</v>
      </c>
      <c r="K669" s="800">
        <f t="shared" si="356"/>
        <v>0</v>
      </c>
      <c r="L669" s="800">
        <f t="shared" si="357"/>
        <v>0</v>
      </c>
      <c r="M669" s="800">
        <f t="shared" si="358"/>
        <v>0</v>
      </c>
      <c r="N669" s="800" t="s">
        <v>167</v>
      </c>
      <c r="O669" s="800" t="s">
        <v>132</v>
      </c>
    </row>
    <row r="670" spans="1:15">
      <c r="A670" s="137" t="s">
        <v>98</v>
      </c>
      <c r="B670" s="800">
        <f t="shared" si="346"/>
        <v>3074.848</v>
      </c>
      <c r="C670" s="800">
        <f t="shared" si="348"/>
        <v>5115.0640000000003</v>
      </c>
      <c r="D670" s="800">
        <f t="shared" si="349"/>
        <v>5009.0879999999997</v>
      </c>
      <c r="E670" s="800">
        <f t="shared" si="350"/>
        <v>5177.4559999999992</v>
      </c>
      <c r="F670" s="800">
        <f t="shared" si="351"/>
        <v>4858.384</v>
      </c>
      <c r="G670" s="800">
        <f t="shared" si="352"/>
        <v>3001.3760000000002</v>
      </c>
      <c r="H670" s="800">
        <f t="shared" si="353"/>
        <v>4519.3680000000013</v>
      </c>
      <c r="I670" s="800">
        <f t="shared" si="354"/>
        <v>9255.112000000001</v>
      </c>
      <c r="J670" s="800">
        <f t="shared" si="355"/>
        <v>14981.040000000003</v>
      </c>
      <c r="K670" s="800">
        <f t="shared" si="356"/>
        <v>0</v>
      </c>
      <c r="L670" s="800">
        <f t="shared" si="357"/>
        <v>0</v>
      </c>
      <c r="M670" s="800">
        <f t="shared" si="358"/>
        <v>0</v>
      </c>
      <c r="N670" s="800" t="s">
        <v>167</v>
      </c>
      <c r="O670" s="800" t="s">
        <v>132</v>
      </c>
    </row>
    <row r="671" spans="1:15">
      <c r="A671" s="137" t="s">
        <v>99</v>
      </c>
      <c r="B671" s="800">
        <f t="shared" si="346"/>
        <v>231.648</v>
      </c>
      <c r="C671" s="800">
        <f t="shared" si="348"/>
        <v>1442.2720000000002</v>
      </c>
      <c r="D671" s="800">
        <f t="shared" si="349"/>
        <v>987.05600000000015</v>
      </c>
      <c r="E671" s="800">
        <f t="shared" si="350"/>
        <v>429.976</v>
      </c>
      <c r="F671" s="800">
        <f t="shared" si="351"/>
        <v>102.18400000000001</v>
      </c>
      <c r="G671" s="800">
        <f t="shared" si="352"/>
        <v>607.60800000000006</v>
      </c>
      <c r="H671" s="800">
        <f t="shared" si="353"/>
        <v>366.75200000000007</v>
      </c>
      <c r="I671" s="800">
        <f t="shared" si="354"/>
        <v>328.32800000000003</v>
      </c>
      <c r="J671" s="800">
        <f t="shared" si="355"/>
        <v>731.84800000000007</v>
      </c>
      <c r="K671" s="800">
        <f t="shared" si="356"/>
        <v>0</v>
      </c>
      <c r="L671" s="800">
        <f t="shared" si="357"/>
        <v>0</v>
      </c>
      <c r="M671" s="800">
        <f t="shared" si="358"/>
        <v>0</v>
      </c>
      <c r="N671" s="800" t="s">
        <v>167</v>
      </c>
      <c r="O671" s="800" t="s">
        <v>132</v>
      </c>
    </row>
    <row r="672" spans="1:15">
      <c r="A672" s="137" t="s">
        <v>100</v>
      </c>
      <c r="B672" s="800">
        <f t="shared" si="346"/>
        <v>35357.567999999999</v>
      </c>
      <c r="C672" s="800">
        <f t="shared" si="348"/>
        <v>49330.960000000006</v>
      </c>
      <c r="D672" s="800">
        <f t="shared" si="349"/>
        <v>42986.696000000004</v>
      </c>
      <c r="E672" s="800">
        <f t="shared" si="350"/>
        <v>34540.784</v>
      </c>
      <c r="F672" s="800">
        <f t="shared" si="351"/>
        <v>52775.392</v>
      </c>
      <c r="G672" s="800">
        <f t="shared" si="352"/>
        <v>48152.264000000003</v>
      </c>
      <c r="H672" s="800">
        <f t="shared" si="353"/>
        <v>53985.343999999997</v>
      </c>
      <c r="I672" s="800">
        <f t="shared" si="354"/>
        <v>59105.703999999998</v>
      </c>
      <c r="J672" s="800">
        <f t="shared" si="355"/>
        <v>57296.544000000009</v>
      </c>
      <c r="K672" s="800">
        <f t="shared" si="356"/>
        <v>0</v>
      </c>
      <c r="L672" s="800">
        <f t="shared" si="357"/>
        <v>0</v>
      </c>
      <c r="M672" s="800">
        <f t="shared" si="358"/>
        <v>0</v>
      </c>
      <c r="N672" s="800" t="s">
        <v>167</v>
      </c>
      <c r="O672" s="800" t="s">
        <v>132</v>
      </c>
    </row>
    <row r="673" spans="1:15">
      <c r="A673" s="137" t="s">
        <v>101</v>
      </c>
      <c r="B673" s="800">
        <f t="shared" si="346"/>
        <v>178842.46</v>
      </c>
      <c r="C673" s="800">
        <f t="shared" si="348"/>
        <v>250255.10000000003</v>
      </c>
      <c r="D673" s="800">
        <f t="shared" si="349"/>
        <v>277236.68000000005</v>
      </c>
      <c r="E673" s="800">
        <f t="shared" si="350"/>
        <v>186100.90400000001</v>
      </c>
      <c r="F673" s="800">
        <f t="shared" si="351"/>
        <v>246396.21799999999</v>
      </c>
      <c r="G673" s="800">
        <f t="shared" si="352"/>
        <v>196664.92</v>
      </c>
      <c r="H673" s="800">
        <f t="shared" si="353"/>
        <v>239456.71399999998</v>
      </c>
      <c r="I673" s="800">
        <f t="shared" si="354"/>
        <v>345335.17600000004</v>
      </c>
      <c r="J673" s="800">
        <f t="shared" si="355"/>
        <v>328115.46199999988</v>
      </c>
      <c r="K673" s="800">
        <f t="shared" si="356"/>
        <v>0</v>
      </c>
      <c r="L673" s="800">
        <f t="shared" si="357"/>
        <v>0</v>
      </c>
      <c r="M673" s="800">
        <f t="shared" si="358"/>
        <v>0</v>
      </c>
      <c r="N673" s="800" t="s">
        <v>167</v>
      </c>
      <c r="O673" s="800" t="s">
        <v>132</v>
      </c>
    </row>
    <row r="674" spans="1:15">
      <c r="A674" s="137" t="s">
        <v>102</v>
      </c>
      <c r="B674" s="800">
        <f t="shared" si="346"/>
        <v>4174.9280000000008</v>
      </c>
      <c r="C674" s="800">
        <f t="shared" si="348"/>
        <v>5016.616</v>
      </c>
      <c r="D674" s="800">
        <f t="shared" si="349"/>
        <v>6248.5280000000002</v>
      </c>
      <c r="E674" s="800">
        <f t="shared" si="350"/>
        <v>4167.576</v>
      </c>
      <c r="F674" s="800">
        <f t="shared" si="351"/>
        <v>5512.0879999999997</v>
      </c>
      <c r="G674" s="800">
        <f t="shared" si="352"/>
        <v>3811.096</v>
      </c>
      <c r="H674" s="800">
        <f t="shared" si="353"/>
        <v>5714.5440000000008</v>
      </c>
      <c r="I674" s="800">
        <f t="shared" si="354"/>
        <v>9543.5600000000031</v>
      </c>
      <c r="J674" s="800">
        <f t="shared" si="355"/>
        <v>6893.7600000000011</v>
      </c>
      <c r="K674" s="800">
        <f t="shared" si="356"/>
        <v>0</v>
      </c>
      <c r="L674" s="800">
        <f t="shared" si="357"/>
        <v>0</v>
      </c>
      <c r="M674" s="800">
        <f t="shared" si="358"/>
        <v>0</v>
      </c>
      <c r="N674" s="800" t="s">
        <v>167</v>
      </c>
      <c r="O674" s="800" t="s">
        <v>132</v>
      </c>
    </row>
    <row r="675" spans="1:15">
      <c r="A675" s="137" t="s">
        <v>103</v>
      </c>
      <c r="B675" s="800">
        <f t="shared" si="346"/>
        <v>1418.64</v>
      </c>
      <c r="C675" s="800">
        <f t="shared" si="348"/>
        <v>3332.864</v>
      </c>
      <c r="D675" s="800">
        <f t="shared" si="349"/>
        <v>3983.1920000000005</v>
      </c>
      <c r="E675" s="800">
        <f t="shared" si="350"/>
        <v>2664.9360000000001</v>
      </c>
      <c r="F675" s="800">
        <f t="shared" si="351"/>
        <v>4094.3039999999996</v>
      </c>
      <c r="G675" s="800">
        <f t="shared" si="352"/>
        <v>2360.6480000000001</v>
      </c>
      <c r="H675" s="800">
        <f t="shared" si="353"/>
        <v>2656.7840000000001</v>
      </c>
      <c r="I675" s="800">
        <f t="shared" si="354"/>
        <v>3721.3760000000002</v>
      </c>
      <c r="J675" s="800">
        <f t="shared" si="355"/>
        <v>2512.4000000000005</v>
      </c>
      <c r="K675" s="800">
        <f t="shared" si="356"/>
        <v>0</v>
      </c>
      <c r="L675" s="800">
        <f t="shared" si="357"/>
        <v>0</v>
      </c>
      <c r="M675" s="800">
        <f t="shared" si="358"/>
        <v>0</v>
      </c>
      <c r="N675" s="800" t="s">
        <v>167</v>
      </c>
      <c r="O675" s="800" t="s">
        <v>132</v>
      </c>
    </row>
    <row r="676" spans="1:15">
      <c r="A676" s="137" t="s">
        <v>77</v>
      </c>
      <c r="B676" s="800">
        <f t="shared" ref="B676:B702" si="359">Q177</f>
        <v>2203.2065219020255</v>
      </c>
      <c r="C676" s="800">
        <f t="shared" ref="C676:M676" si="360">R177</f>
        <v>3607.0119020724928</v>
      </c>
      <c r="D676" s="800">
        <f t="shared" si="360"/>
        <v>5255.3366974206801</v>
      </c>
      <c r="E676" s="800">
        <f t="shared" si="360"/>
        <v>6554.1170635952067</v>
      </c>
      <c r="F676" s="800">
        <f t="shared" si="360"/>
        <v>8477.4341668099314</v>
      </c>
      <c r="G676" s="800">
        <f t="shared" si="360"/>
        <v>10901.490659665238</v>
      </c>
      <c r="H676" s="800">
        <f t="shared" si="360"/>
        <v>13556.682593298225</v>
      </c>
      <c r="I676" s="800">
        <f t="shared" si="360"/>
        <v>16503.281734777804</v>
      </c>
      <c r="J676" s="800">
        <f t="shared" si="360"/>
        <v>19465.188134162654</v>
      </c>
      <c r="K676" s="800">
        <f t="shared" si="360"/>
        <v>22618.243995788638</v>
      </c>
      <c r="L676" s="800">
        <f t="shared" si="360"/>
        <v>25799.818826547998</v>
      </c>
      <c r="M676" s="800">
        <f t="shared" si="360"/>
        <v>28255.510000000002</v>
      </c>
      <c r="N676" s="800" t="s">
        <v>166</v>
      </c>
      <c r="O676" s="800" t="s">
        <v>132</v>
      </c>
    </row>
    <row r="677" spans="1:15">
      <c r="A677" s="137" t="s">
        <v>78</v>
      </c>
      <c r="B677" s="800">
        <f t="shared" si="359"/>
        <v>6286.386643817099</v>
      </c>
      <c r="C677" s="800">
        <f t="shared" ref="C677:C702" si="361">R178</f>
        <v>10750.72192203468</v>
      </c>
      <c r="D677" s="800">
        <f t="shared" ref="D677:D702" si="362">S178</f>
        <v>14761.951157938458</v>
      </c>
      <c r="E677" s="800">
        <f t="shared" ref="E677:E702" si="363">T178</f>
        <v>18597.116371735872</v>
      </c>
      <c r="F677" s="800">
        <f t="shared" ref="F677:F702" si="364">U178</f>
        <v>23198.950984421193</v>
      </c>
      <c r="G677" s="800">
        <f t="shared" ref="G677:G702" si="365">V178</f>
        <v>27612.858528050387</v>
      </c>
      <c r="H677" s="800">
        <f t="shared" ref="H677:H702" si="366">W178</f>
        <v>33173.200867646963</v>
      </c>
      <c r="I677" s="800">
        <f t="shared" ref="I677:I702" si="367">X178</f>
        <v>38575.785679138971</v>
      </c>
      <c r="J677" s="800">
        <f t="shared" ref="J677:J702" si="368">Y178</f>
        <v>44059.661145883176</v>
      </c>
      <c r="K677" s="800">
        <f t="shared" ref="K677:K702" si="369">Z178</f>
        <v>50759.295780372391</v>
      </c>
      <c r="L677" s="800">
        <f t="shared" ref="L677:L702" si="370">AA178</f>
        <v>57769.738063780365</v>
      </c>
      <c r="M677" s="800">
        <f t="shared" ref="M677:M702" si="371">AB178</f>
        <v>65757.320000000007</v>
      </c>
      <c r="N677" s="800" t="s">
        <v>166</v>
      </c>
      <c r="O677" s="800" t="s">
        <v>132</v>
      </c>
    </row>
    <row r="678" spans="1:15">
      <c r="A678" s="137" t="s">
        <v>79</v>
      </c>
      <c r="B678" s="800">
        <f t="shared" si="359"/>
        <v>3318.8386160501809</v>
      </c>
      <c r="C678" s="800">
        <f t="shared" si="361"/>
        <v>6166.1442519822858</v>
      </c>
      <c r="D678" s="800">
        <f t="shared" si="362"/>
        <v>8266.0143792722556</v>
      </c>
      <c r="E678" s="800">
        <f t="shared" si="363"/>
        <v>10138.777437172968</v>
      </c>
      <c r="F678" s="800">
        <f t="shared" si="364"/>
        <v>12437.309261234392</v>
      </c>
      <c r="G678" s="800">
        <f t="shared" si="365"/>
        <v>15155.137108287459</v>
      </c>
      <c r="H678" s="800">
        <f t="shared" si="366"/>
        <v>18265.260107768139</v>
      </c>
      <c r="I678" s="800">
        <f t="shared" si="367"/>
        <v>21423.995890630027</v>
      </c>
      <c r="J678" s="800">
        <f t="shared" si="368"/>
        <v>25563.683174428392</v>
      </c>
      <c r="K678" s="800">
        <f t="shared" si="369"/>
        <v>28517.162160305063</v>
      </c>
      <c r="L678" s="800">
        <f t="shared" si="370"/>
        <v>31694.405083113787</v>
      </c>
      <c r="M678" s="800">
        <f t="shared" si="371"/>
        <v>34372.410000000003</v>
      </c>
      <c r="N678" s="800" t="s">
        <v>166</v>
      </c>
      <c r="O678" s="800" t="s">
        <v>132</v>
      </c>
    </row>
    <row r="679" spans="1:15">
      <c r="A679" s="137" t="s">
        <v>80</v>
      </c>
      <c r="B679" s="800">
        <f t="shared" si="359"/>
        <v>4535.9563267086687</v>
      </c>
      <c r="C679" s="800">
        <f t="shared" si="361"/>
        <v>9614.9593916834947</v>
      </c>
      <c r="D679" s="800">
        <f t="shared" si="362"/>
        <v>14446.319641857908</v>
      </c>
      <c r="E679" s="800">
        <f t="shared" si="363"/>
        <v>18750.393860293596</v>
      </c>
      <c r="F679" s="800">
        <f t="shared" si="364"/>
        <v>23380.527605307409</v>
      </c>
      <c r="G679" s="800">
        <f t="shared" si="365"/>
        <v>29244.842891856992</v>
      </c>
      <c r="H679" s="800">
        <f t="shared" si="366"/>
        <v>34718.897170717428</v>
      </c>
      <c r="I679" s="800">
        <f t="shared" si="367"/>
        <v>41498.121800300345</v>
      </c>
      <c r="J679" s="800">
        <f t="shared" si="368"/>
        <v>47085.638228257529</v>
      </c>
      <c r="K679" s="800">
        <f t="shared" si="369"/>
        <v>52575.003715539409</v>
      </c>
      <c r="L679" s="800">
        <f t="shared" si="370"/>
        <v>57642.393826754706</v>
      </c>
      <c r="M679" s="800">
        <f t="shared" si="371"/>
        <v>64497.72</v>
      </c>
      <c r="N679" s="800" t="s">
        <v>166</v>
      </c>
      <c r="O679" s="800" t="s">
        <v>132</v>
      </c>
    </row>
    <row r="680" spans="1:15">
      <c r="A680" s="137" t="s">
        <v>81</v>
      </c>
      <c r="B680" s="800">
        <f t="shared" si="359"/>
        <v>15439.500112616448</v>
      </c>
      <c r="C680" s="800">
        <f t="shared" si="361"/>
        <v>30707.541917771861</v>
      </c>
      <c r="D680" s="800">
        <f t="shared" si="362"/>
        <v>41686.228549777072</v>
      </c>
      <c r="E680" s="800">
        <f t="shared" si="363"/>
        <v>51047.656592150503</v>
      </c>
      <c r="F680" s="800">
        <f t="shared" si="364"/>
        <v>59781.314037070173</v>
      </c>
      <c r="G680" s="800">
        <f t="shared" si="365"/>
        <v>70362.313327073673</v>
      </c>
      <c r="H680" s="800">
        <f t="shared" si="366"/>
        <v>83074.223380043302</v>
      </c>
      <c r="I680" s="800">
        <f t="shared" si="367"/>
        <v>97142.88023900277</v>
      </c>
      <c r="J680" s="800">
        <f t="shared" si="368"/>
        <v>111032.49707737395</v>
      </c>
      <c r="K680" s="800">
        <f t="shared" si="369"/>
        <v>125151.77518948648</v>
      </c>
      <c r="L680" s="800">
        <f t="shared" si="370"/>
        <v>141673.62341036298</v>
      </c>
      <c r="M680" s="800">
        <f t="shared" si="371"/>
        <v>160121</v>
      </c>
      <c r="N680" s="800" t="s">
        <v>166</v>
      </c>
      <c r="O680" s="800" t="s">
        <v>132</v>
      </c>
    </row>
    <row r="681" spans="1:15">
      <c r="A681" s="137" t="s">
        <v>82</v>
      </c>
      <c r="B681" s="800">
        <f t="shared" si="359"/>
        <v>10597.320120936663</v>
      </c>
      <c r="C681" s="800">
        <f t="shared" si="361"/>
        <v>21306.474245320707</v>
      </c>
      <c r="D681" s="800">
        <f t="shared" si="362"/>
        <v>27324.466207235764</v>
      </c>
      <c r="E681" s="800">
        <f t="shared" si="363"/>
        <v>33345.082907113989</v>
      </c>
      <c r="F681" s="800">
        <f t="shared" si="364"/>
        <v>40477.694328508645</v>
      </c>
      <c r="G681" s="800">
        <f t="shared" si="365"/>
        <v>49498.220287747303</v>
      </c>
      <c r="H681" s="800">
        <f t="shared" si="366"/>
        <v>57428.927651471757</v>
      </c>
      <c r="I681" s="800">
        <f t="shared" si="367"/>
        <v>66452.565597165565</v>
      </c>
      <c r="J681" s="800">
        <f t="shared" si="368"/>
        <v>76479.803102974271</v>
      </c>
      <c r="K681" s="800">
        <f t="shared" si="369"/>
        <v>88419.543716722881</v>
      </c>
      <c r="L681" s="800">
        <f t="shared" si="370"/>
        <v>99166.999574150439</v>
      </c>
      <c r="M681" s="800">
        <f t="shared" si="371"/>
        <v>110694.43000000001</v>
      </c>
      <c r="N681" s="800" t="s">
        <v>166</v>
      </c>
      <c r="O681" s="800" t="s">
        <v>132</v>
      </c>
    </row>
    <row r="682" spans="1:15">
      <c r="A682" s="137" t="s">
        <v>83</v>
      </c>
      <c r="B682" s="800">
        <f t="shared" si="359"/>
        <v>17464.902151132697</v>
      </c>
      <c r="C682" s="800">
        <f t="shared" si="361"/>
        <v>32376.255855292802</v>
      </c>
      <c r="D682" s="800">
        <f t="shared" si="362"/>
        <v>44963.065098868217</v>
      </c>
      <c r="E682" s="800">
        <f t="shared" si="363"/>
        <v>56224.565316783832</v>
      </c>
      <c r="F682" s="800">
        <f t="shared" si="364"/>
        <v>70160.432433037728</v>
      </c>
      <c r="G682" s="800">
        <f t="shared" si="365"/>
        <v>83830.932564171497</v>
      </c>
      <c r="H682" s="800">
        <f t="shared" si="366"/>
        <v>99368.954104878867</v>
      </c>
      <c r="I682" s="800">
        <f t="shared" si="367"/>
        <v>116267.87039479025</v>
      </c>
      <c r="J682" s="800">
        <f t="shared" si="368"/>
        <v>130775.92838963514</v>
      </c>
      <c r="K682" s="800">
        <f t="shared" si="369"/>
        <v>146214.87545955344</v>
      </c>
      <c r="L682" s="800">
        <f t="shared" si="370"/>
        <v>160704.03329277763</v>
      </c>
      <c r="M682" s="800">
        <f t="shared" si="371"/>
        <v>176003.27000000002</v>
      </c>
      <c r="N682" s="800" t="s">
        <v>166</v>
      </c>
      <c r="O682" s="800" t="s">
        <v>132</v>
      </c>
    </row>
    <row r="683" spans="1:15">
      <c r="A683" s="137" t="s">
        <v>84</v>
      </c>
      <c r="B683" s="800">
        <f t="shared" si="359"/>
        <v>11233.682881357978</v>
      </c>
      <c r="C683" s="800">
        <f t="shared" si="361"/>
        <v>21278.001141680703</v>
      </c>
      <c r="D683" s="800">
        <f t="shared" si="362"/>
        <v>29467.088136267103</v>
      </c>
      <c r="E683" s="800">
        <f t="shared" si="363"/>
        <v>37862.094872474343</v>
      </c>
      <c r="F683" s="800">
        <f t="shared" si="364"/>
        <v>44459.791681655464</v>
      </c>
      <c r="G683" s="800">
        <f t="shared" si="365"/>
        <v>53436.351094687787</v>
      </c>
      <c r="H683" s="800">
        <f t="shared" si="366"/>
        <v>63419.687034831251</v>
      </c>
      <c r="I683" s="800">
        <f t="shared" si="367"/>
        <v>75404.038969640867</v>
      </c>
      <c r="J683" s="800">
        <f t="shared" si="368"/>
        <v>85831.731875597077</v>
      </c>
      <c r="K683" s="800">
        <f t="shared" si="369"/>
        <v>98526.265927142435</v>
      </c>
      <c r="L683" s="800">
        <f t="shared" si="370"/>
        <v>110479.32379106966</v>
      </c>
      <c r="M683" s="800">
        <f t="shared" si="371"/>
        <v>125197.05</v>
      </c>
      <c r="N683" s="800" t="s">
        <v>166</v>
      </c>
      <c r="O683" s="800" t="s">
        <v>132</v>
      </c>
    </row>
    <row r="684" spans="1:15">
      <c r="A684" s="137" t="s">
        <v>85</v>
      </c>
      <c r="B684" s="800">
        <f t="shared" si="359"/>
        <v>12001.013515277049</v>
      </c>
      <c r="C684" s="800">
        <f t="shared" si="361"/>
        <v>24375.071941126815</v>
      </c>
      <c r="D684" s="800">
        <f t="shared" si="362"/>
        <v>37573.042593968501</v>
      </c>
      <c r="E684" s="800">
        <f t="shared" si="363"/>
        <v>49300.388686557468</v>
      </c>
      <c r="F684" s="800">
        <f t="shared" si="364"/>
        <v>59156.341999460899</v>
      </c>
      <c r="G684" s="800">
        <f t="shared" si="365"/>
        <v>72074.222100246727</v>
      </c>
      <c r="H684" s="800">
        <f t="shared" si="366"/>
        <v>85638.966754932699</v>
      </c>
      <c r="I684" s="800">
        <f t="shared" si="367"/>
        <v>99327.01865712773</v>
      </c>
      <c r="J684" s="800">
        <f t="shared" si="368"/>
        <v>113449.18389319735</v>
      </c>
      <c r="K684" s="800">
        <f t="shared" si="369"/>
        <v>127337.54770645079</v>
      </c>
      <c r="L684" s="800">
        <f t="shared" si="370"/>
        <v>139267.3602320682</v>
      </c>
      <c r="M684" s="800">
        <f t="shared" si="371"/>
        <v>153353.85999999999</v>
      </c>
      <c r="N684" s="800" t="s">
        <v>166</v>
      </c>
      <c r="O684" s="800" t="s">
        <v>132</v>
      </c>
    </row>
    <row r="685" spans="1:15">
      <c r="A685" s="137" t="s">
        <v>86</v>
      </c>
      <c r="B685" s="800">
        <f t="shared" si="359"/>
        <v>3833.0902816324024</v>
      </c>
      <c r="C685" s="800">
        <f t="shared" si="361"/>
        <v>7071.6112499995588</v>
      </c>
      <c r="D685" s="800">
        <f t="shared" si="362"/>
        <v>12049.408316925545</v>
      </c>
      <c r="E685" s="800">
        <f t="shared" si="363"/>
        <v>14922.554904723116</v>
      </c>
      <c r="F685" s="800">
        <f t="shared" si="364"/>
        <v>17327.612692455346</v>
      </c>
      <c r="G685" s="800">
        <f t="shared" si="365"/>
        <v>21314.451383544027</v>
      </c>
      <c r="H685" s="800">
        <f t="shared" si="366"/>
        <v>25722.833180608544</v>
      </c>
      <c r="I685" s="800">
        <f t="shared" si="367"/>
        <v>29121.021382108796</v>
      </c>
      <c r="J685" s="800">
        <f t="shared" si="368"/>
        <v>33057.691287610556</v>
      </c>
      <c r="K685" s="800">
        <f t="shared" si="369"/>
        <v>37245.718474260793</v>
      </c>
      <c r="L685" s="800">
        <f t="shared" si="370"/>
        <v>40738.81527982698</v>
      </c>
      <c r="M685" s="800">
        <f t="shared" si="371"/>
        <v>44648.26</v>
      </c>
      <c r="N685" s="800" t="s">
        <v>166</v>
      </c>
      <c r="O685" s="800" t="s">
        <v>132</v>
      </c>
    </row>
    <row r="686" spans="1:15">
      <c r="A686" s="137" t="s">
        <v>87</v>
      </c>
      <c r="B686" s="800">
        <f t="shared" si="359"/>
        <v>7994.4039328483732</v>
      </c>
      <c r="C686" s="800">
        <f t="shared" si="361"/>
        <v>18400.374942016948</v>
      </c>
      <c r="D686" s="800">
        <f t="shared" si="362"/>
        <v>26342.920122522737</v>
      </c>
      <c r="E686" s="800">
        <f t="shared" si="363"/>
        <v>33226.763483526942</v>
      </c>
      <c r="F686" s="800">
        <f t="shared" si="364"/>
        <v>40759.199560881658</v>
      </c>
      <c r="G686" s="800">
        <f t="shared" si="365"/>
        <v>52188.422983576529</v>
      </c>
      <c r="H686" s="800">
        <f t="shared" si="366"/>
        <v>63203.930031762073</v>
      </c>
      <c r="I686" s="800">
        <f t="shared" si="367"/>
        <v>75310.67175194624</v>
      </c>
      <c r="J686" s="800">
        <f t="shared" si="368"/>
        <v>87097.221678271337</v>
      </c>
      <c r="K686" s="800">
        <f t="shared" si="369"/>
        <v>97798.207076613908</v>
      </c>
      <c r="L686" s="800">
        <f t="shared" si="370"/>
        <v>108907.58045599927</v>
      </c>
      <c r="M686" s="800">
        <f t="shared" si="371"/>
        <v>123360.06</v>
      </c>
      <c r="N686" s="800" t="s">
        <v>166</v>
      </c>
      <c r="O686" s="800" t="s">
        <v>132</v>
      </c>
    </row>
    <row r="687" spans="1:15">
      <c r="A687" s="137" t="s">
        <v>88</v>
      </c>
      <c r="B687" s="800">
        <f t="shared" si="359"/>
        <v>13138.385257546735</v>
      </c>
      <c r="C687" s="800">
        <f t="shared" si="361"/>
        <v>23611.613489531777</v>
      </c>
      <c r="D687" s="800">
        <f t="shared" si="362"/>
        <v>33607.519155632915</v>
      </c>
      <c r="E687" s="800">
        <f t="shared" si="363"/>
        <v>43133.946532299226</v>
      </c>
      <c r="F687" s="800">
        <f t="shared" si="364"/>
        <v>52845.633302023751</v>
      </c>
      <c r="G687" s="800">
        <f t="shared" si="365"/>
        <v>62836.745175043099</v>
      </c>
      <c r="H687" s="800">
        <f t="shared" si="366"/>
        <v>74901.164886159473</v>
      </c>
      <c r="I687" s="800">
        <f t="shared" si="367"/>
        <v>86538.984864448808</v>
      </c>
      <c r="J687" s="800">
        <f t="shared" si="368"/>
        <v>103233.89046406531</v>
      </c>
      <c r="K687" s="800">
        <f t="shared" si="369"/>
        <v>115694.7329287726</v>
      </c>
      <c r="L687" s="800">
        <f t="shared" si="370"/>
        <v>128071.84830502779</v>
      </c>
      <c r="M687" s="800">
        <f t="shared" si="371"/>
        <v>143612.68</v>
      </c>
      <c r="N687" s="800" t="s">
        <v>166</v>
      </c>
      <c r="O687" s="800" t="s">
        <v>132</v>
      </c>
    </row>
    <row r="688" spans="1:15">
      <c r="A688" s="137" t="s">
        <v>89</v>
      </c>
      <c r="B688" s="800">
        <f t="shared" si="359"/>
        <v>56045.971972414831</v>
      </c>
      <c r="C688" s="800">
        <f t="shared" si="361"/>
        <v>99805.348356393646</v>
      </c>
      <c r="D688" s="800">
        <f t="shared" si="362"/>
        <v>138835.62599030585</v>
      </c>
      <c r="E688" s="800">
        <f t="shared" si="363"/>
        <v>174624.08261855913</v>
      </c>
      <c r="F688" s="800">
        <f t="shared" si="364"/>
        <v>210151.62837021917</v>
      </c>
      <c r="G688" s="800">
        <f t="shared" si="365"/>
        <v>248461.43479831354</v>
      </c>
      <c r="H688" s="800">
        <f t="shared" si="366"/>
        <v>291450.1717829844</v>
      </c>
      <c r="I688" s="800">
        <f t="shared" si="367"/>
        <v>330876.8754432298</v>
      </c>
      <c r="J688" s="800">
        <f t="shared" si="368"/>
        <v>374071.89382822643</v>
      </c>
      <c r="K688" s="800">
        <f t="shared" si="369"/>
        <v>419756.35564490157</v>
      </c>
      <c r="L688" s="800">
        <f t="shared" si="370"/>
        <v>469211.66998293949</v>
      </c>
      <c r="M688" s="800">
        <f t="shared" si="371"/>
        <v>524881.82000000007</v>
      </c>
      <c r="N688" s="800" t="s">
        <v>166</v>
      </c>
      <c r="O688" s="800" t="s">
        <v>132</v>
      </c>
    </row>
    <row r="689" spans="1:15">
      <c r="A689" s="137" t="s">
        <v>90</v>
      </c>
      <c r="B689" s="800">
        <f t="shared" si="359"/>
        <v>7029.8458772007561</v>
      </c>
      <c r="C689" s="800">
        <f t="shared" si="361"/>
        <v>13575.102090130047</v>
      </c>
      <c r="D689" s="800">
        <f t="shared" si="362"/>
        <v>19367.017140637425</v>
      </c>
      <c r="E689" s="800">
        <f t="shared" si="363"/>
        <v>24828.648944543496</v>
      </c>
      <c r="F689" s="800">
        <f t="shared" si="364"/>
        <v>29043.136241097924</v>
      </c>
      <c r="G689" s="800">
        <f t="shared" si="365"/>
        <v>34210.122924632342</v>
      </c>
      <c r="H689" s="800">
        <f t="shared" si="366"/>
        <v>40515.334548649662</v>
      </c>
      <c r="I689" s="800">
        <f t="shared" si="367"/>
        <v>47716.101752305374</v>
      </c>
      <c r="J689" s="800">
        <f t="shared" si="368"/>
        <v>54099.90283205326</v>
      </c>
      <c r="K689" s="800">
        <f t="shared" si="369"/>
        <v>61373.619864488763</v>
      </c>
      <c r="L689" s="800">
        <f t="shared" si="370"/>
        <v>68965.400755724739</v>
      </c>
      <c r="M689" s="800">
        <f t="shared" si="371"/>
        <v>77079.790000000008</v>
      </c>
      <c r="N689" s="800" t="s">
        <v>166</v>
      </c>
      <c r="O689" s="800" t="s">
        <v>132</v>
      </c>
    </row>
    <row r="690" spans="1:15">
      <c r="A690" s="137" t="s">
        <v>91</v>
      </c>
      <c r="B690" s="800">
        <f t="shared" si="359"/>
        <v>9236.5115463580169</v>
      </c>
      <c r="C690" s="800">
        <f t="shared" si="361"/>
        <v>16861.979131562599</v>
      </c>
      <c r="D690" s="800">
        <f t="shared" si="362"/>
        <v>23512.282826402363</v>
      </c>
      <c r="E690" s="800">
        <f t="shared" si="363"/>
        <v>28712.7728417586</v>
      </c>
      <c r="F690" s="800">
        <f t="shared" si="364"/>
        <v>34658.592654989698</v>
      </c>
      <c r="G690" s="800">
        <f t="shared" si="365"/>
        <v>40793.769710963454</v>
      </c>
      <c r="H690" s="800">
        <f t="shared" si="366"/>
        <v>48459.587926938024</v>
      </c>
      <c r="I690" s="800">
        <f t="shared" si="367"/>
        <v>56258.430959916659</v>
      </c>
      <c r="J690" s="800">
        <f t="shared" si="368"/>
        <v>64370.934517493006</v>
      </c>
      <c r="K690" s="800">
        <f t="shared" si="369"/>
        <v>74166.199045528119</v>
      </c>
      <c r="L690" s="800">
        <f t="shared" si="370"/>
        <v>83731.173770259629</v>
      </c>
      <c r="M690" s="800">
        <f t="shared" si="371"/>
        <v>95283.22</v>
      </c>
      <c r="N690" s="800" t="s">
        <v>166</v>
      </c>
      <c r="O690" s="800" t="s">
        <v>132</v>
      </c>
    </row>
    <row r="691" spans="1:15">
      <c r="A691" s="137" t="s">
        <v>92</v>
      </c>
      <c r="B691" s="800">
        <f t="shared" si="359"/>
        <v>43537.228312860512</v>
      </c>
      <c r="C691" s="800">
        <f t="shared" si="361"/>
        <v>76474.14005775399</v>
      </c>
      <c r="D691" s="800">
        <f t="shared" si="362"/>
        <v>105659.23587911505</v>
      </c>
      <c r="E691" s="800">
        <f t="shared" si="363"/>
        <v>130475.81263969913</v>
      </c>
      <c r="F691" s="800">
        <f t="shared" si="364"/>
        <v>156999.35806626643</v>
      </c>
      <c r="G691" s="800">
        <f t="shared" si="365"/>
        <v>185757.23628708455</v>
      </c>
      <c r="H691" s="800">
        <f t="shared" si="366"/>
        <v>216247.90877925514</v>
      </c>
      <c r="I691" s="800">
        <f t="shared" si="367"/>
        <v>251986.28155078652</v>
      </c>
      <c r="J691" s="800">
        <f t="shared" si="368"/>
        <v>283040.21619277907</v>
      </c>
      <c r="K691" s="800">
        <f t="shared" si="369"/>
        <v>319198.73731614614</v>
      </c>
      <c r="L691" s="800">
        <f t="shared" si="370"/>
        <v>360280.59666999348</v>
      </c>
      <c r="M691" s="800">
        <f t="shared" si="371"/>
        <v>410922.9</v>
      </c>
      <c r="N691" s="800" t="s">
        <v>166</v>
      </c>
      <c r="O691" s="800" t="s">
        <v>132</v>
      </c>
    </row>
    <row r="692" spans="1:15">
      <c r="A692" s="137" t="s">
        <v>93</v>
      </c>
      <c r="B692" s="800">
        <f t="shared" si="359"/>
        <v>20621.071442189477</v>
      </c>
      <c r="C692" s="800">
        <f t="shared" si="361"/>
        <v>34767.188645530754</v>
      </c>
      <c r="D692" s="800">
        <f t="shared" si="362"/>
        <v>49918.802056008819</v>
      </c>
      <c r="E692" s="800">
        <f t="shared" si="363"/>
        <v>63242.831402449265</v>
      </c>
      <c r="F692" s="800">
        <f t="shared" si="364"/>
        <v>74338.263207438737</v>
      </c>
      <c r="G692" s="800">
        <f t="shared" si="365"/>
        <v>88757.811892977406</v>
      </c>
      <c r="H692" s="800">
        <f t="shared" si="366"/>
        <v>109028.42865683197</v>
      </c>
      <c r="I692" s="800">
        <f t="shared" si="367"/>
        <v>124618.16242046298</v>
      </c>
      <c r="J692" s="800">
        <f t="shared" si="368"/>
        <v>140406.60360834861</v>
      </c>
      <c r="K692" s="800">
        <f t="shared" si="369"/>
        <v>155749.41564812241</v>
      </c>
      <c r="L692" s="800">
        <f t="shared" si="370"/>
        <v>171841.00161240011</v>
      </c>
      <c r="M692" s="800">
        <f t="shared" si="371"/>
        <v>189430.22</v>
      </c>
      <c r="N692" s="800" t="s">
        <v>166</v>
      </c>
      <c r="O692" s="800" t="s">
        <v>132</v>
      </c>
    </row>
    <row r="693" spans="1:15">
      <c r="A693" s="137" t="s">
        <v>94</v>
      </c>
      <c r="B693" s="800">
        <f t="shared" si="359"/>
        <v>4845.6272677838542</v>
      </c>
      <c r="C693" s="800">
        <f t="shared" si="361"/>
        <v>8453.7887082264751</v>
      </c>
      <c r="D693" s="800">
        <f t="shared" si="362"/>
        <v>11009.575245756867</v>
      </c>
      <c r="E693" s="800">
        <f t="shared" si="363"/>
        <v>15617.015243734009</v>
      </c>
      <c r="F693" s="800">
        <f t="shared" si="364"/>
        <v>18700.482651882299</v>
      </c>
      <c r="G693" s="800">
        <f t="shared" si="365"/>
        <v>21601.283187908895</v>
      </c>
      <c r="H693" s="800">
        <f t="shared" si="366"/>
        <v>25254.039399809164</v>
      </c>
      <c r="I693" s="800">
        <f t="shared" si="367"/>
        <v>29397.971226465794</v>
      </c>
      <c r="J693" s="800">
        <f t="shared" si="368"/>
        <v>32346.088021335039</v>
      </c>
      <c r="K693" s="800">
        <f t="shared" si="369"/>
        <v>35361.694491186689</v>
      </c>
      <c r="L693" s="800">
        <f t="shared" si="370"/>
        <v>39226.871760443377</v>
      </c>
      <c r="M693" s="800">
        <f t="shared" si="371"/>
        <v>44159.64</v>
      </c>
      <c r="N693" s="800" t="s">
        <v>166</v>
      </c>
      <c r="O693" s="800" t="s">
        <v>132</v>
      </c>
    </row>
    <row r="694" spans="1:15">
      <c r="A694" s="137" t="s">
        <v>95</v>
      </c>
      <c r="B694" s="800">
        <f t="shared" si="359"/>
        <v>45453.264874256092</v>
      </c>
      <c r="C694" s="800">
        <f t="shared" si="361"/>
        <v>82047.917647363807</v>
      </c>
      <c r="D694" s="800">
        <f t="shared" si="362"/>
        <v>116933.26769494839</v>
      </c>
      <c r="E694" s="800">
        <f t="shared" si="363"/>
        <v>143226.62464530539</v>
      </c>
      <c r="F694" s="800">
        <f t="shared" si="364"/>
        <v>173983.85317551688</v>
      </c>
      <c r="G694" s="800">
        <f t="shared" si="365"/>
        <v>214945.69340624911</v>
      </c>
      <c r="H694" s="800">
        <f t="shared" si="366"/>
        <v>267024.33867851913</v>
      </c>
      <c r="I694" s="800">
        <f t="shared" si="367"/>
        <v>316342.08128093474</v>
      </c>
      <c r="J694" s="800">
        <f t="shared" si="368"/>
        <v>362290.86898506264</v>
      </c>
      <c r="K694" s="800">
        <f t="shared" si="369"/>
        <v>408755.92961159558</v>
      </c>
      <c r="L694" s="800">
        <f t="shared" si="370"/>
        <v>453119.12782798824</v>
      </c>
      <c r="M694" s="800">
        <f t="shared" si="371"/>
        <v>502437.18</v>
      </c>
      <c r="N694" s="800" t="s">
        <v>166</v>
      </c>
      <c r="O694" s="800" t="s">
        <v>132</v>
      </c>
    </row>
    <row r="695" spans="1:15">
      <c r="A695" s="137" t="s">
        <v>96</v>
      </c>
      <c r="B695" s="800">
        <f t="shared" si="359"/>
        <v>7025.7844606500803</v>
      </c>
      <c r="C695" s="800">
        <f t="shared" si="361"/>
        <v>14995.975234440815</v>
      </c>
      <c r="D695" s="800">
        <f t="shared" si="362"/>
        <v>21095.625614338915</v>
      </c>
      <c r="E695" s="800">
        <f t="shared" si="363"/>
        <v>26724.488469190019</v>
      </c>
      <c r="F695" s="800">
        <f t="shared" si="364"/>
        <v>32541.712146617865</v>
      </c>
      <c r="G695" s="800">
        <f t="shared" si="365"/>
        <v>38769.110244619893</v>
      </c>
      <c r="H695" s="800">
        <f t="shared" si="366"/>
        <v>45192.569911825529</v>
      </c>
      <c r="I695" s="800">
        <f t="shared" si="367"/>
        <v>51393.399875798204</v>
      </c>
      <c r="J695" s="800">
        <f t="shared" si="368"/>
        <v>57101.586784519226</v>
      </c>
      <c r="K695" s="800">
        <f t="shared" si="369"/>
        <v>64043.802610540602</v>
      </c>
      <c r="L695" s="800">
        <f t="shared" si="370"/>
        <v>71328.858027201612</v>
      </c>
      <c r="M695" s="800">
        <f t="shared" si="371"/>
        <v>80784.91</v>
      </c>
      <c r="N695" s="800" t="s">
        <v>166</v>
      </c>
      <c r="O695" s="800" t="s">
        <v>132</v>
      </c>
    </row>
    <row r="696" spans="1:15">
      <c r="A696" s="137" t="s">
        <v>97</v>
      </c>
      <c r="B696" s="800">
        <f t="shared" si="359"/>
        <v>56599.602818754705</v>
      </c>
      <c r="C696" s="800">
        <f t="shared" si="361"/>
        <v>96454.645567236774</v>
      </c>
      <c r="D696" s="800">
        <f t="shared" si="362"/>
        <v>132692.75817426847</v>
      </c>
      <c r="E696" s="800">
        <f t="shared" si="363"/>
        <v>167328.97353365578</v>
      </c>
      <c r="F696" s="800">
        <f t="shared" si="364"/>
        <v>202202.9481774536</v>
      </c>
      <c r="G696" s="800">
        <f t="shared" si="365"/>
        <v>238977.59195938526</v>
      </c>
      <c r="H696" s="800">
        <f t="shared" si="366"/>
        <v>283559.96663264406</v>
      </c>
      <c r="I696" s="800">
        <f t="shared" si="367"/>
        <v>328768.18975245859</v>
      </c>
      <c r="J696" s="800">
        <f t="shared" si="368"/>
        <v>367754.34218133497</v>
      </c>
      <c r="K696" s="800">
        <f t="shared" si="369"/>
        <v>416336.20420094958</v>
      </c>
      <c r="L696" s="800">
        <f t="shared" si="370"/>
        <v>467046.85386027035</v>
      </c>
      <c r="M696" s="800">
        <f t="shared" si="371"/>
        <v>530902.67000000004</v>
      </c>
      <c r="N696" s="800" t="s">
        <v>166</v>
      </c>
      <c r="O696" s="800" t="s">
        <v>132</v>
      </c>
    </row>
    <row r="697" spans="1:15">
      <c r="A697" s="137" t="s">
        <v>98</v>
      </c>
      <c r="B697" s="800">
        <f t="shared" si="359"/>
        <v>5226.7366860546963</v>
      </c>
      <c r="C697" s="800">
        <f t="shared" si="361"/>
        <v>9706.0408003099164</v>
      </c>
      <c r="D697" s="800">
        <f t="shared" si="362"/>
        <v>13496.320955587587</v>
      </c>
      <c r="E697" s="800">
        <f t="shared" si="363"/>
        <v>17370.949734190981</v>
      </c>
      <c r="F697" s="800">
        <f t="shared" si="364"/>
        <v>21428.032574419085</v>
      </c>
      <c r="G697" s="800">
        <f t="shared" si="365"/>
        <v>26903.102321375689</v>
      </c>
      <c r="H697" s="800">
        <f t="shared" si="366"/>
        <v>31869.065856203088</v>
      </c>
      <c r="I697" s="800">
        <f t="shared" si="367"/>
        <v>36692.274715095751</v>
      </c>
      <c r="J697" s="800">
        <f t="shared" si="368"/>
        <v>41251.042319368229</v>
      </c>
      <c r="K697" s="800">
        <f t="shared" si="369"/>
        <v>48713.176860625405</v>
      </c>
      <c r="L697" s="800">
        <f t="shared" si="370"/>
        <v>53764.14060476749</v>
      </c>
      <c r="M697" s="800">
        <f t="shared" si="371"/>
        <v>60161.98</v>
      </c>
      <c r="N697" s="800" t="s">
        <v>166</v>
      </c>
      <c r="O697" s="800" t="s">
        <v>132</v>
      </c>
    </row>
    <row r="698" spans="1:15">
      <c r="A698" s="137" t="s">
        <v>99</v>
      </c>
      <c r="B698" s="800">
        <f t="shared" si="359"/>
        <v>398.01118688124143</v>
      </c>
      <c r="C698" s="800">
        <f t="shared" si="361"/>
        <v>964.85376209250683</v>
      </c>
      <c r="D698" s="800">
        <f t="shared" si="362"/>
        <v>1218.6385638791576</v>
      </c>
      <c r="E698" s="800">
        <f t="shared" si="363"/>
        <v>1511.130564268947</v>
      </c>
      <c r="F698" s="800">
        <f t="shared" si="364"/>
        <v>1886.1283456397082</v>
      </c>
      <c r="G698" s="800">
        <f t="shared" si="365"/>
        <v>2980.7581147520159</v>
      </c>
      <c r="H698" s="800">
        <f t="shared" si="366"/>
        <v>3707.5890630517843</v>
      </c>
      <c r="I698" s="800">
        <f t="shared" si="367"/>
        <v>4272.4692795683932</v>
      </c>
      <c r="J698" s="800">
        <f t="shared" si="368"/>
        <v>5012.7773873044998</v>
      </c>
      <c r="K698" s="800">
        <f t="shared" si="369"/>
        <v>5418.6822428867326</v>
      </c>
      <c r="L698" s="800">
        <f t="shared" si="370"/>
        <v>6512.1959472506651</v>
      </c>
      <c r="M698" s="800">
        <f t="shared" si="371"/>
        <v>7156.77</v>
      </c>
      <c r="N698" s="800" t="s">
        <v>166</v>
      </c>
      <c r="O698" s="800" t="s">
        <v>132</v>
      </c>
    </row>
    <row r="699" spans="1:15">
      <c r="A699" s="137" t="s">
        <v>100</v>
      </c>
      <c r="B699" s="800">
        <f t="shared" si="359"/>
        <v>31692.339377886601</v>
      </c>
      <c r="C699" s="800">
        <f t="shared" si="361"/>
        <v>55810.381581962414</v>
      </c>
      <c r="D699" s="800">
        <f t="shared" si="362"/>
        <v>77099.456035782729</v>
      </c>
      <c r="E699" s="800">
        <f t="shared" si="363"/>
        <v>95388.532901532832</v>
      </c>
      <c r="F699" s="800">
        <f t="shared" si="364"/>
        <v>115773.02581547867</v>
      </c>
      <c r="G699" s="800">
        <f t="shared" si="365"/>
        <v>140612.76079176052</v>
      </c>
      <c r="H699" s="800">
        <f t="shared" si="366"/>
        <v>166975.58305738209</v>
      </c>
      <c r="I699" s="800">
        <f t="shared" si="367"/>
        <v>195615.90134813613</v>
      </c>
      <c r="J699" s="800">
        <f t="shared" si="368"/>
        <v>223108.8041898098</v>
      </c>
      <c r="K699" s="800">
        <f t="shared" si="369"/>
        <v>253353.35852854571</v>
      </c>
      <c r="L699" s="800">
        <f t="shared" si="370"/>
        <v>282822.98996108072</v>
      </c>
      <c r="M699" s="800">
        <f t="shared" si="371"/>
        <v>320023.28728570876</v>
      </c>
      <c r="N699" s="800" t="s">
        <v>166</v>
      </c>
      <c r="O699" s="800" t="s">
        <v>132</v>
      </c>
    </row>
    <row r="700" spans="1:15">
      <c r="A700" s="137" t="s">
        <v>101</v>
      </c>
      <c r="B700" s="800">
        <f t="shared" si="359"/>
        <v>179064.17172802187</v>
      </c>
      <c r="C700" s="800">
        <f t="shared" si="361"/>
        <v>333208.55800879997</v>
      </c>
      <c r="D700" s="800">
        <f t="shared" si="362"/>
        <v>467892.21026181791</v>
      </c>
      <c r="E700" s="800">
        <f t="shared" si="363"/>
        <v>579469.00002872723</v>
      </c>
      <c r="F700" s="800">
        <f t="shared" si="364"/>
        <v>695437.55801665212</v>
      </c>
      <c r="G700" s="800">
        <f t="shared" si="365"/>
        <v>851024.61959321774</v>
      </c>
      <c r="H700" s="800">
        <f t="shared" si="366"/>
        <v>1076096.6345684936</v>
      </c>
      <c r="I700" s="800">
        <f t="shared" si="367"/>
        <v>1322060.0664396829</v>
      </c>
      <c r="J700" s="800">
        <f t="shared" si="368"/>
        <v>1529981.8482822718</v>
      </c>
      <c r="K700" s="800">
        <f t="shared" si="369"/>
        <v>1747023.3529410379</v>
      </c>
      <c r="L700" s="800">
        <f t="shared" si="370"/>
        <v>1957769.8878500159</v>
      </c>
      <c r="M700" s="800">
        <f t="shared" si="371"/>
        <v>2200201.1920000003</v>
      </c>
      <c r="N700" s="800" t="s">
        <v>166</v>
      </c>
      <c r="O700" s="800" t="s">
        <v>132</v>
      </c>
    </row>
    <row r="701" spans="1:15">
      <c r="A701" s="137" t="s">
        <v>102</v>
      </c>
      <c r="B701" s="800">
        <f t="shared" si="359"/>
        <v>3916.7442077336332</v>
      </c>
      <c r="C701" s="800">
        <f t="shared" si="361"/>
        <v>7530.6461749505024</v>
      </c>
      <c r="D701" s="800">
        <f t="shared" si="362"/>
        <v>10969.713056365719</v>
      </c>
      <c r="E701" s="800">
        <f t="shared" si="363"/>
        <v>13865.005639623198</v>
      </c>
      <c r="F701" s="800">
        <f t="shared" si="364"/>
        <v>16409.349681714419</v>
      </c>
      <c r="G701" s="800">
        <f t="shared" si="365"/>
        <v>20061.894462751301</v>
      </c>
      <c r="H701" s="800">
        <f t="shared" si="366"/>
        <v>24610.042733547478</v>
      </c>
      <c r="I701" s="800">
        <f t="shared" si="367"/>
        <v>29458.479537559768</v>
      </c>
      <c r="J701" s="800">
        <f t="shared" si="368"/>
        <v>33626.044548902566</v>
      </c>
      <c r="K701" s="800">
        <f t="shared" si="369"/>
        <v>37983.903777449283</v>
      </c>
      <c r="L701" s="800">
        <f t="shared" si="370"/>
        <v>43236.461886770216</v>
      </c>
      <c r="M701" s="800">
        <f t="shared" si="371"/>
        <v>47526.63</v>
      </c>
      <c r="N701" s="800" t="s">
        <v>166</v>
      </c>
      <c r="O701" s="800" t="s">
        <v>132</v>
      </c>
    </row>
    <row r="702" spans="1:15">
      <c r="A702" s="137" t="s">
        <v>103</v>
      </c>
      <c r="B702" s="800">
        <f t="shared" si="359"/>
        <v>2667.4001757704041</v>
      </c>
      <c r="C702" s="800">
        <f t="shared" si="361"/>
        <v>5580.2932411492247</v>
      </c>
      <c r="D702" s="800">
        <f t="shared" si="362"/>
        <v>7723.3377583156207</v>
      </c>
      <c r="E702" s="800">
        <f t="shared" si="363"/>
        <v>9570.2221968704962</v>
      </c>
      <c r="F702" s="800">
        <f t="shared" si="364"/>
        <v>12737.287345150537</v>
      </c>
      <c r="G702" s="800">
        <f t="shared" si="365"/>
        <v>15774.235725910688</v>
      </c>
      <c r="H702" s="800">
        <f t="shared" si="366"/>
        <v>19133.342771805183</v>
      </c>
      <c r="I702" s="800">
        <f t="shared" si="367"/>
        <v>24112.409396940257</v>
      </c>
      <c r="J702" s="800">
        <f t="shared" si="368"/>
        <v>26847.311308624674</v>
      </c>
      <c r="K702" s="800">
        <f t="shared" si="369"/>
        <v>30500.584196553438</v>
      </c>
      <c r="L702" s="800">
        <f t="shared" si="370"/>
        <v>32971.770059715498</v>
      </c>
      <c r="M702" s="800">
        <f t="shared" si="371"/>
        <v>36281.89</v>
      </c>
      <c r="N702" s="800" t="s">
        <v>166</v>
      </c>
      <c r="O702" s="800" t="s">
        <v>132</v>
      </c>
    </row>
    <row r="703" spans="1:15">
      <c r="A703" s="137" t="s">
        <v>77</v>
      </c>
      <c r="B703" s="800">
        <f>B177</f>
        <v>2733.2078955863335</v>
      </c>
      <c r="C703" s="800">
        <f t="shared" ref="C703:M703" si="372">C177</f>
        <v>4474.7114318213798</v>
      </c>
      <c r="D703" s="800">
        <f t="shared" si="372"/>
        <v>6519.5557532003158</v>
      </c>
      <c r="E703" s="800">
        <f t="shared" si="372"/>
        <v>8130.7695528018876</v>
      </c>
      <c r="F703" s="800">
        <f t="shared" si="372"/>
        <v>10516.758083593142</v>
      </c>
      <c r="G703" s="800">
        <f t="shared" si="372"/>
        <v>13523.943419945404</v>
      </c>
      <c r="H703" s="800">
        <f t="shared" si="372"/>
        <v>16817.865930231776</v>
      </c>
      <c r="I703" s="800">
        <f t="shared" si="372"/>
        <v>20473.296303443982</v>
      </c>
      <c r="J703" s="800">
        <f t="shared" si="372"/>
        <v>24147.716234716481</v>
      </c>
      <c r="K703" s="800">
        <f t="shared" si="372"/>
        <v>28059.268370455909</v>
      </c>
      <c r="L703" s="800">
        <f t="shared" si="372"/>
        <v>32006.19997282021</v>
      </c>
      <c r="M703" s="800">
        <f t="shared" si="372"/>
        <v>35052.630000000005</v>
      </c>
      <c r="N703" s="800" t="s">
        <v>214</v>
      </c>
      <c r="O703" s="800" t="s">
        <v>132</v>
      </c>
    </row>
    <row r="704" spans="1:15">
      <c r="A704" s="137" t="s">
        <v>78</v>
      </c>
      <c r="B704" s="800">
        <f t="shared" ref="B704:M704" si="373">B178</f>
        <v>8211.903324536097</v>
      </c>
      <c r="C704" s="800">
        <f t="shared" si="373"/>
        <v>14043.661978626507</v>
      </c>
      <c r="D704" s="800">
        <f t="shared" si="373"/>
        <v>19283.528465393145</v>
      </c>
      <c r="E704" s="800">
        <f t="shared" si="373"/>
        <v>24293.402619459652</v>
      </c>
      <c r="F704" s="800">
        <f t="shared" si="373"/>
        <v>30304.776576555276</v>
      </c>
      <c r="G704" s="800">
        <f t="shared" si="373"/>
        <v>36070.661509416263</v>
      </c>
      <c r="H704" s="800">
        <f t="shared" si="373"/>
        <v>43334.133569156853</v>
      </c>
      <c r="I704" s="800">
        <f t="shared" si="373"/>
        <v>50391.527058978958</v>
      </c>
      <c r="J704" s="800">
        <f t="shared" si="373"/>
        <v>57555.110485873389</v>
      </c>
      <c r="K704" s="800">
        <f t="shared" si="373"/>
        <v>66306.83942737116</v>
      </c>
      <c r="L704" s="800">
        <f t="shared" si="373"/>
        <v>75464.576225219542</v>
      </c>
      <c r="M704" s="800">
        <f t="shared" si="373"/>
        <v>85898.75</v>
      </c>
      <c r="N704" s="800" t="s">
        <v>214</v>
      </c>
      <c r="O704" s="800" t="s">
        <v>132</v>
      </c>
    </row>
    <row r="705" spans="1:15">
      <c r="A705" s="137" t="s">
        <v>79</v>
      </c>
      <c r="B705" s="800">
        <f t="shared" ref="B705:M705" si="374">B179</f>
        <v>4473.9384492967802</v>
      </c>
      <c r="C705" s="800">
        <f t="shared" si="374"/>
        <v>8312.2299829347194</v>
      </c>
      <c r="D705" s="800">
        <f t="shared" si="374"/>
        <v>11142.946021846288</v>
      </c>
      <c r="E705" s="800">
        <f t="shared" si="374"/>
        <v>13667.511877698656</v>
      </c>
      <c r="F705" s="800">
        <f t="shared" si="374"/>
        <v>16766.032503217728</v>
      </c>
      <c r="G705" s="800">
        <f t="shared" si="374"/>
        <v>20429.782359777899</v>
      </c>
      <c r="H705" s="800">
        <f t="shared" si="374"/>
        <v>24622.363102368745</v>
      </c>
      <c r="I705" s="800">
        <f t="shared" si="374"/>
        <v>28880.475986126305</v>
      </c>
      <c r="J705" s="800">
        <f t="shared" si="374"/>
        <v>34460.954053810208</v>
      </c>
      <c r="K705" s="800">
        <f t="shared" si="374"/>
        <v>38442.371869729679</v>
      </c>
      <c r="L705" s="800">
        <f t="shared" si="374"/>
        <v>42725.433181107139</v>
      </c>
      <c r="M705" s="800">
        <f t="shared" si="374"/>
        <v>46335.5</v>
      </c>
      <c r="N705" s="800" t="s">
        <v>214</v>
      </c>
      <c r="O705" s="800" t="s">
        <v>132</v>
      </c>
    </row>
    <row r="706" spans="1:15">
      <c r="A706" s="137" t="s">
        <v>80</v>
      </c>
      <c r="B706" s="800">
        <f t="shared" ref="B706:M706" si="375">B180</f>
        <v>6102.3280496713051</v>
      </c>
      <c r="C706" s="800">
        <f t="shared" si="375"/>
        <v>12935.229567100983</v>
      </c>
      <c r="D706" s="800">
        <f t="shared" si="375"/>
        <v>19434.971418473506</v>
      </c>
      <c r="E706" s="800">
        <f t="shared" si="375"/>
        <v>25225.343048899947</v>
      </c>
      <c r="F706" s="800">
        <f t="shared" si="375"/>
        <v>31454.370180302954</v>
      </c>
      <c r="G706" s="800">
        <f t="shared" si="375"/>
        <v>39343.770581826306</v>
      </c>
      <c r="H706" s="800">
        <f t="shared" si="375"/>
        <v>46708.143729473399</v>
      </c>
      <c r="I706" s="800">
        <f t="shared" si="375"/>
        <v>55828.393051217674</v>
      </c>
      <c r="J706" s="800">
        <f t="shared" si="375"/>
        <v>63345.409479606285</v>
      </c>
      <c r="K706" s="800">
        <f t="shared" si="375"/>
        <v>70730.381153759125</v>
      </c>
      <c r="L706" s="800">
        <f t="shared" si="375"/>
        <v>77547.659493106359</v>
      </c>
      <c r="M706" s="800">
        <f t="shared" si="375"/>
        <v>86770.290000000008</v>
      </c>
      <c r="N706" s="800" t="s">
        <v>214</v>
      </c>
      <c r="O706" s="800" t="s">
        <v>132</v>
      </c>
    </row>
    <row r="707" spans="1:15">
      <c r="A707" s="137" t="s">
        <v>81</v>
      </c>
      <c r="B707" s="800">
        <f t="shared" ref="B707:M707" si="376">B181</f>
        <v>20189.822403059577</v>
      </c>
      <c r="C707" s="800">
        <f t="shared" si="376"/>
        <v>40155.433351608481</v>
      </c>
      <c r="D707" s="800">
        <f t="shared" si="376"/>
        <v>54511.968971430855</v>
      </c>
      <c r="E707" s="800">
        <f t="shared" si="376"/>
        <v>66753.658678735213</v>
      </c>
      <c r="F707" s="800">
        <f t="shared" si="376"/>
        <v>78174.429523381783</v>
      </c>
      <c r="G707" s="800">
        <f t="shared" si="376"/>
        <v>92010.920015551455</v>
      </c>
      <c r="H707" s="800">
        <f t="shared" si="376"/>
        <v>108633.94566412157</v>
      </c>
      <c r="I707" s="800">
        <f t="shared" si="376"/>
        <v>127031.15291566143</v>
      </c>
      <c r="J707" s="800">
        <f t="shared" si="376"/>
        <v>145194.23430869865</v>
      </c>
      <c r="K707" s="800">
        <f t="shared" si="376"/>
        <v>163657.63762251553</v>
      </c>
      <c r="L707" s="800">
        <f t="shared" si="376"/>
        <v>185262.81777191829</v>
      </c>
      <c r="M707" s="800">
        <f t="shared" si="376"/>
        <v>209385.96</v>
      </c>
      <c r="N707" s="800" t="s">
        <v>214</v>
      </c>
      <c r="O707" s="800" t="s">
        <v>132</v>
      </c>
    </row>
    <row r="708" spans="1:15">
      <c r="A708" s="137" t="s">
        <v>82</v>
      </c>
      <c r="B708" s="800">
        <f t="shared" ref="B708:M708" si="377">B182</f>
        <v>13194.639534358383</v>
      </c>
      <c r="C708" s="800">
        <f t="shared" si="377"/>
        <v>26528.522702610306</v>
      </c>
      <c r="D708" s="800">
        <f t="shared" si="377"/>
        <v>34021.476935563784</v>
      </c>
      <c r="E708" s="800">
        <f t="shared" si="377"/>
        <v>41517.699209012484</v>
      </c>
      <c r="F708" s="800">
        <f t="shared" si="377"/>
        <v>50398.457322378956</v>
      </c>
      <c r="G708" s="800">
        <f t="shared" si="377"/>
        <v>61629.842907054161</v>
      </c>
      <c r="H708" s="800">
        <f t="shared" si="377"/>
        <v>71504.30397104405</v>
      </c>
      <c r="I708" s="800">
        <f t="shared" si="377"/>
        <v>82739.564265461231</v>
      </c>
      <c r="J708" s="800">
        <f t="shared" si="377"/>
        <v>95224.39844095755</v>
      </c>
      <c r="K708" s="800">
        <f t="shared" si="377"/>
        <v>110090.47512207109</v>
      </c>
      <c r="L708" s="800">
        <f t="shared" si="377"/>
        <v>123472.04747544558</v>
      </c>
      <c r="M708" s="800">
        <f t="shared" si="377"/>
        <v>137824.76</v>
      </c>
      <c r="N708" s="800" t="s">
        <v>214</v>
      </c>
      <c r="O708" s="800" t="s">
        <v>132</v>
      </c>
    </row>
    <row r="709" spans="1:15">
      <c r="A709" s="137" t="s">
        <v>83</v>
      </c>
      <c r="B709" s="800">
        <f t="shared" ref="B709:M709" si="378">B183</f>
        <v>22759.027894590403</v>
      </c>
      <c r="C709" s="800">
        <f t="shared" si="378"/>
        <v>42190.451670249728</v>
      </c>
      <c r="D709" s="800">
        <f t="shared" si="378"/>
        <v>58592.693160039147</v>
      </c>
      <c r="E709" s="800">
        <f t="shared" si="378"/>
        <v>73267.885461523343</v>
      </c>
      <c r="F709" s="800">
        <f t="shared" si="378"/>
        <v>91428.12396097336</v>
      </c>
      <c r="G709" s="800">
        <f t="shared" si="378"/>
        <v>109242.5549337399</v>
      </c>
      <c r="H709" s="800">
        <f t="shared" si="378"/>
        <v>129490.60800678679</v>
      </c>
      <c r="I709" s="800">
        <f t="shared" si="378"/>
        <v>151512.08307159255</v>
      </c>
      <c r="J709" s="800">
        <f t="shared" si="378"/>
        <v>170417.96034154308</v>
      </c>
      <c r="K709" s="800">
        <f t="shared" si="378"/>
        <v>190536.90655645714</v>
      </c>
      <c r="L709" s="800">
        <f t="shared" si="378"/>
        <v>209418.15446966607</v>
      </c>
      <c r="M709" s="800">
        <f t="shared" si="378"/>
        <v>229355.04</v>
      </c>
      <c r="N709" s="800" t="s">
        <v>214</v>
      </c>
      <c r="O709" s="800" t="s">
        <v>132</v>
      </c>
    </row>
    <row r="710" spans="1:15">
      <c r="A710" s="137" t="s">
        <v>84</v>
      </c>
      <c r="B710" s="800">
        <f t="shared" ref="B710:M710" si="379">B184</f>
        <v>11671.518810008418</v>
      </c>
      <c r="C710" s="800">
        <f t="shared" si="379"/>
        <v>22107.317180604412</v>
      </c>
      <c r="D710" s="800">
        <f t="shared" si="379"/>
        <v>30615.576128586788</v>
      </c>
      <c r="E710" s="800">
        <f t="shared" si="379"/>
        <v>39337.78059764739</v>
      </c>
      <c r="F710" s="800">
        <f t="shared" si="379"/>
        <v>46192.624483162283</v>
      </c>
      <c r="G710" s="800">
        <f t="shared" si="379"/>
        <v>55519.047807095369</v>
      </c>
      <c r="H710" s="800">
        <f t="shared" si="379"/>
        <v>65891.487054546509</v>
      </c>
      <c r="I710" s="800">
        <f t="shared" si="379"/>
        <v>78342.932454078953</v>
      </c>
      <c r="J710" s="800">
        <f t="shared" si="379"/>
        <v>89177.047604225212</v>
      </c>
      <c r="K710" s="800">
        <f t="shared" si="379"/>
        <v>102366.35466689648</v>
      </c>
      <c r="L710" s="800">
        <f t="shared" si="379"/>
        <v>114785.28630039129</v>
      </c>
      <c r="M710" s="800">
        <f t="shared" si="379"/>
        <v>130076.64</v>
      </c>
      <c r="N710" s="800" t="s">
        <v>214</v>
      </c>
      <c r="O710" s="800" t="s">
        <v>132</v>
      </c>
    </row>
    <row r="711" spans="1:15">
      <c r="A711" s="137" t="s">
        <v>85</v>
      </c>
      <c r="B711" s="800">
        <f t="shared" ref="B711:M711" si="380">B185</f>
        <v>14297.133464970524</v>
      </c>
      <c r="C711" s="800">
        <f t="shared" si="380"/>
        <v>29038.685467433465</v>
      </c>
      <c r="D711" s="800">
        <f t="shared" si="380"/>
        <v>44761.786491379418</v>
      </c>
      <c r="E711" s="800">
        <f t="shared" si="380"/>
        <v>58732.89252023337</v>
      </c>
      <c r="F711" s="800">
        <f t="shared" si="380"/>
        <v>70474.557485423255</v>
      </c>
      <c r="G711" s="800">
        <f t="shared" si="380"/>
        <v>85863.979024722168</v>
      </c>
      <c r="H711" s="800">
        <f t="shared" si="380"/>
        <v>102024.02788221349</v>
      </c>
      <c r="I711" s="800">
        <f t="shared" si="380"/>
        <v>118330.97601388619</v>
      </c>
      <c r="J711" s="800">
        <f t="shared" si="380"/>
        <v>135155.09515494303</v>
      </c>
      <c r="K711" s="800">
        <f t="shared" si="380"/>
        <v>151700.68030867889</v>
      </c>
      <c r="L711" s="800">
        <f t="shared" si="380"/>
        <v>165912.99010015666</v>
      </c>
      <c r="M711" s="800">
        <f t="shared" si="380"/>
        <v>182694.62</v>
      </c>
      <c r="N711" s="800" t="s">
        <v>214</v>
      </c>
      <c r="O711" s="800" t="s">
        <v>132</v>
      </c>
    </row>
    <row r="712" spans="1:15">
      <c r="A712" s="137" t="s">
        <v>86</v>
      </c>
      <c r="B712" s="800">
        <f t="shared" ref="B712:M712" si="381">B186</f>
        <v>5607.3848858733636</v>
      </c>
      <c r="C712" s="800">
        <f t="shared" si="381"/>
        <v>10344.980975802218</v>
      </c>
      <c r="D712" s="800">
        <f t="shared" si="381"/>
        <v>17626.944610151691</v>
      </c>
      <c r="E712" s="800">
        <f t="shared" si="381"/>
        <v>21830.038606793376</v>
      </c>
      <c r="F712" s="800">
        <f t="shared" si="381"/>
        <v>25348.370735103803</v>
      </c>
      <c r="G712" s="800">
        <f t="shared" si="381"/>
        <v>31180.672448932764</v>
      </c>
      <c r="H712" s="800">
        <f t="shared" si="381"/>
        <v>37629.644855993196</v>
      </c>
      <c r="I712" s="800">
        <f t="shared" si="381"/>
        <v>42600.816354810784</v>
      </c>
      <c r="J712" s="800">
        <f t="shared" si="381"/>
        <v>48359.726713525903</v>
      </c>
      <c r="K712" s="800">
        <f t="shared" si="381"/>
        <v>54486.344826483102</v>
      </c>
      <c r="L712" s="800">
        <f t="shared" si="381"/>
        <v>59596.357060289076</v>
      </c>
      <c r="M712" s="800">
        <f t="shared" si="381"/>
        <v>65315.44</v>
      </c>
      <c r="N712" s="800" t="s">
        <v>214</v>
      </c>
      <c r="O712" s="800" t="s">
        <v>132</v>
      </c>
    </row>
    <row r="713" spans="1:15">
      <c r="A713" s="137" t="s">
        <v>87</v>
      </c>
      <c r="B713" s="800">
        <f t="shared" ref="B713:M713" si="382">B187</f>
        <v>8923.8436656509621</v>
      </c>
      <c r="C713" s="800">
        <f t="shared" si="382"/>
        <v>20539.626312504344</v>
      </c>
      <c r="D713" s="800">
        <f t="shared" si="382"/>
        <v>29405.582060245699</v>
      </c>
      <c r="E713" s="800">
        <f t="shared" si="382"/>
        <v>37089.749946736702</v>
      </c>
      <c r="F713" s="800">
        <f t="shared" si="382"/>
        <v>45497.916776990052</v>
      </c>
      <c r="G713" s="800">
        <f t="shared" si="382"/>
        <v>58255.916485366775</v>
      </c>
      <c r="H713" s="800">
        <f t="shared" si="382"/>
        <v>70552.100618867262</v>
      </c>
      <c r="I713" s="800">
        <f t="shared" si="382"/>
        <v>84066.387777590295</v>
      </c>
      <c r="J713" s="800">
        <f t="shared" si="382"/>
        <v>97223.257230700285</v>
      </c>
      <c r="K713" s="800">
        <f t="shared" si="382"/>
        <v>109168.35302087493</v>
      </c>
      <c r="L713" s="800">
        <f t="shared" si="382"/>
        <v>121569.3165065487</v>
      </c>
      <c r="M713" s="800">
        <f t="shared" si="382"/>
        <v>137702.06</v>
      </c>
      <c r="N713" s="800" t="s">
        <v>214</v>
      </c>
      <c r="O713" s="800" t="s">
        <v>132</v>
      </c>
    </row>
    <row r="714" spans="1:15">
      <c r="A714" s="137" t="s">
        <v>88</v>
      </c>
      <c r="B714" s="800">
        <f t="shared" ref="B714:M714" si="383">B188</f>
        <v>16235.031425689271</v>
      </c>
      <c r="C714" s="800">
        <f t="shared" si="383"/>
        <v>29176.742765522722</v>
      </c>
      <c r="D714" s="800">
        <f t="shared" si="383"/>
        <v>41528.629198763134</v>
      </c>
      <c r="E714" s="800">
        <f t="shared" si="383"/>
        <v>53300.383855286535</v>
      </c>
      <c r="F714" s="800">
        <f t="shared" si="383"/>
        <v>65301.062539325154</v>
      </c>
      <c r="G714" s="800">
        <f t="shared" si="383"/>
        <v>77647.025308446624</v>
      </c>
      <c r="H714" s="800">
        <f t="shared" si="383"/>
        <v>92554.963331513267</v>
      </c>
      <c r="I714" s="800">
        <f t="shared" si="383"/>
        <v>106935.75437777324</v>
      </c>
      <c r="J714" s="800">
        <f t="shared" si="383"/>
        <v>127565.55870650547</v>
      </c>
      <c r="K714" s="800">
        <f t="shared" si="383"/>
        <v>142963.35417675806</v>
      </c>
      <c r="L714" s="800">
        <f t="shared" si="383"/>
        <v>158257.68853778331</v>
      </c>
      <c r="M714" s="800">
        <f t="shared" si="383"/>
        <v>177461.41</v>
      </c>
      <c r="N714" s="800" t="s">
        <v>214</v>
      </c>
      <c r="O714" s="800" t="s">
        <v>132</v>
      </c>
    </row>
    <row r="715" spans="1:15">
      <c r="A715" s="137" t="s">
        <v>89</v>
      </c>
      <c r="B715" s="800">
        <f t="shared" ref="B715:M715" si="384">B189</f>
        <v>68999.592904269535</v>
      </c>
      <c r="C715" s="800">
        <f t="shared" si="384"/>
        <v>122872.85176621501</v>
      </c>
      <c r="D715" s="800">
        <f t="shared" si="384"/>
        <v>170923.99929571201</v>
      </c>
      <c r="E715" s="800">
        <f t="shared" si="384"/>
        <v>214984.06019066781</v>
      </c>
      <c r="F715" s="800">
        <f t="shared" si="384"/>
        <v>258722.90720288298</v>
      </c>
      <c r="G715" s="800">
        <f t="shared" si="384"/>
        <v>305887.06467491167</v>
      </c>
      <c r="H715" s="800">
        <f t="shared" si="384"/>
        <v>358811.57016606338</v>
      </c>
      <c r="I715" s="800">
        <f t="shared" si="384"/>
        <v>407350.76765653014</v>
      </c>
      <c r="J715" s="800">
        <f t="shared" si="384"/>
        <v>460529.2313206832</v>
      </c>
      <c r="K715" s="800">
        <f t="shared" si="384"/>
        <v>516772.510836876</v>
      </c>
      <c r="L715" s="800">
        <f t="shared" si="384"/>
        <v>577658.18087141193</v>
      </c>
      <c r="M715" s="800">
        <f t="shared" si="384"/>
        <v>646195.09000000008</v>
      </c>
      <c r="N715" s="800" t="s">
        <v>214</v>
      </c>
      <c r="O715" s="800" t="s">
        <v>132</v>
      </c>
    </row>
    <row r="716" spans="1:15">
      <c r="A716" s="137" t="s">
        <v>90</v>
      </c>
      <c r="B716" s="800">
        <f t="shared" ref="B716:M716" si="385">B190</f>
        <v>9778.1482627854421</v>
      </c>
      <c r="C716" s="800">
        <f t="shared" si="385"/>
        <v>18882.257625340171</v>
      </c>
      <c r="D716" s="800">
        <f t="shared" si="385"/>
        <v>26938.508797644816</v>
      </c>
      <c r="E716" s="800">
        <f t="shared" si="385"/>
        <v>34535.353233244772</v>
      </c>
      <c r="F716" s="800">
        <f t="shared" si="385"/>
        <v>40397.484830039401</v>
      </c>
      <c r="G716" s="800">
        <f t="shared" si="385"/>
        <v>47584.49330021027</v>
      </c>
      <c r="H716" s="800">
        <f t="shared" si="385"/>
        <v>56354.713183384927</v>
      </c>
      <c r="I716" s="800">
        <f t="shared" si="385"/>
        <v>66370.604079585552</v>
      </c>
      <c r="J716" s="800">
        <f t="shared" si="385"/>
        <v>75250.137788902182</v>
      </c>
      <c r="K716" s="800">
        <f t="shared" si="385"/>
        <v>85367.498084861189</v>
      </c>
      <c r="L716" s="800">
        <f t="shared" si="385"/>
        <v>95927.268587631595</v>
      </c>
      <c r="M716" s="800">
        <f t="shared" si="385"/>
        <v>107213.95999999999</v>
      </c>
      <c r="N716" s="800" t="s">
        <v>214</v>
      </c>
      <c r="O716" s="800" t="s">
        <v>132</v>
      </c>
    </row>
    <row r="717" spans="1:15">
      <c r="A717" s="137" t="s">
        <v>91</v>
      </c>
      <c r="B717" s="800">
        <f t="shared" ref="B717:M717" si="386">B191</f>
        <v>11778.836503942166</v>
      </c>
      <c r="C717" s="800">
        <f t="shared" si="386"/>
        <v>21503.193530015651</v>
      </c>
      <c r="D717" s="800">
        <f t="shared" si="386"/>
        <v>29983.97542802204</v>
      </c>
      <c r="E717" s="800">
        <f t="shared" si="386"/>
        <v>36615.886331161455</v>
      </c>
      <c r="F717" s="800">
        <f t="shared" si="386"/>
        <v>44198.277054157297</v>
      </c>
      <c r="G717" s="800">
        <f t="shared" si="386"/>
        <v>52022.145091603379</v>
      </c>
      <c r="H717" s="800">
        <f t="shared" si="386"/>
        <v>61797.959151025992</v>
      </c>
      <c r="I717" s="800">
        <f t="shared" si="386"/>
        <v>71743.412750505871</v>
      </c>
      <c r="J717" s="800">
        <f t="shared" si="386"/>
        <v>82088.861090254752</v>
      </c>
      <c r="K717" s="800">
        <f t="shared" si="386"/>
        <v>94580.245831075357</v>
      </c>
      <c r="L717" s="800">
        <f t="shared" si="386"/>
        <v>106777.95411969603</v>
      </c>
      <c r="M717" s="800">
        <f t="shared" si="386"/>
        <v>121509.67</v>
      </c>
      <c r="N717" s="800" t="s">
        <v>214</v>
      </c>
      <c r="O717" s="800" t="s">
        <v>132</v>
      </c>
    </row>
    <row r="718" spans="1:15">
      <c r="A718" s="137" t="s">
        <v>92</v>
      </c>
      <c r="B718" s="800">
        <f t="shared" ref="B718:M718" si="387">B192</f>
        <v>51542.947848245596</v>
      </c>
      <c r="C718" s="800">
        <f t="shared" si="387"/>
        <v>90536.370032813953</v>
      </c>
      <c r="D718" s="800">
        <f t="shared" si="387"/>
        <v>125088.08428197553</v>
      </c>
      <c r="E718" s="800">
        <f t="shared" si="387"/>
        <v>154467.98675419902</v>
      </c>
      <c r="F718" s="800">
        <f t="shared" si="387"/>
        <v>185868.73897590861</v>
      </c>
      <c r="G718" s="800">
        <f t="shared" si="387"/>
        <v>219914.67792981252</v>
      </c>
      <c r="H718" s="800">
        <f t="shared" si="387"/>
        <v>256012.04110664237</v>
      </c>
      <c r="I718" s="800">
        <f t="shared" si="387"/>
        <v>298322.06301954569</v>
      </c>
      <c r="J718" s="800">
        <f t="shared" si="387"/>
        <v>335086.26220634242</v>
      </c>
      <c r="K718" s="800">
        <f t="shared" si="387"/>
        <v>377893.69025708188</v>
      </c>
      <c r="L718" s="800">
        <f t="shared" si="387"/>
        <v>426529.77060119581</v>
      </c>
      <c r="M718" s="800">
        <f t="shared" si="387"/>
        <v>486484.29</v>
      </c>
      <c r="N718" s="800" t="s">
        <v>214</v>
      </c>
      <c r="O718" s="800" t="s">
        <v>132</v>
      </c>
    </row>
    <row r="719" spans="1:15">
      <c r="A719" s="137" t="s">
        <v>93</v>
      </c>
      <c r="B719" s="800">
        <f t="shared" ref="B719:M719" si="388">B193</f>
        <v>24591.689352725942</v>
      </c>
      <c r="C719" s="800">
        <f t="shared" si="388"/>
        <v>41461.662418242093</v>
      </c>
      <c r="D719" s="800">
        <f t="shared" si="388"/>
        <v>59530.741477865929</v>
      </c>
      <c r="E719" s="800">
        <f t="shared" si="388"/>
        <v>75420.332449550071</v>
      </c>
      <c r="F719" s="800">
        <f t="shared" si="388"/>
        <v>88652.206115649227</v>
      </c>
      <c r="G719" s="800">
        <f t="shared" si="388"/>
        <v>105848.26030106765</v>
      </c>
      <c r="H719" s="800">
        <f t="shared" si="388"/>
        <v>130022.01440702511</v>
      </c>
      <c r="I719" s="800">
        <f t="shared" si="388"/>
        <v>148613.57454402887</v>
      </c>
      <c r="J719" s="800">
        <f t="shared" si="388"/>
        <v>167442.10351473509</v>
      </c>
      <c r="K719" s="800">
        <f t="shared" si="388"/>
        <v>185739.19678348911</v>
      </c>
      <c r="L719" s="800">
        <f t="shared" si="388"/>
        <v>204929.24150718781</v>
      </c>
      <c r="M719" s="800">
        <f t="shared" si="388"/>
        <v>225905.29</v>
      </c>
      <c r="N719" s="800" t="s">
        <v>214</v>
      </c>
      <c r="O719" s="800" t="s">
        <v>132</v>
      </c>
    </row>
    <row r="720" spans="1:15">
      <c r="A720" s="137" t="s">
        <v>94</v>
      </c>
      <c r="B720" s="800">
        <f t="shared" ref="B720:M720" si="389">B194</f>
        <v>5495.9912424689783</v>
      </c>
      <c r="C720" s="800">
        <f t="shared" si="389"/>
        <v>9588.428110225901</v>
      </c>
      <c r="D720" s="800">
        <f t="shared" si="389"/>
        <v>12487.243815939755</v>
      </c>
      <c r="E720" s="800">
        <f t="shared" si="389"/>
        <v>17713.07908549091</v>
      </c>
      <c r="F720" s="800">
        <f t="shared" si="389"/>
        <v>21210.399233140666</v>
      </c>
      <c r="G720" s="800">
        <f t="shared" si="389"/>
        <v>24500.535568666721</v>
      </c>
      <c r="H720" s="800">
        <f t="shared" si="389"/>
        <v>28643.552569778232</v>
      </c>
      <c r="I720" s="800">
        <f t="shared" si="389"/>
        <v>33343.669142943683</v>
      </c>
      <c r="J720" s="800">
        <f t="shared" si="389"/>
        <v>36687.47236819411</v>
      </c>
      <c r="K720" s="800">
        <f t="shared" si="389"/>
        <v>40107.823508123503</v>
      </c>
      <c r="L720" s="800">
        <f t="shared" si="389"/>
        <v>44491.7720143693</v>
      </c>
      <c r="M720" s="800">
        <f t="shared" si="389"/>
        <v>50086.6</v>
      </c>
      <c r="N720" s="800" t="s">
        <v>214</v>
      </c>
      <c r="O720" s="800" t="s">
        <v>132</v>
      </c>
    </row>
    <row r="721" spans="1:15">
      <c r="A721" s="137" t="s">
        <v>95</v>
      </c>
      <c r="B721" s="800">
        <f t="shared" ref="B721:M721" si="390">B195</f>
        <v>59213.967948619968</v>
      </c>
      <c r="C721" s="800">
        <f t="shared" si="390"/>
        <v>106887.43216273803</v>
      </c>
      <c r="D721" s="800">
        <f t="shared" si="390"/>
        <v>152334.11251251498</v>
      </c>
      <c r="E721" s="800">
        <f t="shared" si="390"/>
        <v>186587.62543457313</v>
      </c>
      <c r="F721" s="800">
        <f t="shared" si="390"/>
        <v>226656.42025964742</v>
      </c>
      <c r="G721" s="800">
        <f t="shared" si="390"/>
        <v>280019.21171696333</v>
      </c>
      <c r="H721" s="800">
        <f t="shared" si="390"/>
        <v>347864.35420542612</v>
      </c>
      <c r="I721" s="800">
        <f t="shared" si="390"/>
        <v>412112.7473150646</v>
      </c>
      <c r="J721" s="800">
        <f t="shared" si="390"/>
        <v>471972.25465556345</v>
      </c>
      <c r="K721" s="800">
        <f t="shared" si="390"/>
        <v>532504.33344642143</v>
      </c>
      <c r="L721" s="800">
        <f t="shared" si="390"/>
        <v>590298.22360042855</v>
      </c>
      <c r="M721" s="800">
        <f t="shared" si="390"/>
        <v>654547.02</v>
      </c>
      <c r="N721" s="800" t="s">
        <v>214</v>
      </c>
      <c r="O721" s="800" t="s">
        <v>132</v>
      </c>
    </row>
    <row r="722" spans="1:15">
      <c r="A722" s="137" t="s">
        <v>96</v>
      </c>
      <c r="B722" s="800">
        <f t="shared" ref="B722:M722" si="391">B196</f>
        <v>8769.9612038810428</v>
      </c>
      <c r="C722" s="800">
        <f t="shared" si="391"/>
        <v>18718.781049573809</v>
      </c>
      <c r="D722" s="800">
        <f t="shared" si="391"/>
        <v>26332.691992693599</v>
      </c>
      <c r="E722" s="800">
        <f t="shared" si="391"/>
        <v>33358.940682145083</v>
      </c>
      <c r="F722" s="800">
        <f t="shared" si="391"/>
        <v>40620.311458757264</v>
      </c>
      <c r="G722" s="800">
        <f t="shared" si="391"/>
        <v>48393.683959220652</v>
      </c>
      <c r="H722" s="800">
        <f t="shared" si="391"/>
        <v>56411.791032046458</v>
      </c>
      <c r="I722" s="800">
        <f t="shared" si="391"/>
        <v>64151.99976183031</v>
      </c>
      <c r="J722" s="800">
        <f t="shared" si="391"/>
        <v>71277.26499226311</v>
      </c>
      <c r="K722" s="800">
        <f t="shared" si="391"/>
        <v>79942.911341673476</v>
      </c>
      <c r="L722" s="800">
        <f t="shared" si="391"/>
        <v>89036.508466673928</v>
      </c>
      <c r="M722" s="800">
        <f t="shared" si="391"/>
        <v>100840.06</v>
      </c>
      <c r="N722" s="800" t="s">
        <v>214</v>
      </c>
      <c r="O722" s="800" t="s">
        <v>132</v>
      </c>
    </row>
    <row r="723" spans="1:15">
      <c r="A723" s="137" t="s">
        <v>97</v>
      </c>
      <c r="B723" s="800">
        <f t="shared" ref="B723:M723" si="392">B197</f>
        <v>65373.777522724013</v>
      </c>
      <c r="C723" s="800">
        <f t="shared" si="392"/>
        <v>111407.22242411786</v>
      </c>
      <c r="D723" s="800">
        <f t="shared" si="392"/>
        <v>153263.0340099638</v>
      </c>
      <c r="E723" s="800">
        <f t="shared" si="392"/>
        <v>193268.61928561606</v>
      </c>
      <c r="F723" s="800">
        <f t="shared" si="392"/>
        <v>233548.82172797871</v>
      </c>
      <c r="G723" s="800">
        <f t="shared" si="392"/>
        <v>276024.33853992372</v>
      </c>
      <c r="H723" s="800">
        <f t="shared" si="392"/>
        <v>327517.95507036691</v>
      </c>
      <c r="I723" s="800">
        <f t="shared" si="392"/>
        <v>379734.44022656872</v>
      </c>
      <c r="J723" s="800">
        <f t="shared" si="392"/>
        <v>424764.29783023108</v>
      </c>
      <c r="K723" s="800">
        <f t="shared" si="392"/>
        <v>480877.40960382775</v>
      </c>
      <c r="L723" s="800">
        <f t="shared" si="392"/>
        <v>539449.31759896188</v>
      </c>
      <c r="M723" s="800">
        <f t="shared" si="392"/>
        <v>613204.17999999993</v>
      </c>
      <c r="N723" s="800" t="s">
        <v>214</v>
      </c>
      <c r="O723" s="800" t="s">
        <v>132</v>
      </c>
    </row>
    <row r="724" spans="1:15">
      <c r="A724" s="137" t="s">
        <v>98</v>
      </c>
      <c r="B724" s="800">
        <f t="shared" ref="B724:M724" si="393">B198</f>
        <v>6171.0525126670818</v>
      </c>
      <c r="C724" s="800">
        <f t="shared" si="393"/>
        <v>11459.633623520733</v>
      </c>
      <c r="D724" s="800">
        <f t="shared" si="393"/>
        <v>15934.704644095516</v>
      </c>
      <c r="E724" s="800">
        <f t="shared" si="393"/>
        <v>20509.363574905568</v>
      </c>
      <c r="F724" s="800">
        <f t="shared" si="393"/>
        <v>25299.440588367379</v>
      </c>
      <c r="G724" s="800">
        <f t="shared" si="393"/>
        <v>31763.692558268605</v>
      </c>
      <c r="H724" s="800">
        <f t="shared" si="393"/>
        <v>37626.857969140234</v>
      </c>
      <c r="I724" s="800">
        <f t="shared" si="393"/>
        <v>43321.477181009257</v>
      </c>
      <c r="J724" s="800">
        <f t="shared" si="393"/>
        <v>48703.878470530923</v>
      </c>
      <c r="K724" s="800">
        <f t="shared" si="393"/>
        <v>57514.198728972005</v>
      </c>
      <c r="L724" s="800">
        <f t="shared" si="393"/>
        <v>63477.721358271752</v>
      </c>
      <c r="M724" s="800">
        <f t="shared" si="393"/>
        <v>71031.460000000006</v>
      </c>
      <c r="N724" s="800" t="s">
        <v>214</v>
      </c>
      <c r="O724" s="800" t="s">
        <v>132</v>
      </c>
    </row>
    <row r="725" spans="1:15">
      <c r="A725" s="137" t="s">
        <v>99</v>
      </c>
      <c r="B725" s="800">
        <f t="shared" ref="B725:M725" si="394">B199</f>
        <v>506.44644360919455</v>
      </c>
      <c r="C725" s="800">
        <f t="shared" si="394"/>
        <v>1227.7211609142644</v>
      </c>
      <c r="D725" s="800">
        <f t="shared" si="394"/>
        <v>1550.6477884647206</v>
      </c>
      <c r="E725" s="800">
        <f t="shared" si="394"/>
        <v>1922.8271097101494</v>
      </c>
      <c r="F725" s="800">
        <f t="shared" si="394"/>
        <v>2399.9903126460194</v>
      </c>
      <c r="G725" s="800">
        <f t="shared" si="394"/>
        <v>3792.8440110047427</v>
      </c>
      <c r="H725" s="800">
        <f t="shared" si="394"/>
        <v>4717.6947714969338</v>
      </c>
      <c r="I725" s="800">
        <f t="shared" si="394"/>
        <v>5436.4724997354861</v>
      </c>
      <c r="J725" s="800">
        <f t="shared" si="394"/>
        <v>6378.4721738548824</v>
      </c>
      <c r="K725" s="800">
        <f t="shared" si="394"/>
        <v>6894.9628588633504</v>
      </c>
      <c r="L725" s="800">
        <f t="shared" si="394"/>
        <v>8286.396428740054</v>
      </c>
      <c r="M725" s="800">
        <f t="shared" si="394"/>
        <v>9106.58</v>
      </c>
      <c r="N725" s="800" t="s">
        <v>214</v>
      </c>
      <c r="O725" s="800" t="s">
        <v>132</v>
      </c>
    </row>
    <row r="726" spans="1:15">
      <c r="A726" s="137" t="s">
        <v>100</v>
      </c>
      <c r="B726" s="800">
        <f t="shared" ref="B726:M726" si="395">B200</f>
        <v>35878.968362090323</v>
      </c>
      <c r="C726" s="800">
        <f t="shared" si="395"/>
        <v>63183.057936474404</v>
      </c>
      <c r="D726" s="800">
        <f t="shared" si="395"/>
        <v>87284.466787339115</v>
      </c>
      <c r="E726" s="800">
        <f t="shared" si="395"/>
        <v>107989.57165239513</v>
      </c>
      <c r="F726" s="800">
        <f t="shared" si="395"/>
        <v>131066.90171680292</v>
      </c>
      <c r="G726" s="800">
        <f t="shared" si="395"/>
        <v>159188.02129431756</v>
      </c>
      <c r="H726" s="800">
        <f t="shared" si="395"/>
        <v>189033.4314019611</v>
      </c>
      <c r="I726" s="800">
        <f t="shared" si="395"/>
        <v>221457.19985848476</v>
      </c>
      <c r="J726" s="800">
        <f t="shared" si="395"/>
        <v>252581.97671628612</v>
      </c>
      <c r="K726" s="800">
        <f t="shared" si="395"/>
        <v>286821.90439427225</v>
      </c>
      <c r="L726" s="800">
        <f t="shared" si="395"/>
        <v>320184.54011526122</v>
      </c>
      <c r="M726" s="800">
        <f t="shared" si="395"/>
        <v>362299.08</v>
      </c>
      <c r="N726" s="800" t="s">
        <v>214</v>
      </c>
      <c r="O726" s="800" t="s">
        <v>132</v>
      </c>
    </row>
    <row r="727" spans="1:15">
      <c r="A727" s="137" t="s">
        <v>101</v>
      </c>
      <c r="B727" s="800">
        <f t="shared" ref="B727:M727" si="396">B201</f>
        <v>212524.05917457491</v>
      </c>
      <c r="C727" s="800">
        <f t="shared" si="396"/>
        <v>395471.82787239348</v>
      </c>
      <c r="D727" s="800">
        <f t="shared" si="396"/>
        <v>555322.4345294534</v>
      </c>
      <c r="E727" s="800">
        <f t="shared" si="396"/>
        <v>687748.43601314898</v>
      </c>
      <c r="F727" s="800">
        <f t="shared" si="396"/>
        <v>825386.8504562712</v>
      </c>
      <c r="G727" s="800">
        <f t="shared" si="396"/>
        <v>1010046.8724037088</v>
      </c>
      <c r="H727" s="800">
        <f t="shared" si="396"/>
        <v>1277175.7891911471</v>
      </c>
      <c r="I727" s="800">
        <f t="shared" si="396"/>
        <v>1569099.8879392268</v>
      </c>
      <c r="J727" s="800">
        <f t="shared" si="396"/>
        <v>1815873.8832145883</v>
      </c>
      <c r="K727" s="800">
        <f t="shared" si="396"/>
        <v>2073471.7104868097</v>
      </c>
      <c r="L727" s="800">
        <f t="shared" si="396"/>
        <v>2323598.2914974503</v>
      </c>
      <c r="M727" s="800">
        <f t="shared" si="396"/>
        <v>2611330.25</v>
      </c>
      <c r="N727" s="800" t="s">
        <v>214</v>
      </c>
      <c r="O727" s="800" t="s">
        <v>132</v>
      </c>
    </row>
    <row r="728" spans="1:15">
      <c r="A728" s="137" t="s">
        <v>102</v>
      </c>
      <c r="B728" s="800">
        <f t="shared" ref="B728:M728" si="397">B202</f>
        <v>4768.8823166273633</v>
      </c>
      <c r="C728" s="800">
        <f t="shared" si="397"/>
        <v>9169.0351658882882</v>
      </c>
      <c r="D728" s="800">
        <f t="shared" si="397"/>
        <v>13356.315306392984</v>
      </c>
      <c r="E728" s="800">
        <f t="shared" si="397"/>
        <v>16881.516052077714</v>
      </c>
      <c r="F728" s="800">
        <f t="shared" si="397"/>
        <v>19979.414884936647</v>
      </c>
      <c r="G728" s="800">
        <f t="shared" si="397"/>
        <v>24426.617789477441</v>
      </c>
      <c r="H728" s="800">
        <f t="shared" si="397"/>
        <v>29964.27424893502</v>
      </c>
      <c r="I728" s="800">
        <f t="shared" si="397"/>
        <v>35867.550876570218</v>
      </c>
      <c r="J728" s="800">
        <f t="shared" si="397"/>
        <v>40941.823290567794</v>
      </c>
      <c r="K728" s="800">
        <f t="shared" si="397"/>
        <v>46247.790877711581</v>
      </c>
      <c r="L728" s="800">
        <f t="shared" si="397"/>
        <v>52643.110601460503</v>
      </c>
      <c r="M728" s="800">
        <f t="shared" si="397"/>
        <v>57866.66</v>
      </c>
      <c r="N728" s="800" t="s">
        <v>214</v>
      </c>
      <c r="O728" s="800" t="s">
        <v>132</v>
      </c>
    </row>
    <row r="729" spans="1:15">
      <c r="A729" s="137" t="s">
        <v>103</v>
      </c>
      <c r="B729" s="800">
        <f t="shared" ref="B729:M729" si="398">B203</f>
        <v>3273.3801645965391</v>
      </c>
      <c r="C729" s="800">
        <f t="shared" si="398"/>
        <v>6848.0242950176234</v>
      </c>
      <c r="D729" s="800">
        <f t="shared" si="398"/>
        <v>9477.9256791673633</v>
      </c>
      <c r="E729" s="800">
        <f t="shared" si="398"/>
        <v>11744.385336170819</v>
      </c>
      <c r="F729" s="800">
        <f t="shared" si="398"/>
        <v>15630.944364896481</v>
      </c>
      <c r="G729" s="800">
        <f t="shared" si="398"/>
        <v>19357.826698032961</v>
      </c>
      <c r="H729" s="800">
        <f t="shared" si="398"/>
        <v>23480.055703889469</v>
      </c>
      <c r="I729" s="800">
        <f t="shared" si="398"/>
        <v>29590.266716458835</v>
      </c>
      <c r="J729" s="800">
        <f t="shared" si="398"/>
        <v>32946.483661761871</v>
      </c>
      <c r="K729" s="800">
        <f t="shared" si="398"/>
        <v>37429.707107509166</v>
      </c>
      <c r="L729" s="800">
        <f t="shared" si="398"/>
        <v>40462.296990716226</v>
      </c>
      <c r="M729" s="800">
        <f t="shared" si="398"/>
        <v>44524.409999999996</v>
      </c>
      <c r="N729" s="800" t="s">
        <v>214</v>
      </c>
      <c r="O729" s="800" t="s">
        <v>132</v>
      </c>
    </row>
    <row r="730" spans="1:15">
      <c r="A730" s="137" t="s">
        <v>224</v>
      </c>
      <c r="B730" s="800">
        <f t="shared" ref="B730:M730" si="399">AF34</f>
        <v>2234737.8680000002</v>
      </c>
      <c r="C730" s="800">
        <f t="shared" si="399"/>
        <v>2584589.5019999999</v>
      </c>
      <c r="D730" s="800">
        <f t="shared" si="399"/>
        <v>2242183.9540000004</v>
      </c>
      <c r="E730" s="800">
        <f t="shared" si="399"/>
        <v>1053911.7079999999</v>
      </c>
      <c r="F730" s="800">
        <f t="shared" si="399"/>
        <v>1247171.4680000001</v>
      </c>
      <c r="G730" s="800">
        <f t="shared" si="399"/>
        <v>1371789.3540000001</v>
      </c>
      <c r="H730" s="800">
        <f t="shared" si="399"/>
        <v>1066577.4519999998</v>
      </c>
      <c r="I730" s="800">
        <f t="shared" si="399"/>
        <v>490799.38</v>
      </c>
      <c r="J730" s="800">
        <f t="shared" si="399"/>
        <v>359959.83199999994</v>
      </c>
      <c r="K730" s="800">
        <f t="shared" si="399"/>
        <v>0</v>
      </c>
      <c r="L730" s="800">
        <f t="shared" si="399"/>
        <v>0</v>
      </c>
      <c r="M730" s="800">
        <f t="shared" si="399"/>
        <v>0</v>
      </c>
      <c r="N730" s="800" t="s">
        <v>167</v>
      </c>
      <c r="O730" s="800" t="s">
        <v>187</v>
      </c>
    </row>
    <row r="731" spans="1:15">
      <c r="A731" s="137" t="s">
        <v>224</v>
      </c>
      <c r="B731" s="800">
        <f t="shared" ref="B731:M731" si="400">Q34</f>
        <v>2340106.090681388</v>
      </c>
      <c r="C731" s="800">
        <f t="shared" si="400"/>
        <v>4952396.3771721171</v>
      </c>
      <c r="D731" s="800">
        <f t="shared" si="400"/>
        <v>6486294.1567168264</v>
      </c>
      <c r="E731" s="800">
        <f t="shared" si="400"/>
        <v>7658421.9016295373</v>
      </c>
      <c r="F731" s="800">
        <f t="shared" si="400"/>
        <v>8819701.8641765602</v>
      </c>
      <c r="G731" s="800">
        <f t="shared" si="400"/>
        <v>10040112.532842254</v>
      </c>
      <c r="H731" s="800">
        <f t="shared" si="400"/>
        <v>11034973.282756027</v>
      </c>
      <c r="I731" s="800">
        <f t="shared" si="400"/>
        <v>11935792.72258069</v>
      </c>
      <c r="J731" s="800">
        <f t="shared" si="400"/>
        <v>12456711.274014954</v>
      </c>
      <c r="K731" s="800">
        <f t="shared" si="400"/>
        <v>12802157.902326016</v>
      </c>
      <c r="L731" s="800">
        <f t="shared" si="400"/>
        <v>13172998.100690462</v>
      </c>
      <c r="M731" s="800">
        <f t="shared" si="400"/>
        <v>13589407.380000001</v>
      </c>
      <c r="N731" s="800" t="s">
        <v>166</v>
      </c>
      <c r="O731" s="800" t="s">
        <v>187</v>
      </c>
    </row>
    <row r="732" spans="1:15">
      <c r="A732" s="137" t="s">
        <v>224</v>
      </c>
      <c r="B732" s="800">
        <f t="shared" ref="B732:M732" si="401">B34</f>
        <v>2722753.6590495957</v>
      </c>
      <c r="C732" s="800">
        <f t="shared" si="401"/>
        <v>5762198.3083181726</v>
      </c>
      <c r="D732" s="800">
        <f t="shared" si="401"/>
        <v>7546914.7399767563</v>
      </c>
      <c r="E732" s="800">
        <f t="shared" si="401"/>
        <v>8910705.518114239</v>
      </c>
      <c r="F732" s="800">
        <f t="shared" si="401"/>
        <v>10261874.715013862</v>
      </c>
      <c r="G732" s="800">
        <f t="shared" si="401"/>
        <v>11681843.504841307</v>
      </c>
      <c r="H732" s="800">
        <f t="shared" si="401"/>
        <v>12839381.087371942</v>
      </c>
      <c r="I732" s="800">
        <f t="shared" si="401"/>
        <v>13887499.989199778</v>
      </c>
      <c r="J732" s="800">
        <f t="shared" si="401"/>
        <v>14493597.677519314</v>
      </c>
      <c r="K732" s="800">
        <f t="shared" si="401"/>
        <v>14895530.76721373</v>
      </c>
      <c r="L732" s="800">
        <f t="shared" si="401"/>
        <v>15327009.712138603</v>
      </c>
      <c r="M732" s="800">
        <f t="shared" si="401"/>
        <v>15811509.066</v>
      </c>
      <c r="N732" s="800" t="s">
        <v>214</v>
      </c>
      <c r="O732" s="800" t="s">
        <v>187</v>
      </c>
    </row>
    <row r="733" spans="1:15">
      <c r="A733" s="137" t="s">
        <v>224</v>
      </c>
      <c r="B733" s="800">
        <f t="shared" ref="B733:M733" si="402">AF68</f>
        <v>324975.41200000007</v>
      </c>
      <c r="C733" s="800">
        <f t="shared" si="402"/>
        <v>379915.23200000002</v>
      </c>
      <c r="D733" s="800">
        <f t="shared" si="402"/>
        <v>401702.29399999999</v>
      </c>
      <c r="E733" s="800">
        <f t="shared" si="402"/>
        <v>271267.72000000003</v>
      </c>
      <c r="F733" s="800">
        <f t="shared" si="402"/>
        <v>322380.68800000002</v>
      </c>
      <c r="G733" s="800">
        <f t="shared" si="402"/>
        <v>283098.82599999994</v>
      </c>
      <c r="H733" s="800">
        <f t="shared" si="402"/>
        <v>242448.35400000002</v>
      </c>
      <c r="I733" s="800">
        <f t="shared" si="402"/>
        <v>282099.41799999995</v>
      </c>
      <c r="J733" s="800">
        <f t="shared" si="402"/>
        <v>230289.73</v>
      </c>
      <c r="K733" s="800">
        <f t="shared" si="402"/>
        <v>0</v>
      </c>
      <c r="L733" s="800">
        <f t="shared" si="402"/>
        <v>0</v>
      </c>
      <c r="M733" s="800">
        <f t="shared" si="402"/>
        <v>0</v>
      </c>
      <c r="N733" s="800" t="s">
        <v>167</v>
      </c>
      <c r="O733" s="800" t="s">
        <v>189</v>
      </c>
    </row>
    <row r="734" spans="1:15">
      <c r="A734" s="137" t="s">
        <v>224</v>
      </c>
      <c r="B734" s="800">
        <f t="shared" ref="B734:M734" si="403">Q68</f>
        <v>413838.02194596548</v>
      </c>
      <c r="C734" s="800">
        <f t="shared" si="403"/>
        <v>775622.08192169014</v>
      </c>
      <c r="D734" s="800">
        <f t="shared" si="403"/>
        <v>1087040.4179548987</v>
      </c>
      <c r="E734" s="800">
        <f t="shared" si="403"/>
        <v>1333521.056799917</v>
      </c>
      <c r="F734" s="800">
        <f t="shared" si="403"/>
        <v>1575292.0282325388</v>
      </c>
      <c r="G734" s="800">
        <f t="shared" si="403"/>
        <v>1822102.2143918581</v>
      </c>
      <c r="H734" s="800">
        <f t="shared" si="403"/>
        <v>2085760.0671372896</v>
      </c>
      <c r="I734" s="800">
        <f t="shared" si="403"/>
        <v>2353599.5374366236</v>
      </c>
      <c r="J734" s="800">
        <f t="shared" si="403"/>
        <v>2581445.6365725389</v>
      </c>
      <c r="K734" s="800">
        <f t="shared" si="403"/>
        <v>2884365.0757520455</v>
      </c>
      <c r="L734" s="800">
        <f t="shared" si="403"/>
        <v>3085040.3955559926</v>
      </c>
      <c r="M734" s="800">
        <f t="shared" si="403"/>
        <v>3338414.43</v>
      </c>
      <c r="N734" s="800" t="s">
        <v>166</v>
      </c>
      <c r="O734" s="800" t="s">
        <v>189</v>
      </c>
    </row>
    <row r="735" spans="1:15">
      <c r="A735" s="137" t="s">
        <v>224</v>
      </c>
      <c r="B735" s="800">
        <f t="shared" ref="B735:M735" si="404">B68</f>
        <v>413838.02194596548</v>
      </c>
      <c r="C735" s="800">
        <f t="shared" si="404"/>
        <v>775622.08192169014</v>
      </c>
      <c r="D735" s="800">
        <f t="shared" si="404"/>
        <v>1087040.4179548987</v>
      </c>
      <c r="E735" s="800">
        <f t="shared" si="404"/>
        <v>1333521.056799917</v>
      </c>
      <c r="F735" s="800">
        <f t="shared" si="404"/>
        <v>1575292.0282325388</v>
      </c>
      <c r="G735" s="800">
        <f t="shared" si="404"/>
        <v>1822102.2143918581</v>
      </c>
      <c r="H735" s="800">
        <f t="shared" si="404"/>
        <v>2085760.0671372896</v>
      </c>
      <c r="I735" s="800">
        <f t="shared" si="404"/>
        <v>2353599.5374366236</v>
      </c>
      <c r="J735" s="800">
        <f t="shared" si="404"/>
        <v>2581445.6365725389</v>
      </c>
      <c r="K735" s="800">
        <f t="shared" si="404"/>
        <v>2884365.0757520455</v>
      </c>
      <c r="L735" s="800">
        <f t="shared" si="404"/>
        <v>3085040.3955559926</v>
      </c>
      <c r="M735" s="800">
        <f t="shared" si="404"/>
        <v>3338414.43</v>
      </c>
      <c r="N735" s="800" t="s">
        <v>214</v>
      </c>
      <c r="O735" s="800" t="s">
        <v>189</v>
      </c>
    </row>
    <row r="736" spans="1:15">
      <c r="A736" s="137" t="s">
        <v>224</v>
      </c>
      <c r="B736" s="800">
        <f>AF102</f>
        <v>82858.892000000007</v>
      </c>
      <c r="C736" s="800">
        <f t="shared" ref="C736:M736" si="405">AG102</f>
        <v>77650.928000000029</v>
      </c>
      <c r="D736" s="800">
        <f t="shared" si="405"/>
        <v>45320.824000000008</v>
      </c>
      <c r="E736" s="800">
        <f t="shared" si="405"/>
        <v>27863.462000000003</v>
      </c>
      <c r="F736" s="800">
        <f t="shared" si="405"/>
        <v>27022.028000000006</v>
      </c>
      <c r="G736" s="800">
        <f t="shared" si="405"/>
        <v>28371.907999999996</v>
      </c>
      <c r="H736" s="800">
        <f t="shared" si="405"/>
        <v>61457.210000000014</v>
      </c>
      <c r="I736" s="800">
        <f t="shared" si="405"/>
        <v>226068.40999999997</v>
      </c>
      <c r="J736" s="800">
        <f t="shared" si="405"/>
        <v>108908.18800000002</v>
      </c>
      <c r="K736" s="800">
        <f t="shared" si="405"/>
        <v>0</v>
      </c>
      <c r="L736" s="800">
        <f t="shared" si="405"/>
        <v>0</v>
      </c>
      <c r="M736" s="800">
        <f t="shared" si="405"/>
        <v>0</v>
      </c>
      <c r="N736" s="800" t="s">
        <v>167</v>
      </c>
      <c r="O736" s="800" t="s">
        <v>212</v>
      </c>
    </row>
    <row r="737" spans="1:15">
      <c r="A737" s="137" t="s">
        <v>224</v>
      </c>
      <c r="B737" s="800">
        <f>Q102</f>
        <v>160816.20968302933</v>
      </c>
      <c r="C737" s="800">
        <f t="shared" ref="C737:M737" si="406">R102</f>
        <v>357923.388166836</v>
      </c>
      <c r="D737" s="800">
        <f t="shared" si="406"/>
        <v>463328.60455998656</v>
      </c>
      <c r="E737" s="800">
        <f t="shared" si="406"/>
        <v>535283.44126378139</v>
      </c>
      <c r="F737" s="800">
        <f t="shared" si="406"/>
        <v>612240.24952019472</v>
      </c>
      <c r="G737" s="800">
        <f t="shared" si="406"/>
        <v>704890.92783324362</v>
      </c>
      <c r="H737" s="800">
        <f t="shared" si="406"/>
        <v>784878.97673251072</v>
      </c>
      <c r="I737" s="800">
        <f t="shared" si="406"/>
        <v>938928.67627642327</v>
      </c>
      <c r="J737" s="800">
        <f t="shared" si="406"/>
        <v>1012034.3474864481</v>
      </c>
      <c r="K737" s="800">
        <f t="shared" si="406"/>
        <v>1068383.6869125476</v>
      </c>
      <c r="L737" s="800">
        <f t="shared" si="406"/>
        <v>1124145.4252497712</v>
      </c>
      <c r="M737" s="800">
        <f t="shared" si="406"/>
        <v>1186094.26</v>
      </c>
      <c r="N737" s="800" t="s">
        <v>166</v>
      </c>
      <c r="O737" s="800" t="s">
        <v>212</v>
      </c>
    </row>
    <row r="738" spans="1:15">
      <c r="A738" s="137" t="s">
        <v>224</v>
      </c>
      <c r="B738" s="800">
        <f>B102</f>
        <v>238747.88096875171</v>
      </c>
      <c r="C738" s="800">
        <f t="shared" ref="C738:M738" si="407">C102</f>
        <v>531373.36492644518</v>
      </c>
      <c r="D738" s="800">
        <f t="shared" si="407"/>
        <v>687858.03837148217</v>
      </c>
      <c r="E738" s="800">
        <f t="shared" si="407"/>
        <v>794682.24982593511</v>
      </c>
      <c r="F738" s="800">
        <f t="shared" si="407"/>
        <v>908932.39247978304</v>
      </c>
      <c r="G738" s="800">
        <f t="shared" si="407"/>
        <v>1046481.6678989525</v>
      </c>
      <c r="H738" s="800">
        <f t="shared" si="407"/>
        <v>1165231.9929760408</v>
      </c>
      <c r="I738" s="800">
        <f t="shared" si="407"/>
        <v>1393934.3072668323</v>
      </c>
      <c r="J738" s="800">
        <f t="shared" si="407"/>
        <v>1502467.0486030036</v>
      </c>
      <c r="K738" s="800">
        <f t="shared" si="407"/>
        <v>1586123.3255945256</v>
      </c>
      <c r="L738" s="800">
        <f t="shared" si="407"/>
        <v>1668907.2495123085</v>
      </c>
      <c r="M738" s="800">
        <f t="shared" si="407"/>
        <v>1760876.5420000004</v>
      </c>
      <c r="N738" s="800" t="s">
        <v>214</v>
      </c>
      <c r="O738" s="800" t="s">
        <v>212</v>
      </c>
    </row>
    <row r="739" spans="1:15">
      <c r="A739" s="137" t="s">
        <v>224</v>
      </c>
      <c r="B739" s="800">
        <f>AF136</f>
        <v>54740.72</v>
      </c>
      <c r="C739" s="800">
        <f t="shared" ref="C739:M739" si="408">AG136</f>
        <v>73108.315999999992</v>
      </c>
      <c r="D739" s="800">
        <f t="shared" si="408"/>
        <v>74784.390000000014</v>
      </c>
      <c r="E739" s="800">
        <f t="shared" si="408"/>
        <v>49493.651999999995</v>
      </c>
      <c r="F739" s="800">
        <f t="shared" si="408"/>
        <v>61746.400000000009</v>
      </c>
      <c r="G739" s="800">
        <f t="shared" si="408"/>
        <v>51138.418000000005</v>
      </c>
      <c r="H739" s="800">
        <f t="shared" si="408"/>
        <v>43328.72</v>
      </c>
      <c r="I739" s="800">
        <f t="shared" si="408"/>
        <v>81006.597999999998</v>
      </c>
      <c r="J739" s="800">
        <f t="shared" si="408"/>
        <v>75606.193999999989</v>
      </c>
      <c r="K739" s="800">
        <f t="shared" si="408"/>
        <v>0</v>
      </c>
      <c r="L739" s="800">
        <f t="shared" si="408"/>
        <v>0</v>
      </c>
      <c r="M739" s="800">
        <f t="shared" si="408"/>
        <v>0</v>
      </c>
      <c r="N739" s="800" t="s">
        <v>167</v>
      </c>
      <c r="O739" s="800" t="s">
        <v>188</v>
      </c>
    </row>
    <row r="740" spans="1:15">
      <c r="A740" s="137" t="s">
        <v>224</v>
      </c>
      <c r="B740" s="800">
        <f>Q136</f>
        <v>69155.35805751344</v>
      </c>
      <c r="C740" s="800">
        <f t="shared" ref="C740:M740" si="409">R136</f>
        <v>137590.94663399167</v>
      </c>
      <c r="D740" s="800">
        <f t="shared" si="409"/>
        <v>192379.81934680999</v>
      </c>
      <c r="E740" s="800">
        <f t="shared" si="409"/>
        <v>235507.01191563395</v>
      </c>
      <c r="F740" s="800">
        <f t="shared" si="409"/>
        <v>276674.92491440551</v>
      </c>
      <c r="G740" s="800">
        <f t="shared" si="409"/>
        <v>321211.03043485002</v>
      </c>
      <c r="H740" s="800">
        <f t="shared" si="409"/>
        <v>369389.35111691593</v>
      </c>
      <c r="I740" s="800">
        <f t="shared" si="409"/>
        <v>416053.92941738747</v>
      </c>
      <c r="J740" s="800">
        <f t="shared" si="409"/>
        <v>459689.41221692506</v>
      </c>
      <c r="K740" s="800">
        <f t="shared" si="409"/>
        <v>508041.7694190414</v>
      </c>
      <c r="L740" s="800">
        <f t="shared" si="409"/>
        <v>546659.83567021508</v>
      </c>
      <c r="M740" s="800">
        <f t="shared" si="409"/>
        <v>592289.79</v>
      </c>
      <c r="N740" s="800" t="s">
        <v>166</v>
      </c>
      <c r="O740" s="800" t="s">
        <v>188</v>
      </c>
    </row>
    <row r="741" spans="1:15">
      <c r="A741" s="137" t="s">
        <v>224</v>
      </c>
      <c r="B741" s="800">
        <f>B136</f>
        <v>69155.35805751344</v>
      </c>
      <c r="C741" s="800">
        <f t="shared" ref="C741:M741" si="410">C136</f>
        <v>137590.94663399167</v>
      </c>
      <c r="D741" s="800">
        <f t="shared" si="410"/>
        <v>192379.81934680999</v>
      </c>
      <c r="E741" s="800">
        <f t="shared" si="410"/>
        <v>235507.01191563395</v>
      </c>
      <c r="F741" s="800">
        <f t="shared" si="410"/>
        <v>276674.92491440551</v>
      </c>
      <c r="G741" s="800">
        <f t="shared" si="410"/>
        <v>321211.03043485002</v>
      </c>
      <c r="H741" s="800">
        <f t="shared" si="410"/>
        <v>369389.35111691593</v>
      </c>
      <c r="I741" s="800">
        <f t="shared" si="410"/>
        <v>416053.92941738747</v>
      </c>
      <c r="J741" s="800">
        <f t="shared" si="410"/>
        <v>459689.41221692506</v>
      </c>
      <c r="K741" s="800">
        <f t="shared" si="410"/>
        <v>508041.7694190414</v>
      </c>
      <c r="L741" s="800">
        <f t="shared" si="410"/>
        <v>546659.83567021508</v>
      </c>
      <c r="M741" s="800">
        <f t="shared" si="410"/>
        <v>592289.79</v>
      </c>
      <c r="N741" s="800" t="s">
        <v>214</v>
      </c>
      <c r="O741" s="800" t="s">
        <v>188</v>
      </c>
    </row>
    <row r="742" spans="1:15">
      <c r="A742" s="137" t="s">
        <v>224</v>
      </c>
      <c r="B742" s="800">
        <f>AF172</f>
        <v>1342137.7679999999</v>
      </c>
      <c r="C742" s="800">
        <f t="shared" ref="C742:M742" si="411">AG172</f>
        <v>1642715.2800000003</v>
      </c>
      <c r="D742" s="800">
        <f t="shared" si="411"/>
        <v>2050977.888</v>
      </c>
      <c r="E742" s="800">
        <f t="shared" si="411"/>
        <v>1745927.2339999999</v>
      </c>
      <c r="F742" s="800">
        <f t="shared" si="411"/>
        <v>2057784.2940000007</v>
      </c>
      <c r="G742" s="800">
        <f t="shared" si="411"/>
        <v>1913191.7840000007</v>
      </c>
      <c r="H742" s="800">
        <f t="shared" si="411"/>
        <v>1897590.5259999998</v>
      </c>
      <c r="I742" s="800">
        <f t="shared" si="411"/>
        <v>2091602.1259999999</v>
      </c>
      <c r="J742" s="800">
        <f t="shared" si="411"/>
        <v>1890858.192</v>
      </c>
      <c r="K742" s="800">
        <f t="shared" si="411"/>
        <v>0</v>
      </c>
      <c r="L742" s="800">
        <f t="shared" si="411"/>
        <v>0</v>
      </c>
      <c r="M742" s="800">
        <f t="shared" si="411"/>
        <v>0</v>
      </c>
      <c r="N742" s="800" t="s">
        <v>167</v>
      </c>
      <c r="O742" s="800" t="s">
        <v>28</v>
      </c>
    </row>
    <row r="743" spans="1:15">
      <c r="A743" s="137" t="s">
        <v>224</v>
      </c>
      <c r="B743" s="800">
        <f>Q172</f>
        <v>1391078.1826081341</v>
      </c>
      <c r="C743" s="800">
        <f t="shared" ref="C743:M743" si="412">R172</f>
        <v>2999152.6058979318</v>
      </c>
      <c r="D743" s="800">
        <f t="shared" si="412"/>
        <v>4682085.2324858056</v>
      </c>
      <c r="E743" s="800">
        <f t="shared" si="412"/>
        <v>6185252.4741736697</v>
      </c>
      <c r="F743" s="800">
        <f t="shared" si="412"/>
        <v>7873354.5014901664</v>
      </c>
      <c r="G743" s="800">
        <f t="shared" si="412"/>
        <v>9589659.6320543829</v>
      </c>
      <c r="H743" s="800">
        <f t="shared" si="412"/>
        <v>11653949.798271345</v>
      </c>
      <c r="I743" s="800">
        <f t="shared" si="412"/>
        <v>13737226.75468866</v>
      </c>
      <c r="J743" s="800">
        <f t="shared" si="412"/>
        <v>15761226.050410859</v>
      </c>
      <c r="K743" s="800">
        <f t="shared" si="412"/>
        <v>17876748.966847178</v>
      </c>
      <c r="L743" s="800">
        <f t="shared" si="412"/>
        <v>19813343.970605575</v>
      </c>
      <c r="M743" s="800">
        <f t="shared" si="412"/>
        <v>21638045.420000002</v>
      </c>
      <c r="N743" s="800" t="s">
        <v>166</v>
      </c>
      <c r="O743" s="800" t="s">
        <v>28</v>
      </c>
    </row>
    <row r="744" spans="1:15">
      <c r="A744" s="137" t="s">
        <v>224</v>
      </c>
      <c r="B744" s="800">
        <f>B172</f>
        <v>1391078.1826081341</v>
      </c>
      <c r="C744" s="800">
        <f t="shared" ref="C744:M744" si="413">C172</f>
        <v>2999152.6058979318</v>
      </c>
      <c r="D744" s="800">
        <f t="shared" si="413"/>
        <v>4682085.2324858056</v>
      </c>
      <c r="E744" s="800">
        <f t="shared" si="413"/>
        <v>6185252.4741736697</v>
      </c>
      <c r="F744" s="800">
        <f t="shared" si="413"/>
        <v>7873354.5014901664</v>
      </c>
      <c r="G744" s="800">
        <f t="shared" si="413"/>
        <v>9589659.6320543829</v>
      </c>
      <c r="H744" s="800">
        <f t="shared" si="413"/>
        <v>11653949.798271345</v>
      </c>
      <c r="I744" s="800">
        <f t="shared" si="413"/>
        <v>13737226.75468866</v>
      </c>
      <c r="J744" s="800">
        <f t="shared" si="413"/>
        <v>15761226.050410859</v>
      </c>
      <c r="K744" s="800">
        <f t="shared" si="413"/>
        <v>17876748.966847178</v>
      </c>
      <c r="L744" s="800">
        <f t="shared" si="413"/>
        <v>19813343.970605575</v>
      </c>
      <c r="M744" s="800">
        <f t="shared" si="413"/>
        <v>21638045.420000002</v>
      </c>
      <c r="N744" s="800" t="s">
        <v>214</v>
      </c>
      <c r="O744" s="800" t="s">
        <v>28</v>
      </c>
    </row>
    <row r="745" spans="1:15">
      <c r="A745" s="137" t="s">
        <v>224</v>
      </c>
      <c r="B745" s="800">
        <f>AF206</f>
        <v>129452.14200000001</v>
      </c>
      <c r="C745" s="800">
        <f t="shared" ref="C745:M745" si="414">AG206</f>
        <v>167574.89600000004</v>
      </c>
      <c r="D745" s="800">
        <f t="shared" si="414"/>
        <v>184729.14600000004</v>
      </c>
      <c r="E745" s="800">
        <f t="shared" si="414"/>
        <v>136236.63600000003</v>
      </c>
      <c r="F745" s="800">
        <f t="shared" si="414"/>
        <v>169721.23200000002</v>
      </c>
      <c r="G745" s="800">
        <f t="shared" si="414"/>
        <v>151456.69200000004</v>
      </c>
      <c r="H745" s="800">
        <f t="shared" si="414"/>
        <v>183407.06</v>
      </c>
      <c r="I745" s="800">
        <f t="shared" si="414"/>
        <v>250361.19200000007</v>
      </c>
      <c r="J745" s="800">
        <f t="shared" si="414"/>
        <v>226149.95</v>
      </c>
      <c r="K745" s="800">
        <f t="shared" si="414"/>
        <v>0</v>
      </c>
      <c r="L745" s="800">
        <f t="shared" si="414"/>
        <v>0</v>
      </c>
      <c r="M745" s="800">
        <f t="shared" si="414"/>
        <v>0</v>
      </c>
      <c r="N745" s="800" t="s">
        <v>167</v>
      </c>
      <c r="O745" s="800" t="s">
        <v>132</v>
      </c>
    </row>
    <row r="746" spans="1:15">
      <c r="A746" s="137" t="s">
        <v>224</v>
      </c>
      <c r="B746" s="800">
        <f>Q206</f>
        <v>144412.58037141533</v>
      </c>
      <c r="C746" s="800">
        <f t="shared" ref="C746:M746" si="415">R206</f>
        <v>271503.9244762602</v>
      </c>
      <c r="D746" s="800">
        <f t="shared" si="415"/>
        <v>381451.53687975631</v>
      </c>
      <c r="E746" s="800">
        <f t="shared" si="415"/>
        <v>481124.54620131064</v>
      </c>
      <c r="F746" s="800">
        <f t="shared" si="415"/>
        <v>584063.37763110898</v>
      </c>
      <c r="G746" s="800">
        <f t="shared" si="415"/>
        <v>712286.37800687272</v>
      </c>
      <c r="H746" s="800">
        <f t="shared" si="415"/>
        <v>853208.29437471717</v>
      </c>
      <c r="I746" s="800">
        <f t="shared" si="415"/>
        <v>999884.3458388556</v>
      </c>
      <c r="J746" s="800">
        <f t="shared" si="415"/>
        <v>1140738.1711420247</v>
      </c>
      <c r="K746" s="800">
        <f t="shared" si="415"/>
        <v>1288780.0190890578</v>
      </c>
      <c r="L746" s="800">
        <f t="shared" si="415"/>
        <v>1440283.3031881694</v>
      </c>
      <c r="M746" s="800">
        <f t="shared" si="415"/>
        <v>1608349.5</v>
      </c>
      <c r="N746" s="800" t="s">
        <v>166</v>
      </c>
      <c r="O746" s="800" t="s">
        <v>132</v>
      </c>
    </row>
    <row r="747" spans="1:15">
      <c r="A747" s="137" t="s">
        <v>224</v>
      </c>
      <c r="B747" s="800">
        <f>B206</f>
        <v>138024.43422121508</v>
      </c>
      <c r="C747" s="800">
        <f t="shared" ref="C747:M747" si="416">C206</f>
        <v>259493.84373781935</v>
      </c>
      <c r="D747" s="800">
        <f t="shared" si="416"/>
        <v>364577.88113218051</v>
      </c>
      <c r="E747" s="800">
        <f t="shared" si="416"/>
        <v>459841.81647182303</v>
      </c>
      <c r="F747" s="800">
        <f t="shared" si="416"/>
        <v>558227.10902008403</v>
      </c>
      <c r="G747" s="800">
        <f t="shared" si="416"/>
        <v>680778.11555631598</v>
      </c>
      <c r="H747" s="800">
        <f t="shared" si="416"/>
        <v>815466.29664148076</v>
      </c>
      <c r="I747" s="800">
        <f t="shared" si="416"/>
        <v>955654.07643927704</v>
      </c>
      <c r="J747" s="800">
        <f t="shared" si="416"/>
        <v>1090277.1784942553</v>
      </c>
      <c r="K747" s="800">
        <f t="shared" si="416"/>
        <v>1231770.3382411394</v>
      </c>
      <c r="L747" s="800">
        <f t="shared" si="416"/>
        <v>1376571.8161778564</v>
      </c>
      <c r="M747" s="800">
        <f t="shared" si="416"/>
        <v>1537203.54</v>
      </c>
      <c r="N747" s="800" t="s">
        <v>214</v>
      </c>
      <c r="O747" s="800" t="s">
        <v>132</v>
      </c>
    </row>
    <row r="748" spans="1:15">
      <c r="A748" s="137" t="s">
        <v>118</v>
      </c>
      <c r="B748" s="800">
        <f>SUM(B244:B270,B730)</f>
        <v>11173689.340000002</v>
      </c>
      <c r="C748" s="800">
        <f t="shared" ref="C748:M748" si="417">SUM(C244:C270,C730)</f>
        <v>12922947.51</v>
      </c>
      <c r="D748" s="800">
        <f t="shared" si="417"/>
        <v>11210919.770000001</v>
      </c>
      <c r="E748" s="800">
        <f t="shared" si="417"/>
        <v>5269558.5399999991</v>
      </c>
      <c r="F748" s="800">
        <f t="shared" si="417"/>
        <v>6235857.3400000008</v>
      </c>
      <c r="G748" s="800">
        <f t="shared" si="417"/>
        <v>6858946.7700000005</v>
      </c>
      <c r="H748" s="800">
        <f t="shared" si="417"/>
        <v>5332887.2599999988</v>
      </c>
      <c r="I748" s="800">
        <f t="shared" si="417"/>
        <v>2453996.9</v>
      </c>
      <c r="J748" s="800">
        <f t="shared" si="417"/>
        <v>1799799.1599999997</v>
      </c>
      <c r="K748" s="800">
        <f t="shared" si="417"/>
        <v>0</v>
      </c>
      <c r="L748" s="800">
        <f t="shared" si="417"/>
        <v>0</v>
      </c>
      <c r="M748" s="800">
        <f t="shared" si="417"/>
        <v>0</v>
      </c>
      <c r="N748" s="800" t="s">
        <v>167</v>
      </c>
      <c r="O748" s="800" t="s">
        <v>187</v>
      </c>
    </row>
    <row r="749" spans="1:15">
      <c r="A749" s="137" t="s">
        <v>118</v>
      </c>
      <c r="B749" s="800">
        <f>SUM(B271:B297,B731)</f>
        <v>13120669.192266233</v>
      </c>
      <c r="C749" s="800">
        <f t="shared" ref="C749:M749" si="418">SUM(C271:C297,C731)</f>
        <v>26859404.831098866</v>
      </c>
      <c r="D749" s="800">
        <f t="shared" si="418"/>
        <v>34477951.293739386</v>
      </c>
      <c r="E749" s="800">
        <f t="shared" si="418"/>
        <v>40150156.617256656</v>
      </c>
      <c r="F749" s="800">
        <f t="shared" si="418"/>
        <v>45787415.777086392</v>
      </c>
      <c r="G749" s="800">
        <f t="shared" si="418"/>
        <v>51582629.435731858</v>
      </c>
      <c r="H749" s="800">
        <f t="shared" si="418"/>
        <v>56175177.309546143</v>
      </c>
      <c r="I749" s="800">
        <f t="shared" si="418"/>
        <v>60278214.326137692</v>
      </c>
      <c r="J749" s="800">
        <f t="shared" si="418"/>
        <v>62611437.331841826</v>
      </c>
      <c r="K749" s="800">
        <f t="shared" si="418"/>
        <v>64012064.949236579</v>
      </c>
      <c r="L749" s="800">
        <f t="shared" si="418"/>
        <v>65953641.127746388</v>
      </c>
      <c r="M749" s="800">
        <f t="shared" si="418"/>
        <v>67945589.090000004</v>
      </c>
      <c r="N749" s="800" t="s">
        <v>166</v>
      </c>
      <c r="O749" s="800" t="s">
        <v>187</v>
      </c>
    </row>
    <row r="750" spans="1:15">
      <c r="A750" s="137" t="s">
        <v>118</v>
      </c>
      <c r="B750" s="800">
        <f>SUM(B298:B324,B732)</f>
        <v>18380155.533467121</v>
      </c>
      <c r="C750" s="800">
        <f t="shared" ref="C750:M750" si="419">SUM(C298:C324,C732)</f>
        <v>37549139.033521779</v>
      </c>
      <c r="D750" s="800">
        <f t="shared" si="419"/>
        <v>48187878.252315447</v>
      </c>
      <c r="E750" s="800">
        <f t="shared" si="419"/>
        <v>56096052.835145868</v>
      </c>
      <c r="F750" s="800">
        <f t="shared" si="419"/>
        <v>63963634.510647237</v>
      </c>
      <c r="G750" s="800">
        <f t="shared" si="419"/>
        <v>72046341.73135823</v>
      </c>
      <c r="H750" s="800">
        <f t="shared" si="419"/>
        <v>78457476.788452908</v>
      </c>
      <c r="I750" s="800">
        <f t="shared" si="419"/>
        <v>84167273.43299067</v>
      </c>
      <c r="J750" s="800">
        <f t="shared" si="419"/>
        <v>87420091.649123967</v>
      </c>
      <c r="K750" s="800">
        <f t="shared" si="419"/>
        <v>89625729.32274352</v>
      </c>
      <c r="L750" s="800">
        <f t="shared" si="419"/>
        <v>92087511.557948872</v>
      </c>
      <c r="M750" s="800">
        <f t="shared" si="419"/>
        <v>94869054.395999968</v>
      </c>
      <c r="N750" s="800" t="s">
        <v>214</v>
      </c>
      <c r="O750" s="800" t="s">
        <v>187</v>
      </c>
    </row>
    <row r="751" spans="1:15">
      <c r="A751" s="137" t="s">
        <v>118</v>
      </c>
      <c r="B751" s="800">
        <f>SUM(B325:B351,B733)</f>
        <v>1624877.0600000003</v>
      </c>
      <c r="C751" s="800">
        <f t="shared" ref="C751:M751" si="420">SUM(C325:C351,C733)</f>
        <v>1899576.1600000001</v>
      </c>
      <c r="D751" s="800">
        <f t="shared" si="420"/>
        <v>2008511.47</v>
      </c>
      <c r="E751" s="800">
        <f t="shared" si="420"/>
        <v>1356338.6</v>
      </c>
      <c r="F751" s="800">
        <f t="shared" si="420"/>
        <v>1611903.4400000002</v>
      </c>
      <c r="G751" s="800">
        <f t="shared" si="420"/>
        <v>1415494.1299999997</v>
      </c>
      <c r="H751" s="800">
        <f t="shared" si="420"/>
        <v>1212241.77</v>
      </c>
      <c r="I751" s="800">
        <f t="shared" si="420"/>
        <v>1410497.0899999999</v>
      </c>
      <c r="J751" s="800">
        <f t="shared" si="420"/>
        <v>1151448.6500000001</v>
      </c>
      <c r="K751" s="800">
        <f t="shared" si="420"/>
        <v>0</v>
      </c>
      <c r="L751" s="800">
        <f t="shared" si="420"/>
        <v>0</v>
      </c>
      <c r="M751" s="800">
        <f t="shared" si="420"/>
        <v>0</v>
      </c>
      <c r="N751" s="800" t="s">
        <v>167</v>
      </c>
      <c r="O751" s="800" t="s">
        <v>189</v>
      </c>
    </row>
    <row r="752" spans="1:15">
      <c r="A752" s="137" t="s">
        <v>118</v>
      </c>
      <c r="B752" s="800">
        <f>SUM(B352:B378,B734)</f>
        <v>2041168.0949936481</v>
      </c>
      <c r="C752" s="800">
        <f t="shared" ref="C752:M752" si="421">SUM(C352:C378,C734)</f>
        <v>3785277.6825357708</v>
      </c>
      <c r="D752" s="800">
        <f t="shared" si="421"/>
        <v>5304162.0338285118</v>
      </c>
      <c r="E752" s="800">
        <f t="shared" si="421"/>
        <v>6483372.6357850283</v>
      </c>
      <c r="F752" s="800">
        <f t="shared" si="421"/>
        <v>7639445.1218736041</v>
      </c>
      <c r="G752" s="800">
        <f t="shared" si="421"/>
        <v>8813118.0746868923</v>
      </c>
      <c r="H752" s="800">
        <f t="shared" si="421"/>
        <v>10206214.501071315</v>
      </c>
      <c r="I752" s="800">
        <f t="shared" si="421"/>
        <v>11590041.456844568</v>
      </c>
      <c r="J752" s="800">
        <f t="shared" si="421"/>
        <v>12794008.923861738</v>
      </c>
      <c r="K752" s="800">
        <f t="shared" si="421"/>
        <v>14370071.351623019</v>
      </c>
      <c r="L752" s="800">
        <f t="shared" si="421"/>
        <v>15404060.100017246</v>
      </c>
      <c r="M752" s="800">
        <f t="shared" si="421"/>
        <v>16761168.282</v>
      </c>
      <c r="N752" s="800" t="s">
        <v>166</v>
      </c>
      <c r="O752" s="800" t="s">
        <v>189</v>
      </c>
    </row>
    <row r="753" spans="1:15">
      <c r="A753" s="137" t="s">
        <v>118</v>
      </c>
      <c r="B753" s="800">
        <f>SUM(B379:B405,B735)</f>
        <v>2037740.5591777076</v>
      </c>
      <c r="C753" s="800">
        <f t="shared" ref="C753:M753" si="422">SUM(C379:C405,C735)</f>
        <v>3915078.1698096353</v>
      </c>
      <c r="D753" s="800">
        <f t="shared" si="422"/>
        <v>5442046.4288917398</v>
      </c>
      <c r="E753" s="800">
        <f t="shared" si="422"/>
        <v>6699854.1556961238</v>
      </c>
      <c r="F753" s="800">
        <f t="shared" si="422"/>
        <v>7883348.998863156</v>
      </c>
      <c r="G753" s="800">
        <f t="shared" si="422"/>
        <v>9166354.5602730438</v>
      </c>
      <c r="H753" s="800">
        <f t="shared" si="422"/>
        <v>10540644.502514148</v>
      </c>
      <c r="I753" s="800">
        <f t="shared" si="422"/>
        <v>11893530.243281465</v>
      </c>
      <c r="J753" s="800">
        <f t="shared" si="422"/>
        <v>13026780.058032744</v>
      </c>
      <c r="K753" s="800">
        <f t="shared" si="422"/>
        <v>14415833.258538835</v>
      </c>
      <c r="L753" s="800">
        <f t="shared" si="422"/>
        <v>15502316.941848885</v>
      </c>
      <c r="M753" s="800">
        <f t="shared" si="422"/>
        <v>16761168.282</v>
      </c>
      <c r="N753" s="800" t="s">
        <v>214</v>
      </c>
      <c r="O753" s="800" t="s">
        <v>189</v>
      </c>
    </row>
    <row r="754" spans="1:15">
      <c r="A754" s="137" t="s">
        <v>118</v>
      </c>
      <c r="B754" s="800">
        <f>SUM(B406:B432,B736)</f>
        <v>414294.46</v>
      </c>
      <c r="C754" s="800">
        <f t="shared" ref="C754:M754" si="423">SUM(C406:C432,C736)</f>
        <v>388254.64000000013</v>
      </c>
      <c r="D754" s="800">
        <f t="shared" si="423"/>
        <v>226604.12000000005</v>
      </c>
      <c r="E754" s="800">
        <f t="shared" si="423"/>
        <v>139317.31000000003</v>
      </c>
      <c r="F754" s="800">
        <f t="shared" si="423"/>
        <v>135110.14000000001</v>
      </c>
      <c r="G754" s="800">
        <f t="shared" si="423"/>
        <v>141859.53999999998</v>
      </c>
      <c r="H754" s="800">
        <f t="shared" si="423"/>
        <v>307286.05000000005</v>
      </c>
      <c r="I754" s="800">
        <f t="shared" si="423"/>
        <v>1130342.0499999998</v>
      </c>
      <c r="J754" s="800">
        <f t="shared" si="423"/>
        <v>544540.94000000018</v>
      </c>
      <c r="K754" s="800">
        <f t="shared" si="423"/>
        <v>0</v>
      </c>
      <c r="L754" s="800">
        <f t="shared" si="423"/>
        <v>0</v>
      </c>
      <c r="M754" s="800">
        <f t="shared" si="423"/>
        <v>0</v>
      </c>
      <c r="N754" s="800" t="s">
        <v>167</v>
      </c>
      <c r="O754" s="800" t="s">
        <v>212</v>
      </c>
    </row>
    <row r="755" spans="1:15">
      <c r="A755" s="137" t="s">
        <v>118</v>
      </c>
      <c r="B755" s="800">
        <f>SUM(B433:B459,B737)</f>
        <v>805687.64287526335</v>
      </c>
      <c r="C755" s="800">
        <f t="shared" ref="C755:M755" si="424">SUM(C433:C459,C737)</f>
        <v>1819534.2638987547</v>
      </c>
      <c r="D755" s="800">
        <f t="shared" si="424"/>
        <v>2302571.616008861</v>
      </c>
      <c r="E755" s="800">
        <f t="shared" si="424"/>
        <v>2641125.7130336156</v>
      </c>
      <c r="F755" s="800">
        <f t="shared" si="424"/>
        <v>2994298.911437388</v>
      </c>
      <c r="G755" s="800">
        <f t="shared" si="424"/>
        <v>3415788.8224268481</v>
      </c>
      <c r="H755" s="800">
        <f t="shared" si="424"/>
        <v>3775794.2965972149</v>
      </c>
      <c r="I755" s="800">
        <f t="shared" si="424"/>
        <v>4498937.9700704487</v>
      </c>
      <c r="J755" s="800">
        <f t="shared" si="424"/>
        <v>4810344.7022493407</v>
      </c>
      <c r="K755" s="800">
        <f t="shared" si="424"/>
        <v>5062519.4407258406</v>
      </c>
      <c r="L755" s="800">
        <f t="shared" si="424"/>
        <v>5306916.2653430337</v>
      </c>
      <c r="M755" s="800">
        <f t="shared" si="424"/>
        <v>5588402.3580000009</v>
      </c>
      <c r="N755" s="800" t="s">
        <v>166</v>
      </c>
      <c r="O755" s="800" t="s">
        <v>212</v>
      </c>
    </row>
    <row r="756" spans="1:15">
      <c r="A756" s="137" t="s">
        <v>118</v>
      </c>
      <c r="B756" s="800">
        <f>SUM(B460:B486,B738)</f>
        <v>1509005.3718750586</v>
      </c>
      <c r="C756" s="800">
        <f t="shared" ref="C756:M756" si="425">SUM(C460:C486,C738)</f>
        <v>3417024.7616046341</v>
      </c>
      <c r="D756" s="800">
        <f t="shared" si="425"/>
        <v>4324797.2350983638</v>
      </c>
      <c r="E756" s="800">
        <f t="shared" si="425"/>
        <v>4970892.6181985606</v>
      </c>
      <c r="F756" s="800">
        <f t="shared" si="425"/>
        <v>5643635.3303856086</v>
      </c>
      <c r="G756" s="800">
        <f t="shared" si="425"/>
        <v>6442557.300431449</v>
      </c>
      <c r="H756" s="800">
        <f t="shared" si="425"/>
        <v>7118491.5396527173</v>
      </c>
      <c r="I756" s="800">
        <f t="shared" si="425"/>
        <v>8494909.4887545872</v>
      </c>
      <c r="J756" s="800">
        <f t="shared" si="425"/>
        <v>9084789.4141451195</v>
      </c>
      <c r="K756" s="800">
        <f t="shared" si="425"/>
        <v>9564579.3647383209</v>
      </c>
      <c r="L756" s="800">
        <f t="shared" si="425"/>
        <v>10032810.776869137</v>
      </c>
      <c r="M756" s="800">
        <f t="shared" si="425"/>
        <v>10565259.252</v>
      </c>
      <c r="N756" s="800" t="s">
        <v>214</v>
      </c>
      <c r="O756" s="800" t="s">
        <v>212</v>
      </c>
    </row>
    <row r="757" spans="1:15">
      <c r="A757" s="137" t="s">
        <v>118</v>
      </c>
      <c r="B757" s="800">
        <f>SUM(B487:B513,B739)</f>
        <v>273703.59999999998</v>
      </c>
      <c r="C757" s="800">
        <f t="shared" ref="C757:M757" si="426">SUM(C487:C513,C739)</f>
        <v>365541.57999999996</v>
      </c>
      <c r="D757" s="800">
        <f t="shared" si="426"/>
        <v>373921.95000000007</v>
      </c>
      <c r="E757" s="800">
        <f t="shared" si="426"/>
        <v>247468.25999999998</v>
      </c>
      <c r="F757" s="800">
        <f t="shared" si="426"/>
        <v>308732.00000000006</v>
      </c>
      <c r="G757" s="800">
        <f t="shared" si="426"/>
        <v>255692.09000000003</v>
      </c>
      <c r="H757" s="800">
        <f t="shared" si="426"/>
        <v>216643.6</v>
      </c>
      <c r="I757" s="800">
        <f t="shared" si="426"/>
        <v>405032.99</v>
      </c>
      <c r="J757" s="800">
        <f t="shared" si="426"/>
        <v>378030.97</v>
      </c>
      <c r="K757" s="800">
        <f t="shared" si="426"/>
        <v>0</v>
      </c>
      <c r="L757" s="800">
        <f t="shared" si="426"/>
        <v>0</v>
      </c>
      <c r="M757" s="800">
        <f t="shared" si="426"/>
        <v>0</v>
      </c>
      <c r="N757" s="800" t="s">
        <v>167</v>
      </c>
      <c r="O757" s="800" t="s">
        <v>188</v>
      </c>
    </row>
    <row r="758" spans="1:15">
      <c r="A758" s="137" t="s">
        <v>118</v>
      </c>
      <c r="B758" s="800">
        <f>SUM(B514:B540,B740)</f>
        <v>315967.74998910865</v>
      </c>
      <c r="C758" s="800">
        <f t="shared" ref="C758:L758" si="427">SUM(C514:C540,C740)</f>
        <v>613166.26633193193</v>
      </c>
      <c r="D758" s="800">
        <f t="shared" si="427"/>
        <v>862354.6058427305</v>
      </c>
      <c r="E758" s="800">
        <f t="shared" si="427"/>
        <v>1054835.5132179619</v>
      </c>
      <c r="F758" s="800">
        <f t="shared" si="427"/>
        <v>1246554.1487047186</v>
      </c>
      <c r="G758" s="800">
        <f t="shared" si="427"/>
        <v>1453558.0173670729</v>
      </c>
      <c r="H758" s="800">
        <f t="shared" si="427"/>
        <v>1693355.9800438783</v>
      </c>
      <c r="I758" s="800">
        <f t="shared" si="427"/>
        <v>1944605.6021662457</v>
      </c>
      <c r="J758" s="800">
        <f t="shared" si="427"/>
        <v>2153002.8590180501</v>
      </c>
      <c r="K758" s="800">
        <f t="shared" si="427"/>
        <v>2387053.6780690849</v>
      </c>
      <c r="L758" s="800">
        <f t="shared" si="427"/>
        <v>2564444.2274432448</v>
      </c>
      <c r="M758" s="800">
        <f>SUM(M514:M540,M740)</f>
        <v>2800012.5260000001</v>
      </c>
      <c r="N758" s="800" t="s">
        <v>166</v>
      </c>
      <c r="O758" s="800" t="s">
        <v>188</v>
      </c>
    </row>
    <row r="759" spans="1:15">
      <c r="A759" s="137" t="s">
        <v>118</v>
      </c>
      <c r="B759" s="800">
        <f>SUM(B541:B567,B741)</f>
        <v>351920.63352008438</v>
      </c>
      <c r="C759" s="800">
        <f t="shared" ref="C759:M759" si="428">SUM(C541:C567,C741)</f>
        <v>646762.86023318837</v>
      </c>
      <c r="D759" s="800">
        <f t="shared" si="428"/>
        <v>882569.51210737426</v>
      </c>
      <c r="E759" s="800">
        <f t="shared" si="428"/>
        <v>1075499.6509285376</v>
      </c>
      <c r="F759" s="800">
        <f t="shared" si="428"/>
        <v>1267092.6353672307</v>
      </c>
      <c r="G759" s="800">
        <f t="shared" si="428"/>
        <v>1514792.7468241239</v>
      </c>
      <c r="H759" s="800">
        <f t="shared" si="428"/>
        <v>1755163.8424369632</v>
      </c>
      <c r="I759" s="800">
        <f t="shared" si="428"/>
        <v>1967965.1058437042</v>
      </c>
      <c r="J759" s="800">
        <f t="shared" si="428"/>
        <v>2177986.7290533008</v>
      </c>
      <c r="K759" s="800">
        <f t="shared" si="428"/>
        <v>2402590.9528931594</v>
      </c>
      <c r="L759" s="800">
        <f t="shared" si="428"/>
        <v>2579313.5633407263</v>
      </c>
      <c r="M759" s="800">
        <f t="shared" si="428"/>
        <v>2800012.5260000001</v>
      </c>
      <c r="N759" s="800" t="s">
        <v>214</v>
      </c>
      <c r="O759" s="800" t="s">
        <v>188</v>
      </c>
    </row>
    <row r="760" spans="1:15">
      <c r="A760" s="137" t="s">
        <v>118</v>
      </c>
      <c r="B760" s="800">
        <f>SUM(B568:B594,B742)</f>
        <v>6710688.8399999999</v>
      </c>
      <c r="C760" s="800">
        <f t="shared" ref="C760:M760" si="429">SUM(C568:C594,C742)</f>
        <v>8213576.4000000013</v>
      </c>
      <c r="D760" s="800">
        <f t="shared" si="429"/>
        <v>10254889.439999999</v>
      </c>
      <c r="E760" s="800">
        <f t="shared" si="429"/>
        <v>8729636.1699999999</v>
      </c>
      <c r="F760" s="800">
        <f t="shared" si="429"/>
        <v>10288921.470000003</v>
      </c>
      <c r="G760" s="800">
        <f t="shared" si="429"/>
        <v>9565958.9200000037</v>
      </c>
      <c r="H760" s="800">
        <f t="shared" si="429"/>
        <v>9487952.629999999</v>
      </c>
      <c r="I760" s="800">
        <f t="shared" si="429"/>
        <v>10458010.629999999</v>
      </c>
      <c r="J760" s="800">
        <f t="shared" si="429"/>
        <v>9454290.9600000009</v>
      </c>
      <c r="K760" s="800">
        <f t="shared" si="429"/>
        <v>0</v>
      </c>
      <c r="L760" s="800">
        <f t="shared" si="429"/>
        <v>0</v>
      </c>
      <c r="M760" s="800">
        <f t="shared" si="429"/>
        <v>0</v>
      </c>
      <c r="N760" s="800" t="s">
        <v>167</v>
      </c>
      <c r="O760" s="800" t="s">
        <v>28</v>
      </c>
    </row>
    <row r="761" spans="1:15">
      <c r="A761" s="137" t="s">
        <v>118</v>
      </c>
      <c r="B761" s="800">
        <f>SUM(B595:B621,B743)</f>
        <v>7066544.604320894</v>
      </c>
      <c r="C761" s="800">
        <f t="shared" ref="C761:M761" si="430">SUM(C595:C621,C743)</f>
        <v>15267623.425827064</v>
      </c>
      <c r="D761" s="800">
        <f t="shared" si="430"/>
        <v>23881053.816559963</v>
      </c>
      <c r="E761" s="800">
        <f t="shared" si="430"/>
        <v>31459509.551669385</v>
      </c>
      <c r="F761" s="800">
        <f t="shared" si="430"/>
        <v>39996192.023556411</v>
      </c>
      <c r="G761" s="800">
        <f t="shared" si="430"/>
        <v>48671465.805312037</v>
      </c>
      <c r="H761" s="800">
        <f t="shared" si="430"/>
        <v>58753780.751522943</v>
      </c>
      <c r="I761" s="800">
        <f t="shared" si="430"/>
        <v>69100897.336316928</v>
      </c>
      <c r="J761" s="800">
        <f t="shared" si="430"/>
        <v>79153300.359344751</v>
      </c>
      <c r="K761" s="800">
        <f t="shared" si="430"/>
        <v>89659002.606151685</v>
      </c>
      <c r="L761" s="800">
        <f t="shared" si="430"/>
        <v>99162211.013092697</v>
      </c>
      <c r="M761" s="800">
        <f t="shared" si="430"/>
        <v>108190303.97200002</v>
      </c>
      <c r="N761" s="800" t="s">
        <v>166</v>
      </c>
      <c r="O761" s="800" t="s">
        <v>28</v>
      </c>
    </row>
    <row r="762" spans="1:15">
      <c r="A762" s="137" t="s">
        <v>118</v>
      </c>
      <c r="B762" s="800">
        <f>SUM(B622:B648,B744)</f>
        <v>7280039.3018041728</v>
      </c>
      <c r="C762" s="800">
        <f t="shared" ref="C762:M762" si="431">SUM(C622:C648,C744)</f>
        <v>15514853.697149025</v>
      </c>
      <c r="D762" s="800">
        <f t="shared" si="431"/>
        <v>24051767.9794158</v>
      </c>
      <c r="E762" s="800">
        <f t="shared" si="431"/>
        <v>31781937.051669974</v>
      </c>
      <c r="F762" s="800">
        <f t="shared" si="431"/>
        <v>40242029.658039145</v>
      </c>
      <c r="G762" s="800">
        <f t="shared" si="431"/>
        <v>48729900.317101404</v>
      </c>
      <c r="H762" s="800">
        <f t="shared" si="431"/>
        <v>58949886.427669466</v>
      </c>
      <c r="I762" s="800">
        <f t="shared" si="431"/>
        <v>69121997.109489158</v>
      </c>
      <c r="J762" s="800">
        <f t="shared" si="431"/>
        <v>79133413.519257322</v>
      </c>
      <c r="K762" s="800">
        <f t="shared" si="431"/>
        <v>89532322.236132026</v>
      </c>
      <c r="L762" s="800">
        <f t="shared" si="431"/>
        <v>99132178.92348823</v>
      </c>
      <c r="M762" s="800">
        <f t="shared" si="431"/>
        <v>108190303.97200002</v>
      </c>
      <c r="N762" s="800" t="s">
        <v>214</v>
      </c>
      <c r="O762" s="800" t="s">
        <v>28</v>
      </c>
    </row>
    <row r="763" spans="1:15">
      <c r="A763" s="137" t="s">
        <v>118</v>
      </c>
      <c r="B763" s="800">
        <f>SUM(B649:B675,B745)</f>
        <v>653615.37</v>
      </c>
      <c r="C763" s="800">
        <f t="shared" ref="C763:M763" si="432">SUM(C649:C675,C745)</f>
        <v>853304.14000000025</v>
      </c>
      <c r="D763" s="800">
        <f t="shared" si="432"/>
        <v>947933.65000000014</v>
      </c>
      <c r="E763" s="800">
        <f t="shared" si="432"/>
        <v>681183.18000000017</v>
      </c>
      <c r="F763" s="800">
        <f t="shared" si="432"/>
        <v>863942.13000000012</v>
      </c>
      <c r="G763" s="800">
        <f t="shared" si="432"/>
        <v>757283.4600000002</v>
      </c>
      <c r="H763" s="800">
        <f t="shared" si="432"/>
        <v>932402.06</v>
      </c>
      <c r="I763" s="800">
        <f t="shared" si="432"/>
        <v>1251805.9600000004</v>
      </c>
      <c r="J763" s="800">
        <f t="shared" si="432"/>
        <v>1145642.5900000001</v>
      </c>
      <c r="K763" s="800">
        <f t="shared" si="432"/>
        <v>0</v>
      </c>
      <c r="L763" s="800">
        <f t="shared" si="432"/>
        <v>0</v>
      </c>
      <c r="M763" s="800">
        <f t="shared" si="432"/>
        <v>0</v>
      </c>
      <c r="N763" s="800" t="s">
        <v>167</v>
      </c>
      <c r="O763" s="800" t="s">
        <v>132</v>
      </c>
    </row>
    <row r="764" spans="1:15">
      <c r="A764" s="137" t="s">
        <v>118</v>
      </c>
      <c r="B764" s="800">
        <f>SUM(B676:B702,B746)</f>
        <v>725819.57866805838</v>
      </c>
      <c r="C764" s="800">
        <f t="shared" ref="C764:M764" si="433">SUM(C676:C702,C746)</f>
        <v>1337006.5657346779</v>
      </c>
      <c r="D764" s="800">
        <f t="shared" si="433"/>
        <v>1874618.7641909742</v>
      </c>
      <c r="E764" s="800">
        <f t="shared" si="433"/>
        <v>2346184.0956338458</v>
      </c>
      <c r="F764" s="800">
        <f t="shared" si="433"/>
        <v>2832816.9761545127</v>
      </c>
      <c r="G764" s="800">
        <f t="shared" si="433"/>
        <v>3430373.7915327265</v>
      </c>
      <c r="H764" s="800">
        <f t="shared" si="433"/>
        <v>4154805.6265067756</v>
      </c>
      <c r="I764" s="800">
        <f t="shared" si="433"/>
        <v>4913019.677779275</v>
      </c>
      <c r="J764" s="800">
        <f t="shared" si="433"/>
        <v>5613180.5545809148</v>
      </c>
      <c r="K764" s="800">
        <f t="shared" si="433"/>
        <v>6357373.4082006244</v>
      </c>
      <c r="L764" s="800">
        <f t="shared" si="433"/>
        <v>7104028.2439064709</v>
      </c>
      <c r="M764" s="800">
        <f t="shared" si="433"/>
        <v>7965457.169285709</v>
      </c>
      <c r="N764" s="800" t="s">
        <v>166</v>
      </c>
      <c r="O764" s="800" t="s">
        <v>132</v>
      </c>
    </row>
    <row r="765" spans="1:15">
      <c r="A765" s="137" t="s">
        <v>118</v>
      </c>
      <c r="B765" s="800">
        <f>SUM(B703:B729,B747)</f>
        <v>841091.91578833445</v>
      </c>
      <c r="C765" s="800">
        <f t="shared" ref="C765:M765" si="434">SUM(C703:C729,C747)</f>
        <v>1548558.9362981301</v>
      </c>
      <c r="D765" s="800">
        <f t="shared" si="434"/>
        <v>2171832.4266944998</v>
      </c>
      <c r="E765" s="800">
        <f t="shared" si="434"/>
        <v>2716736.9156317078</v>
      </c>
      <c r="F765" s="800">
        <f t="shared" si="434"/>
        <v>3279723.6983725745</v>
      </c>
      <c r="G765" s="800">
        <f t="shared" si="434"/>
        <v>3970266.5181953814</v>
      </c>
      <c r="H765" s="800">
        <f t="shared" si="434"/>
        <v>4810663.9385361271</v>
      </c>
      <c r="I765" s="800">
        <f t="shared" si="434"/>
        <v>5689303.5696379878</v>
      </c>
      <c r="J765" s="800">
        <f t="shared" si="434"/>
        <v>6500628.0505441194</v>
      </c>
      <c r="K765" s="800">
        <f t="shared" si="434"/>
        <v>7362445.1995107587</v>
      </c>
      <c r="L765" s="800">
        <f t="shared" si="434"/>
        <v>8226340.9376317654</v>
      </c>
      <c r="M765" s="800">
        <f t="shared" si="434"/>
        <v>9223221.2400000002</v>
      </c>
      <c r="N765" s="800" t="s">
        <v>214</v>
      </c>
      <c r="O765" s="800" t="s">
        <v>132</v>
      </c>
    </row>
  </sheetData>
  <sortState ref="P209:W235">
    <sortCondition ref="P210:P236"/>
  </sortState>
  <mergeCells count="72">
    <mergeCell ref="Q210:R210"/>
    <mergeCell ref="Q208:W208"/>
    <mergeCell ref="AE1:AR1"/>
    <mergeCell ref="A1:N1"/>
    <mergeCell ref="A3:A4"/>
    <mergeCell ref="B3:M3"/>
    <mergeCell ref="P1:AC1"/>
    <mergeCell ref="P3:P4"/>
    <mergeCell ref="Q3:AB3"/>
    <mergeCell ref="AE3:AE4"/>
    <mergeCell ref="AF3:AQ3"/>
    <mergeCell ref="A35:N35"/>
    <mergeCell ref="P35:AC35"/>
    <mergeCell ref="AE35:AR35"/>
    <mergeCell ref="A37:A38"/>
    <mergeCell ref="B37:M37"/>
    <mergeCell ref="P37:P38"/>
    <mergeCell ref="Q37:AB37"/>
    <mergeCell ref="AE37:AE38"/>
    <mergeCell ref="AF37:AQ37"/>
    <mergeCell ref="A69:N69"/>
    <mergeCell ref="P69:AC69"/>
    <mergeCell ref="AE69:AR69"/>
    <mergeCell ref="AF71:AQ71"/>
    <mergeCell ref="A103:N103"/>
    <mergeCell ref="P103:AC103"/>
    <mergeCell ref="AE103:AR103"/>
    <mergeCell ref="AF105:AQ105"/>
    <mergeCell ref="A71:A72"/>
    <mergeCell ref="B71:M71"/>
    <mergeCell ref="P71:P72"/>
    <mergeCell ref="Q71:AB71"/>
    <mergeCell ref="AE71:AE72"/>
    <mergeCell ref="A105:A106"/>
    <mergeCell ref="B105:M105"/>
    <mergeCell ref="P105:P106"/>
    <mergeCell ref="Q105:AB105"/>
    <mergeCell ref="AE105:AE106"/>
    <mergeCell ref="A139:N139"/>
    <mergeCell ref="P139:AC139"/>
    <mergeCell ref="AE139:AR139"/>
    <mergeCell ref="A141:A142"/>
    <mergeCell ref="B141:M141"/>
    <mergeCell ref="P141:P142"/>
    <mergeCell ref="Q141:AB141"/>
    <mergeCell ref="AE141:AE142"/>
    <mergeCell ref="AF141:AQ141"/>
    <mergeCell ref="A173:N173"/>
    <mergeCell ref="P173:AC173"/>
    <mergeCell ref="AE173:AR173"/>
    <mergeCell ref="A175:A176"/>
    <mergeCell ref="B175:M175"/>
    <mergeCell ref="P175:P176"/>
    <mergeCell ref="Q175:AB175"/>
    <mergeCell ref="AE175:AE176"/>
    <mergeCell ref="AF175:AQ175"/>
    <mergeCell ref="Y209:AC216"/>
    <mergeCell ref="A208:A211"/>
    <mergeCell ref="B208:H208"/>
    <mergeCell ref="B209:H209"/>
    <mergeCell ref="B210:C210"/>
    <mergeCell ref="D210:E210"/>
    <mergeCell ref="F210:F211"/>
    <mergeCell ref="G210:G211"/>
    <mergeCell ref="H210:H211"/>
    <mergeCell ref="S210:T210"/>
    <mergeCell ref="U210:U211"/>
    <mergeCell ref="V210:V211"/>
    <mergeCell ref="W210:W211"/>
    <mergeCell ref="P208:P211"/>
    <mergeCell ref="Q209:W209"/>
    <mergeCell ref="J209:N216"/>
  </mergeCells>
  <conditionalFormatting sqref="AS32 AS34 AS66 AS68 AS100 AS102 AS134 AS136 AS170 AS172 AS204 AS206:AS207">
    <cfRule type="cellIs" dxfId="36" priority="3" operator="equal">
      <formula>FALSE</formula>
    </cfRule>
    <cfRule type="cellIs" dxfId="35" priority="4" operator="equal">
      <formula>TRUE</formula>
    </cfRule>
  </conditionalFormatting>
  <conditionalFormatting sqref="AF210:AR210">
    <cfRule type="cellIs" dxfId="34" priority="1" operator="equal">
      <formula>FALSE</formula>
    </cfRule>
    <cfRule type="cellIs" dxfId="33" priority="2" operator="equal">
      <formula>TRUE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29">
    <tabColor theme="3"/>
  </sheetPr>
  <dimension ref="A1:AH177"/>
  <sheetViews>
    <sheetView showGridLines="0" topLeftCell="F1" zoomScaleNormal="100" zoomScaleSheetLayoutView="10" workbookViewId="0">
      <selection sqref="A1:AC1"/>
    </sheetView>
  </sheetViews>
  <sheetFormatPr defaultRowHeight="15"/>
  <cols>
    <col min="1" max="1" width="13.28515625" style="421" bestFit="1" customWidth="1"/>
    <col min="2" max="2" width="13.7109375" bestFit="1" customWidth="1"/>
    <col min="3" max="13" width="12.42578125" customWidth="1"/>
    <col min="14" max="14" width="14" bestFit="1" customWidth="1"/>
    <col min="15" max="15" width="13.7109375" customWidth="1"/>
    <col min="16" max="16" width="2.140625" style="10" customWidth="1"/>
    <col min="17" max="17" width="14.28515625" style="322" customWidth="1"/>
    <col min="18" max="18" width="1.85546875" style="322" customWidth="1"/>
    <col min="19" max="19" width="14" style="481" bestFit="1" customWidth="1"/>
    <col min="20" max="20" width="13.5703125" style="19" customWidth="1"/>
    <col min="21" max="21" width="15.28515625" style="19" bestFit="1" customWidth="1"/>
    <col min="22" max="29" width="13.5703125" style="19" customWidth="1"/>
    <col min="30" max="31" width="11.28515625" style="19" customWidth="1"/>
    <col min="32" max="32" width="14" style="19" bestFit="1" customWidth="1"/>
    <col min="33" max="33" width="13.5703125" style="19" customWidth="1"/>
    <col min="34" max="34" width="13.5703125" style="417" customWidth="1"/>
    <col min="35" max="35" width="9.140625" style="19"/>
    <col min="36" max="36" width="15.140625" style="19" bestFit="1" customWidth="1"/>
    <col min="37" max="16384" width="9.140625" style="19"/>
  </cols>
  <sheetData>
    <row r="1" spans="1:34" s="24" customFormat="1" ht="41.25" customHeight="1">
      <c r="A1" s="1008" t="s">
        <v>307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470"/>
      <c r="Q1" s="477" t="s">
        <v>439</v>
      </c>
      <c r="R1" s="428"/>
      <c r="S1" s="477" t="s">
        <v>440</v>
      </c>
      <c r="T1" s="477" t="s">
        <v>268</v>
      </c>
      <c r="U1" s="477" t="s">
        <v>271</v>
      </c>
      <c r="V1" s="477" t="s">
        <v>272</v>
      </c>
      <c r="W1" s="477" t="s">
        <v>266</v>
      </c>
      <c r="X1" s="477" t="s">
        <v>273</v>
      </c>
      <c r="Y1" s="477" t="s">
        <v>267</v>
      </c>
      <c r="Z1" s="65"/>
      <c r="AA1" s="65"/>
      <c r="AH1" s="346"/>
    </row>
    <row r="2" spans="1:34" customFormat="1" ht="15" customHeight="1">
      <c r="A2" s="418" t="s">
        <v>105</v>
      </c>
      <c r="B2" s="429" t="s">
        <v>106</v>
      </c>
      <c r="C2" s="429" t="s">
        <v>107</v>
      </c>
      <c r="D2" s="429" t="s">
        <v>108</v>
      </c>
      <c r="E2" s="429" t="s">
        <v>109</v>
      </c>
      <c r="F2" s="429" t="s">
        <v>110</v>
      </c>
      <c r="G2" s="429" t="s">
        <v>111</v>
      </c>
      <c r="H2" s="429" t="s">
        <v>112</v>
      </c>
      <c r="I2" s="429" t="s">
        <v>113</v>
      </c>
      <c r="J2" s="429" t="s">
        <v>114</v>
      </c>
      <c r="K2" s="429" t="s">
        <v>115</v>
      </c>
      <c r="L2" s="429" t="s">
        <v>116</v>
      </c>
      <c r="M2" s="429" t="s">
        <v>117</v>
      </c>
      <c r="N2" s="429" t="s">
        <v>118</v>
      </c>
      <c r="O2" s="430" t="s">
        <v>119</v>
      </c>
      <c r="P2" s="471"/>
      <c r="Q2" s="302">
        <f>O38/$O$3</f>
        <v>0.32470865475662125</v>
      </c>
      <c r="R2" s="302"/>
      <c r="S2" s="478" t="s">
        <v>173</v>
      </c>
      <c r="T2" s="115">
        <f>B66</f>
        <v>0.92588215388509831</v>
      </c>
      <c r="U2" s="410">
        <f>T2*O38</f>
        <v>62909608.373641044</v>
      </c>
      <c r="V2" s="48">
        <f>N38</f>
        <v>63258602.590000004</v>
      </c>
      <c r="W2" s="788">
        <f t="shared" ref="W2:W8" si="0">($V2/U2)-1</f>
        <v>5.5475502928927778E-3</v>
      </c>
      <c r="X2" s="413">
        <f>'Gráficos - Arrecadação'!J10</f>
        <v>87837564.421211004</v>
      </c>
      <c r="Y2" s="788">
        <f>($V2/X2)-1</f>
        <v>-0.27982289801828431</v>
      </c>
      <c r="Z2" s="66"/>
      <c r="AA2" s="66"/>
      <c r="AB2" s="19"/>
      <c r="AC2" s="19"/>
      <c r="AD2" s="19"/>
      <c r="AE2" s="19"/>
      <c r="AF2" s="19"/>
      <c r="AH2" s="322"/>
    </row>
    <row r="3" spans="1:34" s="566" customFormat="1" ht="15" customHeight="1">
      <c r="A3" s="419">
        <v>2022</v>
      </c>
      <c r="B3" s="29">
        <f t="shared" ref="B3" si="1">B38+B73+B108+B143+T38+T73</f>
        <v>20850868.670000006</v>
      </c>
      <c r="C3" s="29">
        <f t="shared" ref="C3" si="2">C38+C73+C108+C143+U38+U73</f>
        <v>24643200.43</v>
      </c>
      <c r="D3" s="29">
        <f t="shared" ref="D3" si="3">D38+D73+D108+D143+V38+V73</f>
        <v>25022780.399999995</v>
      </c>
      <c r="E3" s="29">
        <f t="shared" ref="E3" si="4">E38+E73+E108+E143+W38+W73</f>
        <v>16423502.060000001</v>
      </c>
      <c r="F3" s="29">
        <f t="shared" ref="F3" si="5">F38+F73+F108+F143+X38+X73</f>
        <v>19444466.52</v>
      </c>
      <c r="G3" s="29">
        <f t="shared" ref="G3" si="6">G38+G73+G108+G143+Y38+Y73</f>
        <v>18995234.909999996</v>
      </c>
      <c r="H3" s="29">
        <f t="shared" ref="H3" si="7">H38+H73+H108+H143+Z38+Z73</f>
        <v>17489413.370000001</v>
      </c>
      <c r="I3" s="29">
        <f t="shared" ref="I3" si="8">I38+I73+I108+I143+AA38+AA73</f>
        <v>17109685.620000001</v>
      </c>
      <c r="J3" s="29">
        <f t="shared" ref="J3" si="9">J38+J73+J108+J143+AB38+AB73</f>
        <v>14473753.27</v>
      </c>
      <c r="K3" s="29">
        <f t="shared" ref="K3" si="10">K38+K73+K108+K143+AC38+AC73</f>
        <v>0</v>
      </c>
      <c r="L3" s="29">
        <f t="shared" ref="L3" si="11">L38+L73+L108+L143+AD38+AD73</f>
        <v>0</v>
      </c>
      <c r="M3" s="29">
        <f t="shared" ref="M3" si="12">M38+M73+M108+M143+AE38+AE73</f>
        <v>0</v>
      </c>
      <c r="N3" s="28">
        <f>SUM(B3:M3)</f>
        <v>174452905.25</v>
      </c>
      <c r="O3" s="119">
        <f>O38+AG38+O73+AG73+O108+O143</f>
        <v>209250933.39728573</v>
      </c>
      <c r="P3" s="471"/>
      <c r="Q3" s="302">
        <f>AG38/$O$3</f>
        <v>8.0100805333934127E-2</v>
      </c>
      <c r="R3" s="302"/>
      <c r="S3" s="478" t="s">
        <v>184</v>
      </c>
      <c r="T3" s="115">
        <f>T66</f>
        <v>0.75777769549628327</v>
      </c>
      <c r="U3" s="410">
        <f>T3*AG38</f>
        <v>12701239.474559357</v>
      </c>
      <c r="V3" s="48">
        <f>AF38</f>
        <v>13690888.369999999</v>
      </c>
      <c r="W3" s="788">
        <f t="shared" si="0"/>
        <v>7.7917505407477217E-2</v>
      </c>
      <c r="X3" s="413">
        <f>'Gráficos - Arrecadação'!J17</f>
        <v>12701239.474559357</v>
      </c>
      <c r="Y3" s="788">
        <f t="shared" ref="Y3:Y7" si="13">($V3/X3)-1</f>
        <v>7.7917505407477217E-2</v>
      </c>
      <c r="Z3" s="66"/>
      <c r="AA3" s="66"/>
      <c r="AH3" s="322"/>
    </row>
    <row r="4" spans="1:34" s="145" customFormat="1" ht="15" customHeight="1">
      <c r="A4" s="419">
        <v>2021</v>
      </c>
      <c r="B4" s="27">
        <v>20826016.739999998</v>
      </c>
      <c r="C4" s="27">
        <v>22708621.000000007</v>
      </c>
      <c r="D4" s="27">
        <v>20161318.559999995</v>
      </c>
      <c r="E4" s="27">
        <v>16615530.979999999</v>
      </c>
      <c r="F4" s="27">
        <v>16155960.789999999</v>
      </c>
      <c r="G4" s="27">
        <v>17234451.25</v>
      </c>
      <c r="H4" s="27">
        <v>16068055.850000001</v>
      </c>
      <c r="I4" s="27">
        <v>16489729.739999998</v>
      </c>
      <c r="J4" s="27">
        <v>13915469.6</v>
      </c>
      <c r="K4" s="27">
        <v>12602396.24</v>
      </c>
      <c r="L4" s="27">
        <v>12335348.240000002</v>
      </c>
      <c r="M4" s="27">
        <v>12798786.220000001</v>
      </c>
      <c r="N4" s="28">
        <f>SUM(B4:M4)</f>
        <v>197911685.21000001</v>
      </c>
      <c r="P4" s="472"/>
      <c r="Q4" s="302">
        <f>O73/$O$3</f>
        <v>2.6706702174607792E-2</v>
      </c>
      <c r="R4" s="302"/>
      <c r="S4" s="478" t="s">
        <v>174</v>
      </c>
      <c r="T4" s="115">
        <f>B101</f>
        <v>0.91647326472581014</v>
      </c>
      <c r="U4" s="410">
        <f>T4*O73</f>
        <v>5121621.3536376767</v>
      </c>
      <c r="V4" s="48">
        <f>N73</f>
        <v>3427609.25</v>
      </c>
      <c r="W4" s="788">
        <f t="shared" si="0"/>
        <v>-0.33075699796403135</v>
      </c>
      <c r="X4" s="413">
        <f>'Gráficos - Arrecadação'!J23</f>
        <v>9682777.6393550113</v>
      </c>
      <c r="Y4" s="788">
        <f t="shared" si="13"/>
        <v>-0.64600971150378295</v>
      </c>
      <c r="Z4" s="64"/>
      <c r="AA4" s="64"/>
      <c r="AH4" s="322"/>
    </row>
    <row r="5" spans="1:34" customFormat="1" ht="15" customHeight="1">
      <c r="A5" s="419">
        <v>2020</v>
      </c>
      <c r="B5" s="29">
        <v>22576388.020000003</v>
      </c>
      <c r="C5" s="30">
        <v>21791063.84</v>
      </c>
      <c r="D5" s="30">
        <v>15811503.190000001</v>
      </c>
      <c r="E5" s="30">
        <v>8141870.1899999985</v>
      </c>
      <c r="F5" s="30">
        <v>8658705.8900000006</v>
      </c>
      <c r="G5" s="30">
        <v>11852236.880000001</v>
      </c>
      <c r="H5" s="30">
        <v>15414639.369999999</v>
      </c>
      <c r="I5" s="30">
        <v>16518182.860000001</v>
      </c>
      <c r="J5" s="30">
        <v>12575439.829999998</v>
      </c>
      <c r="K5" s="30">
        <v>13091764.559999999</v>
      </c>
      <c r="L5" s="30">
        <v>11490553.48</v>
      </c>
      <c r="M5" s="30">
        <v>11503465.949999999</v>
      </c>
      <c r="N5" s="28">
        <f>SUM(B5:M5)</f>
        <v>169425814.05999997</v>
      </c>
      <c r="P5" s="10"/>
      <c r="Q5" s="302">
        <f>AG73/$O$3</f>
        <v>1.338112323104371E-2</v>
      </c>
      <c r="R5" s="302"/>
      <c r="S5" s="478" t="s">
        <v>185</v>
      </c>
      <c r="T5" s="115">
        <f>T101</f>
        <v>0.76164116498450141</v>
      </c>
      <c r="U5" s="410">
        <f>T5*AG73</f>
        <v>2132604.8022738365</v>
      </c>
      <c r="V5" s="48">
        <f>AF73</f>
        <v>2824767.0400000005</v>
      </c>
      <c r="W5" s="788">
        <f t="shared" si="0"/>
        <v>0.324561886472432</v>
      </c>
      <c r="X5" s="413">
        <f>'Gráficos - Arrecadação'!J30</f>
        <v>2132604.8022738365</v>
      </c>
      <c r="Y5" s="788">
        <f t="shared" si="13"/>
        <v>0.324561886472432</v>
      </c>
      <c r="Z5" s="64"/>
      <c r="AA5" s="64"/>
      <c r="AB5" s="64"/>
      <c r="AC5" s="566"/>
      <c r="AD5" s="64"/>
      <c r="AE5" s="64"/>
      <c r="AF5" s="566"/>
      <c r="AH5" s="322"/>
    </row>
    <row r="6" spans="1:34" customFormat="1" ht="15" customHeight="1">
      <c r="A6" s="419">
        <v>2019</v>
      </c>
      <c r="B6" s="27">
        <f t="shared" ref="B6:M6" si="14">B41+B76+B111+B146+T41+T76</f>
        <v>19627391.469999995</v>
      </c>
      <c r="C6" s="27">
        <f t="shared" si="14"/>
        <v>21944976.73</v>
      </c>
      <c r="D6" s="27">
        <f t="shared" si="14"/>
        <v>13314373.720000001</v>
      </c>
      <c r="E6" s="27">
        <f t="shared" si="14"/>
        <v>15168339.013</v>
      </c>
      <c r="F6" s="27">
        <f t="shared" si="14"/>
        <v>17298289.949999999</v>
      </c>
      <c r="G6" s="27">
        <f t="shared" si="14"/>
        <v>14414922.41</v>
      </c>
      <c r="H6" s="27">
        <f t="shared" si="14"/>
        <v>13399020.84</v>
      </c>
      <c r="I6" s="27">
        <f t="shared" si="14"/>
        <v>12677183.73</v>
      </c>
      <c r="J6" s="27">
        <f t="shared" si="14"/>
        <v>11703872.489999998</v>
      </c>
      <c r="K6" s="27">
        <f t="shared" si="14"/>
        <v>12693953.000000002</v>
      </c>
      <c r="L6" s="27">
        <f t="shared" si="14"/>
        <v>10822467.210000001</v>
      </c>
      <c r="M6" s="27">
        <f t="shared" si="14"/>
        <v>11238229.000000002</v>
      </c>
      <c r="N6" s="28">
        <f>SUM(B6:M6)</f>
        <v>174303019.56300002</v>
      </c>
      <c r="O6" s="121"/>
      <c r="P6" s="472"/>
      <c r="Q6" s="302">
        <f>O108/$O$3</f>
        <v>0.51703618337792034</v>
      </c>
      <c r="R6" s="302"/>
      <c r="S6" s="478" t="s">
        <v>28</v>
      </c>
      <c r="T6" s="115">
        <f>B136</f>
        <v>0.73440639269672614</v>
      </c>
      <c r="U6" s="410">
        <f>T6*O108</f>
        <v>79455650.864838809</v>
      </c>
      <c r="V6" s="48">
        <f>N108</f>
        <v>83163925.459999979</v>
      </c>
      <c r="W6" s="788">
        <f t="shared" si="0"/>
        <v>4.6670998913208583E-2</v>
      </c>
      <c r="X6" s="413">
        <f>'Gráficos - Arrecadação'!J36</f>
        <v>79455650.864838809</v>
      </c>
      <c r="Y6" s="788">
        <f>($V6/X6)-1</f>
        <v>4.6670998913208583E-2</v>
      </c>
      <c r="Z6" s="64"/>
      <c r="AA6" s="64"/>
      <c r="AB6" s="64"/>
      <c r="AC6" s="566"/>
      <c r="AD6" s="64"/>
      <c r="AE6" s="64"/>
      <c r="AF6" s="566"/>
      <c r="AH6" s="322"/>
    </row>
    <row r="7" spans="1:34" customFormat="1" ht="15" customHeight="1" thickBot="1">
      <c r="A7" s="418">
        <v>2018</v>
      </c>
      <c r="B7" s="29">
        <v>20218507.809999999</v>
      </c>
      <c r="C7" s="30">
        <v>18505494.743999995</v>
      </c>
      <c r="D7" s="30">
        <v>14386851.480000002</v>
      </c>
      <c r="E7" s="30">
        <v>14310542</v>
      </c>
      <c r="F7" s="30">
        <v>13990650.66</v>
      </c>
      <c r="G7" s="30">
        <v>12895178.670000002</v>
      </c>
      <c r="H7" s="30">
        <v>9990709.9299999997</v>
      </c>
      <c r="I7" s="30">
        <v>10857304.02</v>
      </c>
      <c r="J7" s="30">
        <v>8910908.9900000002</v>
      </c>
      <c r="K7" s="30">
        <v>10128183.039999999</v>
      </c>
      <c r="L7" s="30">
        <v>8546466.620000001</v>
      </c>
      <c r="M7" s="30">
        <v>8604464.0199999996</v>
      </c>
      <c r="N7" s="28">
        <f>SUM(B7:M7)</f>
        <v>151345261.984</v>
      </c>
      <c r="O7" s="121"/>
      <c r="P7" s="472"/>
      <c r="Q7" s="302">
        <f>O143/$O$3</f>
        <v>3.8066531125872778E-2</v>
      </c>
      <c r="R7" s="302"/>
      <c r="S7" s="478" t="s">
        <v>175</v>
      </c>
      <c r="T7" s="143">
        <f>B171</f>
        <v>0.70208164970280118</v>
      </c>
      <c r="U7" s="411">
        <f>T7*O143</f>
        <v>5592401.3100491157</v>
      </c>
      <c r="V7" s="48">
        <f>N143</f>
        <v>8087112.54</v>
      </c>
      <c r="W7" s="788">
        <f t="shared" si="0"/>
        <v>0.44608945096055241</v>
      </c>
      <c r="X7" s="413">
        <f>'Gráficos - Arrecadação'!J42</f>
        <v>6475454.3837531153</v>
      </c>
      <c r="Y7" s="788">
        <f t="shared" si="13"/>
        <v>0.24888726886726698</v>
      </c>
      <c r="AD7" s="64"/>
      <c r="AE7" s="64"/>
      <c r="AH7" s="322"/>
    </row>
    <row r="8" spans="1:34" customFormat="1" ht="15" customHeight="1" thickBot="1">
      <c r="A8" s="418">
        <v>2017</v>
      </c>
      <c r="B8" s="26">
        <v>21630408.969999999</v>
      </c>
      <c r="C8" s="26">
        <v>16112125.870000003</v>
      </c>
      <c r="D8" s="26">
        <v>13401480.550000001</v>
      </c>
      <c r="E8" s="26">
        <v>9431754.055999998</v>
      </c>
      <c r="F8" s="26">
        <v>14942507.16</v>
      </c>
      <c r="G8" s="26">
        <v>12352637.82</v>
      </c>
      <c r="H8" s="26">
        <v>9287542.5999999996</v>
      </c>
      <c r="I8" s="26">
        <v>10585695.219999999</v>
      </c>
      <c r="J8" s="26">
        <v>8731413.6799999997</v>
      </c>
      <c r="K8" s="26">
        <v>9907587.5140000023</v>
      </c>
      <c r="L8" s="26">
        <v>9004964.8500000015</v>
      </c>
      <c r="M8" s="26">
        <v>7781556.9900000002</v>
      </c>
      <c r="N8" s="28">
        <f t="shared" ref="N8:N10" si="15">SUM(B8:M8)</f>
        <v>143169675.28</v>
      </c>
      <c r="O8" s="121"/>
      <c r="P8" s="472"/>
      <c r="Q8" s="469">
        <f>SUM(Q2:Q7)</f>
        <v>1</v>
      </c>
      <c r="R8" s="469"/>
      <c r="S8" s="479" t="s">
        <v>118</v>
      </c>
      <c r="T8" s="144">
        <f>B31</f>
        <v>0.79898186332752652</v>
      </c>
      <c r="U8" s="412">
        <f>T8*O3</f>
        <v>167187700.66878751</v>
      </c>
      <c r="V8" s="414">
        <f>SUM(V2:V7)</f>
        <v>174452905.24999997</v>
      </c>
      <c r="W8" s="788">
        <f t="shared" si="0"/>
        <v>4.3455377112969762E-2</v>
      </c>
      <c r="X8" s="413">
        <f>SUM(X2:X7)</f>
        <v>198285291.58599114</v>
      </c>
      <c r="Y8" s="788">
        <f>($V8/X8)-1</f>
        <v>-0.12019240633214434</v>
      </c>
      <c r="AH8" s="322"/>
    </row>
    <row r="9" spans="1:34" customFormat="1" ht="15" customHeight="1">
      <c r="A9" s="418">
        <v>2016</v>
      </c>
      <c r="B9" s="29">
        <v>13522659</v>
      </c>
      <c r="C9" s="30">
        <v>19522721</v>
      </c>
      <c r="D9" s="30">
        <v>11853783</v>
      </c>
      <c r="E9" s="30">
        <v>10017510</v>
      </c>
      <c r="F9" s="30">
        <v>11339637</v>
      </c>
      <c r="G9" s="30">
        <v>11850044</v>
      </c>
      <c r="H9" s="30">
        <v>8743031</v>
      </c>
      <c r="I9" s="30">
        <v>8776295</v>
      </c>
      <c r="J9" s="30">
        <v>8271860</v>
      </c>
      <c r="K9" s="30">
        <v>7346630</v>
      </c>
      <c r="L9" s="30">
        <v>7568914</v>
      </c>
      <c r="M9" s="30">
        <v>7993390</v>
      </c>
      <c r="N9" s="28">
        <f t="shared" si="15"/>
        <v>126806474</v>
      </c>
      <c r="O9" s="121"/>
      <c r="P9" s="472"/>
      <c r="Q9" s="322"/>
      <c r="R9" s="322"/>
      <c r="S9" s="523"/>
      <c r="T9" s="309" t="b">
        <f>(T8/B31)=1</f>
        <v>1</v>
      </c>
      <c r="U9" s="401">
        <f>SUM(U2:U7)</f>
        <v>167913126.17899984</v>
      </c>
      <c r="V9" s="309" t="b">
        <f>V8=N3</f>
        <v>1</v>
      </c>
      <c r="X9" s="309" t="b">
        <f>X8='Gráficos - Arrecadação'!J3</f>
        <v>1</v>
      </c>
      <c r="AH9" s="322"/>
    </row>
    <row r="10" spans="1:34" customFormat="1" ht="15" customHeight="1">
      <c r="A10" s="418">
        <v>2015</v>
      </c>
      <c r="B10" s="26">
        <v>14647723</v>
      </c>
      <c r="C10" s="27">
        <v>18422217</v>
      </c>
      <c r="D10" s="27">
        <v>11371154</v>
      </c>
      <c r="E10" s="27">
        <v>9707977</v>
      </c>
      <c r="F10" s="27">
        <v>10003191</v>
      </c>
      <c r="G10" s="27">
        <v>10402134</v>
      </c>
      <c r="H10" s="27">
        <v>8814983</v>
      </c>
      <c r="I10" s="27">
        <v>7824387</v>
      </c>
      <c r="J10" s="27">
        <v>7656025</v>
      </c>
      <c r="K10" s="27">
        <v>7340297</v>
      </c>
      <c r="L10" s="27">
        <v>6731338</v>
      </c>
      <c r="M10" s="27">
        <v>6572782</v>
      </c>
      <c r="N10" s="28">
        <f t="shared" si="15"/>
        <v>119494208</v>
      </c>
      <c r="O10" s="121"/>
      <c r="P10" s="472"/>
      <c r="Q10" s="322"/>
      <c r="R10" s="322"/>
      <c r="S10" s="480" t="s">
        <v>270</v>
      </c>
      <c r="T10" s="120">
        <f>(SUM(B3:J3)/SUM(B4:J4))-1</f>
        <v>8.9138360962895957E-2</v>
      </c>
      <c r="U10" s="566"/>
      <c r="X10" s="375"/>
      <c r="Y10" s="10"/>
      <c r="Z10" s="145"/>
      <c r="AA10" s="145"/>
      <c r="AB10" s="145"/>
      <c r="AC10" s="145"/>
      <c r="AH10" s="322"/>
    </row>
    <row r="11" spans="1:34" customFormat="1" ht="14.25" customHeight="1">
      <c r="A11" s="420"/>
      <c r="B11" s="41">
        <f>B3-'TOTAL POR UF'!R98</f>
        <v>-153602036.58000004</v>
      </c>
      <c r="P11" s="10"/>
      <c r="Q11" s="322"/>
      <c r="R11" s="322"/>
      <c r="S11" s="420"/>
      <c r="T11" s="309" t="b">
        <f>ROUND('Comparativo YoY'!GH32/100,1)=ROUND(T10,1)</f>
        <v>1</v>
      </c>
      <c r="U11" s="566"/>
      <c r="V11" s="566"/>
      <c r="W11" s="566"/>
      <c r="X11" s="375"/>
      <c r="Y11" s="10"/>
      <c r="Z11" s="566"/>
      <c r="AA11" s="566"/>
      <c r="AB11" s="566"/>
      <c r="AC11" s="566"/>
      <c r="AD11" s="145"/>
      <c r="AE11" s="145"/>
      <c r="AF11" s="145"/>
      <c r="AH11" s="322"/>
    </row>
    <row r="12" spans="1:34" s="566" customFormat="1" ht="14.25" customHeight="1">
      <c r="A12" s="418">
        <v>2022</v>
      </c>
      <c r="B12" s="31">
        <f>B3/$N$3</f>
        <v>0.11952147566771466</v>
      </c>
      <c r="C12" s="31">
        <f t="shared" ref="C12:M12" si="16">C3/$N$3</f>
        <v>0.14125990274959896</v>
      </c>
      <c r="D12" s="31">
        <f t="shared" si="16"/>
        <v>0.14343573335245441</v>
      </c>
      <c r="E12" s="31">
        <f t="shared" si="16"/>
        <v>9.414289797274672E-2</v>
      </c>
      <c r="F12" s="31">
        <f t="shared" si="16"/>
        <v>0.11145968874599754</v>
      </c>
      <c r="G12" s="31">
        <f t="shared" si="16"/>
        <v>0.10888460059050806</v>
      </c>
      <c r="H12" s="31">
        <f t="shared" si="16"/>
        <v>0.10025292123932686</v>
      </c>
      <c r="I12" s="31">
        <f t="shared" si="16"/>
        <v>9.807624353106037E-2</v>
      </c>
      <c r="J12" s="31">
        <f t="shared" si="16"/>
        <v>8.2966536150592421E-2</v>
      </c>
      <c r="K12" s="31">
        <f t="shared" si="16"/>
        <v>0</v>
      </c>
      <c r="L12" s="31">
        <f t="shared" si="16"/>
        <v>0</v>
      </c>
      <c r="M12" s="31">
        <f t="shared" si="16"/>
        <v>0</v>
      </c>
      <c r="N12" s="780" t="b">
        <f>SUM(B12:M12)=100%</f>
        <v>1</v>
      </c>
      <c r="P12" s="10"/>
      <c r="Q12" s="322"/>
      <c r="R12" s="322"/>
      <c r="Z12"/>
      <c r="AA12"/>
      <c r="AB12"/>
      <c r="AC12"/>
      <c r="AH12" s="322"/>
    </row>
    <row r="13" spans="1:34" s="145" customFormat="1" ht="14.25" customHeight="1">
      <c r="A13" s="418">
        <v>2021</v>
      </c>
      <c r="B13" s="31">
        <f>B4/$N4</f>
        <v>0.10522883839780325</v>
      </c>
      <c r="C13" s="31">
        <f t="shared" ref="C13:M13" si="17">C4/$N$4</f>
        <v>0.11474118355318109</v>
      </c>
      <c r="D13" s="31">
        <f>D4/$N$4</f>
        <v>0.10187027884991852</v>
      </c>
      <c r="E13" s="31">
        <f t="shared" si="17"/>
        <v>8.3954269614599064E-2</v>
      </c>
      <c r="F13" s="31">
        <f t="shared" si="17"/>
        <v>8.1632172313914883E-2</v>
      </c>
      <c r="G13" s="31">
        <f t="shared" si="17"/>
        <v>8.7081524426983067E-2</v>
      </c>
      <c r="H13" s="31">
        <f t="shared" si="17"/>
        <v>8.118800985879393E-2</v>
      </c>
      <c r="I13" s="31">
        <f t="shared" si="17"/>
        <v>8.3318626297901946E-2</v>
      </c>
      <c r="J13" s="31">
        <f t="shared" si="17"/>
        <v>7.031151083997178E-2</v>
      </c>
      <c r="K13" s="31">
        <f t="shared" si="17"/>
        <v>6.3676867925346894E-2</v>
      </c>
      <c r="L13" s="31">
        <f t="shared" si="17"/>
        <v>6.2327538805559753E-2</v>
      </c>
      <c r="M13" s="31">
        <f t="shared" si="17"/>
        <v>6.466917911602578E-2</v>
      </c>
      <c r="N13" s="780" t="b">
        <f>SUM(B13:M13)=100%</f>
        <v>1</v>
      </c>
      <c r="P13" s="10"/>
      <c r="Q13" s="322"/>
      <c r="R13" s="322"/>
      <c r="S13" s="420"/>
      <c r="T13"/>
      <c r="U13" s="1007" t="s">
        <v>209</v>
      </c>
      <c r="V13" s="1007"/>
      <c r="W13" s="1007"/>
      <c r="X13" s="1007"/>
      <c r="Y13" s="1007"/>
      <c r="Z13"/>
      <c r="AA13"/>
      <c r="AB13"/>
      <c r="AC13"/>
      <c r="AD13"/>
      <c r="AE13"/>
      <c r="AF13"/>
      <c r="AH13" s="322"/>
    </row>
    <row r="14" spans="1:34" customFormat="1" ht="14.25" customHeight="1">
      <c r="A14" s="418">
        <v>2020</v>
      </c>
      <c r="B14" s="31">
        <f>B5/$N5</f>
        <v>0.13325235086080134</v>
      </c>
      <c r="C14" s="31">
        <f t="shared" ref="C14:M14" si="18">C5/$N$5</f>
        <v>0.12861714114168563</v>
      </c>
      <c r="D14" s="31">
        <f t="shared" si="18"/>
        <v>9.3324050279614185E-2</v>
      </c>
      <c r="E14" s="31">
        <f t="shared" si="18"/>
        <v>4.805566516042626E-2</v>
      </c>
      <c r="F14" s="31">
        <f t="shared" si="18"/>
        <v>5.1106178465423403E-2</v>
      </c>
      <c r="G14" s="31">
        <f t="shared" si="18"/>
        <v>6.9955319062552548E-2</v>
      </c>
      <c r="H14" s="31">
        <f t="shared" si="18"/>
        <v>9.0981645598238667E-2</v>
      </c>
      <c r="I14" s="31">
        <f t="shared" si="18"/>
        <v>9.7495077427518215E-2</v>
      </c>
      <c r="J14" s="31">
        <f t="shared" si="18"/>
        <v>7.4223871372673875E-2</v>
      </c>
      <c r="K14" s="31">
        <f t="shared" si="18"/>
        <v>7.7271368785418487E-2</v>
      </c>
      <c r="L14" s="31">
        <f t="shared" si="18"/>
        <v>6.7820559362522931E-2</v>
      </c>
      <c r="M14" s="31">
        <f t="shared" si="18"/>
        <v>6.7896772483124646E-2</v>
      </c>
      <c r="N14" s="780" t="b">
        <f>SUM(B14:M14)=100%</f>
        <v>1</v>
      </c>
      <c r="P14" s="10"/>
      <c r="Q14" s="322"/>
      <c r="R14" s="322"/>
      <c r="S14" s="481"/>
      <c r="T14" s="19"/>
      <c r="U14" s="738" t="s">
        <v>210</v>
      </c>
      <c r="V14" s="27">
        <f>'Evolução das Receitas'!B240</f>
        <v>94869054.395999968</v>
      </c>
      <c r="W14" s="1010" t="s">
        <v>559</v>
      </c>
      <c r="X14" s="1010"/>
      <c r="Y14" s="1010"/>
      <c r="Z14" s="19"/>
      <c r="AA14" s="19"/>
      <c r="AB14" s="19"/>
      <c r="AC14" s="19"/>
      <c r="AH14" s="322"/>
    </row>
    <row r="15" spans="1:34" customFormat="1" ht="15" customHeight="1">
      <c r="A15" s="418">
        <v>2019</v>
      </c>
      <c r="B15" s="136">
        <f>B6/N6</f>
        <v>0.11260499972523928</v>
      </c>
      <c r="C15" s="126">
        <f>C6/N6</f>
        <v>0.12590129984563014</v>
      </c>
      <c r="D15" s="126">
        <f>D6/N6</f>
        <v>7.6386362975127103E-2</v>
      </c>
      <c r="E15" s="126">
        <f>E6/N6</f>
        <v>8.7022812634164157E-2</v>
      </c>
      <c r="F15" s="126">
        <f>F6/N6</f>
        <v>9.924262926350344E-2</v>
      </c>
      <c r="G15" s="126">
        <f>G6/N6</f>
        <v>8.2700359673286525E-2</v>
      </c>
      <c r="H15" s="126">
        <f>H6/N6</f>
        <v>7.687199495219911E-2</v>
      </c>
      <c r="I15" s="126">
        <f>I6/N6</f>
        <v>7.2730717814202664E-2</v>
      </c>
      <c r="J15" s="126">
        <f>J6/N6</f>
        <v>6.7146699577225369E-2</v>
      </c>
      <c r="K15" s="126">
        <f>K6/N6</f>
        <v>7.2826925384456148E-2</v>
      </c>
      <c r="L15" s="126">
        <f>L6/N6</f>
        <v>6.2089958264253314E-2</v>
      </c>
      <c r="M15" s="126">
        <f>M6/N6</f>
        <v>6.4475239890712618E-2</v>
      </c>
      <c r="N15" s="780" t="b">
        <f t="shared" ref="N15:N20" si="19">SUM(B15:M15)=100%</f>
        <v>1</v>
      </c>
      <c r="P15" s="10"/>
      <c r="Q15" s="322"/>
      <c r="R15" s="322"/>
      <c r="S15" s="420"/>
      <c r="U15" s="738" t="s">
        <v>211</v>
      </c>
      <c r="V15" s="27">
        <f>'Evolução das Receitas'!D240</f>
        <v>10565259.252</v>
      </c>
      <c r="W15" s="1010"/>
      <c r="X15" s="1010"/>
      <c r="Y15" s="1010"/>
      <c r="AH15" s="322"/>
    </row>
    <row r="16" spans="1:34" customFormat="1" ht="15" customHeight="1">
      <c r="A16" s="418">
        <v>2018</v>
      </c>
      <c r="B16" s="136">
        <f>B7/N7</f>
        <v>0.13359194430637328</v>
      </c>
      <c r="C16" s="126">
        <f>C7/N7</f>
        <v>0.12227336687921138</v>
      </c>
      <c r="D16" s="126">
        <f>D7/N7</f>
        <v>9.5059807564514043E-2</v>
      </c>
      <c r="E16" s="126">
        <f>E7/N7</f>
        <v>9.4555599642841076E-2</v>
      </c>
      <c r="F16" s="126">
        <f>F7/N7</f>
        <v>9.2441946821427895E-2</v>
      </c>
      <c r="G16" s="126">
        <f>G7/N7</f>
        <v>8.5203715669429164E-2</v>
      </c>
      <c r="H16" s="126">
        <f>H7/N7</f>
        <v>6.6012703662016212E-2</v>
      </c>
      <c r="I16" s="126">
        <f>I7/N7</f>
        <v>7.1738644987431571E-2</v>
      </c>
      <c r="J16" s="126">
        <f>J7/N7</f>
        <v>5.8878017542049306E-2</v>
      </c>
      <c r="K16" s="126">
        <f>K7/N7</f>
        <v>6.6921044684376943E-2</v>
      </c>
      <c r="L16" s="126">
        <f>L7/N7</f>
        <v>5.6469997857637073E-2</v>
      </c>
      <c r="M16" s="126">
        <f>M7/N7</f>
        <v>5.6853210382692067E-2</v>
      </c>
      <c r="N16" s="780" t="b">
        <f t="shared" si="19"/>
        <v>1</v>
      </c>
      <c r="P16" s="10"/>
      <c r="Q16" s="322"/>
      <c r="R16" s="322"/>
      <c r="S16" s="420"/>
      <c r="U16" s="738" t="s">
        <v>175</v>
      </c>
      <c r="V16" s="27">
        <f>'Evolução das Receitas'!G240</f>
        <v>9223221.2400000002</v>
      </c>
      <c r="W16" s="1010"/>
      <c r="X16" s="1010"/>
      <c r="Y16" s="1010"/>
      <c r="AH16" s="322"/>
    </row>
    <row r="17" spans="1:34" customFormat="1" ht="15" customHeight="1">
      <c r="A17" s="418">
        <v>2017</v>
      </c>
      <c r="B17" s="136">
        <f>B8/N8</f>
        <v>0.15108233589059236</v>
      </c>
      <c r="C17" s="126">
        <f>C8/N8</f>
        <v>0.11253867719186464</v>
      </c>
      <c r="D17" s="126">
        <f>D8/N8</f>
        <v>9.3605580398156515E-2</v>
      </c>
      <c r="E17" s="126">
        <f>E8/N8</f>
        <v>6.5878154976283312E-2</v>
      </c>
      <c r="F17" s="126">
        <f>F8/N8</f>
        <v>0.10436921876631081</v>
      </c>
      <c r="G17" s="126">
        <f>G8/N8</f>
        <v>8.6279708296059771E-2</v>
      </c>
      <c r="H17" s="126">
        <f>H8/N8</f>
        <v>6.4870878430339063E-2</v>
      </c>
      <c r="I17" s="126">
        <f>I8/N8</f>
        <v>7.3938110143068544E-2</v>
      </c>
      <c r="J17" s="126">
        <f>J8/N8</f>
        <v>6.0986474006620377E-2</v>
      </c>
      <c r="K17" s="126">
        <f>K8/N8</f>
        <v>6.9201718133560908E-2</v>
      </c>
      <c r="L17" s="126">
        <f>L8/N8</f>
        <v>6.2897152154524336E-2</v>
      </c>
      <c r="M17" s="126">
        <f>M8/N8</f>
        <v>5.4351991612619381E-2</v>
      </c>
      <c r="N17" s="780" t="b">
        <f t="shared" si="19"/>
        <v>1</v>
      </c>
      <c r="P17" s="10"/>
      <c r="Q17" s="322"/>
      <c r="R17" s="322"/>
      <c r="S17" s="420"/>
      <c r="AH17" s="322"/>
    </row>
    <row r="18" spans="1:34" customFormat="1" ht="15" customHeight="1">
      <c r="A18" s="418">
        <v>2016</v>
      </c>
      <c r="B18" s="31">
        <f>B9/N9</f>
        <v>0.1066401310078222</v>
      </c>
      <c r="C18" s="32">
        <f>C9/N9</f>
        <v>0.15395681611650205</v>
      </c>
      <c r="D18" s="32">
        <f>D9/N9</f>
        <v>9.3479320306627242E-2</v>
      </c>
      <c r="E18" s="32">
        <f>E9/N9</f>
        <v>7.8998411390257567E-2</v>
      </c>
      <c r="F18" s="32">
        <f>F9/N9</f>
        <v>8.942474814022508E-2</v>
      </c>
      <c r="G18" s="32">
        <f>G9/N9</f>
        <v>9.3449834430377743E-2</v>
      </c>
      <c r="H18" s="32">
        <f>H9/N9</f>
        <v>6.8947828326178365E-2</v>
      </c>
      <c r="I18" s="32">
        <f>I9/N9</f>
        <v>6.9210149317770642E-2</v>
      </c>
      <c r="J18" s="32">
        <f>J9/N9</f>
        <v>6.5232158414877145E-2</v>
      </c>
      <c r="K18" s="32">
        <f>K9/N9</f>
        <v>5.7935764383764819E-2</v>
      </c>
      <c r="L18" s="32">
        <f>L9/N9</f>
        <v>5.9688703275512574E-2</v>
      </c>
      <c r="M18" s="32">
        <f>M9/N9</f>
        <v>6.3036134890084555E-2</v>
      </c>
      <c r="N18" s="780" t="b">
        <f t="shared" si="19"/>
        <v>1</v>
      </c>
      <c r="P18" s="10"/>
      <c r="Q18" s="322"/>
      <c r="R18" s="322"/>
      <c r="S18" s="420"/>
      <c r="AH18" s="322"/>
    </row>
    <row r="19" spans="1:34" customFormat="1" ht="15" customHeight="1">
      <c r="A19" s="418">
        <v>2015</v>
      </c>
      <c r="B19" s="31">
        <f>B10/N10</f>
        <v>0.12258102919933994</v>
      </c>
      <c r="C19" s="32">
        <f>C10/N10</f>
        <v>0.15416828403934021</v>
      </c>
      <c r="D19" s="32">
        <f>D10/N10</f>
        <v>9.516071272676245E-2</v>
      </c>
      <c r="E19" s="32">
        <f>E10/N10</f>
        <v>8.1242238954376766E-2</v>
      </c>
      <c r="F19" s="32">
        <f>F10/N10</f>
        <v>8.3712768739385254E-2</v>
      </c>
      <c r="G19" s="32">
        <f>G10/N10</f>
        <v>8.7051365703013819E-2</v>
      </c>
      <c r="H19" s="32">
        <f>H10/N10</f>
        <v>7.3769123604718989E-2</v>
      </c>
      <c r="I19" s="32">
        <f>I10/N10</f>
        <v>6.5479215528170195E-2</v>
      </c>
      <c r="J19" s="32">
        <f>J10/N10</f>
        <v>6.4070260208762581E-2</v>
      </c>
      <c r="K19" s="32">
        <f>K10/N10</f>
        <v>6.1428056831005565E-2</v>
      </c>
      <c r="L19" s="32">
        <f>L10/N10</f>
        <v>5.6331918614833616E-2</v>
      </c>
      <c r="M19" s="32">
        <f>M10/N10</f>
        <v>5.5005025850290587E-2</v>
      </c>
      <c r="N19" s="780" t="b">
        <f t="shared" si="19"/>
        <v>1</v>
      </c>
      <c r="P19" s="10"/>
      <c r="Q19" s="322"/>
      <c r="R19" s="322"/>
      <c r="S19" s="420"/>
      <c r="AH19" s="322"/>
    </row>
    <row r="20" spans="1:34" customFormat="1" ht="15" customHeight="1">
      <c r="A20" s="418" t="s">
        <v>588</v>
      </c>
      <c r="B20" s="33">
        <f>AVERAGE(B13:B15)</f>
        <v>0.11702872966128129</v>
      </c>
      <c r="C20" s="33">
        <f t="shared" ref="C20:M20" si="20">AVERAGE(C13:C15)</f>
        <v>0.12308654151349896</v>
      </c>
      <c r="D20" s="33">
        <f t="shared" si="20"/>
        <v>9.052689736821995E-2</v>
      </c>
      <c r="E20" s="33">
        <f t="shared" si="20"/>
        <v>7.3010915803063167E-2</v>
      </c>
      <c r="F20" s="33">
        <f t="shared" si="20"/>
        <v>7.7326993347613907E-2</v>
      </c>
      <c r="G20" s="33">
        <f t="shared" si="20"/>
        <v>7.9912401054274051E-2</v>
      </c>
      <c r="H20" s="33">
        <f t="shared" si="20"/>
        <v>8.3013883469743907E-2</v>
      </c>
      <c r="I20" s="33">
        <f t="shared" si="20"/>
        <v>8.4514807179874266E-2</v>
      </c>
      <c r="J20" s="33">
        <f t="shared" si="20"/>
        <v>7.0560693929957008E-2</v>
      </c>
      <c r="K20" s="33">
        <f t="shared" si="20"/>
        <v>7.1258387365073853E-2</v>
      </c>
      <c r="L20" s="33">
        <f t="shared" si="20"/>
        <v>6.4079352144111992E-2</v>
      </c>
      <c r="M20" s="33">
        <f t="shared" si="20"/>
        <v>6.5680397163287677E-2</v>
      </c>
      <c r="N20" s="780" t="b">
        <f t="shared" si="19"/>
        <v>1</v>
      </c>
      <c r="P20" s="10"/>
      <c r="Q20" s="322"/>
      <c r="R20" s="322"/>
      <c r="S20" s="1009"/>
      <c r="T20" s="1009"/>
      <c r="U20" s="1009"/>
      <c r="AH20" s="322"/>
    </row>
    <row r="21" spans="1:34" customFormat="1" ht="15" customHeight="1">
      <c r="A21" s="421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P21" s="10"/>
      <c r="Q21" s="322"/>
      <c r="R21" s="322"/>
      <c r="S21" s="420"/>
      <c r="V21" s="145"/>
      <c r="W21" s="145"/>
      <c r="X21" s="145"/>
      <c r="Z21" s="61"/>
      <c r="AH21" s="322"/>
    </row>
    <row r="22" spans="1:34" customFormat="1" ht="15" customHeight="1">
      <c r="A22" s="421"/>
      <c r="B22" s="25" t="s">
        <v>588</v>
      </c>
      <c r="C22" s="732">
        <v>2022</v>
      </c>
      <c r="D22" s="395">
        <v>2021</v>
      </c>
      <c r="E22" s="25">
        <v>2020</v>
      </c>
      <c r="F22" s="25">
        <v>2019</v>
      </c>
      <c r="G22" s="25">
        <v>2018</v>
      </c>
      <c r="H22" s="25">
        <v>2017</v>
      </c>
      <c r="I22" s="25">
        <v>2016</v>
      </c>
      <c r="J22" s="25">
        <v>2015</v>
      </c>
      <c r="P22" s="10"/>
      <c r="Q22" s="343"/>
      <c r="R22" s="343"/>
      <c r="S22" s="420"/>
      <c r="U22" s="145"/>
      <c r="V22" s="145"/>
      <c r="W22" s="145"/>
      <c r="X22" s="145"/>
      <c r="Y22" s="145"/>
      <c r="Z22" s="62"/>
      <c r="AH22" s="322"/>
    </row>
    <row r="23" spans="1:34" customFormat="1" ht="15" customHeight="1">
      <c r="A23" s="418" t="s">
        <v>120</v>
      </c>
      <c r="B23" s="36">
        <f>B20</f>
        <v>0.11702872966128129</v>
      </c>
      <c r="C23" s="37">
        <f>B12</f>
        <v>0.11952147566771466</v>
      </c>
      <c r="D23" s="37">
        <f>B13</f>
        <v>0.10522883839780325</v>
      </c>
      <c r="E23" s="37">
        <f>B14</f>
        <v>0.13325235086080134</v>
      </c>
      <c r="F23" s="37">
        <f>B15</f>
        <v>0.11260499972523928</v>
      </c>
      <c r="G23" s="37">
        <f>B16</f>
        <v>0.13359194430637328</v>
      </c>
      <c r="H23" s="37">
        <f>B17</f>
        <v>0.15108233589059236</v>
      </c>
      <c r="I23" s="37">
        <f>B18</f>
        <v>0.1066401310078222</v>
      </c>
      <c r="J23" s="37">
        <f>B19</f>
        <v>0.12258102919933994</v>
      </c>
      <c r="L23" s="62"/>
      <c r="M23" s="62"/>
      <c r="N23" s="62"/>
      <c r="O23" s="62"/>
      <c r="P23" s="473"/>
      <c r="Q23" s="343"/>
      <c r="R23" s="343"/>
      <c r="S23" s="420"/>
      <c r="U23" s="145"/>
      <c r="V23" s="145"/>
      <c r="W23" s="145"/>
      <c r="X23" s="145"/>
      <c r="Y23" s="145"/>
      <c r="Z23" s="62"/>
      <c r="AH23" s="322"/>
    </row>
    <row r="24" spans="1:34" customFormat="1" ht="15" customHeight="1">
      <c r="A24" s="418" t="s">
        <v>121</v>
      </c>
      <c r="B24" s="36">
        <f>B20+C20</f>
        <v>0.24011527117478026</v>
      </c>
      <c r="C24" s="776">
        <f>SUM(B12:C12)</f>
        <v>0.26078137841731364</v>
      </c>
      <c r="D24" s="37">
        <f>SUM(B13:C13)</f>
        <v>0.21997002195098436</v>
      </c>
      <c r="E24" s="37">
        <f>SUM(B14:C14)</f>
        <v>0.26186949200248699</v>
      </c>
      <c r="F24" s="37">
        <f>SUM(B15:C15)</f>
        <v>0.23850629957086944</v>
      </c>
      <c r="G24" s="37">
        <f>SUM(B16:C16)</f>
        <v>0.25586531118558464</v>
      </c>
      <c r="H24" s="37">
        <f>SUM(B17:C17)</f>
        <v>0.263621013082457</v>
      </c>
      <c r="I24" s="37">
        <f>SUM(B18:C18)</f>
        <v>0.26059694712432424</v>
      </c>
      <c r="J24" s="37">
        <f>SUM(B19:C19)</f>
        <v>0.27674931323868013</v>
      </c>
      <c r="L24" s="62"/>
      <c r="M24" s="62"/>
      <c r="N24" s="62"/>
      <c r="O24" s="62"/>
      <c r="P24" s="473"/>
      <c r="Q24" s="344"/>
      <c r="R24" s="344"/>
      <c r="S24" s="420"/>
      <c r="U24" s="145"/>
      <c r="V24" s="145"/>
      <c r="W24" s="145"/>
      <c r="X24" s="145"/>
      <c r="Y24" s="145"/>
      <c r="Z24" s="61"/>
      <c r="AH24" s="322"/>
    </row>
    <row r="25" spans="1:34" customFormat="1" ht="15" customHeight="1">
      <c r="A25" s="418" t="s">
        <v>122</v>
      </c>
      <c r="B25" s="33">
        <f>B20+C20+D20</f>
        <v>0.33064216854300021</v>
      </c>
      <c r="C25" s="776">
        <f>SUM(B12:D12)</f>
        <v>0.40421711176976804</v>
      </c>
      <c r="D25" s="34">
        <f>SUM(B13:D13)</f>
        <v>0.32184030080090287</v>
      </c>
      <c r="E25" s="34">
        <f>SUM(B14:D14)</f>
        <v>0.3551935422821012</v>
      </c>
      <c r="F25" s="34">
        <f>SUM(B15:D15)</f>
        <v>0.31489266254599657</v>
      </c>
      <c r="G25" s="34">
        <f>SUM(B16:D16)</f>
        <v>0.35092511875009869</v>
      </c>
      <c r="H25" s="34">
        <f>SUM(B17:D17)</f>
        <v>0.35722659348061353</v>
      </c>
      <c r="I25" s="34">
        <f>SUM(B18:D18)</f>
        <v>0.3540762674309515</v>
      </c>
      <c r="J25" s="34">
        <f>SUM(B19:D19)</f>
        <v>0.37191002596544259</v>
      </c>
      <c r="L25" s="61"/>
      <c r="M25" s="61"/>
      <c r="N25" s="61"/>
      <c r="O25" s="61"/>
      <c r="P25" s="474"/>
      <c r="Q25" s="343"/>
      <c r="R25" s="343"/>
      <c r="S25" s="420"/>
      <c r="U25" s="145"/>
      <c r="V25" s="145"/>
      <c r="W25" s="145"/>
      <c r="X25" s="145"/>
      <c r="Y25" s="145"/>
      <c r="Z25" s="62"/>
      <c r="AH25" s="322"/>
    </row>
    <row r="26" spans="1:34" customFormat="1" ht="15" customHeight="1">
      <c r="A26" s="418" t="s">
        <v>123</v>
      </c>
      <c r="B26" s="33">
        <f>B20+C20+D20+E20</f>
        <v>0.4036530843460634</v>
      </c>
      <c r="C26" s="776">
        <f>SUM(B12:E12)</f>
        <v>0.49836000974251476</v>
      </c>
      <c r="D26" s="34">
        <f>SUM(B13:E13)</f>
        <v>0.40579457041550193</v>
      </c>
      <c r="E26" s="34">
        <f>SUM(B14:E14)</f>
        <v>0.40324920744252746</v>
      </c>
      <c r="F26" s="34">
        <f>SUM(B15:E15)</f>
        <v>0.40191547518016074</v>
      </c>
      <c r="G26" s="34">
        <f>SUM(B16:E16)</f>
        <v>0.44548071839293979</v>
      </c>
      <c r="H26" s="34">
        <f>SUM(B17:E17)</f>
        <v>0.42310474845689683</v>
      </c>
      <c r="I26" s="34">
        <f>SUM(B18:E18)</f>
        <v>0.43307467882120909</v>
      </c>
      <c r="J26" s="34">
        <f>SUM(B19:E19)</f>
        <v>0.45315226491981936</v>
      </c>
      <c r="L26" s="62"/>
      <c r="M26" s="62"/>
      <c r="N26" s="62"/>
      <c r="O26" s="62"/>
      <c r="P26" s="473"/>
      <c r="Q26" s="343"/>
      <c r="R26" s="343"/>
      <c r="S26" s="420"/>
      <c r="U26" s="145"/>
      <c r="V26" s="145"/>
      <c r="W26" s="145"/>
      <c r="X26" s="145"/>
      <c r="Y26" s="145"/>
      <c r="Z26" s="62"/>
      <c r="AH26" s="322"/>
    </row>
    <row r="27" spans="1:34" customFormat="1" ht="15" customHeight="1">
      <c r="A27" s="418" t="s">
        <v>124</v>
      </c>
      <c r="B27" s="33">
        <f>B20+C20+D20+E20+F20</f>
        <v>0.48098007769367729</v>
      </c>
      <c r="C27" s="776">
        <f>SUM(B12:F12)</f>
        <v>0.60981969848851225</v>
      </c>
      <c r="D27" s="34">
        <f>SUM(B13:F13)</f>
        <v>0.48742674272941683</v>
      </c>
      <c r="E27" s="34">
        <f>SUM(B14:F14)</f>
        <v>0.45435538590795088</v>
      </c>
      <c r="F27" s="34">
        <f>SUM(B15:F15)</f>
        <v>0.50115810444366415</v>
      </c>
      <c r="G27" s="34">
        <f>SUM(B16:F16)</f>
        <v>0.53792266521436771</v>
      </c>
      <c r="H27" s="34">
        <f>SUM(B17:F17)</f>
        <v>0.52747396722320761</v>
      </c>
      <c r="I27" s="34">
        <f>SUM(B18:F18)</f>
        <v>0.52249942696143414</v>
      </c>
      <c r="J27" s="34">
        <f>SUM(B19:F19)</f>
        <v>0.53686503365920457</v>
      </c>
      <c r="L27" s="62"/>
      <c r="M27" s="62"/>
      <c r="N27" s="62"/>
      <c r="O27" s="62"/>
      <c r="P27" s="473"/>
      <c r="Q27" s="345"/>
      <c r="R27" s="345"/>
      <c r="S27" s="420"/>
      <c r="U27" s="145"/>
      <c r="V27" s="145"/>
      <c r="W27" s="145"/>
      <c r="X27" s="145"/>
      <c r="Y27" s="145"/>
      <c r="Z27" s="63"/>
      <c r="AH27" s="322"/>
    </row>
    <row r="28" spans="1:34" customFormat="1" ht="15" customHeight="1">
      <c r="A28" s="418" t="s">
        <v>125</v>
      </c>
      <c r="B28" s="33">
        <f>B20+C20+D20+E20+F20+G20</f>
        <v>0.56089247874795134</v>
      </c>
      <c r="C28" s="776">
        <f>SUM(B12:G12)</f>
        <v>0.71870429907902034</v>
      </c>
      <c r="D28" s="34">
        <f>SUM(B13:G13)</f>
        <v>0.57450826715639991</v>
      </c>
      <c r="E28" s="34">
        <f>SUM(B14:G14)</f>
        <v>0.52431070497050347</v>
      </c>
      <c r="F28" s="34">
        <f>SUM(B15:G15)</f>
        <v>0.58385846411695064</v>
      </c>
      <c r="G28" s="34">
        <f>SUM(B16:G16)</f>
        <v>0.6231263808837969</v>
      </c>
      <c r="H28" s="34">
        <f>SUM(B17:G17)</f>
        <v>0.61375367551926741</v>
      </c>
      <c r="I28" s="34">
        <f>SUM(B18:G18)</f>
        <v>0.61594926139181183</v>
      </c>
      <c r="J28" s="34">
        <f>SUM(B19:G19)</f>
        <v>0.62391639936221843</v>
      </c>
      <c r="L28" s="63"/>
      <c r="M28" s="63"/>
      <c r="N28" s="63"/>
      <c r="O28" s="63"/>
      <c r="P28" s="475"/>
      <c r="Q28" s="322"/>
      <c r="R28" s="322"/>
      <c r="S28" s="420"/>
      <c r="U28" s="145"/>
      <c r="V28" s="145"/>
      <c r="W28" s="145"/>
      <c r="X28" s="145"/>
      <c r="Y28" s="145"/>
      <c r="AH28" s="322"/>
    </row>
    <row r="29" spans="1:34" customFormat="1" ht="15" customHeight="1">
      <c r="A29" s="418" t="s">
        <v>126</v>
      </c>
      <c r="B29" s="33">
        <f>B20+C20+D20+E20+F20+G20+H20</f>
        <v>0.64390636221769526</v>
      </c>
      <c r="C29" s="737">
        <f>SUM(B12:H12)</f>
        <v>0.81895722031834717</v>
      </c>
      <c r="D29" s="34">
        <f>SUM(B13:H13)</f>
        <v>0.65569627701519384</v>
      </c>
      <c r="E29" s="34">
        <f>SUM(B14:H14)</f>
        <v>0.6152923505687421</v>
      </c>
      <c r="F29" s="34">
        <f>SUM(B15:H15)</f>
        <v>0.66073045906914973</v>
      </c>
      <c r="G29" s="34">
        <f>SUM(B16:H16)</f>
        <v>0.68913908454581307</v>
      </c>
      <c r="H29" s="34">
        <f>SUM(B17:H17)</f>
        <v>0.67862455394960652</v>
      </c>
      <c r="I29" s="34">
        <f>SUM(B18:H18)</f>
        <v>0.68489708971799024</v>
      </c>
      <c r="J29" s="34">
        <f>SUM(B19:H19)</f>
        <v>0.69768552296693742</v>
      </c>
      <c r="P29" s="10"/>
      <c r="Q29" s="322"/>
      <c r="R29" s="322"/>
      <c r="S29" s="420"/>
      <c r="U29" s="145"/>
      <c r="V29" s="145"/>
      <c r="W29" s="145"/>
      <c r="X29" s="145"/>
      <c r="Y29" s="145"/>
      <c r="AH29" s="322"/>
    </row>
    <row r="30" spans="1:34" customFormat="1" ht="15" customHeight="1">
      <c r="A30" s="418" t="s">
        <v>127</v>
      </c>
      <c r="B30" s="33">
        <f>B20+C20+D20+E20+F20+G20+H20+I20</f>
        <v>0.72842116939756951</v>
      </c>
      <c r="C30" s="737">
        <f>SUM(B12:I12)</f>
        <v>0.91703346384940754</v>
      </c>
      <c r="D30" s="34">
        <f>SUM(B13:I13)</f>
        <v>0.73901490331309583</v>
      </c>
      <c r="E30" s="34">
        <f>SUM(B14:I14)</f>
        <v>0.71278742799626027</v>
      </c>
      <c r="F30" s="34">
        <f>SUM(B15:I15)</f>
        <v>0.73346117688335244</v>
      </c>
      <c r="G30" s="34">
        <f>SUM(B16:I16)</f>
        <v>0.76087772953324462</v>
      </c>
      <c r="H30" s="34">
        <f>SUM(B17:I17)</f>
        <v>0.75256266409267503</v>
      </c>
      <c r="I30" s="34">
        <f>SUM(B18:I18)</f>
        <v>0.75410723903576082</v>
      </c>
      <c r="J30" s="34">
        <f>SUM(B19:I19)</f>
        <v>0.76316473849510758</v>
      </c>
      <c r="P30" s="10"/>
      <c r="Q30" s="322"/>
      <c r="R30" s="322"/>
      <c r="S30" s="420"/>
      <c r="U30" s="145"/>
      <c r="V30" s="145"/>
      <c r="W30" s="145"/>
      <c r="X30" s="145"/>
      <c r="Y30" s="145"/>
      <c r="AH30" s="322"/>
    </row>
    <row r="31" spans="1:34" customFormat="1" ht="15" customHeight="1">
      <c r="A31" s="418" t="s">
        <v>128</v>
      </c>
      <c r="B31" s="33">
        <f>B20+C20+D20+E20+F20+G20+H20+I20+J20</f>
        <v>0.79898186332752652</v>
      </c>
      <c r="C31" s="737">
        <f>SUM(B12:J12)</f>
        <v>1</v>
      </c>
      <c r="D31" s="34">
        <f>SUM(B13:J13)</f>
        <v>0.80932641415306761</v>
      </c>
      <c r="E31" s="34">
        <f>SUM(B14:J14)</f>
        <v>0.7870112993689341</v>
      </c>
      <c r="F31" s="34">
        <f>SUM(B15:J15)</f>
        <v>0.80060787646057785</v>
      </c>
      <c r="G31" s="34">
        <f>SUM(B16:J16)</f>
        <v>0.81975574707529397</v>
      </c>
      <c r="H31" s="34">
        <f>SUM(B17:J17)</f>
        <v>0.81354913809929541</v>
      </c>
      <c r="I31" s="34">
        <f>SUM(B18:J18)</f>
        <v>0.819339397450638</v>
      </c>
      <c r="J31" s="34">
        <f>SUM(B19:J19)</f>
        <v>0.82723499870387018</v>
      </c>
      <c r="P31" s="10"/>
      <c r="Q31" s="322"/>
      <c r="R31" s="322"/>
      <c r="S31" s="420"/>
      <c r="U31" s="145"/>
      <c r="V31" s="145"/>
      <c r="W31" s="145"/>
      <c r="X31" s="145"/>
      <c r="Y31" s="145"/>
      <c r="AH31" s="322"/>
    </row>
    <row r="32" spans="1:34" customFormat="1" ht="15" customHeight="1">
      <c r="A32" s="418" t="s">
        <v>129</v>
      </c>
      <c r="B32" s="33">
        <f>B20+C20+D20+E20+F20+G20+H20+I20+J20+K20</f>
        <v>0.87024025069260036</v>
      </c>
      <c r="C32" s="737">
        <f>SUM(B12:K12)*0</f>
        <v>0</v>
      </c>
      <c r="D32" s="34">
        <f>SUM(B13:K13)</f>
        <v>0.87300328207841449</v>
      </c>
      <c r="E32" s="34">
        <f>SUM(B14:K14)</f>
        <v>0.86428266815435262</v>
      </c>
      <c r="F32" s="34">
        <f>SUM(B15:K15)</f>
        <v>0.87343480184503397</v>
      </c>
      <c r="G32" s="34">
        <f>SUM(B16:K16)</f>
        <v>0.88667679175967096</v>
      </c>
      <c r="H32" s="34">
        <f>SUM(B17:K17)</f>
        <v>0.88275085623285632</v>
      </c>
      <c r="I32" s="34">
        <f>SUM(B18:K18)</f>
        <v>0.87727516183440279</v>
      </c>
      <c r="J32" s="34">
        <f>SUM(B19:K19)</f>
        <v>0.88866305553487579</v>
      </c>
      <c r="P32" s="10"/>
      <c r="Q32" s="322"/>
      <c r="R32" s="322"/>
      <c r="S32" s="420"/>
      <c r="U32" s="145"/>
      <c r="V32" s="145"/>
      <c r="W32" s="145"/>
      <c r="X32" s="145"/>
      <c r="Y32" s="145"/>
      <c r="AH32" s="322"/>
    </row>
    <row r="33" spans="1:34" customFormat="1" ht="15" customHeight="1">
      <c r="A33" s="418" t="s">
        <v>130</v>
      </c>
      <c r="B33" s="33">
        <f>B20+C20+D20+E20+F20+G20+H20+I20+J20+K20+L20</f>
        <v>0.93431960283671234</v>
      </c>
      <c r="C33" s="737">
        <f>SUM(B12:L12)*0</f>
        <v>0</v>
      </c>
      <c r="D33" s="34">
        <f>SUM(B13:L13)</f>
        <v>0.93533082088397423</v>
      </c>
      <c r="E33" s="34">
        <f>SUM(B14:L14)</f>
        <v>0.93210322751687558</v>
      </c>
      <c r="F33" s="34">
        <f>SUM(B15:L15)</f>
        <v>0.93552476010928731</v>
      </c>
      <c r="G33" s="34">
        <f>SUM(B16:L16)</f>
        <v>0.94314678961730802</v>
      </c>
      <c r="H33" s="34">
        <f>SUM(B17:L17)</f>
        <v>0.94564800838738061</v>
      </c>
      <c r="I33" s="34">
        <f>SUM(B18:L18)</f>
        <v>0.93696386510991536</v>
      </c>
      <c r="J33" s="34">
        <f>SUM(B19:L19)</f>
        <v>0.94499497414970945</v>
      </c>
      <c r="P33" s="10"/>
      <c r="Q33" s="322"/>
      <c r="R33" s="322"/>
      <c r="S33" s="420"/>
      <c r="AH33" s="322"/>
    </row>
    <row r="34" spans="1:34" ht="15" customHeight="1">
      <c r="A34" s="418" t="s">
        <v>131</v>
      </c>
      <c r="B34" s="33">
        <f>SUM(B20:M20)</f>
        <v>1</v>
      </c>
      <c r="C34" s="737">
        <f>SUM(B12:M12)*0</f>
        <v>0</v>
      </c>
      <c r="D34" s="34">
        <f>SUM(B13:M13)</f>
        <v>1</v>
      </c>
      <c r="E34" s="34">
        <f>SUM(B14:M14)</f>
        <v>1.0000000000000002</v>
      </c>
      <c r="F34" s="34">
        <f>SUM(B15:M15)</f>
        <v>0.99999999999999989</v>
      </c>
      <c r="G34" s="34">
        <f>SUM(B16:M16)</f>
        <v>1</v>
      </c>
      <c r="H34" s="34">
        <f>SUM(B17:M17)</f>
        <v>1</v>
      </c>
      <c r="I34" s="34">
        <f>SUM(B18:M18)</f>
        <v>0.99999999999999989</v>
      </c>
      <c r="J34" s="34">
        <f>SUM(B19:M19)</f>
        <v>1</v>
      </c>
      <c r="Q34" s="417"/>
      <c r="R34" s="417"/>
    </row>
    <row r="35" spans="1:34">
      <c r="A35" s="422"/>
      <c r="B35" s="416"/>
      <c r="C35" s="416"/>
      <c r="D35" s="416"/>
      <c r="E35" s="416"/>
      <c r="F35" s="416"/>
      <c r="G35" s="416"/>
      <c r="H35" s="19"/>
      <c r="I35" s="19"/>
      <c r="J35" s="19"/>
      <c r="K35" s="19"/>
      <c r="L35" s="19"/>
      <c r="M35" s="19"/>
      <c r="N35" s="19"/>
      <c r="O35" s="19"/>
      <c r="Q35" s="417"/>
      <c r="R35" s="417"/>
    </row>
    <row r="36" spans="1:34" s="421" customFormat="1" ht="15" customHeight="1">
      <c r="A36" s="1004" t="s">
        <v>187</v>
      </c>
      <c r="B36" s="1005"/>
      <c r="C36" s="1005"/>
      <c r="D36" s="1005"/>
      <c r="E36" s="1005"/>
      <c r="F36" s="1005"/>
      <c r="G36" s="1005"/>
      <c r="H36" s="1005"/>
      <c r="I36" s="1005"/>
      <c r="J36" s="1005"/>
      <c r="K36" s="1005"/>
      <c r="L36" s="1005"/>
      <c r="M36" s="1005"/>
      <c r="N36" s="1005"/>
      <c r="O36" s="1006"/>
      <c r="P36" s="470"/>
      <c r="Q36" s="431"/>
      <c r="R36" s="431"/>
      <c r="S36" s="1008" t="s">
        <v>189</v>
      </c>
      <c r="T36" s="1008"/>
      <c r="U36" s="1008"/>
      <c r="V36" s="1008"/>
      <c r="W36" s="1008"/>
      <c r="X36" s="1008"/>
      <c r="Y36" s="1008"/>
      <c r="Z36" s="1008"/>
      <c r="AA36" s="1008"/>
      <c r="AB36" s="1008"/>
      <c r="AC36" s="1008"/>
      <c r="AD36" s="1008"/>
      <c r="AE36" s="1008"/>
      <c r="AF36" s="1008"/>
      <c r="AG36" s="1008"/>
      <c r="AH36" s="431"/>
    </row>
    <row r="37" spans="1:34" s="421" customFormat="1" ht="15" customHeight="1">
      <c r="A37" s="418" t="s">
        <v>105</v>
      </c>
      <c r="B37" s="429" t="s">
        <v>106</v>
      </c>
      <c r="C37" s="429" t="s">
        <v>107</v>
      </c>
      <c r="D37" s="429" t="s">
        <v>108</v>
      </c>
      <c r="E37" s="429" t="s">
        <v>109</v>
      </c>
      <c r="F37" s="429" t="s">
        <v>110</v>
      </c>
      <c r="G37" s="429" t="s">
        <v>111</v>
      </c>
      <c r="H37" s="429" t="s">
        <v>112</v>
      </c>
      <c r="I37" s="429" t="s">
        <v>113</v>
      </c>
      <c r="J37" s="429" t="s">
        <v>114</v>
      </c>
      <c r="K37" s="429" t="s">
        <v>115</v>
      </c>
      <c r="L37" s="429" t="s">
        <v>116</v>
      </c>
      <c r="M37" s="429" t="s">
        <v>117</v>
      </c>
      <c r="N37" s="429" t="s">
        <v>118</v>
      </c>
      <c r="O37" s="429" t="s">
        <v>119</v>
      </c>
      <c r="P37" s="471"/>
      <c r="Q37" s="431"/>
      <c r="R37" s="431"/>
      <c r="S37" s="418" t="s">
        <v>105</v>
      </c>
      <c r="T37" s="429" t="s">
        <v>106</v>
      </c>
      <c r="U37" s="429" t="s">
        <v>107</v>
      </c>
      <c r="V37" s="429" t="s">
        <v>108</v>
      </c>
      <c r="W37" s="429" t="s">
        <v>109</v>
      </c>
      <c r="X37" s="429" t="s">
        <v>110</v>
      </c>
      <c r="Y37" s="429" t="s">
        <v>111</v>
      </c>
      <c r="Z37" s="429" t="s">
        <v>112</v>
      </c>
      <c r="AA37" s="429" t="s">
        <v>113</v>
      </c>
      <c r="AB37" s="429" t="s">
        <v>114</v>
      </c>
      <c r="AC37" s="429" t="s">
        <v>115</v>
      </c>
      <c r="AD37" s="429" t="s">
        <v>116</v>
      </c>
      <c r="AE37" s="429" t="s">
        <v>117</v>
      </c>
      <c r="AF37" s="429" t="s">
        <v>118</v>
      </c>
      <c r="AG37" s="429" t="s">
        <v>119</v>
      </c>
      <c r="AH37" s="431"/>
    </row>
    <row r="38" spans="1:34" s="421" customFormat="1" ht="15" customHeight="1">
      <c r="A38" s="419">
        <v>2022</v>
      </c>
      <c r="B38" s="26">
        <f>'ARRECADAÇÃO MENSAL POR RECEITA'!B5</f>
        <v>11173689.340000004</v>
      </c>
      <c r="C38" s="27">
        <f>'ARRECADAÇÃO MENSAL POR RECEITA'!$B$6</f>
        <v>12922947.51</v>
      </c>
      <c r="D38" s="27">
        <f>'ARRECADAÇÃO MENSAL POR RECEITA'!$B$7</f>
        <v>11210919.770000001</v>
      </c>
      <c r="E38" s="27">
        <f>'ARRECADAÇÃO MENSAL POR RECEITA'!$B$8</f>
        <v>5269558.54</v>
      </c>
      <c r="F38" s="27">
        <f>'ARRECADAÇÃO MENSAL POR RECEITA'!$B$9</f>
        <v>6235857.3400000008</v>
      </c>
      <c r="G38" s="27">
        <f>'ARRECADAÇÃO MENSAL POR RECEITA'!$B$10</f>
        <v>6858946.7699999996</v>
      </c>
      <c r="H38" s="27">
        <f>'ARRECADAÇÃO MENSAL POR RECEITA'!$B$11</f>
        <v>5332887.26</v>
      </c>
      <c r="I38" s="27">
        <f>'ARRECADAÇÃO MENSAL POR RECEITA'!$B$12</f>
        <v>2453996.9</v>
      </c>
      <c r="J38" s="27">
        <f>'ARRECADAÇÃO MENSAL POR RECEITA'!$B$13</f>
        <v>1799799.16</v>
      </c>
      <c r="K38" s="27">
        <f>'ARRECADAÇÃO MENSAL POR RECEITA'!$B$14</f>
        <v>0</v>
      </c>
      <c r="L38" s="27">
        <f>'ARRECADAÇÃO MENSAL POR RECEITA'!$B$15</f>
        <v>0</v>
      </c>
      <c r="M38" s="27">
        <f>'ARRECADAÇÃO MENSAL POR RECEITA'!$B$16</f>
        <v>0</v>
      </c>
      <c r="N38" s="28">
        <f>SUM(B38:M38)</f>
        <v>63258602.590000004</v>
      </c>
      <c r="O38" s="119">
        <f>'Evolução das Receitas'!AC32+'Evolução das Receitas'!AC34</f>
        <v>67945589.090000004</v>
      </c>
      <c r="P38" s="472"/>
      <c r="Q38" s="142">
        <f>N39/O38</f>
        <v>0.88604565485856457</v>
      </c>
      <c r="R38" s="431"/>
      <c r="S38" s="419">
        <v>2022</v>
      </c>
      <c r="T38" s="26">
        <f>'ARRECADAÇÃO MENSAL POR RECEITA'!C5</f>
        <v>1624877.0600000003</v>
      </c>
      <c r="U38" s="27">
        <f>'ARRECADAÇÃO MENSAL POR RECEITA'!$C$6</f>
        <v>1899576.1600000004</v>
      </c>
      <c r="V38" s="27">
        <f>'ARRECADAÇÃO MENSAL POR RECEITA'!$C$7</f>
        <v>2008511.4700000002</v>
      </c>
      <c r="W38" s="27">
        <f>'ARRECADAÇÃO MENSAL POR RECEITA'!$C$8</f>
        <v>1356338.5999999999</v>
      </c>
      <c r="X38" s="27">
        <f>'ARRECADAÇÃO MENSAL POR RECEITA'!$C$9</f>
        <v>1611903.44</v>
      </c>
      <c r="Y38" s="27">
        <f>'ARRECADAÇÃO MENSAL POR RECEITA'!$C$10</f>
        <v>1415494.13</v>
      </c>
      <c r="Z38" s="27">
        <f>'ARRECADAÇÃO MENSAL POR RECEITA'!$C$11</f>
        <v>1212241.77</v>
      </c>
      <c r="AA38" s="27">
        <f>'ARRECADAÇÃO MENSAL POR RECEITA'!$C$12</f>
        <v>1410497.09</v>
      </c>
      <c r="AB38" s="27">
        <f>'ARRECADAÇÃO MENSAL POR RECEITA'!$C$13</f>
        <v>1151448.6500000001</v>
      </c>
      <c r="AC38" s="27">
        <f>'ARRECADAÇÃO MENSAL POR RECEITA'!$C$14</f>
        <v>0</v>
      </c>
      <c r="AD38" s="27">
        <f>'ARRECADAÇÃO MENSAL POR RECEITA'!$C$15</f>
        <v>0</v>
      </c>
      <c r="AE38" s="27">
        <f>'ARRECADAÇÃO MENSAL POR RECEITA'!$C$16</f>
        <v>0</v>
      </c>
      <c r="AF38" s="28">
        <f>SUM(T38:AE38)</f>
        <v>13690888.369999999</v>
      </c>
      <c r="AG38" s="119">
        <f>'Evolução das Receitas'!AC66+'Evolução das Receitas'!AC68</f>
        <v>16761168.282</v>
      </c>
      <c r="AH38" s="142">
        <f>AF39/AG38</f>
        <v>1.1188984744064752</v>
      </c>
    </row>
    <row r="39" spans="1:34" s="145" customFormat="1" ht="15" customHeight="1">
      <c r="A39" s="419">
        <v>2021</v>
      </c>
      <c r="B39" s="26">
        <v>10879166.749999998</v>
      </c>
      <c r="C39" s="27">
        <v>11951662.160000004</v>
      </c>
      <c r="D39" s="27">
        <v>8556364.1099999994</v>
      </c>
      <c r="E39" s="27">
        <v>6301795.7999999998</v>
      </c>
      <c r="F39" s="27">
        <v>5074030.8000000007</v>
      </c>
      <c r="G39" s="27">
        <v>5154977.76</v>
      </c>
      <c r="H39" s="27">
        <v>3635089.75</v>
      </c>
      <c r="I39" s="27">
        <v>2490841.2299999995</v>
      </c>
      <c r="J39" s="27">
        <v>1857647.6500000004</v>
      </c>
      <c r="K39" s="27">
        <v>1397106.5400000003</v>
      </c>
      <c r="L39" s="27">
        <v>1328599.46</v>
      </c>
      <c r="M39" s="27">
        <v>1575611.97</v>
      </c>
      <c r="N39" s="28">
        <f>SUM(B39:M39)</f>
        <v>60202893.979999997</v>
      </c>
      <c r="R39" s="142"/>
      <c r="S39" s="419">
        <v>2021</v>
      </c>
      <c r="T39" s="399">
        <v>2296911.3899999997</v>
      </c>
      <c r="U39" s="399">
        <v>2082298.3300000003</v>
      </c>
      <c r="V39" s="399">
        <v>2006620.9100000001</v>
      </c>
      <c r="W39" s="399">
        <v>1536970.2799999998</v>
      </c>
      <c r="X39" s="399">
        <v>1554978.18</v>
      </c>
      <c r="Y39" s="399">
        <v>1665495.3899999997</v>
      </c>
      <c r="Z39" s="399">
        <v>1541619.7300000002</v>
      </c>
      <c r="AA39" s="399">
        <v>1484161.25</v>
      </c>
      <c r="AB39" s="399">
        <v>1222071.47</v>
      </c>
      <c r="AC39" s="399">
        <v>1068961.9100000001</v>
      </c>
      <c r="AD39" s="399">
        <v>1053596.79</v>
      </c>
      <c r="AE39" s="399">
        <v>1240359.99</v>
      </c>
      <c r="AF39" s="28">
        <f>SUM(T39:AE39)</f>
        <v>18754045.620000001</v>
      </c>
    </row>
    <row r="40" spans="1:34" customFormat="1" ht="15" customHeight="1">
      <c r="A40" s="419">
        <v>2020</v>
      </c>
      <c r="B40" s="29">
        <v>11752892.600000001</v>
      </c>
      <c r="C40" s="29">
        <v>10989944.309999997</v>
      </c>
      <c r="D40" s="29">
        <v>5937512.1400000006</v>
      </c>
      <c r="E40" s="29">
        <v>2597418.4999999995</v>
      </c>
      <c r="F40" s="29">
        <v>2276549.46</v>
      </c>
      <c r="G40" s="29">
        <v>3518472.1999999988</v>
      </c>
      <c r="H40" s="29">
        <v>5389885.9299999997</v>
      </c>
      <c r="I40" s="29">
        <v>5743531.919999999</v>
      </c>
      <c r="J40" s="29">
        <v>2283895.84</v>
      </c>
      <c r="K40" s="29">
        <v>961169.82000000007</v>
      </c>
      <c r="L40" s="29">
        <v>1649423.1</v>
      </c>
      <c r="M40" s="29">
        <v>1721835.7999999998</v>
      </c>
      <c r="N40" s="28">
        <f>SUM(B40:M40)</f>
        <v>54822531.61999999</v>
      </c>
      <c r="P40" s="10"/>
      <c r="Q40" s="322"/>
      <c r="R40" s="322"/>
      <c r="S40" s="419">
        <v>2020</v>
      </c>
      <c r="T40" s="29">
        <v>2232851.5199999996</v>
      </c>
      <c r="U40" s="29">
        <v>1726374.8700000003</v>
      </c>
      <c r="V40" s="29">
        <v>1590749.9899999998</v>
      </c>
      <c r="W40" s="29">
        <v>927376.00000000012</v>
      </c>
      <c r="X40" s="29">
        <v>821413.83000000019</v>
      </c>
      <c r="Y40" s="29">
        <v>1054654.23</v>
      </c>
      <c r="Z40" s="29">
        <v>1228828.0899999999</v>
      </c>
      <c r="AA40" s="29">
        <v>1246749.4700000004</v>
      </c>
      <c r="AB40" s="29">
        <v>1243934.6799999997</v>
      </c>
      <c r="AC40" s="29">
        <v>2275000.8600000003</v>
      </c>
      <c r="AD40" s="29">
        <v>1024945.05</v>
      </c>
      <c r="AE40" s="29">
        <v>1192229.95</v>
      </c>
      <c r="AF40" s="28">
        <f>SUM(T40:AE40)</f>
        <v>16565108.539999999</v>
      </c>
      <c r="AH40" s="322"/>
    </row>
    <row r="41" spans="1:34" customFormat="1" ht="15" customHeight="1">
      <c r="A41" s="419">
        <v>2019</v>
      </c>
      <c r="B41" s="26">
        <v>10754868.249999998</v>
      </c>
      <c r="C41" s="27">
        <v>11393795.619999999</v>
      </c>
      <c r="D41" s="27">
        <v>4490339.8100000005</v>
      </c>
      <c r="E41" s="27">
        <v>5048331.5600000005</v>
      </c>
      <c r="F41" s="27">
        <v>6374222.580000001</v>
      </c>
      <c r="G41" s="27">
        <v>5370305.7800000003</v>
      </c>
      <c r="H41" s="27">
        <v>2101529.2399999998</v>
      </c>
      <c r="I41" s="27">
        <v>1582727.4300000002</v>
      </c>
      <c r="J41" s="27">
        <v>1428542.5199999998</v>
      </c>
      <c r="K41" s="27">
        <v>1435808.91</v>
      </c>
      <c r="L41" s="27">
        <v>1291181.7</v>
      </c>
      <c r="M41" s="27">
        <v>1549965.3900000004</v>
      </c>
      <c r="N41" s="28">
        <f>SUM(B41:M41)</f>
        <v>52821618.790000007</v>
      </c>
      <c r="O41" s="121"/>
      <c r="P41" s="472"/>
      <c r="Q41" s="322"/>
      <c r="R41" s="322"/>
      <c r="S41" s="419">
        <v>2019</v>
      </c>
      <c r="T41" s="26">
        <v>1446032.3099999998</v>
      </c>
      <c r="U41" s="27">
        <v>1323348.6500000004</v>
      </c>
      <c r="V41" s="27">
        <v>965682.96999999986</v>
      </c>
      <c r="W41" s="27">
        <v>1016454.6100000001</v>
      </c>
      <c r="X41" s="27">
        <v>1033915.5800000002</v>
      </c>
      <c r="Y41" s="27">
        <v>826054.57</v>
      </c>
      <c r="Z41" s="27">
        <v>1538255.6399999997</v>
      </c>
      <c r="AA41" s="27">
        <v>1514736.4099999997</v>
      </c>
      <c r="AB41" s="27">
        <v>1230552.08</v>
      </c>
      <c r="AC41" s="27">
        <v>1355409.0100000002</v>
      </c>
      <c r="AD41" s="27">
        <v>1040319.3800000001</v>
      </c>
      <c r="AE41" s="27">
        <v>1424629.07</v>
      </c>
      <c r="AF41" s="28">
        <f>SUM(T41:AE41)</f>
        <v>14715390.280000001</v>
      </c>
      <c r="AG41" s="121"/>
      <c r="AH41" s="322"/>
    </row>
    <row r="42" spans="1:34" customFormat="1" ht="15" customHeight="1">
      <c r="A42" s="418">
        <v>2018</v>
      </c>
      <c r="B42" s="29">
        <v>11187097.160000002</v>
      </c>
      <c r="C42" s="30">
        <v>10008880.65</v>
      </c>
      <c r="D42" s="30">
        <v>5397971.6399999997</v>
      </c>
      <c r="E42" s="30">
        <v>4973960.2100000009</v>
      </c>
      <c r="F42" s="30">
        <v>4910011.7</v>
      </c>
      <c r="G42" s="30">
        <v>4325652.87</v>
      </c>
      <c r="H42" s="30">
        <v>1347250.3699999999</v>
      </c>
      <c r="I42" s="30">
        <v>1377504.5</v>
      </c>
      <c r="J42" s="30">
        <v>1047387.29</v>
      </c>
      <c r="K42" s="30">
        <v>1103096.3500000001</v>
      </c>
      <c r="L42" s="30">
        <v>896689.06000000017</v>
      </c>
      <c r="M42" s="30">
        <v>964693.32000000007</v>
      </c>
      <c r="N42" s="28">
        <f>SUM(B42:M42)</f>
        <v>47540195.120000005</v>
      </c>
      <c r="O42" s="121"/>
      <c r="P42" s="472"/>
      <c r="Q42" s="322"/>
      <c r="R42" s="322"/>
      <c r="S42" s="418">
        <v>2018</v>
      </c>
      <c r="T42" s="29">
        <v>1557356.2899999998</v>
      </c>
      <c r="U42" s="30">
        <v>1069608.8319999997</v>
      </c>
      <c r="V42" s="30">
        <v>769963.89000000013</v>
      </c>
      <c r="W42" s="30">
        <v>873033.00000000012</v>
      </c>
      <c r="X42" s="30">
        <v>671266.24</v>
      </c>
      <c r="Y42" s="30">
        <v>586377.35</v>
      </c>
      <c r="Z42" s="30">
        <v>640061.24000000011</v>
      </c>
      <c r="AA42" s="30">
        <v>604773.37</v>
      </c>
      <c r="AB42" s="30">
        <v>475840.02</v>
      </c>
      <c r="AC42" s="30">
        <v>604712.57999999996</v>
      </c>
      <c r="AD42" s="30">
        <v>496085.55</v>
      </c>
      <c r="AE42" s="30">
        <v>664709.59</v>
      </c>
      <c r="AF42" s="28">
        <f>SUM(T42:AE42)</f>
        <v>9013787.9520000014</v>
      </c>
      <c r="AG42" s="121"/>
      <c r="AH42" s="322"/>
    </row>
    <row r="43" spans="1:34" customFormat="1" ht="15" customHeight="1">
      <c r="A43" s="418">
        <v>2017</v>
      </c>
      <c r="B43" s="26">
        <v>13601214.73</v>
      </c>
      <c r="C43" s="27">
        <v>8816798.5600000024</v>
      </c>
      <c r="D43" s="27">
        <v>4603520.21</v>
      </c>
      <c r="E43" s="27">
        <v>2601438.3099999996</v>
      </c>
      <c r="F43" s="27">
        <v>5730355.4699999997</v>
      </c>
      <c r="G43" s="27">
        <v>3693602.41</v>
      </c>
      <c r="H43" s="27">
        <v>1369071.43</v>
      </c>
      <c r="I43" s="27">
        <v>1414085.0499999998</v>
      </c>
      <c r="J43" s="27">
        <v>956597.95000000019</v>
      </c>
      <c r="K43" s="27">
        <v>1346253.54</v>
      </c>
      <c r="L43" s="27">
        <v>1196237.6800000002</v>
      </c>
      <c r="M43" s="27">
        <v>830574.32000000007</v>
      </c>
      <c r="N43" s="28">
        <f t="shared" ref="N43:N45" si="21">SUM(B43:M43)</f>
        <v>46159749.659999996</v>
      </c>
      <c r="O43" s="121"/>
      <c r="P43" s="472"/>
      <c r="Q43" s="322"/>
      <c r="R43" s="322"/>
      <c r="S43" s="418">
        <v>2017</v>
      </c>
      <c r="T43" s="26">
        <v>1305502.5399999991</v>
      </c>
      <c r="U43" s="27">
        <v>743161.29999999981</v>
      </c>
      <c r="V43" s="27">
        <v>836372.94999999972</v>
      </c>
      <c r="W43" s="27">
        <v>513252.70600000006</v>
      </c>
      <c r="X43" s="27">
        <v>828067.5299999998</v>
      </c>
      <c r="Y43" s="27">
        <v>712978.55999999982</v>
      </c>
      <c r="Z43" s="27">
        <v>640847.30999999994</v>
      </c>
      <c r="AA43" s="27">
        <v>726517.04</v>
      </c>
      <c r="AB43" s="27">
        <v>539242.30999999994</v>
      </c>
      <c r="AC43" s="27">
        <v>771856.91999999993</v>
      </c>
      <c r="AD43" s="27">
        <v>658227.01000000013</v>
      </c>
      <c r="AE43" s="27">
        <v>490321.47000000003</v>
      </c>
      <c r="AF43" s="28">
        <f t="shared" ref="AF43:AF45" si="22">SUM(T43:AE43)</f>
        <v>8766347.6459999979</v>
      </c>
      <c r="AG43" s="121"/>
      <c r="AH43" s="322"/>
    </row>
    <row r="44" spans="1:34" customFormat="1" ht="15" customHeight="1">
      <c r="A44" s="418">
        <v>2016</v>
      </c>
      <c r="B44" s="29">
        <v>7903255.71</v>
      </c>
      <c r="C44" s="30">
        <v>12087485.599999998</v>
      </c>
      <c r="D44" s="30">
        <v>4036474.2199999993</v>
      </c>
      <c r="E44" s="30">
        <v>3164981.64</v>
      </c>
      <c r="F44" s="30">
        <v>4084268.13</v>
      </c>
      <c r="G44" s="30">
        <v>4150214.120000001</v>
      </c>
      <c r="H44" s="30">
        <v>1759270.35</v>
      </c>
      <c r="I44" s="30">
        <v>1489606.0299999996</v>
      </c>
      <c r="J44" s="30">
        <v>1195446.6399999999</v>
      </c>
      <c r="K44" s="30">
        <v>971422.8600000001</v>
      </c>
      <c r="L44" s="30">
        <v>975208.2100000002</v>
      </c>
      <c r="M44" s="30">
        <v>978968.3600000001</v>
      </c>
      <c r="N44" s="28">
        <f t="shared" si="21"/>
        <v>42796601.870000005</v>
      </c>
      <c r="O44" s="121"/>
      <c r="P44" s="472"/>
      <c r="Q44" s="322"/>
      <c r="R44" s="322"/>
      <c r="S44" s="418">
        <v>2016</v>
      </c>
      <c r="T44" s="29">
        <v>552306.51000000013</v>
      </c>
      <c r="U44" s="30">
        <v>644624.3200000003</v>
      </c>
      <c r="V44" s="30">
        <v>577592.63999999978</v>
      </c>
      <c r="W44" s="30">
        <v>417987.7699999999</v>
      </c>
      <c r="X44" s="30">
        <v>406084.39</v>
      </c>
      <c r="Y44" s="30">
        <v>400470.65</v>
      </c>
      <c r="Z44" s="30">
        <v>347470.03000000009</v>
      </c>
      <c r="AA44" s="30">
        <v>348285.86000000004</v>
      </c>
      <c r="AB44" s="30">
        <v>320683.09000000003</v>
      </c>
      <c r="AC44" s="30">
        <v>282970.61999999994</v>
      </c>
      <c r="AD44" s="30">
        <v>308398.68999999994</v>
      </c>
      <c r="AE44" s="30">
        <v>485634.62000000005</v>
      </c>
      <c r="AF44" s="28">
        <f t="shared" si="22"/>
        <v>5092509.1900000004</v>
      </c>
      <c r="AG44" s="121"/>
      <c r="AH44" s="322"/>
    </row>
    <row r="45" spans="1:34" customFormat="1" ht="15" customHeight="1">
      <c r="A45" s="418">
        <v>2015</v>
      </c>
      <c r="B45" s="26">
        <v>8787953.700000003</v>
      </c>
      <c r="C45" s="27">
        <v>11198167.82</v>
      </c>
      <c r="D45" s="27">
        <v>3528437.5500000007</v>
      </c>
      <c r="E45" s="27">
        <v>2995249.47</v>
      </c>
      <c r="F45" s="27">
        <v>3112828.3600000003</v>
      </c>
      <c r="G45" s="27">
        <v>3274053.8400000003</v>
      </c>
      <c r="H45" s="27">
        <v>1485273.13</v>
      </c>
      <c r="I45" s="27">
        <v>1065763.9799999997</v>
      </c>
      <c r="J45" s="27">
        <v>919128.40000000026</v>
      </c>
      <c r="K45" s="27">
        <v>775001.32</v>
      </c>
      <c r="L45" s="27">
        <v>634938.85</v>
      </c>
      <c r="M45" s="27">
        <v>657318.98</v>
      </c>
      <c r="N45" s="28">
        <f t="shared" si="21"/>
        <v>38434115.399999999</v>
      </c>
      <c r="O45" s="121"/>
      <c r="P45" s="472"/>
      <c r="Q45" s="322"/>
      <c r="R45" s="322"/>
      <c r="S45" s="418">
        <v>2015</v>
      </c>
      <c r="T45" s="26">
        <v>621740.16999999969</v>
      </c>
      <c r="U45" s="27">
        <v>657497.20999999961</v>
      </c>
      <c r="V45" s="27">
        <v>511071.15000000014</v>
      </c>
      <c r="W45" s="27">
        <v>391535.90000000008</v>
      </c>
      <c r="X45" s="27">
        <v>358262.96000000008</v>
      </c>
      <c r="Y45" s="27">
        <v>362762.89999999997</v>
      </c>
      <c r="Z45" s="27">
        <v>308047.82000000007</v>
      </c>
      <c r="AA45" s="27">
        <v>280924.34000000008</v>
      </c>
      <c r="AB45" s="27">
        <v>255246.89999999994</v>
      </c>
      <c r="AC45" s="27">
        <v>222708.14</v>
      </c>
      <c r="AD45" s="27">
        <v>245348.60000000003</v>
      </c>
      <c r="AE45" s="27">
        <v>269305.54000000004</v>
      </c>
      <c r="AF45" s="28">
        <f t="shared" si="22"/>
        <v>4484451.629999999</v>
      </c>
      <c r="AG45" s="121"/>
      <c r="AH45" s="322"/>
    </row>
    <row r="46" spans="1:34" customFormat="1" ht="15" customHeight="1">
      <c r="A46" s="420"/>
      <c r="P46" s="10"/>
      <c r="Q46" s="322"/>
      <c r="R46" s="322"/>
      <c r="S46" s="420"/>
      <c r="AH46" s="322"/>
    </row>
    <row r="47" spans="1:34" s="566" customFormat="1" ht="15" customHeight="1">
      <c r="A47" s="418">
        <v>2022</v>
      </c>
      <c r="B47" s="31">
        <f>B38/$N$38</f>
        <v>0.17663509597928351</v>
      </c>
      <c r="C47" s="31">
        <f>C38/$N$38</f>
        <v>0.20428759063424007</v>
      </c>
      <c r="D47" s="31">
        <f t="shared" ref="D47:M47" si="23">D38/$N$38</f>
        <v>0.17722363933110716</v>
      </c>
      <c r="E47" s="31">
        <f t="shared" si="23"/>
        <v>8.3301848669559739E-2</v>
      </c>
      <c r="F47" s="31">
        <f t="shared" si="23"/>
        <v>9.8577222459633851E-2</v>
      </c>
      <c r="G47" s="31">
        <f t="shared" si="23"/>
        <v>0.10842709906911965</v>
      </c>
      <c r="H47" s="31">
        <f t="shared" si="23"/>
        <v>8.4302957094455788E-2</v>
      </c>
      <c r="I47" s="31">
        <f t="shared" si="23"/>
        <v>3.8793093737861523E-2</v>
      </c>
      <c r="J47" s="31">
        <f t="shared" si="23"/>
        <v>2.8451453024738716E-2</v>
      </c>
      <c r="K47" s="31">
        <f t="shared" si="23"/>
        <v>0</v>
      </c>
      <c r="L47" s="31">
        <f t="shared" si="23"/>
        <v>0</v>
      </c>
      <c r="M47" s="31">
        <f t="shared" si="23"/>
        <v>0</v>
      </c>
      <c r="N47" s="780" t="b">
        <f>SUM(B47:M47)=100%</f>
        <v>1</v>
      </c>
      <c r="P47" s="10"/>
      <c r="Q47" s="322"/>
      <c r="R47" s="322"/>
      <c r="S47" s="418">
        <v>2022</v>
      </c>
      <c r="T47" s="31">
        <f>T38/$AF$38</f>
        <v>0.1186830990135376</v>
      </c>
      <c r="U47" s="31">
        <f t="shared" ref="U47:AE47" si="24">U38/$AF$38</f>
        <v>0.13874747267404683</v>
      </c>
      <c r="V47" s="31">
        <f t="shared" si="24"/>
        <v>0.14670424706705867</v>
      </c>
      <c r="W47" s="31">
        <f t="shared" si="24"/>
        <v>9.906870637935089E-2</v>
      </c>
      <c r="X47" s="31">
        <f t="shared" si="24"/>
        <v>0.11773548921281578</v>
      </c>
      <c r="Y47" s="31">
        <f t="shared" si="24"/>
        <v>0.10338950196261076</v>
      </c>
      <c r="Z47" s="31">
        <f t="shared" si="24"/>
        <v>8.8543689586740831E-2</v>
      </c>
      <c r="AA47" s="31">
        <f t="shared" si="24"/>
        <v>0.10302451176877138</v>
      </c>
      <c r="AB47" s="31">
        <f t="shared" si="24"/>
        <v>8.4103282335067364E-2</v>
      </c>
      <c r="AC47" s="31">
        <f t="shared" si="24"/>
        <v>0</v>
      </c>
      <c r="AD47" s="31">
        <f t="shared" si="24"/>
        <v>0</v>
      </c>
      <c r="AE47" s="31">
        <f t="shared" si="24"/>
        <v>0</v>
      </c>
      <c r="AF47" s="780" t="b">
        <f>SUM(T47:AE47)=100%</f>
        <v>1</v>
      </c>
      <c r="AH47" s="322"/>
    </row>
    <row r="48" spans="1:34" s="145" customFormat="1" ht="15" customHeight="1">
      <c r="A48" s="418">
        <v>2021</v>
      </c>
      <c r="B48" s="31">
        <f>B39/$N$39</f>
        <v>0.18070836849826796</v>
      </c>
      <c r="C48" s="31">
        <f t="shared" ref="C48:M48" si="25">C39/$N$39</f>
        <v>0.19852305046947519</v>
      </c>
      <c r="D48" s="31">
        <f t="shared" si="25"/>
        <v>0.14212546182318925</v>
      </c>
      <c r="E48" s="31">
        <f t="shared" si="25"/>
        <v>0.104675961293381</v>
      </c>
      <c r="F48" s="31">
        <f t="shared" si="25"/>
        <v>8.4282174237099702E-2</v>
      </c>
      <c r="G48" s="31">
        <f t="shared" si="25"/>
        <v>8.5626743486991425E-2</v>
      </c>
      <c r="H48" s="31">
        <f t="shared" si="25"/>
        <v>6.0380648000204332E-2</v>
      </c>
      <c r="I48" s="31">
        <f t="shared" si="25"/>
        <v>4.1374111198499555E-2</v>
      </c>
      <c r="J48" s="31">
        <f t="shared" si="25"/>
        <v>3.0856451030695127E-2</v>
      </c>
      <c r="K48" s="31">
        <f t="shared" si="25"/>
        <v>2.3206634226988043E-2</v>
      </c>
      <c r="L48" s="31">
        <f t="shared" si="25"/>
        <v>2.2068697568614792E-2</v>
      </c>
      <c r="M48" s="31">
        <f t="shared" si="25"/>
        <v>2.6171698166593687E-2</v>
      </c>
      <c r="N48" s="780" t="b">
        <f>SUM(B48:M48)=100%</f>
        <v>1</v>
      </c>
      <c r="P48" s="10"/>
      <c r="Q48" s="322"/>
      <c r="R48" s="322"/>
      <c r="S48" s="418">
        <v>2021</v>
      </c>
      <c r="T48" s="31">
        <f>T39/$AF$39</f>
        <v>0.1224755146991052</v>
      </c>
      <c r="U48" s="31">
        <f t="shared" ref="U48:AE48" si="26">U39/$AF$39</f>
        <v>0.11103195396834063</v>
      </c>
      <c r="V48" s="31">
        <f t="shared" si="26"/>
        <v>0.10699669557485059</v>
      </c>
      <c r="W48" s="31">
        <f t="shared" si="26"/>
        <v>8.1954065333024378E-2</v>
      </c>
      <c r="X48" s="31">
        <f t="shared" si="26"/>
        <v>8.291427948440705E-2</v>
      </c>
      <c r="Y48" s="31">
        <f t="shared" si="26"/>
        <v>8.8807259177393405E-2</v>
      </c>
      <c r="Z48" s="31">
        <f t="shared" si="26"/>
        <v>8.2201982507494831E-2</v>
      </c>
      <c r="AA48" s="31">
        <f t="shared" si="26"/>
        <v>7.9138191304026481E-2</v>
      </c>
      <c r="AB48" s="31">
        <f t="shared" si="26"/>
        <v>6.5163085062389853E-2</v>
      </c>
      <c r="AC48" s="31">
        <f t="shared" si="26"/>
        <v>5.6999003396900137E-2</v>
      </c>
      <c r="AD48" s="31">
        <f t="shared" si="26"/>
        <v>5.6179707106844501E-2</v>
      </c>
      <c r="AE48" s="31">
        <f t="shared" si="26"/>
        <v>6.6138262385222885E-2</v>
      </c>
      <c r="AF48" s="780" t="b">
        <f>SUM(T48:AE48)=100%</f>
        <v>1</v>
      </c>
      <c r="AH48" s="322"/>
    </row>
    <row r="49" spans="1:34" customFormat="1" ht="15" customHeight="1">
      <c r="A49" s="418">
        <v>2020</v>
      </c>
      <c r="B49" s="31">
        <f t="shared" ref="B49:M49" si="27">B40/$N$40</f>
        <v>0.21438069809443805</v>
      </c>
      <c r="C49" s="31">
        <f t="shared" si="27"/>
        <v>0.2004640060436523</v>
      </c>
      <c r="D49" s="31">
        <f t="shared" si="27"/>
        <v>0.10830423120835808</v>
      </c>
      <c r="E49" s="31">
        <f t="shared" si="27"/>
        <v>4.7378667552310308E-2</v>
      </c>
      <c r="F49" s="31">
        <f t="shared" si="27"/>
        <v>4.1525799570508788E-2</v>
      </c>
      <c r="G49" s="31">
        <f t="shared" si="27"/>
        <v>6.4179309054680958E-2</v>
      </c>
      <c r="H49" s="31">
        <f t="shared" si="27"/>
        <v>9.831515931003991E-2</v>
      </c>
      <c r="I49" s="31">
        <f t="shared" si="27"/>
        <v>0.10476590099506973</v>
      </c>
      <c r="J49" s="31">
        <f t="shared" si="27"/>
        <v>4.165980250293301E-2</v>
      </c>
      <c r="K49" s="31">
        <f t="shared" si="27"/>
        <v>1.7532386622754075E-2</v>
      </c>
      <c r="L49" s="31">
        <f t="shared" si="27"/>
        <v>3.0086591247425513E-2</v>
      </c>
      <c r="M49" s="31">
        <f t="shared" si="27"/>
        <v>3.140744779782937E-2</v>
      </c>
      <c r="N49" s="780" t="b">
        <f>SUM(B49:M49)=100%</f>
        <v>1</v>
      </c>
      <c r="P49" s="10"/>
      <c r="Q49" s="322"/>
      <c r="R49" s="322"/>
      <c r="S49" s="418">
        <v>2020</v>
      </c>
      <c r="T49" s="31">
        <f t="shared" ref="T49:AE49" si="28">T40/$AF$40</f>
        <v>0.13479244730623416</v>
      </c>
      <c r="U49" s="31">
        <f t="shared" si="28"/>
        <v>0.10421754049068249</v>
      </c>
      <c r="V49" s="31">
        <f t="shared" si="28"/>
        <v>9.6030157976858016E-2</v>
      </c>
      <c r="W49" s="31">
        <f t="shared" si="28"/>
        <v>5.5983695957116872E-2</v>
      </c>
      <c r="X49" s="31">
        <f t="shared" si="28"/>
        <v>4.9586987493412477E-2</v>
      </c>
      <c r="Y49" s="31">
        <f t="shared" si="28"/>
        <v>6.3667209149478959E-2</v>
      </c>
      <c r="Z49" s="31">
        <f t="shared" si="28"/>
        <v>7.4181710734507508E-2</v>
      </c>
      <c r="AA49" s="31">
        <f t="shared" si="28"/>
        <v>7.5263585927581284E-2</v>
      </c>
      <c r="AB49" s="31">
        <f t="shared" si="28"/>
        <v>7.5093663104968691E-2</v>
      </c>
      <c r="AC49" s="31">
        <f t="shared" si="28"/>
        <v>0.13733691237256454</v>
      </c>
      <c r="AD49" s="31">
        <f t="shared" si="28"/>
        <v>6.1873729805334565E-2</v>
      </c>
      <c r="AE49" s="31">
        <f t="shared" si="28"/>
        <v>7.1972359681260506E-2</v>
      </c>
      <c r="AF49" s="780" t="b">
        <f>SUM(T49:AE49)=100%</f>
        <v>1</v>
      </c>
      <c r="AH49" s="322"/>
    </row>
    <row r="50" spans="1:34" customFormat="1" ht="15" customHeight="1">
      <c r="A50" s="418">
        <v>2019</v>
      </c>
      <c r="B50" s="31">
        <f>B41/$N$41</f>
        <v>0.20360732019133176</v>
      </c>
      <c r="C50" s="31">
        <f t="shared" ref="C50:M50" si="29">C41/$N$41</f>
        <v>0.2157032647048869</v>
      </c>
      <c r="D50" s="31">
        <f t="shared" si="29"/>
        <v>8.5009507714104648E-2</v>
      </c>
      <c r="E50" s="31">
        <f t="shared" si="29"/>
        <v>9.557320800921254E-2</v>
      </c>
      <c r="F50" s="31">
        <f t="shared" si="29"/>
        <v>0.12067450271339933</v>
      </c>
      <c r="G50" s="31">
        <f t="shared" si="29"/>
        <v>0.10166870881694157</v>
      </c>
      <c r="H50" s="31">
        <f t="shared" si="29"/>
        <v>3.9785400147521674E-2</v>
      </c>
      <c r="I50" s="31">
        <f t="shared" si="29"/>
        <v>2.9963629783713412E-2</v>
      </c>
      <c r="J50" s="31">
        <f t="shared" si="29"/>
        <v>2.7044656198049844E-2</v>
      </c>
      <c r="K50" s="31">
        <f t="shared" si="29"/>
        <v>2.7182220895354724E-2</v>
      </c>
      <c r="L50" s="31">
        <f t="shared" si="29"/>
        <v>2.4444190268633752E-2</v>
      </c>
      <c r="M50" s="31">
        <f t="shared" si="29"/>
        <v>2.9343390556849692E-2</v>
      </c>
      <c r="N50" s="780" t="b">
        <f t="shared" ref="N50:N55" si="30">SUM(B50:M50)=100%</f>
        <v>1</v>
      </c>
      <c r="P50" s="10"/>
      <c r="Q50" s="322"/>
      <c r="R50" s="322"/>
      <c r="S50" s="418">
        <v>2019</v>
      </c>
      <c r="T50" s="31">
        <f>T41/$AF$41</f>
        <v>9.8266663845493318E-2</v>
      </c>
      <c r="U50" s="31">
        <f t="shared" ref="U50:AE50" si="31">U41/$AF$41</f>
        <v>8.9929565225231684E-2</v>
      </c>
      <c r="V50" s="31">
        <f t="shared" si="31"/>
        <v>6.5624013473327997E-2</v>
      </c>
      <c r="W50" s="31">
        <f t="shared" si="31"/>
        <v>6.9074254277950414E-2</v>
      </c>
      <c r="X50" s="31">
        <f t="shared" si="31"/>
        <v>7.0260833068438333E-2</v>
      </c>
      <c r="Y50" s="31">
        <f t="shared" si="31"/>
        <v>5.6135417021368997E-2</v>
      </c>
      <c r="Z50" s="31">
        <f t="shared" si="31"/>
        <v>0.10453379833837473</v>
      </c>
      <c r="AA50" s="31">
        <f t="shared" si="31"/>
        <v>0.10293552404510195</v>
      </c>
      <c r="AB50" s="31">
        <f t="shared" si="31"/>
        <v>8.3623475598365166E-2</v>
      </c>
      <c r="AC50" s="31">
        <f t="shared" si="31"/>
        <v>9.2108261093296673E-2</v>
      </c>
      <c r="AD50" s="31">
        <f t="shared" si="31"/>
        <v>7.0696010109491975E-2</v>
      </c>
      <c r="AE50" s="31">
        <f t="shared" si="31"/>
        <v>9.6812183903558682E-2</v>
      </c>
      <c r="AF50" s="780" t="b">
        <f t="shared" ref="AF50:AF55" si="32">SUM(T50:AE50)=100%</f>
        <v>1</v>
      </c>
      <c r="AH50" s="322"/>
    </row>
    <row r="51" spans="1:34" customFormat="1" ht="15" customHeight="1">
      <c r="A51" s="418">
        <v>2018</v>
      </c>
      <c r="B51" s="31">
        <f>B42/N42</f>
        <v>0.23531870518751041</v>
      </c>
      <c r="C51" s="32">
        <f>C42/N42</f>
        <v>0.21053511927613644</v>
      </c>
      <c r="D51" s="32">
        <f>D42/N42</f>
        <v>0.1135454245901715</v>
      </c>
      <c r="E51" s="32">
        <f>E42/N42</f>
        <v>0.1046264155509844</v>
      </c>
      <c r="F51" s="32">
        <f>F42/N42</f>
        <v>0.10328126941015381</v>
      </c>
      <c r="G51" s="32">
        <f>G42/N42</f>
        <v>9.0989379809680498E-2</v>
      </c>
      <c r="H51" s="32">
        <f>H42/N42</f>
        <v>2.8339184696219644E-2</v>
      </c>
      <c r="I51" s="32">
        <f>I42/N42</f>
        <v>2.897557522687761E-2</v>
      </c>
      <c r="J51" s="32">
        <f>J42/N42</f>
        <v>2.2031615296407726E-2</v>
      </c>
      <c r="K51" s="32">
        <f>K42/N42</f>
        <v>2.3203445993765622E-2</v>
      </c>
      <c r="L51" s="32">
        <f>L42/N42</f>
        <v>1.8861703401439469E-2</v>
      </c>
      <c r="M51" s="32">
        <f>M42/N42</f>
        <v>2.0292161560652847E-2</v>
      </c>
      <c r="N51" s="780" t="b">
        <f t="shared" si="30"/>
        <v>1</v>
      </c>
      <c r="P51" s="10"/>
      <c r="Q51" s="322"/>
      <c r="R51" s="322"/>
      <c r="S51" s="418">
        <v>2018</v>
      </c>
      <c r="T51" s="31">
        <f>T42/AF42</f>
        <v>0.17277489755618777</v>
      </c>
      <c r="U51" s="32">
        <f>U42/AF42</f>
        <v>0.11866363372378561</v>
      </c>
      <c r="V51" s="32">
        <f>V42/AF42</f>
        <v>8.542067930821011E-2</v>
      </c>
      <c r="W51" s="32">
        <f>W42/AF42</f>
        <v>9.6855284886781634E-2</v>
      </c>
      <c r="X51" s="32">
        <f>X42/AF42</f>
        <v>7.4471048528610861E-2</v>
      </c>
      <c r="Y51" s="32">
        <f>Y42/AF42</f>
        <v>6.5053377461569098E-2</v>
      </c>
      <c r="Z51" s="32">
        <f>Z42/AF42</f>
        <v>7.1009129947191815E-2</v>
      </c>
      <c r="AA51" s="32">
        <f>AA42/AF42</f>
        <v>6.7094253073238908E-2</v>
      </c>
      <c r="AB51" s="32">
        <f>AB42/AF42</f>
        <v>5.2790238968781093E-2</v>
      </c>
      <c r="AC51" s="32">
        <f>AC42/AF42</f>
        <v>6.7087508960738854E-2</v>
      </c>
      <c r="AD51" s="32">
        <f>AD42/AF42</f>
        <v>5.503630134653071E-2</v>
      </c>
      <c r="AE51" s="32">
        <f>AE42/AF42</f>
        <v>7.3743646238373359E-2</v>
      </c>
      <c r="AF51" s="780" t="b">
        <f t="shared" si="32"/>
        <v>1</v>
      </c>
      <c r="AH51" s="322"/>
    </row>
    <row r="52" spans="1:34" customFormat="1" ht="15" customHeight="1">
      <c r="A52" s="418">
        <v>2017</v>
      </c>
      <c r="B52" s="31">
        <f>B43/N43</f>
        <v>0.29465529666392914</v>
      </c>
      <c r="C52" s="32">
        <f>C43/N43</f>
        <v>0.19100620399681784</v>
      </c>
      <c r="D52" s="32">
        <f>D43/N43</f>
        <v>9.97301814656332E-2</v>
      </c>
      <c r="E52" s="32">
        <f>E43/N43</f>
        <v>5.6357288095396481E-2</v>
      </c>
      <c r="F52" s="32">
        <f>F43/N43</f>
        <v>0.12414182295632493</v>
      </c>
      <c r="G52" s="32">
        <f>G43/N43</f>
        <v>8.0017817193681909E-2</v>
      </c>
      <c r="H52" s="32">
        <f>H43/N43</f>
        <v>2.9659420600939197E-2</v>
      </c>
      <c r="I52" s="32">
        <f>I43/N43</f>
        <v>3.0634590967580217E-2</v>
      </c>
      <c r="J52" s="32">
        <f>J43/N43</f>
        <v>2.0723638170614817E-2</v>
      </c>
      <c r="K52" s="32">
        <f>K43/N43</f>
        <v>2.9165096212958971E-2</v>
      </c>
      <c r="L52" s="32">
        <f>L43/N43</f>
        <v>2.5915168275633154E-2</v>
      </c>
      <c r="M52" s="32">
        <f>M43/N43</f>
        <v>1.7993475400490292E-2</v>
      </c>
      <c r="N52" s="780" t="b">
        <f t="shared" si="30"/>
        <v>1</v>
      </c>
      <c r="P52" s="10"/>
      <c r="Q52" s="322"/>
      <c r="R52" s="322"/>
      <c r="S52" s="418">
        <v>2017</v>
      </c>
      <c r="T52" s="31">
        <f>T43/AF43</f>
        <v>0.14892205884575974</v>
      </c>
      <c r="U52" s="32">
        <f>U43/AF43</f>
        <v>8.4774335904770709E-2</v>
      </c>
      <c r="V52" s="32">
        <f>V43/AF43</f>
        <v>9.5407230442387123E-2</v>
      </c>
      <c r="W52" s="32">
        <f>W43/AF43</f>
        <v>5.854806662090254E-2</v>
      </c>
      <c r="X52" s="32">
        <f>X43/AF43</f>
        <v>9.4459809653777441E-2</v>
      </c>
      <c r="Y52" s="32">
        <f>Y43/AF43</f>
        <v>8.1331312513635623E-2</v>
      </c>
      <c r="Z52" s="32">
        <f>Z43/AF43</f>
        <v>7.3103113848378184E-2</v>
      </c>
      <c r="AA52" s="32">
        <f>AA43/AF43</f>
        <v>8.2875682021520444E-2</v>
      </c>
      <c r="AB52" s="32">
        <f>AB43/AF43</f>
        <v>6.1512768119120979E-2</v>
      </c>
      <c r="AC52" s="32">
        <f>AC43/AF43</f>
        <v>8.8047719662611254E-2</v>
      </c>
      <c r="AD52" s="32">
        <f>AD43/AF43</f>
        <v>7.5085661278827209E-2</v>
      </c>
      <c r="AE52" s="32">
        <f>AE43/AF43</f>
        <v>5.5932241088308778E-2</v>
      </c>
      <c r="AF52" s="780" t="b">
        <f t="shared" si="32"/>
        <v>1</v>
      </c>
      <c r="AH52" s="322"/>
    </row>
    <row r="53" spans="1:34" customFormat="1" ht="15" customHeight="1">
      <c r="A53" s="418">
        <v>2016</v>
      </c>
      <c r="B53" s="31">
        <f>B44/N44</f>
        <v>0.18467016923463039</v>
      </c>
      <c r="C53" s="32">
        <f>C44/N44</f>
        <v>0.28244031235744455</v>
      </c>
      <c r="D53" s="32">
        <f>D44/N44</f>
        <v>9.4317633728521047E-2</v>
      </c>
      <c r="E53" s="32">
        <f>E44/N44</f>
        <v>7.3954040781415889E-2</v>
      </c>
      <c r="F53" s="32">
        <f>F44/N44</f>
        <v>9.5434402535193613E-2</v>
      </c>
      <c r="G53" s="32">
        <f>G44/N44</f>
        <v>9.6975319036001789E-2</v>
      </c>
      <c r="H53" s="32">
        <f>H44/N44</f>
        <v>4.1107711199688292E-2</v>
      </c>
      <c r="I53" s="32">
        <f>I44/N44</f>
        <v>3.4806642698522253E-2</v>
      </c>
      <c r="J53" s="32">
        <f>J44/N44</f>
        <v>2.7933214034874022E-2</v>
      </c>
      <c r="K53" s="32">
        <f>K44/N44</f>
        <v>2.2698597962305927E-2</v>
      </c>
      <c r="L53" s="32">
        <f>L44/N44</f>
        <v>2.2787047741835119E-2</v>
      </c>
      <c r="M53" s="32">
        <f>M44/N44</f>
        <v>2.2874908689566945E-2</v>
      </c>
      <c r="N53" s="780" t="b">
        <f t="shared" si="30"/>
        <v>1</v>
      </c>
      <c r="P53" s="10"/>
      <c r="Q53" s="322"/>
      <c r="R53" s="322"/>
      <c r="S53" s="418">
        <v>2016</v>
      </c>
      <c r="T53" s="31">
        <f>T44/AF44</f>
        <v>0.10845469087901638</v>
      </c>
      <c r="U53" s="32">
        <f>U44/AF44</f>
        <v>0.12658284864086819</v>
      </c>
      <c r="V53" s="32">
        <f>V44/AF44</f>
        <v>0.11342004863421754</v>
      </c>
      <c r="W53" s="32">
        <f>W44/AF44</f>
        <v>8.2078942698972299E-2</v>
      </c>
      <c r="X53" s="32">
        <f>X44/AF44</f>
        <v>7.9741513436522637E-2</v>
      </c>
      <c r="Y53" s="32">
        <f>Y44/AF44</f>
        <v>7.8639160983035944E-2</v>
      </c>
      <c r="Z53" s="32">
        <f>Z44/AF44</f>
        <v>6.8231596063158026E-2</v>
      </c>
      <c r="AA53" s="32">
        <f>AA44/AF44</f>
        <v>6.8391798032278073E-2</v>
      </c>
      <c r="AB53" s="32">
        <f>AB44/AF44</f>
        <v>6.2971528972341428E-2</v>
      </c>
      <c r="AC53" s="32">
        <f>AC44/AF44</f>
        <v>5.556604994560646E-2</v>
      </c>
      <c r="AD53" s="32">
        <f>AD44/AF44</f>
        <v>6.0559280011824569E-2</v>
      </c>
      <c r="AE53" s="32">
        <f>AE44/AF44</f>
        <v>9.5362541702158424E-2</v>
      </c>
      <c r="AF53" s="780" t="b">
        <f t="shared" si="32"/>
        <v>1</v>
      </c>
      <c r="AH53" s="322"/>
    </row>
    <row r="54" spans="1:34" customFormat="1" ht="15" customHeight="1">
      <c r="A54" s="418">
        <v>2015</v>
      </c>
      <c r="B54" s="31">
        <f>B45/N45</f>
        <v>0.22864982343264764</v>
      </c>
      <c r="C54" s="32">
        <f>C45/N45</f>
        <v>0.29136010295686421</v>
      </c>
      <c r="D54" s="32">
        <f>D45/N45</f>
        <v>9.1804833109285014E-2</v>
      </c>
      <c r="E54" s="32">
        <f>E45/N45</f>
        <v>7.7932051741719036E-2</v>
      </c>
      <c r="F54" s="32">
        <f>F45/N45</f>
        <v>8.0991284113176187E-2</v>
      </c>
      <c r="G54" s="32">
        <f>G45/N45</f>
        <v>8.5186137521978733E-2</v>
      </c>
      <c r="H54" s="32">
        <f>H45/N45</f>
        <v>3.8644655003559673E-2</v>
      </c>
      <c r="I54" s="32">
        <f>I45/N45</f>
        <v>2.7729634698448136E-2</v>
      </c>
      <c r="J54" s="32">
        <f>J45/N45</f>
        <v>2.3914389350040831E-2</v>
      </c>
      <c r="K54" s="32">
        <f>K45/N45</f>
        <v>2.0164411537360372E-2</v>
      </c>
      <c r="L54" s="32">
        <f>L45/N45</f>
        <v>1.6520188988140467E-2</v>
      </c>
      <c r="M54" s="32">
        <f>M45/N45</f>
        <v>1.7102487546779861E-2</v>
      </c>
      <c r="N54" s="780" t="b">
        <f t="shared" si="30"/>
        <v>1</v>
      </c>
      <c r="P54" s="10"/>
      <c r="Q54" s="322"/>
      <c r="R54" s="322"/>
      <c r="S54" s="418">
        <v>2015</v>
      </c>
      <c r="T54" s="31">
        <f>T45/AF45</f>
        <v>0.13864352239651648</v>
      </c>
      <c r="U54" s="32">
        <f>U45/AF45</f>
        <v>0.14661708147357133</v>
      </c>
      <c r="V54" s="32">
        <f>V45/AF45</f>
        <v>0.11396513825258948</v>
      </c>
      <c r="W54" s="32">
        <f>W45/AF45</f>
        <v>8.7309649496654332E-2</v>
      </c>
      <c r="X54" s="32">
        <f>X45/AF45</f>
        <v>7.9890026598413807E-2</v>
      </c>
      <c r="Y54" s="32">
        <f>Y45/AF45</f>
        <v>8.0893480391938138E-2</v>
      </c>
      <c r="Z54" s="32">
        <f>Z45/AF45</f>
        <v>6.8692416691313526E-2</v>
      </c>
      <c r="AA54" s="32">
        <f>AA45/AF45</f>
        <v>6.2644078513564017E-2</v>
      </c>
      <c r="AB54" s="32">
        <f>AB45/AF45</f>
        <v>5.6918196707141204E-2</v>
      </c>
      <c r="AC54" s="32">
        <f>AC45/AF45</f>
        <v>4.9662290593153316E-2</v>
      </c>
      <c r="AD54" s="32">
        <f>AD45/AF45</f>
        <v>5.4710948013949275E-2</v>
      </c>
      <c r="AE54" s="32">
        <f>AE45/AF45</f>
        <v>6.0053170871195258E-2</v>
      </c>
      <c r="AF54" s="780" t="b">
        <f t="shared" si="32"/>
        <v>1</v>
      </c>
      <c r="AH54" s="322"/>
    </row>
    <row r="55" spans="1:34" customFormat="1" ht="15" customHeight="1">
      <c r="A55" s="418" t="str">
        <f>B22</f>
        <v>Média 19 a 21</v>
      </c>
      <c r="B55" s="33">
        <f>AVERAGE(B49:B51)</f>
        <v>0.21776890782442673</v>
      </c>
      <c r="C55" s="33">
        <f t="shared" ref="C55:M55" si="33">AVERAGE(C49:C51)</f>
        <v>0.20890079667489189</v>
      </c>
      <c r="D55" s="33">
        <f t="shared" si="33"/>
        <v>0.10228638783754473</v>
      </c>
      <c r="E55" s="33">
        <f t="shared" si="33"/>
        <v>8.2526097037502411E-2</v>
      </c>
      <c r="F55" s="33">
        <f t="shared" si="33"/>
        <v>8.8493857231353987E-2</v>
      </c>
      <c r="G55" s="33">
        <f t="shared" si="33"/>
        <v>8.5612465893767656E-2</v>
      </c>
      <c r="H55" s="33">
        <f t="shared" si="33"/>
        <v>5.5479914717927077E-2</v>
      </c>
      <c r="I55" s="33">
        <f t="shared" si="33"/>
        <v>5.456836866855358E-2</v>
      </c>
      <c r="J55" s="33">
        <f t="shared" si="33"/>
        <v>3.0245357999130192E-2</v>
      </c>
      <c r="K55" s="33">
        <f t="shared" si="33"/>
        <v>2.2639351170624804E-2</v>
      </c>
      <c r="L55" s="33">
        <f t="shared" si="33"/>
        <v>2.4464161639166246E-2</v>
      </c>
      <c r="M55" s="33">
        <f t="shared" si="33"/>
        <v>2.7014333305110636E-2</v>
      </c>
      <c r="N55" s="780" t="b">
        <f t="shared" si="30"/>
        <v>1</v>
      </c>
      <c r="P55" s="10"/>
      <c r="Q55" s="322"/>
      <c r="R55" s="322"/>
      <c r="S55" s="418" t="str">
        <f>B22</f>
        <v>Média 19 a 21</v>
      </c>
      <c r="T55" s="33">
        <f>AVERAGE(T49:T51)</f>
        <v>0.13527800290263842</v>
      </c>
      <c r="U55" s="33">
        <f t="shared" ref="U55:AE55" si="34">AVERAGE(U49:U51)</f>
        <v>0.10427024647989992</v>
      </c>
      <c r="V55" s="33">
        <f t="shared" si="34"/>
        <v>8.235828358613205E-2</v>
      </c>
      <c r="W55" s="33">
        <f t="shared" si="34"/>
        <v>7.3971078373949631E-2</v>
      </c>
      <c r="X55" s="33">
        <f t="shared" si="34"/>
        <v>6.4772956363487219E-2</v>
      </c>
      <c r="Y55" s="33">
        <f t="shared" si="34"/>
        <v>6.1618667877472354E-2</v>
      </c>
      <c r="Z55" s="33">
        <f t="shared" si="34"/>
        <v>8.3241546340024689E-2</v>
      </c>
      <c r="AA55" s="33">
        <f t="shared" si="34"/>
        <v>8.1764454348640714E-2</v>
      </c>
      <c r="AB55" s="33">
        <f t="shared" si="34"/>
        <v>7.0502459224038319E-2</v>
      </c>
      <c r="AC55" s="33">
        <f t="shared" si="34"/>
        <v>9.8844227475533356E-2</v>
      </c>
      <c r="AD55" s="33">
        <f t="shared" si="34"/>
        <v>6.2535347087119081E-2</v>
      </c>
      <c r="AE55" s="33">
        <f t="shared" si="34"/>
        <v>8.0842729941064187E-2</v>
      </c>
      <c r="AF55" s="780" t="b">
        <f t="shared" si="32"/>
        <v>1</v>
      </c>
      <c r="AH55" s="322"/>
    </row>
    <row r="56" spans="1:34" customFormat="1" ht="15" customHeight="1">
      <c r="A56" s="421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P56" s="10"/>
      <c r="Q56" s="322"/>
      <c r="R56" s="322"/>
      <c r="S56" s="420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H56" s="322"/>
    </row>
    <row r="57" spans="1:34" s="421" customFormat="1" ht="15" customHeight="1">
      <c r="B57" s="418" t="str">
        <f>B22</f>
        <v>Média 19 a 21</v>
      </c>
      <c r="C57" s="418">
        <v>2022</v>
      </c>
      <c r="D57" s="418">
        <v>2021</v>
      </c>
      <c r="E57" s="418">
        <v>2020</v>
      </c>
      <c r="F57" s="418">
        <v>2019</v>
      </c>
      <c r="G57" s="418">
        <v>2018</v>
      </c>
      <c r="H57" s="418">
        <v>2017</v>
      </c>
      <c r="I57" s="418">
        <v>2016</v>
      </c>
      <c r="J57" s="418">
        <v>2015</v>
      </c>
      <c r="P57" s="476"/>
      <c r="Q57" s="431"/>
      <c r="R57" s="431"/>
      <c r="S57" s="420"/>
      <c r="T57" s="522" t="str">
        <f>B22</f>
        <v>Média 19 a 21</v>
      </c>
      <c r="U57" s="418">
        <v>2022</v>
      </c>
      <c r="V57" s="418">
        <v>2021</v>
      </c>
      <c r="W57" s="418">
        <v>2020</v>
      </c>
      <c r="X57" s="418">
        <v>2019</v>
      </c>
      <c r="Y57" s="418">
        <v>2018</v>
      </c>
      <c r="Z57" s="418">
        <v>2017</v>
      </c>
      <c r="AA57" s="418">
        <v>2016</v>
      </c>
      <c r="AB57" s="418">
        <v>2015</v>
      </c>
      <c r="AH57" s="431"/>
    </row>
    <row r="58" spans="1:34" customFormat="1" ht="15" customHeight="1">
      <c r="A58" s="418" t="s">
        <v>120</v>
      </c>
      <c r="B58" s="36">
        <f>B55</f>
        <v>0.21776890782442673</v>
      </c>
      <c r="C58" s="37">
        <f>B47</f>
        <v>0.17663509597928351</v>
      </c>
      <c r="D58" s="37">
        <f>B48</f>
        <v>0.18070836849826796</v>
      </c>
      <c r="E58" s="37">
        <f>B49</f>
        <v>0.21438069809443805</v>
      </c>
      <c r="F58" s="37">
        <f>B50</f>
        <v>0.20360732019133176</v>
      </c>
      <c r="G58" s="37">
        <f>B51</f>
        <v>0.23531870518751041</v>
      </c>
      <c r="H58" s="37">
        <f>B52</f>
        <v>0.29465529666392914</v>
      </c>
      <c r="I58" s="37">
        <f>B53</f>
        <v>0.18467016923463039</v>
      </c>
      <c r="J58" s="37">
        <f>B54</f>
        <v>0.22864982343264764</v>
      </c>
      <c r="P58" s="10"/>
      <c r="Q58" s="322"/>
      <c r="R58" s="322"/>
      <c r="S58" s="418" t="s">
        <v>120</v>
      </c>
      <c r="T58" s="36">
        <f>T55</f>
        <v>0.13527800290263842</v>
      </c>
      <c r="U58" s="37">
        <f>T47</f>
        <v>0.1186830990135376</v>
      </c>
      <c r="V58" s="37">
        <f>T48</f>
        <v>0.1224755146991052</v>
      </c>
      <c r="W58" s="37">
        <f>T49</f>
        <v>0.13479244730623416</v>
      </c>
      <c r="X58" s="37">
        <f>T50</f>
        <v>9.8266663845493318E-2</v>
      </c>
      <c r="Y58" s="37">
        <f>T51</f>
        <v>0.17277489755618777</v>
      </c>
      <c r="Z58" s="37">
        <f>T52</f>
        <v>0.14892205884575974</v>
      </c>
      <c r="AA58" s="37">
        <f>T53</f>
        <v>0.10845469087901638</v>
      </c>
      <c r="AB58" s="37">
        <f>T54</f>
        <v>0.13864352239651648</v>
      </c>
      <c r="AH58" s="322"/>
    </row>
    <row r="59" spans="1:34" customFormat="1" ht="15" customHeight="1">
      <c r="A59" s="418" t="s">
        <v>121</v>
      </c>
      <c r="B59" s="36">
        <f>B55+C55</f>
        <v>0.42666970449931862</v>
      </c>
      <c r="C59" s="776">
        <f>SUM(B47:C47)</f>
        <v>0.38092268661352358</v>
      </c>
      <c r="D59" s="37">
        <f>SUM(B48:C48)</f>
        <v>0.37923141896774315</v>
      </c>
      <c r="E59" s="37">
        <f>SUM(B49:C49)</f>
        <v>0.41484470413809038</v>
      </c>
      <c r="F59" s="37">
        <f>SUM(B50:C50)</f>
        <v>0.41931058489621864</v>
      </c>
      <c r="G59" s="37">
        <f>SUM(B51:C51)</f>
        <v>0.44585382446364685</v>
      </c>
      <c r="H59" s="37">
        <f>SUM(B52:C52)</f>
        <v>0.48566150066074698</v>
      </c>
      <c r="I59" s="37">
        <f>SUM(B53:C53)</f>
        <v>0.46711048159207491</v>
      </c>
      <c r="J59" s="37">
        <f>SUM(B54:C54)</f>
        <v>0.52000992638951182</v>
      </c>
      <c r="K59" s="35"/>
      <c r="L59" s="35"/>
      <c r="M59" s="35"/>
      <c r="N59" s="35"/>
      <c r="O59" s="35"/>
      <c r="P59" s="309"/>
      <c r="Q59" s="322"/>
      <c r="R59" s="322"/>
      <c r="S59" s="418" t="s">
        <v>121</v>
      </c>
      <c r="T59" s="36">
        <f>T55+U55</f>
        <v>0.23954824938253833</v>
      </c>
      <c r="U59" s="776">
        <f>SUM(T47:U47)</f>
        <v>0.25743057168758443</v>
      </c>
      <c r="V59" s="37">
        <f>SUM(T48:U48)</f>
        <v>0.23350746866744582</v>
      </c>
      <c r="W59" s="37">
        <f>SUM(T49:U49)</f>
        <v>0.23900998779691665</v>
      </c>
      <c r="X59" s="37">
        <f>SUM(T50:U50)</f>
        <v>0.188196229070725</v>
      </c>
      <c r="Y59" s="37">
        <f>SUM(T51:U51)</f>
        <v>0.29143853127997338</v>
      </c>
      <c r="Z59" s="37">
        <f>SUM(T52:U52)</f>
        <v>0.23369639475053045</v>
      </c>
      <c r="AA59" s="37">
        <f>SUM(T53:U53)</f>
        <v>0.23503753951988457</v>
      </c>
      <c r="AB59" s="37">
        <f>SUM(T54:U54)</f>
        <v>0.28526060387008778</v>
      </c>
      <c r="AH59" s="322"/>
    </row>
    <row r="60" spans="1:34" customFormat="1" ht="15" customHeight="1">
      <c r="A60" s="418" t="s">
        <v>122</v>
      </c>
      <c r="B60" s="33">
        <f>B55+C55+D55</f>
        <v>0.52895609233686336</v>
      </c>
      <c r="C60" s="776">
        <f>SUM(B47:D47)</f>
        <v>0.55814632594463076</v>
      </c>
      <c r="D60" s="34">
        <f>SUM(B48:D48)</f>
        <v>0.52135688079093234</v>
      </c>
      <c r="E60" s="34">
        <f>SUM(B49:D49)</f>
        <v>0.52314893534644846</v>
      </c>
      <c r="F60" s="34">
        <f>SUM(B50:D50)</f>
        <v>0.50432009261032329</v>
      </c>
      <c r="G60" s="34">
        <f>SUM(B51:D51)</f>
        <v>0.55939924905381833</v>
      </c>
      <c r="H60" s="34">
        <f>SUM(B52:D52)</f>
        <v>0.58539168212638015</v>
      </c>
      <c r="I60" s="34">
        <f>SUM(B53:D53)</f>
        <v>0.561428115320596</v>
      </c>
      <c r="J60" s="34">
        <f>SUM(B54:D54)</f>
        <v>0.61181475949879682</v>
      </c>
      <c r="P60" s="10"/>
      <c r="Q60" s="322"/>
      <c r="R60" s="322"/>
      <c r="S60" s="418" t="s">
        <v>122</v>
      </c>
      <c r="T60" s="33">
        <f>T55+U55+V55</f>
        <v>0.32190653296867039</v>
      </c>
      <c r="U60" s="776">
        <f>SUM(T47:V47)</f>
        <v>0.40413481875464308</v>
      </c>
      <c r="V60" s="34">
        <f>SUM(T48:V48)</f>
        <v>0.3405041642422964</v>
      </c>
      <c r="W60" s="34">
        <f>SUM(T49:V49)</f>
        <v>0.33504014577377467</v>
      </c>
      <c r="X60" s="34">
        <f>SUM(T50:V50)</f>
        <v>0.253820242544053</v>
      </c>
      <c r="Y60" s="34">
        <f>SUM(T51:V51)</f>
        <v>0.3768592105881835</v>
      </c>
      <c r="Z60" s="34">
        <f>SUM(T52:V52)</f>
        <v>0.32910362519291758</v>
      </c>
      <c r="AA60" s="34">
        <f>SUM(T53:V53)</f>
        <v>0.3484575881541021</v>
      </c>
      <c r="AB60" s="34">
        <f>SUM(T54:V54)</f>
        <v>0.39922574212267725</v>
      </c>
      <c r="AH60" s="322"/>
    </row>
    <row r="61" spans="1:34" customFormat="1" ht="15" customHeight="1">
      <c r="A61" s="418" t="s">
        <v>123</v>
      </c>
      <c r="B61" s="33">
        <f>B55+C55+D55+E55</f>
        <v>0.61148218937436583</v>
      </c>
      <c r="C61" s="776">
        <f>SUM(B47:E47)</f>
        <v>0.64144817461419046</v>
      </c>
      <c r="D61" s="34">
        <f>SUM(B48:E48)</f>
        <v>0.62603284208431331</v>
      </c>
      <c r="E61" s="34">
        <f>SUM(B49:E49)</f>
        <v>0.57052760289875881</v>
      </c>
      <c r="F61" s="34">
        <f>SUM(B50:E50)</f>
        <v>0.59989330061953583</v>
      </c>
      <c r="G61" s="34">
        <f>SUM(B51:E51)</f>
        <v>0.66402566460480272</v>
      </c>
      <c r="H61" s="34">
        <f>SUM(B52:E52)</f>
        <v>0.64174897022177668</v>
      </c>
      <c r="I61" s="34">
        <f>SUM(B53:E53)</f>
        <v>0.63538215610201187</v>
      </c>
      <c r="J61" s="34">
        <f>SUM(B54:E54)</f>
        <v>0.68974681124051584</v>
      </c>
      <c r="P61" s="10"/>
      <c r="Q61" s="322"/>
      <c r="R61" s="322"/>
      <c r="S61" s="418" t="s">
        <v>123</v>
      </c>
      <c r="T61" s="33">
        <f>T55+U55+V55+W55</f>
        <v>0.39587761134262001</v>
      </c>
      <c r="U61" s="34">
        <f>SUM(T47:W47)</f>
        <v>0.50320352513399391</v>
      </c>
      <c r="V61" s="34">
        <f>SUM(T48:W48)</f>
        <v>0.42245822957532075</v>
      </c>
      <c r="W61" s="34">
        <f>SUM(T49:W49)</f>
        <v>0.39102384173089155</v>
      </c>
      <c r="X61" s="34">
        <f>SUM(T50:W50)</f>
        <v>0.32289449682200344</v>
      </c>
      <c r="Y61" s="34">
        <f>SUM(T51:W51)</f>
        <v>0.47371449547496514</v>
      </c>
      <c r="Z61" s="34">
        <f>SUM(T52:W52)</f>
        <v>0.38765169181382014</v>
      </c>
      <c r="AA61" s="34">
        <f>SUM(T53:W53)</f>
        <v>0.43053653085307442</v>
      </c>
      <c r="AB61" s="34">
        <f>SUM(T54:W54)</f>
        <v>0.48653539161933157</v>
      </c>
      <c r="AH61" s="322"/>
    </row>
    <row r="62" spans="1:34" customFormat="1" ht="15" customHeight="1">
      <c r="A62" s="418" t="s">
        <v>124</v>
      </c>
      <c r="B62" s="33">
        <f>B55+C55+D55+E55+F55</f>
        <v>0.69997604660571977</v>
      </c>
      <c r="C62" s="776">
        <f>SUM(B47:F47)</f>
        <v>0.74002539707382431</v>
      </c>
      <c r="D62" s="34">
        <f>SUM(B48:F48)</f>
        <v>0.71031501632141303</v>
      </c>
      <c r="E62" s="34">
        <f>SUM(B49:F49)</f>
        <v>0.61205340246926765</v>
      </c>
      <c r="F62" s="34">
        <f>SUM(B50:F50)</f>
        <v>0.72056780333293513</v>
      </c>
      <c r="G62" s="34">
        <f>SUM(B51:F51)</f>
        <v>0.76730693401495653</v>
      </c>
      <c r="H62" s="34">
        <f>SUM(B52:F52)</f>
        <v>0.7658907931781016</v>
      </c>
      <c r="I62" s="34">
        <f>SUM(B53:F53)</f>
        <v>0.73081655863720552</v>
      </c>
      <c r="J62" s="34">
        <f>SUM(B54:F54)</f>
        <v>0.77073809535369198</v>
      </c>
      <c r="P62" s="10"/>
      <c r="Q62" s="322"/>
      <c r="R62" s="322"/>
      <c r="S62" s="418" t="s">
        <v>124</v>
      </c>
      <c r="T62" s="33">
        <f>T55+U55+V55+W55+X55</f>
        <v>0.46065056770610724</v>
      </c>
      <c r="U62" s="776">
        <f>SUM(T47:X47)</f>
        <v>0.62093901434680965</v>
      </c>
      <c r="V62" s="34">
        <f>SUM(T48:X48)</f>
        <v>0.50537250905972786</v>
      </c>
      <c r="W62" s="34">
        <f>SUM(T49:X49)</f>
        <v>0.44061082922430406</v>
      </c>
      <c r="X62" s="34">
        <f>SUM(T50:X50)</f>
        <v>0.39315532989044177</v>
      </c>
      <c r="Y62" s="34">
        <f>SUM(T51:X51)</f>
        <v>0.548185544003576</v>
      </c>
      <c r="Z62" s="34">
        <f>SUM(T52:X52)</f>
        <v>0.48211150146759757</v>
      </c>
      <c r="AA62" s="34">
        <f>SUM(T53:X53)</f>
        <v>0.51027804428959711</v>
      </c>
      <c r="AB62" s="34">
        <f>SUM(T54:X54)</f>
        <v>0.56642541821774539</v>
      </c>
      <c r="AH62" s="322"/>
    </row>
    <row r="63" spans="1:34" customFormat="1" ht="15" customHeight="1">
      <c r="A63" s="418" t="s">
        <v>125</v>
      </c>
      <c r="B63" s="33">
        <f>B55+C55+D55+E55+F55+G55</f>
        <v>0.78558851249948747</v>
      </c>
      <c r="C63" s="776">
        <f>SUM(B47:G47)</f>
        <v>0.84845249614294393</v>
      </c>
      <c r="D63" s="34">
        <f>SUM(B48:G48)</f>
        <v>0.79594175980840443</v>
      </c>
      <c r="E63" s="34">
        <f>SUM(B49:G49)</f>
        <v>0.67623271152394859</v>
      </c>
      <c r="F63" s="34">
        <f>SUM(B50:G50)</f>
        <v>0.8222365121498767</v>
      </c>
      <c r="G63" s="34">
        <f>SUM(B51:G51)</f>
        <v>0.858296313824637</v>
      </c>
      <c r="H63" s="34">
        <f>SUM(B52:G52)</f>
        <v>0.84590861037178355</v>
      </c>
      <c r="I63" s="34">
        <f>SUM(B53:G53)</f>
        <v>0.82779187767320728</v>
      </c>
      <c r="J63" s="34">
        <f>SUM(B54:G54)</f>
        <v>0.85592423287567065</v>
      </c>
      <c r="P63" s="10"/>
      <c r="Q63" s="322"/>
      <c r="R63" s="322"/>
      <c r="S63" s="418" t="s">
        <v>125</v>
      </c>
      <c r="T63" s="33">
        <f>T55+U55+V55+W55+X55+Y55</f>
        <v>0.52226923558357963</v>
      </c>
      <c r="U63" s="776">
        <f>SUM(T47:Y47)</f>
        <v>0.72432851630942041</v>
      </c>
      <c r="V63" s="34">
        <f>SUM(T48:Y48)</f>
        <v>0.59417976823712126</v>
      </c>
      <c r="W63" s="34">
        <f>SUM(T49:Y49)</f>
        <v>0.50427803837378304</v>
      </c>
      <c r="X63" s="34">
        <f>SUM(T50:Y50)</f>
        <v>0.44929074691181076</v>
      </c>
      <c r="Y63" s="34">
        <f>SUM(T51:Y51)</f>
        <v>0.61323892146514514</v>
      </c>
      <c r="Z63" s="34">
        <f>SUM(T52:Y52)</f>
        <v>0.56344281398123319</v>
      </c>
      <c r="AA63" s="34">
        <f>SUM(T53:Y53)</f>
        <v>0.58891720527263303</v>
      </c>
      <c r="AB63" s="34">
        <f>SUM(T54:Y54)</f>
        <v>0.6473188986096835</v>
      </c>
      <c r="AH63" s="322"/>
    </row>
    <row r="64" spans="1:34" customFormat="1" ht="15" customHeight="1">
      <c r="A64" s="418" t="s">
        <v>126</v>
      </c>
      <c r="B64" s="33">
        <f>B55+C55+D55+E55+F55+G55+H55</f>
        <v>0.84106842721741459</v>
      </c>
      <c r="C64" s="737">
        <f>SUM(B47:H47)</f>
        <v>0.93275545323739972</v>
      </c>
      <c r="D64" s="34">
        <f>SUM(B48:H48)</f>
        <v>0.8563224078086088</v>
      </c>
      <c r="E64" s="34">
        <f>SUM(B49:H49)</f>
        <v>0.77454787083398846</v>
      </c>
      <c r="F64" s="34">
        <f>SUM(B50:H50)</f>
        <v>0.86202191229739833</v>
      </c>
      <c r="G64" s="34">
        <f>SUM(B51:H51)</f>
        <v>0.88663549852085666</v>
      </c>
      <c r="H64" s="34">
        <f>SUM(B52:H52)</f>
        <v>0.87556803097272273</v>
      </c>
      <c r="I64" s="34">
        <f>SUM(B53:H53)</f>
        <v>0.86889958887289553</v>
      </c>
      <c r="J64" s="34">
        <f>SUM(B54:H54)</f>
        <v>0.89456888787923028</v>
      </c>
      <c r="P64" s="10"/>
      <c r="Q64" s="322"/>
      <c r="R64" s="322"/>
      <c r="S64" s="418" t="s">
        <v>126</v>
      </c>
      <c r="T64" s="33">
        <f>T55+U55+V55+W55+X55+Y55+Z55</f>
        <v>0.6055107819236043</v>
      </c>
      <c r="U64" s="737">
        <f>SUM(T47:Z47)</f>
        <v>0.81287220589616127</v>
      </c>
      <c r="V64" s="34">
        <f>SUM(T48:Z48)</f>
        <v>0.67638175074461615</v>
      </c>
      <c r="W64" s="34">
        <f>SUM(T49:Z49)</f>
        <v>0.57845974910829057</v>
      </c>
      <c r="X64" s="34">
        <f>SUM(T50:Z50)</f>
        <v>0.55382454525018554</v>
      </c>
      <c r="Y64" s="34">
        <f>SUM(T51:Z51)</f>
        <v>0.68424805141233691</v>
      </c>
      <c r="Z64" s="34">
        <f>SUM(T52:Z52)</f>
        <v>0.63654592782961139</v>
      </c>
      <c r="AA64" s="34">
        <f>SUM(T53:Z53)</f>
        <v>0.65714880133579101</v>
      </c>
      <c r="AB64" s="34">
        <f>SUM(T54:Z54)</f>
        <v>0.71601131530099704</v>
      </c>
      <c r="AH64" s="322"/>
    </row>
    <row r="65" spans="1:34" customFormat="1" ht="15" customHeight="1">
      <c r="A65" s="418" t="s">
        <v>127</v>
      </c>
      <c r="B65" s="33">
        <f>B55+C55+D55+E55+F55+G55+H55+I55</f>
        <v>0.89563679588596812</v>
      </c>
      <c r="C65" s="737">
        <f>SUM(B47:I47)</f>
        <v>0.97154854697526127</v>
      </c>
      <c r="D65" s="34">
        <f>SUM(B48:I48)</f>
        <v>0.89769651900710834</v>
      </c>
      <c r="E65" s="34">
        <f>SUM(B49:I49)</f>
        <v>0.87931377182905823</v>
      </c>
      <c r="F65" s="34">
        <f>SUM(B50:I50)</f>
        <v>0.89198554208111169</v>
      </c>
      <c r="G65" s="34">
        <f>SUM(B51:I51)</f>
        <v>0.91561107374773432</v>
      </c>
      <c r="H65" s="34">
        <f>SUM(B52:I52)</f>
        <v>0.90620262194030299</v>
      </c>
      <c r="I65" s="34">
        <f>SUM(B53:I53)</f>
        <v>0.90370623157141783</v>
      </c>
      <c r="J65" s="34">
        <f>SUM(B54:I54)</f>
        <v>0.92229852257767841</v>
      </c>
      <c r="P65" s="10"/>
      <c r="Q65" s="322"/>
      <c r="R65" s="322"/>
      <c r="S65" s="418" t="s">
        <v>127</v>
      </c>
      <c r="T65" s="33">
        <f>T55+U55+V55+W55+X55+Y55+Z55+AA55</f>
        <v>0.68727523627224496</v>
      </c>
      <c r="U65" s="737">
        <f>SUM(T47:AA47)</f>
        <v>0.91589671766493264</v>
      </c>
      <c r="V65" s="34">
        <f>SUM(T48:AA48)</f>
        <v>0.75551994204864259</v>
      </c>
      <c r="W65" s="34">
        <f>SUM(T49:AA49)</f>
        <v>0.65372333503587188</v>
      </c>
      <c r="X65" s="34">
        <f>SUM(T50:AA50)</f>
        <v>0.65676006929528752</v>
      </c>
      <c r="Y65" s="34">
        <f>SUM(T51:AA51)</f>
        <v>0.75134230448557582</v>
      </c>
      <c r="Z65" s="34">
        <f>SUM(T52:AA52)</f>
        <v>0.71942160985113179</v>
      </c>
      <c r="AA65" s="34">
        <f>SUM(T53:AA53)</f>
        <v>0.72554059936806903</v>
      </c>
      <c r="AB65" s="34">
        <f>SUM(T54:AA54)</f>
        <v>0.77865539381456106</v>
      </c>
      <c r="AH65" s="322"/>
    </row>
    <row r="66" spans="1:34" customFormat="1" ht="15" customHeight="1">
      <c r="A66" s="418" t="s">
        <v>128</v>
      </c>
      <c r="B66" s="33">
        <f>B55+C55+D55+E55+F55+G55+H55+I55+J55</f>
        <v>0.92588215388509831</v>
      </c>
      <c r="C66" s="737">
        <f>SUM(B47:J47)</f>
        <v>1</v>
      </c>
      <c r="D66" s="34">
        <f>SUM(B48:J48)</f>
        <v>0.92855297003780346</v>
      </c>
      <c r="E66" s="34">
        <f>SUM(B49:J49)</f>
        <v>0.92097357433199123</v>
      </c>
      <c r="F66" s="34">
        <f>SUM(B50:J50)</f>
        <v>0.91903019827916155</v>
      </c>
      <c r="G66" s="34">
        <f>SUM(B51:J51)</f>
        <v>0.93764268904414205</v>
      </c>
      <c r="H66" s="34">
        <f>SUM(B52:J52)</f>
        <v>0.92692626011091783</v>
      </c>
      <c r="I66" s="34">
        <f>SUM(B53:J53)</f>
        <v>0.93163944560629186</v>
      </c>
      <c r="J66" s="34">
        <f>SUM(B54:J54)</f>
        <v>0.94621291192771928</v>
      </c>
      <c r="P66" s="10"/>
      <c r="Q66" s="322"/>
      <c r="R66" s="322"/>
      <c r="S66" s="418" t="s">
        <v>128</v>
      </c>
      <c r="T66" s="33">
        <f>T55+U55+V55+W55+X55+Y55+Z55+AA55+AB55</f>
        <v>0.75777769549628327</v>
      </c>
      <c r="U66" s="737">
        <f>SUM(T47:AB47)</f>
        <v>1</v>
      </c>
      <c r="V66" s="34">
        <f>SUM(T48:AB48)</f>
        <v>0.82068302711103247</v>
      </c>
      <c r="W66" s="34">
        <f>SUM(T49:AB49)</f>
        <v>0.72881699814084056</v>
      </c>
      <c r="X66" s="34">
        <f>SUM(T50:AB50)</f>
        <v>0.74038354489365266</v>
      </c>
      <c r="Y66" s="34">
        <f>SUM(T51:AB51)</f>
        <v>0.80413254345435692</v>
      </c>
      <c r="Z66" s="34">
        <f>SUM(T52:AB52)</f>
        <v>0.78093437797025278</v>
      </c>
      <c r="AA66" s="34">
        <f>SUM(T53:AB53)</f>
        <v>0.7885121283404104</v>
      </c>
      <c r="AB66" s="34">
        <f>SUM(T54:AB54)</f>
        <v>0.83557359052170221</v>
      </c>
      <c r="AH66" s="322"/>
    </row>
    <row r="67" spans="1:34" customFormat="1" ht="15" customHeight="1">
      <c r="A67" s="418" t="s">
        <v>129</v>
      </c>
      <c r="B67" s="33">
        <f>B55+C55+D55+E55+F55+G55+H55+I55+J55+K55</f>
        <v>0.94852150505572308</v>
      </c>
      <c r="C67" s="737">
        <f>SUM(B47:K47)*0</f>
        <v>0</v>
      </c>
      <c r="D67" s="34">
        <f>SUM(B48:K48)</f>
        <v>0.95175960426479156</v>
      </c>
      <c r="E67" s="34">
        <f>SUM(B49:K49)</f>
        <v>0.93850596095474526</v>
      </c>
      <c r="F67" s="34">
        <f>SUM(B50:K50)</f>
        <v>0.94621241917451626</v>
      </c>
      <c r="G67" s="34">
        <f>SUM(B51:K51)</f>
        <v>0.96084613503790772</v>
      </c>
      <c r="H67" s="34">
        <f>SUM(B52:K52)</f>
        <v>0.95609135632387676</v>
      </c>
      <c r="I67" s="34">
        <f>SUM(B53:K53)</f>
        <v>0.95433804356859775</v>
      </c>
      <c r="J67" s="34">
        <f>SUM(B54:K54)</f>
        <v>0.96637732346507965</v>
      </c>
      <c r="P67" s="10"/>
      <c r="Q67" s="322"/>
      <c r="R67" s="322"/>
      <c r="S67" s="418" t="s">
        <v>129</v>
      </c>
      <c r="T67" s="33">
        <f>T55+U55+V55+W55+X55+Y55+Z55+AA55+AB55+AC55</f>
        <v>0.85662192297181661</v>
      </c>
      <c r="U67" s="737">
        <f>SUM(T47:AC47)*0</f>
        <v>0</v>
      </c>
      <c r="V67" s="34">
        <f>SUM(T48:AC48)</f>
        <v>0.87768203050793259</v>
      </c>
      <c r="W67" s="34">
        <f>SUM(T49:AC49)</f>
        <v>0.86615391051340507</v>
      </c>
      <c r="X67" s="34">
        <f>SUM(T50:AC50)</f>
        <v>0.83249180598694927</v>
      </c>
      <c r="Y67" s="34">
        <f>SUM(T51:AC51)</f>
        <v>0.87122005241509581</v>
      </c>
      <c r="Z67" s="34">
        <f>SUM(T52:AC52)</f>
        <v>0.86898209763286405</v>
      </c>
      <c r="AA67" s="34">
        <f>SUM(T53:AC53)</f>
        <v>0.84407817828601683</v>
      </c>
      <c r="AB67" s="34">
        <f>SUM(T54:AC54)</f>
        <v>0.88523588111485552</v>
      </c>
      <c r="AH67" s="322"/>
    </row>
    <row r="68" spans="1:34" customFormat="1" ht="15" customHeight="1">
      <c r="A68" s="418" t="s">
        <v>130</v>
      </c>
      <c r="B68" s="33">
        <f>B55+C55+D55+E55+F55+G55+H55+I55+J55+K55+L55</f>
        <v>0.97298566669488928</v>
      </c>
      <c r="C68" s="737">
        <f>SUM(B47:L47)*0</f>
        <v>0</v>
      </c>
      <c r="D68" s="34">
        <f>SUM(B48:L48)</f>
        <v>0.97382830183340641</v>
      </c>
      <c r="E68" s="34">
        <f>SUM(B49:L49)</f>
        <v>0.96859255220217078</v>
      </c>
      <c r="F68" s="34">
        <f>SUM(B50:L50)</f>
        <v>0.97065660944315002</v>
      </c>
      <c r="G68" s="34">
        <f>SUM(B51:L51)</f>
        <v>0.97970783843934717</v>
      </c>
      <c r="H68" s="34">
        <f>SUM(B52:L52)</f>
        <v>0.98200652459950988</v>
      </c>
      <c r="I68" s="34">
        <f>SUM(B53:L53)</f>
        <v>0.9771250913104329</v>
      </c>
      <c r="J68" s="34">
        <f>SUM(B54:L54)</f>
        <v>0.9828975124532201</v>
      </c>
      <c r="P68" s="10"/>
      <c r="Q68" s="322"/>
      <c r="R68" s="322"/>
      <c r="S68" s="418" t="s">
        <v>130</v>
      </c>
      <c r="T68" s="33">
        <f>T55+U55+V55+W55+X55+Y55+Z55+AA55+AB55+AC55+AD55</f>
        <v>0.91915727005893566</v>
      </c>
      <c r="U68" s="737">
        <f>SUM(T47:AD47)*0</f>
        <v>0</v>
      </c>
      <c r="V68" s="34">
        <f>SUM(T48:AD48)</f>
        <v>0.93386173761477709</v>
      </c>
      <c r="W68" s="34">
        <f>SUM(T49:AD49)</f>
        <v>0.92802764031873963</v>
      </c>
      <c r="X68" s="34">
        <f>SUM(T50:AD50)</f>
        <v>0.90318781609644128</v>
      </c>
      <c r="Y68" s="34">
        <f>SUM(T51:AD51)</f>
        <v>0.92625635376162652</v>
      </c>
      <c r="Z68" s="34">
        <f>SUM(T52:AD52)</f>
        <v>0.94406775891169126</v>
      </c>
      <c r="AA68" s="34">
        <f>SUM(T53:AD53)</f>
        <v>0.90463745829784137</v>
      </c>
      <c r="AB68" s="34">
        <f>SUM(T54:AD54)</f>
        <v>0.93994682912880478</v>
      </c>
      <c r="AH68" s="322"/>
    </row>
    <row r="69" spans="1:34" s="10" customFormat="1" ht="15" customHeight="1">
      <c r="A69" s="418" t="s">
        <v>131</v>
      </c>
      <c r="B69" s="33">
        <f>SUM(B55:M55)</f>
        <v>0.99999999999999989</v>
      </c>
      <c r="C69" s="737">
        <f>SUM(B47:M47)*0</f>
        <v>0</v>
      </c>
      <c r="D69" s="34">
        <f>SUM(B48:M48)</f>
        <v>1</v>
      </c>
      <c r="E69" s="34">
        <f>SUM(B49:M49)</f>
        <v>1.0000000000000002</v>
      </c>
      <c r="F69" s="34">
        <f>SUM(B50:M50)</f>
        <v>0.99999999999999967</v>
      </c>
      <c r="G69" s="34">
        <f>SUM(B51:M51)</f>
        <v>1</v>
      </c>
      <c r="H69" s="34">
        <f>SUM(B52:M52)</f>
        <v>1.0000000000000002</v>
      </c>
      <c r="I69" s="34">
        <f>SUM(B53:M53)</f>
        <v>0.99999999999999989</v>
      </c>
      <c r="J69" s="34">
        <f>SUM(B54:M54)</f>
        <v>1</v>
      </c>
      <c r="K69"/>
      <c r="L69"/>
      <c r="M69"/>
      <c r="N69"/>
      <c r="O69"/>
      <c r="Q69" s="322"/>
      <c r="R69" s="322"/>
      <c r="S69" s="418" t="s">
        <v>131</v>
      </c>
      <c r="T69" s="33">
        <f>SUM(T55:AE55)</f>
        <v>0.99999999999999989</v>
      </c>
      <c r="U69" s="737">
        <f>SUM(T47:AE47)*0</f>
        <v>0</v>
      </c>
      <c r="V69" s="34">
        <f>SUM(T48:AE48)</f>
        <v>1</v>
      </c>
      <c r="W69" s="34">
        <f>SUM(T49:AE49)</f>
        <v>1.0000000000000002</v>
      </c>
      <c r="X69" s="34">
        <f>SUM(T50:AE50)</f>
        <v>1</v>
      </c>
      <c r="Y69" s="34">
        <f>SUM(T51:AE51)</f>
        <v>0.99999999999999989</v>
      </c>
      <c r="Z69" s="34">
        <f>SUM(T52:AE52)</f>
        <v>1</v>
      </c>
      <c r="AA69" s="34">
        <f>SUM(T53:AE53)</f>
        <v>0.99999999999999978</v>
      </c>
      <c r="AB69" s="34">
        <f>SUM(T54:AE54)</f>
        <v>1</v>
      </c>
      <c r="AC69"/>
      <c r="AD69"/>
      <c r="AE69"/>
      <c r="AF69"/>
      <c r="AG69"/>
      <c r="AH69" s="322"/>
    </row>
    <row r="70" spans="1:34" s="427" customFormat="1" ht="25.5" customHeight="1">
      <c r="A70" s="422"/>
      <c r="B70" s="432"/>
      <c r="C70" s="432"/>
      <c r="D70" s="432"/>
      <c r="E70" s="432"/>
      <c r="F70" s="432"/>
      <c r="G70" s="432"/>
      <c r="P70" s="476"/>
      <c r="Q70" s="433"/>
      <c r="R70" s="433"/>
      <c r="S70" s="422"/>
      <c r="T70" s="432"/>
      <c r="U70" s="432"/>
      <c r="V70" s="432"/>
      <c r="W70" s="432"/>
      <c r="X70" s="432"/>
      <c r="Y70" s="432"/>
      <c r="AH70" s="433"/>
    </row>
    <row r="71" spans="1:34" s="421" customFormat="1" ht="15" customHeight="1">
      <c r="A71" s="1004" t="s">
        <v>212</v>
      </c>
      <c r="B71" s="1005"/>
      <c r="C71" s="1005"/>
      <c r="D71" s="1005"/>
      <c r="E71" s="1005"/>
      <c r="F71" s="1005"/>
      <c r="G71" s="1005"/>
      <c r="H71" s="1005"/>
      <c r="I71" s="1005"/>
      <c r="J71" s="1005"/>
      <c r="K71" s="1005"/>
      <c r="L71" s="1005"/>
      <c r="M71" s="1005"/>
      <c r="N71" s="1005"/>
      <c r="O71" s="1006"/>
      <c r="P71" s="470"/>
      <c r="Q71" s="431"/>
      <c r="R71" s="431"/>
      <c r="S71" s="1004" t="s">
        <v>188</v>
      </c>
      <c r="T71" s="1005"/>
      <c r="U71" s="1005"/>
      <c r="V71" s="1005"/>
      <c r="W71" s="1005"/>
      <c r="X71" s="1005"/>
      <c r="Y71" s="1005"/>
      <c r="Z71" s="1005"/>
      <c r="AA71" s="1005"/>
      <c r="AB71" s="1005"/>
      <c r="AC71" s="1005"/>
      <c r="AD71" s="1005"/>
      <c r="AE71" s="1005"/>
      <c r="AF71" s="1005"/>
      <c r="AG71" s="1006"/>
      <c r="AH71" s="431"/>
    </row>
    <row r="72" spans="1:34" s="421" customFormat="1" ht="15" customHeight="1">
      <c r="A72" s="418" t="s">
        <v>105</v>
      </c>
      <c r="B72" s="429" t="s">
        <v>106</v>
      </c>
      <c r="C72" s="429" t="s">
        <v>107</v>
      </c>
      <c r="D72" s="429" t="s">
        <v>108</v>
      </c>
      <c r="E72" s="429" t="s">
        <v>109</v>
      </c>
      <c r="F72" s="429" t="s">
        <v>110</v>
      </c>
      <c r="G72" s="429" t="s">
        <v>111</v>
      </c>
      <c r="H72" s="429" t="s">
        <v>112</v>
      </c>
      <c r="I72" s="429" t="s">
        <v>113</v>
      </c>
      <c r="J72" s="429" t="s">
        <v>114</v>
      </c>
      <c r="K72" s="429" t="s">
        <v>115</v>
      </c>
      <c r="L72" s="429" t="s">
        <v>116</v>
      </c>
      <c r="M72" s="429" t="s">
        <v>117</v>
      </c>
      <c r="N72" s="429" t="s">
        <v>118</v>
      </c>
      <c r="O72" s="429" t="s">
        <v>119</v>
      </c>
      <c r="P72" s="471"/>
      <c r="Q72" s="431"/>
      <c r="R72" s="431"/>
      <c r="S72" s="418" t="s">
        <v>105</v>
      </c>
      <c r="T72" s="429" t="s">
        <v>106</v>
      </c>
      <c r="U72" s="429" t="s">
        <v>107</v>
      </c>
      <c r="V72" s="429" t="s">
        <v>108</v>
      </c>
      <c r="W72" s="429" t="s">
        <v>109</v>
      </c>
      <c r="X72" s="429" t="s">
        <v>110</v>
      </c>
      <c r="Y72" s="429" t="s">
        <v>111</v>
      </c>
      <c r="Z72" s="429" t="s">
        <v>112</v>
      </c>
      <c r="AA72" s="429" t="s">
        <v>113</v>
      </c>
      <c r="AB72" s="429" t="s">
        <v>114</v>
      </c>
      <c r="AC72" s="429" t="s">
        <v>115</v>
      </c>
      <c r="AD72" s="429" t="s">
        <v>116</v>
      </c>
      <c r="AE72" s="429" t="s">
        <v>117</v>
      </c>
      <c r="AF72" s="429" t="s">
        <v>118</v>
      </c>
      <c r="AG72" s="429" t="s">
        <v>119</v>
      </c>
      <c r="AH72" s="431"/>
    </row>
    <row r="73" spans="1:34" s="421" customFormat="1" ht="15" customHeight="1">
      <c r="A73" s="419">
        <v>2022</v>
      </c>
      <c r="B73" s="26">
        <f>'ARRECADAÇÃO MENSAL POR RECEITA'!D5</f>
        <v>414294.46000000008</v>
      </c>
      <c r="C73" s="27">
        <f>'ARRECADAÇÃO MENSAL POR RECEITA'!$D$6</f>
        <v>388254.64</v>
      </c>
      <c r="D73" s="27">
        <f>'ARRECADAÇÃO MENSAL POR RECEITA'!$D$7</f>
        <v>226604.11999999997</v>
      </c>
      <c r="E73" s="27">
        <f>'ARRECADAÇÃO MENSAL POR RECEITA'!$D$8</f>
        <v>139317.31</v>
      </c>
      <c r="F73" s="27">
        <f>'ARRECADAÇÃO MENSAL POR RECEITA'!$D$9</f>
        <v>135110.14000000001</v>
      </c>
      <c r="G73" s="27">
        <f>'ARRECADAÇÃO MENSAL POR RECEITA'!$D$10</f>
        <v>141859.54</v>
      </c>
      <c r="H73" s="27">
        <f>'ARRECADAÇÃO MENSAL POR RECEITA'!$D$11</f>
        <v>307286.05000000005</v>
      </c>
      <c r="I73" s="27">
        <f>'ARRECADAÇÃO MENSAL POR RECEITA'!$D$12</f>
        <v>1130342.05</v>
      </c>
      <c r="J73" s="27">
        <f>'ARRECADAÇÃO MENSAL POR RECEITA'!$D$13</f>
        <v>544540.93999999994</v>
      </c>
      <c r="K73" s="27">
        <f>'ARRECADAÇÃO MENSAL POR RECEITA'!$D$14</f>
        <v>0</v>
      </c>
      <c r="L73" s="27">
        <f>'ARRECADAÇÃO MENSAL POR RECEITA'!$D$15</f>
        <v>0</v>
      </c>
      <c r="M73" s="27">
        <f>'ARRECADAÇÃO MENSAL POR RECEITA'!$D$16</f>
        <v>0</v>
      </c>
      <c r="N73" s="28">
        <f>SUM(B73:M73)</f>
        <v>3427609.25</v>
      </c>
      <c r="O73" s="119">
        <f>'Evolução das Receitas'!AC100+'Evolução das Receitas'!AC102</f>
        <v>5588402.3580000009</v>
      </c>
      <c r="P73" s="472"/>
      <c r="Q73" s="142">
        <f>N74/O73</f>
        <v>1.1155062629082082</v>
      </c>
      <c r="R73" s="431"/>
      <c r="S73" s="419">
        <v>2022</v>
      </c>
      <c r="T73" s="26">
        <f>'ARRECADAÇÃO MENSAL POR RECEITA'!E5</f>
        <v>273703.60000000003</v>
      </c>
      <c r="U73" s="27">
        <f>'ARRECADAÇÃO MENSAL POR RECEITA'!$E$6</f>
        <v>365541.57999999996</v>
      </c>
      <c r="V73" s="27">
        <f>'ARRECADAÇÃO MENSAL POR RECEITA'!$E$7</f>
        <v>373921.94999999995</v>
      </c>
      <c r="W73" s="27">
        <f>'ARRECADAÇÃO MENSAL POR RECEITA'!$E$8</f>
        <v>247468.26</v>
      </c>
      <c r="X73" s="27">
        <f>'ARRECADAÇÃO MENSAL POR RECEITA'!$E$9</f>
        <v>308732.00000000006</v>
      </c>
      <c r="Y73" s="27">
        <f>'ARRECADAÇÃO MENSAL POR RECEITA'!$E$10</f>
        <v>255692.09000000003</v>
      </c>
      <c r="Z73" s="27">
        <f>'ARRECADAÇÃO MENSAL POR RECEITA'!$E$11</f>
        <v>216643.60000000003</v>
      </c>
      <c r="AA73" s="27">
        <f>'ARRECADAÇÃO MENSAL POR RECEITA'!$E$12</f>
        <v>405032.99</v>
      </c>
      <c r="AB73" s="27">
        <f>'ARRECADAÇÃO MENSAL POR RECEITA'!$E$13</f>
        <v>378030.97000000003</v>
      </c>
      <c r="AC73" s="27">
        <f>'ARRECADAÇÃO MENSAL POR RECEITA'!$E$14</f>
        <v>0</v>
      </c>
      <c r="AD73" s="27">
        <f>'ARRECADAÇÃO MENSAL POR RECEITA'!$E$15</f>
        <v>0</v>
      </c>
      <c r="AE73" s="27">
        <f>'ARRECADAÇÃO MENSAL POR RECEITA'!$E$16</f>
        <v>0</v>
      </c>
      <c r="AF73" s="28">
        <f>SUM(T73:AE73)</f>
        <v>2824767.0400000005</v>
      </c>
      <c r="AG73" s="119">
        <f>'Evolução das Receitas'!AC134+'Evolução das Receitas'!AC136</f>
        <v>2800012.5260000001</v>
      </c>
      <c r="AH73" s="142">
        <f>AF74/AG73</f>
        <v>0.9476390499547358</v>
      </c>
    </row>
    <row r="74" spans="1:34" s="145" customFormat="1" ht="15" customHeight="1">
      <c r="A74" s="419">
        <v>2021</v>
      </c>
      <c r="B74" s="29">
        <v>589310.64</v>
      </c>
      <c r="C74" s="29">
        <v>572310.38000000012</v>
      </c>
      <c r="D74" s="29">
        <v>349542.42000000004</v>
      </c>
      <c r="E74" s="29">
        <v>265857.13</v>
      </c>
      <c r="F74" s="29">
        <v>229831.79</v>
      </c>
      <c r="G74" s="29">
        <v>308279.7</v>
      </c>
      <c r="H74" s="29">
        <v>354704.97000000003</v>
      </c>
      <c r="I74" s="29">
        <v>1526954.6099999999</v>
      </c>
      <c r="J74" s="29">
        <v>566551.60000000009</v>
      </c>
      <c r="K74" s="29">
        <v>501361.37</v>
      </c>
      <c r="L74" s="29">
        <v>436826.88000000006</v>
      </c>
      <c r="M74" s="29">
        <v>532366.34000000008</v>
      </c>
      <c r="N74" s="28">
        <f>SUM(B74:M74)</f>
        <v>6233897.8300000001</v>
      </c>
      <c r="R74" s="142"/>
      <c r="S74" s="419">
        <v>2021</v>
      </c>
      <c r="T74" s="399">
        <v>248162.58000000005</v>
      </c>
      <c r="U74" s="399">
        <v>224134.09000000003</v>
      </c>
      <c r="V74" s="399">
        <v>233379.70000000004</v>
      </c>
      <c r="W74" s="399">
        <v>207676.16</v>
      </c>
      <c r="X74" s="399">
        <v>200547.52</v>
      </c>
      <c r="Y74" s="399">
        <v>236783.43999999997</v>
      </c>
      <c r="Z74" s="399">
        <v>223092.02999999997</v>
      </c>
      <c r="AA74" s="399">
        <v>291287.94</v>
      </c>
      <c r="AB74" s="399">
        <v>208791.66</v>
      </c>
      <c r="AC74" s="399">
        <v>181682.56</v>
      </c>
      <c r="AD74" s="399">
        <v>174722.39</v>
      </c>
      <c r="AE74" s="399">
        <v>223141.13999999998</v>
      </c>
      <c r="AF74" s="28">
        <f>SUM(T74:AE74)</f>
        <v>2653401.21</v>
      </c>
    </row>
    <row r="75" spans="1:34" customFormat="1" ht="15" customHeight="1">
      <c r="A75" s="419">
        <v>2020</v>
      </c>
      <c r="B75" s="29">
        <v>1353434.86</v>
      </c>
      <c r="C75" s="29">
        <v>1666209.47</v>
      </c>
      <c r="D75" s="29">
        <v>836933.33000000007</v>
      </c>
      <c r="E75" s="29">
        <v>343340.64999999997</v>
      </c>
      <c r="F75" s="29">
        <v>288865.99</v>
      </c>
      <c r="G75" s="29">
        <v>449344.10000000009</v>
      </c>
      <c r="H75" s="29">
        <v>540262.66</v>
      </c>
      <c r="I75" s="29">
        <v>739083.66</v>
      </c>
      <c r="J75" s="29">
        <v>249049.36999999997</v>
      </c>
      <c r="K75" s="29">
        <v>110215.17999999998</v>
      </c>
      <c r="L75" s="29">
        <v>190346.61000000002</v>
      </c>
      <c r="M75" s="29">
        <v>202206.49000000002</v>
      </c>
      <c r="N75" s="28">
        <f>SUM(B75:M75)</f>
        <v>6969292.370000001</v>
      </c>
      <c r="P75" s="10"/>
      <c r="Q75" s="322"/>
      <c r="R75" s="322"/>
      <c r="S75" s="419">
        <v>2020</v>
      </c>
      <c r="T75" s="29">
        <v>320293.44</v>
      </c>
      <c r="U75" s="29">
        <v>251289.02</v>
      </c>
      <c r="V75" s="29">
        <v>235766.97</v>
      </c>
      <c r="W75" s="29">
        <v>117016.25999999998</v>
      </c>
      <c r="X75" s="29">
        <v>107057.12</v>
      </c>
      <c r="Y75" s="29">
        <v>144949.47000000003</v>
      </c>
      <c r="Z75" s="29">
        <v>165957.5</v>
      </c>
      <c r="AA75" s="29">
        <v>157061.48000000001</v>
      </c>
      <c r="AB75" s="29">
        <v>138810.25</v>
      </c>
      <c r="AC75" s="29">
        <v>207191.53999999998</v>
      </c>
      <c r="AD75" s="29">
        <v>128432.87</v>
      </c>
      <c r="AE75" s="29">
        <v>162242.75</v>
      </c>
      <c r="AF75" s="28">
        <f>SUM(T75:AE75)</f>
        <v>2136068.67</v>
      </c>
      <c r="AH75" s="322"/>
    </row>
    <row r="76" spans="1:34" customFormat="1" ht="15" customHeight="1">
      <c r="A76" s="419">
        <v>2019</v>
      </c>
      <c r="B76" s="26">
        <v>1110920.1000000001</v>
      </c>
      <c r="C76" s="27">
        <v>1642924.7299999997</v>
      </c>
      <c r="D76" s="27">
        <v>578247.42999999993</v>
      </c>
      <c r="E76" s="27">
        <v>659842.43000000005</v>
      </c>
      <c r="F76" s="27">
        <v>798473.39999999991</v>
      </c>
      <c r="G76" s="27">
        <v>780444.39999999991</v>
      </c>
      <c r="H76" s="27">
        <v>392258.43999999994</v>
      </c>
      <c r="I76" s="27">
        <v>280682.5</v>
      </c>
      <c r="J76" s="27">
        <v>254330.93000000005</v>
      </c>
      <c r="K76" s="27">
        <v>267443.55000000005</v>
      </c>
      <c r="L76" s="27">
        <v>234102.81000000003</v>
      </c>
      <c r="M76" s="27">
        <v>246506.51999999996</v>
      </c>
      <c r="N76" s="28">
        <f>SUM(B76:M76)</f>
        <v>7246177.2399999984</v>
      </c>
      <c r="O76" s="121"/>
      <c r="P76" s="472"/>
      <c r="Q76" s="142"/>
      <c r="R76" s="142"/>
      <c r="S76" s="419">
        <v>2019</v>
      </c>
      <c r="T76" s="26">
        <v>210957</v>
      </c>
      <c r="U76" s="27">
        <v>221486.11999999997</v>
      </c>
      <c r="V76" s="27">
        <v>157938.5</v>
      </c>
      <c r="W76" s="27">
        <v>181540.96</v>
      </c>
      <c r="X76" s="27">
        <v>168196.24</v>
      </c>
      <c r="Y76" s="27">
        <v>143868.56999999998</v>
      </c>
      <c r="Z76" s="27">
        <v>265382.21000000002</v>
      </c>
      <c r="AA76" s="27">
        <v>286135.21999999997</v>
      </c>
      <c r="AB76" s="27">
        <v>213153.17999999996</v>
      </c>
      <c r="AC76" s="27">
        <v>239891.08000000002</v>
      </c>
      <c r="AD76" s="27">
        <v>180358.93</v>
      </c>
      <c r="AE76" s="27">
        <v>238775.25999999998</v>
      </c>
      <c r="AF76" s="28">
        <f>SUM(T76:AE76)</f>
        <v>2507683.2699999996</v>
      </c>
      <c r="AG76" s="121"/>
      <c r="AH76" s="142"/>
    </row>
    <row r="77" spans="1:34" customFormat="1" ht="15" customHeight="1">
      <c r="A77" s="418">
        <v>2018</v>
      </c>
      <c r="B77" s="29">
        <v>1239430.26</v>
      </c>
      <c r="C77" s="30">
        <v>1231457.5399999998</v>
      </c>
      <c r="D77" s="30">
        <v>595619.82000000007</v>
      </c>
      <c r="E77" s="30">
        <v>659323.18999999994</v>
      </c>
      <c r="F77" s="30">
        <v>682137.74000000011</v>
      </c>
      <c r="G77" s="30">
        <v>703224.27</v>
      </c>
      <c r="H77" s="30">
        <v>240388.9</v>
      </c>
      <c r="I77" s="30">
        <v>224383.27999999994</v>
      </c>
      <c r="J77" s="30">
        <v>169449.03000000003</v>
      </c>
      <c r="K77" s="30">
        <v>181176.16</v>
      </c>
      <c r="L77" s="30">
        <v>148931.46000000002</v>
      </c>
      <c r="M77" s="30">
        <v>137117.37</v>
      </c>
      <c r="N77" s="28">
        <f t="shared" ref="N77:N80" si="35">SUM(B77:M77)</f>
        <v>6212639.0200000014</v>
      </c>
      <c r="O77" s="121"/>
      <c r="P77" s="472"/>
      <c r="Q77" s="322"/>
      <c r="R77" s="322"/>
      <c r="S77" s="418">
        <v>2018</v>
      </c>
      <c r="T77" s="29">
        <v>206952.54000000004</v>
      </c>
      <c r="U77" s="30">
        <v>166092.61999999997</v>
      </c>
      <c r="V77" s="30">
        <v>109930.59</v>
      </c>
      <c r="W77" s="30">
        <v>128778.78999999998</v>
      </c>
      <c r="X77" s="30">
        <v>106180.54999999999</v>
      </c>
      <c r="Y77" s="30">
        <v>99622.11</v>
      </c>
      <c r="Z77" s="30">
        <v>101035.79999999999</v>
      </c>
      <c r="AA77" s="30">
        <v>99792.669999999984</v>
      </c>
      <c r="AB77" s="30">
        <v>82549.41</v>
      </c>
      <c r="AC77" s="30">
        <v>102444.89</v>
      </c>
      <c r="AD77" s="30">
        <v>97777.989999999991</v>
      </c>
      <c r="AE77" s="30">
        <v>108846.93000000001</v>
      </c>
      <c r="AF77" s="28">
        <f>SUM(T77:AE77)</f>
        <v>1410004.8899999997</v>
      </c>
      <c r="AG77" s="121"/>
      <c r="AH77" s="322"/>
    </row>
    <row r="78" spans="1:34" customFormat="1" ht="15" customHeight="1">
      <c r="A78" s="418">
        <v>2017</v>
      </c>
      <c r="B78" s="26">
        <v>1387517.27</v>
      </c>
      <c r="C78" s="27">
        <v>1100623.3599999999</v>
      </c>
      <c r="D78" s="27">
        <v>639507.97</v>
      </c>
      <c r="E78" s="27">
        <v>351770.44</v>
      </c>
      <c r="F78" s="27">
        <v>722745.53</v>
      </c>
      <c r="G78" s="27">
        <v>561749.43999999994</v>
      </c>
      <c r="H78" s="27">
        <v>234667.34000000003</v>
      </c>
      <c r="I78" s="27">
        <v>226692.00999999998</v>
      </c>
      <c r="J78" s="27">
        <v>151302.42000000004</v>
      </c>
      <c r="K78" s="27">
        <v>191947.44</v>
      </c>
      <c r="L78" s="27">
        <v>120992.3</v>
      </c>
      <c r="M78" s="27">
        <v>102299.43999999997</v>
      </c>
      <c r="N78" s="28">
        <f t="shared" si="35"/>
        <v>5791814.96</v>
      </c>
      <c r="O78" s="121"/>
      <c r="P78" s="472"/>
      <c r="Q78" s="322"/>
      <c r="R78" s="322"/>
      <c r="S78" s="418">
        <v>2017</v>
      </c>
      <c r="T78" s="26">
        <v>193436.87999999995</v>
      </c>
      <c r="U78" s="27">
        <v>117997.42000000004</v>
      </c>
      <c r="V78" s="27">
        <v>150462.67000000001</v>
      </c>
      <c r="W78" s="27">
        <v>96932.030000000013</v>
      </c>
      <c r="X78" s="27">
        <v>121677.33999999997</v>
      </c>
      <c r="Y78" s="27">
        <v>123500.8</v>
      </c>
      <c r="Z78" s="27">
        <v>96041.549999999988</v>
      </c>
      <c r="AA78" s="27">
        <v>107515.93</v>
      </c>
      <c r="AB78" s="27">
        <v>76873.16</v>
      </c>
      <c r="AC78" s="27">
        <v>100090.94000000002</v>
      </c>
      <c r="AD78" s="27">
        <v>83590.62</v>
      </c>
      <c r="AE78" s="27">
        <v>79535.510000000009</v>
      </c>
      <c r="AF78" s="28">
        <f t="shared" ref="AF78:AF80" si="36">SUM(T78:AE78)</f>
        <v>1347654.8499999999</v>
      </c>
      <c r="AG78" s="121"/>
      <c r="AH78" s="322"/>
    </row>
    <row r="79" spans="1:34" customFormat="1" ht="15" customHeight="1">
      <c r="A79" s="418">
        <v>2016</v>
      </c>
      <c r="B79" s="29">
        <v>757090.48</v>
      </c>
      <c r="C79" s="30">
        <v>1548851.28</v>
      </c>
      <c r="D79" s="30">
        <v>513351.02999999991</v>
      </c>
      <c r="E79" s="30">
        <v>431176.94</v>
      </c>
      <c r="F79" s="30">
        <v>548503.72</v>
      </c>
      <c r="G79" s="30">
        <v>698724.34000000008</v>
      </c>
      <c r="H79" s="30">
        <v>288170.39</v>
      </c>
      <c r="I79" s="30">
        <v>229862.97000000006</v>
      </c>
      <c r="J79" s="30">
        <v>177442.97999999998</v>
      </c>
      <c r="K79" s="30">
        <v>161900.69999999998</v>
      </c>
      <c r="L79" s="30">
        <v>145665.12999999998</v>
      </c>
      <c r="M79" s="30">
        <v>136265.95000000001</v>
      </c>
      <c r="N79" s="28">
        <f t="shared" si="35"/>
        <v>5637005.9099999992</v>
      </c>
      <c r="O79" s="121"/>
      <c r="P79" s="472"/>
      <c r="Q79" s="322"/>
      <c r="R79" s="322"/>
      <c r="S79" s="418">
        <v>2016</v>
      </c>
      <c r="T79" s="29">
        <v>89292.670000000013</v>
      </c>
      <c r="U79" s="30">
        <v>105477.42000000001</v>
      </c>
      <c r="V79" s="30">
        <v>106145.87</v>
      </c>
      <c r="W79" s="30">
        <v>78402.169999999984</v>
      </c>
      <c r="X79" s="30">
        <v>77389.540000000008</v>
      </c>
      <c r="Y79" s="30">
        <v>68020.689999999988</v>
      </c>
      <c r="Z79" s="30">
        <v>46338.030000000006</v>
      </c>
      <c r="AA79" s="30">
        <v>50129.029999999992</v>
      </c>
      <c r="AB79" s="30">
        <v>46250.39</v>
      </c>
      <c r="AC79" s="30">
        <v>41660.130000000005</v>
      </c>
      <c r="AD79" s="30">
        <v>49559.899999999994</v>
      </c>
      <c r="AE79" s="30">
        <v>63752.289999999994</v>
      </c>
      <c r="AF79" s="28">
        <f t="shared" si="36"/>
        <v>822418.13000000012</v>
      </c>
      <c r="AG79" s="121"/>
      <c r="AH79" s="322"/>
    </row>
    <row r="80" spans="1:34" customFormat="1" ht="15" customHeight="1">
      <c r="A80" s="418">
        <v>2015</v>
      </c>
      <c r="B80" s="26">
        <v>779649.06299999997</v>
      </c>
      <c r="C80" s="27">
        <v>1348956.05</v>
      </c>
      <c r="D80" s="27">
        <v>484842.36</v>
      </c>
      <c r="E80" s="27">
        <v>392508.39999999997</v>
      </c>
      <c r="F80" s="27">
        <v>435794.26000000007</v>
      </c>
      <c r="G80" s="27">
        <v>583429.99000000011</v>
      </c>
      <c r="H80" s="27">
        <v>301644.12999999995</v>
      </c>
      <c r="I80" s="27">
        <v>214863.59999999995</v>
      </c>
      <c r="J80" s="27">
        <v>159425.85</v>
      </c>
      <c r="K80" s="27">
        <v>131686.71000000002</v>
      </c>
      <c r="L80" s="27">
        <v>117219.5</v>
      </c>
      <c r="M80" s="27">
        <v>109619.66000000009</v>
      </c>
      <c r="N80" s="28">
        <f t="shared" si="35"/>
        <v>5059639.5729999999</v>
      </c>
      <c r="O80" s="121"/>
      <c r="P80" s="472"/>
      <c r="Q80" s="322"/>
      <c r="R80" s="322"/>
      <c r="S80" s="418">
        <v>2015</v>
      </c>
      <c r="T80" s="26">
        <v>104136.21700000002</v>
      </c>
      <c r="U80" s="27">
        <v>119021.96999999997</v>
      </c>
      <c r="V80" s="27">
        <v>104797.19999999998</v>
      </c>
      <c r="W80" s="27">
        <v>79691.23000000001</v>
      </c>
      <c r="X80" s="27">
        <v>76675.030000000013</v>
      </c>
      <c r="Y80" s="27">
        <v>82187.010000000009</v>
      </c>
      <c r="Z80" s="27">
        <v>65968.19</v>
      </c>
      <c r="AA80" s="27">
        <v>52624.36</v>
      </c>
      <c r="AB80" s="27">
        <v>43325.85</v>
      </c>
      <c r="AC80" s="27">
        <v>41935.11</v>
      </c>
      <c r="AD80" s="27">
        <v>48309.36</v>
      </c>
      <c r="AE80" s="27">
        <v>43274.869999999995</v>
      </c>
      <c r="AF80" s="28">
        <f t="shared" si="36"/>
        <v>861946.397</v>
      </c>
      <c r="AG80" s="121"/>
      <c r="AH80" s="322"/>
    </row>
    <row r="81" spans="1:34" customFormat="1" ht="15" customHeight="1">
      <c r="A81" s="420"/>
      <c r="P81" s="10"/>
      <c r="Q81" s="322"/>
      <c r="R81" s="322"/>
      <c r="S81" s="420"/>
      <c r="AH81" s="322"/>
    </row>
    <row r="82" spans="1:34" s="566" customFormat="1" ht="15" customHeight="1">
      <c r="A82" s="418">
        <v>2022</v>
      </c>
      <c r="B82" s="31">
        <f>B73/$N$73</f>
        <v>0.12086980451461907</v>
      </c>
      <c r="C82" s="31">
        <f t="shared" ref="C82:M82" si="37">C73/$N$73</f>
        <v>0.11327272500504543</v>
      </c>
      <c r="D82" s="31">
        <f t="shared" si="37"/>
        <v>6.6111421539663526E-2</v>
      </c>
      <c r="E82" s="31">
        <f t="shared" si="37"/>
        <v>4.064562201773729E-2</v>
      </c>
      <c r="F82" s="31">
        <f t="shared" si="37"/>
        <v>3.9418186305804848E-2</v>
      </c>
      <c r="G82" s="31">
        <f t="shared" si="37"/>
        <v>4.1387313912751286E-2</v>
      </c>
      <c r="H82" s="31">
        <f t="shared" si="37"/>
        <v>8.9650256953881208E-2</v>
      </c>
      <c r="I82" s="31">
        <f t="shared" si="37"/>
        <v>0.32977564464210735</v>
      </c>
      <c r="J82" s="31">
        <f t="shared" si="37"/>
        <v>0.15886902510839004</v>
      </c>
      <c r="K82" s="31">
        <f t="shared" si="37"/>
        <v>0</v>
      </c>
      <c r="L82" s="31">
        <f t="shared" si="37"/>
        <v>0</v>
      </c>
      <c r="M82" s="31">
        <f t="shared" si="37"/>
        <v>0</v>
      </c>
      <c r="N82" s="780" t="b">
        <f>SUM(B82:M82)=100%</f>
        <v>1</v>
      </c>
      <c r="P82" s="10"/>
      <c r="Q82" s="322"/>
      <c r="R82" s="322"/>
      <c r="S82" s="418">
        <v>2022</v>
      </c>
      <c r="T82" s="31">
        <f>T73/$AF$73</f>
        <v>9.6894220346043114E-2</v>
      </c>
      <c r="U82" s="31">
        <f t="shared" ref="U82:AE82" si="38">U73/$AF$73</f>
        <v>0.12940592085073319</v>
      </c>
      <c r="V82" s="31">
        <f t="shared" si="38"/>
        <v>0.13237266815460999</v>
      </c>
      <c r="W82" s="31">
        <f t="shared" si="38"/>
        <v>8.7606608437345676E-2</v>
      </c>
      <c r="X82" s="31">
        <f t="shared" si="38"/>
        <v>0.10929467656207147</v>
      </c>
      <c r="Y82" s="31">
        <f t="shared" si="38"/>
        <v>9.0517938781953494E-2</v>
      </c>
      <c r="Z82" s="31">
        <f t="shared" si="38"/>
        <v>7.6694324499056749E-2</v>
      </c>
      <c r="AA82" s="31">
        <f t="shared" si="38"/>
        <v>0.14338633390454736</v>
      </c>
      <c r="AB82" s="31">
        <f t="shared" si="38"/>
        <v>0.13382730846363883</v>
      </c>
      <c r="AC82" s="31">
        <f t="shared" si="38"/>
        <v>0</v>
      </c>
      <c r="AD82" s="31">
        <f t="shared" si="38"/>
        <v>0</v>
      </c>
      <c r="AE82" s="31">
        <f t="shared" si="38"/>
        <v>0</v>
      </c>
      <c r="AF82" s="780" t="b">
        <f>SUM(T82:AE82)=100%</f>
        <v>1</v>
      </c>
      <c r="AH82" s="322"/>
    </row>
    <row r="83" spans="1:34" s="145" customFormat="1" ht="15" customHeight="1">
      <c r="A83" s="418">
        <v>2021</v>
      </c>
      <c r="B83" s="31">
        <f t="shared" ref="B83:M83" si="39">B74/$N$74</f>
        <v>9.453325288136781E-2</v>
      </c>
      <c r="C83" s="31">
        <f t="shared" si="39"/>
        <v>9.1806185408720459E-2</v>
      </c>
      <c r="D83" s="31">
        <f t="shared" si="39"/>
        <v>5.6071246198143104E-2</v>
      </c>
      <c r="E83" s="31">
        <f t="shared" si="39"/>
        <v>4.2647014315921182E-2</v>
      </c>
      <c r="F83" s="31">
        <f t="shared" si="39"/>
        <v>3.6868071352398155E-2</v>
      </c>
      <c r="G83" s="31">
        <f t="shared" si="39"/>
        <v>4.9452157928613343E-2</v>
      </c>
      <c r="H83" s="31">
        <f t="shared" si="39"/>
        <v>5.6899387778384561E-2</v>
      </c>
      <c r="I83" s="31">
        <f t="shared" si="39"/>
        <v>0.24494379786779402</v>
      </c>
      <c r="J83" s="31">
        <f t="shared" si="39"/>
        <v>9.0882400618362405E-2</v>
      </c>
      <c r="K83" s="31">
        <f t="shared" si="39"/>
        <v>8.0425021980188596E-2</v>
      </c>
      <c r="L83" s="31">
        <f t="shared" si="39"/>
        <v>7.0072832746442368E-2</v>
      </c>
      <c r="M83" s="31">
        <f t="shared" si="39"/>
        <v>8.5398630923664023E-2</v>
      </c>
      <c r="N83" s="780" t="b">
        <f>SUM(B83:M83)=100%</f>
        <v>1</v>
      </c>
      <c r="P83" s="10"/>
      <c r="Q83" s="322"/>
      <c r="R83" s="322"/>
      <c r="S83" s="418">
        <v>2021</v>
      </c>
      <c r="T83" s="31">
        <f>T74/$AF$74</f>
        <v>9.3526217997013744E-2</v>
      </c>
      <c r="U83" s="31">
        <f t="shared" ref="U83:AD83" si="40">U74/$AF$74</f>
        <v>8.4470486089813765E-2</v>
      </c>
      <c r="V83" s="31">
        <f t="shared" si="40"/>
        <v>8.7954923334040411E-2</v>
      </c>
      <c r="W83" s="31">
        <f t="shared" si="40"/>
        <v>7.826790732487833E-2</v>
      </c>
      <c r="X83" s="31">
        <f t="shared" si="40"/>
        <v>7.5581302685845994E-2</v>
      </c>
      <c r="Y83" s="31">
        <f t="shared" si="40"/>
        <v>8.9237707101218963E-2</v>
      </c>
      <c r="Z83" s="31">
        <f t="shared" si="40"/>
        <v>8.4077759955495004E-2</v>
      </c>
      <c r="AA83" s="31">
        <f t="shared" si="40"/>
        <v>0.10977907860379697</v>
      </c>
      <c r="AB83" s="31">
        <f t="shared" si="40"/>
        <v>7.8688311143115822E-2</v>
      </c>
      <c r="AC83" s="31">
        <f t="shared" si="40"/>
        <v>6.8471575016731068E-2</v>
      </c>
      <c r="AD83" s="31">
        <f t="shared" si="40"/>
        <v>6.5848462472058653E-2</v>
      </c>
      <c r="AE83" s="31">
        <f>AE74/$AF$74</f>
        <v>8.4096268275991329E-2</v>
      </c>
      <c r="AF83" s="780" t="b">
        <f>SUM(T83:AE83)=100%</f>
        <v>1</v>
      </c>
      <c r="AH83" s="322"/>
    </row>
    <row r="84" spans="1:34" customFormat="1" ht="15" customHeight="1">
      <c r="A84" s="418">
        <v>2020</v>
      </c>
      <c r="B84" s="31">
        <f t="shared" ref="B84:M84" si="41">B75/$N$75</f>
        <v>0.194199753453592</v>
      </c>
      <c r="C84" s="31">
        <f t="shared" si="41"/>
        <v>0.23907871582090043</v>
      </c>
      <c r="D84" s="31">
        <f t="shared" si="41"/>
        <v>0.12008870995320289</v>
      </c>
      <c r="E84" s="31">
        <f t="shared" si="41"/>
        <v>4.9264779230376858E-2</v>
      </c>
      <c r="F84" s="31">
        <f t="shared" si="41"/>
        <v>4.1448396001214104E-2</v>
      </c>
      <c r="G84" s="31">
        <f t="shared" si="41"/>
        <v>6.4474852846502118E-2</v>
      </c>
      <c r="H84" s="31">
        <f t="shared" si="41"/>
        <v>7.7520447029258435E-2</v>
      </c>
      <c r="I84" s="31">
        <f t="shared" si="41"/>
        <v>0.10604859442853305</v>
      </c>
      <c r="J84" s="31">
        <f t="shared" si="41"/>
        <v>3.573524495428794E-2</v>
      </c>
      <c r="K84" s="31">
        <f t="shared" si="41"/>
        <v>1.5814400393708832E-2</v>
      </c>
      <c r="L84" s="31">
        <f t="shared" si="41"/>
        <v>2.7312186072055978E-2</v>
      </c>
      <c r="M84" s="31">
        <f t="shared" si="41"/>
        <v>2.9013919816367237E-2</v>
      </c>
      <c r="N84" s="780" t="b">
        <f>SUM(B84:M84)=100%</f>
        <v>1</v>
      </c>
      <c r="P84" s="10"/>
      <c r="Q84" s="322"/>
      <c r="R84" s="322"/>
      <c r="S84" s="418">
        <v>2020</v>
      </c>
      <c r="T84" s="31">
        <f t="shared" ref="T84:AE84" si="42">T75/$AF$75</f>
        <v>0.14994529178689747</v>
      </c>
      <c r="U84" s="31">
        <f t="shared" si="42"/>
        <v>0.11764089026220304</v>
      </c>
      <c r="V84" s="31">
        <f t="shared" si="42"/>
        <v>0.11037424653581011</v>
      </c>
      <c r="W84" s="31">
        <f t="shared" si="42"/>
        <v>5.4781132106581566E-2</v>
      </c>
      <c r="X84" s="31">
        <f t="shared" si="42"/>
        <v>5.0118763269909293E-2</v>
      </c>
      <c r="Y84" s="31">
        <f t="shared" si="42"/>
        <v>6.7858057203750863E-2</v>
      </c>
      <c r="Z84" s="31">
        <f t="shared" si="42"/>
        <v>7.7692961060095517E-2</v>
      </c>
      <c r="AA84" s="31">
        <f t="shared" si="42"/>
        <v>7.3528291578753416E-2</v>
      </c>
      <c r="AB84" s="31">
        <f t="shared" si="42"/>
        <v>6.4983982935342618E-2</v>
      </c>
      <c r="AC84" s="31">
        <f t="shared" si="42"/>
        <v>9.6996666310357887E-2</v>
      </c>
      <c r="AD84" s="31">
        <f t="shared" si="42"/>
        <v>6.0125815149940851E-2</v>
      </c>
      <c r="AE84" s="31">
        <f t="shared" si="42"/>
        <v>7.5953901800357382E-2</v>
      </c>
      <c r="AF84" s="780" t="b">
        <f>SUM(T84:AE84)=100%</f>
        <v>1</v>
      </c>
      <c r="AH84" s="322"/>
    </row>
    <row r="85" spans="1:34" customFormat="1" ht="15" customHeight="1">
      <c r="A85" s="418">
        <v>2019</v>
      </c>
      <c r="B85" s="31">
        <f>B76/$N$76</f>
        <v>0.15331119612525518</v>
      </c>
      <c r="C85" s="31">
        <f t="shared" ref="C85:M85" si="43">C76/$N$76</f>
        <v>0.22672985707978627</v>
      </c>
      <c r="D85" s="31">
        <f t="shared" si="43"/>
        <v>7.9800343111673611E-2</v>
      </c>
      <c r="E85" s="31">
        <f t="shared" si="43"/>
        <v>9.1060763233552958E-2</v>
      </c>
      <c r="F85" s="31">
        <f t="shared" si="43"/>
        <v>0.11019236399467371</v>
      </c>
      <c r="G85" s="31">
        <f t="shared" si="43"/>
        <v>0.10770429347102198</v>
      </c>
      <c r="H85" s="31">
        <f t="shared" si="43"/>
        <v>5.4133155594742258E-2</v>
      </c>
      <c r="I85" s="31">
        <f t="shared" si="43"/>
        <v>3.8735251802921686E-2</v>
      </c>
      <c r="J85" s="31">
        <f t="shared" si="43"/>
        <v>3.5098634987294361E-2</v>
      </c>
      <c r="K85" s="31">
        <f t="shared" si="43"/>
        <v>3.6908226385033896E-2</v>
      </c>
      <c r="L85" s="31">
        <f t="shared" si="43"/>
        <v>3.2307077545345841E-2</v>
      </c>
      <c r="M85" s="31">
        <f t="shared" si="43"/>
        <v>3.4018836668698434E-2</v>
      </c>
      <c r="N85" s="780" t="b">
        <f t="shared" ref="N85:N90" si="44">SUM(B85:M85)=100%</f>
        <v>1</v>
      </c>
      <c r="P85" s="10"/>
      <c r="Q85" s="322"/>
      <c r="R85" s="322"/>
      <c r="S85" s="418">
        <v>2019</v>
      </c>
      <c r="T85" s="31">
        <f>T76/$AF$76</f>
        <v>8.4124260238016432E-2</v>
      </c>
      <c r="U85" s="31">
        <f t="shared" ref="U85:AE85" si="45">U76/$AF$76</f>
        <v>8.8323004204593991E-2</v>
      </c>
      <c r="V85" s="31">
        <f t="shared" si="45"/>
        <v>6.2981837415217123E-2</v>
      </c>
      <c r="W85" s="31">
        <f t="shared" si="45"/>
        <v>7.2393895262538491E-2</v>
      </c>
      <c r="X85" s="31">
        <f t="shared" si="45"/>
        <v>6.7072361973368355E-2</v>
      </c>
      <c r="Y85" s="31">
        <f t="shared" si="45"/>
        <v>5.7371108912011845E-2</v>
      </c>
      <c r="Z85" s="31">
        <f t="shared" si="45"/>
        <v>0.10582764305796882</v>
      </c>
      <c r="AA85" s="31">
        <f t="shared" si="45"/>
        <v>0.11410341306779147</v>
      </c>
      <c r="AB85" s="31">
        <f t="shared" si="45"/>
        <v>8.5000040694931944E-2</v>
      </c>
      <c r="AC85" s="31">
        <f t="shared" si="45"/>
        <v>9.5662431882795176E-2</v>
      </c>
      <c r="AD85" s="31">
        <f t="shared" si="45"/>
        <v>7.1922531907309017E-2</v>
      </c>
      <c r="AE85" s="31">
        <f t="shared" si="45"/>
        <v>9.5217471383457458E-2</v>
      </c>
      <c r="AF85" s="780" t="b">
        <f t="shared" ref="AF85:AF90" si="46">SUM(T85:AE85)=100%</f>
        <v>1</v>
      </c>
      <c r="AH85" s="322"/>
    </row>
    <row r="86" spans="1:34" customFormat="1" ht="15" customHeight="1">
      <c r="A86" s="418">
        <v>2018</v>
      </c>
      <c r="B86" s="31">
        <f>B77/N77</f>
        <v>0.19950141252533288</v>
      </c>
      <c r="C86" s="32">
        <f>C77/N77</f>
        <v>0.19821810603121112</v>
      </c>
      <c r="D86" s="32">
        <f>D77/N77</f>
        <v>9.5872272327839181E-2</v>
      </c>
      <c r="E86" s="32">
        <f>E77/N77</f>
        <v>0.10612610645451598</v>
      </c>
      <c r="F86" s="32">
        <f>F77/N77</f>
        <v>0.10979838645123791</v>
      </c>
      <c r="G86" s="32">
        <f>G77/N77</f>
        <v>0.11319252055948358</v>
      </c>
      <c r="H86" s="32">
        <f>H77/N77</f>
        <v>3.8693524479070721E-2</v>
      </c>
      <c r="I86" s="32">
        <f>I77/N77</f>
        <v>3.611722478606199E-2</v>
      </c>
      <c r="J86" s="32">
        <f>J77/N77</f>
        <v>2.7274887443886928E-2</v>
      </c>
      <c r="K86" s="32">
        <f>K77/N77</f>
        <v>2.9162512004439613E-2</v>
      </c>
      <c r="L86" s="32">
        <f>L77/N77</f>
        <v>2.3972334384881094E-2</v>
      </c>
      <c r="M86" s="32">
        <f>M77/N77</f>
        <v>2.2070712552038789E-2</v>
      </c>
      <c r="N86" s="780" t="b">
        <f t="shared" si="44"/>
        <v>1</v>
      </c>
      <c r="O86" t="s">
        <v>213</v>
      </c>
      <c r="P86" s="10"/>
      <c r="Q86" s="322"/>
      <c r="R86" s="322"/>
      <c r="S86" s="418">
        <v>2018</v>
      </c>
      <c r="T86" s="31">
        <f>T77/AF77</f>
        <v>0.14677434203792022</v>
      </c>
      <c r="U86" s="32">
        <f>U77/AF77</f>
        <v>0.11779577587138723</v>
      </c>
      <c r="V86" s="32">
        <f>V77/AF77</f>
        <v>7.7964687058638515E-2</v>
      </c>
      <c r="W86" s="32">
        <f>W77/AF77</f>
        <v>9.1332158429606583E-2</v>
      </c>
      <c r="X86" s="32">
        <f>X77/AF77</f>
        <v>7.5305093445456078E-2</v>
      </c>
      <c r="Y86" s="32">
        <f>Y77/AF77</f>
        <v>7.0653733690242748E-2</v>
      </c>
      <c r="Z86" s="32">
        <f>Z77/AF77</f>
        <v>7.1656347234370241E-2</v>
      </c>
      <c r="AA86" s="32">
        <f>AA77/AF77</f>
        <v>7.077469780973597E-2</v>
      </c>
      <c r="AB86" s="32">
        <f>AB77/AF77</f>
        <v>5.8545477810364205E-2</v>
      </c>
      <c r="AC86" s="32">
        <f>AC77/AF77</f>
        <v>7.2655698378464501E-2</v>
      </c>
      <c r="AD86" s="32">
        <f>AD77/AF77</f>
        <v>6.9345851701266101E-2</v>
      </c>
      <c r="AE86" s="32">
        <f>AE77/AF77</f>
        <v>7.7196136532547796E-2</v>
      </c>
      <c r="AF86" s="780" t="b">
        <f t="shared" si="46"/>
        <v>1</v>
      </c>
      <c r="AH86" s="322"/>
    </row>
    <row r="87" spans="1:34" customFormat="1" ht="15" customHeight="1">
      <c r="A87" s="418">
        <v>2017</v>
      </c>
      <c r="B87" s="31">
        <f>B78/N78</f>
        <v>0.23956519322226413</v>
      </c>
      <c r="C87" s="32">
        <f>C78/N78</f>
        <v>0.19003082239353861</v>
      </c>
      <c r="D87" s="32">
        <f>D78/N78</f>
        <v>0.11041581514890109</v>
      </c>
      <c r="E87" s="32">
        <f>E78/N78</f>
        <v>6.0735787042478305E-2</v>
      </c>
      <c r="F87" s="32">
        <f>F78/N78</f>
        <v>0.12478739997591361</v>
      </c>
      <c r="G87" s="32">
        <f>G78/N78</f>
        <v>9.6990225668397378E-2</v>
      </c>
      <c r="H87" s="32">
        <f>H78/N78</f>
        <v>4.0517064447100369E-2</v>
      </c>
      <c r="I87" s="32">
        <f>I78/N78</f>
        <v>3.9140064308960588E-2</v>
      </c>
      <c r="J87" s="32">
        <f>J78/N78</f>
        <v>2.6123489967296892E-2</v>
      </c>
      <c r="K87" s="32">
        <f>K78/N78</f>
        <v>3.3141155462604766E-2</v>
      </c>
      <c r="L87" s="32">
        <f>L78/N78</f>
        <v>2.0890221948665293E-2</v>
      </c>
      <c r="M87" s="32">
        <f>M78/N78</f>
        <v>1.7662760413878965E-2</v>
      </c>
      <c r="N87" s="780" t="b">
        <f t="shared" si="44"/>
        <v>1</v>
      </c>
      <c r="P87" s="10"/>
      <c r="Q87" s="322"/>
      <c r="R87" s="322"/>
      <c r="S87" s="418">
        <v>2017</v>
      </c>
      <c r="T87" s="31">
        <f>T78/AF78</f>
        <v>0.14353592093702625</v>
      </c>
      <c r="U87" s="32">
        <f>U78/AF78</f>
        <v>8.7557596813457136E-2</v>
      </c>
      <c r="V87" s="32">
        <f>V78/AF78</f>
        <v>0.11164777836105441</v>
      </c>
      <c r="W87" s="32">
        <f>W78/AF78</f>
        <v>7.1926450604173631E-2</v>
      </c>
      <c r="X87" s="32">
        <f>X78/AF78</f>
        <v>9.0288206954473524E-2</v>
      </c>
      <c r="Y87" s="32">
        <f>Y78/AF78</f>
        <v>9.1641268534001868E-2</v>
      </c>
      <c r="Z87" s="32">
        <f>Z78/AF78</f>
        <v>7.1265687946732062E-2</v>
      </c>
      <c r="AA87" s="32">
        <f>AA78/AF78</f>
        <v>7.9780019342489655E-2</v>
      </c>
      <c r="AB87" s="32">
        <f>AB78/AF78</f>
        <v>5.7042172185259463E-2</v>
      </c>
      <c r="AC87" s="32">
        <f>AC78/AF78</f>
        <v>7.4270455821830061E-2</v>
      </c>
      <c r="AD87" s="32">
        <f>AD78/AF78</f>
        <v>6.2026727392403183E-2</v>
      </c>
      <c r="AE87" s="32">
        <f>AE78/AF78</f>
        <v>5.9017715107098835E-2</v>
      </c>
      <c r="AF87" s="780" t="b">
        <f t="shared" si="46"/>
        <v>1</v>
      </c>
      <c r="AH87" s="322"/>
    </row>
    <row r="88" spans="1:34" customFormat="1" ht="15" customHeight="1">
      <c r="A88" s="418">
        <v>2016</v>
      </c>
      <c r="B88" s="31">
        <f>B79/N79</f>
        <v>0.13430719997240523</v>
      </c>
      <c r="C88" s="32">
        <f>C79/N79</f>
        <v>0.2747648848925901</v>
      </c>
      <c r="D88" s="32">
        <f>D79/N79</f>
        <v>9.1068031184661294E-2</v>
      </c>
      <c r="E88" s="32">
        <f>E79/N79</f>
        <v>7.6490418297255267E-2</v>
      </c>
      <c r="F88" s="32">
        <f>F79/N79</f>
        <v>9.7304088155550653E-2</v>
      </c>
      <c r="G88" s="32">
        <f>G79/N79</f>
        <v>0.12395309693759043</v>
      </c>
      <c r="H88" s="32">
        <f>H79/N79</f>
        <v>5.1121179328336035E-2</v>
      </c>
      <c r="I88" s="32">
        <f>I79/N79</f>
        <v>4.0777493171015693E-2</v>
      </c>
      <c r="J88" s="32">
        <f>J79/N79</f>
        <v>3.1478232031869557E-2</v>
      </c>
      <c r="K88" s="32">
        <f>K79/N79</f>
        <v>2.8721044927909258E-2</v>
      </c>
      <c r="L88" s="32">
        <f>L79/N79</f>
        <v>2.5840868774253244E-2</v>
      </c>
      <c r="M88" s="32">
        <f>M79/N79</f>
        <v>2.4173462326563363E-2</v>
      </c>
      <c r="N88" s="780" t="b">
        <f t="shared" si="44"/>
        <v>1</v>
      </c>
      <c r="P88" s="10"/>
      <c r="Q88" s="322"/>
      <c r="R88" s="322"/>
      <c r="S88" s="418">
        <v>2016</v>
      </c>
      <c r="T88" s="31">
        <f>T79/AF79</f>
        <v>0.10857332388817839</v>
      </c>
      <c r="U88" s="32">
        <f>U79/AF79</f>
        <v>0.12825279034157477</v>
      </c>
      <c r="V88" s="32">
        <f>V79/AF79</f>
        <v>0.12906557641184294</v>
      </c>
      <c r="W88" s="32">
        <f>W79/AF79</f>
        <v>9.5331276318045138E-2</v>
      </c>
      <c r="X88" s="32">
        <f>X79/AF79</f>
        <v>9.4099992664315416E-2</v>
      </c>
      <c r="Y88" s="32">
        <f>Y79/AF79</f>
        <v>8.2708159655964758E-2</v>
      </c>
      <c r="Z88" s="32">
        <f>Z79/AF79</f>
        <v>5.6343638727905959E-2</v>
      </c>
      <c r="AA88" s="32">
        <f>AA79/AF79</f>
        <v>6.0953216097023526E-2</v>
      </c>
      <c r="AB88" s="32">
        <f>AB79/AF79</f>
        <v>5.6237074929269854E-2</v>
      </c>
      <c r="AC88" s="32">
        <f>AC79/AF79</f>
        <v>5.0655656144156257E-2</v>
      </c>
      <c r="AD88" s="32">
        <f>AD79/AF79</f>
        <v>6.0261195846934922E-2</v>
      </c>
      <c r="AE88" s="32">
        <f>AE79/AF79</f>
        <v>7.7518098974787897E-2</v>
      </c>
      <c r="AF88" s="780" t="b">
        <f t="shared" si="46"/>
        <v>1</v>
      </c>
      <c r="AH88" s="322"/>
    </row>
    <row r="89" spans="1:34" customFormat="1" ht="15" customHeight="1">
      <c r="A89" s="418">
        <v>2015</v>
      </c>
      <c r="B89" s="31">
        <f>B80/N80</f>
        <v>0.1540918185478031</v>
      </c>
      <c r="C89" s="32">
        <f>C80/N80</f>
        <v>0.26661109562003182</v>
      </c>
      <c r="D89" s="32">
        <f>D80/N80</f>
        <v>9.5825473930453028E-2</v>
      </c>
      <c r="E89" s="32">
        <f>E80/N80</f>
        <v>7.7576355852413195E-2</v>
      </c>
      <c r="F89" s="32">
        <f>F80/N80</f>
        <v>8.6131483026093428E-2</v>
      </c>
      <c r="G89" s="32">
        <f>G80/N80</f>
        <v>0.11531058321098323</v>
      </c>
      <c r="H89" s="32">
        <f>H80/N80</f>
        <v>5.9617711034137322E-2</v>
      </c>
      <c r="I89" s="32">
        <f>I80/N80</f>
        <v>4.2466186948688402E-2</v>
      </c>
      <c r="J89" s="32">
        <f>J80/N80</f>
        <v>3.1509329409697855E-2</v>
      </c>
      <c r="K89" s="32">
        <f>K80/N80</f>
        <v>2.6026895414196338E-2</v>
      </c>
      <c r="L89" s="32">
        <f>L80/N80</f>
        <v>2.3167559330811646E-2</v>
      </c>
      <c r="M89" s="32">
        <f>M80/N80</f>
        <v>2.1665507674690665E-2</v>
      </c>
      <c r="N89" s="780" t="b">
        <f t="shared" si="44"/>
        <v>1</v>
      </c>
      <c r="P89" s="10"/>
      <c r="Q89" s="322"/>
      <c r="R89" s="322"/>
      <c r="S89" s="418">
        <v>2015</v>
      </c>
      <c r="T89" s="31">
        <f>T80/AF80</f>
        <v>0.120815189160771</v>
      </c>
      <c r="U89" s="32">
        <f>U80/AF80</f>
        <v>0.13808511807028295</v>
      </c>
      <c r="V89" s="32">
        <f>V80/AF80</f>
        <v>0.12158203847100713</v>
      </c>
      <c r="W89" s="32">
        <f>W80/AF80</f>
        <v>9.2454971999842359E-2</v>
      </c>
      <c r="X89" s="32">
        <f>X80/AF80</f>
        <v>8.8955682472677031E-2</v>
      </c>
      <c r="Y89" s="32">
        <f>Y80/AF80</f>
        <v>9.5350488482870255E-2</v>
      </c>
      <c r="Z89" s="32">
        <f>Z80/AF80</f>
        <v>7.6533981961757661E-2</v>
      </c>
      <c r="AA89" s="32">
        <f>AA80/AF80</f>
        <v>6.1052938074987975E-2</v>
      </c>
      <c r="AB89" s="32">
        <f>AB80/AF80</f>
        <v>5.0265132670425212E-2</v>
      </c>
      <c r="AC89" s="32">
        <f>AC80/AF80</f>
        <v>4.8651644865568132E-2</v>
      </c>
      <c r="AD89" s="32">
        <f>AD80/AF80</f>
        <v>5.6046826308620214E-2</v>
      </c>
      <c r="AE89" s="32">
        <f>AE80/AF80</f>
        <v>5.0205987461190114E-2</v>
      </c>
      <c r="AF89" s="780" t="b">
        <f t="shared" si="46"/>
        <v>1</v>
      </c>
      <c r="AH89" s="322"/>
    </row>
    <row r="90" spans="1:34" customFormat="1" ht="15" customHeight="1">
      <c r="A90" s="418" t="str">
        <f>B22</f>
        <v>Média 19 a 21</v>
      </c>
      <c r="B90" s="33">
        <f>AVERAGE(B84:B86)</f>
        <v>0.18233745403472668</v>
      </c>
      <c r="C90" s="33">
        <f t="shared" ref="C90:M90" si="47">AVERAGE(C84:C86)</f>
        <v>0.22134222631063261</v>
      </c>
      <c r="D90" s="33">
        <f t="shared" si="47"/>
        <v>9.8587108464238571E-2</v>
      </c>
      <c r="E90" s="33">
        <f t="shared" si="47"/>
        <v>8.2150549639481929E-2</v>
      </c>
      <c r="F90" s="33">
        <f t="shared" si="47"/>
        <v>8.7146382149041912E-2</v>
      </c>
      <c r="G90" s="33">
        <f t="shared" si="47"/>
        <v>9.5123888959002548E-2</v>
      </c>
      <c r="H90" s="33">
        <f t="shared" si="47"/>
        <v>5.6782375701023811E-2</v>
      </c>
      <c r="I90" s="33">
        <f t="shared" si="47"/>
        <v>6.0300357005838912E-2</v>
      </c>
      <c r="J90" s="33">
        <f t="shared" si="47"/>
        <v>3.2702922461823075E-2</v>
      </c>
      <c r="K90" s="33">
        <f t="shared" si="47"/>
        <v>2.7295046261060784E-2</v>
      </c>
      <c r="L90" s="33">
        <f t="shared" si="47"/>
        <v>2.7863866000760972E-2</v>
      </c>
      <c r="M90" s="33">
        <f t="shared" si="47"/>
        <v>2.8367823012368159E-2</v>
      </c>
      <c r="N90" s="780" t="b">
        <f t="shared" si="44"/>
        <v>1</v>
      </c>
      <c r="P90" s="10"/>
      <c r="Q90" s="322"/>
      <c r="R90" s="322"/>
      <c r="S90" s="418" t="str">
        <f>B22</f>
        <v>Média 19 a 21</v>
      </c>
      <c r="T90" s="33">
        <f>AVERAGE(T84:T86)</f>
        <v>0.12694796468761138</v>
      </c>
      <c r="U90" s="33">
        <f t="shared" ref="U90:AE90" si="48">AVERAGE(U84:U86)</f>
        <v>0.10791989011272808</v>
      </c>
      <c r="V90" s="33">
        <f t="shared" si="48"/>
        <v>8.3773590336555251E-2</v>
      </c>
      <c r="W90" s="33">
        <f t="shared" si="48"/>
        <v>7.2835728599575544E-2</v>
      </c>
      <c r="X90" s="33">
        <f t="shared" si="48"/>
        <v>6.4165406229577907E-2</v>
      </c>
      <c r="Y90" s="33">
        <f t="shared" si="48"/>
        <v>6.5294299935335157E-2</v>
      </c>
      <c r="Z90" s="33">
        <f t="shared" si="48"/>
        <v>8.5058983784144851E-2</v>
      </c>
      <c r="AA90" s="33">
        <f t="shared" si="48"/>
        <v>8.6135467485426956E-2</v>
      </c>
      <c r="AB90" s="33">
        <f t="shared" si="48"/>
        <v>6.9509833813546265E-2</v>
      </c>
      <c r="AC90" s="33">
        <f t="shared" si="48"/>
        <v>8.8438265523872531E-2</v>
      </c>
      <c r="AD90" s="33">
        <f t="shared" si="48"/>
        <v>6.7131399586171994E-2</v>
      </c>
      <c r="AE90" s="33">
        <f t="shared" si="48"/>
        <v>8.2789169905454207E-2</v>
      </c>
      <c r="AF90" s="780" t="b">
        <f t="shared" si="46"/>
        <v>1</v>
      </c>
      <c r="AH90" s="322"/>
    </row>
    <row r="91" spans="1:34" customFormat="1" ht="15" customHeight="1">
      <c r="A91" s="421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P91" s="10"/>
      <c r="Q91" s="322"/>
      <c r="R91" s="322"/>
      <c r="S91" s="420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H91" s="322"/>
    </row>
    <row r="92" spans="1:34" customFormat="1" ht="15" customHeight="1">
      <c r="A92" s="421"/>
      <c r="B92" s="520" t="str">
        <f>B22</f>
        <v>Média 19 a 21</v>
      </c>
      <c r="C92" s="732">
        <v>2022</v>
      </c>
      <c r="D92" s="395">
        <v>2021</v>
      </c>
      <c r="E92" s="25">
        <v>2020</v>
      </c>
      <c r="F92" s="25">
        <v>2019</v>
      </c>
      <c r="G92" s="25">
        <v>2018</v>
      </c>
      <c r="H92" s="25">
        <v>2017</v>
      </c>
      <c r="I92" s="25">
        <v>2016</v>
      </c>
      <c r="J92" s="25">
        <v>2015</v>
      </c>
      <c r="P92" s="10"/>
      <c r="Q92" s="322"/>
      <c r="R92" s="322"/>
      <c r="S92" s="420"/>
      <c r="T92" s="520" t="str">
        <f>B22</f>
        <v>Média 19 a 21</v>
      </c>
      <c r="U92" s="732">
        <v>2022</v>
      </c>
      <c r="V92" s="395">
        <v>2021</v>
      </c>
      <c r="W92" s="25">
        <v>2020</v>
      </c>
      <c r="X92" s="25">
        <v>2019</v>
      </c>
      <c r="Y92" s="25">
        <v>2018</v>
      </c>
      <c r="Z92" s="25">
        <v>2017</v>
      </c>
      <c r="AA92" s="25">
        <v>2016</v>
      </c>
      <c r="AB92" s="25">
        <v>2015</v>
      </c>
      <c r="AH92" s="322"/>
    </row>
    <row r="93" spans="1:34" customFormat="1" ht="15" customHeight="1">
      <c r="A93" s="418" t="s">
        <v>120</v>
      </c>
      <c r="B93" s="36">
        <f>B90</f>
        <v>0.18233745403472668</v>
      </c>
      <c r="C93" s="37">
        <f>B82</f>
        <v>0.12086980451461907</v>
      </c>
      <c r="D93" s="37">
        <f>B83</f>
        <v>9.453325288136781E-2</v>
      </c>
      <c r="E93" s="37">
        <f>B84</f>
        <v>0.194199753453592</v>
      </c>
      <c r="F93" s="37">
        <f>B85</f>
        <v>0.15331119612525518</v>
      </c>
      <c r="G93" s="37">
        <f>B86</f>
        <v>0.19950141252533288</v>
      </c>
      <c r="H93" s="37">
        <f>B87</f>
        <v>0.23956519322226413</v>
      </c>
      <c r="I93" s="37">
        <f>B88</f>
        <v>0.13430719997240523</v>
      </c>
      <c r="J93" s="37">
        <f>B89</f>
        <v>0.1540918185478031</v>
      </c>
      <c r="P93" s="10"/>
      <c r="Q93" s="322"/>
      <c r="R93" s="322"/>
      <c r="S93" s="418" t="s">
        <v>120</v>
      </c>
      <c r="T93" s="36">
        <f>T90</f>
        <v>0.12694796468761138</v>
      </c>
      <c r="U93" s="37">
        <f>T82</f>
        <v>9.6894220346043114E-2</v>
      </c>
      <c r="V93" s="37">
        <f>T83</f>
        <v>9.3526217997013744E-2</v>
      </c>
      <c r="W93" s="37">
        <f>T84</f>
        <v>0.14994529178689747</v>
      </c>
      <c r="X93" s="37">
        <f>T85</f>
        <v>8.4124260238016432E-2</v>
      </c>
      <c r="Y93" s="37">
        <f>T86</f>
        <v>0.14677434203792022</v>
      </c>
      <c r="Z93" s="37">
        <f>T87</f>
        <v>0.14353592093702625</v>
      </c>
      <c r="AA93" s="37">
        <f>T88</f>
        <v>0.10857332388817839</v>
      </c>
      <c r="AB93" s="37">
        <f>T89</f>
        <v>0.120815189160771</v>
      </c>
      <c r="AH93" s="322"/>
    </row>
    <row r="94" spans="1:34" customFormat="1" ht="15" customHeight="1">
      <c r="A94" s="418" t="s">
        <v>121</v>
      </c>
      <c r="B94" s="36">
        <f>B90+C90</f>
        <v>0.40367968034535928</v>
      </c>
      <c r="C94" s="776">
        <f>SUM(B82:C82)</f>
        <v>0.23414252951966449</v>
      </c>
      <c r="D94" s="37">
        <f>SUM(B83:C83)</f>
        <v>0.18633943829008826</v>
      </c>
      <c r="E94" s="37">
        <f>SUM(B84:C84)</f>
        <v>0.43327846927449243</v>
      </c>
      <c r="F94" s="37">
        <f>SUM(B85:C85)</f>
        <v>0.38004105320504145</v>
      </c>
      <c r="G94" s="37">
        <f>SUM(B86:C86)</f>
        <v>0.39771951855654397</v>
      </c>
      <c r="H94" s="37">
        <f>SUM(B87:C87)</f>
        <v>0.42959601561580274</v>
      </c>
      <c r="I94" s="37">
        <f>SUM(B88:C88)</f>
        <v>0.40907208486499536</v>
      </c>
      <c r="J94" s="37">
        <f>SUM(B89:C89)</f>
        <v>0.4207029141678349</v>
      </c>
      <c r="P94" s="10"/>
      <c r="Q94" s="322"/>
      <c r="R94" s="322"/>
      <c r="S94" s="418" t="s">
        <v>121</v>
      </c>
      <c r="T94" s="36">
        <f>T90+U90</f>
        <v>0.23486785480033945</v>
      </c>
      <c r="U94" s="776">
        <f>SUM(T82:U82)</f>
        <v>0.2263001411967763</v>
      </c>
      <c r="V94" s="37">
        <f>SUM(T83:U83)</f>
        <v>0.1779967040868275</v>
      </c>
      <c r="W94" s="37">
        <f>SUM(T84:U84)</f>
        <v>0.26758618204910051</v>
      </c>
      <c r="X94" s="37">
        <f>SUM(T85:U85)</f>
        <v>0.17244726444261044</v>
      </c>
      <c r="Y94" s="37">
        <f>SUM(T86:U86)</f>
        <v>0.26457011790930746</v>
      </c>
      <c r="Z94" s="37">
        <f>SUM(T87:U87)</f>
        <v>0.23109351775048337</v>
      </c>
      <c r="AA94" s="37">
        <f>SUM(T88:U88)</f>
        <v>0.23682611422975317</v>
      </c>
      <c r="AB94" s="37">
        <f>SUM(T89:U89)</f>
        <v>0.25890030723105395</v>
      </c>
      <c r="AH94" s="322"/>
    </row>
    <row r="95" spans="1:34" customFormat="1" ht="15" customHeight="1">
      <c r="A95" s="418" t="s">
        <v>122</v>
      </c>
      <c r="B95" s="33">
        <f>B90+C90+D90</f>
        <v>0.50226678880959785</v>
      </c>
      <c r="C95" s="776">
        <f>SUM(B82:D82)</f>
        <v>0.30025395105932801</v>
      </c>
      <c r="D95" s="34">
        <f>SUM(B83:D83)</f>
        <v>0.24241068448823136</v>
      </c>
      <c r="E95" s="34">
        <f>SUM(B84:D84)</f>
        <v>0.55336717922769529</v>
      </c>
      <c r="F95" s="34">
        <f>SUM(B85:D85)</f>
        <v>0.45984139631671506</v>
      </c>
      <c r="G95" s="34">
        <f>SUM(B86:D86)</f>
        <v>0.49359179088438315</v>
      </c>
      <c r="H95" s="34">
        <f>SUM(B87:D87)</f>
        <v>0.54001183076470383</v>
      </c>
      <c r="I95" s="34">
        <f>SUM(B88:D88)</f>
        <v>0.50014011604965669</v>
      </c>
      <c r="J95" s="34">
        <f>SUM(B89:D89)</f>
        <v>0.51652838809828794</v>
      </c>
      <c r="P95" s="10"/>
      <c r="Q95" s="322"/>
      <c r="R95" s="322"/>
      <c r="S95" s="418" t="s">
        <v>122</v>
      </c>
      <c r="T95" s="33">
        <f>T90+U90+V90</f>
        <v>0.31864144513689469</v>
      </c>
      <c r="U95" s="776">
        <f>SUM(T82:V82)</f>
        <v>0.35867280935138629</v>
      </c>
      <c r="V95" s="34">
        <f>SUM(T83:V83)</f>
        <v>0.26595162742086792</v>
      </c>
      <c r="W95" s="34">
        <f>SUM(T84:V84)</f>
        <v>0.37796042858491063</v>
      </c>
      <c r="X95" s="34">
        <f>SUM(T85:V85)</f>
        <v>0.23542910185782756</v>
      </c>
      <c r="Y95" s="34">
        <f>SUM(T86:V86)</f>
        <v>0.34253480496794597</v>
      </c>
      <c r="Z95" s="34">
        <f>SUM(T87:V87)</f>
        <v>0.34274129611153781</v>
      </c>
      <c r="AA95" s="34">
        <f>SUM(T88:V88)</f>
        <v>0.3658916906415961</v>
      </c>
      <c r="AB95" s="34">
        <f>SUM(T89:V89)</f>
        <v>0.38048234570206108</v>
      </c>
      <c r="AH95" s="322"/>
    </row>
    <row r="96" spans="1:34" customFormat="1" ht="15" customHeight="1">
      <c r="A96" s="418" t="s">
        <v>123</v>
      </c>
      <c r="B96" s="33">
        <f>B90+C90+D90+E90</f>
        <v>0.58441733844907984</v>
      </c>
      <c r="C96" s="776">
        <f>SUM(B82:E82)</f>
        <v>0.34089957307706531</v>
      </c>
      <c r="D96" s="34">
        <f>SUM(B83:E83)</f>
        <v>0.28505769880415255</v>
      </c>
      <c r="E96" s="34">
        <f>SUM(B84:E84)</f>
        <v>0.60263195845807216</v>
      </c>
      <c r="F96" s="34">
        <f>SUM(B85:E85)</f>
        <v>0.550902159550268</v>
      </c>
      <c r="G96" s="34">
        <f>SUM(B86:E86)</f>
        <v>0.59971789733889913</v>
      </c>
      <c r="H96" s="34">
        <f>SUM(B87:E87)</f>
        <v>0.60074761780718211</v>
      </c>
      <c r="I96" s="34">
        <f>SUM(B88:E88)</f>
        <v>0.57663053434691192</v>
      </c>
      <c r="J96" s="34">
        <f>SUM(B89:E89)</f>
        <v>0.59410474395070112</v>
      </c>
      <c r="P96" s="10"/>
      <c r="Q96" s="322"/>
      <c r="R96" s="322"/>
      <c r="S96" s="418" t="s">
        <v>123</v>
      </c>
      <c r="T96" s="33">
        <f>T90+U90+V90+W90</f>
        <v>0.39147717373647023</v>
      </c>
      <c r="U96" s="34">
        <f>SUM(T82:W82)</f>
        <v>0.44627941778873198</v>
      </c>
      <c r="V96" s="34">
        <f>SUM(T83:W83)</f>
        <v>0.34421953474574624</v>
      </c>
      <c r="W96" s="34">
        <f>SUM(T84:W84)</f>
        <v>0.43274156069149222</v>
      </c>
      <c r="X96" s="34">
        <f>SUM(T85:W85)</f>
        <v>0.30782299712036604</v>
      </c>
      <c r="Y96" s="34">
        <f>SUM(T86:W86)</f>
        <v>0.43386696339755254</v>
      </c>
      <c r="Z96" s="34">
        <f>SUM(T87:W87)</f>
        <v>0.41466774671571144</v>
      </c>
      <c r="AA96" s="34">
        <f>SUM(T88:W88)</f>
        <v>0.46122296695964127</v>
      </c>
      <c r="AB96" s="34">
        <f>SUM(T89:W89)</f>
        <v>0.47293731770190345</v>
      </c>
      <c r="AH96" s="322"/>
    </row>
    <row r="97" spans="1:34" customFormat="1" ht="15" customHeight="1">
      <c r="A97" s="418" t="s">
        <v>124</v>
      </c>
      <c r="B97" s="33">
        <f>B90+C90+D90+E90+F90</f>
        <v>0.67156372059812175</v>
      </c>
      <c r="C97" s="776">
        <f>SUM(B82:F82)</f>
        <v>0.38031775938287016</v>
      </c>
      <c r="D97" s="34">
        <f>SUM(B83:F83)</f>
        <v>0.32192577015655072</v>
      </c>
      <c r="E97" s="34">
        <f>SUM(B84:F84)</f>
        <v>0.64408035445928624</v>
      </c>
      <c r="F97" s="34">
        <f>SUM(B85:F85)</f>
        <v>0.66109452354494169</v>
      </c>
      <c r="G97" s="34">
        <f>SUM(B86:F86)</f>
        <v>0.70951628379013698</v>
      </c>
      <c r="H97" s="34">
        <f>SUM(B87:F87)</f>
        <v>0.7255350177830957</v>
      </c>
      <c r="I97" s="34">
        <f>SUM(B88:F88)</f>
        <v>0.67393462250246261</v>
      </c>
      <c r="J97" s="34">
        <f>SUM(B89:F89)</f>
        <v>0.68023622697679453</v>
      </c>
      <c r="P97" s="10"/>
      <c r="Q97" s="322"/>
      <c r="R97" s="322"/>
      <c r="S97" s="418" t="s">
        <v>124</v>
      </c>
      <c r="T97" s="33">
        <f>T90+U90+V90+W90+X90</f>
        <v>0.45564257996604812</v>
      </c>
      <c r="U97" s="776">
        <f>SUM(T82:X82)</f>
        <v>0.5555740943508034</v>
      </c>
      <c r="V97" s="34">
        <f>SUM(T83:X83)</f>
        <v>0.41980083743159224</v>
      </c>
      <c r="W97" s="34">
        <f>SUM(T84:X84)</f>
        <v>0.48286032396140149</v>
      </c>
      <c r="X97" s="34">
        <f>SUM(T85:X85)</f>
        <v>0.37489535909373439</v>
      </c>
      <c r="Y97" s="34">
        <f>SUM(T86:X86)</f>
        <v>0.50917205684300859</v>
      </c>
      <c r="Z97" s="34">
        <f>SUM(T87:X87)</f>
        <v>0.50495595367018498</v>
      </c>
      <c r="AA97" s="34">
        <f>SUM(T88:X88)</f>
        <v>0.55532295962395672</v>
      </c>
      <c r="AB97" s="34">
        <f>SUM(T89:X89)</f>
        <v>0.56189300017458044</v>
      </c>
      <c r="AH97" s="322"/>
    </row>
    <row r="98" spans="1:34" customFormat="1" ht="15.75" customHeight="1">
      <c r="A98" s="418" t="s">
        <v>125</v>
      </c>
      <c r="B98" s="33">
        <f>B90+C90+D90+E90+F90+G90</f>
        <v>0.76668760955712434</v>
      </c>
      <c r="C98" s="776">
        <f>SUM(B82:G82)</f>
        <v>0.42170507329562146</v>
      </c>
      <c r="D98" s="34">
        <f>SUM(B83:G83)</f>
        <v>0.37137792808516407</v>
      </c>
      <c r="E98" s="34">
        <f>SUM(B84:G84)</f>
        <v>0.70855520730578836</v>
      </c>
      <c r="F98" s="34">
        <f>SUM(B85:G85)</f>
        <v>0.76879881701596364</v>
      </c>
      <c r="G98" s="34">
        <f>SUM(B86:G86)</f>
        <v>0.82270880434962057</v>
      </c>
      <c r="H98" s="34">
        <f>SUM(B87:G87)</f>
        <v>0.82252524345149314</v>
      </c>
      <c r="I98" s="34">
        <f>SUM(B88:G88)</f>
        <v>0.7978877194400531</v>
      </c>
      <c r="J98" s="34">
        <f>SUM(B89:G89)</f>
        <v>0.79554681018777773</v>
      </c>
      <c r="P98" s="10"/>
      <c r="Q98" s="322"/>
      <c r="R98" s="322"/>
      <c r="S98" s="418" t="s">
        <v>125</v>
      </c>
      <c r="T98" s="33">
        <f>T90+U90+V90+W90+X90+Y90</f>
        <v>0.52093687990138327</v>
      </c>
      <c r="U98" s="776">
        <f>SUM(T82:Y82)</f>
        <v>0.64609203313275687</v>
      </c>
      <c r="V98" s="34">
        <f>SUM(T83:Y83)</f>
        <v>0.50903854453281117</v>
      </c>
      <c r="W98" s="34">
        <f>SUM(T84:Y84)</f>
        <v>0.55071838116515237</v>
      </c>
      <c r="X98" s="34">
        <f>SUM(T85:Y85)</f>
        <v>0.43226646800574625</v>
      </c>
      <c r="Y98" s="34">
        <f>SUM(T86:Y86)</f>
        <v>0.57982579053325134</v>
      </c>
      <c r="Z98" s="34">
        <f>SUM(T87:Y87)</f>
        <v>0.59659722220418687</v>
      </c>
      <c r="AA98" s="34">
        <f>SUM(T88:Y88)</f>
        <v>0.63803111927992151</v>
      </c>
      <c r="AB98" s="34">
        <f>SUM(T89:Y89)</f>
        <v>0.65724348865745075</v>
      </c>
      <c r="AH98" s="322"/>
    </row>
    <row r="99" spans="1:34" customFormat="1" ht="15" customHeight="1">
      <c r="A99" s="418" t="s">
        <v>126</v>
      </c>
      <c r="B99" s="33">
        <f>B90+C90+D90+E90+F90+G90+H90</f>
        <v>0.82346998525814818</v>
      </c>
      <c r="C99" s="737">
        <f>SUM(B82:H82)</f>
        <v>0.51135533024950264</v>
      </c>
      <c r="D99" s="34">
        <f>SUM(B83:H83)</f>
        <v>0.42827731586354861</v>
      </c>
      <c r="E99" s="34">
        <f>SUM(B84:H84)</f>
        <v>0.78607565433504678</v>
      </c>
      <c r="F99" s="34">
        <f>SUM(B85:H85)</f>
        <v>0.82293197261070594</v>
      </c>
      <c r="G99" s="34">
        <f>SUM(B86:H86)</f>
        <v>0.86140232882869128</v>
      </c>
      <c r="H99" s="34">
        <f>SUM(B87:H87)</f>
        <v>0.86304230789859349</v>
      </c>
      <c r="I99" s="34">
        <f>SUM(B88:H88)</f>
        <v>0.84900889876838914</v>
      </c>
      <c r="J99" s="34">
        <f>SUM(B89:H89)</f>
        <v>0.855164521221915</v>
      </c>
      <c r="P99" s="10"/>
      <c r="Q99" s="322"/>
      <c r="R99" s="322"/>
      <c r="S99" s="418" t="s">
        <v>126</v>
      </c>
      <c r="T99" s="33">
        <f>T90+U90+V90+W90+X90+Y90+Z90</f>
        <v>0.60599586368552816</v>
      </c>
      <c r="U99" s="737">
        <f>SUM(T82:Z82)</f>
        <v>0.72278635763181365</v>
      </c>
      <c r="V99" s="34">
        <f>SUM(T83:Z83)</f>
        <v>0.59311630448830621</v>
      </c>
      <c r="W99" s="34">
        <f>SUM(T84:Z84)</f>
        <v>0.62841134222524786</v>
      </c>
      <c r="X99" s="34">
        <f>SUM(T85:Z85)</f>
        <v>0.53809411106371507</v>
      </c>
      <c r="Y99" s="34">
        <f>SUM(T86:Z86)</f>
        <v>0.65148213776762154</v>
      </c>
      <c r="Z99" s="34">
        <f>SUM(T87:Z87)</f>
        <v>0.66786291015091892</v>
      </c>
      <c r="AA99" s="34">
        <f>SUM(T88:Z88)</f>
        <v>0.69437475800782744</v>
      </c>
      <c r="AB99" s="34">
        <f>SUM(T89:Z89)</f>
        <v>0.73377747061920839</v>
      </c>
      <c r="AH99" s="322"/>
    </row>
    <row r="100" spans="1:34" customFormat="1" ht="15" customHeight="1">
      <c r="A100" s="418" t="s">
        <v>127</v>
      </c>
      <c r="B100" s="33">
        <f>B90+C90+D90+E90+F90+G90+H90+I90</f>
        <v>0.8837703422639871</v>
      </c>
      <c r="C100" s="737">
        <f>SUM(B82:I82)</f>
        <v>0.84113097489161004</v>
      </c>
      <c r="D100" s="34">
        <f>SUM(B83:I83)</f>
        <v>0.67322111373134264</v>
      </c>
      <c r="E100" s="34">
        <f>SUM(B84:I84)</f>
        <v>0.89212424876357987</v>
      </c>
      <c r="F100" s="34">
        <f>SUM(B85:I85)</f>
        <v>0.86166722441362764</v>
      </c>
      <c r="G100" s="34">
        <f>SUM(B86:I86)</f>
        <v>0.89751955361475322</v>
      </c>
      <c r="H100" s="34">
        <f>SUM(B87:I87)</f>
        <v>0.90218237220755404</v>
      </c>
      <c r="I100" s="34">
        <f>SUM(B88:I88)</f>
        <v>0.88978639193940479</v>
      </c>
      <c r="J100" s="34">
        <f>SUM(B89:I89)</f>
        <v>0.89763070817060342</v>
      </c>
      <c r="P100" s="10"/>
      <c r="Q100" s="322"/>
      <c r="R100" s="322"/>
      <c r="S100" s="418" t="s">
        <v>127</v>
      </c>
      <c r="T100" s="33">
        <f>T90+U90+V90+W90+X90+Y90+Z90+AA90</f>
        <v>0.69213133117095516</v>
      </c>
      <c r="U100" s="737">
        <f>SUM(T82:AA82)</f>
        <v>0.86617269153636101</v>
      </c>
      <c r="V100" s="34">
        <f>SUM(T83:AA83)</f>
        <v>0.7028953830921032</v>
      </c>
      <c r="W100" s="34">
        <f>SUM(T84:AA84)</f>
        <v>0.70193963380400126</v>
      </c>
      <c r="X100" s="34">
        <f>SUM(T85:AA85)</f>
        <v>0.65219752413150656</v>
      </c>
      <c r="Y100" s="34">
        <f>SUM(T86:AA86)</f>
        <v>0.72225683557735754</v>
      </c>
      <c r="Z100" s="34">
        <f>SUM(T87:AA87)</f>
        <v>0.7476429294934086</v>
      </c>
      <c r="AA100" s="34">
        <f>SUM(T88:AA88)</f>
        <v>0.75532797410485097</v>
      </c>
      <c r="AB100" s="34">
        <f>SUM(T89:AA89)</f>
        <v>0.79483040869419641</v>
      </c>
      <c r="AH100" s="322"/>
    </row>
    <row r="101" spans="1:34" customFormat="1" ht="15" customHeight="1">
      <c r="A101" s="418" t="s">
        <v>128</v>
      </c>
      <c r="B101" s="33">
        <f>B90+C90+D90+E90+F90+G90+H90+I90+J90</f>
        <v>0.91647326472581014</v>
      </c>
      <c r="C101" s="737">
        <f>SUM(B82:J82)</f>
        <v>1</v>
      </c>
      <c r="D101" s="34">
        <f>SUM(B83:J83)</f>
        <v>0.76410351434970503</v>
      </c>
      <c r="E101" s="34">
        <f>SUM(B84:J84)</f>
        <v>0.9278594937178678</v>
      </c>
      <c r="F101" s="34">
        <f>SUM(B85:J85)</f>
        <v>0.89676585940092202</v>
      </c>
      <c r="G101" s="34">
        <f>SUM(B86:J86)</f>
        <v>0.92479444105864017</v>
      </c>
      <c r="H101" s="34">
        <f>SUM(B87:J87)</f>
        <v>0.92830586217485089</v>
      </c>
      <c r="I101" s="34">
        <f>SUM(B88:J88)</f>
        <v>0.92126462397127429</v>
      </c>
      <c r="J101" s="34">
        <f>SUM(B89:J89)</f>
        <v>0.92914003758030128</v>
      </c>
      <c r="P101" s="10"/>
      <c r="Q101" s="322"/>
      <c r="R101" s="322"/>
      <c r="S101" s="418" t="s">
        <v>128</v>
      </c>
      <c r="T101" s="33">
        <f>T90+U90+V90+W90+X90+Y90+Z90+AA90+AB90</f>
        <v>0.76164116498450141</v>
      </c>
      <c r="U101" s="737">
        <f>SUM(T82:AB82)</f>
        <v>0.99999999999999978</v>
      </c>
      <c r="V101" s="34">
        <f>SUM(T83:AB83)</f>
        <v>0.78158369423521901</v>
      </c>
      <c r="W101" s="34">
        <f>SUM(T84:AB84)</f>
        <v>0.76692361673934384</v>
      </c>
      <c r="X101" s="34">
        <f>SUM(T85:AB85)</f>
        <v>0.7371975648264385</v>
      </c>
      <c r="Y101" s="34">
        <f>SUM(T86:AB86)</f>
        <v>0.78080231338772177</v>
      </c>
      <c r="Z101" s="34">
        <f>SUM(T87:AB87)</f>
        <v>0.80468510167866802</v>
      </c>
      <c r="AA101" s="34">
        <f>SUM(T88:AB88)</f>
        <v>0.81156504903412086</v>
      </c>
      <c r="AB101" s="34">
        <f>SUM(T89:AB89)</f>
        <v>0.84509554136462162</v>
      </c>
      <c r="AH101" s="322"/>
    </row>
    <row r="102" spans="1:34" customFormat="1" ht="15" customHeight="1">
      <c r="A102" s="418" t="s">
        <v>129</v>
      </c>
      <c r="B102" s="33">
        <f>B90+C90+D90+E90+F90+G90+H90+I90+J90+K90</f>
        <v>0.94376831098687097</v>
      </c>
      <c r="C102" s="737">
        <f>SUM(B82:K82)*0</f>
        <v>0</v>
      </c>
      <c r="D102" s="34">
        <f>SUM(B83:K83)</f>
        <v>0.84452853632989366</v>
      </c>
      <c r="E102" s="34">
        <f>SUM(B84:K84)</f>
        <v>0.94367389411157665</v>
      </c>
      <c r="F102" s="34">
        <f>SUM(B85:K85)</f>
        <v>0.9336740857859559</v>
      </c>
      <c r="G102" s="34">
        <f>SUM(B86:K86)</f>
        <v>0.95395695306307982</v>
      </c>
      <c r="H102" s="34">
        <f>SUM(B87:K87)</f>
        <v>0.96144701763745566</v>
      </c>
      <c r="I102" s="34">
        <f>SUM(B88:K88)</f>
        <v>0.94998566889918357</v>
      </c>
      <c r="J102" s="34">
        <f>SUM(B89:K89)</f>
        <v>0.95516693299449762</v>
      </c>
      <c r="P102" s="10"/>
      <c r="Q102" s="322"/>
      <c r="R102" s="322"/>
      <c r="S102" s="418" t="s">
        <v>129</v>
      </c>
      <c r="T102" s="33">
        <f>T90+U90+V90+W90+X90+Y90+Z90+AA90+AB90+AC90</f>
        <v>0.85007943050837398</v>
      </c>
      <c r="U102" s="737">
        <f>SUM(T82:AC82)*0</f>
        <v>0</v>
      </c>
      <c r="V102" s="34">
        <f>SUM(T83:AC83)</f>
        <v>0.85005526925195007</v>
      </c>
      <c r="W102" s="34">
        <f>SUM(T84:AC84)</f>
        <v>0.8639202830497017</v>
      </c>
      <c r="X102" s="34">
        <f>SUM(T85:AC85)</f>
        <v>0.83285999670923372</v>
      </c>
      <c r="Y102" s="34">
        <f>SUM(T86:AC86)</f>
        <v>0.8534580117661863</v>
      </c>
      <c r="Z102" s="34">
        <f>SUM(T87:AC87)</f>
        <v>0.87895555750049814</v>
      </c>
      <c r="AA102" s="34">
        <f>SUM(T88:AC88)</f>
        <v>0.86222070517827709</v>
      </c>
      <c r="AB102" s="34">
        <f>SUM(T89:AC89)</f>
        <v>0.89374718623018978</v>
      </c>
      <c r="AH102" s="322"/>
    </row>
    <row r="103" spans="1:34" customFormat="1" ht="15" customHeight="1">
      <c r="A103" s="418" t="s">
        <v>130</v>
      </c>
      <c r="B103" s="33">
        <f>B90+C90+D90+E90+F90+G90+H90+I90+J90+K90+L90</f>
        <v>0.97163217698763193</v>
      </c>
      <c r="C103" s="737">
        <f>SUM(B82:L82)*0</f>
        <v>0</v>
      </c>
      <c r="D103" s="34">
        <f>SUM(B83:L83)</f>
        <v>0.91460136907633605</v>
      </c>
      <c r="E103" s="34">
        <f>SUM(B84:L84)</f>
        <v>0.97098608018363264</v>
      </c>
      <c r="F103" s="34">
        <f>SUM(B85:L85)</f>
        <v>0.9659811633313018</v>
      </c>
      <c r="G103" s="34">
        <f>SUM(B86:L86)</f>
        <v>0.97792928744796093</v>
      </c>
      <c r="H103" s="34">
        <f>SUM(B87:L87)</f>
        <v>0.98233723958612096</v>
      </c>
      <c r="I103" s="34">
        <f>SUM(B88:L88)</f>
        <v>0.97582653767343686</v>
      </c>
      <c r="J103" s="34">
        <f>SUM(B89:L89)</f>
        <v>0.97833449232530922</v>
      </c>
      <c r="P103" s="10"/>
      <c r="Q103" s="322"/>
      <c r="R103" s="322"/>
      <c r="S103" s="418" t="s">
        <v>130</v>
      </c>
      <c r="T103" s="33">
        <f>T90+U90+V90+W90+X90+Y90+Z90+AA90+AB90+AC90+AD90</f>
        <v>0.91721083009454596</v>
      </c>
      <c r="U103" s="737">
        <f>SUM(T82:AD82)*0</f>
        <v>0</v>
      </c>
      <c r="V103" s="34">
        <f>SUM(T83:AD83)</f>
        <v>0.91590373172400874</v>
      </c>
      <c r="W103" s="34">
        <f>SUM(T84:AD84)</f>
        <v>0.92404609819964256</v>
      </c>
      <c r="X103" s="34">
        <f>SUM(T85:AD85)</f>
        <v>0.90478252861654274</v>
      </c>
      <c r="Y103" s="34">
        <f>SUM(T86:AD86)</f>
        <v>0.92280386346745236</v>
      </c>
      <c r="Z103" s="34">
        <f>SUM(T87:AD87)</f>
        <v>0.94098228489290137</v>
      </c>
      <c r="AA103" s="34">
        <f>SUM(T88:AD88)</f>
        <v>0.92248190102521199</v>
      </c>
      <c r="AB103" s="34">
        <f>SUM(T89:AD89)</f>
        <v>0.94979401253881002</v>
      </c>
      <c r="AH103" s="322"/>
    </row>
    <row r="104" spans="1:34" s="10" customFormat="1" ht="15" customHeight="1">
      <c r="A104" s="418" t="s">
        <v>131</v>
      </c>
      <c r="B104" s="33">
        <f>SUM(B90:M90)</f>
        <v>1</v>
      </c>
      <c r="C104" s="737">
        <f>SUM(B82:M82)*0</f>
        <v>0</v>
      </c>
      <c r="D104" s="34">
        <f>SUM(B83:M83)</f>
        <v>1</v>
      </c>
      <c r="E104" s="34">
        <f>SUM(B84:M84)</f>
        <v>0.99999999999999989</v>
      </c>
      <c r="F104" s="34">
        <f>SUM(B85:M85)</f>
        <v>1.0000000000000002</v>
      </c>
      <c r="G104" s="34">
        <f>SUM(B86:M86)</f>
        <v>0.99999999999999967</v>
      </c>
      <c r="H104" s="34">
        <f>SUM(B87:M87)</f>
        <v>0.99999999999999989</v>
      </c>
      <c r="I104" s="34">
        <f>SUM(B88:M88)</f>
        <v>1.0000000000000002</v>
      </c>
      <c r="J104" s="34">
        <f>SUM(B89:M89)</f>
        <v>0.99999999999999989</v>
      </c>
      <c r="K104"/>
      <c r="L104"/>
      <c r="M104"/>
      <c r="N104"/>
      <c r="O104"/>
      <c r="Q104" s="322"/>
      <c r="R104" s="322"/>
      <c r="S104" s="418" t="s">
        <v>131</v>
      </c>
      <c r="T104" s="33">
        <f>SUM(T90:AE90)</f>
        <v>1.0000000000000002</v>
      </c>
      <c r="U104" s="737">
        <f>SUM(T82:AE82)*0</f>
        <v>0</v>
      </c>
      <c r="V104" s="34">
        <f>SUM(T83:AE83)</f>
        <v>1</v>
      </c>
      <c r="W104" s="34">
        <f>SUM(T84:AE84)</f>
        <v>1</v>
      </c>
      <c r="X104" s="34">
        <f>SUM(T85:AE85)</f>
        <v>1.0000000000000002</v>
      </c>
      <c r="Y104" s="34">
        <f>SUM(T86:AE86)</f>
        <v>1.0000000000000002</v>
      </c>
      <c r="Z104" s="34">
        <f>SUM(T87:AE87)</f>
        <v>1.0000000000000002</v>
      </c>
      <c r="AA104" s="34">
        <f>SUM(T88:AE88)</f>
        <v>0.99999999999999989</v>
      </c>
      <c r="AB104" s="34">
        <f>SUM(T89:AE89)</f>
        <v>1.0000000000000002</v>
      </c>
      <c r="AC104"/>
      <c r="AD104"/>
      <c r="AE104"/>
      <c r="AF104"/>
      <c r="AG104"/>
      <c r="AH104" s="322"/>
    </row>
    <row r="105" spans="1:34" ht="25.5" customHeight="1">
      <c r="A105" s="422"/>
      <c r="B105" s="416"/>
      <c r="C105" s="416"/>
      <c r="D105" s="416"/>
      <c r="E105" s="416"/>
      <c r="F105" s="416"/>
      <c r="G105" s="416"/>
      <c r="H105" s="19"/>
      <c r="I105" s="19"/>
      <c r="J105" s="19"/>
      <c r="K105" s="19"/>
      <c r="L105" s="19"/>
      <c r="M105" s="19"/>
      <c r="N105" s="19"/>
      <c r="O105" s="19"/>
      <c r="Q105" s="417"/>
      <c r="R105" s="417"/>
      <c r="S105" s="482"/>
      <c r="T105" s="434"/>
      <c r="U105" s="434"/>
      <c r="V105" s="434"/>
      <c r="W105" s="434"/>
      <c r="X105" s="434"/>
      <c r="Y105" s="434"/>
      <c r="Z105" s="434"/>
      <c r="AA105" s="434"/>
      <c r="AB105" s="434"/>
      <c r="AC105" s="434"/>
      <c r="AD105" s="434"/>
      <c r="AE105" s="434"/>
      <c r="AF105" s="434"/>
      <c r="AG105" s="434"/>
    </row>
    <row r="106" spans="1:34" s="427" customFormat="1" ht="15" customHeight="1">
      <c r="A106" s="1004" t="s">
        <v>28</v>
      </c>
      <c r="B106" s="1005"/>
      <c r="C106" s="1005"/>
      <c r="D106" s="1005"/>
      <c r="E106" s="1005"/>
      <c r="F106" s="1005"/>
      <c r="G106" s="1005"/>
      <c r="H106" s="1005"/>
      <c r="I106" s="1005"/>
      <c r="J106" s="1005"/>
      <c r="K106" s="1005"/>
      <c r="L106" s="1005"/>
      <c r="M106" s="1005"/>
      <c r="N106" s="1005"/>
      <c r="O106" s="1006"/>
      <c r="P106" s="470"/>
      <c r="Q106" s="431"/>
      <c r="R106" s="431"/>
      <c r="S106" s="435"/>
      <c r="T106" s="436"/>
      <c r="U106" s="436"/>
      <c r="V106" s="436"/>
      <c r="W106" s="436"/>
      <c r="X106" s="436"/>
      <c r="Y106" s="436"/>
      <c r="Z106" s="436"/>
      <c r="AA106" s="436"/>
      <c r="AB106" s="436"/>
      <c r="AC106" s="436"/>
      <c r="AD106" s="436"/>
      <c r="AE106" s="436"/>
      <c r="AF106" s="436"/>
      <c r="AG106" s="436"/>
      <c r="AH106" s="433"/>
    </row>
    <row r="107" spans="1:34" s="427" customFormat="1" ht="15" customHeight="1">
      <c r="A107" s="418" t="s">
        <v>105</v>
      </c>
      <c r="B107" s="429" t="s">
        <v>106</v>
      </c>
      <c r="C107" s="429" t="s">
        <v>107</v>
      </c>
      <c r="D107" s="429" t="s">
        <v>108</v>
      </c>
      <c r="E107" s="429" t="s">
        <v>109</v>
      </c>
      <c r="F107" s="429" t="s">
        <v>110</v>
      </c>
      <c r="G107" s="429" t="s">
        <v>111</v>
      </c>
      <c r="H107" s="429" t="s">
        <v>112</v>
      </c>
      <c r="I107" s="429" t="s">
        <v>113</v>
      </c>
      <c r="J107" s="429" t="s">
        <v>114</v>
      </c>
      <c r="K107" s="429" t="s">
        <v>115</v>
      </c>
      <c r="L107" s="429" t="s">
        <v>116</v>
      </c>
      <c r="M107" s="429" t="s">
        <v>117</v>
      </c>
      <c r="N107" s="429" t="s">
        <v>118</v>
      </c>
      <c r="O107" s="429" t="s">
        <v>119</v>
      </c>
      <c r="P107" s="471"/>
      <c r="Q107" s="431"/>
      <c r="R107" s="431"/>
      <c r="S107" s="435"/>
      <c r="T107" s="437"/>
      <c r="U107" s="437"/>
      <c r="V107" s="437"/>
      <c r="W107" s="437"/>
      <c r="X107" s="437"/>
      <c r="Y107" s="437"/>
      <c r="Z107" s="437"/>
      <c r="AA107" s="437"/>
      <c r="AB107" s="437"/>
      <c r="AC107" s="437"/>
      <c r="AD107" s="437"/>
      <c r="AE107" s="437"/>
      <c r="AF107" s="436"/>
      <c r="AG107" s="436"/>
      <c r="AH107" s="433"/>
    </row>
    <row r="108" spans="1:34" s="427" customFormat="1" ht="15" customHeight="1">
      <c r="A108" s="419">
        <v>2022</v>
      </c>
      <c r="B108" s="26">
        <f>'ARRECADAÇÃO MENSAL POR RECEITA'!F5</f>
        <v>6710688.8399999999</v>
      </c>
      <c r="C108" s="27">
        <f>'ARRECADAÇÃO MENSAL POR RECEITA'!$F$6</f>
        <v>8213576.3999999994</v>
      </c>
      <c r="D108" s="27">
        <f>'ARRECADAÇÃO MENSAL POR RECEITA'!$F$7</f>
        <v>10254889.439999999</v>
      </c>
      <c r="E108" s="27">
        <f>'ARRECADAÇÃO MENSAL POR RECEITA'!$F$8</f>
        <v>8729636.1700000018</v>
      </c>
      <c r="F108" s="27">
        <f>'ARRECADAÇÃO MENSAL POR RECEITA'!$F$9</f>
        <v>10288921.469999999</v>
      </c>
      <c r="G108" s="27">
        <f>'ARRECADAÇÃO MENSAL POR RECEITA'!$F$10</f>
        <v>9565958.9199999981</v>
      </c>
      <c r="H108" s="27">
        <f>'ARRECADAÇÃO MENSAL POR RECEITA'!$F$11</f>
        <v>9487952.629999999</v>
      </c>
      <c r="I108" s="27">
        <f>'ARRECADAÇÃO MENSAL POR RECEITA'!$F$12</f>
        <v>10458010.630000001</v>
      </c>
      <c r="J108" s="27">
        <f>'ARRECADAÇÃO MENSAL POR RECEITA'!$F$13</f>
        <v>9454290.959999999</v>
      </c>
      <c r="K108" s="27">
        <f>'ARRECADAÇÃO MENSAL POR RECEITA'!$F$14</f>
        <v>0</v>
      </c>
      <c r="L108" s="27">
        <f>'ARRECADAÇÃO MENSAL POR RECEITA'!$F$15</f>
        <v>0</v>
      </c>
      <c r="M108" s="27">
        <f>'ARRECADAÇÃO MENSAL POR RECEITA'!$F$16</f>
        <v>0</v>
      </c>
      <c r="N108" s="28">
        <f>SUM(B108:M108)</f>
        <v>83163925.459999979</v>
      </c>
      <c r="O108" s="119">
        <f>'Evolução das Receitas'!AC170+'Evolução das Receitas'!AC172</f>
        <v>108190303.97200002</v>
      </c>
      <c r="P108" s="472"/>
      <c r="Q108" s="142">
        <f>N109/O108</f>
        <v>0.91655164750866625</v>
      </c>
      <c r="R108" s="431"/>
      <c r="S108" s="435"/>
      <c r="T108" s="437"/>
      <c r="U108" s="437"/>
      <c r="V108" s="437"/>
      <c r="W108" s="437"/>
      <c r="X108" s="437"/>
      <c r="Y108" s="437"/>
      <c r="Z108" s="437"/>
      <c r="AA108" s="437"/>
      <c r="AB108" s="437"/>
      <c r="AC108" s="437"/>
      <c r="AD108" s="437"/>
      <c r="AE108" s="437"/>
      <c r="AF108" s="436"/>
      <c r="AG108" s="436"/>
      <c r="AH108" s="433"/>
    </row>
    <row r="109" spans="1:34" ht="15" customHeight="1">
      <c r="A109" s="419">
        <v>2021</v>
      </c>
      <c r="B109" s="26">
        <v>5938135.3999999985</v>
      </c>
      <c r="C109" s="27">
        <v>7194534.8299999991</v>
      </c>
      <c r="D109" s="27">
        <v>8370278.5199999996</v>
      </c>
      <c r="E109" s="27">
        <v>7625407.2599999998</v>
      </c>
      <c r="F109" s="27">
        <v>8316644.9999999991</v>
      </c>
      <c r="G109" s="27">
        <v>8723461.0199999996</v>
      </c>
      <c r="H109" s="27">
        <v>9202483.1000000015</v>
      </c>
      <c r="I109" s="27">
        <v>9502324.6999999993</v>
      </c>
      <c r="J109" s="27">
        <v>9106293.5099999998</v>
      </c>
      <c r="K109" s="27">
        <v>8619972.4199999999</v>
      </c>
      <c r="L109" s="27">
        <v>8449852.6500000004</v>
      </c>
      <c r="M109" s="27">
        <v>8112612.9399999995</v>
      </c>
      <c r="N109" s="28">
        <f>SUM(B109:M109)</f>
        <v>99162001.350000009</v>
      </c>
      <c r="R109" s="142"/>
      <c r="S109" s="435"/>
      <c r="T109" s="438"/>
      <c r="U109" s="438"/>
      <c r="V109" s="438"/>
      <c r="W109" s="438"/>
      <c r="X109" s="438"/>
      <c r="Y109" s="438"/>
      <c r="Z109" s="438"/>
      <c r="AA109" s="438"/>
      <c r="AB109" s="438"/>
      <c r="AC109" s="438"/>
      <c r="AD109" s="438"/>
      <c r="AE109" s="438"/>
      <c r="AF109" s="439"/>
      <c r="AG109" s="439"/>
    </row>
    <row r="110" spans="1:34" ht="15" customHeight="1">
      <c r="A110" s="419">
        <v>2020</v>
      </c>
      <c r="B110" s="29">
        <v>6095755.0300000012</v>
      </c>
      <c r="C110" s="29">
        <v>6486719.6100000013</v>
      </c>
      <c r="D110" s="29">
        <v>6574574.5700000003</v>
      </c>
      <c r="E110" s="29">
        <v>3768137.8999999994</v>
      </c>
      <c r="F110" s="29">
        <v>4810422.45</v>
      </c>
      <c r="G110" s="29">
        <v>6235594.9500000002</v>
      </c>
      <c r="H110" s="29">
        <v>7568698.5499999989</v>
      </c>
      <c r="I110" s="29">
        <v>8022684.9199999999</v>
      </c>
      <c r="J110" s="29">
        <v>7914359.9999999991</v>
      </c>
      <c r="K110" s="29">
        <v>8767798.3499999978</v>
      </c>
      <c r="L110" s="29">
        <v>7725821.1699999999</v>
      </c>
      <c r="M110" s="29">
        <v>7442926.6500000004</v>
      </c>
      <c r="N110" s="28">
        <f>SUM(B110:M110)</f>
        <v>81413494.150000006</v>
      </c>
      <c r="S110" s="435"/>
      <c r="T110" s="438"/>
      <c r="U110" s="438"/>
      <c r="V110" s="438"/>
      <c r="W110" s="438"/>
      <c r="X110" s="438"/>
      <c r="Y110" s="438"/>
      <c r="Z110" s="438"/>
      <c r="AA110" s="438"/>
      <c r="AB110" s="438"/>
      <c r="AC110" s="438"/>
      <c r="AD110" s="438"/>
      <c r="AE110" s="438"/>
      <c r="AF110" s="439"/>
      <c r="AG110" s="439"/>
    </row>
    <row r="111" spans="1:34" ht="15" customHeight="1">
      <c r="A111" s="419">
        <v>2019</v>
      </c>
      <c r="B111" s="26">
        <v>5455921.4999999991</v>
      </c>
      <c r="C111" s="27">
        <v>6734481.0600000005</v>
      </c>
      <c r="D111" s="27">
        <v>6636331.9299999997</v>
      </c>
      <c r="E111" s="27">
        <v>7733387.1900000004</v>
      </c>
      <c r="F111" s="27">
        <v>8389656.0700000003</v>
      </c>
      <c r="G111" s="27">
        <v>6815074.4399999995</v>
      </c>
      <c r="H111" s="27">
        <v>8210684.1699999999</v>
      </c>
      <c r="I111" s="27">
        <v>8175331.3999999994</v>
      </c>
      <c r="J111" s="27">
        <v>7828230.6099999994</v>
      </c>
      <c r="K111" s="27">
        <v>8450912.0500000007</v>
      </c>
      <c r="L111" s="27">
        <v>7218290.54</v>
      </c>
      <c r="M111" s="27">
        <v>6715853.9700000007</v>
      </c>
      <c r="N111" s="28">
        <f>SUM(B111:M111)</f>
        <v>88364154.930000007</v>
      </c>
      <c r="O111" s="121"/>
      <c r="P111" s="472"/>
      <c r="Q111" s="142"/>
      <c r="R111" s="142"/>
      <c r="S111" s="435"/>
      <c r="T111" s="438"/>
      <c r="U111" s="438"/>
      <c r="V111" s="438"/>
      <c r="W111" s="438"/>
      <c r="X111" s="438"/>
      <c r="Y111" s="438"/>
      <c r="Z111" s="438"/>
      <c r="AA111" s="438"/>
      <c r="AB111" s="438"/>
      <c r="AC111" s="438"/>
      <c r="AD111" s="438"/>
      <c r="AE111" s="438"/>
      <c r="AF111" s="440"/>
      <c r="AG111" s="438"/>
    </row>
    <row r="112" spans="1:34" ht="15" customHeight="1">
      <c r="A112" s="418">
        <v>2018</v>
      </c>
      <c r="B112" s="29">
        <v>5135853.32</v>
      </c>
      <c r="C112" s="30">
        <v>5332651.1800000016</v>
      </c>
      <c r="D112" s="30">
        <v>6976305.5700000012</v>
      </c>
      <c r="E112" s="30">
        <v>7041634.4499999993</v>
      </c>
      <c r="F112" s="30">
        <v>7102435.379999999</v>
      </c>
      <c r="G112" s="30">
        <v>6640772.3399999999</v>
      </c>
      <c r="H112" s="30">
        <v>7037972.6500000004</v>
      </c>
      <c r="I112" s="30">
        <v>7921605.6499999994</v>
      </c>
      <c r="J112" s="30">
        <v>6627650.4999999991</v>
      </c>
      <c r="K112" s="30">
        <v>7488072.9799999995</v>
      </c>
      <c r="L112" s="30">
        <v>6349110.4100000001</v>
      </c>
      <c r="M112" s="30">
        <v>6042424.9100000001</v>
      </c>
      <c r="N112" s="28">
        <f t="shared" ref="N112:N115" si="49">SUM(B112:M112)</f>
        <v>79696489.339999989</v>
      </c>
      <c r="O112" s="121"/>
      <c r="P112" s="472"/>
      <c r="S112" s="435"/>
      <c r="T112" s="438"/>
      <c r="U112" s="438"/>
      <c r="V112" s="438"/>
      <c r="W112" s="438"/>
      <c r="X112" s="438"/>
      <c r="Y112" s="438"/>
      <c r="Z112" s="438"/>
      <c r="AA112" s="438"/>
      <c r="AB112" s="438"/>
      <c r="AC112" s="438"/>
      <c r="AD112" s="438"/>
      <c r="AE112" s="438"/>
      <c r="AF112" s="440"/>
      <c r="AG112" s="441"/>
    </row>
    <row r="113" spans="1:34" ht="15" customHeight="1">
      <c r="A113" s="418">
        <v>2017</v>
      </c>
      <c r="B113" s="26">
        <v>4417031.58</v>
      </c>
      <c r="C113" s="27">
        <v>4870146.41</v>
      </c>
      <c r="D113" s="27">
        <v>6609199.9299999997</v>
      </c>
      <c r="E113" s="27">
        <v>5481087.4499999993</v>
      </c>
      <c r="F113" s="27">
        <v>6984721.6799999997</v>
      </c>
      <c r="G113" s="27">
        <v>6720802.7600000007</v>
      </c>
      <c r="H113" s="27">
        <v>6390356.2200000007</v>
      </c>
      <c r="I113" s="27">
        <v>7371101.1499999994</v>
      </c>
      <c r="J113" s="27">
        <v>6407124.3900000006</v>
      </c>
      <c r="K113" s="27">
        <v>6567649.1000000006</v>
      </c>
      <c r="L113" s="27">
        <v>6082212.4000000004</v>
      </c>
      <c r="M113" s="27">
        <v>5588335.6399999997</v>
      </c>
      <c r="N113" s="28">
        <f t="shared" si="49"/>
        <v>73489768.709999993</v>
      </c>
      <c r="O113" s="121"/>
      <c r="P113" s="472"/>
      <c r="S113" s="435"/>
      <c r="T113" s="438"/>
      <c r="U113" s="438"/>
      <c r="V113" s="438"/>
      <c r="W113" s="438"/>
      <c r="X113" s="438"/>
      <c r="Y113" s="438"/>
      <c r="Z113" s="438"/>
      <c r="AA113" s="438"/>
      <c r="AB113" s="438"/>
      <c r="AC113" s="438"/>
      <c r="AD113" s="438"/>
      <c r="AE113" s="438"/>
      <c r="AF113" s="440"/>
      <c r="AG113" s="441"/>
    </row>
    <row r="114" spans="1:34" ht="15" customHeight="1">
      <c r="A114" s="418">
        <v>2016</v>
      </c>
      <c r="B114" s="29">
        <v>3848933.41</v>
      </c>
      <c r="C114" s="30">
        <v>4734291.0199999996</v>
      </c>
      <c r="D114" s="30">
        <v>6185310.4700000007</v>
      </c>
      <c r="E114" s="30">
        <v>5565040.0800000001</v>
      </c>
      <c r="F114" s="30">
        <v>5876620.71</v>
      </c>
      <c r="G114" s="30">
        <v>6120309.7500000009</v>
      </c>
      <c r="H114" s="30">
        <v>5869479.4499999993</v>
      </c>
      <c r="I114" s="30">
        <v>6172734.2300000004</v>
      </c>
      <c r="J114" s="30">
        <v>6030483.4100000001</v>
      </c>
      <c r="K114" s="30">
        <v>5389934.2599999988</v>
      </c>
      <c r="L114" s="30">
        <v>5524285.8300000001</v>
      </c>
      <c r="M114" s="30">
        <v>5577494.1900000013</v>
      </c>
      <c r="N114" s="28">
        <f t="shared" si="49"/>
        <v>66894916.810000002</v>
      </c>
      <c r="O114" s="121"/>
      <c r="P114" s="472"/>
      <c r="S114" s="435"/>
      <c r="T114" s="438"/>
      <c r="U114" s="438"/>
      <c r="V114" s="438"/>
      <c r="W114" s="438"/>
      <c r="X114" s="438"/>
      <c r="Y114" s="438"/>
      <c r="Z114" s="438"/>
      <c r="AA114" s="438"/>
      <c r="AB114" s="438"/>
      <c r="AC114" s="438"/>
      <c r="AD114" s="438"/>
      <c r="AE114" s="438"/>
      <c r="AF114" s="440"/>
      <c r="AG114" s="441"/>
    </row>
    <row r="115" spans="1:34" ht="15" customHeight="1">
      <c r="A115" s="418">
        <v>2015</v>
      </c>
      <c r="B115" s="26">
        <v>4002547.02</v>
      </c>
      <c r="C115" s="27">
        <v>4684319.92</v>
      </c>
      <c r="D115" s="27">
        <v>6357716.5099999998</v>
      </c>
      <c r="E115" s="27">
        <v>5562076.5599999996</v>
      </c>
      <c r="F115" s="27">
        <v>5717423.459999999</v>
      </c>
      <c r="G115" s="27">
        <v>5711464.9299999997</v>
      </c>
      <c r="H115" s="27">
        <v>6221034.870000001</v>
      </c>
      <c r="I115" s="27">
        <v>5830978.0499999998</v>
      </c>
      <c r="J115" s="27">
        <v>5843286.6900000004</v>
      </c>
      <c r="K115" s="27">
        <v>5722658.0199999996</v>
      </c>
      <c r="L115" s="27">
        <v>5201244.7</v>
      </c>
      <c r="M115" s="27">
        <v>4975354.57</v>
      </c>
      <c r="N115" s="28">
        <f t="shared" si="49"/>
        <v>65830105.29999999</v>
      </c>
      <c r="O115" s="121"/>
      <c r="P115" s="472"/>
      <c r="S115" s="442"/>
      <c r="T115" s="441"/>
      <c r="U115" s="441"/>
      <c r="V115" s="441"/>
      <c r="W115" s="441"/>
      <c r="X115" s="441"/>
      <c r="Y115" s="441"/>
      <c r="Z115" s="441"/>
      <c r="AA115" s="441"/>
      <c r="AB115" s="441"/>
      <c r="AC115" s="441"/>
      <c r="AD115" s="441"/>
      <c r="AE115" s="441"/>
      <c r="AF115" s="441"/>
      <c r="AG115" s="441"/>
    </row>
    <row r="116" spans="1:34" ht="15" customHeight="1">
      <c r="A116" s="420"/>
      <c r="S116" s="435"/>
      <c r="T116" s="441"/>
      <c r="U116" s="441"/>
      <c r="V116" s="441"/>
      <c r="W116" s="441"/>
      <c r="X116" s="441"/>
      <c r="Y116" s="441"/>
      <c r="Z116" s="441"/>
      <c r="AA116" s="441"/>
      <c r="AB116" s="441"/>
      <c r="AC116" s="441"/>
      <c r="AD116" s="441"/>
      <c r="AE116" s="441"/>
      <c r="AF116" s="441"/>
      <c r="AG116" s="441"/>
    </row>
    <row r="117" spans="1:34" ht="15" customHeight="1">
      <c r="A117" s="418">
        <v>2022</v>
      </c>
      <c r="B117" s="31">
        <f>B108/$N$108</f>
        <v>8.069230502145662E-2</v>
      </c>
      <c r="C117" s="31">
        <f t="shared" ref="C117:M117" si="50">C108/$N$108</f>
        <v>9.8763692966255534E-2</v>
      </c>
      <c r="D117" s="31">
        <f t="shared" si="50"/>
        <v>0.12330934817323379</v>
      </c>
      <c r="E117" s="31">
        <f t="shared" si="50"/>
        <v>0.1049690249914762</v>
      </c>
      <c r="F117" s="31">
        <f t="shared" si="50"/>
        <v>0.12371856442669657</v>
      </c>
      <c r="G117" s="31">
        <f t="shared" si="50"/>
        <v>0.11502534142163616</v>
      </c>
      <c r="H117" s="31">
        <f t="shared" si="50"/>
        <v>0.11408735912259813</v>
      </c>
      <c r="I117" s="31">
        <f t="shared" si="50"/>
        <v>0.12575176763427401</v>
      </c>
      <c r="J117" s="31">
        <f t="shared" si="50"/>
        <v>0.1136825962423732</v>
      </c>
      <c r="K117" s="31">
        <f t="shared" si="50"/>
        <v>0</v>
      </c>
      <c r="L117" s="31">
        <f t="shared" si="50"/>
        <v>0</v>
      </c>
      <c r="M117" s="31">
        <f t="shared" si="50"/>
        <v>0</v>
      </c>
      <c r="N117" s="780" t="b">
        <f>SUM(B117:M117)=100%</f>
        <v>1</v>
      </c>
      <c r="O117" s="566"/>
      <c r="S117" s="435"/>
      <c r="T117" s="441"/>
      <c r="U117" s="441"/>
      <c r="V117" s="441"/>
      <c r="W117" s="441"/>
      <c r="X117" s="441"/>
      <c r="Y117" s="441"/>
      <c r="Z117" s="441"/>
      <c r="AA117" s="441"/>
      <c r="AB117" s="441"/>
      <c r="AC117" s="441"/>
      <c r="AD117" s="441"/>
      <c r="AE117" s="441"/>
      <c r="AF117" s="441"/>
      <c r="AG117" s="441"/>
    </row>
    <row r="118" spans="1:34" ht="15" customHeight="1">
      <c r="A118" s="418">
        <v>2021</v>
      </c>
      <c r="B118" s="31">
        <f>B109/$N$109</f>
        <v>5.9883174191300223E-2</v>
      </c>
      <c r="C118" s="31">
        <f t="shared" ref="C118:M118" si="51">C109/$N$109</f>
        <v>7.2553344346150572E-2</v>
      </c>
      <c r="D118" s="31">
        <f t="shared" si="51"/>
        <v>8.4410141042398384E-2</v>
      </c>
      <c r="E118" s="31">
        <f t="shared" si="51"/>
        <v>7.6898480831236266E-2</v>
      </c>
      <c r="F118" s="31">
        <f t="shared" si="51"/>
        <v>8.3869273378678111E-2</v>
      </c>
      <c r="G118" s="31">
        <f t="shared" si="51"/>
        <v>8.7971812803675317E-2</v>
      </c>
      <c r="H118" s="31">
        <f t="shared" si="51"/>
        <v>9.2802514821369128E-2</v>
      </c>
      <c r="I118" s="31">
        <f t="shared" si="51"/>
        <v>9.5826269847668802E-2</v>
      </c>
      <c r="J118" s="31">
        <f t="shared" si="51"/>
        <v>9.1832490127530073E-2</v>
      </c>
      <c r="K118" s="31">
        <f t="shared" si="51"/>
        <v>8.6928181184798156E-2</v>
      </c>
      <c r="L118" s="31">
        <f t="shared" si="51"/>
        <v>8.5212606996258447E-2</v>
      </c>
      <c r="M118" s="31">
        <f t="shared" si="51"/>
        <v>8.1811710428936382E-2</v>
      </c>
      <c r="N118" s="780" t="b">
        <f>SUM(B118:M118)=100%</f>
        <v>1</v>
      </c>
      <c r="O118" s="145"/>
      <c r="S118" s="435"/>
      <c r="T118" s="441"/>
      <c r="U118" s="441"/>
      <c r="V118" s="441"/>
      <c r="W118" s="441"/>
      <c r="X118" s="441"/>
      <c r="Y118" s="441"/>
      <c r="Z118" s="441"/>
      <c r="AA118" s="441"/>
      <c r="AB118" s="441"/>
      <c r="AC118" s="441"/>
      <c r="AD118" s="441"/>
      <c r="AE118" s="441"/>
      <c r="AF118" s="441"/>
      <c r="AG118" s="441"/>
    </row>
    <row r="119" spans="1:34" ht="15" customHeight="1">
      <c r="A119" s="418">
        <v>2020</v>
      </c>
      <c r="B119" s="31">
        <f t="shared" ref="B119:M119" si="52">B110/$N$110</f>
        <v>7.4874013130659875E-2</v>
      </c>
      <c r="C119" s="31">
        <f t="shared" si="52"/>
        <v>7.9676221709002779E-2</v>
      </c>
      <c r="D119" s="31">
        <f t="shared" si="52"/>
        <v>8.0755342079860848E-2</v>
      </c>
      <c r="E119" s="31">
        <f t="shared" si="52"/>
        <v>4.6283947634742306E-2</v>
      </c>
      <c r="F119" s="31">
        <f t="shared" si="52"/>
        <v>5.9086303815151994E-2</v>
      </c>
      <c r="G119" s="31">
        <f t="shared" si="52"/>
        <v>7.6591663520929956E-2</v>
      </c>
      <c r="H119" s="31">
        <f t="shared" si="52"/>
        <v>9.2966143131691131E-2</v>
      </c>
      <c r="I119" s="31">
        <f t="shared" si="52"/>
        <v>9.8542446848167847E-2</v>
      </c>
      <c r="J119" s="31">
        <f t="shared" si="52"/>
        <v>9.7211894448581387E-2</v>
      </c>
      <c r="K119" s="31">
        <f t="shared" si="52"/>
        <v>0.10769465727445378</v>
      </c>
      <c r="L119" s="31">
        <f t="shared" si="52"/>
        <v>9.4896076512397176E-2</v>
      </c>
      <c r="M119" s="31">
        <f t="shared" si="52"/>
        <v>9.1421289894360838E-2</v>
      </c>
      <c r="N119" s="780" t="b">
        <f>SUM(B119:M119)=100%</f>
        <v>1</v>
      </c>
      <c r="S119" s="435"/>
      <c r="T119" s="441"/>
      <c r="U119" s="441"/>
      <c r="V119" s="441"/>
      <c r="W119" s="441"/>
      <c r="X119" s="441"/>
      <c r="Y119" s="441"/>
      <c r="Z119" s="441"/>
      <c r="AA119" s="441"/>
      <c r="AB119" s="441"/>
      <c r="AC119" s="441"/>
      <c r="AD119" s="441"/>
      <c r="AE119" s="441"/>
      <c r="AF119" s="441"/>
      <c r="AG119" s="441"/>
    </row>
    <row r="120" spans="1:34" ht="15" customHeight="1">
      <c r="A120" s="418">
        <v>2019</v>
      </c>
      <c r="B120" s="31">
        <f>B111/$N$111</f>
        <v>6.1743605247196118E-2</v>
      </c>
      <c r="C120" s="31">
        <f t="shared" ref="C120:M120" si="53">C111/$N$111</f>
        <v>7.6212815766018432E-2</v>
      </c>
      <c r="D120" s="31">
        <f t="shared" si="53"/>
        <v>7.5102081101292087E-2</v>
      </c>
      <c r="E120" s="31">
        <f t="shared" si="53"/>
        <v>8.7517242666171668E-2</v>
      </c>
      <c r="F120" s="31">
        <f t="shared" si="53"/>
        <v>9.4944110274647983E-2</v>
      </c>
      <c r="G120" s="31">
        <f t="shared" si="53"/>
        <v>7.7124875413551341E-2</v>
      </c>
      <c r="H120" s="31">
        <f t="shared" si="53"/>
        <v>9.2918720000256999E-2</v>
      </c>
      <c r="I120" s="31">
        <f t="shared" si="53"/>
        <v>9.2518639560082966E-2</v>
      </c>
      <c r="J120" s="31">
        <f t="shared" si="53"/>
        <v>8.8590567252086985E-2</v>
      </c>
      <c r="K120" s="31">
        <f t="shared" si="53"/>
        <v>9.563733231755131E-2</v>
      </c>
      <c r="L120" s="31">
        <f t="shared" si="53"/>
        <v>8.1687993799274813E-2</v>
      </c>
      <c r="M120" s="31">
        <f t="shared" si="53"/>
        <v>7.6002016601869171E-2</v>
      </c>
      <c r="N120" s="780" t="b">
        <f t="shared" ref="N120:N125" si="54">SUM(B120:M120)=100%</f>
        <v>1</v>
      </c>
      <c r="S120" s="435"/>
      <c r="T120" s="443"/>
      <c r="U120" s="443"/>
      <c r="V120" s="443"/>
      <c r="W120" s="443"/>
      <c r="X120" s="443"/>
      <c r="Y120" s="443"/>
      <c r="Z120" s="443"/>
      <c r="AA120" s="443"/>
      <c r="AB120" s="443"/>
      <c r="AC120" s="443"/>
      <c r="AD120" s="443"/>
      <c r="AE120" s="443"/>
      <c r="AF120" s="441"/>
      <c r="AG120" s="441"/>
    </row>
    <row r="121" spans="1:34" ht="15" customHeight="1">
      <c r="A121" s="418">
        <v>2018</v>
      </c>
      <c r="B121" s="31">
        <f>B112/N112</f>
        <v>6.4442654407140809E-2</v>
      </c>
      <c r="C121" s="32">
        <f>C112/N112</f>
        <v>6.6911996051042144E-2</v>
      </c>
      <c r="D121" s="32">
        <f>D112/N112</f>
        <v>8.7535920688272595E-2</v>
      </c>
      <c r="E121" s="32">
        <f>E112/N112</f>
        <v>8.8355641613761457E-2</v>
      </c>
      <c r="F121" s="32">
        <f>F112/N112</f>
        <v>8.9118547615061106E-2</v>
      </c>
      <c r="G121" s="32">
        <f>G112/N112</f>
        <v>8.3325782540674215E-2</v>
      </c>
      <c r="H121" s="32">
        <f>H112/N112</f>
        <v>8.8309694796902594E-2</v>
      </c>
      <c r="I121" s="32">
        <f>I112/N112</f>
        <v>9.9397171890532876E-2</v>
      </c>
      <c r="J121" s="32">
        <f>J112/N112</f>
        <v>8.316113488669763E-2</v>
      </c>
      <c r="K121" s="32">
        <f>K112/N112</f>
        <v>9.395737556336381E-2</v>
      </c>
      <c r="L121" s="32">
        <f>L112/N112</f>
        <v>7.9666124098810909E-2</v>
      </c>
      <c r="M121" s="32">
        <f>M112/N112</f>
        <v>7.5817955847739996E-2</v>
      </c>
      <c r="N121" s="780" t="b">
        <f t="shared" si="54"/>
        <v>1</v>
      </c>
      <c r="S121" s="435"/>
      <c r="T121" s="443"/>
      <c r="U121" s="443"/>
      <c r="V121" s="443"/>
      <c r="W121" s="443"/>
      <c r="X121" s="443"/>
      <c r="Y121" s="443"/>
      <c r="Z121" s="443"/>
      <c r="AA121" s="443"/>
      <c r="AB121" s="443"/>
      <c r="AC121" s="443"/>
      <c r="AD121" s="443"/>
      <c r="AE121" s="443"/>
      <c r="AF121" s="441"/>
      <c r="AG121" s="441"/>
    </row>
    <row r="122" spans="1:34" ht="15" customHeight="1">
      <c r="A122" s="418">
        <v>2017</v>
      </c>
      <c r="B122" s="31">
        <f>B113/N113</f>
        <v>6.0104034310274813E-2</v>
      </c>
      <c r="C122" s="32">
        <f>C113/N113</f>
        <v>6.6269720200348159E-2</v>
      </c>
      <c r="D122" s="32">
        <f>D113/N113</f>
        <v>8.9933606351120063E-2</v>
      </c>
      <c r="E122" s="32">
        <f>E113/N113</f>
        <v>7.4583000412330458E-2</v>
      </c>
      <c r="F122" s="32">
        <f>F113/N113</f>
        <v>9.5043457104384194E-2</v>
      </c>
      <c r="G122" s="32">
        <f>G113/N113</f>
        <v>9.1452223594840065E-2</v>
      </c>
      <c r="H122" s="32">
        <f>H113/N113</f>
        <v>8.6955726384405449E-2</v>
      </c>
      <c r="I122" s="32">
        <f>I113/N113</f>
        <v>0.10030105250551687</v>
      </c>
      <c r="J122" s="32">
        <f>J113/N113</f>
        <v>8.7183896513313722E-2</v>
      </c>
      <c r="K122" s="32">
        <f>K113/N113</f>
        <v>8.9368210232322026E-2</v>
      </c>
      <c r="L122" s="32">
        <f>L113/N113</f>
        <v>8.2762709786190602E-2</v>
      </c>
      <c r="M122" s="32">
        <f>M113/N113</f>
        <v>7.60423626049537E-2</v>
      </c>
      <c r="N122" s="780" t="b">
        <f t="shared" si="54"/>
        <v>1</v>
      </c>
      <c r="S122" s="435"/>
      <c r="T122" s="443"/>
      <c r="U122" s="443"/>
      <c r="V122" s="443"/>
      <c r="W122" s="443"/>
      <c r="X122" s="443"/>
      <c r="Y122" s="443"/>
      <c r="Z122" s="443"/>
      <c r="AA122" s="443"/>
      <c r="AB122" s="443"/>
      <c r="AC122" s="443"/>
      <c r="AD122" s="443"/>
      <c r="AE122" s="443"/>
      <c r="AF122" s="441"/>
      <c r="AG122" s="441"/>
    </row>
    <row r="123" spans="1:34" ht="15" customHeight="1">
      <c r="A123" s="418">
        <v>2016</v>
      </c>
      <c r="B123" s="31">
        <f>B114/N114</f>
        <v>5.7537008692783512E-2</v>
      </c>
      <c r="C123" s="32">
        <f>C114/N114</f>
        <v>7.0772059309778215E-2</v>
      </c>
      <c r="D123" s="32">
        <f>D114/N114</f>
        <v>9.2463086359281785E-2</v>
      </c>
      <c r="E123" s="32">
        <f>E114/N114</f>
        <v>8.3190776599756419E-2</v>
      </c>
      <c r="F123" s="32">
        <f>F114/N114</f>
        <v>8.7848539025636607E-2</v>
      </c>
      <c r="G123" s="32">
        <f>G114/N114</f>
        <v>9.1491402364448221E-2</v>
      </c>
      <c r="H123" s="32">
        <f>H114/N114</f>
        <v>8.7741785622828986E-2</v>
      </c>
      <c r="I123" s="32">
        <f>I114/N114</f>
        <v>9.2275086424462818E-2</v>
      </c>
      <c r="J123" s="32">
        <f>J114/N114</f>
        <v>9.0148604670938368E-2</v>
      </c>
      <c r="K123" s="32">
        <f>K114/N114</f>
        <v>8.0573151399663104E-2</v>
      </c>
      <c r="L123" s="32">
        <f>L114/N114</f>
        <v>8.2581548695104798E-2</v>
      </c>
      <c r="M123" s="32">
        <f>M114/N114</f>
        <v>8.3376950835317154E-2</v>
      </c>
      <c r="N123" s="780" t="b">
        <f t="shared" si="54"/>
        <v>1</v>
      </c>
      <c r="S123" s="435"/>
      <c r="T123" s="443"/>
      <c r="U123" s="443"/>
      <c r="V123" s="443"/>
      <c r="W123" s="443"/>
      <c r="X123" s="443"/>
      <c r="Y123" s="443"/>
      <c r="Z123" s="443"/>
      <c r="AA123" s="443"/>
      <c r="AB123" s="443"/>
      <c r="AC123" s="443"/>
      <c r="AD123" s="443"/>
      <c r="AE123" s="443"/>
      <c r="AF123" s="441"/>
      <c r="AG123" s="441"/>
    </row>
    <row r="124" spans="1:34" ht="15" customHeight="1">
      <c r="A124" s="418">
        <v>2015</v>
      </c>
      <c r="B124" s="31">
        <f>B115/N115</f>
        <v>6.0801163871144537E-2</v>
      </c>
      <c r="C124" s="32">
        <f>C115/N115</f>
        <v>7.1157715738911331E-2</v>
      </c>
      <c r="D124" s="32">
        <f>D115/N115</f>
        <v>9.6577644544645763E-2</v>
      </c>
      <c r="E124" s="32">
        <f>E115/N115</f>
        <v>8.4491381787292999E-2</v>
      </c>
      <c r="F124" s="32">
        <f>F115/N115</f>
        <v>8.6851197243945466E-2</v>
      </c>
      <c r="G124" s="32">
        <f>G115/N115</f>
        <v>8.6760683489291043E-2</v>
      </c>
      <c r="H124" s="32">
        <f>H115/N115</f>
        <v>9.4501365927482456E-2</v>
      </c>
      <c r="I124" s="32">
        <f>I115/N115</f>
        <v>8.8576161672948142E-2</v>
      </c>
      <c r="J124" s="32">
        <f>J115/N115</f>
        <v>8.8763137524557501E-2</v>
      </c>
      <c r="K124" s="32">
        <f>K115/N115</f>
        <v>8.6930713446694133E-2</v>
      </c>
      <c r="L124" s="32">
        <f>L115/N115</f>
        <v>7.9010122743947683E-2</v>
      </c>
      <c r="M124" s="32">
        <f>M115/N115</f>
        <v>7.5578712009139098E-2</v>
      </c>
      <c r="N124" s="780" t="b">
        <f t="shared" si="54"/>
        <v>1</v>
      </c>
      <c r="S124" s="435"/>
      <c r="T124" s="444"/>
      <c r="U124" s="444"/>
      <c r="V124" s="444"/>
      <c r="W124" s="444"/>
      <c r="X124" s="444"/>
      <c r="Y124" s="444"/>
      <c r="Z124" s="444"/>
      <c r="AA124" s="444"/>
      <c r="AB124" s="444"/>
      <c r="AC124" s="444"/>
      <c r="AD124" s="444"/>
      <c r="AE124" s="444"/>
      <c r="AF124" s="441"/>
      <c r="AG124" s="441"/>
    </row>
    <row r="125" spans="1:34" ht="15" customHeight="1">
      <c r="A125" s="418" t="str">
        <f>B22</f>
        <v>Média 19 a 21</v>
      </c>
      <c r="B125" s="33">
        <f>AVERAGE(B119:B121)</f>
        <v>6.7020090928332263E-2</v>
      </c>
      <c r="C125" s="33">
        <f t="shared" ref="C125:M125" si="55">AVERAGE(C119:C121)</f>
        <v>7.4267011175354447E-2</v>
      </c>
      <c r="D125" s="33">
        <f t="shared" si="55"/>
        <v>8.1131114623141834E-2</v>
      </c>
      <c r="E125" s="33">
        <f t="shared" si="55"/>
        <v>7.405227730489182E-2</v>
      </c>
      <c r="F125" s="33">
        <f t="shared" si="55"/>
        <v>8.1049653901620361E-2</v>
      </c>
      <c r="G125" s="33">
        <f t="shared" si="55"/>
        <v>7.9014107158385166E-2</v>
      </c>
      <c r="H125" s="33">
        <f t="shared" si="55"/>
        <v>9.1398185976283575E-2</v>
      </c>
      <c r="I125" s="33">
        <f t="shared" si="55"/>
        <v>9.6819419432927892E-2</v>
      </c>
      <c r="J125" s="33">
        <f t="shared" si="55"/>
        <v>8.9654532195788672E-2</v>
      </c>
      <c r="K125" s="33">
        <f t="shared" si="55"/>
        <v>9.9096455051789642E-2</v>
      </c>
      <c r="L125" s="33">
        <f t="shared" si="55"/>
        <v>8.5416731470160975E-2</v>
      </c>
      <c r="M125" s="33">
        <f t="shared" si="55"/>
        <v>8.1080420781323326E-2</v>
      </c>
      <c r="N125" s="780" t="b">
        <f t="shared" si="54"/>
        <v>1</v>
      </c>
      <c r="S125" s="442"/>
      <c r="T125" s="444"/>
      <c r="U125" s="444"/>
      <c r="V125" s="444"/>
      <c r="W125" s="444"/>
      <c r="X125" s="444"/>
      <c r="Y125" s="444"/>
      <c r="Z125" s="444"/>
      <c r="AA125" s="444"/>
      <c r="AB125" s="444"/>
      <c r="AC125" s="444"/>
      <c r="AD125" s="444"/>
      <c r="AE125" s="444"/>
      <c r="AF125" s="441"/>
      <c r="AG125" s="441"/>
    </row>
    <row r="126" spans="1:34" ht="15" customHeight="1"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S126" s="442"/>
      <c r="T126" s="446"/>
      <c r="U126" s="446"/>
      <c r="V126" s="446"/>
      <c r="W126" s="446"/>
      <c r="X126" s="446"/>
      <c r="Y126" s="446"/>
      <c r="Z126" s="441"/>
      <c r="AA126" s="441"/>
      <c r="AB126" s="441"/>
      <c r="AC126" s="441"/>
      <c r="AD126" s="441"/>
      <c r="AE126" s="441"/>
      <c r="AF126" s="441"/>
      <c r="AG126" s="441"/>
    </row>
    <row r="127" spans="1:34" s="427" customFormat="1" ht="15" customHeight="1">
      <c r="A127" s="421"/>
      <c r="B127" s="418" t="str">
        <f>B22</f>
        <v>Média 19 a 21</v>
      </c>
      <c r="C127" s="418">
        <v>2022</v>
      </c>
      <c r="D127" s="418">
        <v>2021</v>
      </c>
      <c r="E127" s="418">
        <v>2020</v>
      </c>
      <c r="F127" s="418">
        <v>2019</v>
      </c>
      <c r="G127" s="418">
        <v>2018</v>
      </c>
      <c r="H127" s="418">
        <v>2017</v>
      </c>
      <c r="I127" s="418">
        <v>2016</v>
      </c>
      <c r="J127" s="418">
        <v>2015</v>
      </c>
      <c r="K127" s="421"/>
      <c r="L127" s="421"/>
      <c r="M127" s="421"/>
      <c r="N127" s="421"/>
      <c r="O127" s="421"/>
      <c r="P127" s="476"/>
      <c r="Q127" s="431"/>
      <c r="R127" s="431"/>
      <c r="S127" s="435"/>
      <c r="T127" s="432"/>
      <c r="U127" s="432"/>
      <c r="V127" s="432"/>
      <c r="W127" s="432"/>
      <c r="X127" s="432"/>
      <c r="Y127" s="432"/>
      <c r="Z127" s="445"/>
      <c r="AA127" s="445"/>
      <c r="AB127" s="445"/>
      <c r="AC127" s="445"/>
      <c r="AD127" s="445"/>
      <c r="AE127" s="445"/>
      <c r="AF127" s="445"/>
      <c r="AG127" s="445"/>
      <c r="AH127" s="433"/>
    </row>
    <row r="128" spans="1:34" ht="15" customHeight="1">
      <c r="A128" s="418" t="s">
        <v>120</v>
      </c>
      <c r="B128" s="36">
        <f>B125</f>
        <v>6.7020090928332263E-2</v>
      </c>
      <c r="C128" s="37">
        <f>B117</f>
        <v>8.069230502145662E-2</v>
      </c>
      <c r="D128" s="37">
        <f>B118</f>
        <v>5.9883174191300223E-2</v>
      </c>
      <c r="E128" s="37">
        <f>B119</f>
        <v>7.4874013130659875E-2</v>
      </c>
      <c r="F128" s="37">
        <f>B120</f>
        <v>6.1743605247196118E-2</v>
      </c>
      <c r="G128" s="37">
        <f>B121</f>
        <v>6.4442654407140809E-2</v>
      </c>
      <c r="H128" s="37">
        <f>B122</f>
        <v>6.0104034310274813E-2</v>
      </c>
      <c r="I128" s="37">
        <f>B123</f>
        <v>5.7537008692783512E-2</v>
      </c>
      <c r="J128" s="37">
        <f>B124</f>
        <v>6.0801163871144537E-2</v>
      </c>
      <c r="S128" s="435"/>
      <c r="T128" s="444"/>
      <c r="U128" s="444"/>
      <c r="V128" s="444"/>
      <c r="W128" s="444"/>
      <c r="X128" s="444"/>
      <c r="Y128" s="444"/>
      <c r="Z128" s="441"/>
      <c r="AA128" s="441"/>
      <c r="AB128" s="441"/>
      <c r="AC128" s="441"/>
      <c r="AD128" s="441"/>
      <c r="AE128" s="441"/>
      <c r="AF128" s="441"/>
      <c r="AG128" s="441"/>
    </row>
    <row r="129" spans="1:34" ht="15" customHeight="1">
      <c r="A129" s="418" t="s">
        <v>121</v>
      </c>
      <c r="B129" s="36">
        <f>B125+C125</f>
        <v>0.14128710210368672</v>
      </c>
      <c r="C129" s="776">
        <f>SUM(B117:C117)</f>
        <v>0.17945599798771217</v>
      </c>
      <c r="D129" s="37">
        <f>SUM(B118:C118)</f>
        <v>0.13243651853745081</v>
      </c>
      <c r="E129" s="37">
        <f>SUM(B119:C119)</f>
        <v>0.15455023483966265</v>
      </c>
      <c r="F129" s="37">
        <f>SUM(B120:C120)</f>
        <v>0.13795642101321454</v>
      </c>
      <c r="G129" s="37">
        <f>SUM(B121:C121)</f>
        <v>0.13135465045818295</v>
      </c>
      <c r="H129" s="37">
        <f>SUM(B122:C122)</f>
        <v>0.12637375451062297</v>
      </c>
      <c r="I129" s="37">
        <f>SUM(B123:C123)</f>
        <v>0.12830906800256173</v>
      </c>
      <c r="J129" s="37">
        <f>SUM(B124:C124)</f>
        <v>0.13195887961005587</v>
      </c>
      <c r="S129" s="435"/>
      <c r="T129" s="444"/>
      <c r="U129" s="444"/>
      <c r="V129" s="444"/>
      <c r="W129" s="444"/>
      <c r="X129" s="444"/>
      <c r="Y129" s="444"/>
      <c r="Z129" s="441"/>
      <c r="AA129" s="441"/>
      <c r="AB129" s="441"/>
      <c r="AC129" s="441"/>
      <c r="AD129" s="441"/>
      <c r="AE129" s="441"/>
      <c r="AF129" s="441"/>
      <c r="AG129" s="441"/>
    </row>
    <row r="130" spans="1:34" ht="15" customHeight="1">
      <c r="A130" s="418" t="s">
        <v>122</v>
      </c>
      <c r="B130" s="33">
        <f>B125+C125+D125</f>
        <v>0.22241821672682854</v>
      </c>
      <c r="C130" s="776">
        <f>SUM(B117:D117)</f>
        <v>0.30276534616094597</v>
      </c>
      <c r="D130" s="34">
        <f>SUM(B118:D118)</f>
        <v>0.21684665957984919</v>
      </c>
      <c r="E130" s="34">
        <f>SUM(B119:D119)</f>
        <v>0.2353055769195235</v>
      </c>
      <c r="F130" s="34">
        <f>SUM(B120:D120)</f>
        <v>0.21305850211450661</v>
      </c>
      <c r="G130" s="34">
        <f>SUM(B121:D121)</f>
        <v>0.21889057114645555</v>
      </c>
      <c r="H130" s="34">
        <f>SUM(B122:D122)</f>
        <v>0.21630736086174301</v>
      </c>
      <c r="I130" s="34">
        <f>SUM(B123:D123)</f>
        <v>0.2207721543618435</v>
      </c>
      <c r="J130" s="34">
        <f>SUM(B124:D124)</f>
        <v>0.22853652415470163</v>
      </c>
      <c r="S130" s="435"/>
      <c r="T130" s="444"/>
      <c r="U130" s="444"/>
      <c r="V130" s="444"/>
      <c r="W130" s="444"/>
      <c r="X130" s="444"/>
      <c r="Y130" s="444"/>
      <c r="Z130" s="441"/>
      <c r="AA130" s="441"/>
      <c r="AB130" s="441"/>
      <c r="AC130" s="441"/>
      <c r="AD130" s="441"/>
      <c r="AE130" s="441"/>
      <c r="AF130" s="441"/>
      <c r="AG130" s="441"/>
    </row>
    <row r="131" spans="1:34" ht="15" customHeight="1">
      <c r="A131" s="418" t="s">
        <v>123</v>
      </c>
      <c r="B131" s="33">
        <f>B125+C125+D125+E125</f>
        <v>0.29647049403172038</v>
      </c>
      <c r="C131" s="776">
        <f>SUM(B117:E117)</f>
        <v>0.40773437115242217</v>
      </c>
      <c r="D131" s="34">
        <f>SUM(B118:E118)</f>
        <v>0.29374514041108546</v>
      </c>
      <c r="E131" s="34">
        <f>SUM(B119:E119)</f>
        <v>0.28158952455426578</v>
      </c>
      <c r="F131" s="34">
        <f>SUM(B120:E120)</f>
        <v>0.30057574478067828</v>
      </c>
      <c r="G131" s="34">
        <f>SUM(B121:E121)</f>
        <v>0.30724621276021702</v>
      </c>
      <c r="H131" s="34">
        <f>SUM(B122:E122)</f>
        <v>0.29089036127407347</v>
      </c>
      <c r="I131" s="34">
        <f>SUM(B123:E123)</f>
        <v>0.30396293096159993</v>
      </c>
      <c r="J131" s="34">
        <f>SUM(B124:E124)</f>
        <v>0.31302790594199464</v>
      </c>
      <c r="S131" s="435"/>
      <c r="T131" s="444"/>
      <c r="U131" s="444"/>
      <c r="V131" s="444"/>
      <c r="W131" s="444"/>
      <c r="X131" s="444"/>
      <c r="Y131" s="444"/>
      <c r="Z131" s="441"/>
      <c r="AA131" s="441"/>
      <c r="AB131" s="441"/>
      <c r="AC131" s="441"/>
      <c r="AD131" s="441"/>
      <c r="AE131" s="441"/>
      <c r="AF131" s="441"/>
      <c r="AG131" s="441"/>
    </row>
    <row r="132" spans="1:34" ht="15" customHeight="1">
      <c r="A132" s="418" t="s">
        <v>124</v>
      </c>
      <c r="B132" s="33">
        <f>B125+C125+D125+E125+F125</f>
        <v>0.37752014793334077</v>
      </c>
      <c r="C132" s="776">
        <f>SUM(B117:F117)</f>
        <v>0.53145293557911877</v>
      </c>
      <c r="D132" s="34">
        <f>SUM(B118:F118)</f>
        <v>0.37761441378976357</v>
      </c>
      <c r="E132" s="34">
        <f>SUM(B119:F119)</f>
        <v>0.34067582836941779</v>
      </c>
      <c r="F132" s="34">
        <f>SUM(B120:F120)</f>
        <v>0.39551985505532627</v>
      </c>
      <c r="G132" s="34">
        <f>SUM(B121:F121)</f>
        <v>0.39636476037527812</v>
      </c>
      <c r="H132" s="34">
        <f>SUM(B122:F122)</f>
        <v>0.38593381837845764</v>
      </c>
      <c r="I132" s="34">
        <f>SUM(B123:F123)</f>
        <v>0.39181146998723654</v>
      </c>
      <c r="J132" s="34">
        <f>SUM(B124:F124)</f>
        <v>0.39987910318594011</v>
      </c>
      <c r="S132" s="435"/>
      <c r="T132" s="444"/>
      <c r="U132" s="444"/>
      <c r="V132" s="444"/>
      <c r="W132" s="444"/>
      <c r="X132" s="444"/>
      <c r="Y132" s="444"/>
      <c r="Z132" s="441"/>
      <c r="AA132" s="441"/>
      <c r="AB132" s="441"/>
      <c r="AC132" s="441"/>
      <c r="AD132" s="441"/>
      <c r="AE132" s="441"/>
      <c r="AF132" s="441"/>
      <c r="AG132" s="441"/>
    </row>
    <row r="133" spans="1:34" ht="15" customHeight="1">
      <c r="A133" s="418" t="s">
        <v>125</v>
      </c>
      <c r="B133" s="33">
        <f>B125+C125+D125+E125+F125+G125</f>
        <v>0.45653425509172596</v>
      </c>
      <c r="C133" s="776">
        <f>SUM(B117:G117)</f>
        <v>0.64647827700075489</v>
      </c>
      <c r="D133" s="34">
        <f>SUM(B118:G118)</f>
        <v>0.4655862265934389</v>
      </c>
      <c r="E133" s="34">
        <f>SUM(B119:G119)</f>
        <v>0.41726749189034773</v>
      </c>
      <c r="F133" s="34">
        <f>SUM(B120:G120)</f>
        <v>0.47264473046887762</v>
      </c>
      <c r="G133" s="34">
        <f>SUM(B121:G121)</f>
        <v>0.47969054291595237</v>
      </c>
      <c r="H133" s="34">
        <f>SUM(B122:G122)</f>
        <v>0.4773860419732977</v>
      </c>
      <c r="I133" s="34">
        <f>SUM(B123:G123)</f>
        <v>0.48330287235168479</v>
      </c>
      <c r="J133" s="34">
        <f>SUM(B124:G124)</f>
        <v>0.48663978667523117</v>
      </c>
      <c r="S133" s="435"/>
      <c r="T133" s="444"/>
      <c r="U133" s="444"/>
      <c r="V133" s="444"/>
      <c r="W133" s="444"/>
      <c r="X133" s="444"/>
      <c r="Y133" s="444"/>
      <c r="Z133" s="441"/>
      <c r="AA133" s="441"/>
      <c r="AB133" s="441"/>
      <c r="AC133" s="441"/>
      <c r="AD133" s="441"/>
      <c r="AE133" s="441"/>
      <c r="AF133" s="441"/>
      <c r="AG133" s="441"/>
    </row>
    <row r="134" spans="1:34" ht="15" customHeight="1">
      <c r="A134" s="418" t="s">
        <v>126</v>
      </c>
      <c r="B134" s="33">
        <f>B125+C125+D125+E125+F125+G125+H125</f>
        <v>0.54793244106800953</v>
      </c>
      <c r="C134" s="737">
        <f>SUM(B117:H117)</f>
        <v>0.76056563612335304</v>
      </c>
      <c r="D134" s="34">
        <f>SUM(B118:H118)</f>
        <v>0.55838874141480799</v>
      </c>
      <c r="E134" s="34">
        <f>SUM(B119:H119)</f>
        <v>0.51023363502203889</v>
      </c>
      <c r="F134" s="34">
        <f>SUM(B120:H120)</f>
        <v>0.56556345046913459</v>
      </c>
      <c r="G134" s="34">
        <f>SUM(B121:H121)</f>
        <v>0.56800023771285502</v>
      </c>
      <c r="H134" s="34">
        <f>SUM(B122:H122)</f>
        <v>0.56434176835770311</v>
      </c>
      <c r="I134" s="34">
        <f>SUM(B123:H123)</f>
        <v>0.57104465797451376</v>
      </c>
      <c r="J134" s="34">
        <f>SUM(B124:H124)</f>
        <v>0.5811411526027136</v>
      </c>
      <c r="S134" s="435"/>
      <c r="T134" s="444"/>
      <c r="U134" s="444"/>
      <c r="V134" s="444"/>
      <c r="W134" s="444"/>
      <c r="X134" s="444"/>
      <c r="Y134" s="444"/>
      <c r="Z134" s="441"/>
      <c r="AA134" s="441"/>
      <c r="AB134" s="441"/>
      <c r="AC134" s="441"/>
      <c r="AD134" s="441"/>
      <c r="AE134" s="441"/>
      <c r="AF134" s="441"/>
      <c r="AG134" s="441"/>
    </row>
    <row r="135" spans="1:34" ht="15" customHeight="1">
      <c r="A135" s="418" t="s">
        <v>127</v>
      </c>
      <c r="B135" s="33">
        <f>B125+C125+D125+E125+F125+G125+H125+I125</f>
        <v>0.64475186050093747</v>
      </c>
      <c r="C135" s="737">
        <f>SUM(B117:I117)</f>
        <v>0.88631740375762702</v>
      </c>
      <c r="D135" s="34">
        <f>SUM(B118:I118)</f>
        <v>0.65421501126247683</v>
      </c>
      <c r="E135" s="34">
        <f>SUM(B119:I119)</f>
        <v>0.60877608187020671</v>
      </c>
      <c r="F135" s="34">
        <f>SUM(B120:I120)</f>
        <v>0.65808209002921758</v>
      </c>
      <c r="G135" s="34">
        <f>SUM(B121:I121)</f>
        <v>0.66739740960338789</v>
      </c>
      <c r="H135" s="34">
        <f>SUM(B122:I122)</f>
        <v>0.66464282086322002</v>
      </c>
      <c r="I135" s="34">
        <f>SUM(B123:I123)</f>
        <v>0.66331974439897656</v>
      </c>
      <c r="J135" s="34">
        <f>SUM(B124:I124)</f>
        <v>0.66971731427566172</v>
      </c>
      <c r="S135" s="435"/>
      <c r="T135" s="444"/>
      <c r="U135" s="444"/>
      <c r="V135" s="444"/>
      <c r="W135" s="444"/>
      <c r="X135" s="444"/>
      <c r="Y135" s="444"/>
      <c r="Z135" s="441"/>
      <c r="AA135" s="441"/>
      <c r="AB135" s="441"/>
      <c r="AC135" s="441"/>
      <c r="AD135" s="441"/>
      <c r="AE135" s="441"/>
      <c r="AF135" s="441"/>
      <c r="AG135" s="441"/>
    </row>
    <row r="136" spans="1:34" ht="15" customHeight="1">
      <c r="A136" s="418" t="s">
        <v>128</v>
      </c>
      <c r="B136" s="33">
        <f>B125+C125+D125+E125+F125+G125+H125+I125+J125</f>
        <v>0.73440639269672614</v>
      </c>
      <c r="C136" s="737">
        <f>SUM(B117:J117)</f>
        <v>1.0000000000000002</v>
      </c>
      <c r="D136" s="34">
        <f>SUM(B118:J118)</f>
        <v>0.74604750139000686</v>
      </c>
      <c r="E136" s="34">
        <f>SUM(B119:J119)</f>
        <v>0.70598797631878807</v>
      </c>
      <c r="F136" s="34">
        <f>SUM(B120:J120)</f>
        <v>0.74667265728130461</v>
      </c>
      <c r="G136" s="34">
        <f>SUM(B121:J121)</f>
        <v>0.75055854449008552</v>
      </c>
      <c r="H136" s="34">
        <f>SUM(B122:J122)</f>
        <v>0.75182671737653373</v>
      </c>
      <c r="I136" s="34">
        <f>SUM(B123:J123)</f>
        <v>0.75346834906991489</v>
      </c>
      <c r="J136" s="34">
        <f>SUM(B124:J124)</f>
        <v>0.75848045180021928</v>
      </c>
      <c r="S136" s="435"/>
      <c r="T136" s="444"/>
      <c r="U136" s="444"/>
      <c r="V136" s="444"/>
      <c r="W136" s="444"/>
      <c r="X136" s="444"/>
      <c r="Y136" s="444"/>
      <c r="Z136" s="441"/>
      <c r="AA136" s="441"/>
      <c r="AB136" s="441"/>
      <c r="AC136" s="441"/>
      <c r="AD136" s="441"/>
      <c r="AE136" s="441"/>
      <c r="AF136" s="441"/>
      <c r="AG136" s="441"/>
    </row>
    <row r="137" spans="1:34" ht="15" customHeight="1">
      <c r="A137" s="418" t="s">
        <v>129</v>
      </c>
      <c r="B137" s="33">
        <f>B125+C125+D125+E125+F125+G125+H125+I125+J125+K125</f>
        <v>0.8335028477485158</v>
      </c>
      <c r="C137" s="737">
        <f>SUM(B117:K117)*0</f>
        <v>0</v>
      </c>
      <c r="D137" s="34">
        <f>SUM(B118:K118)</f>
        <v>0.83297568257480503</v>
      </c>
      <c r="E137" s="34">
        <f>SUM(B119:K119)</f>
        <v>0.81368263359324189</v>
      </c>
      <c r="F137" s="34">
        <f>SUM(B120:K120)</f>
        <v>0.84230998959885595</v>
      </c>
      <c r="G137" s="34">
        <f>SUM(B121:K121)</f>
        <v>0.84451592005344933</v>
      </c>
      <c r="H137" s="34">
        <f>SUM(B122:K122)</f>
        <v>0.84119492760885572</v>
      </c>
      <c r="I137" s="34">
        <f>SUM(B123:K123)</f>
        <v>0.83404150046957803</v>
      </c>
      <c r="J137" s="34">
        <f>SUM(B124:K124)</f>
        <v>0.8454111652469134</v>
      </c>
      <c r="S137" s="435"/>
      <c r="T137" s="444"/>
      <c r="U137" s="444"/>
      <c r="V137" s="444"/>
      <c r="W137" s="444"/>
      <c r="X137" s="444"/>
      <c r="Y137" s="444"/>
      <c r="Z137" s="441"/>
      <c r="AA137" s="441"/>
      <c r="AB137" s="441"/>
      <c r="AC137" s="441"/>
      <c r="AD137" s="441"/>
      <c r="AE137" s="441"/>
      <c r="AF137" s="441"/>
      <c r="AG137" s="441"/>
    </row>
    <row r="138" spans="1:34" ht="15" customHeight="1">
      <c r="A138" s="418" t="s">
        <v>130</v>
      </c>
      <c r="B138" s="33">
        <f>B125+C125+D125+E125+F125+G125+H125+I125+J125+K125+L125</f>
        <v>0.91891957921867673</v>
      </c>
      <c r="C138" s="737">
        <f>SUM(B117:L117)*0</f>
        <v>0</v>
      </c>
      <c r="D138" s="34">
        <f>SUM(B118:L118)</f>
        <v>0.91818828957106347</v>
      </c>
      <c r="E138" s="34">
        <f>SUM(B119:L119)</f>
        <v>0.90857871010563906</v>
      </c>
      <c r="F138" s="34">
        <f>SUM(B120:L120)</f>
        <v>0.92399798339813077</v>
      </c>
      <c r="G138" s="34">
        <f>SUM(B121:L121)</f>
        <v>0.92418204415226024</v>
      </c>
      <c r="H138" s="34">
        <f>SUM(B122:L122)</f>
        <v>0.92395763739504633</v>
      </c>
      <c r="I138" s="34">
        <f>SUM(B123:L123)</f>
        <v>0.91662304916468285</v>
      </c>
      <c r="J138" s="34">
        <f>SUM(B124:L124)</f>
        <v>0.9244212879908611</v>
      </c>
      <c r="S138" s="435"/>
      <c r="T138" s="444"/>
      <c r="U138" s="444"/>
      <c r="V138" s="444"/>
      <c r="W138" s="444"/>
      <c r="X138" s="444"/>
      <c r="Y138" s="444"/>
      <c r="Z138" s="441"/>
      <c r="AA138" s="441"/>
      <c r="AB138" s="441"/>
      <c r="AC138" s="441"/>
      <c r="AD138" s="441"/>
      <c r="AE138" s="441"/>
      <c r="AF138" s="441"/>
      <c r="AG138" s="441"/>
    </row>
    <row r="139" spans="1:34" ht="15" customHeight="1">
      <c r="A139" s="418" t="s">
        <v>131</v>
      </c>
      <c r="B139" s="33">
        <f>SUM(B125:M125)</f>
        <v>1</v>
      </c>
      <c r="C139" s="737">
        <f>SUM(B117:M117)*0</f>
        <v>0</v>
      </c>
      <c r="D139" s="34">
        <f>SUM(B118:M118)</f>
        <v>0.99999999999999989</v>
      </c>
      <c r="E139" s="34">
        <f>SUM(B119:M119)</f>
        <v>0.99999999999999989</v>
      </c>
      <c r="F139" s="34">
        <f>SUM(B120:M120)</f>
        <v>1</v>
      </c>
      <c r="G139" s="34">
        <f>SUM(B121:M121)</f>
        <v>1.0000000000000002</v>
      </c>
      <c r="H139" s="34">
        <f>SUM(B122:M122)</f>
        <v>1</v>
      </c>
      <c r="I139" s="34">
        <f>SUM(B123:M123)</f>
        <v>1</v>
      </c>
      <c r="J139" s="34">
        <f>SUM(B124:M124)</f>
        <v>1.0000000000000002</v>
      </c>
      <c r="S139" s="435"/>
      <c r="T139" s="444"/>
      <c r="U139" s="444"/>
      <c r="V139" s="444"/>
      <c r="W139" s="444"/>
      <c r="X139" s="444"/>
      <c r="Y139" s="444"/>
      <c r="Z139" s="441"/>
      <c r="AA139" s="441"/>
      <c r="AB139" s="441"/>
      <c r="AC139" s="441"/>
      <c r="AD139" s="441"/>
      <c r="AE139" s="441"/>
      <c r="AF139" s="441"/>
      <c r="AG139" s="441"/>
    </row>
    <row r="140" spans="1:34" ht="25.5" customHeight="1">
      <c r="A140" s="422"/>
      <c r="B140" s="416"/>
      <c r="C140" s="416"/>
      <c r="D140" s="416"/>
      <c r="E140" s="416"/>
      <c r="F140" s="416"/>
      <c r="G140" s="416"/>
      <c r="H140" s="19"/>
      <c r="I140" s="19"/>
      <c r="J140" s="19"/>
      <c r="K140" s="19"/>
      <c r="L140" s="19"/>
      <c r="M140" s="19"/>
      <c r="N140" s="19"/>
      <c r="O140" s="19"/>
      <c r="Q140" s="417"/>
      <c r="R140" s="417"/>
      <c r="S140" s="482"/>
      <c r="T140" s="434"/>
      <c r="U140" s="434"/>
      <c r="V140" s="434"/>
      <c r="W140" s="434"/>
      <c r="X140" s="434"/>
      <c r="Y140" s="434"/>
      <c r="Z140" s="434"/>
      <c r="AA140" s="434"/>
      <c r="AB140" s="434"/>
      <c r="AC140" s="434"/>
      <c r="AD140" s="434"/>
      <c r="AE140" s="434"/>
      <c r="AF140" s="434"/>
      <c r="AG140" s="434"/>
    </row>
    <row r="141" spans="1:34" s="427" customFormat="1" ht="15" customHeight="1">
      <c r="A141" s="1004" t="s">
        <v>132</v>
      </c>
      <c r="B141" s="1005"/>
      <c r="C141" s="1005"/>
      <c r="D141" s="1005"/>
      <c r="E141" s="1005"/>
      <c r="F141" s="1005"/>
      <c r="G141" s="1005"/>
      <c r="H141" s="1005"/>
      <c r="I141" s="1005"/>
      <c r="J141" s="1005"/>
      <c r="K141" s="1005"/>
      <c r="L141" s="1005"/>
      <c r="M141" s="1005"/>
      <c r="N141" s="1005"/>
      <c r="O141" s="1006"/>
      <c r="P141" s="470"/>
      <c r="Q141" s="431"/>
      <c r="R141" s="431"/>
      <c r="S141" s="435"/>
      <c r="T141" s="436"/>
      <c r="U141" s="436"/>
      <c r="V141" s="436"/>
      <c r="W141" s="436"/>
      <c r="X141" s="436"/>
      <c r="Y141" s="436"/>
      <c r="Z141" s="436"/>
      <c r="AA141" s="436"/>
      <c r="AB141" s="436"/>
      <c r="AC141" s="436"/>
      <c r="AD141" s="436"/>
      <c r="AE141" s="436"/>
      <c r="AF141" s="436"/>
      <c r="AG141" s="436"/>
      <c r="AH141" s="433"/>
    </row>
    <row r="142" spans="1:34" s="427" customFormat="1" ht="15" customHeight="1">
      <c r="A142" s="418" t="s">
        <v>105</v>
      </c>
      <c r="B142" s="429" t="s">
        <v>106</v>
      </c>
      <c r="C142" s="429" t="s">
        <v>107</v>
      </c>
      <c r="D142" s="429" t="s">
        <v>108</v>
      </c>
      <c r="E142" s="429" t="s">
        <v>109</v>
      </c>
      <c r="F142" s="429" t="s">
        <v>110</v>
      </c>
      <c r="G142" s="429" t="s">
        <v>111</v>
      </c>
      <c r="H142" s="429" t="s">
        <v>112</v>
      </c>
      <c r="I142" s="429" t="s">
        <v>113</v>
      </c>
      <c r="J142" s="429" t="s">
        <v>114</v>
      </c>
      <c r="K142" s="429" t="s">
        <v>115</v>
      </c>
      <c r="L142" s="429" t="s">
        <v>116</v>
      </c>
      <c r="M142" s="429" t="s">
        <v>117</v>
      </c>
      <c r="N142" s="429" t="s">
        <v>118</v>
      </c>
      <c r="O142" s="429" t="s">
        <v>119</v>
      </c>
      <c r="P142" s="471"/>
      <c r="Q142" s="431"/>
      <c r="R142" s="431"/>
      <c r="S142" s="435"/>
      <c r="T142" s="437"/>
      <c r="U142" s="437"/>
      <c r="V142" s="437"/>
      <c r="W142" s="437"/>
      <c r="X142" s="437"/>
      <c r="Y142" s="437"/>
      <c r="Z142" s="437"/>
      <c r="AA142" s="437"/>
      <c r="AB142" s="437"/>
      <c r="AC142" s="437"/>
      <c r="AD142" s="437"/>
      <c r="AE142" s="437"/>
      <c r="AF142" s="447"/>
      <c r="AG142" s="436"/>
      <c r="AH142" s="433"/>
    </row>
    <row r="143" spans="1:34" s="427" customFormat="1" ht="15" customHeight="1">
      <c r="A143" s="419">
        <v>2022</v>
      </c>
      <c r="B143" s="26">
        <f>'ARRECADAÇÃO MENSAL POR RECEITA'!G20</f>
        <v>653615.37</v>
      </c>
      <c r="C143" s="27">
        <f>'ARRECADAÇÃO MENSAL POR RECEITA'!$G$21</f>
        <v>853304.14</v>
      </c>
      <c r="D143" s="27">
        <f>'ARRECADAÇÃO MENSAL POR RECEITA'!$G$22</f>
        <v>947933.64999999991</v>
      </c>
      <c r="E143" s="27">
        <f>'ARRECADAÇÃO MENSAL POR RECEITA'!$G$23</f>
        <v>681183.17999999982</v>
      </c>
      <c r="F143" s="27">
        <f>'ARRECADAÇÃO MENSAL POR RECEITA'!$G$24</f>
        <v>863942.12999999989</v>
      </c>
      <c r="G143" s="27">
        <f>'ARRECADAÇÃO MENSAL POR RECEITA'!$G$25</f>
        <v>757283.46000000008</v>
      </c>
      <c r="H143" s="27">
        <f>'ARRECADAÇÃO MENSAL POR RECEITA'!$G$26</f>
        <v>932402.06</v>
      </c>
      <c r="I143" s="27">
        <f>'ARRECADAÇÃO MENSAL POR RECEITA'!$G$27</f>
        <v>1251805.96</v>
      </c>
      <c r="J143" s="27">
        <f>'ARRECADAÇÃO MENSAL POR RECEITA'!$G$28</f>
        <v>1145642.5900000001</v>
      </c>
      <c r="K143" s="27">
        <f>'ARRECADAÇÃO MENSAL POR RECEITA'!$G$29</f>
        <v>0</v>
      </c>
      <c r="L143" s="27">
        <f>'ARRECADAÇÃO MENSAL POR RECEITA'!$G$30</f>
        <v>0</v>
      </c>
      <c r="M143" s="27">
        <f>'ARRECADAÇÃO MENSAL POR RECEITA'!$G$31</f>
        <v>0</v>
      </c>
      <c r="N143" s="28">
        <f>SUM(B143:M143)</f>
        <v>8087112.54</v>
      </c>
      <c r="O143" s="119">
        <f>'Evolução das Receitas'!AC204+'Evolução das Receitas'!AC206</f>
        <v>7965457.169285709</v>
      </c>
      <c r="P143" s="472"/>
      <c r="Q143" s="142">
        <f>N144/O143</f>
        <v>1.3690921924796355</v>
      </c>
      <c r="R143" s="431"/>
      <c r="S143" s="435"/>
      <c r="T143" s="437"/>
      <c r="U143" s="437"/>
      <c r="V143" s="437"/>
      <c r="W143" s="437"/>
      <c r="X143" s="437"/>
      <c r="Y143" s="437"/>
      <c r="Z143" s="437"/>
      <c r="AA143" s="437"/>
      <c r="AB143" s="437"/>
      <c r="AC143" s="437"/>
      <c r="AD143" s="437"/>
      <c r="AE143" s="437"/>
      <c r="AF143" s="447"/>
      <c r="AG143" s="436"/>
      <c r="AH143" s="433"/>
    </row>
    <row r="144" spans="1:34" ht="15" customHeight="1">
      <c r="A144" s="423">
        <v>2021</v>
      </c>
      <c r="B144" s="26">
        <v>874329.98000000219</v>
      </c>
      <c r="C144" s="27">
        <v>683681.21</v>
      </c>
      <c r="D144" s="27">
        <v>645132.89999999991</v>
      </c>
      <c r="E144" s="27">
        <v>677824.35</v>
      </c>
      <c r="F144" s="27">
        <v>779927.5</v>
      </c>
      <c r="G144" s="27">
        <v>1145453.94</v>
      </c>
      <c r="H144" s="27">
        <v>1111066.27</v>
      </c>
      <c r="I144" s="27">
        <v>1194160.0100000002</v>
      </c>
      <c r="J144" s="27">
        <v>954113.71</v>
      </c>
      <c r="K144" s="27">
        <v>833311.44000000006</v>
      </c>
      <c r="L144" s="27">
        <v>891750.07</v>
      </c>
      <c r="M144" s="27">
        <v>1114693.8399999999</v>
      </c>
      <c r="N144" s="28">
        <f>SUM(B144:M144)</f>
        <v>10905445.220000003</v>
      </c>
      <c r="R144" s="142"/>
      <c r="S144" s="435"/>
      <c r="T144" s="438"/>
      <c r="U144" s="438"/>
      <c r="V144" s="438"/>
      <c r="W144" s="438"/>
      <c r="X144" s="438"/>
      <c r="Y144" s="438"/>
      <c r="Z144" s="438"/>
      <c r="AA144" s="438"/>
      <c r="AB144" s="438"/>
      <c r="AC144" s="438"/>
      <c r="AD144" s="438"/>
      <c r="AE144" s="438"/>
      <c r="AF144" s="440"/>
      <c r="AG144" s="439"/>
    </row>
    <row r="145" spans="1:33" ht="15" customHeight="1">
      <c r="A145" s="424">
        <v>2020</v>
      </c>
      <c r="B145" s="29">
        <v>821160.57</v>
      </c>
      <c r="C145" s="29">
        <v>670526.56000000006</v>
      </c>
      <c r="D145" s="29">
        <v>635966.18999999983</v>
      </c>
      <c r="E145" s="29">
        <v>388580.88</v>
      </c>
      <c r="F145" s="29">
        <v>354397.04000000004</v>
      </c>
      <c r="G145" s="29">
        <v>449221.93</v>
      </c>
      <c r="H145" s="29">
        <v>521006.64</v>
      </c>
      <c r="I145" s="29">
        <v>609071.40999999992</v>
      </c>
      <c r="J145" s="29">
        <v>745389.69000000006</v>
      </c>
      <c r="K145" s="29">
        <v>770388.81</v>
      </c>
      <c r="L145" s="29">
        <v>771584.67999999982</v>
      </c>
      <c r="M145" s="29">
        <v>782024.30999999994</v>
      </c>
      <c r="N145" s="28">
        <f>SUM(B145:M145)</f>
        <v>7519318.71</v>
      </c>
      <c r="S145" s="435"/>
      <c r="T145" s="438"/>
      <c r="U145" s="438"/>
      <c r="V145" s="438"/>
      <c r="W145" s="438"/>
      <c r="X145" s="438"/>
      <c r="Y145" s="438"/>
      <c r="Z145" s="438"/>
      <c r="AA145" s="438"/>
      <c r="AB145" s="438"/>
      <c r="AC145" s="438"/>
      <c r="AD145" s="438"/>
      <c r="AE145" s="438"/>
      <c r="AF145" s="440"/>
      <c r="AG145" s="439"/>
    </row>
    <row r="146" spans="1:33" ht="15" customHeight="1">
      <c r="A146" s="424">
        <v>2019</v>
      </c>
      <c r="B146" s="26">
        <v>648692.31000000017</v>
      </c>
      <c r="C146" s="27">
        <v>628940.54999999981</v>
      </c>
      <c r="D146" s="27">
        <v>485833.07999999996</v>
      </c>
      <c r="E146" s="27">
        <v>528782.26300000015</v>
      </c>
      <c r="F146" s="27">
        <v>533826.07999999996</v>
      </c>
      <c r="G146" s="27">
        <v>479174.65</v>
      </c>
      <c r="H146" s="27">
        <v>890911.14000000036</v>
      </c>
      <c r="I146" s="27">
        <v>837570.77</v>
      </c>
      <c r="J146" s="27">
        <v>749063.16999999993</v>
      </c>
      <c r="K146" s="27">
        <v>944488.39999999991</v>
      </c>
      <c r="L146" s="27">
        <v>858213.85</v>
      </c>
      <c r="M146" s="27">
        <v>1062498.79</v>
      </c>
      <c r="N146" s="28">
        <f>SUM(B146:M146)</f>
        <v>8647995.0529999994</v>
      </c>
      <c r="O146" s="121"/>
      <c r="P146" s="472"/>
      <c r="Q146" s="142"/>
      <c r="R146" s="142"/>
      <c r="S146" s="435"/>
      <c r="T146" s="438"/>
      <c r="U146" s="438"/>
      <c r="V146" s="438"/>
      <c r="W146" s="438"/>
      <c r="X146" s="438"/>
      <c r="Y146" s="438"/>
      <c r="Z146" s="438"/>
      <c r="AA146" s="438"/>
      <c r="AB146" s="438"/>
      <c r="AC146" s="438"/>
      <c r="AD146" s="438"/>
      <c r="AE146" s="438"/>
      <c r="AF146" s="440"/>
      <c r="AG146" s="438"/>
    </row>
    <row r="147" spans="1:33" ht="15" customHeight="1">
      <c r="A147" s="424">
        <v>2018</v>
      </c>
      <c r="B147" s="29">
        <v>891818.24</v>
      </c>
      <c r="C147" s="30">
        <v>696803.92200000002</v>
      </c>
      <c r="D147" s="30">
        <v>537059.97000000009</v>
      </c>
      <c r="E147" s="30">
        <v>633812.36</v>
      </c>
      <c r="F147" s="30">
        <v>518619.05</v>
      </c>
      <c r="G147" s="30">
        <v>539529.73</v>
      </c>
      <c r="H147" s="30">
        <v>624000.97</v>
      </c>
      <c r="I147" s="30">
        <v>629244.55000000005</v>
      </c>
      <c r="J147" s="30">
        <v>508032.74</v>
      </c>
      <c r="K147" s="30">
        <v>648680.08000000019</v>
      </c>
      <c r="L147" s="30">
        <v>557872.15000000014</v>
      </c>
      <c r="M147" s="30">
        <v>686671.9</v>
      </c>
      <c r="N147" s="28">
        <f>SUM(B147:M147)</f>
        <v>7472145.6620000005</v>
      </c>
      <c r="O147" s="121"/>
      <c r="P147" s="472"/>
      <c r="S147" s="435"/>
      <c r="T147" s="438"/>
      <c r="U147" s="438"/>
      <c r="V147" s="438"/>
      <c r="W147" s="438"/>
      <c r="X147" s="438"/>
      <c r="Y147" s="438"/>
      <c r="Z147" s="438"/>
      <c r="AA147" s="438"/>
      <c r="AB147" s="438"/>
      <c r="AC147" s="438"/>
      <c r="AD147" s="438"/>
      <c r="AE147" s="438"/>
      <c r="AF147" s="440"/>
      <c r="AG147" s="441"/>
    </row>
    <row r="148" spans="1:33" ht="15" customHeight="1">
      <c r="A148" s="424">
        <v>2017</v>
      </c>
      <c r="B148" s="26">
        <v>725705.97</v>
      </c>
      <c r="C148" s="27">
        <v>463398.82000000007</v>
      </c>
      <c r="D148" s="27">
        <v>562416.81999999995</v>
      </c>
      <c r="E148" s="27">
        <v>387273.12000000005</v>
      </c>
      <c r="F148" s="27">
        <v>554939.61</v>
      </c>
      <c r="G148" s="27">
        <v>540003.85000000009</v>
      </c>
      <c r="H148" s="27">
        <v>556558.75</v>
      </c>
      <c r="I148" s="27">
        <v>739784.04</v>
      </c>
      <c r="J148" s="27">
        <v>600273.45000000007</v>
      </c>
      <c r="K148" s="27">
        <v>929789.57400000002</v>
      </c>
      <c r="L148" s="27">
        <v>863704.84000000008</v>
      </c>
      <c r="M148" s="27">
        <v>690490.60999999987</v>
      </c>
      <c r="N148" s="28">
        <f t="shared" ref="N148:N150" si="56">SUM(B148:M148)</f>
        <v>7614339.4539999999</v>
      </c>
      <c r="O148" s="121"/>
      <c r="P148" s="472"/>
      <c r="S148" s="435"/>
      <c r="T148" s="438"/>
      <c r="U148" s="438"/>
      <c r="V148" s="438"/>
      <c r="W148" s="438"/>
      <c r="X148" s="438"/>
      <c r="Y148" s="438"/>
      <c r="Z148" s="438"/>
      <c r="AA148" s="438"/>
      <c r="AB148" s="438"/>
      <c r="AC148" s="438"/>
      <c r="AD148" s="438"/>
      <c r="AE148" s="438"/>
      <c r="AF148" s="440"/>
      <c r="AG148" s="441"/>
    </row>
    <row r="149" spans="1:33" ht="15" customHeight="1">
      <c r="A149" s="424">
        <v>2016</v>
      </c>
      <c r="B149" s="29">
        <v>371780.60000000003</v>
      </c>
      <c r="C149" s="30">
        <v>401990.97</v>
      </c>
      <c r="D149" s="30">
        <v>434908.28</v>
      </c>
      <c r="E149" s="30">
        <v>359921.28</v>
      </c>
      <c r="F149" s="30">
        <v>346770.53</v>
      </c>
      <c r="G149" s="30">
        <v>412304.52</v>
      </c>
      <c r="H149" s="30">
        <v>432302.89</v>
      </c>
      <c r="I149" s="30">
        <v>485676.55999999994</v>
      </c>
      <c r="J149" s="30">
        <v>501553.45</v>
      </c>
      <c r="K149" s="30">
        <v>498741.43</v>
      </c>
      <c r="L149" s="30">
        <v>565796.65</v>
      </c>
      <c r="M149" s="30">
        <v>751275.06</v>
      </c>
      <c r="N149" s="28">
        <f t="shared" si="56"/>
        <v>5563022.2200000007</v>
      </c>
      <c r="O149" s="121"/>
      <c r="P149" s="472"/>
      <c r="S149" s="435"/>
      <c r="T149" s="438"/>
      <c r="U149" s="438"/>
      <c r="V149" s="438"/>
      <c r="W149" s="438"/>
      <c r="X149" s="438"/>
      <c r="Y149" s="438"/>
      <c r="Z149" s="438"/>
      <c r="AA149" s="438"/>
      <c r="AB149" s="438"/>
      <c r="AC149" s="438"/>
      <c r="AD149" s="438"/>
      <c r="AE149" s="438"/>
      <c r="AF149" s="440"/>
      <c r="AG149" s="441"/>
    </row>
    <row r="150" spans="1:33" ht="15" customHeight="1">
      <c r="A150" s="425">
        <v>2015</v>
      </c>
      <c r="B150" s="26">
        <v>351696.66000000009</v>
      </c>
      <c r="C150" s="27">
        <v>414254.25</v>
      </c>
      <c r="D150" s="27">
        <v>384288.9200000001</v>
      </c>
      <c r="E150" s="27">
        <v>286915.38</v>
      </c>
      <c r="F150" s="27">
        <v>302206.52</v>
      </c>
      <c r="G150" s="27">
        <v>388235.47</v>
      </c>
      <c r="H150" s="27">
        <v>433014.54</v>
      </c>
      <c r="I150" s="27">
        <v>379232.69</v>
      </c>
      <c r="J150" s="27">
        <v>435611.22999999992</v>
      </c>
      <c r="K150" s="27">
        <v>446307.47000000009</v>
      </c>
      <c r="L150" s="27">
        <v>484277.2919999999</v>
      </c>
      <c r="M150" s="27">
        <v>517908.32999999996</v>
      </c>
      <c r="N150" s="28">
        <f t="shared" si="56"/>
        <v>4823948.7520000003</v>
      </c>
      <c r="O150" s="121"/>
      <c r="P150" s="472"/>
      <c r="S150" s="442"/>
      <c r="T150" s="441"/>
      <c r="U150" s="441"/>
      <c r="V150" s="441"/>
      <c r="W150" s="441"/>
      <c r="X150" s="441"/>
      <c r="Y150" s="441"/>
      <c r="Z150" s="441"/>
      <c r="AA150" s="441"/>
      <c r="AB150" s="441"/>
      <c r="AC150" s="441"/>
      <c r="AD150" s="441"/>
      <c r="AE150" s="441"/>
      <c r="AF150" s="441"/>
      <c r="AG150" s="441"/>
    </row>
    <row r="151" spans="1:33" ht="15" customHeight="1">
      <c r="A151" s="420"/>
      <c r="S151" s="435"/>
      <c r="T151" s="441"/>
      <c r="U151" s="441"/>
      <c r="V151" s="441"/>
      <c r="W151" s="441"/>
      <c r="X151" s="441"/>
      <c r="Y151" s="441"/>
      <c r="Z151" s="441"/>
      <c r="AA151" s="441"/>
      <c r="AB151" s="441"/>
      <c r="AC151" s="441"/>
      <c r="AD151" s="441"/>
      <c r="AE151" s="441"/>
      <c r="AF151" s="441"/>
      <c r="AG151" s="441"/>
    </row>
    <row r="152" spans="1:33" ht="15" customHeight="1">
      <c r="A152" s="418">
        <v>2022</v>
      </c>
      <c r="B152" s="31">
        <f>B143/$N$143</f>
        <v>8.0821846705746478E-2</v>
      </c>
      <c r="C152" s="31">
        <f t="shared" ref="C152:M152" si="57">C143/$N$143</f>
        <v>0.10551406769467314</v>
      </c>
      <c r="D152" s="31">
        <f t="shared" si="57"/>
        <v>0.11721534049531106</v>
      </c>
      <c r="E152" s="31">
        <f t="shared" si="57"/>
        <v>8.4230703682033808E-2</v>
      </c>
      <c r="F152" s="31">
        <f t="shared" si="57"/>
        <v>0.10682949269307435</v>
      </c>
      <c r="G152" s="31">
        <f t="shared" si="57"/>
        <v>9.3640771814954865E-2</v>
      </c>
      <c r="H152" s="31">
        <f t="shared" si="57"/>
        <v>0.11529480459041566</v>
      </c>
      <c r="I152" s="31">
        <f t="shared" si="57"/>
        <v>0.15479022380465104</v>
      </c>
      <c r="J152" s="31">
        <f t="shared" si="57"/>
        <v>0.14166274851913957</v>
      </c>
      <c r="K152" s="31">
        <f t="shared" si="57"/>
        <v>0</v>
      </c>
      <c r="L152" s="31">
        <f t="shared" si="57"/>
        <v>0</v>
      </c>
      <c r="M152" s="31">
        <f t="shared" si="57"/>
        <v>0</v>
      </c>
      <c r="N152" s="780" t="b">
        <f>SUM(B152:M152)=100%</f>
        <v>1</v>
      </c>
      <c r="O152" s="566"/>
      <c r="S152" s="435"/>
      <c r="T152" s="441"/>
      <c r="U152" s="441"/>
      <c r="V152" s="441"/>
      <c r="W152" s="441"/>
      <c r="X152" s="441"/>
      <c r="Y152" s="441"/>
      <c r="Z152" s="441"/>
      <c r="AA152" s="441"/>
      <c r="AB152" s="441"/>
      <c r="AC152" s="441"/>
      <c r="AD152" s="441"/>
      <c r="AE152" s="441"/>
      <c r="AF152" s="441"/>
      <c r="AG152" s="441"/>
    </row>
    <row r="153" spans="1:33" ht="15" customHeight="1">
      <c r="A153" s="426">
        <v>2021</v>
      </c>
      <c r="B153" s="31">
        <f>B144/$N$144</f>
        <v>8.0173707937804123E-2</v>
      </c>
      <c r="C153" s="31">
        <f t="shared" ref="C153:M153" si="58">C144/$N$144</f>
        <v>6.2691728417118203E-2</v>
      </c>
      <c r="D153" s="31">
        <f t="shared" si="58"/>
        <v>5.9156952053352273E-2</v>
      </c>
      <c r="E153" s="31">
        <f t="shared" si="58"/>
        <v>6.2154670105252226E-2</v>
      </c>
      <c r="F153" s="31">
        <f t="shared" si="58"/>
        <v>7.1517254386795209E-2</v>
      </c>
      <c r="G153" s="31">
        <f t="shared" si="58"/>
        <v>0.10503504596944825</v>
      </c>
      <c r="H153" s="31">
        <f t="shared" si="58"/>
        <v>0.10188178910498435</v>
      </c>
      <c r="I153" s="31">
        <f t="shared" si="58"/>
        <v>0.10950126160919819</v>
      </c>
      <c r="J153" s="31">
        <f t="shared" si="58"/>
        <v>8.7489661426220958E-2</v>
      </c>
      <c r="K153" s="31">
        <f t="shared" si="58"/>
        <v>7.6412418125924059E-2</v>
      </c>
      <c r="L153" s="31">
        <f t="shared" si="58"/>
        <v>8.1771083345096085E-2</v>
      </c>
      <c r="M153" s="31">
        <f t="shared" si="58"/>
        <v>0.10221442751880602</v>
      </c>
      <c r="N153" s="780" t="b">
        <f>SUM(B153:M153)=100%</f>
        <v>1</v>
      </c>
      <c r="O153" s="145"/>
      <c r="S153" s="435"/>
      <c r="T153" s="441"/>
      <c r="U153" s="441"/>
      <c r="V153" s="441"/>
      <c r="W153" s="441"/>
      <c r="X153" s="441"/>
      <c r="Y153" s="441"/>
      <c r="Z153" s="441"/>
      <c r="AA153" s="441"/>
      <c r="AB153" s="441"/>
      <c r="AC153" s="441"/>
      <c r="AD153" s="441"/>
      <c r="AE153" s="441"/>
      <c r="AF153" s="441"/>
      <c r="AG153" s="441"/>
    </row>
    <row r="154" spans="1:33" ht="15" customHeight="1">
      <c r="A154" s="426">
        <v>2020</v>
      </c>
      <c r="B154" s="31">
        <f t="shared" ref="B154:M154" si="59">B145/$N$145</f>
        <v>0.10920677812312067</v>
      </c>
      <c r="C154" s="31">
        <f t="shared" si="59"/>
        <v>8.9173844846909017E-2</v>
      </c>
      <c r="D154" s="31">
        <f t="shared" si="59"/>
        <v>8.4577634560724702E-2</v>
      </c>
      <c r="E154" s="31">
        <f t="shared" si="59"/>
        <v>5.1677671207528857E-2</v>
      </c>
      <c r="F154" s="31">
        <f t="shared" si="59"/>
        <v>4.7131535936717865E-2</v>
      </c>
      <c r="G154" s="31">
        <f t="shared" si="59"/>
        <v>5.9742371260653744E-2</v>
      </c>
      <c r="H154" s="31">
        <f t="shared" si="59"/>
        <v>6.9289075259851562E-2</v>
      </c>
      <c r="I154" s="31">
        <f t="shared" si="59"/>
        <v>8.1000877006315891E-2</v>
      </c>
      <c r="J154" s="31">
        <f t="shared" si="59"/>
        <v>9.9129950298382827E-2</v>
      </c>
      <c r="K154" s="31">
        <f t="shared" si="59"/>
        <v>0.10245460256598168</v>
      </c>
      <c r="L154" s="31">
        <f t="shared" si="59"/>
        <v>0.10261364224046833</v>
      </c>
      <c r="M154" s="31">
        <f t="shared" si="59"/>
        <v>0.1040020166933448</v>
      </c>
      <c r="N154" s="780" t="b">
        <f>SUM(B154:M154)=100%</f>
        <v>1</v>
      </c>
      <c r="S154" s="435"/>
      <c r="T154" s="441"/>
      <c r="U154" s="441"/>
      <c r="V154" s="441"/>
      <c r="W154" s="441"/>
      <c r="X154" s="441"/>
      <c r="Y154" s="441"/>
      <c r="Z154" s="441"/>
      <c r="AA154" s="441"/>
      <c r="AB154" s="441"/>
      <c r="AC154" s="441"/>
      <c r="AD154" s="441"/>
      <c r="AE154" s="441"/>
      <c r="AF154" s="441"/>
      <c r="AG154" s="441"/>
    </row>
    <row r="155" spans="1:33" ht="15" customHeight="1">
      <c r="A155" s="426">
        <v>2019</v>
      </c>
      <c r="B155" s="31">
        <f>B146/$N$146</f>
        <v>7.5010717053424783E-2</v>
      </c>
      <c r="C155" s="31">
        <f t="shared" ref="C155:M155" si="60">C146/$N$146</f>
        <v>7.272674719926206E-2</v>
      </c>
      <c r="D155" s="31">
        <f t="shared" si="60"/>
        <v>5.6178695411194059E-2</v>
      </c>
      <c r="E155" s="31">
        <f t="shared" si="60"/>
        <v>6.1145070014415076E-2</v>
      </c>
      <c r="F155" s="31">
        <f t="shared" si="60"/>
        <v>6.1728305431305155E-2</v>
      </c>
      <c r="G155" s="31">
        <f t="shared" si="60"/>
        <v>5.5408756256604678E-2</v>
      </c>
      <c r="H155" s="31">
        <f t="shared" si="60"/>
        <v>0.10301938594321261</v>
      </c>
      <c r="I155" s="31">
        <f t="shared" si="60"/>
        <v>9.685143953793611E-2</v>
      </c>
      <c r="J155" s="31">
        <f t="shared" si="60"/>
        <v>8.6616974849002604E-2</v>
      </c>
      <c r="K155" s="31">
        <f t="shared" si="60"/>
        <v>0.10921472482484317</v>
      </c>
      <c r="L155" s="31">
        <f t="shared" si="60"/>
        <v>9.9238476056052391E-2</v>
      </c>
      <c r="M155" s="31">
        <f t="shared" si="60"/>
        <v>0.12286070742274742</v>
      </c>
      <c r="N155" s="780" t="b">
        <f t="shared" ref="N155:N160" si="61">SUM(B155:M155)=100%</f>
        <v>1</v>
      </c>
      <c r="S155" s="435"/>
      <c r="T155" s="443"/>
      <c r="U155" s="443"/>
      <c r="V155" s="443"/>
      <c r="W155" s="443"/>
      <c r="X155" s="443"/>
      <c r="Y155" s="443"/>
      <c r="Z155" s="443"/>
      <c r="AA155" s="443"/>
      <c r="AB155" s="443"/>
      <c r="AC155" s="443"/>
      <c r="AD155" s="443"/>
      <c r="AE155" s="443"/>
      <c r="AF155" s="441"/>
      <c r="AG155" s="441"/>
    </row>
    <row r="156" spans="1:33" ht="15" customHeight="1">
      <c r="A156" s="424">
        <v>2018</v>
      </c>
      <c r="B156" s="31">
        <f>B147/N147</f>
        <v>0.11935236280729773</v>
      </c>
      <c r="C156" s="32">
        <f>C147/N147</f>
        <v>9.325352496052558E-2</v>
      </c>
      <c r="D156" s="32">
        <f>D147/N147</f>
        <v>7.1874933157586515E-2</v>
      </c>
      <c r="E156" s="32">
        <f>E147/N147</f>
        <v>8.4823341068320832E-2</v>
      </c>
      <c r="F156" s="32">
        <f>F147/N147</f>
        <v>6.9406978056847188E-2</v>
      </c>
      <c r="G156" s="32">
        <f>G147/N147</f>
        <v>7.2205462046036853E-2</v>
      </c>
      <c r="H156" s="32">
        <f>H147/N147</f>
        <v>8.3510279138881163E-2</v>
      </c>
      <c r="I156" s="32">
        <f>I147/N147</f>
        <v>8.4212029377325595E-2</v>
      </c>
      <c r="J156" s="32">
        <f>J147/N147</f>
        <v>6.7990208299020166E-2</v>
      </c>
      <c r="K156" s="32">
        <f>K147/N147</f>
        <v>8.6813093499889554E-2</v>
      </c>
      <c r="L156" s="32">
        <f>L147/N147</f>
        <v>7.4660234855576893E-2</v>
      </c>
      <c r="M156" s="32">
        <f>M147/N147</f>
        <v>9.1897552732691901E-2</v>
      </c>
      <c r="N156" s="780" t="b">
        <f t="shared" si="61"/>
        <v>1</v>
      </c>
      <c r="S156" s="435"/>
      <c r="T156" s="443"/>
      <c r="U156" s="443"/>
      <c r="V156" s="443"/>
      <c r="W156" s="443"/>
      <c r="X156" s="443"/>
      <c r="Y156" s="443"/>
      <c r="Z156" s="443"/>
      <c r="AA156" s="443"/>
      <c r="AB156" s="443"/>
      <c r="AC156" s="443"/>
      <c r="AD156" s="443"/>
      <c r="AE156" s="443"/>
      <c r="AF156" s="441"/>
      <c r="AG156" s="441"/>
    </row>
    <row r="157" spans="1:33" ht="15" customHeight="1">
      <c r="A157" s="424">
        <v>2017</v>
      </c>
      <c r="B157" s="31">
        <f>B148/N148</f>
        <v>9.5307803701707675E-2</v>
      </c>
      <c r="C157" s="32">
        <f>C148/N148</f>
        <v>6.0858702557129267E-2</v>
      </c>
      <c r="D157" s="32">
        <f>D148/N148</f>
        <v>7.3862850927213203E-2</v>
      </c>
      <c r="E157" s="32">
        <f>E148/N148</f>
        <v>5.086102640151615E-2</v>
      </c>
      <c r="F157" s="32">
        <f>F148/N148</f>
        <v>7.2880860296880581E-2</v>
      </c>
      <c r="G157" s="32">
        <f>G148/N148</f>
        <v>7.0919329675579776E-2</v>
      </c>
      <c r="H157" s="32">
        <f>H148/N148</f>
        <v>7.3093503824238626E-2</v>
      </c>
      <c r="I157" s="32">
        <f>I148/N148</f>
        <v>9.7156692904119643E-2</v>
      </c>
      <c r="J157" s="32">
        <f>J148/N148</f>
        <v>7.8834605894101767E-2</v>
      </c>
      <c r="K157" s="32">
        <f>K148/N148</f>
        <v>0.122110339264105</v>
      </c>
      <c r="L157" s="32">
        <f>L148/N148</f>
        <v>0.11343135477710738</v>
      </c>
      <c r="M157" s="32">
        <f>M148/N148</f>
        <v>9.0682929776300977E-2</v>
      </c>
      <c r="N157" s="780" t="b">
        <f t="shared" si="61"/>
        <v>1</v>
      </c>
      <c r="S157" s="435"/>
      <c r="T157" s="443"/>
      <c r="U157" s="443"/>
      <c r="V157" s="443"/>
      <c r="W157" s="443"/>
      <c r="X157" s="443"/>
      <c r="Y157" s="443"/>
      <c r="Z157" s="443"/>
      <c r="AA157" s="443"/>
      <c r="AB157" s="443"/>
      <c r="AC157" s="443"/>
      <c r="AD157" s="443"/>
      <c r="AE157" s="443"/>
      <c r="AF157" s="441"/>
      <c r="AG157" s="441"/>
    </row>
    <row r="158" spans="1:33" ht="15" customHeight="1">
      <c r="A158" s="424">
        <v>2016</v>
      </c>
      <c r="B158" s="31">
        <f>B149/N149</f>
        <v>6.6830687582621229E-2</v>
      </c>
      <c r="C158" s="32">
        <f>C149/N149</f>
        <v>7.2261255501510455E-2</v>
      </c>
      <c r="D158" s="32">
        <f>D149/N149</f>
        <v>7.8178418636623739E-2</v>
      </c>
      <c r="E158" s="32">
        <f>E149/N149</f>
        <v>6.4698875137694484E-2</v>
      </c>
      <c r="F158" s="32">
        <f>F149/N149</f>
        <v>6.2334917296088019E-2</v>
      </c>
      <c r="G158" s="32">
        <f>G149/N149</f>
        <v>7.411520279708679E-2</v>
      </c>
      <c r="H158" s="32">
        <f>H149/N149</f>
        <v>7.7710077886404702E-2</v>
      </c>
      <c r="I158" s="32">
        <f>I149/N149</f>
        <v>8.7304443662639175E-2</v>
      </c>
      <c r="J158" s="32">
        <f>J149/N149</f>
        <v>9.0158448081841369E-2</v>
      </c>
      <c r="K158" s="32">
        <f>K149/N149</f>
        <v>8.9652963852443493E-2</v>
      </c>
      <c r="L158" s="32">
        <f>L149/N149</f>
        <v>0.10170670323153948</v>
      </c>
      <c r="M158" s="32">
        <f>M149/N149</f>
        <v>0.13504800633350697</v>
      </c>
      <c r="N158" s="780" t="b">
        <f t="shared" si="61"/>
        <v>1</v>
      </c>
      <c r="S158" s="435"/>
      <c r="T158" s="443"/>
      <c r="U158" s="443"/>
      <c r="V158" s="443"/>
      <c r="W158" s="443"/>
      <c r="X158" s="443"/>
      <c r="Y158" s="443"/>
      <c r="Z158" s="443"/>
      <c r="AA158" s="443"/>
      <c r="AB158" s="443"/>
      <c r="AC158" s="443"/>
      <c r="AD158" s="443"/>
      <c r="AE158" s="443"/>
      <c r="AF158" s="441"/>
      <c r="AG158" s="441"/>
    </row>
    <row r="159" spans="1:33" ht="15" customHeight="1">
      <c r="A159" s="424">
        <v>2015</v>
      </c>
      <c r="B159" s="31">
        <f>B150/N150</f>
        <v>7.290638397727324E-2</v>
      </c>
      <c r="C159" s="32">
        <f>C150/N150</f>
        <v>8.5874513038359065E-2</v>
      </c>
      <c r="D159" s="32">
        <f>D150/N150</f>
        <v>7.9662728556283813E-2</v>
      </c>
      <c r="E159" s="32">
        <f>E150/N150</f>
        <v>5.9477286088714235E-2</v>
      </c>
      <c r="F159" s="32">
        <f>F150/N150</f>
        <v>6.2647124904613827E-2</v>
      </c>
      <c r="G159" s="32">
        <f>G150/N150</f>
        <v>8.0480844627347725E-2</v>
      </c>
      <c r="H159" s="32">
        <f>H150/N150</f>
        <v>8.9763503358213106E-2</v>
      </c>
      <c r="I159" s="32">
        <f>I150/N150</f>
        <v>7.8614576873929434E-2</v>
      </c>
      <c r="J159" s="32">
        <f>J150/N150</f>
        <v>9.0301794731835888E-2</v>
      </c>
      <c r="K159" s="32">
        <f>K150/N150</f>
        <v>9.2519115136735608E-2</v>
      </c>
      <c r="L159" s="32">
        <f>L150/N150</f>
        <v>0.10039022321686553</v>
      </c>
      <c r="M159" s="32">
        <f>M150/N150</f>
        <v>0.10736190548982845</v>
      </c>
      <c r="N159" s="780" t="b">
        <f t="shared" si="61"/>
        <v>1</v>
      </c>
      <c r="S159" s="435"/>
      <c r="T159" s="444"/>
      <c r="U159" s="444"/>
      <c r="V159" s="444"/>
      <c r="W159" s="444"/>
      <c r="X159" s="444"/>
      <c r="Y159" s="444"/>
      <c r="Z159" s="444"/>
      <c r="AA159" s="444"/>
      <c r="AB159" s="444"/>
      <c r="AC159" s="444"/>
      <c r="AD159" s="444"/>
      <c r="AE159" s="444"/>
      <c r="AF159" s="441"/>
      <c r="AG159" s="441"/>
    </row>
    <row r="160" spans="1:33" ht="15" customHeight="1">
      <c r="A160" s="418" t="str">
        <f>B22</f>
        <v>Média 19 a 21</v>
      </c>
      <c r="B160" s="33">
        <f>AVERAGE(B154:B156)</f>
        <v>0.10118995266128106</v>
      </c>
      <c r="C160" s="33">
        <f t="shared" ref="C160:M160" si="62">AVERAGE(C154:C156)</f>
        <v>8.5051372335565548E-2</v>
      </c>
      <c r="D160" s="33">
        <f t="shared" si="62"/>
        <v>7.0877087709835085E-2</v>
      </c>
      <c r="E160" s="33">
        <f t="shared" si="62"/>
        <v>6.5882027430088252E-2</v>
      </c>
      <c r="F160" s="33">
        <f t="shared" si="62"/>
        <v>5.9422273141623405E-2</v>
      </c>
      <c r="G160" s="33">
        <f t="shared" si="62"/>
        <v>6.2452196521098423E-2</v>
      </c>
      <c r="H160" s="33">
        <f t="shared" si="62"/>
        <v>8.5272913447315121E-2</v>
      </c>
      <c r="I160" s="33">
        <f t="shared" si="62"/>
        <v>8.7354781973859194E-2</v>
      </c>
      <c r="J160" s="33">
        <f t="shared" si="62"/>
        <v>8.4579044482135199E-2</v>
      </c>
      <c r="K160" s="33">
        <f t="shared" si="62"/>
        <v>9.9494140296904801E-2</v>
      </c>
      <c r="L160" s="33">
        <f t="shared" si="62"/>
        <v>9.2170784384032534E-2</v>
      </c>
      <c r="M160" s="33">
        <f t="shared" si="62"/>
        <v>0.10625342561626137</v>
      </c>
      <c r="N160" s="780" t="b">
        <f t="shared" si="61"/>
        <v>1</v>
      </c>
      <c r="S160" s="442"/>
      <c r="T160" s="444"/>
      <c r="U160" s="444"/>
      <c r="V160" s="444"/>
      <c r="W160" s="444"/>
      <c r="X160" s="444"/>
      <c r="Y160" s="444"/>
      <c r="Z160" s="444"/>
      <c r="AA160" s="444"/>
      <c r="AB160" s="444"/>
      <c r="AC160" s="444"/>
      <c r="AD160" s="444"/>
      <c r="AE160" s="444"/>
      <c r="AF160" s="441"/>
      <c r="AG160" s="441"/>
    </row>
    <row r="161" spans="1:34" ht="15" customHeight="1"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780"/>
      <c r="S161" s="442"/>
      <c r="T161" s="446"/>
      <c r="U161" s="446"/>
      <c r="V161" s="446"/>
      <c r="W161" s="446"/>
      <c r="X161" s="446"/>
      <c r="Y161" s="446"/>
      <c r="Z161" s="441"/>
      <c r="AA161" s="441"/>
      <c r="AB161" s="441"/>
      <c r="AC161" s="441"/>
      <c r="AD161" s="441"/>
      <c r="AE161" s="441"/>
      <c r="AF161" s="441"/>
      <c r="AG161" s="441"/>
    </row>
    <row r="162" spans="1:34" s="427" customFormat="1" ht="15" customHeight="1">
      <c r="A162" s="421"/>
      <c r="B162" s="418" t="str">
        <f>B22</f>
        <v>Média 19 a 21</v>
      </c>
      <c r="C162" s="448">
        <v>2022</v>
      </c>
      <c r="D162" s="448">
        <v>2021</v>
      </c>
      <c r="E162" s="448">
        <v>2020</v>
      </c>
      <c r="F162" s="448">
        <v>2019</v>
      </c>
      <c r="G162" s="448">
        <v>2018</v>
      </c>
      <c r="H162" s="448">
        <v>2017</v>
      </c>
      <c r="I162" s="448">
        <v>2016</v>
      </c>
      <c r="J162" s="449">
        <v>2015</v>
      </c>
      <c r="K162" s="421"/>
      <c r="L162" s="421"/>
      <c r="M162" s="421"/>
      <c r="N162" s="780"/>
      <c r="O162" s="421"/>
      <c r="P162" s="476"/>
      <c r="Q162" s="431"/>
      <c r="R162" s="431"/>
      <c r="S162" s="435"/>
      <c r="T162" s="432"/>
      <c r="U162" s="432"/>
      <c r="V162" s="432"/>
      <c r="W162" s="432"/>
      <c r="X162" s="432"/>
      <c r="Y162" s="432"/>
      <c r="Z162" s="445"/>
      <c r="AA162" s="445"/>
      <c r="AB162" s="445"/>
      <c r="AC162" s="445"/>
      <c r="AD162" s="445"/>
      <c r="AE162" s="445"/>
      <c r="AF162" s="445"/>
      <c r="AG162" s="445"/>
      <c r="AH162" s="433"/>
    </row>
    <row r="163" spans="1:34" ht="15" customHeight="1">
      <c r="A163" s="418" t="s">
        <v>120</v>
      </c>
      <c r="B163" s="36">
        <f>B160</f>
        <v>0.10118995266128106</v>
      </c>
      <c r="C163" s="37">
        <f>B152</f>
        <v>8.0821846705746478E-2</v>
      </c>
      <c r="D163" s="37">
        <f>B153</f>
        <v>8.0173707937804123E-2</v>
      </c>
      <c r="E163" s="37">
        <f>B154</f>
        <v>0.10920677812312067</v>
      </c>
      <c r="F163" s="37">
        <f>B155</f>
        <v>7.5010717053424783E-2</v>
      </c>
      <c r="G163" s="37">
        <f>B156</f>
        <v>0.11935236280729773</v>
      </c>
      <c r="H163" s="37">
        <f>B157</f>
        <v>9.5307803701707675E-2</v>
      </c>
      <c r="I163" s="37">
        <f>B158</f>
        <v>6.6830687582621229E-2</v>
      </c>
      <c r="J163" s="37">
        <f>B159</f>
        <v>7.290638397727324E-2</v>
      </c>
      <c r="S163" s="435"/>
      <c r="T163" s="444"/>
      <c r="U163" s="444"/>
      <c r="V163" s="444"/>
      <c r="W163" s="444"/>
      <c r="X163" s="444"/>
      <c r="Y163" s="444"/>
      <c r="Z163" s="441"/>
      <c r="AA163" s="441"/>
      <c r="AB163" s="441"/>
      <c r="AC163" s="441"/>
      <c r="AD163" s="441"/>
      <c r="AE163" s="441"/>
      <c r="AF163" s="441"/>
      <c r="AG163" s="441"/>
    </row>
    <row r="164" spans="1:34" ht="15" customHeight="1">
      <c r="A164" s="418" t="s">
        <v>121</v>
      </c>
      <c r="B164" s="36">
        <f>B160+C160</f>
        <v>0.18624132499684659</v>
      </c>
      <c r="C164" s="776">
        <f>SUM(B152:C152)</f>
        <v>0.18633591440041963</v>
      </c>
      <c r="D164" s="37">
        <f>SUM(B153:C153)</f>
        <v>0.14286543635492233</v>
      </c>
      <c r="E164" s="37">
        <f>SUM(B154:C154)</f>
        <v>0.19838062297002967</v>
      </c>
      <c r="F164" s="37">
        <f>SUM(B155:C155)</f>
        <v>0.14773746425268686</v>
      </c>
      <c r="G164" s="37">
        <f>SUM(B156:C156)</f>
        <v>0.2126058877678233</v>
      </c>
      <c r="H164" s="37">
        <f>SUM(B157:C157)</f>
        <v>0.15616650625883693</v>
      </c>
      <c r="I164" s="37">
        <f>SUM(B158:C158)</f>
        <v>0.1390919430841317</v>
      </c>
      <c r="J164" s="37">
        <f>SUM(B159:C159)</f>
        <v>0.15878089701563231</v>
      </c>
      <c r="S164" s="435"/>
      <c r="T164" s="444"/>
      <c r="U164" s="444"/>
      <c r="V164" s="444"/>
      <c r="W164" s="444"/>
      <c r="X164" s="444"/>
      <c r="Y164" s="444"/>
      <c r="Z164" s="441"/>
      <c r="AA164" s="441"/>
      <c r="AB164" s="441"/>
      <c r="AC164" s="441"/>
      <c r="AD164" s="441"/>
      <c r="AE164" s="441"/>
      <c r="AF164" s="441"/>
      <c r="AG164" s="441"/>
    </row>
    <row r="165" spans="1:34" ht="15" customHeight="1">
      <c r="A165" s="418" t="s">
        <v>122</v>
      </c>
      <c r="B165" s="33">
        <f>B160+C160+D160</f>
        <v>0.25711841270668168</v>
      </c>
      <c r="C165" s="776">
        <f>SUM(B152:D152)</f>
        <v>0.3035512548957307</v>
      </c>
      <c r="D165" s="34">
        <f>SUM(B153:D153)</f>
        <v>0.20202238840827461</v>
      </c>
      <c r="E165" s="34">
        <f>SUM(B154:D154)</f>
        <v>0.28295825753075438</v>
      </c>
      <c r="F165" s="34">
        <f>SUM(B155:D155)</f>
        <v>0.20391615966388091</v>
      </c>
      <c r="G165" s="34">
        <f>SUM(B156:D156)</f>
        <v>0.28448082092540983</v>
      </c>
      <c r="H165" s="34">
        <f>SUM(B157:D157)</f>
        <v>0.23002935718605014</v>
      </c>
      <c r="I165" s="34">
        <f>SUM(B158:D158)</f>
        <v>0.21727036172075542</v>
      </c>
      <c r="J165" s="34">
        <f>SUM(B159:D159)</f>
        <v>0.23844362557191612</v>
      </c>
      <c r="S165" s="435"/>
      <c r="T165" s="444"/>
      <c r="U165" s="444"/>
      <c r="V165" s="444"/>
      <c r="W165" s="444"/>
      <c r="X165" s="444"/>
      <c r="Y165" s="444"/>
      <c r="Z165" s="441"/>
      <c r="AA165" s="441"/>
      <c r="AB165" s="441"/>
      <c r="AC165" s="441"/>
      <c r="AD165" s="441"/>
      <c r="AE165" s="441"/>
      <c r="AF165" s="441"/>
      <c r="AG165" s="441"/>
    </row>
    <row r="166" spans="1:34" ht="15" customHeight="1">
      <c r="A166" s="418" t="s">
        <v>123</v>
      </c>
      <c r="B166" s="33">
        <f>B160+C160+D160+E160</f>
        <v>0.32300044013676993</v>
      </c>
      <c r="C166" s="776">
        <f>SUM(B152:E152)</f>
        <v>0.38778195857776454</v>
      </c>
      <c r="D166" s="34">
        <f>SUM(B153:E153)</f>
        <v>0.26417705851352685</v>
      </c>
      <c r="E166" s="34">
        <f>SUM(B154:E154)</f>
        <v>0.33463592873828324</v>
      </c>
      <c r="F166" s="34">
        <f>SUM(B155:E155)</f>
        <v>0.26506122967829598</v>
      </c>
      <c r="G166" s="34">
        <f>SUM(B156:E156)</f>
        <v>0.36930416199373067</v>
      </c>
      <c r="H166" s="34">
        <f>SUM(B157:E157)</f>
        <v>0.28089038358756629</v>
      </c>
      <c r="I166" s="34">
        <f>SUM(B158:E158)</f>
        <v>0.28196923685844988</v>
      </c>
      <c r="J166" s="34">
        <f>SUM(B159:E159)</f>
        <v>0.29792091166063034</v>
      </c>
      <c r="S166" s="435"/>
      <c r="T166" s="444"/>
      <c r="U166" s="444"/>
      <c r="V166" s="444"/>
      <c r="W166" s="444"/>
      <c r="X166" s="444"/>
      <c r="Y166" s="444"/>
      <c r="Z166" s="441"/>
      <c r="AA166" s="441"/>
      <c r="AB166" s="441"/>
      <c r="AC166" s="441"/>
      <c r="AD166" s="441"/>
      <c r="AE166" s="441"/>
      <c r="AF166" s="441"/>
      <c r="AG166" s="441"/>
    </row>
    <row r="167" spans="1:34" ht="15" customHeight="1">
      <c r="A167" s="418" t="s">
        <v>124</v>
      </c>
      <c r="B167" s="33">
        <f>B160+C160+D160+E160+F160</f>
        <v>0.38242271327839333</v>
      </c>
      <c r="C167" s="776">
        <f>SUM(B152:F152)</f>
        <v>0.49461145127083889</v>
      </c>
      <c r="D167" s="34">
        <f>SUM(B153:F153)</f>
        <v>0.33569431290032203</v>
      </c>
      <c r="E167" s="34">
        <f>SUM(B154:F154)</f>
        <v>0.38176746467500111</v>
      </c>
      <c r="F167" s="34">
        <f>SUM(B155:F155)</f>
        <v>0.32678953510960113</v>
      </c>
      <c r="G167" s="34">
        <f>SUM(B156:F156)</f>
        <v>0.43871114005057787</v>
      </c>
      <c r="H167" s="34">
        <f>SUM(B157:F157)</f>
        <v>0.35377124388444686</v>
      </c>
      <c r="I167" s="34">
        <f>SUM(B158:F158)</f>
        <v>0.34430415415453791</v>
      </c>
      <c r="J167" s="34">
        <f>SUM(B159:F159)</f>
        <v>0.36056803656524417</v>
      </c>
      <c r="S167" s="435"/>
      <c r="T167" s="444"/>
      <c r="U167" s="444"/>
      <c r="V167" s="444"/>
      <c r="W167" s="444"/>
      <c r="X167" s="444"/>
      <c r="Y167" s="444"/>
      <c r="Z167" s="441"/>
      <c r="AA167" s="441"/>
      <c r="AB167" s="441"/>
      <c r="AC167" s="441"/>
      <c r="AD167" s="441"/>
      <c r="AE167" s="441"/>
      <c r="AF167" s="441"/>
      <c r="AG167" s="441"/>
    </row>
    <row r="168" spans="1:34" ht="15" customHeight="1">
      <c r="A168" s="418" t="s">
        <v>125</v>
      </c>
      <c r="B168" s="33">
        <f>B160+C160+D160+E160+F160+G160</f>
        <v>0.44487490979949174</v>
      </c>
      <c r="C168" s="776">
        <f>SUM(B152:G152)</f>
        <v>0.58825222308579372</v>
      </c>
      <c r="D168" s="34">
        <f>SUM(B153:G153)</f>
        <v>0.44072935886977027</v>
      </c>
      <c r="E168" s="34">
        <f>SUM(B154:G154)</f>
        <v>0.44150983593565485</v>
      </c>
      <c r="F168" s="34">
        <f>SUM(B155:G155)</f>
        <v>0.38219829136620581</v>
      </c>
      <c r="G168" s="34">
        <f>SUM(B156:G156)</f>
        <v>0.51091660209661471</v>
      </c>
      <c r="H168" s="34">
        <f>SUM(B157:G157)</f>
        <v>0.42469057356002665</v>
      </c>
      <c r="I168" s="34">
        <f>SUM(B158:G158)</f>
        <v>0.41841935695162469</v>
      </c>
      <c r="J168" s="34">
        <f>SUM(B159:G159)</f>
        <v>0.44104888119259189</v>
      </c>
      <c r="S168" s="435"/>
      <c r="T168" s="444"/>
      <c r="U168" s="444"/>
      <c r="V168" s="444"/>
      <c r="W168" s="444"/>
      <c r="X168" s="444"/>
      <c r="Y168" s="444"/>
      <c r="Z168" s="441"/>
      <c r="AA168" s="441"/>
      <c r="AB168" s="441"/>
      <c r="AC168" s="441"/>
      <c r="AD168" s="441"/>
      <c r="AE168" s="441"/>
      <c r="AF168" s="441"/>
      <c r="AG168" s="441"/>
    </row>
    <row r="169" spans="1:34" ht="15" customHeight="1">
      <c r="A169" s="418" t="s">
        <v>126</v>
      </c>
      <c r="B169" s="33">
        <f>B160+C160+D160+E160+F160+G160+H160</f>
        <v>0.53014782324680687</v>
      </c>
      <c r="C169" s="737">
        <f>SUM(B152:H152)</f>
        <v>0.70354702767620936</v>
      </c>
      <c r="D169" s="34">
        <f>SUM(B153:H153)</f>
        <v>0.54261114797475463</v>
      </c>
      <c r="E169" s="34">
        <f>SUM(B154:H154)</f>
        <v>0.51079891119550647</v>
      </c>
      <c r="F169" s="34">
        <f>SUM(B155:H155)</f>
        <v>0.48521767730941845</v>
      </c>
      <c r="G169" s="34">
        <f>SUM(B156:H156)</f>
        <v>0.59442688123549592</v>
      </c>
      <c r="H169" s="34">
        <f>SUM(B157:H157)</f>
        <v>0.49778407738426528</v>
      </c>
      <c r="I169" s="34">
        <f>SUM(B158:H158)</f>
        <v>0.4961294348380294</v>
      </c>
      <c r="J169" s="34">
        <f>SUM(B159:H159)</f>
        <v>0.53081238455080504</v>
      </c>
      <c r="S169" s="435"/>
      <c r="T169" s="444"/>
      <c r="U169" s="444"/>
      <c r="V169" s="444"/>
      <c r="W169" s="444"/>
      <c r="X169" s="444"/>
      <c r="Y169" s="444"/>
      <c r="Z169" s="441"/>
      <c r="AA169" s="441"/>
      <c r="AB169" s="441"/>
      <c r="AC169" s="441"/>
      <c r="AD169" s="441"/>
      <c r="AE169" s="441"/>
      <c r="AF169" s="441"/>
      <c r="AG169" s="441"/>
    </row>
    <row r="170" spans="1:34" ht="15" customHeight="1">
      <c r="A170" s="418" t="s">
        <v>127</v>
      </c>
      <c r="B170" s="33">
        <f>B160+C160+D160+E160+F160+G160+H160+I160</f>
        <v>0.61750260522066602</v>
      </c>
      <c r="C170" s="737">
        <f>SUM(B152:I152)</f>
        <v>0.85833725148086037</v>
      </c>
      <c r="D170" s="34">
        <f>SUM(B153:I153)</f>
        <v>0.65211240958395278</v>
      </c>
      <c r="E170" s="34">
        <f>SUM(B154:I154)</f>
        <v>0.59179978820182233</v>
      </c>
      <c r="F170" s="34">
        <f>SUM(B155:I155)</f>
        <v>0.58206911684735452</v>
      </c>
      <c r="G170" s="34">
        <f>SUM(B156:I156)</f>
        <v>0.67863891061282156</v>
      </c>
      <c r="H170" s="34">
        <f>SUM(B157:I157)</f>
        <v>0.59494077028838488</v>
      </c>
      <c r="I170" s="34">
        <f>SUM(B158:I158)</f>
        <v>0.58343387850066852</v>
      </c>
      <c r="J170" s="34">
        <f>SUM(B159:I159)</f>
        <v>0.60942696142473451</v>
      </c>
      <c r="S170" s="435"/>
      <c r="T170" s="444"/>
      <c r="U170" s="444"/>
      <c r="V170" s="444"/>
      <c r="W170" s="444"/>
      <c r="X170" s="444"/>
      <c r="Y170" s="444"/>
      <c r="Z170" s="441"/>
      <c r="AA170" s="441"/>
      <c r="AB170" s="441"/>
      <c r="AC170" s="441"/>
      <c r="AD170" s="441"/>
      <c r="AE170" s="441"/>
      <c r="AF170" s="441"/>
      <c r="AG170" s="441"/>
    </row>
    <row r="171" spans="1:34" ht="15" customHeight="1">
      <c r="A171" s="418" t="s">
        <v>128</v>
      </c>
      <c r="B171" s="33">
        <f>B160+C160+D160+E160+F160+G160+H160+I160+J160</f>
        <v>0.70208164970280118</v>
      </c>
      <c r="C171" s="737">
        <f>SUM(B152:J152)</f>
        <v>1</v>
      </c>
      <c r="D171" s="34">
        <f>SUM(B153:J153)</f>
        <v>0.73960207101017372</v>
      </c>
      <c r="E171" s="34">
        <f>SUM(B154:J154)</f>
        <v>0.69092973850020512</v>
      </c>
      <c r="F171" s="34">
        <f>SUM(B155:J155)</f>
        <v>0.66868609169635707</v>
      </c>
      <c r="G171" s="34">
        <f>SUM(B156:J156)</f>
        <v>0.74662911891184169</v>
      </c>
      <c r="H171" s="34">
        <f>SUM(B157:J157)</f>
        <v>0.67377537618248662</v>
      </c>
      <c r="I171" s="34">
        <f>SUM(B158:J158)</f>
        <v>0.67359232658250989</v>
      </c>
      <c r="J171" s="34">
        <f>SUM(B159:J159)</f>
        <v>0.69972875615657038</v>
      </c>
      <c r="S171" s="435"/>
      <c r="T171" s="444"/>
      <c r="U171" s="444"/>
      <c r="V171" s="444"/>
      <c r="W171" s="444"/>
      <c r="X171" s="444"/>
      <c r="Y171" s="444"/>
      <c r="Z171" s="441"/>
      <c r="AA171" s="441"/>
      <c r="AB171" s="441"/>
      <c r="AC171" s="441"/>
      <c r="AD171" s="441"/>
      <c r="AE171" s="441"/>
      <c r="AF171" s="441"/>
      <c r="AG171" s="441"/>
    </row>
    <row r="172" spans="1:34" ht="15" customHeight="1">
      <c r="A172" s="418" t="s">
        <v>129</v>
      </c>
      <c r="B172" s="33">
        <f>B160+C160+D160+E160+F160+G160+H160+I160+J160+K160</f>
        <v>0.80157578999970602</v>
      </c>
      <c r="C172" s="737">
        <f>SUM(B152:K152)*0</f>
        <v>0</v>
      </c>
      <c r="D172" s="34">
        <f>SUM(B153:K153)</f>
        <v>0.81601448913609775</v>
      </c>
      <c r="E172" s="34">
        <f>SUM(B154:K154)</f>
        <v>0.79338434106618683</v>
      </c>
      <c r="F172" s="34">
        <f>SUM(B155:K155)</f>
        <v>0.77790081652120024</v>
      </c>
      <c r="G172" s="34">
        <f>SUM(B156:K156)</f>
        <v>0.83344221241173122</v>
      </c>
      <c r="H172" s="34">
        <f>SUM(B157:K157)</f>
        <v>0.79588571544659159</v>
      </c>
      <c r="I172" s="34">
        <f>SUM(B158:K158)</f>
        <v>0.76324529043495337</v>
      </c>
      <c r="J172" s="34">
        <f>SUM(B159:K159)</f>
        <v>0.79224787129330598</v>
      </c>
      <c r="S172" s="435"/>
      <c r="T172" s="444"/>
      <c r="U172" s="444"/>
      <c r="V172" s="444"/>
      <c r="W172" s="444"/>
      <c r="X172" s="444"/>
      <c r="Y172" s="444"/>
      <c r="Z172" s="441"/>
      <c r="AA172" s="441"/>
      <c r="AB172" s="441"/>
      <c r="AC172" s="441"/>
      <c r="AD172" s="441"/>
      <c r="AE172" s="441"/>
      <c r="AF172" s="441"/>
      <c r="AG172" s="441"/>
    </row>
    <row r="173" spans="1:34" ht="15" customHeight="1">
      <c r="A173" s="418" t="s">
        <v>130</v>
      </c>
      <c r="B173" s="33">
        <f>B160+C160+D160+E160+F160+G160+H160+I160+J160+K160+L160</f>
        <v>0.8937465743837385</v>
      </c>
      <c r="C173" s="737">
        <f>SUM(B152:L152)*0</f>
        <v>0</v>
      </c>
      <c r="D173" s="34">
        <f>SUM(B153:L153)</f>
        <v>0.89778557248119384</v>
      </c>
      <c r="E173" s="34">
        <f>SUM(B154:L154)</f>
        <v>0.89599798330665514</v>
      </c>
      <c r="F173" s="34">
        <f>SUM(B155:L155)</f>
        <v>0.87713929257725265</v>
      </c>
      <c r="G173" s="34">
        <f>SUM(B156:L156)</f>
        <v>0.90810244726730815</v>
      </c>
      <c r="H173" s="34">
        <f>SUM(B157:L157)</f>
        <v>0.90931707022369901</v>
      </c>
      <c r="I173" s="34">
        <f>SUM(B158:L158)</f>
        <v>0.86495199366649289</v>
      </c>
      <c r="J173" s="34">
        <f>SUM(B159:L159)</f>
        <v>0.89263809451017151</v>
      </c>
      <c r="S173" s="435"/>
      <c r="T173" s="444"/>
      <c r="U173" s="444"/>
      <c r="V173" s="444"/>
      <c r="W173" s="444"/>
      <c r="X173" s="444"/>
      <c r="Y173" s="444"/>
      <c r="Z173" s="441"/>
      <c r="AA173" s="441"/>
      <c r="AB173" s="441"/>
      <c r="AC173" s="441"/>
      <c r="AD173" s="441"/>
      <c r="AE173" s="441"/>
      <c r="AF173" s="441"/>
      <c r="AG173" s="441"/>
    </row>
    <row r="174" spans="1:34">
      <c r="A174" s="418" t="s">
        <v>131</v>
      </c>
      <c r="B174" s="33">
        <f>SUM(B160:M160)</f>
        <v>0.99999999999999989</v>
      </c>
      <c r="C174" s="737">
        <f>SUM(B152:M152)*0</f>
        <v>0</v>
      </c>
      <c r="D174" s="34">
        <f>SUM(B153:M153)</f>
        <v>0.99999999999999989</v>
      </c>
      <c r="E174" s="34">
        <f>SUM(B154:M154)</f>
        <v>1</v>
      </c>
      <c r="F174" s="34">
        <f>SUM(B155:M155)</f>
        <v>1</v>
      </c>
      <c r="G174" s="34">
        <f>SUM(B156:M156)</f>
        <v>1</v>
      </c>
      <c r="H174" s="34">
        <f>SUM(B157:M157)</f>
        <v>1</v>
      </c>
      <c r="I174" s="34">
        <f>SUM(B158:M158)</f>
        <v>0.99999999999999989</v>
      </c>
      <c r="J174" s="34">
        <f>SUM(B159:M159)</f>
        <v>1</v>
      </c>
      <c r="S174" s="442"/>
      <c r="T174" s="441"/>
      <c r="U174" s="441"/>
      <c r="V174" s="441"/>
      <c r="W174" s="441"/>
      <c r="X174" s="441"/>
      <c r="Y174" s="441"/>
      <c r="Z174" s="441"/>
      <c r="AA174" s="441"/>
      <c r="AB174" s="441"/>
      <c r="AC174" s="441"/>
      <c r="AD174" s="441"/>
      <c r="AE174" s="441"/>
      <c r="AF174" s="441"/>
      <c r="AG174" s="441"/>
    </row>
    <row r="175" spans="1:34">
      <c r="S175" s="442"/>
      <c r="T175" s="441"/>
      <c r="U175" s="441"/>
      <c r="V175" s="441"/>
      <c r="W175" s="441"/>
      <c r="X175" s="441"/>
      <c r="Y175" s="441"/>
      <c r="Z175" s="441"/>
      <c r="AA175" s="441"/>
      <c r="AB175" s="441"/>
      <c r="AC175" s="441"/>
      <c r="AD175" s="441"/>
      <c r="AE175" s="441"/>
      <c r="AF175" s="441"/>
      <c r="AG175" s="441"/>
    </row>
    <row r="176" spans="1:34">
      <c r="S176" s="442"/>
      <c r="T176" s="441"/>
      <c r="U176" s="441"/>
      <c r="V176" s="441"/>
      <c r="W176" s="441"/>
      <c r="X176" s="441"/>
      <c r="Y176" s="441"/>
      <c r="Z176" s="441"/>
      <c r="AA176" s="441"/>
      <c r="AB176" s="441"/>
      <c r="AC176" s="441"/>
      <c r="AD176" s="441"/>
      <c r="AE176" s="441"/>
      <c r="AF176" s="441"/>
      <c r="AG176" s="441"/>
    </row>
    <row r="177" spans="19:33">
      <c r="S177" s="442"/>
      <c r="T177" s="441"/>
      <c r="U177" s="441"/>
      <c r="V177" s="441"/>
      <c r="W177" s="441"/>
      <c r="X177" s="441"/>
      <c r="Y177" s="441"/>
      <c r="Z177" s="441"/>
      <c r="AA177" s="441"/>
      <c r="AB177" s="441"/>
      <c r="AC177" s="441"/>
      <c r="AD177" s="441"/>
      <c r="AE177" s="441"/>
      <c r="AF177" s="441"/>
      <c r="AG177" s="441"/>
    </row>
  </sheetData>
  <mergeCells count="10">
    <mergeCell ref="A1:O1"/>
    <mergeCell ref="S36:AG36"/>
    <mergeCell ref="S20:U20"/>
    <mergeCell ref="A36:O36"/>
    <mergeCell ref="W14:Y16"/>
    <mergeCell ref="A141:O141"/>
    <mergeCell ref="A106:O106"/>
    <mergeCell ref="S71:AG71"/>
    <mergeCell ref="A71:O71"/>
    <mergeCell ref="U13:Y13"/>
  </mergeCells>
  <conditionalFormatting sqref="Q8:R8">
    <cfRule type="cellIs" dxfId="32" priority="26" operator="equal">
      <formula>1</formula>
    </cfRule>
  </conditionalFormatting>
  <conditionalFormatting sqref="V9">
    <cfRule type="cellIs" dxfId="31" priority="22" operator="equal">
      <formula>FALSE</formula>
    </cfRule>
    <cfRule type="cellIs" dxfId="30" priority="23" operator="equal">
      <formula>TRUE</formula>
    </cfRule>
  </conditionalFormatting>
  <conditionalFormatting sqref="T11">
    <cfRule type="cellIs" dxfId="29" priority="20" operator="equal">
      <formula>FALSE</formula>
    </cfRule>
    <cfRule type="cellIs" dxfId="28" priority="21" operator="equal">
      <formula>TRUE</formula>
    </cfRule>
  </conditionalFormatting>
  <conditionalFormatting sqref="X9">
    <cfRule type="cellIs" dxfId="27" priority="17" operator="equal">
      <formula>FALSE</formula>
    </cfRule>
    <cfRule type="cellIs" dxfId="26" priority="18" operator="equal">
      <formula>TRUE</formula>
    </cfRule>
  </conditionalFormatting>
  <conditionalFormatting sqref="T9">
    <cfRule type="cellIs" dxfId="25" priority="15" operator="equal">
      <formula>FALSE</formula>
    </cfRule>
    <cfRule type="cellIs" dxfId="24" priority="16" operator="equal">
      <formula>TRUE</formula>
    </cfRule>
  </conditionalFormatting>
  <conditionalFormatting sqref="N152:N160">
    <cfRule type="cellIs" dxfId="23" priority="13" operator="equal">
      <formula>FALSE</formula>
    </cfRule>
    <cfRule type="cellIs" dxfId="22" priority="14" operator="equal">
      <formula>TRUE</formula>
    </cfRule>
  </conditionalFormatting>
  <conditionalFormatting sqref="N117:N125">
    <cfRule type="cellIs" dxfId="21" priority="11" operator="equal">
      <formula>FALSE</formula>
    </cfRule>
    <cfRule type="cellIs" dxfId="20" priority="12" operator="equal">
      <formula>TRUE</formula>
    </cfRule>
  </conditionalFormatting>
  <conditionalFormatting sqref="N82:N90">
    <cfRule type="cellIs" dxfId="19" priority="9" operator="equal">
      <formula>FALSE</formula>
    </cfRule>
    <cfRule type="cellIs" dxfId="18" priority="10" operator="equal">
      <formula>TRUE</formula>
    </cfRule>
  </conditionalFormatting>
  <conditionalFormatting sqref="N47:N55">
    <cfRule type="cellIs" dxfId="17" priority="7" operator="equal">
      <formula>FALSE</formula>
    </cfRule>
    <cfRule type="cellIs" dxfId="16" priority="8" operator="equal">
      <formula>TRUE</formula>
    </cfRule>
  </conditionalFormatting>
  <conditionalFormatting sqref="N12:N20">
    <cfRule type="cellIs" dxfId="15" priority="5" operator="equal">
      <formula>FALSE</formula>
    </cfRule>
    <cfRule type="cellIs" dxfId="14" priority="6" operator="equal">
      <formula>TRUE</formula>
    </cfRule>
  </conditionalFormatting>
  <conditionalFormatting sqref="AF47:AF55">
    <cfRule type="cellIs" dxfId="13" priority="3" operator="equal">
      <formula>FALSE</formula>
    </cfRule>
    <cfRule type="cellIs" dxfId="12" priority="4" operator="equal">
      <formula>TRUE</formula>
    </cfRule>
  </conditionalFormatting>
  <conditionalFormatting sqref="AF82:AF90">
    <cfRule type="cellIs" dxfId="11" priority="1" operator="equal">
      <formula>FALSE</formula>
    </cfRule>
    <cfRule type="cellIs" dxfId="10" priority="2" operator="equal">
      <formula>TRUE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pageSetUpPr fitToPage="1"/>
  </sheetPr>
  <dimension ref="A2:Z103"/>
  <sheetViews>
    <sheetView topLeftCell="A59" zoomScale="70" zoomScaleNormal="70" workbookViewId="0">
      <pane xSplit="1" topLeftCell="N1" activePane="topRight" state="frozen"/>
      <selection activeCell="EF33" sqref="EF33"/>
      <selection pane="topRight" activeCell="EF33" sqref="EF33"/>
    </sheetView>
  </sheetViews>
  <sheetFormatPr defaultRowHeight="15"/>
  <cols>
    <col min="1" max="1" width="21.7109375" style="370" customWidth="1"/>
    <col min="2" max="11" width="21.7109375" style="357" customWidth="1"/>
    <col min="12" max="12" width="18.85546875" style="357" customWidth="1"/>
    <col min="13" max="13" width="13.140625" style="357" customWidth="1"/>
    <col min="14" max="15" width="18.7109375" style="357" customWidth="1"/>
    <col min="16" max="16" width="17.7109375" style="357" customWidth="1"/>
    <col min="17" max="17" width="19.42578125" style="357" customWidth="1"/>
    <col min="18" max="18" width="21.7109375" style="357" customWidth="1"/>
    <col min="19" max="24" width="17" style="357" customWidth="1"/>
    <col min="25" max="25" width="15.7109375" style="357" bestFit="1" customWidth="1"/>
    <col min="26" max="26" width="12.85546875" style="357" bestFit="1" customWidth="1"/>
    <col min="27" max="16384" width="9.140625" style="357"/>
  </cols>
  <sheetData>
    <row r="2" spans="1:26" ht="46.5">
      <c r="A2" s="837" t="s">
        <v>55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</row>
    <row r="3" spans="1:26" ht="35.1" customHeight="1">
      <c r="A3" s="835" t="s">
        <v>33</v>
      </c>
      <c r="B3" s="833" t="s">
        <v>27</v>
      </c>
      <c r="C3" s="834"/>
      <c r="D3" s="833" t="s">
        <v>29</v>
      </c>
      <c r="E3" s="834"/>
      <c r="F3" s="835" t="s">
        <v>28</v>
      </c>
      <c r="G3" s="835" t="s">
        <v>36</v>
      </c>
      <c r="H3" s="835" t="s">
        <v>30</v>
      </c>
      <c r="I3" s="835" t="s">
        <v>31</v>
      </c>
      <c r="J3" s="835" t="s">
        <v>41</v>
      </c>
      <c r="K3" s="835" t="s">
        <v>35</v>
      </c>
      <c r="L3" s="835" t="s">
        <v>40</v>
      </c>
      <c r="M3" s="835" t="s">
        <v>42</v>
      </c>
      <c r="N3" s="835" t="s">
        <v>45</v>
      </c>
      <c r="O3" s="835" t="s">
        <v>279</v>
      </c>
      <c r="P3" s="833" t="s">
        <v>49</v>
      </c>
      <c r="Q3" s="834"/>
      <c r="R3" s="835" t="s">
        <v>34</v>
      </c>
    </row>
    <row r="4" spans="1:26" ht="35.1" customHeight="1">
      <c r="A4" s="836"/>
      <c r="B4" s="361" t="s">
        <v>43</v>
      </c>
      <c r="C4" s="361" t="s">
        <v>44</v>
      </c>
      <c r="D4" s="361" t="s">
        <v>43</v>
      </c>
      <c r="E4" s="361" t="s">
        <v>44</v>
      </c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362" t="s">
        <v>50</v>
      </c>
      <c r="Q4" s="362" t="s">
        <v>51</v>
      </c>
      <c r="R4" s="836"/>
      <c r="S4" s="372" t="s">
        <v>173</v>
      </c>
      <c r="T4" s="372" t="s">
        <v>291</v>
      </c>
      <c r="U4" s="372" t="s">
        <v>174</v>
      </c>
      <c r="V4" s="372" t="s">
        <v>292</v>
      </c>
      <c r="W4" s="372" t="s">
        <v>28</v>
      </c>
      <c r="X4" s="372" t="s">
        <v>175</v>
      </c>
      <c r="Y4" s="726"/>
    </row>
    <row r="5" spans="1:26">
      <c r="A5" s="2" t="s">
        <v>77</v>
      </c>
      <c r="B5" s="16">
        <f t="shared" ref="B5:Q8" si="0">B75*0.8</f>
        <v>21182.608</v>
      </c>
      <c r="C5" s="16">
        <f t="shared" si="0"/>
        <v>11930.32</v>
      </c>
      <c r="D5" s="16">
        <f t="shared" si="0"/>
        <v>1217.376</v>
      </c>
      <c r="E5" s="16">
        <f t="shared" si="0"/>
        <v>713.68000000000018</v>
      </c>
      <c r="F5" s="16">
        <f t="shared" si="0"/>
        <v>16322.712</v>
      </c>
      <c r="G5" s="16">
        <f t="shared" si="0"/>
        <v>434.76000000000005</v>
      </c>
      <c r="H5" s="16">
        <f t="shared" si="0"/>
        <v>903.072</v>
      </c>
      <c r="I5" s="16">
        <f t="shared" si="0"/>
        <v>0</v>
      </c>
      <c r="J5" s="16">
        <f t="shared" si="0"/>
        <v>2666.9120000000003</v>
      </c>
      <c r="K5" s="16">
        <f t="shared" si="0"/>
        <v>0</v>
      </c>
      <c r="L5" s="16">
        <f t="shared" si="0"/>
        <v>0</v>
      </c>
      <c r="M5" s="16">
        <f t="shared" si="0"/>
        <v>0</v>
      </c>
      <c r="N5" s="16">
        <f t="shared" si="0"/>
        <v>76.08</v>
      </c>
      <c r="O5" s="16">
        <f t="shared" si="0"/>
        <v>0</v>
      </c>
      <c r="P5" s="16">
        <f t="shared" si="0"/>
        <v>0</v>
      </c>
      <c r="Q5" s="16">
        <f t="shared" si="0"/>
        <v>0</v>
      </c>
      <c r="R5" s="8">
        <f t="shared" ref="R5:R31" si="1">SUM(B5:Q5)</f>
        <v>55447.520000000004</v>
      </c>
      <c r="S5" s="363">
        <f>B5</f>
        <v>21182.608</v>
      </c>
      <c r="T5" s="363">
        <f>C5</f>
        <v>11930.32</v>
      </c>
      <c r="U5" s="363">
        <f>D5</f>
        <v>1217.376</v>
      </c>
      <c r="V5" s="363">
        <f>E5</f>
        <v>713.68000000000018</v>
      </c>
      <c r="W5" s="363">
        <f>F5+G5</f>
        <v>16757.471999999998</v>
      </c>
      <c r="X5" s="363">
        <f>SUM(H5:Q5)</f>
        <v>3646.0640000000003</v>
      </c>
      <c r="Y5" s="363"/>
      <c r="Z5" s="390"/>
    </row>
    <row r="6" spans="1:26">
      <c r="A6" s="2" t="s">
        <v>78</v>
      </c>
      <c r="B6" s="16">
        <f t="shared" ref="B6:Q6" si="2">B76*0.8</f>
        <v>110854.81599999999</v>
      </c>
      <c r="C6" s="16">
        <f t="shared" si="2"/>
        <v>19235.207999999984</v>
      </c>
      <c r="D6" s="16">
        <f t="shared" si="2"/>
        <v>2189.5840000000003</v>
      </c>
      <c r="E6" s="16">
        <f t="shared" si="2"/>
        <v>375.45600000000013</v>
      </c>
      <c r="F6" s="16">
        <f t="shared" si="2"/>
        <v>63796.992000000006</v>
      </c>
      <c r="G6" s="16">
        <f t="shared" si="2"/>
        <v>3391.1280000000002</v>
      </c>
      <c r="H6" s="16">
        <f t="shared" si="2"/>
        <v>2371.7440000000001</v>
      </c>
      <c r="I6" s="16">
        <f t="shared" si="2"/>
        <v>0</v>
      </c>
      <c r="J6" s="16">
        <f t="shared" si="2"/>
        <v>3064.616</v>
      </c>
      <c r="K6" s="16">
        <f t="shared" si="2"/>
        <v>347.80799999999999</v>
      </c>
      <c r="L6" s="16">
        <f t="shared" si="2"/>
        <v>0</v>
      </c>
      <c r="M6" s="16">
        <f t="shared" si="2"/>
        <v>0</v>
      </c>
      <c r="N6" s="16">
        <f t="shared" si="2"/>
        <v>101.44</v>
      </c>
      <c r="O6" s="16">
        <f t="shared" si="0"/>
        <v>0</v>
      </c>
      <c r="P6" s="16">
        <f t="shared" si="2"/>
        <v>0</v>
      </c>
      <c r="Q6" s="16">
        <f t="shared" si="2"/>
        <v>0</v>
      </c>
      <c r="R6" s="8">
        <f t="shared" si="1"/>
        <v>205728.79199999999</v>
      </c>
      <c r="S6" s="363">
        <f t="shared" ref="S6:V31" si="3">B6</f>
        <v>110854.81599999999</v>
      </c>
      <c r="T6" s="363">
        <f t="shared" si="3"/>
        <v>19235.207999999984</v>
      </c>
      <c r="U6" s="363">
        <f t="shared" si="3"/>
        <v>2189.5840000000003</v>
      </c>
      <c r="V6" s="363">
        <f t="shared" si="3"/>
        <v>375.45600000000013</v>
      </c>
      <c r="W6" s="363">
        <f t="shared" ref="W6:W31" si="4">F6+G6</f>
        <v>67188.12000000001</v>
      </c>
      <c r="X6" s="363">
        <f t="shared" ref="X6:X31" si="5">SUM(H6:Q6)</f>
        <v>5885.6080000000002</v>
      </c>
      <c r="Y6" s="363"/>
      <c r="Z6" s="390"/>
    </row>
    <row r="7" spans="1:26">
      <c r="A7" s="2" t="s">
        <v>79</v>
      </c>
      <c r="B7" s="16">
        <f t="shared" ref="B7:Q7" si="6">B77*0.8</f>
        <v>22179.928</v>
      </c>
      <c r="C7" s="16">
        <f t="shared" si="6"/>
        <v>6035.0879999999979</v>
      </c>
      <c r="D7" s="16">
        <f t="shared" si="6"/>
        <v>1684.0320000000002</v>
      </c>
      <c r="E7" s="16">
        <f t="shared" si="6"/>
        <v>2639.8080000000004</v>
      </c>
      <c r="F7" s="16">
        <f t="shared" si="6"/>
        <v>19390.295999999998</v>
      </c>
      <c r="G7" s="16">
        <f t="shared" si="6"/>
        <v>1217.3280000000002</v>
      </c>
      <c r="H7" s="16">
        <f t="shared" si="6"/>
        <v>590.73599999999999</v>
      </c>
      <c r="I7" s="16">
        <f t="shared" si="6"/>
        <v>1252.7280000000001</v>
      </c>
      <c r="J7" s="16">
        <f t="shared" si="6"/>
        <v>1814.9279999999999</v>
      </c>
      <c r="K7" s="16">
        <f t="shared" si="6"/>
        <v>782.5680000000001</v>
      </c>
      <c r="L7" s="16">
        <f t="shared" si="6"/>
        <v>0</v>
      </c>
      <c r="M7" s="16">
        <f t="shared" si="6"/>
        <v>0</v>
      </c>
      <c r="N7" s="16">
        <f t="shared" si="6"/>
        <v>25.36</v>
      </c>
      <c r="O7" s="16">
        <f>O77*0.8</f>
        <v>0</v>
      </c>
      <c r="P7" s="16">
        <f t="shared" si="6"/>
        <v>0</v>
      </c>
      <c r="Q7" s="16">
        <f t="shared" si="6"/>
        <v>0</v>
      </c>
      <c r="R7" s="8">
        <f t="shared" si="1"/>
        <v>57612.799999999996</v>
      </c>
      <c r="S7" s="363">
        <f t="shared" si="3"/>
        <v>22179.928</v>
      </c>
      <c r="T7" s="363">
        <f t="shared" si="3"/>
        <v>6035.0879999999979</v>
      </c>
      <c r="U7" s="363">
        <f t="shared" si="3"/>
        <v>1684.0320000000002</v>
      </c>
      <c r="V7" s="363">
        <f t="shared" si="3"/>
        <v>2639.8080000000004</v>
      </c>
      <c r="W7" s="363">
        <f t="shared" si="4"/>
        <v>20607.624</v>
      </c>
      <c r="X7" s="363">
        <f t="shared" si="5"/>
        <v>4466.32</v>
      </c>
      <c r="Y7" s="363"/>
      <c r="Z7" s="390"/>
    </row>
    <row r="8" spans="1:26">
      <c r="A8" s="2" t="s">
        <v>80</v>
      </c>
      <c r="B8" s="16">
        <f t="shared" ref="B8:N8" si="7">B78*0.8</f>
        <v>56372.152000000002</v>
      </c>
      <c r="C8" s="16">
        <f t="shared" si="7"/>
        <v>13143.264000000003</v>
      </c>
      <c r="D8" s="16">
        <f t="shared" si="7"/>
        <v>1501.424</v>
      </c>
      <c r="E8" s="16">
        <f t="shared" si="7"/>
        <v>2429.7520000000004</v>
      </c>
      <c r="F8" s="16">
        <f t="shared" si="7"/>
        <v>52692.912000000004</v>
      </c>
      <c r="G8" s="16">
        <f t="shared" si="7"/>
        <v>1478.1840000000002</v>
      </c>
      <c r="H8" s="16">
        <f t="shared" si="7"/>
        <v>1554.5680000000002</v>
      </c>
      <c r="I8" s="16">
        <f t="shared" si="7"/>
        <v>0</v>
      </c>
      <c r="J8" s="16">
        <f t="shared" si="7"/>
        <v>3141.5920000000006</v>
      </c>
      <c r="K8" s="16">
        <f t="shared" si="7"/>
        <v>86.951999999999998</v>
      </c>
      <c r="L8" s="16">
        <f t="shared" si="7"/>
        <v>0</v>
      </c>
      <c r="M8" s="16">
        <f t="shared" si="7"/>
        <v>1295.2</v>
      </c>
      <c r="N8" s="16">
        <f t="shared" si="7"/>
        <v>126.80000000000001</v>
      </c>
      <c r="O8" s="16">
        <f t="shared" si="0"/>
        <v>0</v>
      </c>
      <c r="P8" s="16">
        <f>P78</f>
        <v>0</v>
      </c>
      <c r="Q8" s="16">
        <f t="shared" ref="Q8:Q28" si="8">Q78*0.8</f>
        <v>0</v>
      </c>
      <c r="R8" s="8">
        <f t="shared" si="1"/>
        <v>133822.79999999999</v>
      </c>
      <c r="S8" s="363">
        <f t="shared" si="3"/>
        <v>56372.152000000002</v>
      </c>
      <c r="T8" s="363">
        <f t="shared" si="3"/>
        <v>13143.264000000003</v>
      </c>
      <c r="U8" s="363">
        <f t="shared" si="3"/>
        <v>1501.424</v>
      </c>
      <c r="V8" s="363">
        <f t="shared" si="3"/>
        <v>2429.7520000000004</v>
      </c>
      <c r="W8" s="363">
        <f t="shared" si="4"/>
        <v>54171.096000000005</v>
      </c>
      <c r="X8" s="363">
        <f t="shared" si="5"/>
        <v>6205.112000000001</v>
      </c>
      <c r="Y8" s="363"/>
      <c r="Z8" s="390"/>
    </row>
    <row r="9" spans="1:26">
      <c r="A9" s="2" t="s">
        <v>81</v>
      </c>
      <c r="B9" s="16">
        <f t="shared" ref="B9:O9" si="9">B79*0.8</f>
        <v>280273.24</v>
      </c>
      <c r="C9" s="16">
        <f t="shared" si="9"/>
        <v>38622.728000000025</v>
      </c>
      <c r="D9" s="16">
        <f t="shared" si="9"/>
        <v>8301.8080000000009</v>
      </c>
      <c r="E9" s="16">
        <f t="shared" si="9"/>
        <v>5451.7439999999988</v>
      </c>
      <c r="F9" s="16">
        <f t="shared" si="9"/>
        <v>181816.63200000001</v>
      </c>
      <c r="G9" s="16">
        <f t="shared" si="9"/>
        <v>3651.9840000000004</v>
      </c>
      <c r="H9" s="16">
        <f t="shared" si="9"/>
        <v>5298.0479999999998</v>
      </c>
      <c r="I9" s="16">
        <f t="shared" si="9"/>
        <v>0</v>
      </c>
      <c r="J9" s="16">
        <f t="shared" si="9"/>
        <v>9047.3200000000015</v>
      </c>
      <c r="K9" s="16">
        <f t="shared" si="9"/>
        <v>347.80799999999999</v>
      </c>
      <c r="L9" s="16">
        <f t="shared" si="9"/>
        <v>0</v>
      </c>
      <c r="M9" s="16">
        <f t="shared" si="9"/>
        <v>0</v>
      </c>
      <c r="N9" s="16">
        <f t="shared" si="9"/>
        <v>707.57600000000002</v>
      </c>
      <c r="O9" s="16">
        <f t="shared" si="9"/>
        <v>0</v>
      </c>
      <c r="P9" s="16">
        <f t="shared" ref="P9:P28" si="10">P79*0.8</f>
        <v>30.592000000000002</v>
      </c>
      <c r="Q9" s="16">
        <f t="shared" si="8"/>
        <v>305.904</v>
      </c>
      <c r="R9" s="8">
        <f t="shared" si="1"/>
        <v>533855.38399999985</v>
      </c>
      <c r="S9" s="363">
        <f t="shared" si="3"/>
        <v>280273.24</v>
      </c>
      <c r="T9" s="363">
        <f t="shared" si="3"/>
        <v>38622.728000000025</v>
      </c>
      <c r="U9" s="363">
        <f t="shared" si="3"/>
        <v>8301.8080000000009</v>
      </c>
      <c r="V9" s="363">
        <f t="shared" si="3"/>
        <v>5451.7439999999988</v>
      </c>
      <c r="W9" s="363">
        <f t="shared" si="4"/>
        <v>185468.61600000001</v>
      </c>
      <c r="X9" s="363">
        <f t="shared" si="5"/>
        <v>15737.248000000005</v>
      </c>
      <c r="Y9" s="363"/>
      <c r="Z9" s="390"/>
    </row>
    <row r="10" spans="1:26">
      <c r="A10" s="2" t="s">
        <v>82</v>
      </c>
      <c r="B10" s="16">
        <f t="shared" ref="B10:O10" si="11">B80*0.8</f>
        <v>201744.71200000003</v>
      </c>
      <c r="C10" s="16">
        <f t="shared" si="11"/>
        <v>26505.079999999984</v>
      </c>
      <c r="D10" s="16">
        <f t="shared" si="11"/>
        <v>3817.8080000000004</v>
      </c>
      <c r="E10" s="16">
        <f t="shared" si="11"/>
        <v>11347.024000000001</v>
      </c>
      <c r="F10" s="16">
        <f t="shared" si="11"/>
        <v>107124.864</v>
      </c>
      <c r="G10" s="16">
        <f t="shared" si="11"/>
        <v>2260.752</v>
      </c>
      <c r="H10" s="16">
        <f t="shared" si="11"/>
        <v>4028.5999999999995</v>
      </c>
      <c r="I10" s="16">
        <f t="shared" si="11"/>
        <v>0</v>
      </c>
      <c r="J10" s="16">
        <f t="shared" si="11"/>
        <v>8146.8640000000005</v>
      </c>
      <c r="K10" s="16">
        <f t="shared" si="11"/>
        <v>608.6640000000001</v>
      </c>
      <c r="L10" s="16">
        <f t="shared" si="11"/>
        <v>0</v>
      </c>
      <c r="M10" s="16">
        <f t="shared" si="11"/>
        <v>0</v>
      </c>
      <c r="N10" s="16">
        <f t="shared" si="11"/>
        <v>405.76</v>
      </c>
      <c r="O10" s="16">
        <f t="shared" si="11"/>
        <v>0</v>
      </c>
      <c r="P10" s="16">
        <f t="shared" si="10"/>
        <v>0</v>
      </c>
      <c r="Q10" s="16">
        <f t="shared" si="8"/>
        <v>0</v>
      </c>
      <c r="R10" s="8">
        <f t="shared" si="1"/>
        <v>365990.12799999997</v>
      </c>
      <c r="S10" s="363">
        <f t="shared" si="3"/>
        <v>201744.71200000003</v>
      </c>
      <c r="T10" s="363">
        <f t="shared" si="3"/>
        <v>26505.079999999984</v>
      </c>
      <c r="U10" s="363">
        <f t="shared" si="3"/>
        <v>3817.8080000000004</v>
      </c>
      <c r="V10" s="363">
        <f t="shared" si="3"/>
        <v>11347.024000000001</v>
      </c>
      <c r="W10" s="363">
        <f t="shared" si="4"/>
        <v>109385.61599999999</v>
      </c>
      <c r="X10" s="363">
        <f t="shared" si="5"/>
        <v>13189.888000000001</v>
      </c>
      <c r="Y10" s="363"/>
      <c r="Z10" s="390"/>
    </row>
    <row r="11" spans="1:26">
      <c r="A11" s="2" t="s">
        <v>83</v>
      </c>
      <c r="B11" s="16">
        <f t="shared" ref="B11:O11" si="12">B81*0.8</f>
        <v>357140.37599999999</v>
      </c>
      <c r="C11" s="16">
        <f t="shared" si="12"/>
        <v>40493.136000000035</v>
      </c>
      <c r="D11" s="16">
        <f t="shared" si="12"/>
        <v>8834.4080000000013</v>
      </c>
      <c r="E11" s="16">
        <f t="shared" si="12"/>
        <v>4019.7280000000001</v>
      </c>
      <c r="F11" s="16">
        <f t="shared" si="12"/>
        <v>118167.768</v>
      </c>
      <c r="G11" s="16">
        <f t="shared" si="12"/>
        <v>4869.3119999999999</v>
      </c>
      <c r="H11" s="16">
        <f t="shared" si="12"/>
        <v>4321.0080000000007</v>
      </c>
      <c r="I11" s="16">
        <f t="shared" si="12"/>
        <v>0</v>
      </c>
      <c r="J11" s="16">
        <f t="shared" si="12"/>
        <v>9105.9120000000003</v>
      </c>
      <c r="K11" s="16">
        <f t="shared" si="12"/>
        <v>608.6640000000001</v>
      </c>
      <c r="L11" s="16">
        <f t="shared" si="12"/>
        <v>0</v>
      </c>
      <c r="M11" s="16">
        <f t="shared" si="12"/>
        <v>304.75200000000001</v>
      </c>
      <c r="N11" s="16">
        <f t="shared" si="12"/>
        <v>583.28000000000009</v>
      </c>
      <c r="O11" s="16">
        <f t="shared" si="12"/>
        <v>0</v>
      </c>
      <c r="P11" s="16">
        <f t="shared" si="10"/>
        <v>0</v>
      </c>
      <c r="Q11" s="16">
        <f t="shared" si="8"/>
        <v>0</v>
      </c>
      <c r="R11" s="8">
        <f t="shared" si="1"/>
        <v>548448.34400000016</v>
      </c>
      <c r="S11" s="363">
        <f t="shared" si="3"/>
        <v>357140.37599999999</v>
      </c>
      <c r="T11" s="363">
        <f t="shared" si="3"/>
        <v>40493.136000000035</v>
      </c>
      <c r="U11" s="363">
        <f t="shared" si="3"/>
        <v>8834.4080000000013</v>
      </c>
      <c r="V11" s="363">
        <f t="shared" si="3"/>
        <v>4019.7280000000001</v>
      </c>
      <c r="W11" s="363">
        <f t="shared" si="4"/>
        <v>123037.08</v>
      </c>
      <c r="X11" s="363">
        <f t="shared" si="5"/>
        <v>14923.616000000004</v>
      </c>
      <c r="Y11" s="363"/>
      <c r="Z11" s="390"/>
    </row>
    <row r="12" spans="1:26">
      <c r="A12" s="2" t="s">
        <v>84</v>
      </c>
      <c r="B12" s="16">
        <f t="shared" ref="B12:O12" si="13">B82*0.8</f>
        <v>333021.90400000004</v>
      </c>
      <c r="C12" s="16">
        <f t="shared" si="13"/>
        <v>29789.40800000001</v>
      </c>
      <c r="D12" s="16">
        <f t="shared" si="13"/>
        <v>9363.6240000000016</v>
      </c>
      <c r="E12" s="16">
        <f t="shared" si="13"/>
        <v>2749.1439999999989</v>
      </c>
      <c r="F12" s="16">
        <f t="shared" si="13"/>
        <v>107385.72</v>
      </c>
      <c r="G12" s="16">
        <f t="shared" si="13"/>
        <v>5825.7839999999997</v>
      </c>
      <c r="H12" s="16">
        <f t="shared" si="13"/>
        <v>3483.2080000000005</v>
      </c>
      <c r="I12" s="16">
        <f t="shared" si="13"/>
        <v>260.85599999999999</v>
      </c>
      <c r="J12" s="16">
        <f t="shared" si="13"/>
        <v>6652.5839999999998</v>
      </c>
      <c r="K12" s="16">
        <f t="shared" si="13"/>
        <v>782.5680000000001</v>
      </c>
      <c r="L12" s="16">
        <f t="shared" si="13"/>
        <v>0</v>
      </c>
      <c r="M12" s="16">
        <f t="shared" si="13"/>
        <v>0</v>
      </c>
      <c r="N12" s="16">
        <f t="shared" si="13"/>
        <v>456.48</v>
      </c>
      <c r="O12" s="16">
        <f t="shared" si="13"/>
        <v>0</v>
      </c>
      <c r="P12" s="16">
        <f t="shared" si="10"/>
        <v>0</v>
      </c>
      <c r="Q12" s="16">
        <f t="shared" si="8"/>
        <v>0</v>
      </c>
      <c r="R12" s="8">
        <f t="shared" si="1"/>
        <v>499771.28</v>
      </c>
      <c r="S12" s="363">
        <f t="shared" si="3"/>
        <v>333021.90400000004</v>
      </c>
      <c r="T12" s="363">
        <f t="shared" si="3"/>
        <v>29789.40800000001</v>
      </c>
      <c r="U12" s="363">
        <f t="shared" si="3"/>
        <v>9363.6240000000016</v>
      </c>
      <c r="V12" s="363">
        <f t="shared" si="3"/>
        <v>2749.1439999999989</v>
      </c>
      <c r="W12" s="363">
        <f t="shared" si="4"/>
        <v>113211.504</v>
      </c>
      <c r="X12" s="363">
        <f t="shared" si="5"/>
        <v>11635.696</v>
      </c>
      <c r="Y12" s="363"/>
      <c r="Z12" s="390"/>
    </row>
    <row r="13" spans="1:26">
      <c r="A13" s="2" t="s">
        <v>85</v>
      </c>
      <c r="B13" s="16">
        <f t="shared" ref="B13:O13" si="14">B83*0.8</f>
        <v>222603.64800000002</v>
      </c>
      <c r="C13" s="16">
        <f t="shared" si="14"/>
        <v>33891.439999999995</v>
      </c>
      <c r="D13" s="16">
        <f t="shared" si="14"/>
        <v>8991.64</v>
      </c>
      <c r="E13" s="16">
        <f t="shared" si="14"/>
        <v>6025.7600000000011</v>
      </c>
      <c r="F13" s="16">
        <f t="shared" si="14"/>
        <v>207989.18400000001</v>
      </c>
      <c r="G13" s="16">
        <f t="shared" si="14"/>
        <v>4434.5520000000006</v>
      </c>
      <c r="H13" s="16">
        <f t="shared" si="14"/>
        <v>3952.7360000000003</v>
      </c>
      <c r="I13" s="16">
        <f t="shared" si="14"/>
        <v>0</v>
      </c>
      <c r="J13" s="16">
        <f t="shared" si="14"/>
        <v>8184.152000000001</v>
      </c>
      <c r="K13" s="16">
        <f t="shared" si="14"/>
        <v>260.85599999999999</v>
      </c>
      <c r="L13" s="16">
        <f t="shared" si="14"/>
        <v>0</v>
      </c>
      <c r="M13" s="16">
        <f t="shared" si="14"/>
        <v>0</v>
      </c>
      <c r="N13" s="16">
        <f t="shared" si="14"/>
        <v>431.12</v>
      </c>
      <c r="O13" s="16">
        <f t="shared" si="14"/>
        <v>0</v>
      </c>
      <c r="P13" s="16">
        <f t="shared" si="10"/>
        <v>0</v>
      </c>
      <c r="Q13" s="16">
        <f t="shared" si="8"/>
        <v>0</v>
      </c>
      <c r="R13" s="8">
        <f t="shared" si="1"/>
        <v>496765.08800000005</v>
      </c>
      <c r="S13" s="363">
        <f t="shared" si="3"/>
        <v>222603.64800000002</v>
      </c>
      <c r="T13" s="363">
        <f t="shared" si="3"/>
        <v>33891.439999999995</v>
      </c>
      <c r="U13" s="363">
        <f t="shared" si="3"/>
        <v>8991.64</v>
      </c>
      <c r="V13" s="363">
        <f t="shared" si="3"/>
        <v>6025.7600000000011</v>
      </c>
      <c r="W13" s="363">
        <f t="shared" si="4"/>
        <v>212423.736</v>
      </c>
      <c r="X13" s="363">
        <f t="shared" si="5"/>
        <v>12828.864000000001</v>
      </c>
      <c r="Y13" s="363"/>
      <c r="Z13" s="390"/>
    </row>
    <row r="14" spans="1:26">
      <c r="A14" s="2" t="s">
        <v>86</v>
      </c>
      <c r="B14" s="16">
        <f t="shared" ref="B14:O14" si="15">B84*0.8</f>
        <v>71154.144</v>
      </c>
      <c r="C14" s="16">
        <f t="shared" si="15"/>
        <v>14842.480000000005</v>
      </c>
      <c r="D14" s="16">
        <f t="shared" si="15"/>
        <v>3229.4240000000004</v>
      </c>
      <c r="E14" s="16">
        <f t="shared" si="15"/>
        <v>2153.5439999999999</v>
      </c>
      <c r="F14" s="16">
        <f t="shared" si="15"/>
        <v>55910.135999999999</v>
      </c>
      <c r="G14" s="16">
        <f t="shared" si="15"/>
        <v>2260.752</v>
      </c>
      <c r="H14" s="16">
        <f t="shared" si="15"/>
        <v>1311.1840000000002</v>
      </c>
      <c r="I14" s="16">
        <f t="shared" si="15"/>
        <v>0</v>
      </c>
      <c r="J14" s="16">
        <f t="shared" si="15"/>
        <v>3427.5680000000002</v>
      </c>
      <c r="K14" s="16">
        <f t="shared" si="15"/>
        <v>347.80799999999999</v>
      </c>
      <c r="L14" s="16">
        <f t="shared" si="15"/>
        <v>0</v>
      </c>
      <c r="M14" s="16">
        <f t="shared" si="15"/>
        <v>0</v>
      </c>
      <c r="N14" s="16">
        <f t="shared" si="15"/>
        <v>50.72</v>
      </c>
      <c r="O14" s="16">
        <f t="shared" si="15"/>
        <v>0</v>
      </c>
      <c r="P14" s="16">
        <f t="shared" si="10"/>
        <v>0</v>
      </c>
      <c r="Q14" s="16">
        <f t="shared" si="8"/>
        <v>0</v>
      </c>
      <c r="R14" s="8">
        <f t="shared" si="1"/>
        <v>154687.76</v>
      </c>
      <c r="S14" s="363">
        <f t="shared" si="3"/>
        <v>71154.144</v>
      </c>
      <c r="T14" s="363">
        <f t="shared" si="3"/>
        <v>14842.480000000005</v>
      </c>
      <c r="U14" s="363">
        <f t="shared" si="3"/>
        <v>3229.4240000000004</v>
      </c>
      <c r="V14" s="363">
        <f t="shared" si="3"/>
        <v>2153.5439999999999</v>
      </c>
      <c r="W14" s="363">
        <f t="shared" si="4"/>
        <v>58170.887999999999</v>
      </c>
      <c r="X14" s="363">
        <f t="shared" si="5"/>
        <v>5137.2800000000007</v>
      </c>
      <c r="Y14" s="363"/>
      <c r="Z14" s="390"/>
    </row>
    <row r="15" spans="1:26">
      <c r="A15" s="2" t="s">
        <v>87</v>
      </c>
      <c r="B15" s="16">
        <f t="shared" ref="B15:O15" si="16">B85*0.8</f>
        <v>143115.24799999999</v>
      </c>
      <c r="C15" s="16">
        <f t="shared" si="16"/>
        <v>18992</v>
      </c>
      <c r="D15" s="16">
        <f t="shared" si="16"/>
        <v>5579.5839999999998</v>
      </c>
      <c r="E15" s="16">
        <f t="shared" si="16"/>
        <v>5913.44</v>
      </c>
      <c r="F15" s="16">
        <f t="shared" si="16"/>
        <v>207641.37600000002</v>
      </c>
      <c r="G15" s="16">
        <f t="shared" si="16"/>
        <v>3043.32</v>
      </c>
      <c r="H15" s="16">
        <f t="shared" si="16"/>
        <v>2441.9919999999997</v>
      </c>
      <c r="I15" s="16">
        <f t="shared" si="16"/>
        <v>0</v>
      </c>
      <c r="J15" s="16">
        <f t="shared" si="16"/>
        <v>4705.2159999999994</v>
      </c>
      <c r="K15" s="16">
        <f t="shared" si="16"/>
        <v>434.76000000000005</v>
      </c>
      <c r="L15" s="16">
        <f t="shared" si="16"/>
        <v>0</v>
      </c>
      <c r="M15" s="16">
        <f t="shared" si="16"/>
        <v>0</v>
      </c>
      <c r="N15" s="16">
        <f t="shared" si="16"/>
        <v>355.04</v>
      </c>
      <c r="O15" s="16">
        <f t="shared" si="16"/>
        <v>0</v>
      </c>
      <c r="P15" s="16">
        <f t="shared" si="10"/>
        <v>0</v>
      </c>
      <c r="Q15" s="16">
        <f t="shared" si="8"/>
        <v>0</v>
      </c>
      <c r="R15" s="8">
        <f t="shared" si="1"/>
        <v>392221.97600000008</v>
      </c>
      <c r="S15" s="363">
        <f t="shared" si="3"/>
        <v>143115.24799999999</v>
      </c>
      <c r="T15" s="363">
        <f t="shared" si="3"/>
        <v>18992</v>
      </c>
      <c r="U15" s="363">
        <f t="shared" si="3"/>
        <v>5579.5839999999998</v>
      </c>
      <c r="V15" s="363">
        <f t="shared" si="3"/>
        <v>5913.44</v>
      </c>
      <c r="W15" s="363">
        <f t="shared" si="4"/>
        <v>210684.69600000003</v>
      </c>
      <c r="X15" s="363">
        <f t="shared" si="5"/>
        <v>7937.0079999999989</v>
      </c>
      <c r="Y15" s="363"/>
      <c r="Z15" s="390"/>
    </row>
    <row r="16" spans="1:26">
      <c r="A16" s="2" t="s">
        <v>88</v>
      </c>
      <c r="B16" s="16">
        <f t="shared" ref="B16:O16" si="17">B86*0.8</f>
        <v>164712.92800000001</v>
      </c>
      <c r="C16" s="16">
        <f t="shared" si="17"/>
        <v>29419.695999999996</v>
      </c>
      <c r="D16" s="16">
        <f t="shared" si="17"/>
        <v>4857.6400000000003</v>
      </c>
      <c r="E16" s="16">
        <f t="shared" si="17"/>
        <v>5558.68</v>
      </c>
      <c r="F16" s="16">
        <f t="shared" si="17"/>
        <v>137992.82399999999</v>
      </c>
      <c r="G16" s="16">
        <f t="shared" si="17"/>
        <v>1828.0560000000003</v>
      </c>
      <c r="H16" s="16">
        <f t="shared" si="17"/>
        <v>4843.1440000000002</v>
      </c>
      <c r="I16" s="16">
        <f t="shared" si="17"/>
        <v>4730.9920000000002</v>
      </c>
      <c r="J16" s="16">
        <f t="shared" si="17"/>
        <v>6593.7280000000001</v>
      </c>
      <c r="K16" s="16">
        <f t="shared" si="17"/>
        <v>173.904</v>
      </c>
      <c r="L16" s="16">
        <f t="shared" si="17"/>
        <v>0</v>
      </c>
      <c r="M16" s="16">
        <f t="shared" si="17"/>
        <v>0</v>
      </c>
      <c r="N16" s="16">
        <f t="shared" si="17"/>
        <v>304.32</v>
      </c>
      <c r="O16" s="16">
        <f t="shared" si="17"/>
        <v>0</v>
      </c>
      <c r="P16" s="16">
        <f t="shared" si="10"/>
        <v>271.08800000000002</v>
      </c>
      <c r="Q16" s="16">
        <f t="shared" si="8"/>
        <v>0</v>
      </c>
      <c r="R16" s="8">
        <f t="shared" si="1"/>
        <v>361287</v>
      </c>
      <c r="S16" s="363">
        <f t="shared" si="3"/>
        <v>164712.92800000001</v>
      </c>
      <c r="T16" s="363">
        <f t="shared" si="3"/>
        <v>29419.695999999996</v>
      </c>
      <c r="U16" s="363">
        <f t="shared" si="3"/>
        <v>4857.6400000000003</v>
      </c>
      <c r="V16" s="363">
        <f t="shared" si="3"/>
        <v>5558.68</v>
      </c>
      <c r="W16" s="363">
        <f t="shared" si="4"/>
        <v>139820.88</v>
      </c>
      <c r="X16" s="363">
        <f t="shared" si="5"/>
        <v>16917.176000000003</v>
      </c>
      <c r="Y16" s="363"/>
      <c r="Z16" s="390"/>
    </row>
    <row r="17" spans="1:26">
      <c r="A17" s="2" t="s">
        <v>89</v>
      </c>
      <c r="B17" s="16">
        <f t="shared" ref="B17:O17" si="18">B87*0.8</f>
        <v>854765.24000000011</v>
      </c>
      <c r="C17" s="16">
        <f t="shared" si="18"/>
        <v>119723.60800000001</v>
      </c>
      <c r="D17" s="16">
        <f t="shared" si="18"/>
        <v>21225.335999999999</v>
      </c>
      <c r="E17" s="16">
        <f t="shared" si="18"/>
        <v>26778.776000000002</v>
      </c>
      <c r="F17" s="16">
        <f t="shared" si="18"/>
        <v>377806.44</v>
      </c>
      <c r="G17" s="16">
        <f t="shared" si="18"/>
        <v>11477.664000000001</v>
      </c>
      <c r="H17" s="16">
        <f t="shared" si="18"/>
        <v>17303.448</v>
      </c>
      <c r="I17" s="16">
        <f t="shared" si="18"/>
        <v>862.5920000000001</v>
      </c>
      <c r="J17" s="16">
        <f t="shared" si="18"/>
        <v>28274.024000000001</v>
      </c>
      <c r="K17" s="16">
        <f t="shared" si="18"/>
        <v>695.61599999999999</v>
      </c>
      <c r="L17" s="16">
        <f t="shared" si="18"/>
        <v>173.904</v>
      </c>
      <c r="M17" s="16">
        <f t="shared" si="18"/>
        <v>0</v>
      </c>
      <c r="N17" s="16">
        <f t="shared" si="18"/>
        <v>1445.5200000000002</v>
      </c>
      <c r="O17" s="16">
        <f t="shared" si="18"/>
        <v>0</v>
      </c>
      <c r="P17" s="16">
        <f t="shared" si="10"/>
        <v>0</v>
      </c>
      <c r="Q17" s="16">
        <f t="shared" si="8"/>
        <v>242.43200000000002</v>
      </c>
      <c r="R17" s="8">
        <f t="shared" si="1"/>
        <v>1460774.6000000003</v>
      </c>
      <c r="S17" s="363">
        <f t="shared" si="3"/>
        <v>854765.24000000011</v>
      </c>
      <c r="T17" s="363">
        <f t="shared" si="3"/>
        <v>119723.60800000001</v>
      </c>
      <c r="U17" s="363">
        <f t="shared" si="3"/>
        <v>21225.335999999999</v>
      </c>
      <c r="V17" s="363">
        <f t="shared" si="3"/>
        <v>26778.776000000002</v>
      </c>
      <c r="W17" s="363">
        <f t="shared" si="4"/>
        <v>389284.10399999999</v>
      </c>
      <c r="X17" s="363">
        <f t="shared" si="5"/>
        <v>48997.536</v>
      </c>
      <c r="Y17" s="363"/>
      <c r="Z17" s="390"/>
    </row>
    <row r="18" spans="1:26">
      <c r="A18" s="2" t="s">
        <v>90</v>
      </c>
      <c r="B18" s="16">
        <f t="shared" ref="B18:O18" si="19">B88*0.8</f>
        <v>101812.25600000001</v>
      </c>
      <c r="C18" s="16">
        <f t="shared" si="19"/>
        <v>21845.207999999984</v>
      </c>
      <c r="D18" s="16">
        <f t="shared" si="19"/>
        <v>3922.36</v>
      </c>
      <c r="E18" s="16">
        <f t="shared" si="19"/>
        <v>2245.7919999999999</v>
      </c>
      <c r="F18" s="16">
        <f t="shared" si="19"/>
        <v>68730.504000000001</v>
      </c>
      <c r="G18" s="16">
        <f t="shared" si="19"/>
        <v>3478.0800000000004</v>
      </c>
      <c r="H18" s="16">
        <f t="shared" si="19"/>
        <v>2584.2400000000002</v>
      </c>
      <c r="I18" s="16">
        <f t="shared" si="19"/>
        <v>0</v>
      </c>
      <c r="J18" s="16">
        <f t="shared" si="19"/>
        <v>4868.04</v>
      </c>
      <c r="K18" s="16">
        <f t="shared" si="19"/>
        <v>1130.376</v>
      </c>
      <c r="L18" s="16">
        <f t="shared" si="19"/>
        <v>0</v>
      </c>
      <c r="M18" s="16">
        <f t="shared" si="19"/>
        <v>0</v>
      </c>
      <c r="N18" s="16">
        <f t="shared" si="19"/>
        <v>481.84</v>
      </c>
      <c r="O18" s="16">
        <f t="shared" si="19"/>
        <v>0</v>
      </c>
      <c r="P18" s="16">
        <f t="shared" si="10"/>
        <v>0</v>
      </c>
      <c r="Q18" s="16">
        <f t="shared" si="8"/>
        <v>0</v>
      </c>
      <c r="R18" s="8">
        <f t="shared" si="1"/>
        <v>211098.69599999997</v>
      </c>
      <c r="S18" s="363">
        <f t="shared" si="3"/>
        <v>101812.25600000001</v>
      </c>
      <c r="T18" s="363">
        <f t="shared" si="3"/>
        <v>21845.207999999984</v>
      </c>
      <c r="U18" s="363">
        <f t="shared" si="3"/>
        <v>3922.36</v>
      </c>
      <c r="V18" s="363">
        <f t="shared" si="3"/>
        <v>2245.7919999999999</v>
      </c>
      <c r="W18" s="363">
        <f t="shared" si="4"/>
        <v>72208.584000000003</v>
      </c>
      <c r="X18" s="363">
        <f t="shared" si="5"/>
        <v>9064.496000000001</v>
      </c>
      <c r="Y18" s="363"/>
      <c r="Z18" s="390"/>
    </row>
    <row r="19" spans="1:26">
      <c r="A19" s="2" t="s">
        <v>91</v>
      </c>
      <c r="B19" s="16">
        <f t="shared" ref="B19:O19" si="20">B89*0.8</f>
        <v>147139.06399999998</v>
      </c>
      <c r="C19" s="16">
        <f t="shared" si="20"/>
        <v>27811.008000000009</v>
      </c>
      <c r="D19" s="16">
        <f t="shared" si="20"/>
        <v>2755.7200000000003</v>
      </c>
      <c r="E19" s="16">
        <f t="shared" si="20"/>
        <v>4714.9039999999995</v>
      </c>
      <c r="F19" s="16">
        <f t="shared" si="20"/>
        <v>73387.487999999998</v>
      </c>
      <c r="G19" s="16">
        <f t="shared" si="20"/>
        <v>3912.8399999999997</v>
      </c>
      <c r="H19" s="16">
        <f t="shared" si="20"/>
        <v>3064.8320000000003</v>
      </c>
      <c r="I19" s="16">
        <f t="shared" si="20"/>
        <v>0</v>
      </c>
      <c r="J19" s="16">
        <f t="shared" si="20"/>
        <v>6557.5440000000008</v>
      </c>
      <c r="K19" s="16">
        <f t="shared" si="20"/>
        <v>173.904</v>
      </c>
      <c r="L19" s="16">
        <f t="shared" si="20"/>
        <v>173.904</v>
      </c>
      <c r="M19" s="16">
        <f t="shared" si="20"/>
        <v>0</v>
      </c>
      <c r="N19" s="16">
        <f t="shared" si="20"/>
        <v>202.88</v>
      </c>
      <c r="O19" s="16">
        <f t="shared" si="20"/>
        <v>0</v>
      </c>
      <c r="P19" s="16">
        <f t="shared" si="10"/>
        <v>0</v>
      </c>
      <c r="Q19" s="16">
        <f t="shared" si="8"/>
        <v>0</v>
      </c>
      <c r="R19" s="8">
        <f t="shared" si="1"/>
        <v>269894.08799999999</v>
      </c>
      <c r="S19" s="363">
        <f t="shared" si="3"/>
        <v>147139.06399999998</v>
      </c>
      <c r="T19" s="363">
        <f t="shared" si="3"/>
        <v>27811.008000000009</v>
      </c>
      <c r="U19" s="363">
        <f t="shared" si="3"/>
        <v>2755.7200000000003</v>
      </c>
      <c r="V19" s="363">
        <f t="shared" si="3"/>
        <v>4714.9039999999995</v>
      </c>
      <c r="W19" s="363">
        <f t="shared" si="4"/>
        <v>77300.327999999994</v>
      </c>
      <c r="X19" s="363">
        <f t="shared" si="5"/>
        <v>10173.064</v>
      </c>
      <c r="Y19" s="363"/>
      <c r="Z19" s="390"/>
    </row>
    <row r="20" spans="1:26">
      <c r="A20" s="2" t="s">
        <v>92</v>
      </c>
      <c r="B20" s="16">
        <f t="shared" ref="B20:O20" si="21">B90*0.8</f>
        <v>791752.32000000007</v>
      </c>
      <c r="C20" s="16">
        <f t="shared" si="21"/>
        <v>110487.46399999998</v>
      </c>
      <c r="D20" s="16">
        <f t="shared" si="21"/>
        <v>22059.760000000002</v>
      </c>
      <c r="E20" s="16">
        <f t="shared" si="21"/>
        <v>23697.528000000002</v>
      </c>
      <c r="F20" s="16">
        <f t="shared" si="21"/>
        <v>490061.47200000001</v>
      </c>
      <c r="G20" s="16">
        <f t="shared" si="21"/>
        <v>9129.9600000000009</v>
      </c>
      <c r="H20" s="16">
        <f t="shared" si="21"/>
        <v>12524.216</v>
      </c>
      <c r="I20" s="16">
        <f t="shared" si="21"/>
        <v>9910.5840000000007</v>
      </c>
      <c r="J20" s="16">
        <f t="shared" si="21"/>
        <v>27239.047999999999</v>
      </c>
      <c r="K20" s="16">
        <f t="shared" si="21"/>
        <v>2347.7040000000002</v>
      </c>
      <c r="L20" s="16">
        <f t="shared" si="21"/>
        <v>521.71199999999999</v>
      </c>
      <c r="M20" s="16">
        <f t="shared" si="21"/>
        <v>0</v>
      </c>
      <c r="N20" s="16">
        <f t="shared" si="21"/>
        <v>1166.5600000000002</v>
      </c>
      <c r="O20" s="16">
        <f t="shared" si="21"/>
        <v>0</v>
      </c>
      <c r="P20" s="16">
        <f t="shared" si="10"/>
        <v>0</v>
      </c>
      <c r="Q20" s="16">
        <f t="shared" si="8"/>
        <v>0</v>
      </c>
      <c r="R20" s="8">
        <f t="shared" si="1"/>
        <v>1500898.328</v>
      </c>
      <c r="S20" s="363">
        <f t="shared" si="3"/>
        <v>791752.32000000007</v>
      </c>
      <c r="T20" s="363">
        <f t="shared" si="3"/>
        <v>110487.46399999998</v>
      </c>
      <c r="U20" s="363">
        <f t="shared" si="3"/>
        <v>22059.760000000002</v>
      </c>
      <c r="V20" s="363">
        <f t="shared" si="3"/>
        <v>23697.528000000002</v>
      </c>
      <c r="W20" s="363">
        <f t="shared" si="4"/>
        <v>499191.43200000003</v>
      </c>
      <c r="X20" s="363">
        <f t="shared" si="5"/>
        <v>53709.823999999993</v>
      </c>
      <c r="Y20" s="363"/>
      <c r="Z20" s="390"/>
    </row>
    <row r="21" spans="1:26">
      <c r="A21" s="2" t="s">
        <v>93</v>
      </c>
      <c r="B21" s="16">
        <f t="shared" ref="B21:O21" si="22">B91*0.8</f>
        <v>270845.27999999997</v>
      </c>
      <c r="C21" s="16">
        <f t="shared" si="22"/>
        <v>50809.495999999999</v>
      </c>
      <c r="D21" s="16">
        <f t="shared" si="22"/>
        <v>7924.7360000000008</v>
      </c>
      <c r="E21" s="16">
        <f t="shared" si="22"/>
        <v>5938.3999999999987</v>
      </c>
      <c r="F21" s="16">
        <f t="shared" si="22"/>
        <v>132167.04000000001</v>
      </c>
      <c r="G21" s="16">
        <f t="shared" si="22"/>
        <v>6086.64</v>
      </c>
      <c r="H21" s="16">
        <f t="shared" si="22"/>
        <v>5154.5440000000008</v>
      </c>
      <c r="I21" s="16">
        <f t="shared" si="22"/>
        <v>3595.5360000000001</v>
      </c>
      <c r="J21" s="16">
        <f t="shared" si="22"/>
        <v>11791.016000000001</v>
      </c>
      <c r="K21" s="16">
        <f t="shared" si="22"/>
        <v>347.80799999999999</v>
      </c>
      <c r="L21" s="16">
        <f t="shared" si="22"/>
        <v>0</v>
      </c>
      <c r="M21" s="16">
        <f t="shared" si="22"/>
        <v>0</v>
      </c>
      <c r="N21" s="16">
        <f t="shared" si="22"/>
        <v>557.91999999999996</v>
      </c>
      <c r="O21" s="16">
        <f t="shared" si="22"/>
        <v>0</v>
      </c>
      <c r="P21" s="16">
        <f t="shared" si="10"/>
        <v>0</v>
      </c>
      <c r="Q21" s="16">
        <f t="shared" si="8"/>
        <v>0</v>
      </c>
      <c r="R21" s="8">
        <f t="shared" si="1"/>
        <v>495218.41599999997</v>
      </c>
      <c r="S21" s="363">
        <f t="shared" si="3"/>
        <v>270845.27999999997</v>
      </c>
      <c r="T21" s="363">
        <f t="shared" si="3"/>
        <v>50809.495999999999</v>
      </c>
      <c r="U21" s="363">
        <f t="shared" si="3"/>
        <v>7924.7360000000008</v>
      </c>
      <c r="V21" s="363">
        <f t="shared" si="3"/>
        <v>5938.3999999999987</v>
      </c>
      <c r="W21" s="363">
        <f t="shared" si="4"/>
        <v>138253.68000000002</v>
      </c>
      <c r="X21" s="363">
        <f t="shared" si="5"/>
        <v>21446.824000000004</v>
      </c>
      <c r="Y21" s="363"/>
      <c r="Z21" s="390"/>
    </row>
    <row r="22" spans="1:26">
      <c r="A22" s="2" t="s">
        <v>94</v>
      </c>
      <c r="B22" s="16">
        <f t="shared" ref="B22:O22" si="23">B92*0.8</f>
        <v>74255.528000000006</v>
      </c>
      <c r="C22" s="16">
        <f t="shared" si="23"/>
        <v>5731.8799999999937</v>
      </c>
      <c r="D22" s="16">
        <f t="shared" si="23"/>
        <v>1947.7919999999999</v>
      </c>
      <c r="E22" s="16">
        <f t="shared" si="23"/>
        <v>1226.7600000000002</v>
      </c>
      <c r="F22" s="16">
        <f t="shared" si="23"/>
        <v>38163.336000000003</v>
      </c>
      <c r="G22" s="16">
        <f t="shared" si="23"/>
        <v>1999.896</v>
      </c>
      <c r="H22" s="16">
        <f t="shared" si="23"/>
        <v>537.096</v>
      </c>
      <c r="I22" s="16">
        <f t="shared" si="23"/>
        <v>0</v>
      </c>
      <c r="J22" s="16">
        <f t="shared" si="23"/>
        <v>1348.0160000000001</v>
      </c>
      <c r="K22" s="16">
        <f t="shared" si="23"/>
        <v>0</v>
      </c>
      <c r="L22" s="16">
        <f t="shared" si="23"/>
        <v>0</v>
      </c>
      <c r="M22" s="16">
        <f t="shared" si="23"/>
        <v>0</v>
      </c>
      <c r="N22" s="16">
        <f t="shared" si="23"/>
        <v>50.72</v>
      </c>
      <c r="O22" s="16">
        <f t="shared" si="23"/>
        <v>0</v>
      </c>
      <c r="P22" s="16">
        <f t="shared" si="10"/>
        <v>0</v>
      </c>
      <c r="Q22" s="16">
        <f t="shared" si="8"/>
        <v>0</v>
      </c>
      <c r="R22" s="8">
        <f t="shared" si="1"/>
        <v>125261.024</v>
      </c>
      <c r="S22" s="363">
        <f t="shared" si="3"/>
        <v>74255.528000000006</v>
      </c>
      <c r="T22" s="363">
        <f t="shared" si="3"/>
        <v>5731.8799999999937</v>
      </c>
      <c r="U22" s="363">
        <f t="shared" si="3"/>
        <v>1947.7919999999999</v>
      </c>
      <c r="V22" s="363">
        <f t="shared" si="3"/>
        <v>1226.7600000000002</v>
      </c>
      <c r="W22" s="363">
        <f t="shared" si="4"/>
        <v>40163.232000000004</v>
      </c>
      <c r="X22" s="363">
        <f t="shared" si="5"/>
        <v>1935.8320000000001</v>
      </c>
      <c r="Y22" s="363"/>
      <c r="Z22" s="390"/>
    </row>
    <row r="23" spans="1:26">
      <c r="A23" s="2" t="s">
        <v>95</v>
      </c>
      <c r="B23" s="16">
        <f t="shared" ref="B23:O23" si="24">B93*0.8</f>
        <v>867383.56799999997</v>
      </c>
      <c r="C23" s="16">
        <f t="shared" si="24"/>
        <v>97922.192000000185</v>
      </c>
      <c r="D23" s="16">
        <f t="shared" si="24"/>
        <v>37906.800000000003</v>
      </c>
      <c r="E23" s="16">
        <f t="shared" si="24"/>
        <v>23268.800000000003</v>
      </c>
      <c r="F23" s="16">
        <f t="shared" si="24"/>
        <v>440926.03200000006</v>
      </c>
      <c r="G23" s="16">
        <f t="shared" si="24"/>
        <v>14781.84</v>
      </c>
      <c r="H23" s="16">
        <f t="shared" si="24"/>
        <v>12025.272000000003</v>
      </c>
      <c r="I23" s="16">
        <f t="shared" si="24"/>
        <v>4857.7280000000001</v>
      </c>
      <c r="J23" s="16">
        <f t="shared" si="24"/>
        <v>23569.200000000001</v>
      </c>
      <c r="K23" s="16">
        <f t="shared" si="24"/>
        <v>1730.4480000000001</v>
      </c>
      <c r="L23" s="16">
        <f t="shared" si="24"/>
        <v>0</v>
      </c>
      <c r="M23" s="16">
        <f t="shared" si="24"/>
        <v>0</v>
      </c>
      <c r="N23" s="16">
        <f t="shared" si="24"/>
        <v>2023.7919999999999</v>
      </c>
      <c r="O23" s="16">
        <f t="shared" si="24"/>
        <v>0</v>
      </c>
      <c r="P23" s="16">
        <f t="shared" si="10"/>
        <v>0</v>
      </c>
      <c r="Q23" s="16">
        <f t="shared" si="8"/>
        <v>0</v>
      </c>
      <c r="R23" s="8">
        <f t="shared" si="1"/>
        <v>1526395.6720000003</v>
      </c>
      <c r="S23" s="363">
        <f t="shared" si="3"/>
        <v>867383.56799999997</v>
      </c>
      <c r="T23" s="363">
        <f t="shared" si="3"/>
        <v>97922.192000000185</v>
      </c>
      <c r="U23" s="363">
        <f t="shared" si="3"/>
        <v>37906.800000000003</v>
      </c>
      <c r="V23" s="363">
        <f t="shared" si="3"/>
        <v>23268.800000000003</v>
      </c>
      <c r="W23" s="363">
        <f t="shared" si="4"/>
        <v>455707.87200000009</v>
      </c>
      <c r="X23" s="363">
        <f t="shared" si="5"/>
        <v>44206.44</v>
      </c>
      <c r="Y23" s="363"/>
      <c r="Z23" s="390"/>
    </row>
    <row r="24" spans="1:26">
      <c r="A24" s="2" t="s">
        <v>96</v>
      </c>
      <c r="B24" s="16">
        <f t="shared" ref="B24:O24" si="25">B94*0.8</f>
        <v>108622.96799999999</v>
      </c>
      <c r="C24" s="16">
        <f t="shared" si="25"/>
        <v>21988.11199999999</v>
      </c>
      <c r="D24" s="16">
        <f t="shared" si="25"/>
        <v>1846.3520000000001</v>
      </c>
      <c r="E24" s="16">
        <f t="shared" si="25"/>
        <v>2038.0640000000003</v>
      </c>
      <c r="F24" s="16">
        <f t="shared" si="25"/>
        <v>66866.088000000003</v>
      </c>
      <c r="G24" s="16">
        <f t="shared" si="25"/>
        <v>2695.5120000000002</v>
      </c>
      <c r="H24" s="16">
        <f t="shared" si="25"/>
        <v>2415.0079999999998</v>
      </c>
      <c r="I24" s="16">
        <f t="shared" si="25"/>
        <v>260.85599999999999</v>
      </c>
      <c r="J24" s="16">
        <f t="shared" si="25"/>
        <v>4738.3440000000001</v>
      </c>
      <c r="K24" s="16">
        <f t="shared" si="25"/>
        <v>260.85599999999999</v>
      </c>
      <c r="L24" s="16">
        <f t="shared" si="25"/>
        <v>0</v>
      </c>
      <c r="M24" s="16">
        <f t="shared" si="25"/>
        <v>0</v>
      </c>
      <c r="N24" s="16">
        <f t="shared" si="25"/>
        <v>329.68000000000006</v>
      </c>
      <c r="O24" s="16">
        <f t="shared" si="25"/>
        <v>0</v>
      </c>
      <c r="P24" s="16">
        <f t="shared" si="10"/>
        <v>0</v>
      </c>
      <c r="Q24" s="16">
        <f t="shared" si="8"/>
        <v>0</v>
      </c>
      <c r="R24" s="8">
        <f t="shared" si="1"/>
        <v>212061.84000000003</v>
      </c>
      <c r="S24" s="363">
        <f t="shared" si="3"/>
        <v>108622.96799999999</v>
      </c>
      <c r="T24" s="363">
        <f t="shared" si="3"/>
        <v>21988.11199999999</v>
      </c>
      <c r="U24" s="363">
        <f t="shared" si="3"/>
        <v>1846.3520000000001</v>
      </c>
      <c r="V24" s="363">
        <f t="shared" si="3"/>
        <v>2038.0640000000003</v>
      </c>
      <c r="W24" s="363">
        <f t="shared" si="4"/>
        <v>69561.600000000006</v>
      </c>
      <c r="X24" s="363">
        <f t="shared" si="5"/>
        <v>8004.7439999999997</v>
      </c>
      <c r="Y24" s="363"/>
      <c r="Z24" s="390"/>
    </row>
    <row r="25" spans="1:26">
      <c r="A25" s="2" t="s">
        <v>97</v>
      </c>
      <c r="B25" s="16">
        <f t="shared" ref="B25:O25" si="26">B95*0.8</f>
        <v>970484.2080000001</v>
      </c>
      <c r="C25" s="16">
        <f t="shared" si="26"/>
        <v>120469.47200000007</v>
      </c>
      <c r="D25" s="16">
        <f t="shared" si="26"/>
        <v>26247.736000000001</v>
      </c>
      <c r="E25" s="16">
        <f t="shared" si="26"/>
        <v>35195.887999999999</v>
      </c>
      <c r="F25" s="16">
        <f t="shared" si="26"/>
        <v>662826.50400000007</v>
      </c>
      <c r="G25" s="16">
        <f t="shared" si="26"/>
        <v>9999.48</v>
      </c>
      <c r="H25" s="16">
        <f t="shared" si="26"/>
        <v>19599.184000000001</v>
      </c>
      <c r="I25" s="16">
        <f t="shared" si="26"/>
        <v>0</v>
      </c>
      <c r="J25" s="16">
        <f t="shared" si="26"/>
        <v>32618.968000000001</v>
      </c>
      <c r="K25" s="16">
        <f t="shared" si="26"/>
        <v>1478.1840000000002</v>
      </c>
      <c r="L25" s="16">
        <f t="shared" si="26"/>
        <v>173.904</v>
      </c>
      <c r="M25" s="16">
        <f t="shared" si="26"/>
        <v>280.23200000000003</v>
      </c>
      <c r="N25" s="16">
        <f t="shared" si="26"/>
        <v>1037.2560000000001</v>
      </c>
      <c r="O25" s="16">
        <f t="shared" si="26"/>
        <v>0</v>
      </c>
      <c r="P25" s="16">
        <f t="shared" si="10"/>
        <v>0</v>
      </c>
      <c r="Q25" s="16">
        <f t="shared" si="8"/>
        <v>0</v>
      </c>
      <c r="R25" s="8">
        <f t="shared" si="1"/>
        <v>1880411.0160000003</v>
      </c>
      <c r="S25" s="363">
        <f t="shared" si="3"/>
        <v>970484.2080000001</v>
      </c>
      <c r="T25" s="363">
        <f t="shared" si="3"/>
        <v>120469.47200000007</v>
      </c>
      <c r="U25" s="363">
        <f t="shared" si="3"/>
        <v>26247.736000000001</v>
      </c>
      <c r="V25" s="363">
        <f t="shared" si="3"/>
        <v>35195.887999999999</v>
      </c>
      <c r="W25" s="363">
        <f t="shared" si="4"/>
        <v>672825.98400000005</v>
      </c>
      <c r="X25" s="363">
        <f t="shared" si="5"/>
        <v>55187.72800000001</v>
      </c>
      <c r="Y25" s="363"/>
      <c r="Z25" s="390"/>
    </row>
    <row r="26" spans="1:26">
      <c r="A26" s="2" t="s">
        <v>98</v>
      </c>
      <c r="B26" s="16">
        <f t="shared" ref="B26:O26" si="27">B96*0.8</f>
        <v>44577.128000000004</v>
      </c>
      <c r="C26" s="16">
        <f t="shared" si="27"/>
        <v>10929.864000000001</v>
      </c>
      <c r="D26" s="16">
        <f t="shared" si="27"/>
        <v>1673.8880000000001</v>
      </c>
      <c r="E26" s="16">
        <f t="shared" si="27"/>
        <v>3411.5519999999992</v>
      </c>
      <c r="F26" s="16">
        <f t="shared" si="27"/>
        <v>55214.52</v>
      </c>
      <c r="G26" s="16">
        <f t="shared" si="27"/>
        <v>1217.3280000000002</v>
      </c>
      <c r="H26" s="16">
        <f t="shared" si="27"/>
        <v>1242.5360000000001</v>
      </c>
      <c r="I26" s="16">
        <f t="shared" si="27"/>
        <v>0</v>
      </c>
      <c r="J26" s="16">
        <f t="shared" si="27"/>
        <v>2956.84</v>
      </c>
      <c r="K26" s="16">
        <f t="shared" si="27"/>
        <v>347.80799999999999</v>
      </c>
      <c r="L26" s="16">
        <f t="shared" si="27"/>
        <v>0</v>
      </c>
      <c r="M26" s="16">
        <f t="shared" si="27"/>
        <v>0</v>
      </c>
      <c r="N26" s="16">
        <f t="shared" si="27"/>
        <v>152.16</v>
      </c>
      <c r="O26" s="16">
        <f t="shared" si="27"/>
        <v>0</v>
      </c>
      <c r="P26" s="16">
        <f t="shared" si="10"/>
        <v>395.8</v>
      </c>
      <c r="Q26" s="16">
        <f t="shared" si="8"/>
        <v>19.920000000000002</v>
      </c>
      <c r="R26" s="8">
        <f t="shared" si="1"/>
        <v>122139.344</v>
      </c>
      <c r="S26" s="363">
        <f t="shared" si="3"/>
        <v>44577.128000000004</v>
      </c>
      <c r="T26" s="363">
        <f t="shared" si="3"/>
        <v>10929.864000000001</v>
      </c>
      <c r="U26" s="363">
        <f t="shared" si="3"/>
        <v>1673.8880000000001</v>
      </c>
      <c r="V26" s="363">
        <f t="shared" si="3"/>
        <v>3411.5519999999992</v>
      </c>
      <c r="W26" s="363">
        <f t="shared" si="4"/>
        <v>56431.847999999998</v>
      </c>
      <c r="X26" s="363">
        <f t="shared" si="5"/>
        <v>5115.0640000000003</v>
      </c>
      <c r="Y26" s="363"/>
      <c r="Z26" s="390"/>
    </row>
    <row r="27" spans="1:26">
      <c r="A27" s="2" t="s">
        <v>99</v>
      </c>
      <c r="B27" s="16">
        <f t="shared" ref="B27:O27" si="28">B97*0.8</f>
        <v>11839.824000000001</v>
      </c>
      <c r="C27" s="16">
        <f t="shared" si="28"/>
        <v>4241.9999999999991</v>
      </c>
      <c r="D27" s="16">
        <f t="shared" si="28"/>
        <v>439.608</v>
      </c>
      <c r="E27" s="16">
        <f t="shared" si="28"/>
        <v>678.072</v>
      </c>
      <c r="F27" s="16">
        <f t="shared" si="28"/>
        <v>12868.896000000001</v>
      </c>
      <c r="G27" s="16">
        <f t="shared" si="28"/>
        <v>434.76000000000005</v>
      </c>
      <c r="H27" s="16">
        <f t="shared" si="28"/>
        <v>308.77600000000001</v>
      </c>
      <c r="I27" s="16">
        <f t="shared" si="28"/>
        <v>0</v>
      </c>
      <c r="J27" s="16">
        <f t="shared" si="28"/>
        <v>995.82400000000007</v>
      </c>
      <c r="K27" s="16">
        <f t="shared" si="28"/>
        <v>86.951999999999998</v>
      </c>
      <c r="L27" s="16">
        <f t="shared" si="28"/>
        <v>0</v>
      </c>
      <c r="M27" s="16">
        <f t="shared" si="28"/>
        <v>0</v>
      </c>
      <c r="N27" s="16">
        <f t="shared" si="28"/>
        <v>50.72</v>
      </c>
      <c r="O27" s="16">
        <f t="shared" si="28"/>
        <v>0</v>
      </c>
      <c r="P27" s="16">
        <f t="shared" si="10"/>
        <v>0</v>
      </c>
      <c r="Q27" s="16">
        <f t="shared" si="8"/>
        <v>0</v>
      </c>
      <c r="R27" s="8">
        <f t="shared" si="1"/>
        <v>31945.432000000004</v>
      </c>
      <c r="S27" s="363">
        <f t="shared" si="3"/>
        <v>11839.824000000001</v>
      </c>
      <c r="T27" s="363">
        <f t="shared" si="3"/>
        <v>4241.9999999999991</v>
      </c>
      <c r="U27" s="363">
        <f t="shared" si="3"/>
        <v>439.608</v>
      </c>
      <c r="V27" s="363">
        <f t="shared" si="3"/>
        <v>678.072</v>
      </c>
      <c r="W27" s="363">
        <f t="shared" si="4"/>
        <v>13303.656000000001</v>
      </c>
      <c r="X27" s="363">
        <f t="shared" si="5"/>
        <v>1442.2720000000002</v>
      </c>
      <c r="Y27" s="363"/>
      <c r="Z27" s="390"/>
    </row>
    <row r="28" spans="1:26">
      <c r="A28" s="2" t="s">
        <v>100</v>
      </c>
      <c r="B28" s="16">
        <f t="shared" ref="B28:O28" si="29">B98*0.8</f>
        <v>692159.32000000007</v>
      </c>
      <c r="C28" s="16">
        <f t="shared" si="29"/>
        <v>106951.984</v>
      </c>
      <c r="D28" s="16">
        <f t="shared" si="29"/>
        <v>20401.960000000003</v>
      </c>
      <c r="E28" s="16">
        <f t="shared" si="29"/>
        <v>28650.312000000002</v>
      </c>
      <c r="F28" s="16">
        <f t="shared" si="29"/>
        <v>397788.21600000001</v>
      </c>
      <c r="G28" s="16">
        <f t="shared" si="29"/>
        <v>5130.1680000000006</v>
      </c>
      <c r="H28" s="16">
        <f t="shared" si="29"/>
        <v>19728.864000000001</v>
      </c>
      <c r="I28" s="16">
        <f t="shared" si="29"/>
        <v>0</v>
      </c>
      <c r="J28" s="16">
        <f t="shared" si="29"/>
        <v>28073.240000000005</v>
      </c>
      <c r="K28" s="16">
        <f t="shared" si="29"/>
        <v>260.85599999999999</v>
      </c>
      <c r="L28" s="16">
        <f t="shared" si="29"/>
        <v>0</v>
      </c>
      <c r="M28" s="16">
        <f t="shared" si="29"/>
        <v>0</v>
      </c>
      <c r="N28" s="16">
        <f t="shared" si="29"/>
        <v>1268</v>
      </c>
      <c r="O28" s="16">
        <f t="shared" si="29"/>
        <v>0</v>
      </c>
      <c r="P28" s="16">
        <f t="shared" si="10"/>
        <v>0</v>
      </c>
      <c r="Q28" s="16">
        <f t="shared" si="8"/>
        <v>0</v>
      </c>
      <c r="R28" s="8">
        <f t="shared" si="1"/>
        <v>1300412.92</v>
      </c>
      <c r="S28" s="363">
        <f t="shared" si="3"/>
        <v>692159.32000000007</v>
      </c>
      <c r="T28" s="363">
        <f t="shared" si="3"/>
        <v>106951.984</v>
      </c>
      <c r="U28" s="363">
        <f t="shared" si="3"/>
        <v>20401.960000000003</v>
      </c>
      <c r="V28" s="363">
        <f t="shared" si="3"/>
        <v>28650.312000000002</v>
      </c>
      <c r="W28" s="363">
        <f t="shared" si="4"/>
        <v>402918.38400000002</v>
      </c>
      <c r="X28" s="363">
        <f t="shared" si="5"/>
        <v>49330.960000000006</v>
      </c>
      <c r="Y28" s="363"/>
      <c r="Z28" s="390"/>
    </row>
    <row r="29" spans="1:26">
      <c r="A29" s="2" t="s">
        <v>101</v>
      </c>
      <c r="B29" s="16">
        <f t="shared" ref="B29:O29" si="30">B99*0.8</f>
        <v>3320795.6960000005</v>
      </c>
      <c r="C29" s="16">
        <f t="shared" si="30"/>
        <v>513328.43200000003</v>
      </c>
      <c r="D29" s="16">
        <f t="shared" si="30"/>
        <v>100539.39200000001</v>
      </c>
      <c r="E29" s="16">
        <f t="shared" si="30"/>
        <v>80940.640000000014</v>
      </c>
      <c r="F29" s="16">
        <f t="shared" si="30"/>
        <v>2240102.9280000003</v>
      </c>
      <c r="G29" s="16">
        <f t="shared" si="30"/>
        <v>39997.919999999998</v>
      </c>
      <c r="H29" s="16">
        <f t="shared" si="30"/>
        <v>96187.808000000005</v>
      </c>
      <c r="I29" s="16">
        <f t="shared" si="30"/>
        <v>1542.672</v>
      </c>
      <c r="J29" s="16">
        <f t="shared" si="30"/>
        <v>119765.32800000001</v>
      </c>
      <c r="K29" s="16">
        <f t="shared" si="30"/>
        <v>9129.9600000000009</v>
      </c>
      <c r="L29" s="16">
        <f t="shared" si="30"/>
        <v>695.61599999999999</v>
      </c>
      <c r="M29" s="16">
        <f t="shared" si="30"/>
        <v>0</v>
      </c>
      <c r="N29" s="16">
        <f t="shared" si="30"/>
        <v>7504.0560000000005</v>
      </c>
      <c r="O29" s="16">
        <f t="shared" si="30"/>
        <v>0</v>
      </c>
      <c r="P29" s="16">
        <f>P99</f>
        <v>760</v>
      </c>
      <c r="Q29" s="16">
        <f>Q99</f>
        <v>14669.66</v>
      </c>
      <c r="R29" s="8">
        <f t="shared" si="1"/>
        <v>6545960.1080000019</v>
      </c>
      <c r="S29" s="363">
        <f t="shared" si="3"/>
        <v>3320795.6960000005</v>
      </c>
      <c r="T29" s="363">
        <f t="shared" si="3"/>
        <v>513328.43200000003</v>
      </c>
      <c r="U29" s="363">
        <f t="shared" si="3"/>
        <v>100539.39200000001</v>
      </c>
      <c r="V29" s="363">
        <f t="shared" si="3"/>
        <v>80940.640000000014</v>
      </c>
      <c r="W29" s="363">
        <f t="shared" si="4"/>
        <v>2280100.8480000002</v>
      </c>
      <c r="X29" s="363">
        <f t="shared" si="5"/>
        <v>250255.10000000003</v>
      </c>
      <c r="Y29" s="363"/>
      <c r="Z29" s="390"/>
    </row>
    <row r="30" spans="1:26">
      <c r="A30" s="2" t="s">
        <v>102</v>
      </c>
      <c r="B30" s="16">
        <f t="shared" ref="B30:O30" si="31">B100*0.8</f>
        <v>62505.52</v>
      </c>
      <c r="C30" s="16">
        <f t="shared" si="31"/>
        <v>18528.352000000014</v>
      </c>
      <c r="D30" s="16">
        <f t="shared" si="31"/>
        <v>1274.856</v>
      </c>
      <c r="E30" s="16">
        <f t="shared" si="31"/>
        <v>773.58399999999983</v>
      </c>
      <c r="F30" s="16">
        <f t="shared" si="31"/>
        <v>58162.296000000002</v>
      </c>
      <c r="G30" s="16">
        <f t="shared" si="31"/>
        <v>1130.376</v>
      </c>
      <c r="H30" s="16">
        <f t="shared" si="31"/>
        <v>1730.1759999999999</v>
      </c>
      <c r="I30" s="16">
        <f t="shared" si="31"/>
        <v>0</v>
      </c>
      <c r="J30" s="16">
        <f t="shared" si="31"/>
        <v>2399.7200000000003</v>
      </c>
      <c r="K30" s="16">
        <f t="shared" si="31"/>
        <v>521.71199999999999</v>
      </c>
      <c r="L30" s="16">
        <f t="shared" si="31"/>
        <v>0</v>
      </c>
      <c r="M30" s="16">
        <f t="shared" si="31"/>
        <v>0</v>
      </c>
      <c r="N30" s="16">
        <f t="shared" si="31"/>
        <v>50.72</v>
      </c>
      <c r="O30" s="16">
        <f t="shared" si="31"/>
        <v>0</v>
      </c>
      <c r="P30" s="16">
        <f>P100*0.8</f>
        <v>0</v>
      </c>
      <c r="Q30" s="16">
        <f>Q100*0.8</f>
        <v>314.28800000000001</v>
      </c>
      <c r="R30" s="8">
        <f t="shared" si="1"/>
        <v>147391.6</v>
      </c>
      <c r="S30" s="363">
        <f t="shared" si="3"/>
        <v>62505.52</v>
      </c>
      <c r="T30" s="363">
        <f t="shared" si="3"/>
        <v>18528.352000000014</v>
      </c>
      <c r="U30" s="363">
        <f t="shared" si="3"/>
        <v>1274.856</v>
      </c>
      <c r="V30" s="363">
        <f t="shared" si="3"/>
        <v>773.58399999999983</v>
      </c>
      <c r="W30" s="363">
        <f t="shared" si="4"/>
        <v>59292.671999999999</v>
      </c>
      <c r="X30" s="363">
        <f t="shared" si="5"/>
        <v>5016.616</v>
      </c>
      <c r="Y30" s="363"/>
      <c r="Z30" s="390"/>
    </row>
    <row r="31" spans="1:26">
      <c r="A31" s="2" t="s">
        <v>103</v>
      </c>
      <c r="B31" s="16">
        <f t="shared" ref="B31:N31" si="32">B101*0.8</f>
        <v>35064.384000000005</v>
      </c>
      <c r="C31" s="16">
        <f t="shared" si="32"/>
        <v>5992.0079999999962</v>
      </c>
      <c r="D31" s="16">
        <f t="shared" si="32"/>
        <v>869.06399999999996</v>
      </c>
      <c r="E31" s="16">
        <f t="shared" si="32"/>
        <v>3496.4320000000002</v>
      </c>
      <c r="F31" s="16">
        <f t="shared" si="32"/>
        <v>32346.144</v>
      </c>
      <c r="G31" s="16">
        <f t="shared" si="32"/>
        <v>1043.4240000000002</v>
      </c>
      <c r="H31" s="16">
        <f t="shared" si="32"/>
        <v>904.71999999999991</v>
      </c>
      <c r="I31" s="16">
        <f t="shared" si="32"/>
        <v>0</v>
      </c>
      <c r="J31" s="16">
        <f t="shared" si="32"/>
        <v>1942.664</v>
      </c>
      <c r="K31" s="16">
        <f t="shared" si="32"/>
        <v>434.76000000000005</v>
      </c>
      <c r="L31" s="16">
        <f t="shared" si="32"/>
        <v>0</v>
      </c>
      <c r="M31" s="16">
        <f t="shared" si="32"/>
        <v>0</v>
      </c>
      <c r="N31" s="16">
        <f t="shared" si="32"/>
        <v>50.72</v>
      </c>
      <c r="O31" s="16">
        <f>Y31</f>
        <v>0</v>
      </c>
      <c r="P31" s="16">
        <f>P101*0.8</f>
        <v>0</v>
      </c>
      <c r="Q31" s="16">
        <f>Q101*0.8</f>
        <v>0</v>
      </c>
      <c r="R31" s="8">
        <f t="shared" si="1"/>
        <v>82144.320000000007</v>
      </c>
      <c r="S31" s="363">
        <f t="shared" si="3"/>
        <v>35064.384000000005</v>
      </c>
      <c r="T31" s="363">
        <f t="shared" si="3"/>
        <v>5992.0079999999962</v>
      </c>
      <c r="U31" s="363">
        <f t="shared" si="3"/>
        <v>869.06399999999996</v>
      </c>
      <c r="V31" s="363">
        <f t="shared" si="3"/>
        <v>3496.4320000000002</v>
      </c>
      <c r="W31" s="363">
        <f t="shared" si="4"/>
        <v>33389.567999999999</v>
      </c>
      <c r="X31" s="363">
        <f t="shared" si="5"/>
        <v>3332.864</v>
      </c>
      <c r="Y31" s="363"/>
      <c r="Z31" s="390"/>
    </row>
    <row r="32" spans="1:26">
      <c r="A32" s="4" t="s">
        <v>37</v>
      </c>
      <c r="B32" s="5">
        <f t="shared" ref="B32:X32" si="33">SUM(B5:B31)</f>
        <v>10338358.007999999</v>
      </c>
      <c r="C32" s="5">
        <f t="shared" si="33"/>
        <v>1519660.9280000001</v>
      </c>
      <c r="D32" s="5">
        <f t="shared" si="33"/>
        <v>310603.71200000012</v>
      </c>
      <c r="E32" s="5">
        <f t="shared" si="33"/>
        <v>292433.26399999997</v>
      </c>
      <c r="F32" s="5">
        <f t="shared" si="33"/>
        <v>6423649.3200000012</v>
      </c>
      <c r="G32" s="5">
        <f t="shared" si="33"/>
        <v>147211.79999999999</v>
      </c>
      <c r="H32" s="5">
        <f t="shared" si="33"/>
        <v>230410.76</v>
      </c>
      <c r="I32" s="5">
        <f t="shared" si="33"/>
        <v>27274.543999999998</v>
      </c>
      <c r="J32" s="5">
        <f t="shared" si="33"/>
        <v>363689.20799999998</v>
      </c>
      <c r="K32" s="5">
        <f t="shared" si="33"/>
        <v>23729.304</v>
      </c>
      <c r="L32" s="5">
        <f t="shared" si="33"/>
        <v>1739.04</v>
      </c>
      <c r="M32" s="5">
        <f t="shared" si="33"/>
        <v>1880.184</v>
      </c>
      <c r="N32" s="5">
        <f t="shared" si="33"/>
        <v>19996.520000000004</v>
      </c>
      <c r="O32" s="5">
        <f t="shared" si="33"/>
        <v>0</v>
      </c>
      <c r="P32" s="5">
        <f t="shared" si="33"/>
        <v>1457.48</v>
      </c>
      <c r="Q32" s="5">
        <f t="shared" si="33"/>
        <v>15552.204</v>
      </c>
      <c r="R32" s="5">
        <f t="shared" si="33"/>
        <v>19717646.276000008</v>
      </c>
      <c r="S32" s="363">
        <f t="shared" si="33"/>
        <v>10338358.007999999</v>
      </c>
      <c r="T32" s="363">
        <f t="shared" si="33"/>
        <v>1519660.9280000001</v>
      </c>
      <c r="U32" s="363">
        <f t="shared" si="33"/>
        <v>310603.71200000012</v>
      </c>
      <c r="V32" s="363">
        <f t="shared" si="33"/>
        <v>292433.26399999997</v>
      </c>
      <c r="W32" s="363">
        <f t="shared" si="33"/>
        <v>6570861.120000001</v>
      </c>
      <c r="X32" s="363">
        <f t="shared" si="33"/>
        <v>685729.24400000018</v>
      </c>
      <c r="Y32" s="363"/>
      <c r="Z32" s="390"/>
    </row>
    <row r="33" spans="1:26">
      <c r="A33" s="351" t="s">
        <v>48</v>
      </c>
      <c r="B33" s="352"/>
      <c r="C33" s="353"/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3"/>
      <c r="Q33" s="353"/>
      <c r="R33" s="352"/>
      <c r="Y33" s="363"/>
    </row>
    <row r="34" spans="1:26">
      <c r="A34" s="364"/>
      <c r="B34" s="521"/>
      <c r="C34" s="521"/>
      <c r="D34" s="521"/>
      <c r="E34" s="521"/>
      <c r="F34" s="521"/>
      <c r="G34" s="521"/>
      <c r="H34" s="521"/>
      <c r="I34" s="521"/>
      <c r="J34" s="521"/>
      <c r="K34" s="521"/>
      <c r="L34" s="521"/>
      <c r="M34" s="521"/>
      <c r="N34" s="521"/>
      <c r="O34" s="365"/>
      <c r="P34" s="365"/>
      <c r="Q34" s="365"/>
      <c r="R34" s="366"/>
    </row>
    <row r="35" spans="1:26">
      <c r="A35" s="358"/>
      <c r="B35" s="358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60"/>
    </row>
    <row r="36" spans="1:26">
      <c r="A36" s="367"/>
      <c r="B36" s="367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9"/>
    </row>
    <row r="37" spans="1:26" ht="46.5">
      <c r="A37" s="837" t="s">
        <v>56</v>
      </c>
      <c r="B37" s="838"/>
      <c r="C37" s="838"/>
      <c r="D37" s="838"/>
      <c r="E37" s="838"/>
      <c r="F37" s="838"/>
      <c r="G37" s="838"/>
      <c r="H37" s="838"/>
      <c r="I37" s="838"/>
      <c r="J37" s="838"/>
      <c r="K37" s="838"/>
      <c r="L37" s="838"/>
      <c r="M37" s="838"/>
      <c r="N37" s="838"/>
      <c r="O37" s="838"/>
      <c r="P37" s="838"/>
      <c r="Q37" s="838"/>
      <c r="R37" s="839"/>
    </row>
    <row r="38" spans="1:26" ht="35.1" customHeight="1">
      <c r="A38" s="835" t="s">
        <v>33</v>
      </c>
      <c r="B38" s="833" t="s">
        <v>27</v>
      </c>
      <c r="C38" s="834"/>
      <c r="D38" s="833" t="s">
        <v>29</v>
      </c>
      <c r="E38" s="834"/>
      <c r="F38" s="835" t="s">
        <v>28</v>
      </c>
      <c r="G38" s="835" t="s">
        <v>36</v>
      </c>
      <c r="H38" s="835" t="s">
        <v>30</v>
      </c>
      <c r="I38" s="835" t="s">
        <v>31</v>
      </c>
      <c r="J38" s="835" t="s">
        <v>41</v>
      </c>
      <c r="K38" s="835" t="s">
        <v>35</v>
      </c>
      <c r="L38" s="835" t="s">
        <v>40</v>
      </c>
      <c r="M38" s="835" t="s">
        <v>42</v>
      </c>
      <c r="N38" s="835" t="s">
        <v>45</v>
      </c>
      <c r="O38" s="835" t="s">
        <v>279</v>
      </c>
      <c r="P38" s="833" t="s">
        <v>49</v>
      </c>
      <c r="Q38" s="834"/>
      <c r="R38" s="835" t="s">
        <v>34</v>
      </c>
    </row>
    <row r="39" spans="1:26" ht="35.1" customHeight="1">
      <c r="A39" s="836"/>
      <c r="B39" s="361" t="s">
        <v>43</v>
      </c>
      <c r="C39" s="361" t="s">
        <v>44</v>
      </c>
      <c r="D39" s="361" t="s">
        <v>43</v>
      </c>
      <c r="E39" s="361" t="s">
        <v>44</v>
      </c>
      <c r="F39" s="836"/>
      <c r="G39" s="836"/>
      <c r="H39" s="836"/>
      <c r="I39" s="836"/>
      <c r="J39" s="836"/>
      <c r="K39" s="836"/>
      <c r="L39" s="836"/>
      <c r="M39" s="836"/>
      <c r="N39" s="836"/>
      <c r="O39" s="836"/>
      <c r="P39" s="362" t="s">
        <v>50</v>
      </c>
      <c r="Q39" s="362" t="s">
        <v>51</v>
      </c>
      <c r="R39" s="836"/>
      <c r="S39" s="372" t="s">
        <v>173</v>
      </c>
      <c r="T39" s="372" t="s">
        <v>291</v>
      </c>
      <c r="U39" s="372" t="s">
        <v>174</v>
      </c>
      <c r="V39" s="372" t="s">
        <v>292</v>
      </c>
      <c r="W39" s="372" t="s">
        <v>28</v>
      </c>
      <c r="X39" s="372" t="s">
        <v>175</v>
      </c>
      <c r="Y39" s="726"/>
    </row>
    <row r="40" spans="1:26">
      <c r="A40" s="2" t="s">
        <v>77</v>
      </c>
      <c r="B40" s="16">
        <f t="shared" ref="B40:Q55" si="34">B75*0.2</f>
        <v>5295.652</v>
      </c>
      <c r="C40" s="16">
        <f t="shared" si="34"/>
        <v>2982.58</v>
      </c>
      <c r="D40" s="16">
        <f t="shared" si="34"/>
        <v>304.34399999999999</v>
      </c>
      <c r="E40" s="16">
        <f t="shared" si="34"/>
        <v>178.42000000000004</v>
      </c>
      <c r="F40" s="16">
        <f t="shared" si="34"/>
        <v>4080.6779999999999</v>
      </c>
      <c r="G40" s="16">
        <f t="shared" si="34"/>
        <v>108.69000000000001</v>
      </c>
      <c r="H40" s="16">
        <f t="shared" si="34"/>
        <v>225.768</v>
      </c>
      <c r="I40" s="16">
        <f t="shared" si="34"/>
        <v>0</v>
      </c>
      <c r="J40" s="16">
        <f t="shared" si="34"/>
        <v>666.72800000000007</v>
      </c>
      <c r="K40" s="16">
        <f t="shared" si="34"/>
        <v>0</v>
      </c>
      <c r="L40" s="16">
        <f t="shared" si="34"/>
        <v>0</v>
      </c>
      <c r="M40" s="16">
        <f t="shared" si="34"/>
        <v>0</v>
      </c>
      <c r="N40" s="16">
        <f t="shared" si="34"/>
        <v>19.02</v>
      </c>
      <c r="O40" s="16">
        <f t="shared" si="34"/>
        <v>0</v>
      </c>
      <c r="P40" s="16">
        <f t="shared" si="34"/>
        <v>0</v>
      </c>
      <c r="Q40" s="16">
        <f t="shared" si="34"/>
        <v>0</v>
      </c>
      <c r="R40" s="8">
        <f t="shared" ref="R40:R66" si="35">SUM(B40:Q40)</f>
        <v>13861.880000000001</v>
      </c>
      <c r="S40" s="363">
        <f>B40</f>
        <v>5295.652</v>
      </c>
      <c r="T40" s="363">
        <f>C40</f>
        <v>2982.58</v>
      </c>
      <c r="U40" s="363">
        <f>D40</f>
        <v>304.34399999999999</v>
      </c>
      <c r="V40" s="363">
        <f>E40</f>
        <v>178.42000000000004</v>
      </c>
      <c r="W40" s="363">
        <f>F40+G40</f>
        <v>4189.3679999999995</v>
      </c>
      <c r="X40" s="363">
        <f>SUM(H40:Q40)</f>
        <v>911.51600000000008</v>
      </c>
      <c r="Z40" s="390"/>
    </row>
    <row r="41" spans="1:26">
      <c r="A41" s="2" t="s">
        <v>78</v>
      </c>
      <c r="B41" s="16">
        <f t="shared" ref="B41:Q41" si="36">B76*0.2</f>
        <v>27713.703999999998</v>
      </c>
      <c r="C41" s="16">
        <f t="shared" si="36"/>
        <v>4808.801999999996</v>
      </c>
      <c r="D41" s="16">
        <f t="shared" si="36"/>
        <v>547.39600000000007</v>
      </c>
      <c r="E41" s="16">
        <f t="shared" si="36"/>
        <v>93.864000000000033</v>
      </c>
      <c r="F41" s="16">
        <f t="shared" si="36"/>
        <v>15949.248000000001</v>
      </c>
      <c r="G41" s="16">
        <f t="shared" si="36"/>
        <v>847.78200000000004</v>
      </c>
      <c r="H41" s="16">
        <f t="shared" si="36"/>
        <v>592.93600000000004</v>
      </c>
      <c r="I41" s="16">
        <f t="shared" si="36"/>
        <v>0</v>
      </c>
      <c r="J41" s="16">
        <f t="shared" si="36"/>
        <v>766.154</v>
      </c>
      <c r="K41" s="16">
        <f t="shared" si="36"/>
        <v>86.951999999999998</v>
      </c>
      <c r="L41" s="16">
        <f t="shared" si="36"/>
        <v>0</v>
      </c>
      <c r="M41" s="16">
        <f t="shared" si="36"/>
        <v>0</v>
      </c>
      <c r="N41" s="16">
        <f t="shared" si="36"/>
        <v>25.36</v>
      </c>
      <c r="O41" s="16">
        <f t="shared" si="34"/>
        <v>0</v>
      </c>
      <c r="P41" s="16">
        <f t="shared" si="36"/>
        <v>0</v>
      </c>
      <c r="Q41" s="16">
        <f t="shared" si="36"/>
        <v>0</v>
      </c>
      <c r="R41" s="8">
        <f t="shared" si="35"/>
        <v>51432.197999999997</v>
      </c>
      <c r="S41" s="363">
        <f t="shared" ref="S41:V66" si="37">B41</f>
        <v>27713.703999999998</v>
      </c>
      <c r="T41" s="363">
        <f t="shared" si="37"/>
        <v>4808.801999999996</v>
      </c>
      <c r="U41" s="363">
        <f t="shared" si="37"/>
        <v>547.39600000000007</v>
      </c>
      <c r="V41" s="363">
        <f t="shared" si="37"/>
        <v>93.864000000000033</v>
      </c>
      <c r="W41" s="363">
        <f t="shared" ref="W41:W66" si="38">F41+G41</f>
        <v>16797.030000000002</v>
      </c>
      <c r="X41" s="363">
        <f t="shared" ref="X41:X66" si="39">SUM(H41:Q41)</f>
        <v>1471.402</v>
      </c>
      <c r="Z41" s="390"/>
    </row>
    <row r="42" spans="1:26">
      <c r="A42" s="2" t="s">
        <v>79</v>
      </c>
      <c r="B42" s="16">
        <f t="shared" ref="B42:Q42" si="40">B77*0.2</f>
        <v>5544.982</v>
      </c>
      <c r="C42" s="16">
        <f t="shared" si="40"/>
        <v>1508.7719999999995</v>
      </c>
      <c r="D42" s="16">
        <f t="shared" si="40"/>
        <v>421.00800000000004</v>
      </c>
      <c r="E42" s="16">
        <f t="shared" si="40"/>
        <v>659.95200000000011</v>
      </c>
      <c r="F42" s="16">
        <f t="shared" si="40"/>
        <v>4847.5739999999996</v>
      </c>
      <c r="G42" s="16">
        <f t="shared" si="40"/>
        <v>304.33200000000005</v>
      </c>
      <c r="H42" s="16">
        <f t="shared" si="40"/>
        <v>147.684</v>
      </c>
      <c r="I42" s="16">
        <f t="shared" si="40"/>
        <v>313.18200000000002</v>
      </c>
      <c r="J42" s="16">
        <f t="shared" si="40"/>
        <v>453.73199999999997</v>
      </c>
      <c r="K42" s="16">
        <f t="shared" si="40"/>
        <v>195.64200000000002</v>
      </c>
      <c r="L42" s="16">
        <f t="shared" si="40"/>
        <v>0</v>
      </c>
      <c r="M42" s="16">
        <f t="shared" si="40"/>
        <v>0</v>
      </c>
      <c r="N42" s="16">
        <f t="shared" si="40"/>
        <v>6.34</v>
      </c>
      <c r="O42" s="16">
        <f t="shared" si="34"/>
        <v>0</v>
      </c>
      <c r="P42" s="16">
        <f t="shared" si="40"/>
        <v>0</v>
      </c>
      <c r="Q42" s="16">
        <f t="shared" si="40"/>
        <v>0</v>
      </c>
      <c r="R42" s="8">
        <f t="shared" si="35"/>
        <v>14403.199999999999</v>
      </c>
      <c r="S42" s="363">
        <f t="shared" si="37"/>
        <v>5544.982</v>
      </c>
      <c r="T42" s="363">
        <f t="shared" si="37"/>
        <v>1508.7719999999995</v>
      </c>
      <c r="U42" s="363">
        <f t="shared" si="37"/>
        <v>421.00800000000004</v>
      </c>
      <c r="V42" s="363">
        <f t="shared" si="37"/>
        <v>659.95200000000011</v>
      </c>
      <c r="W42" s="363">
        <f t="shared" si="38"/>
        <v>5151.9059999999999</v>
      </c>
      <c r="X42" s="363">
        <f t="shared" si="39"/>
        <v>1116.58</v>
      </c>
      <c r="Z42" s="390"/>
    </row>
    <row r="43" spans="1:26">
      <c r="A43" s="2" t="s">
        <v>80</v>
      </c>
      <c r="B43" s="16">
        <f t="shared" ref="B43:N43" si="41">B78*0.2</f>
        <v>14093.038</v>
      </c>
      <c r="C43" s="16">
        <f t="shared" si="41"/>
        <v>3285.8160000000007</v>
      </c>
      <c r="D43" s="16">
        <f t="shared" si="41"/>
        <v>375.35599999999999</v>
      </c>
      <c r="E43" s="16">
        <f t="shared" si="41"/>
        <v>607.4380000000001</v>
      </c>
      <c r="F43" s="16">
        <f t="shared" si="41"/>
        <v>13173.228000000001</v>
      </c>
      <c r="G43" s="16">
        <f t="shared" si="41"/>
        <v>369.54600000000005</v>
      </c>
      <c r="H43" s="16">
        <f t="shared" si="41"/>
        <v>388.64200000000005</v>
      </c>
      <c r="I43" s="16">
        <f t="shared" si="41"/>
        <v>0</v>
      </c>
      <c r="J43" s="16">
        <f t="shared" si="41"/>
        <v>785.39800000000014</v>
      </c>
      <c r="K43" s="16">
        <f t="shared" si="41"/>
        <v>21.738</v>
      </c>
      <c r="L43" s="16">
        <f t="shared" si="41"/>
        <v>0</v>
      </c>
      <c r="M43" s="16">
        <f t="shared" si="41"/>
        <v>323.8</v>
      </c>
      <c r="N43" s="16">
        <f t="shared" si="41"/>
        <v>31.700000000000003</v>
      </c>
      <c r="O43" s="16">
        <f t="shared" si="34"/>
        <v>0</v>
      </c>
      <c r="P43" s="16">
        <v>0</v>
      </c>
      <c r="Q43" s="16">
        <v>0</v>
      </c>
      <c r="R43" s="8">
        <f t="shared" si="35"/>
        <v>33455.699999999997</v>
      </c>
      <c r="S43" s="363">
        <f t="shared" si="37"/>
        <v>14093.038</v>
      </c>
      <c r="T43" s="363">
        <f t="shared" si="37"/>
        <v>3285.8160000000007</v>
      </c>
      <c r="U43" s="363">
        <f t="shared" si="37"/>
        <v>375.35599999999999</v>
      </c>
      <c r="V43" s="363">
        <f t="shared" si="37"/>
        <v>607.4380000000001</v>
      </c>
      <c r="W43" s="363">
        <f t="shared" si="38"/>
        <v>13542.774000000001</v>
      </c>
      <c r="X43" s="363">
        <f t="shared" si="39"/>
        <v>1551.2780000000002</v>
      </c>
      <c r="Z43" s="390"/>
    </row>
    <row r="44" spans="1:26">
      <c r="A44" s="2" t="s">
        <v>81</v>
      </c>
      <c r="B44" s="16">
        <f t="shared" ref="B44:N44" si="42">B79*0.2</f>
        <v>70068.31</v>
      </c>
      <c r="C44" s="16">
        <f t="shared" si="42"/>
        <v>9655.6820000000062</v>
      </c>
      <c r="D44" s="16">
        <f t="shared" si="42"/>
        <v>2075.4520000000002</v>
      </c>
      <c r="E44" s="16">
        <f t="shared" si="42"/>
        <v>1362.9359999999997</v>
      </c>
      <c r="F44" s="16">
        <f t="shared" si="42"/>
        <v>45454.158000000003</v>
      </c>
      <c r="G44" s="16">
        <f t="shared" si="42"/>
        <v>912.99600000000009</v>
      </c>
      <c r="H44" s="16">
        <f t="shared" si="42"/>
        <v>1324.5119999999999</v>
      </c>
      <c r="I44" s="16">
        <f t="shared" si="42"/>
        <v>0</v>
      </c>
      <c r="J44" s="16">
        <f t="shared" si="42"/>
        <v>2261.8300000000004</v>
      </c>
      <c r="K44" s="16">
        <f t="shared" si="42"/>
        <v>86.951999999999998</v>
      </c>
      <c r="L44" s="16">
        <f t="shared" si="42"/>
        <v>0</v>
      </c>
      <c r="M44" s="16">
        <f t="shared" si="42"/>
        <v>0</v>
      </c>
      <c r="N44" s="16">
        <f t="shared" si="42"/>
        <v>176.89400000000001</v>
      </c>
      <c r="O44" s="16">
        <f t="shared" si="34"/>
        <v>0</v>
      </c>
      <c r="P44" s="16">
        <f t="shared" ref="P44:Q56" si="43">P79*0.2</f>
        <v>7.6480000000000006</v>
      </c>
      <c r="Q44" s="16">
        <f t="shared" si="43"/>
        <v>76.475999999999999</v>
      </c>
      <c r="R44" s="8">
        <f t="shared" si="35"/>
        <v>133463.84599999996</v>
      </c>
      <c r="S44" s="363">
        <f t="shared" si="37"/>
        <v>70068.31</v>
      </c>
      <c r="T44" s="363">
        <f t="shared" si="37"/>
        <v>9655.6820000000062</v>
      </c>
      <c r="U44" s="363">
        <f t="shared" si="37"/>
        <v>2075.4520000000002</v>
      </c>
      <c r="V44" s="363">
        <f t="shared" si="37"/>
        <v>1362.9359999999997</v>
      </c>
      <c r="W44" s="363">
        <f t="shared" si="38"/>
        <v>46367.154000000002</v>
      </c>
      <c r="X44" s="363">
        <f t="shared" si="39"/>
        <v>3934.3120000000013</v>
      </c>
      <c r="Z44" s="390"/>
    </row>
    <row r="45" spans="1:26">
      <c r="A45" s="2" t="s">
        <v>82</v>
      </c>
      <c r="B45" s="16">
        <f t="shared" ref="B45:N45" si="44">B80*0.2</f>
        <v>50436.178000000007</v>
      </c>
      <c r="C45" s="16">
        <f t="shared" si="44"/>
        <v>6626.2699999999959</v>
      </c>
      <c r="D45" s="16">
        <f t="shared" si="44"/>
        <v>954.45200000000011</v>
      </c>
      <c r="E45" s="16">
        <f t="shared" si="44"/>
        <v>2836.7560000000003</v>
      </c>
      <c r="F45" s="16">
        <f t="shared" si="44"/>
        <v>26781.216</v>
      </c>
      <c r="G45" s="16">
        <f t="shared" si="44"/>
        <v>565.18799999999999</v>
      </c>
      <c r="H45" s="16">
        <f t="shared" si="44"/>
        <v>1007.1499999999999</v>
      </c>
      <c r="I45" s="16">
        <f t="shared" si="44"/>
        <v>0</v>
      </c>
      <c r="J45" s="16">
        <f t="shared" si="44"/>
        <v>2036.7160000000001</v>
      </c>
      <c r="K45" s="16">
        <f t="shared" si="44"/>
        <v>152.16600000000003</v>
      </c>
      <c r="L45" s="16">
        <f t="shared" si="44"/>
        <v>0</v>
      </c>
      <c r="M45" s="16">
        <f t="shared" si="44"/>
        <v>0</v>
      </c>
      <c r="N45" s="16">
        <f t="shared" si="44"/>
        <v>101.44</v>
      </c>
      <c r="O45" s="16">
        <f t="shared" si="34"/>
        <v>0</v>
      </c>
      <c r="P45" s="16">
        <f t="shared" si="43"/>
        <v>0</v>
      </c>
      <c r="Q45" s="16">
        <f t="shared" si="43"/>
        <v>0</v>
      </c>
      <c r="R45" s="8">
        <f t="shared" si="35"/>
        <v>91497.531999999992</v>
      </c>
      <c r="S45" s="363">
        <f t="shared" si="37"/>
        <v>50436.178000000007</v>
      </c>
      <c r="T45" s="363">
        <f t="shared" si="37"/>
        <v>6626.2699999999959</v>
      </c>
      <c r="U45" s="363">
        <f t="shared" si="37"/>
        <v>954.45200000000011</v>
      </c>
      <c r="V45" s="363">
        <f t="shared" si="37"/>
        <v>2836.7560000000003</v>
      </c>
      <c r="W45" s="363">
        <f t="shared" si="38"/>
        <v>27346.403999999999</v>
      </c>
      <c r="X45" s="363">
        <f t="shared" si="39"/>
        <v>3297.4720000000002</v>
      </c>
      <c r="Z45" s="390"/>
    </row>
    <row r="46" spans="1:26">
      <c r="A46" s="2" t="s">
        <v>83</v>
      </c>
      <c r="B46" s="16">
        <f t="shared" ref="B46:N46" si="45">B81*0.2</f>
        <v>89285.093999999997</v>
      </c>
      <c r="C46" s="16">
        <f t="shared" si="45"/>
        <v>10123.284000000009</v>
      </c>
      <c r="D46" s="16">
        <f t="shared" si="45"/>
        <v>2208.6020000000003</v>
      </c>
      <c r="E46" s="16">
        <f t="shared" si="45"/>
        <v>1004.932</v>
      </c>
      <c r="F46" s="16">
        <f t="shared" si="45"/>
        <v>29541.941999999999</v>
      </c>
      <c r="G46" s="16">
        <f t="shared" si="45"/>
        <v>1217.328</v>
      </c>
      <c r="H46" s="16">
        <f t="shared" si="45"/>
        <v>1080.2520000000002</v>
      </c>
      <c r="I46" s="16">
        <f t="shared" si="45"/>
        <v>0</v>
      </c>
      <c r="J46" s="16">
        <f t="shared" si="45"/>
        <v>2276.4780000000001</v>
      </c>
      <c r="K46" s="16">
        <f t="shared" si="45"/>
        <v>152.16600000000003</v>
      </c>
      <c r="L46" s="16">
        <f t="shared" si="45"/>
        <v>0</v>
      </c>
      <c r="M46" s="16">
        <f t="shared" si="45"/>
        <v>76.188000000000002</v>
      </c>
      <c r="N46" s="16">
        <f t="shared" si="45"/>
        <v>145.82000000000002</v>
      </c>
      <c r="O46" s="16">
        <f t="shared" si="34"/>
        <v>0</v>
      </c>
      <c r="P46" s="16">
        <f t="shared" si="43"/>
        <v>0</v>
      </c>
      <c r="Q46" s="16">
        <f t="shared" si="43"/>
        <v>0</v>
      </c>
      <c r="R46" s="8">
        <f t="shared" si="35"/>
        <v>137112.08600000004</v>
      </c>
      <c r="S46" s="363">
        <f t="shared" si="37"/>
        <v>89285.093999999997</v>
      </c>
      <c r="T46" s="363">
        <f t="shared" si="37"/>
        <v>10123.284000000009</v>
      </c>
      <c r="U46" s="363">
        <f t="shared" si="37"/>
        <v>2208.6020000000003</v>
      </c>
      <c r="V46" s="363">
        <f t="shared" si="37"/>
        <v>1004.932</v>
      </c>
      <c r="W46" s="363">
        <f t="shared" si="38"/>
        <v>30759.27</v>
      </c>
      <c r="X46" s="363">
        <f t="shared" si="39"/>
        <v>3730.9040000000009</v>
      </c>
      <c r="Z46" s="390"/>
    </row>
    <row r="47" spans="1:26">
      <c r="A47" s="2" t="s">
        <v>84</v>
      </c>
      <c r="B47" s="16">
        <f t="shared" ref="B47:N47" si="46">B82*0.2</f>
        <v>83255.47600000001</v>
      </c>
      <c r="C47" s="16">
        <f t="shared" si="46"/>
        <v>7447.3520000000026</v>
      </c>
      <c r="D47" s="16">
        <f t="shared" si="46"/>
        <v>2340.9060000000004</v>
      </c>
      <c r="E47" s="16">
        <f t="shared" si="46"/>
        <v>687.28599999999972</v>
      </c>
      <c r="F47" s="16">
        <f t="shared" si="46"/>
        <v>26846.43</v>
      </c>
      <c r="G47" s="16">
        <f t="shared" si="46"/>
        <v>1456.4459999999999</v>
      </c>
      <c r="H47" s="16">
        <f t="shared" si="46"/>
        <v>870.80200000000013</v>
      </c>
      <c r="I47" s="16">
        <f t="shared" si="46"/>
        <v>65.213999999999999</v>
      </c>
      <c r="J47" s="16">
        <f t="shared" si="46"/>
        <v>1663.146</v>
      </c>
      <c r="K47" s="16">
        <f t="shared" si="46"/>
        <v>195.64200000000002</v>
      </c>
      <c r="L47" s="16">
        <f t="shared" si="46"/>
        <v>0</v>
      </c>
      <c r="M47" s="16">
        <f t="shared" si="46"/>
        <v>0</v>
      </c>
      <c r="N47" s="16">
        <f t="shared" si="46"/>
        <v>114.12</v>
      </c>
      <c r="O47" s="16">
        <f t="shared" si="34"/>
        <v>0</v>
      </c>
      <c r="P47" s="16">
        <f t="shared" si="43"/>
        <v>0</v>
      </c>
      <c r="Q47" s="16">
        <f t="shared" si="43"/>
        <v>0</v>
      </c>
      <c r="R47" s="8">
        <f t="shared" si="35"/>
        <v>124942.82</v>
      </c>
      <c r="S47" s="363">
        <f t="shared" si="37"/>
        <v>83255.47600000001</v>
      </c>
      <c r="T47" s="363">
        <f t="shared" si="37"/>
        <v>7447.3520000000026</v>
      </c>
      <c r="U47" s="363">
        <f t="shared" si="37"/>
        <v>2340.9060000000004</v>
      </c>
      <c r="V47" s="363">
        <f t="shared" si="37"/>
        <v>687.28599999999972</v>
      </c>
      <c r="W47" s="363">
        <f t="shared" si="38"/>
        <v>28302.876</v>
      </c>
      <c r="X47" s="363">
        <f t="shared" si="39"/>
        <v>2908.924</v>
      </c>
      <c r="Z47" s="390"/>
    </row>
    <row r="48" spans="1:26">
      <c r="A48" s="2" t="s">
        <v>85</v>
      </c>
      <c r="B48" s="16">
        <f t="shared" ref="B48:N48" si="47">B83*0.2</f>
        <v>55650.912000000004</v>
      </c>
      <c r="C48" s="16">
        <f t="shared" si="47"/>
        <v>8472.8599999999988</v>
      </c>
      <c r="D48" s="16">
        <f t="shared" si="47"/>
        <v>2247.91</v>
      </c>
      <c r="E48" s="16">
        <f t="shared" si="47"/>
        <v>1506.4400000000003</v>
      </c>
      <c r="F48" s="16">
        <f t="shared" si="47"/>
        <v>51997.296000000002</v>
      </c>
      <c r="G48" s="16">
        <f t="shared" si="47"/>
        <v>1108.6380000000001</v>
      </c>
      <c r="H48" s="16">
        <f t="shared" si="47"/>
        <v>988.18400000000008</v>
      </c>
      <c r="I48" s="16">
        <f t="shared" si="47"/>
        <v>0</v>
      </c>
      <c r="J48" s="16">
        <f t="shared" si="47"/>
        <v>2046.0380000000002</v>
      </c>
      <c r="K48" s="16">
        <f t="shared" si="47"/>
        <v>65.213999999999999</v>
      </c>
      <c r="L48" s="16">
        <f t="shared" si="47"/>
        <v>0</v>
      </c>
      <c r="M48" s="16">
        <f t="shared" si="47"/>
        <v>0</v>
      </c>
      <c r="N48" s="16">
        <f t="shared" si="47"/>
        <v>107.78</v>
      </c>
      <c r="O48" s="16">
        <f t="shared" si="34"/>
        <v>0</v>
      </c>
      <c r="P48" s="16">
        <f t="shared" si="43"/>
        <v>0</v>
      </c>
      <c r="Q48" s="16">
        <f t="shared" si="43"/>
        <v>0</v>
      </c>
      <c r="R48" s="8">
        <f t="shared" si="35"/>
        <v>124191.27200000001</v>
      </c>
      <c r="S48" s="363">
        <f t="shared" si="37"/>
        <v>55650.912000000004</v>
      </c>
      <c r="T48" s="363">
        <f t="shared" si="37"/>
        <v>8472.8599999999988</v>
      </c>
      <c r="U48" s="363">
        <f t="shared" si="37"/>
        <v>2247.91</v>
      </c>
      <c r="V48" s="363">
        <f t="shared" si="37"/>
        <v>1506.4400000000003</v>
      </c>
      <c r="W48" s="363">
        <f t="shared" si="38"/>
        <v>53105.934000000001</v>
      </c>
      <c r="X48" s="363">
        <f t="shared" si="39"/>
        <v>3207.2160000000003</v>
      </c>
      <c r="Z48" s="390"/>
    </row>
    <row r="49" spans="1:26">
      <c r="A49" s="2" t="s">
        <v>86</v>
      </c>
      <c r="B49" s="16">
        <f t="shared" ref="B49:N49" si="48">B84*0.2</f>
        <v>17788.536</v>
      </c>
      <c r="C49" s="16">
        <f t="shared" si="48"/>
        <v>3710.6200000000013</v>
      </c>
      <c r="D49" s="16">
        <f t="shared" si="48"/>
        <v>807.35600000000011</v>
      </c>
      <c r="E49" s="16">
        <f t="shared" si="48"/>
        <v>538.38599999999997</v>
      </c>
      <c r="F49" s="16">
        <f t="shared" si="48"/>
        <v>13977.534</v>
      </c>
      <c r="G49" s="16">
        <f t="shared" si="48"/>
        <v>565.18799999999999</v>
      </c>
      <c r="H49" s="16">
        <f t="shared" si="48"/>
        <v>327.79600000000005</v>
      </c>
      <c r="I49" s="16">
        <f t="shared" si="48"/>
        <v>0</v>
      </c>
      <c r="J49" s="16">
        <f t="shared" si="48"/>
        <v>856.89200000000005</v>
      </c>
      <c r="K49" s="16">
        <f t="shared" si="48"/>
        <v>86.951999999999998</v>
      </c>
      <c r="L49" s="16">
        <f t="shared" si="48"/>
        <v>0</v>
      </c>
      <c r="M49" s="16">
        <f t="shared" si="48"/>
        <v>0</v>
      </c>
      <c r="N49" s="16">
        <f t="shared" si="48"/>
        <v>12.68</v>
      </c>
      <c r="O49" s="16">
        <f t="shared" si="34"/>
        <v>0</v>
      </c>
      <c r="P49" s="16">
        <f t="shared" si="43"/>
        <v>0</v>
      </c>
      <c r="Q49" s="16">
        <f t="shared" si="43"/>
        <v>0</v>
      </c>
      <c r="R49" s="8">
        <f t="shared" si="35"/>
        <v>38671.94</v>
      </c>
      <c r="S49" s="363">
        <f t="shared" si="37"/>
        <v>17788.536</v>
      </c>
      <c r="T49" s="363">
        <f t="shared" si="37"/>
        <v>3710.6200000000013</v>
      </c>
      <c r="U49" s="363">
        <f t="shared" si="37"/>
        <v>807.35600000000011</v>
      </c>
      <c r="V49" s="363">
        <f t="shared" si="37"/>
        <v>538.38599999999997</v>
      </c>
      <c r="W49" s="363">
        <f t="shared" si="38"/>
        <v>14542.722</v>
      </c>
      <c r="X49" s="363">
        <f t="shared" si="39"/>
        <v>1284.3200000000002</v>
      </c>
      <c r="Z49" s="390"/>
    </row>
    <row r="50" spans="1:26">
      <c r="A50" s="2" t="s">
        <v>87</v>
      </c>
      <c r="B50" s="16">
        <f t="shared" ref="B50:N50" si="49">B85*0.2</f>
        <v>35778.811999999998</v>
      </c>
      <c r="C50" s="16">
        <f t="shared" si="49"/>
        <v>4748</v>
      </c>
      <c r="D50" s="16">
        <f t="shared" si="49"/>
        <v>1394.896</v>
      </c>
      <c r="E50" s="16">
        <f t="shared" si="49"/>
        <v>1478.36</v>
      </c>
      <c r="F50" s="16">
        <f t="shared" si="49"/>
        <v>51910.344000000005</v>
      </c>
      <c r="G50" s="16">
        <f t="shared" si="49"/>
        <v>760.83</v>
      </c>
      <c r="H50" s="16">
        <f t="shared" si="49"/>
        <v>610.49799999999993</v>
      </c>
      <c r="I50" s="16">
        <f t="shared" si="49"/>
        <v>0</v>
      </c>
      <c r="J50" s="16">
        <f t="shared" si="49"/>
        <v>1176.3039999999999</v>
      </c>
      <c r="K50" s="16">
        <f t="shared" si="49"/>
        <v>108.69000000000001</v>
      </c>
      <c r="L50" s="16">
        <f t="shared" si="49"/>
        <v>0</v>
      </c>
      <c r="M50" s="16">
        <f t="shared" si="49"/>
        <v>0</v>
      </c>
      <c r="N50" s="16">
        <f t="shared" si="49"/>
        <v>88.76</v>
      </c>
      <c r="O50" s="16">
        <f t="shared" si="34"/>
        <v>0</v>
      </c>
      <c r="P50" s="16">
        <f t="shared" si="43"/>
        <v>0</v>
      </c>
      <c r="Q50" s="16">
        <f t="shared" si="43"/>
        <v>0</v>
      </c>
      <c r="R50" s="8">
        <f t="shared" si="35"/>
        <v>98055.494000000021</v>
      </c>
      <c r="S50" s="363">
        <f t="shared" si="37"/>
        <v>35778.811999999998</v>
      </c>
      <c r="T50" s="363">
        <f t="shared" si="37"/>
        <v>4748</v>
      </c>
      <c r="U50" s="363">
        <f t="shared" si="37"/>
        <v>1394.896</v>
      </c>
      <c r="V50" s="363">
        <f t="shared" si="37"/>
        <v>1478.36</v>
      </c>
      <c r="W50" s="363">
        <f t="shared" si="38"/>
        <v>52671.174000000006</v>
      </c>
      <c r="X50" s="363">
        <f t="shared" si="39"/>
        <v>1984.2519999999997</v>
      </c>
      <c r="Z50" s="390"/>
    </row>
    <row r="51" spans="1:26">
      <c r="A51" s="2" t="s">
        <v>88</v>
      </c>
      <c r="B51" s="16">
        <f t="shared" ref="B51:N51" si="50">B86*0.2</f>
        <v>41178.232000000004</v>
      </c>
      <c r="C51" s="16">
        <f t="shared" si="50"/>
        <v>7354.9239999999991</v>
      </c>
      <c r="D51" s="16">
        <f t="shared" si="50"/>
        <v>1214.4100000000001</v>
      </c>
      <c r="E51" s="16">
        <f t="shared" si="50"/>
        <v>1389.67</v>
      </c>
      <c r="F51" s="16">
        <f t="shared" si="50"/>
        <v>34498.205999999998</v>
      </c>
      <c r="G51" s="16">
        <f t="shared" si="50"/>
        <v>457.01400000000007</v>
      </c>
      <c r="H51" s="16">
        <f t="shared" si="50"/>
        <v>1210.7860000000001</v>
      </c>
      <c r="I51" s="16">
        <f t="shared" si="50"/>
        <v>1182.748</v>
      </c>
      <c r="J51" s="16">
        <f t="shared" si="50"/>
        <v>1648.432</v>
      </c>
      <c r="K51" s="16">
        <f t="shared" si="50"/>
        <v>43.475999999999999</v>
      </c>
      <c r="L51" s="16">
        <f t="shared" si="50"/>
        <v>0</v>
      </c>
      <c r="M51" s="16">
        <f t="shared" si="50"/>
        <v>0</v>
      </c>
      <c r="N51" s="16">
        <f t="shared" si="50"/>
        <v>76.08</v>
      </c>
      <c r="O51" s="16">
        <f t="shared" si="34"/>
        <v>0</v>
      </c>
      <c r="P51" s="16">
        <f t="shared" si="43"/>
        <v>67.772000000000006</v>
      </c>
      <c r="Q51" s="16">
        <f t="shared" si="43"/>
        <v>0</v>
      </c>
      <c r="R51" s="8">
        <f t="shared" si="35"/>
        <v>90321.75</v>
      </c>
      <c r="S51" s="363">
        <f t="shared" si="37"/>
        <v>41178.232000000004</v>
      </c>
      <c r="T51" s="363">
        <f t="shared" si="37"/>
        <v>7354.9239999999991</v>
      </c>
      <c r="U51" s="363">
        <f t="shared" si="37"/>
        <v>1214.4100000000001</v>
      </c>
      <c r="V51" s="363">
        <f t="shared" si="37"/>
        <v>1389.67</v>
      </c>
      <c r="W51" s="363">
        <f t="shared" si="38"/>
        <v>34955.22</v>
      </c>
      <c r="X51" s="363">
        <f t="shared" si="39"/>
        <v>4229.2940000000008</v>
      </c>
      <c r="Z51" s="390"/>
    </row>
    <row r="52" spans="1:26">
      <c r="A52" s="2" t="s">
        <v>89</v>
      </c>
      <c r="B52" s="16">
        <f t="shared" ref="B52:N52" si="51">B87*0.2</f>
        <v>213691.31000000003</v>
      </c>
      <c r="C52" s="16">
        <f t="shared" si="51"/>
        <v>29930.902000000002</v>
      </c>
      <c r="D52" s="16">
        <f t="shared" si="51"/>
        <v>5306.3339999999998</v>
      </c>
      <c r="E52" s="16">
        <f t="shared" si="51"/>
        <v>6694.6940000000004</v>
      </c>
      <c r="F52" s="16">
        <f t="shared" si="51"/>
        <v>94451.61</v>
      </c>
      <c r="G52" s="16">
        <f t="shared" si="51"/>
        <v>2869.4160000000002</v>
      </c>
      <c r="H52" s="16">
        <f t="shared" si="51"/>
        <v>4325.8620000000001</v>
      </c>
      <c r="I52" s="16">
        <f t="shared" si="51"/>
        <v>215.64800000000002</v>
      </c>
      <c r="J52" s="16">
        <f t="shared" si="51"/>
        <v>7068.5060000000003</v>
      </c>
      <c r="K52" s="16">
        <f t="shared" si="51"/>
        <v>173.904</v>
      </c>
      <c r="L52" s="16">
        <f t="shared" si="51"/>
        <v>43.475999999999999</v>
      </c>
      <c r="M52" s="16">
        <f t="shared" si="51"/>
        <v>0</v>
      </c>
      <c r="N52" s="16">
        <f t="shared" si="51"/>
        <v>361.38000000000005</v>
      </c>
      <c r="O52" s="16">
        <f t="shared" si="34"/>
        <v>0</v>
      </c>
      <c r="P52" s="16">
        <f t="shared" si="43"/>
        <v>0</v>
      </c>
      <c r="Q52" s="16">
        <f t="shared" si="43"/>
        <v>60.608000000000004</v>
      </c>
      <c r="R52" s="8">
        <f t="shared" si="35"/>
        <v>365193.65000000008</v>
      </c>
      <c r="S52" s="363">
        <f t="shared" si="37"/>
        <v>213691.31000000003</v>
      </c>
      <c r="T52" s="363">
        <f t="shared" si="37"/>
        <v>29930.902000000002</v>
      </c>
      <c r="U52" s="363">
        <f t="shared" si="37"/>
        <v>5306.3339999999998</v>
      </c>
      <c r="V52" s="363">
        <f t="shared" si="37"/>
        <v>6694.6940000000004</v>
      </c>
      <c r="W52" s="363">
        <f t="shared" si="38"/>
        <v>97321.025999999998</v>
      </c>
      <c r="X52" s="363">
        <f t="shared" si="39"/>
        <v>12249.384</v>
      </c>
      <c r="Z52" s="390"/>
    </row>
    <row r="53" spans="1:26">
      <c r="A53" s="2" t="s">
        <v>90</v>
      </c>
      <c r="B53" s="16">
        <f t="shared" ref="B53:N53" si="52">B88*0.2</f>
        <v>25453.064000000002</v>
      </c>
      <c r="C53" s="16">
        <f t="shared" si="52"/>
        <v>5461.301999999996</v>
      </c>
      <c r="D53" s="16">
        <f t="shared" si="52"/>
        <v>980.59</v>
      </c>
      <c r="E53" s="16">
        <f t="shared" si="52"/>
        <v>561.44799999999998</v>
      </c>
      <c r="F53" s="16">
        <f t="shared" si="52"/>
        <v>17182.626</v>
      </c>
      <c r="G53" s="16">
        <f t="shared" si="52"/>
        <v>869.5200000000001</v>
      </c>
      <c r="H53" s="16">
        <f t="shared" si="52"/>
        <v>646.06000000000006</v>
      </c>
      <c r="I53" s="16">
        <f t="shared" si="52"/>
        <v>0</v>
      </c>
      <c r="J53" s="16">
        <f t="shared" si="52"/>
        <v>1217.01</v>
      </c>
      <c r="K53" s="16">
        <f t="shared" si="52"/>
        <v>282.59399999999999</v>
      </c>
      <c r="L53" s="16">
        <f t="shared" si="52"/>
        <v>0</v>
      </c>
      <c r="M53" s="16">
        <f t="shared" si="52"/>
        <v>0</v>
      </c>
      <c r="N53" s="16">
        <f t="shared" si="52"/>
        <v>120.46</v>
      </c>
      <c r="O53" s="16">
        <f t="shared" si="34"/>
        <v>0</v>
      </c>
      <c r="P53" s="16">
        <f t="shared" si="43"/>
        <v>0</v>
      </c>
      <c r="Q53" s="16">
        <f t="shared" si="43"/>
        <v>0</v>
      </c>
      <c r="R53" s="8">
        <f t="shared" si="35"/>
        <v>52774.673999999992</v>
      </c>
      <c r="S53" s="363">
        <f t="shared" si="37"/>
        <v>25453.064000000002</v>
      </c>
      <c r="T53" s="363">
        <f t="shared" si="37"/>
        <v>5461.301999999996</v>
      </c>
      <c r="U53" s="363">
        <f t="shared" si="37"/>
        <v>980.59</v>
      </c>
      <c r="V53" s="363">
        <f t="shared" si="37"/>
        <v>561.44799999999998</v>
      </c>
      <c r="W53" s="363">
        <f t="shared" si="38"/>
        <v>18052.146000000001</v>
      </c>
      <c r="X53" s="363">
        <f t="shared" si="39"/>
        <v>2266.1240000000003</v>
      </c>
      <c r="Z53" s="390"/>
    </row>
    <row r="54" spans="1:26">
      <c r="A54" s="2" t="s">
        <v>91</v>
      </c>
      <c r="B54" s="16">
        <f t="shared" ref="B54:N54" si="53">B89*0.2</f>
        <v>36784.765999999996</v>
      </c>
      <c r="C54" s="16">
        <f t="shared" si="53"/>
        <v>6952.7520000000022</v>
      </c>
      <c r="D54" s="16">
        <f t="shared" si="53"/>
        <v>688.93000000000006</v>
      </c>
      <c r="E54" s="16">
        <f t="shared" si="53"/>
        <v>1178.7259999999999</v>
      </c>
      <c r="F54" s="16">
        <f t="shared" si="53"/>
        <v>18346.871999999999</v>
      </c>
      <c r="G54" s="16">
        <f t="shared" si="53"/>
        <v>978.20999999999992</v>
      </c>
      <c r="H54" s="16">
        <f t="shared" si="53"/>
        <v>766.20800000000008</v>
      </c>
      <c r="I54" s="16">
        <f t="shared" si="53"/>
        <v>0</v>
      </c>
      <c r="J54" s="16">
        <f t="shared" si="53"/>
        <v>1639.3860000000002</v>
      </c>
      <c r="K54" s="16">
        <f t="shared" si="53"/>
        <v>43.475999999999999</v>
      </c>
      <c r="L54" s="16">
        <f t="shared" si="53"/>
        <v>43.475999999999999</v>
      </c>
      <c r="M54" s="16">
        <f t="shared" si="53"/>
        <v>0</v>
      </c>
      <c r="N54" s="16">
        <f t="shared" si="53"/>
        <v>50.72</v>
      </c>
      <c r="O54" s="16">
        <f t="shared" si="34"/>
        <v>0</v>
      </c>
      <c r="P54" s="16">
        <f t="shared" si="43"/>
        <v>0</v>
      </c>
      <c r="Q54" s="16">
        <f t="shared" si="43"/>
        <v>0</v>
      </c>
      <c r="R54" s="8">
        <f t="shared" si="35"/>
        <v>67473.521999999997</v>
      </c>
      <c r="S54" s="363">
        <f t="shared" si="37"/>
        <v>36784.765999999996</v>
      </c>
      <c r="T54" s="363">
        <f t="shared" si="37"/>
        <v>6952.7520000000022</v>
      </c>
      <c r="U54" s="363">
        <f t="shared" si="37"/>
        <v>688.93000000000006</v>
      </c>
      <c r="V54" s="363">
        <f t="shared" si="37"/>
        <v>1178.7259999999999</v>
      </c>
      <c r="W54" s="363">
        <f t="shared" si="38"/>
        <v>19325.081999999999</v>
      </c>
      <c r="X54" s="363">
        <f t="shared" si="39"/>
        <v>2543.2660000000001</v>
      </c>
      <c r="Z54" s="390"/>
    </row>
    <row r="55" spans="1:26">
      <c r="A55" s="2" t="s">
        <v>92</v>
      </c>
      <c r="B55" s="16">
        <f t="shared" ref="B55:N55" si="54">B90*0.2</f>
        <v>197938.08000000002</v>
      </c>
      <c r="C55" s="16">
        <f t="shared" si="54"/>
        <v>27621.865999999995</v>
      </c>
      <c r="D55" s="16">
        <f t="shared" si="54"/>
        <v>5514.9400000000005</v>
      </c>
      <c r="E55" s="16">
        <f t="shared" si="54"/>
        <v>5924.3820000000005</v>
      </c>
      <c r="F55" s="16">
        <f t="shared" si="54"/>
        <v>122515.368</v>
      </c>
      <c r="G55" s="16">
        <f t="shared" si="54"/>
        <v>2282.4900000000002</v>
      </c>
      <c r="H55" s="16">
        <f t="shared" si="54"/>
        <v>3131.0540000000001</v>
      </c>
      <c r="I55" s="16">
        <f t="shared" si="54"/>
        <v>2477.6460000000002</v>
      </c>
      <c r="J55" s="16">
        <f t="shared" si="54"/>
        <v>6809.7619999999997</v>
      </c>
      <c r="K55" s="16">
        <f t="shared" si="54"/>
        <v>586.92600000000004</v>
      </c>
      <c r="L55" s="16">
        <f t="shared" si="54"/>
        <v>130.428</v>
      </c>
      <c r="M55" s="16">
        <f t="shared" si="54"/>
        <v>0</v>
      </c>
      <c r="N55" s="16">
        <f t="shared" si="54"/>
        <v>291.64000000000004</v>
      </c>
      <c r="O55" s="16">
        <f t="shared" si="34"/>
        <v>0</v>
      </c>
      <c r="P55" s="16">
        <f t="shared" si="43"/>
        <v>0</v>
      </c>
      <c r="Q55" s="16">
        <f t="shared" si="43"/>
        <v>0</v>
      </c>
      <c r="R55" s="8">
        <f t="shared" si="35"/>
        <v>375224.58199999999</v>
      </c>
      <c r="S55" s="363">
        <f t="shared" si="37"/>
        <v>197938.08000000002</v>
      </c>
      <c r="T55" s="363">
        <f t="shared" si="37"/>
        <v>27621.865999999995</v>
      </c>
      <c r="U55" s="363">
        <f t="shared" si="37"/>
        <v>5514.9400000000005</v>
      </c>
      <c r="V55" s="363">
        <f t="shared" si="37"/>
        <v>5924.3820000000005</v>
      </c>
      <c r="W55" s="363">
        <f t="shared" si="38"/>
        <v>124797.85800000001</v>
      </c>
      <c r="X55" s="363">
        <f t="shared" si="39"/>
        <v>13427.455999999998</v>
      </c>
      <c r="Z55" s="390"/>
    </row>
    <row r="56" spans="1:26">
      <c r="A56" s="2" t="s">
        <v>93</v>
      </c>
      <c r="B56" s="16">
        <f t="shared" ref="B56:O66" si="55">B91*0.2</f>
        <v>67711.319999999992</v>
      </c>
      <c r="C56" s="16">
        <f t="shared" si="55"/>
        <v>12702.374</v>
      </c>
      <c r="D56" s="16">
        <f t="shared" si="55"/>
        <v>1981.1840000000002</v>
      </c>
      <c r="E56" s="16">
        <f t="shared" si="55"/>
        <v>1484.5999999999997</v>
      </c>
      <c r="F56" s="16">
        <f t="shared" si="55"/>
        <v>33041.760000000002</v>
      </c>
      <c r="G56" s="16">
        <f t="shared" si="55"/>
        <v>1521.66</v>
      </c>
      <c r="H56" s="16">
        <f t="shared" si="55"/>
        <v>1288.6360000000002</v>
      </c>
      <c r="I56" s="16">
        <f t="shared" si="55"/>
        <v>898.88400000000001</v>
      </c>
      <c r="J56" s="16">
        <f t="shared" si="55"/>
        <v>2947.7540000000004</v>
      </c>
      <c r="K56" s="16">
        <f t="shared" si="55"/>
        <v>86.951999999999998</v>
      </c>
      <c r="L56" s="16">
        <f t="shared" si="55"/>
        <v>0</v>
      </c>
      <c r="M56" s="16">
        <f t="shared" si="55"/>
        <v>0</v>
      </c>
      <c r="N56" s="16">
        <f t="shared" si="55"/>
        <v>139.47999999999999</v>
      </c>
      <c r="O56" s="16">
        <f t="shared" si="55"/>
        <v>0</v>
      </c>
      <c r="P56" s="16">
        <f t="shared" si="43"/>
        <v>0</v>
      </c>
      <c r="Q56" s="16">
        <f t="shared" si="43"/>
        <v>0</v>
      </c>
      <c r="R56" s="8">
        <f t="shared" si="35"/>
        <v>123804.60399999999</v>
      </c>
      <c r="S56" s="363">
        <f t="shared" si="37"/>
        <v>67711.319999999992</v>
      </c>
      <c r="T56" s="363">
        <f t="shared" si="37"/>
        <v>12702.374</v>
      </c>
      <c r="U56" s="363">
        <f t="shared" si="37"/>
        <v>1981.1840000000002</v>
      </c>
      <c r="V56" s="363">
        <f t="shared" si="37"/>
        <v>1484.5999999999997</v>
      </c>
      <c r="W56" s="363">
        <f t="shared" si="38"/>
        <v>34563.420000000006</v>
      </c>
      <c r="X56" s="363">
        <f t="shared" si="39"/>
        <v>5361.706000000001</v>
      </c>
      <c r="Z56" s="390"/>
    </row>
    <row r="57" spans="1:26">
      <c r="A57" s="2" t="s">
        <v>94</v>
      </c>
      <c r="B57" s="16">
        <f t="shared" ref="B57:N57" si="56">B92*0.2</f>
        <v>18563.882000000001</v>
      </c>
      <c r="C57" s="16">
        <f t="shared" si="56"/>
        <v>1432.9699999999984</v>
      </c>
      <c r="D57" s="16">
        <f t="shared" si="56"/>
        <v>486.94799999999998</v>
      </c>
      <c r="E57" s="16">
        <f t="shared" si="56"/>
        <v>306.69000000000005</v>
      </c>
      <c r="F57" s="16">
        <f t="shared" si="56"/>
        <v>9540.8340000000007</v>
      </c>
      <c r="G57" s="16">
        <f t="shared" si="56"/>
        <v>499.97399999999999</v>
      </c>
      <c r="H57" s="16">
        <f t="shared" si="56"/>
        <v>134.274</v>
      </c>
      <c r="I57" s="16">
        <f t="shared" si="56"/>
        <v>0</v>
      </c>
      <c r="J57" s="16">
        <f t="shared" si="56"/>
        <v>337.00400000000002</v>
      </c>
      <c r="K57" s="16">
        <f t="shared" si="56"/>
        <v>0</v>
      </c>
      <c r="L57" s="16">
        <f t="shared" si="56"/>
        <v>0</v>
      </c>
      <c r="M57" s="16">
        <f t="shared" si="56"/>
        <v>0</v>
      </c>
      <c r="N57" s="16">
        <f t="shared" si="56"/>
        <v>12.68</v>
      </c>
      <c r="O57" s="16">
        <f t="shared" si="55"/>
        <v>0</v>
      </c>
      <c r="P57" s="16">
        <v>0</v>
      </c>
      <c r="Q57" s="16">
        <v>0</v>
      </c>
      <c r="R57" s="8">
        <f t="shared" si="35"/>
        <v>31315.256000000001</v>
      </c>
      <c r="S57" s="363">
        <f t="shared" si="37"/>
        <v>18563.882000000001</v>
      </c>
      <c r="T57" s="363">
        <f t="shared" si="37"/>
        <v>1432.9699999999984</v>
      </c>
      <c r="U57" s="363">
        <f t="shared" si="37"/>
        <v>486.94799999999998</v>
      </c>
      <c r="V57" s="363">
        <f t="shared" si="37"/>
        <v>306.69000000000005</v>
      </c>
      <c r="W57" s="363">
        <f t="shared" si="38"/>
        <v>10040.808000000001</v>
      </c>
      <c r="X57" s="363">
        <f t="shared" si="39"/>
        <v>483.95800000000003</v>
      </c>
      <c r="Z57" s="390"/>
    </row>
    <row r="58" spans="1:26">
      <c r="A58" s="2" t="s">
        <v>95</v>
      </c>
      <c r="B58" s="16">
        <f t="shared" ref="B58:N58" si="57">B93*0.2</f>
        <v>216845.89199999999</v>
      </c>
      <c r="C58" s="16">
        <f t="shared" si="57"/>
        <v>24480.548000000046</v>
      </c>
      <c r="D58" s="16">
        <f t="shared" si="57"/>
        <v>9476.7000000000007</v>
      </c>
      <c r="E58" s="16">
        <f t="shared" si="57"/>
        <v>5817.2000000000007</v>
      </c>
      <c r="F58" s="16">
        <f t="shared" si="57"/>
        <v>110231.50800000002</v>
      </c>
      <c r="G58" s="16">
        <f t="shared" si="57"/>
        <v>3695.46</v>
      </c>
      <c r="H58" s="16">
        <f t="shared" si="57"/>
        <v>3006.3180000000007</v>
      </c>
      <c r="I58" s="16">
        <f t="shared" si="57"/>
        <v>1214.432</v>
      </c>
      <c r="J58" s="16">
        <f t="shared" si="57"/>
        <v>5892.3</v>
      </c>
      <c r="K58" s="16">
        <f t="shared" si="57"/>
        <v>432.61200000000002</v>
      </c>
      <c r="L58" s="16">
        <f t="shared" si="57"/>
        <v>0</v>
      </c>
      <c r="M58" s="16">
        <f t="shared" si="57"/>
        <v>0</v>
      </c>
      <c r="N58" s="16">
        <f t="shared" si="57"/>
        <v>505.94799999999998</v>
      </c>
      <c r="O58" s="16">
        <f t="shared" si="55"/>
        <v>0</v>
      </c>
      <c r="P58" s="16">
        <f t="shared" ref="P58:Q63" si="58">P93*0.2</f>
        <v>0</v>
      </c>
      <c r="Q58" s="16">
        <f t="shared" si="58"/>
        <v>0</v>
      </c>
      <c r="R58" s="8">
        <f t="shared" si="35"/>
        <v>381598.91800000006</v>
      </c>
      <c r="S58" s="363">
        <f t="shared" si="37"/>
        <v>216845.89199999999</v>
      </c>
      <c r="T58" s="363">
        <f t="shared" si="37"/>
        <v>24480.548000000046</v>
      </c>
      <c r="U58" s="363">
        <f t="shared" si="37"/>
        <v>9476.7000000000007</v>
      </c>
      <c r="V58" s="363">
        <f t="shared" si="37"/>
        <v>5817.2000000000007</v>
      </c>
      <c r="W58" s="363">
        <f t="shared" si="38"/>
        <v>113926.96800000002</v>
      </c>
      <c r="X58" s="363">
        <f t="shared" si="39"/>
        <v>11051.61</v>
      </c>
      <c r="Z58" s="390"/>
    </row>
    <row r="59" spans="1:26">
      <c r="A59" s="2" t="s">
        <v>96</v>
      </c>
      <c r="B59" s="16">
        <f t="shared" ref="B59:N59" si="59">B94*0.2</f>
        <v>27155.741999999998</v>
      </c>
      <c r="C59" s="16">
        <f t="shared" si="59"/>
        <v>5497.0279999999975</v>
      </c>
      <c r="D59" s="16">
        <f t="shared" si="59"/>
        <v>461.58800000000002</v>
      </c>
      <c r="E59" s="16">
        <f t="shared" si="59"/>
        <v>509.51600000000008</v>
      </c>
      <c r="F59" s="16">
        <f t="shared" si="59"/>
        <v>16716.522000000001</v>
      </c>
      <c r="G59" s="16">
        <f t="shared" si="59"/>
        <v>673.87800000000004</v>
      </c>
      <c r="H59" s="16">
        <f t="shared" si="59"/>
        <v>603.75199999999995</v>
      </c>
      <c r="I59" s="16">
        <f t="shared" si="59"/>
        <v>65.213999999999999</v>
      </c>
      <c r="J59" s="16">
        <f t="shared" si="59"/>
        <v>1184.586</v>
      </c>
      <c r="K59" s="16">
        <f t="shared" si="59"/>
        <v>65.213999999999999</v>
      </c>
      <c r="L59" s="16">
        <f t="shared" si="59"/>
        <v>0</v>
      </c>
      <c r="M59" s="16">
        <f t="shared" si="59"/>
        <v>0</v>
      </c>
      <c r="N59" s="16">
        <f t="shared" si="59"/>
        <v>82.420000000000016</v>
      </c>
      <c r="O59" s="16">
        <f t="shared" si="55"/>
        <v>0</v>
      </c>
      <c r="P59" s="16">
        <f t="shared" si="58"/>
        <v>0</v>
      </c>
      <c r="Q59" s="16">
        <f t="shared" si="58"/>
        <v>0</v>
      </c>
      <c r="R59" s="8">
        <f t="shared" si="35"/>
        <v>53015.460000000006</v>
      </c>
      <c r="S59" s="363">
        <f t="shared" si="37"/>
        <v>27155.741999999998</v>
      </c>
      <c r="T59" s="363">
        <f t="shared" si="37"/>
        <v>5497.0279999999975</v>
      </c>
      <c r="U59" s="363">
        <f t="shared" si="37"/>
        <v>461.58800000000002</v>
      </c>
      <c r="V59" s="363">
        <f t="shared" si="37"/>
        <v>509.51600000000008</v>
      </c>
      <c r="W59" s="363">
        <f t="shared" si="38"/>
        <v>17390.400000000001</v>
      </c>
      <c r="X59" s="363">
        <f t="shared" si="39"/>
        <v>2001.1859999999999</v>
      </c>
      <c r="Z59" s="390"/>
    </row>
    <row r="60" spans="1:26">
      <c r="A60" s="2" t="s">
        <v>97</v>
      </c>
      <c r="B60" s="16">
        <f t="shared" ref="B60:N60" si="60">B95*0.2</f>
        <v>242621.05200000003</v>
      </c>
      <c r="C60" s="16">
        <f t="shared" si="60"/>
        <v>30117.368000000017</v>
      </c>
      <c r="D60" s="16">
        <f t="shared" si="60"/>
        <v>6561.9340000000002</v>
      </c>
      <c r="E60" s="16">
        <f t="shared" si="60"/>
        <v>8798.9719999999998</v>
      </c>
      <c r="F60" s="16">
        <f t="shared" si="60"/>
        <v>165706.62600000002</v>
      </c>
      <c r="G60" s="16">
        <f t="shared" si="60"/>
        <v>2499.87</v>
      </c>
      <c r="H60" s="16">
        <f t="shared" si="60"/>
        <v>4899.7960000000003</v>
      </c>
      <c r="I60" s="16">
        <f t="shared" si="60"/>
        <v>0</v>
      </c>
      <c r="J60" s="16">
        <f t="shared" si="60"/>
        <v>8154.7420000000002</v>
      </c>
      <c r="K60" s="16">
        <f t="shared" si="60"/>
        <v>369.54600000000005</v>
      </c>
      <c r="L60" s="16">
        <f t="shared" si="60"/>
        <v>43.475999999999999</v>
      </c>
      <c r="M60" s="16">
        <f t="shared" si="60"/>
        <v>70.058000000000007</v>
      </c>
      <c r="N60" s="16">
        <f t="shared" si="60"/>
        <v>259.31400000000002</v>
      </c>
      <c r="O60" s="16">
        <f t="shared" si="55"/>
        <v>0</v>
      </c>
      <c r="P60" s="16">
        <f t="shared" si="58"/>
        <v>0</v>
      </c>
      <c r="Q60" s="16">
        <f t="shared" si="58"/>
        <v>0</v>
      </c>
      <c r="R60" s="8">
        <f t="shared" si="35"/>
        <v>470102.75400000007</v>
      </c>
      <c r="S60" s="363">
        <f t="shared" si="37"/>
        <v>242621.05200000003</v>
      </c>
      <c r="T60" s="363">
        <f t="shared" si="37"/>
        <v>30117.368000000017</v>
      </c>
      <c r="U60" s="363">
        <f t="shared" si="37"/>
        <v>6561.9340000000002</v>
      </c>
      <c r="V60" s="363">
        <f t="shared" si="37"/>
        <v>8798.9719999999998</v>
      </c>
      <c r="W60" s="363">
        <f t="shared" si="38"/>
        <v>168206.49600000001</v>
      </c>
      <c r="X60" s="363">
        <f t="shared" si="39"/>
        <v>13796.932000000003</v>
      </c>
      <c r="Z60" s="390"/>
    </row>
    <row r="61" spans="1:26">
      <c r="A61" s="2" t="s">
        <v>98</v>
      </c>
      <c r="B61" s="16">
        <f t="shared" ref="B61:N61" si="61">B96*0.2</f>
        <v>11144.282000000001</v>
      </c>
      <c r="C61" s="16">
        <f t="shared" si="61"/>
        <v>2732.4660000000003</v>
      </c>
      <c r="D61" s="16">
        <f t="shared" si="61"/>
        <v>418.47200000000004</v>
      </c>
      <c r="E61" s="16">
        <f t="shared" si="61"/>
        <v>852.88799999999981</v>
      </c>
      <c r="F61" s="16">
        <f t="shared" si="61"/>
        <v>13803.63</v>
      </c>
      <c r="G61" s="16">
        <f t="shared" si="61"/>
        <v>304.33200000000005</v>
      </c>
      <c r="H61" s="16">
        <f t="shared" si="61"/>
        <v>310.63400000000001</v>
      </c>
      <c r="I61" s="16">
        <f t="shared" si="61"/>
        <v>0</v>
      </c>
      <c r="J61" s="16">
        <f t="shared" si="61"/>
        <v>739.21</v>
      </c>
      <c r="K61" s="16">
        <f t="shared" si="61"/>
        <v>86.951999999999998</v>
      </c>
      <c r="L61" s="16">
        <f t="shared" si="61"/>
        <v>0</v>
      </c>
      <c r="M61" s="16">
        <f t="shared" si="61"/>
        <v>0</v>
      </c>
      <c r="N61" s="16">
        <f t="shared" si="61"/>
        <v>38.04</v>
      </c>
      <c r="O61" s="16">
        <f t="shared" si="55"/>
        <v>0</v>
      </c>
      <c r="P61" s="16">
        <f t="shared" si="58"/>
        <v>98.95</v>
      </c>
      <c r="Q61" s="16">
        <f t="shared" si="58"/>
        <v>4.9800000000000004</v>
      </c>
      <c r="R61" s="8">
        <f t="shared" si="35"/>
        <v>30534.835999999999</v>
      </c>
      <c r="S61" s="363">
        <f t="shared" si="37"/>
        <v>11144.282000000001</v>
      </c>
      <c r="T61" s="363">
        <f t="shared" si="37"/>
        <v>2732.4660000000003</v>
      </c>
      <c r="U61" s="363">
        <f t="shared" si="37"/>
        <v>418.47200000000004</v>
      </c>
      <c r="V61" s="363">
        <f t="shared" si="37"/>
        <v>852.88799999999981</v>
      </c>
      <c r="W61" s="363">
        <f t="shared" si="38"/>
        <v>14107.962</v>
      </c>
      <c r="X61" s="363">
        <f t="shared" si="39"/>
        <v>1278.7660000000001</v>
      </c>
      <c r="Z61" s="390"/>
    </row>
    <row r="62" spans="1:26">
      <c r="A62" s="2" t="s">
        <v>99</v>
      </c>
      <c r="B62" s="16">
        <f t="shared" ref="B62:N62" si="62">B97*0.2</f>
        <v>2959.9560000000001</v>
      </c>
      <c r="C62" s="16">
        <f t="shared" si="62"/>
        <v>1060.4999999999998</v>
      </c>
      <c r="D62" s="16">
        <f t="shared" si="62"/>
        <v>109.902</v>
      </c>
      <c r="E62" s="16">
        <f t="shared" si="62"/>
        <v>169.518</v>
      </c>
      <c r="F62" s="16">
        <f t="shared" si="62"/>
        <v>3217.2240000000002</v>
      </c>
      <c r="G62" s="16">
        <f t="shared" si="62"/>
        <v>108.69000000000001</v>
      </c>
      <c r="H62" s="16">
        <f t="shared" si="62"/>
        <v>77.194000000000003</v>
      </c>
      <c r="I62" s="16">
        <f t="shared" si="62"/>
        <v>0</v>
      </c>
      <c r="J62" s="16">
        <f t="shared" si="62"/>
        <v>248.95600000000002</v>
      </c>
      <c r="K62" s="16">
        <f t="shared" si="62"/>
        <v>21.738</v>
      </c>
      <c r="L62" s="16">
        <f t="shared" si="62"/>
        <v>0</v>
      </c>
      <c r="M62" s="16">
        <f t="shared" si="62"/>
        <v>0</v>
      </c>
      <c r="N62" s="16">
        <f t="shared" si="62"/>
        <v>12.68</v>
      </c>
      <c r="O62" s="16">
        <f t="shared" si="55"/>
        <v>0</v>
      </c>
      <c r="P62" s="16">
        <f t="shared" si="58"/>
        <v>0</v>
      </c>
      <c r="Q62" s="16">
        <f t="shared" si="58"/>
        <v>0</v>
      </c>
      <c r="R62" s="8">
        <f t="shared" si="35"/>
        <v>7986.3580000000011</v>
      </c>
      <c r="S62" s="363">
        <f t="shared" si="37"/>
        <v>2959.9560000000001</v>
      </c>
      <c r="T62" s="363">
        <f t="shared" si="37"/>
        <v>1060.4999999999998</v>
      </c>
      <c r="U62" s="363">
        <f t="shared" si="37"/>
        <v>109.902</v>
      </c>
      <c r="V62" s="363">
        <f t="shared" si="37"/>
        <v>169.518</v>
      </c>
      <c r="W62" s="363">
        <f t="shared" si="38"/>
        <v>3325.9140000000002</v>
      </c>
      <c r="X62" s="363">
        <f t="shared" si="39"/>
        <v>360.56800000000004</v>
      </c>
      <c r="Z62" s="390"/>
    </row>
    <row r="63" spans="1:26">
      <c r="A63" s="2" t="s">
        <v>100</v>
      </c>
      <c r="B63" s="16">
        <f t="shared" ref="B63:N63" si="63">B98*0.2</f>
        <v>173039.83000000002</v>
      </c>
      <c r="C63" s="16">
        <f t="shared" si="63"/>
        <v>26737.995999999999</v>
      </c>
      <c r="D63" s="16">
        <f t="shared" si="63"/>
        <v>5100.4900000000007</v>
      </c>
      <c r="E63" s="16">
        <f t="shared" si="63"/>
        <v>7162.5780000000004</v>
      </c>
      <c r="F63" s="16">
        <f t="shared" si="63"/>
        <v>99447.054000000004</v>
      </c>
      <c r="G63" s="16">
        <f t="shared" si="63"/>
        <v>1282.5420000000001</v>
      </c>
      <c r="H63" s="16">
        <f t="shared" si="63"/>
        <v>4932.2160000000003</v>
      </c>
      <c r="I63" s="16">
        <f t="shared" si="63"/>
        <v>0</v>
      </c>
      <c r="J63" s="16">
        <f t="shared" si="63"/>
        <v>7018.3100000000013</v>
      </c>
      <c r="K63" s="16">
        <f t="shared" si="63"/>
        <v>65.213999999999999</v>
      </c>
      <c r="L63" s="16">
        <f t="shared" si="63"/>
        <v>0</v>
      </c>
      <c r="M63" s="16">
        <f t="shared" si="63"/>
        <v>0</v>
      </c>
      <c r="N63" s="16">
        <f t="shared" si="63"/>
        <v>317</v>
      </c>
      <c r="O63" s="16">
        <f t="shared" si="55"/>
        <v>0</v>
      </c>
      <c r="P63" s="16">
        <f t="shared" si="58"/>
        <v>0</v>
      </c>
      <c r="Q63" s="16">
        <f t="shared" si="58"/>
        <v>0</v>
      </c>
      <c r="R63" s="8">
        <f t="shared" si="35"/>
        <v>325103.23</v>
      </c>
      <c r="S63" s="363">
        <f t="shared" si="37"/>
        <v>173039.83000000002</v>
      </c>
      <c r="T63" s="363">
        <f t="shared" si="37"/>
        <v>26737.995999999999</v>
      </c>
      <c r="U63" s="363">
        <f t="shared" si="37"/>
        <v>5100.4900000000007</v>
      </c>
      <c r="V63" s="363">
        <f t="shared" si="37"/>
        <v>7162.5780000000004</v>
      </c>
      <c r="W63" s="363">
        <f t="shared" si="38"/>
        <v>100729.59600000001</v>
      </c>
      <c r="X63" s="363">
        <f t="shared" si="39"/>
        <v>12332.740000000002</v>
      </c>
      <c r="Z63" s="390"/>
    </row>
    <row r="64" spans="1:26">
      <c r="A64" s="2" t="s">
        <v>101</v>
      </c>
      <c r="B64" s="16">
        <f t="shared" ref="B64:N64" si="64">B99*0.2</f>
        <v>830198.92400000012</v>
      </c>
      <c r="C64" s="16">
        <f t="shared" si="64"/>
        <v>128332.10800000001</v>
      </c>
      <c r="D64" s="16">
        <f t="shared" si="64"/>
        <v>25134.848000000002</v>
      </c>
      <c r="E64" s="16">
        <f t="shared" si="64"/>
        <v>20235.160000000003</v>
      </c>
      <c r="F64" s="16">
        <f t="shared" si="64"/>
        <v>560025.73200000008</v>
      </c>
      <c r="G64" s="16">
        <f t="shared" si="64"/>
        <v>9999.48</v>
      </c>
      <c r="H64" s="16">
        <f t="shared" si="64"/>
        <v>24046.952000000001</v>
      </c>
      <c r="I64" s="16">
        <f t="shared" si="64"/>
        <v>385.66800000000001</v>
      </c>
      <c r="J64" s="16">
        <f t="shared" si="64"/>
        <v>29941.332000000002</v>
      </c>
      <c r="K64" s="16">
        <f t="shared" si="64"/>
        <v>2282.4900000000002</v>
      </c>
      <c r="L64" s="16">
        <f t="shared" si="64"/>
        <v>173.904</v>
      </c>
      <c r="M64" s="16">
        <f t="shared" si="64"/>
        <v>0</v>
      </c>
      <c r="N64" s="16">
        <f t="shared" si="64"/>
        <v>1876.0140000000001</v>
      </c>
      <c r="O64" s="16">
        <f t="shared" si="55"/>
        <v>0</v>
      </c>
      <c r="P64" s="16">
        <v>0</v>
      </c>
      <c r="Q64" s="16">
        <v>0</v>
      </c>
      <c r="R64" s="8">
        <f t="shared" si="35"/>
        <v>1632632.6120000004</v>
      </c>
      <c r="S64" s="363">
        <f t="shared" si="37"/>
        <v>830198.92400000012</v>
      </c>
      <c r="T64" s="363">
        <f t="shared" si="37"/>
        <v>128332.10800000001</v>
      </c>
      <c r="U64" s="363">
        <f t="shared" si="37"/>
        <v>25134.848000000002</v>
      </c>
      <c r="V64" s="363">
        <f t="shared" si="37"/>
        <v>20235.160000000003</v>
      </c>
      <c r="W64" s="363">
        <f t="shared" si="38"/>
        <v>570025.21200000006</v>
      </c>
      <c r="X64" s="363">
        <f t="shared" si="39"/>
        <v>58706.360000000008</v>
      </c>
      <c r="Z64" s="390"/>
    </row>
    <row r="65" spans="1:26">
      <c r="A65" s="2" t="s">
        <v>102</v>
      </c>
      <c r="B65" s="16">
        <f t="shared" ref="B65:N65" si="65">B100*0.2</f>
        <v>15626.38</v>
      </c>
      <c r="C65" s="16">
        <f t="shared" si="65"/>
        <v>4632.0880000000034</v>
      </c>
      <c r="D65" s="16">
        <f t="shared" si="65"/>
        <v>318.714</v>
      </c>
      <c r="E65" s="16">
        <f t="shared" si="65"/>
        <v>193.39599999999996</v>
      </c>
      <c r="F65" s="16">
        <f t="shared" si="65"/>
        <v>14540.574000000001</v>
      </c>
      <c r="G65" s="16">
        <f t="shared" si="65"/>
        <v>282.59399999999999</v>
      </c>
      <c r="H65" s="16">
        <f t="shared" si="65"/>
        <v>432.54399999999998</v>
      </c>
      <c r="I65" s="16">
        <f t="shared" si="65"/>
        <v>0</v>
      </c>
      <c r="J65" s="16">
        <f t="shared" si="65"/>
        <v>599.93000000000006</v>
      </c>
      <c r="K65" s="16">
        <f t="shared" si="65"/>
        <v>130.428</v>
      </c>
      <c r="L65" s="16">
        <f t="shared" si="65"/>
        <v>0</v>
      </c>
      <c r="M65" s="16">
        <f t="shared" si="65"/>
        <v>0</v>
      </c>
      <c r="N65" s="16">
        <f t="shared" si="65"/>
        <v>12.68</v>
      </c>
      <c r="O65" s="16">
        <f t="shared" si="55"/>
        <v>0</v>
      </c>
      <c r="P65" s="16">
        <f>P100*0.2</f>
        <v>0</v>
      </c>
      <c r="Q65" s="16">
        <f>Q100*0.2</f>
        <v>78.572000000000003</v>
      </c>
      <c r="R65" s="8">
        <f t="shared" si="35"/>
        <v>36847.9</v>
      </c>
      <c r="S65" s="363">
        <f t="shared" si="37"/>
        <v>15626.38</v>
      </c>
      <c r="T65" s="363">
        <f t="shared" si="37"/>
        <v>4632.0880000000034</v>
      </c>
      <c r="U65" s="363">
        <f t="shared" si="37"/>
        <v>318.714</v>
      </c>
      <c r="V65" s="363">
        <f t="shared" si="37"/>
        <v>193.39599999999996</v>
      </c>
      <c r="W65" s="363">
        <f t="shared" si="38"/>
        <v>14823.168</v>
      </c>
      <c r="X65" s="363">
        <f t="shared" si="39"/>
        <v>1254.154</v>
      </c>
      <c r="Z65" s="390"/>
    </row>
    <row r="66" spans="1:26">
      <c r="A66" s="2" t="s">
        <v>103</v>
      </c>
      <c r="B66" s="16">
        <f t="shared" ref="B66:N66" si="66">B101*0.2</f>
        <v>8766.0960000000014</v>
      </c>
      <c r="C66" s="16">
        <f t="shared" si="66"/>
        <v>1498.001999999999</v>
      </c>
      <c r="D66" s="16">
        <f t="shared" si="66"/>
        <v>217.26599999999999</v>
      </c>
      <c r="E66" s="16">
        <f t="shared" si="66"/>
        <v>874.10800000000006</v>
      </c>
      <c r="F66" s="16">
        <f t="shared" si="66"/>
        <v>8086.5360000000001</v>
      </c>
      <c r="G66" s="16">
        <f t="shared" si="66"/>
        <v>260.85600000000005</v>
      </c>
      <c r="H66" s="16">
        <f t="shared" si="66"/>
        <v>226.17999999999998</v>
      </c>
      <c r="I66" s="16">
        <f t="shared" si="66"/>
        <v>0</v>
      </c>
      <c r="J66" s="16">
        <f t="shared" si="66"/>
        <v>485.666</v>
      </c>
      <c r="K66" s="16">
        <f t="shared" si="66"/>
        <v>108.69000000000001</v>
      </c>
      <c r="L66" s="16">
        <f t="shared" si="66"/>
        <v>0</v>
      </c>
      <c r="M66" s="16">
        <f t="shared" si="66"/>
        <v>0</v>
      </c>
      <c r="N66" s="16">
        <f t="shared" si="66"/>
        <v>12.68</v>
      </c>
      <c r="O66" s="16">
        <f t="shared" si="55"/>
        <v>0</v>
      </c>
      <c r="P66" s="16">
        <f>P101*0.2</f>
        <v>0</v>
      </c>
      <c r="Q66" s="16">
        <f>Q101*0.2</f>
        <v>0</v>
      </c>
      <c r="R66" s="8">
        <f t="shared" si="35"/>
        <v>20536.080000000002</v>
      </c>
      <c r="S66" s="363">
        <f t="shared" si="37"/>
        <v>8766.0960000000014</v>
      </c>
      <c r="T66" s="363">
        <f t="shared" si="37"/>
        <v>1498.001999999999</v>
      </c>
      <c r="U66" s="363">
        <f t="shared" si="37"/>
        <v>217.26599999999999</v>
      </c>
      <c r="V66" s="363">
        <f t="shared" si="37"/>
        <v>874.10800000000006</v>
      </c>
      <c r="W66" s="363">
        <f t="shared" si="38"/>
        <v>8347.3919999999998</v>
      </c>
      <c r="X66" s="363">
        <f t="shared" si="39"/>
        <v>833.21600000000001</v>
      </c>
      <c r="Z66" s="390"/>
    </row>
    <row r="67" spans="1:26">
      <c r="A67" s="6" t="s">
        <v>37</v>
      </c>
      <c r="B67" s="7">
        <f t="shared" ref="B67:X67" si="67">SUM(B40:B66)</f>
        <v>2584589.5019999999</v>
      </c>
      <c r="C67" s="7">
        <f t="shared" si="67"/>
        <v>379915.23200000002</v>
      </c>
      <c r="D67" s="7">
        <f t="shared" si="67"/>
        <v>77650.928000000029</v>
      </c>
      <c r="E67" s="7">
        <f t="shared" si="67"/>
        <v>73108.315999999992</v>
      </c>
      <c r="F67" s="7">
        <f t="shared" si="67"/>
        <v>1605912.3300000003</v>
      </c>
      <c r="G67" s="7">
        <f t="shared" si="67"/>
        <v>36802.949999999997</v>
      </c>
      <c r="H67" s="7">
        <f t="shared" si="67"/>
        <v>57602.69</v>
      </c>
      <c r="I67" s="7">
        <f t="shared" si="67"/>
        <v>6818.6359999999995</v>
      </c>
      <c r="J67" s="7">
        <f t="shared" si="67"/>
        <v>90922.301999999996</v>
      </c>
      <c r="K67" s="7">
        <f t="shared" si="67"/>
        <v>5932.326</v>
      </c>
      <c r="L67" s="7">
        <f t="shared" si="67"/>
        <v>434.76</v>
      </c>
      <c r="M67" s="7">
        <f t="shared" si="67"/>
        <v>470.04599999999999</v>
      </c>
      <c r="N67" s="7">
        <f t="shared" si="67"/>
        <v>4999.130000000001</v>
      </c>
      <c r="O67" s="7">
        <f t="shared" si="67"/>
        <v>0</v>
      </c>
      <c r="P67" s="7">
        <f t="shared" si="67"/>
        <v>174.37</v>
      </c>
      <c r="Q67" s="7">
        <f t="shared" si="67"/>
        <v>220.636</v>
      </c>
      <c r="R67" s="9">
        <f t="shared" si="67"/>
        <v>4925554.154000002</v>
      </c>
      <c r="S67" s="363">
        <f t="shared" si="67"/>
        <v>2584589.5019999999</v>
      </c>
      <c r="T67" s="363">
        <f t="shared" si="67"/>
        <v>379915.23200000002</v>
      </c>
      <c r="U67" s="363">
        <f t="shared" si="67"/>
        <v>77650.928000000029</v>
      </c>
      <c r="V67" s="363">
        <f t="shared" si="67"/>
        <v>73108.315999999992</v>
      </c>
      <c r="W67" s="363">
        <f t="shared" si="67"/>
        <v>1642715.2800000003</v>
      </c>
      <c r="X67" s="363">
        <f t="shared" si="67"/>
        <v>167574.89600000004</v>
      </c>
      <c r="Z67" s="390"/>
    </row>
    <row r="68" spans="1:26">
      <c r="A68" s="351" t="s">
        <v>47</v>
      </c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6"/>
    </row>
    <row r="69" spans="1:26">
      <c r="A69" s="358"/>
      <c r="B69" s="358"/>
      <c r="C69" s="359"/>
      <c r="D69" s="359"/>
      <c r="E69" s="359"/>
      <c r="F69" s="359"/>
      <c r="G69" s="359"/>
      <c r="H69" s="359"/>
      <c r="I69" s="359"/>
      <c r="J69" s="359"/>
      <c r="K69" s="359"/>
      <c r="R69" s="360"/>
    </row>
    <row r="70" spans="1:26">
      <c r="A70" s="357"/>
      <c r="L70" s="253"/>
      <c r="M70" s="253"/>
      <c r="N70" s="253"/>
      <c r="O70" s="253"/>
      <c r="P70" s="253"/>
      <c r="Q70" s="253"/>
    </row>
    <row r="71" spans="1:26">
      <c r="A71" s="357"/>
    </row>
    <row r="72" spans="1:26" ht="46.5">
      <c r="A72" s="837" t="s">
        <v>46</v>
      </c>
      <c r="B72" s="838"/>
      <c r="C72" s="838"/>
      <c r="D72" s="838"/>
      <c r="E72" s="838"/>
      <c r="F72" s="838"/>
      <c r="G72" s="838"/>
      <c r="H72" s="838"/>
      <c r="I72" s="838"/>
      <c r="J72" s="838"/>
      <c r="K72" s="838"/>
      <c r="L72" s="838"/>
      <c r="M72" s="838"/>
      <c r="N72" s="838"/>
      <c r="O72" s="838"/>
      <c r="P72" s="838"/>
      <c r="Q72" s="838"/>
      <c r="R72" s="839"/>
    </row>
    <row r="73" spans="1:26" ht="35.1" customHeight="1">
      <c r="A73" s="835" t="s">
        <v>33</v>
      </c>
      <c r="B73" s="833" t="s">
        <v>27</v>
      </c>
      <c r="C73" s="834"/>
      <c r="D73" s="833" t="s">
        <v>29</v>
      </c>
      <c r="E73" s="834"/>
      <c r="F73" s="835" t="s">
        <v>28</v>
      </c>
      <c r="G73" s="835" t="s">
        <v>36</v>
      </c>
      <c r="H73" s="835" t="s">
        <v>30</v>
      </c>
      <c r="I73" s="835" t="s">
        <v>31</v>
      </c>
      <c r="J73" s="835" t="s">
        <v>41</v>
      </c>
      <c r="K73" s="835" t="s">
        <v>35</v>
      </c>
      <c r="L73" s="835" t="s">
        <v>40</v>
      </c>
      <c r="M73" s="835" t="s">
        <v>42</v>
      </c>
      <c r="N73" s="835" t="s">
        <v>45</v>
      </c>
      <c r="O73" s="835" t="s">
        <v>279</v>
      </c>
      <c r="P73" s="833" t="s">
        <v>49</v>
      </c>
      <c r="Q73" s="834"/>
      <c r="R73" s="835" t="s">
        <v>34</v>
      </c>
    </row>
    <row r="74" spans="1:26" ht="35.1" customHeight="1">
      <c r="A74" s="836"/>
      <c r="B74" s="361" t="s">
        <v>43</v>
      </c>
      <c r="C74" s="361" t="s">
        <v>44</v>
      </c>
      <c r="D74" s="361" t="s">
        <v>43</v>
      </c>
      <c r="E74" s="361" t="s">
        <v>44</v>
      </c>
      <c r="F74" s="836"/>
      <c r="G74" s="836"/>
      <c r="H74" s="836"/>
      <c r="I74" s="836"/>
      <c r="J74" s="836"/>
      <c r="K74" s="836"/>
      <c r="L74" s="836"/>
      <c r="M74" s="836"/>
      <c r="N74" s="836"/>
      <c r="O74" s="836"/>
      <c r="P74" s="362" t="s">
        <v>50</v>
      </c>
      <c r="Q74" s="362" t="s">
        <v>51</v>
      </c>
      <c r="R74" s="836"/>
      <c r="S74" s="372" t="s">
        <v>173</v>
      </c>
      <c r="T74" s="372" t="s">
        <v>291</v>
      </c>
      <c r="U74" s="372" t="s">
        <v>174</v>
      </c>
      <c r="V74" s="372" t="s">
        <v>292</v>
      </c>
      <c r="W74" s="372" t="s">
        <v>28</v>
      </c>
      <c r="X74" s="372" t="s">
        <v>175</v>
      </c>
      <c r="Y74" s="726"/>
    </row>
    <row r="75" spans="1:26">
      <c r="A75" s="2" t="s">
        <v>77</v>
      </c>
      <c r="B75" s="16">
        <v>26478.26</v>
      </c>
      <c r="C75" s="16">
        <v>14912.899999999998</v>
      </c>
      <c r="D75" s="16">
        <v>1521.72</v>
      </c>
      <c r="E75" s="16">
        <v>892.10000000000014</v>
      </c>
      <c r="F75" s="16">
        <v>20403.39</v>
      </c>
      <c r="G75" s="16">
        <v>543.45000000000005</v>
      </c>
      <c r="H75" s="16">
        <v>1128.8399999999999</v>
      </c>
      <c r="I75" s="16">
        <v>0</v>
      </c>
      <c r="J75" s="16">
        <v>3333.6400000000003</v>
      </c>
      <c r="K75" s="16">
        <v>0</v>
      </c>
      <c r="L75" s="16">
        <v>0</v>
      </c>
      <c r="M75" s="16">
        <v>0</v>
      </c>
      <c r="N75" s="16">
        <v>95.1</v>
      </c>
      <c r="O75" s="16">
        <v>0</v>
      </c>
      <c r="P75" s="16">
        <v>0</v>
      </c>
      <c r="Q75" s="16">
        <v>0</v>
      </c>
      <c r="R75" s="8">
        <f t="shared" ref="R75:R101" si="68">SUM(B75:Q75)</f>
        <v>69309.399999999994</v>
      </c>
      <c r="S75" s="363">
        <f>B75</f>
        <v>26478.26</v>
      </c>
      <c r="T75" s="363">
        <f>C75</f>
        <v>14912.899999999998</v>
      </c>
      <c r="U75" s="363">
        <f>D75</f>
        <v>1521.72</v>
      </c>
      <c r="V75" s="363">
        <f>E75</f>
        <v>892.10000000000014</v>
      </c>
      <c r="W75" s="363">
        <f>F75+G75</f>
        <v>20946.84</v>
      </c>
      <c r="X75" s="363">
        <f>SUM(H75:Q75)</f>
        <v>4557.5800000000008</v>
      </c>
      <c r="Z75" s="390"/>
    </row>
    <row r="76" spans="1:26">
      <c r="A76" s="2" t="s">
        <v>78</v>
      </c>
      <c r="B76" s="16">
        <v>138568.51999999999</v>
      </c>
      <c r="C76" s="16">
        <v>24044.00999999998</v>
      </c>
      <c r="D76" s="16">
        <v>2736.98</v>
      </c>
      <c r="E76" s="16">
        <v>469.32000000000016</v>
      </c>
      <c r="F76" s="16">
        <v>79746.240000000005</v>
      </c>
      <c r="G76" s="16">
        <v>4238.91</v>
      </c>
      <c r="H76" s="16">
        <v>2964.6800000000003</v>
      </c>
      <c r="I76" s="16">
        <v>0</v>
      </c>
      <c r="J76" s="16">
        <v>3830.77</v>
      </c>
      <c r="K76" s="16">
        <v>434.76</v>
      </c>
      <c r="L76" s="16">
        <v>0</v>
      </c>
      <c r="M76" s="16">
        <v>0</v>
      </c>
      <c r="N76" s="16">
        <v>126.8</v>
      </c>
      <c r="O76" s="16">
        <v>0</v>
      </c>
      <c r="P76" s="16">
        <v>0</v>
      </c>
      <c r="Q76" s="16">
        <v>0</v>
      </c>
      <c r="R76" s="8">
        <f t="shared" si="68"/>
        <v>257160.99</v>
      </c>
      <c r="S76" s="363">
        <f t="shared" ref="S76:V101" si="69">B76</f>
        <v>138568.51999999999</v>
      </c>
      <c r="T76" s="363">
        <f t="shared" si="69"/>
        <v>24044.00999999998</v>
      </c>
      <c r="U76" s="363">
        <f t="shared" si="69"/>
        <v>2736.98</v>
      </c>
      <c r="V76" s="363">
        <f t="shared" si="69"/>
        <v>469.32000000000016</v>
      </c>
      <c r="W76" s="363">
        <f t="shared" ref="W76:W101" si="70">F76+G76</f>
        <v>83985.150000000009</v>
      </c>
      <c r="X76" s="363">
        <f t="shared" ref="X76:X101" si="71">SUM(H76:Q76)</f>
        <v>7357.0100000000011</v>
      </c>
      <c r="Z76" s="390"/>
    </row>
    <row r="77" spans="1:26">
      <c r="A77" s="2" t="s">
        <v>79</v>
      </c>
      <c r="B77" s="16">
        <v>27724.91</v>
      </c>
      <c r="C77" s="16">
        <v>7543.8599999999969</v>
      </c>
      <c r="D77" s="16">
        <v>2105.04</v>
      </c>
      <c r="E77" s="16">
        <v>3299.76</v>
      </c>
      <c r="F77" s="16">
        <v>24237.87</v>
      </c>
      <c r="G77" s="16">
        <v>1521.66</v>
      </c>
      <c r="H77" s="16">
        <v>738.42</v>
      </c>
      <c r="I77" s="16">
        <v>1565.91</v>
      </c>
      <c r="J77" s="16">
        <v>2268.66</v>
      </c>
      <c r="K77" s="16">
        <v>978.21</v>
      </c>
      <c r="L77" s="16">
        <v>0</v>
      </c>
      <c r="M77" s="16">
        <v>0</v>
      </c>
      <c r="N77" s="16">
        <v>31.7</v>
      </c>
      <c r="O77" s="16">
        <v>0</v>
      </c>
      <c r="P77" s="16">
        <v>0</v>
      </c>
      <c r="Q77" s="16">
        <v>0</v>
      </c>
      <c r="R77" s="8">
        <f t="shared" si="68"/>
        <v>72016.000000000015</v>
      </c>
      <c r="S77" s="363">
        <f t="shared" si="69"/>
        <v>27724.91</v>
      </c>
      <c r="T77" s="363">
        <f t="shared" si="69"/>
        <v>7543.8599999999969</v>
      </c>
      <c r="U77" s="363">
        <f t="shared" si="69"/>
        <v>2105.04</v>
      </c>
      <c r="V77" s="363">
        <f t="shared" si="69"/>
        <v>3299.76</v>
      </c>
      <c r="W77" s="363">
        <f t="shared" si="70"/>
        <v>25759.53</v>
      </c>
      <c r="X77" s="363">
        <f t="shared" si="71"/>
        <v>5582.9</v>
      </c>
      <c r="Z77" s="390"/>
    </row>
    <row r="78" spans="1:26">
      <c r="A78" s="2" t="s">
        <v>80</v>
      </c>
      <c r="B78" s="16">
        <v>70465.19</v>
      </c>
      <c r="C78" s="16">
        <v>16429.080000000002</v>
      </c>
      <c r="D78" s="16">
        <v>1876.78</v>
      </c>
      <c r="E78" s="16">
        <v>3037.1900000000005</v>
      </c>
      <c r="F78" s="16">
        <v>65866.14</v>
      </c>
      <c r="G78" s="16">
        <v>1847.73</v>
      </c>
      <c r="H78" s="16">
        <v>1943.2100000000003</v>
      </c>
      <c r="I78" s="16">
        <v>0</v>
      </c>
      <c r="J78" s="16">
        <v>3926.9900000000002</v>
      </c>
      <c r="K78" s="16">
        <v>108.69</v>
      </c>
      <c r="L78" s="16">
        <v>0</v>
      </c>
      <c r="M78" s="16">
        <v>1619</v>
      </c>
      <c r="N78" s="16">
        <v>158.5</v>
      </c>
      <c r="O78" s="16">
        <v>0</v>
      </c>
      <c r="P78" s="16">
        <v>0</v>
      </c>
      <c r="Q78" s="16">
        <v>0</v>
      </c>
      <c r="R78" s="8">
        <f t="shared" si="68"/>
        <v>167278.5</v>
      </c>
      <c r="S78" s="363">
        <f t="shared" si="69"/>
        <v>70465.19</v>
      </c>
      <c r="T78" s="363">
        <f t="shared" si="69"/>
        <v>16429.080000000002</v>
      </c>
      <c r="U78" s="363">
        <f t="shared" si="69"/>
        <v>1876.78</v>
      </c>
      <c r="V78" s="363">
        <f t="shared" si="69"/>
        <v>3037.1900000000005</v>
      </c>
      <c r="W78" s="363">
        <f t="shared" si="70"/>
        <v>67713.87</v>
      </c>
      <c r="X78" s="363">
        <f t="shared" si="71"/>
        <v>7756.39</v>
      </c>
      <c r="Z78" s="390"/>
    </row>
    <row r="79" spans="1:26">
      <c r="A79" s="2" t="s">
        <v>81</v>
      </c>
      <c r="B79" s="16">
        <v>350341.55</v>
      </c>
      <c r="C79" s="16">
        <v>48278.410000000033</v>
      </c>
      <c r="D79" s="16">
        <v>10377.26</v>
      </c>
      <c r="E79" s="16">
        <v>6814.6799999999985</v>
      </c>
      <c r="F79" s="16">
        <v>227270.79</v>
      </c>
      <c r="G79" s="16">
        <v>4564.9800000000005</v>
      </c>
      <c r="H79" s="16">
        <v>6622.5599999999995</v>
      </c>
      <c r="I79" s="16">
        <v>0</v>
      </c>
      <c r="J79" s="16">
        <v>11309.150000000001</v>
      </c>
      <c r="K79" s="16">
        <v>434.76</v>
      </c>
      <c r="L79" s="16">
        <v>0</v>
      </c>
      <c r="M79" s="16">
        <v>0</v>
      </c>
      <c r="N79" s="16">
        <v>884.47</v>
      </c>
      <c r="O79" s="16">
        <v>0</v>
      </c>
      <c r="P79" s="16">
        <v>38.24</v>
      </c>
      <c r="Q79" s="16">
        <v>382.38</v>
      </c>
      <c r="R79" s="8">
        <f t="shared" si="68"/>
        <v>667319.2300000001</v>
      </c>
      <c r="S79" s="363">
        <f t="shared" si="69"/>
        <v>350341.55</v>
      </c>
      <c r="T79" s="363">
        <f t="shared" si="69"/>
        <v>48278.410000000033</v>
      </c>
      <c r="U79" s="363">
        <f t="shared" si="69"/>
        <v>10377.26</v>
      </c>
      <c r="V79" s="363">
        <f t="shared" si="69"/>
        <v>6814.6799999999985</v>
      </c>
      <c r="W79" s="363">
        <f t="shared" si="70"/>
        <v>231835.77000000002</v>
      </c>
      <c r="X79" s="363">
        <f t="shared" si="71"/>
        <v>19671.560000000001</v>
      </c>
      <c r="Z79" s="390"/>
    </row>
    <row r="80" spans="1:26">
      <c r="A80" s="2" t="s">
        <v>82</v>
      </c>
      <c r="B80" s="16">
        <v>252180.89</v>
      </c>
      <c r="C80" s="16">
        <v>33131.349999999977</v>
      </c>
      <c r="D80" s="16">
        <v>4772.26</v>
      </c>
      <c r="E80" s="16">
        <v>14183.78</v>
      </c>
      <c r="F80" s="16">
        <v>133906.07999999999</v>
      </c>
      <c r="G80" s="16">
        <v>2825.94</v>
      </c>
      <c r="H80" s="16">
        <v>5035.7499999999991</v>
      </c>
      <c r="I80" s="16">
        <v>0</v>
      </c>
      <c r="J80" s="16">
        <v>10183.58</v>
      </c>
      <c r="K80" s="16">
        <v>760.83</v>
      </c>
      <c r="L80" s="16">
        <v>0</v>
      </c>
      <c r="M80" s="16">
        <v>0</v>
      </c>
      <c r="N80" s="16">
        <v>507.2</v>
      </c>
      <c r="O80" s="16">
        <v>0</v>
      </c>
      <c r="P80" s="16">
        <v>0</v>
      </c>
      <c r="Q80" s="16">
        <v>0</v>
      </c>
      <c r="R80" s="8">
        <f t="shared" si="68"/>
        <v>457487.66000000003</v>
      </c>
      <c r="S80" s="363">
        <f t="shared" si="69"/>
        <v>252180.89</v>
      </c>
      <c r="T80" s="363">
        <f t="shared" si="69"/>
        <v>33131.349999999977</v>
      </c>
      <c r="U80" s="363">
        <f t="shared" si="69"/>
        <v>4772.26</v>
      </c>
      <c r="V80" s="363">
        <f t="shared" si="69"/>
        <v>14183.78</v>
      </c>
      <c r="W80" s="363">
        <f t="shared" si="70"/>
        <v>136732.01999999999</v>
      </c>
      <c r="X80" s="363">
        <f t="shared" si="71"/>
        <v>16487.359999999997</v>
      </c>
      <c r="Z80" s="390"/>
    </row>
    <row r="81" spans="1:26">
      <c r="A81" s="2" t="s">
        <v>83</v>
      </c>
      <c r="B81" s="16">
        <v>446425.47</v>
      </c>
      <c r="C81" s="16">
        <v>50616.420000000042</v>
      </c>
      <c r="D81" s="16">
        <v>11043.01</v>
      </c>
      <c r="E81" s="16">
        <v>5024.66</v>
      </c>
      <c r="F81" s="16">
        <v>147709.71</v>
      </c>
      <c r="G81" s="16">
        <v>6086.6399999999994</v>
      </c>
      <c r="H81" s="16">
        <v>5401.26</v>
      </c>
      <c r="I81" s="16">
        <v>0</v>
      </c>
      <c r="J81" s="16">
        <v>11382.39</v>
      </c>
      <c r="K81" s="16">
        <v>760.83</v>
      </c>
      <c r="L81" s="16">
        <v>0</v>
      </c>
      <c r="M81" s="16">
        <v>380.94</v>
      </c>
      <c r="N81" s="16">
        <v>729.1</v>
      </c>
      <c r="O81" s="16">
        <v>0</v>
      </c>
      <c r="P81" s="16">
        <v>0</v>
      </c>
      <c r="Q81" s="16">
        <v>0</v>
      </c>
      <c r="R81" s="8">
        <f t="shared" si="68"/>
        <v>685560.42999999993</v>
      </c>
      <c r="S81" s="363">
        <f t="shared" si="69"/>
        <v>446425.47</v>
      </c>
      <c r="T81" s="363">
        <f t="shared" si="69"/>
        <v>50616.420000000042</v>
      </c>
      <c r="U81" s="363">
        <f t="shared" si="69"/>
        <v>11043.01</v>
      </c>
      <c r="V81" s="363">
        <f t="shared" si="69"/>
        <v>5024.66</v>
      </c>
      <c r="W81" s="363">
        <f t="shared" si="70"/>
        <v>153796.34999999998</v>
      </c>
      <c r="X81" s="363">
        <f t="shared" si="71"/>
        <v>18654.52</v>
      </c>
      <c r="Z81" s="390"/>
    </row>
    <row r="82" spans="1:26">
      <c r="A82" s="2" t="s">
        <v>84</v>
      </c>
      <c r="B82" s="16">
        <v>416277.38</v>
      </c>
      <c r="C82" s="16">
        <v>37236.760000000009</v>
      </c>
      <c r="D82" s="16">
        <v>11704.53</v>
      </c>
      <c r="E82" s="16">
        <v>3436.4299999999985</v>
      </c>
      <c r="F82" s="16">
        <v>134232.15</v>
      </c>
      <c r="G82" s="16">
        <v>7282.23</v>
      </c>
      <c r="H82" s="16">
        <v>4354.01</v>
      </c>
      <c r="I82" s="16">
        <v>326.07</v>
      </c>
      <c r="J82" s="16">
        <v>8315.73</v>
      </c>
      <c r="K82" s="16">
        <v>978.21</v>
      </c>
      <c r="L82" s="16">
        <v>0</v>
      </c>
      <c r="M82" s="16">
        <v>0</v>
      </c>
      <c r="N82" s="16">
        <v>570.6</v>
      </c>
      <c r="O82" s="16">
        <v>0</v>
      </c>
      <c r="P82" s="16">
        <v>0</v>
      </c>
      <c r="Q82" s="16">
        <v>0</v>
      </c>
      <c r="R82" s="8">
        <f t="shared" si="68"/>
        <v>624714.09999999986</v>
      </c>
      <c r="S82" s="363">
        <f t="shared" si="69"/>
        <v>416277.38</v>
      </c>
      <c r="T82" s="363">
        <f t="shared" si="69"/>
        <v>37236.760000000009</v>
      </c>
      <c r="U82" s="363">
        <f t="shared" si="69"/>
        <v>11704.53</v>
      </c>
      <c r="V82" s="363">
        <f t="shared" si="69"/>
        <v>3436.4299999999985</v>
      </c>
      <c r="W82" s="363">
        <f t="shared" si="70"/>
        <v>141514.38</v>
      </c>
      <c r="X82" s="363">
        <f t="shared" si="71"/>
        <v>14544.62</v>
      </c>
      <c r="Z82" s="390"/>
    </row>
    <row r="83" spans="1:26">
      <c r="A83" s="2" t="s">
        <v>85</v>
      </c>
      <c r="B83" s="16">
        <v>278254.56</v>
      </c>
      <c r="C83" s="16">
        <v>42364.299999999988</v>
      </c>
      <c r="D83" s="16">
        <v>11239.55</v>
      </c>
      <c r="E83" s="16">
        <v>7532.2000000000007</v>
      </c>
      <c r="F83" s="16">
        <v>259986.48</v>
      </c>
      <c r="G83" s="16">
        <v>5543.1900000000005</v>
      </c>
      <c r="H83" s="16">
        <v>4940.92</v>
      </c>
      <c r="I83" s="16">
        <v>0</v>
      </c>
      <c r="J83" s="16">
        <v>10230.19</v>
      </c>
      <c r="K83" s="16">
        <v>326.07</v>
      </c>
      <c r="L83" s="16">
        <v>0</v>
      </c>
      <c r="M83" s="16">
        <v>0</v>
      </c>
      <c r="N83" s="16">
        <v>538.9</v>
      </c>
      <c r="O83" s="16">
        <v>0</v>
      </c>
      <c r="P83" s="16">
        <v>0</v>
      </c>
      <c r="Q83" s="16">
        <v>0</v>
      </c>
      <c r="R83" s="8">
        <f t="shared" si="68"/>
        <v>620956.35999999987</v>
      </c>
      <c r="S83" s="363">
        <f t="shared" si="69"/>
        <v>278254.56</v>
      </c>
      <c r="T83" s="363">
        <f t="shared" si="69"/>
        <v>42364.299999999988</v>
      </c>
      <c r="U83" s="363">
        <f t="shared" si="69"/>
        <v>11239.55</v>
      </c>
      <c r="V83" s="363">
        <f t="shared" si="69"/>
        <v>7532.2000000000007</v>
      </c>
      <c r="W83" s="363">
        <f t="shared" si="70"/>
        <v>265529.67</v>
      </c>
      <c r="X83" s="363">
        <f t="shared" si="71"/>
        <v>16036.08</v>
      </c>
      <c r="Z83" s="390"/>
    </row>
    <row r="84" spans="1:26">
      <c r="A84" s="2" t="s">
        <v>86</v>
      </c>
      <c r="B84" s="16">
        <v>88942.68</v>
      </c>
      <c r="C84" s="16">
        <v>18553.100000000006</v>
      </c>
      <c r="D84" s="16">
        <v>4036.78</v>
      </c>
      <c r="E84" s="16">
        <v>2691.93</v>
      </c>
      <c r="F84" s="16">
        <v>69887.67</v>
      </c>
      <c r="G84" s="16">
        <v>2825.94</v>
      </c>
      <c r="H84" s="16">
        <v>1638.9800000000002</v>
      </c>
      <c r="I84" s="16">
        <v>0</v>
      </c>
      <c r="J84" s="16">
        <v>4284.46</v>
      </c>
      <c r="K84" s="16">
        <v>434.76</v>
      </c>
      <c r="L84" s="16">
        <v>0</v>
      </c>
      <c r="M84" s="16">
        <v>0</v>
      </c>
      <c r="N84" s="16">
        <v>63.4</v>
      </c>
      <c r="O84" s="16">
        <v>0</v>
      </c>
      <c r="P84" s="16">
        <v>0</v>
      </c>
      <c r="Q84" s="16">
        <v>0</v>
      </c>
      <c r="R84" s="8">
        <f t="shared" si="68"/>
        <v>193359.69999999998</v>
      </c>
      <c r="S84" s="363">
        <f t="shared" si="69"/>
        <v>88942.68</v>
      </c>
      <c r="T84" s="363">
        <f t="shared" si="69"/>
        <v>18553.100000000006</v>
      </c>
      <c r="U84" s="363">
        <f t="shared" si="69"/>
        <v>4036.78</v>
      </c>
      <c r="V84" s="363">
        <f t="shared" si="69"/>
        <v>2691.93</v>
      </c>
      <c r="W84" s="363">
        <f t="shared" si="70"/>
        <v>72713.61</v>
      </c>
      <c r="X84" s="363">
        <f t="shared" si="71"/>
        <v>6421.6</v>
      </c>
      <c r="Z84" s="390"/>
    </row>
    <row r="85" spans="1:26">
      <c r="A85" s="2" t="s">
        <v>87</v>
      </c>
      <c r="B85" s="16">
        <v>178894.06</v>
      </c>
      <c r="C85" s="16">
        <v>23740</v>
      </c>
      <c r="D85" s="16">
        <v>6974.48</v>
      </c>
      <c r="E85" s="16">
        <v>7391.7999999999993</v>
      </c>
      <c r="F85" s="16">
        <v>259551.72</v>
      </c>
      <c r="G85" s="16">
        <v>3804.15</v>
      </c>
      <c r="H85" s="16">
        <v>3052.49</v>
      </c>
      <c r="I85" s="16">
        <v>0</v>
      </c>
      <c r="J85" s="16">
        <v>5881.5199999999995</v>
      </c>
      <c r="K85" s="16">
        <v>543.45000000000005</v>
      </c>
      <c r="L85" s="16">
        <v>0</v>
      </c>
      <c r="M85" s="16">
        <v>0</v>
      </c>
      <c r="N85" s="16">
        <v>443.8</v>
      </c>
      <c r="O85" s="16">
        <v>0</v>
      </c>
      <c r="P85" s="16">
        <v>0</v>
      </c>
      <c r="Q85" s="16">
        <v>0</v>
      </c>
      <c r="R85" s="8">
        <f t="shared" si="68"/>
        <v>490277.47000000003</v>
      </c>
      <c r="S85" s="363">
        <f t="shared" si="69"/>
        <v>178894.06</v>
      </c>
      <c r="T85" s="363">
        <f t="shared" si="69"/>
        <v>23740</v>
      </c>
      <c r="U85" s="363">
        <f t="shared" si="69"/>
        <v>6974.48</v>
      </c>
      <c r="V85" s="363">
        <f t="shared" si="69"/>
        <v>7391.7999999999993</v>
      </c>
      <c r="W85" s="363">
        <f t="shared" si="70"/>
        <v>263355.87</v>
      </c>
      <c r="X85" s="363">
        <f t="shared" si="71"/>
        <v>9921.2599999999984</v>
      </c>
      <c r="Z85" s="390"/>
    </row>
    <row r="86" spans="1:26">
      <c r="A86" s="2" t="s">
        <v>88</v>
      </c>
      <c r="B86" s="16">
        <v>205891.16</v>
      </c>
      <c r="C86" s="16">
        <v>36774.619999999995</v>
      </c>
      <c r="D86" s="16">
        <v>6072.05</v>
      </c>
      <c r="E86" s="16">
        <v>6948.3499999999995</v>
      </c>
      <c r="F86" s="16">
        <v>172491.03</v>
      </c>
      <c r="G86" s="16">
        <v>2285.0700000000002</v>
      </c>
      <c r="H86" s="16">
        <v>6053.93</v>
      </c>
      <c r="I86" s="16">
        <v>5913.74</v>
      </c>
      <c r="J86" s="16">
        <v>8242.16</v>
      </c>
      <c r="K86" s="16">
        <v>217.38</v>
      </c>
      <c r="L86" s="16">
        <v>0</v>
      </c>
      <c r="M86" s="16">
        <v>0</v>
      </c>
      <c r="N86" s="16">
        <v>380.4</v>
      </c>
      <c r="O86" s="16">
        <v>0</v>
      </c>
      <c r="P86" s="16">
        <v>338.86</v>
      </c>
      <c r="Q86" s="16">
        <v>0</v>
      </c>
      <c r="R86" s="8">
        <f t="shared" si="68"/>
        <v>451608.74999999994</v>
      </c>
      <c r="S86" s="363">
        <f t="shared" si="69"/>
        <v>205891.16</v>
      </c>
      <c r="T86" s="363">
        <f t="shared" si="69"/>
        <v>36774.619999999995</v>
      </c>
      <c r="U86" s="363">
        <f t="shared" si="69"/>
        <v>6072.05</v>
      </c>
      <c r="V86" s="363">
        <f t="shared" si="69"/>
        <v>6948.3499999999995</v>
      </c>
      <c r="W86" s="363">
        <f t="shared" si="70"/>
        <v>174776.1</v>
      </c>
      <c r="X86" s="363">
        <f t="shared" si="71"/>
        <v>21146.470000000005</v>
      </c>
      <c r="Z86" s="390"/>
    </row>
    <row r="87" spans="1:26">
      <c r="A87" s="2" t="s">
        <v>89</v>
      </c>
      <c r="B87" s="16">
        <v>1068456.55</v>
      </c>
      <c r="C87" s="16">
        <v>149654.51</v>
      </c>
      <c r="D87" s="16">
        <v>26531.67</v>
      </c>
      <c r="E87" s="16">
        <v>33473.47</v>
      </c>
      <c r="F87" s="16">
        <v>472258.05</v>
      </c>
      <c r="G87" s="16">
        <v>14347.08</v>
      </c>
      <c r="H87" s="16">
        <v>21629.31</v>
      </c>
      <c r="I87" s="16">
        <v>1078.24</v>
      </c>
      <c r="J87" s="16">
        <v>35342.53</v>
      </c>
      <c r="K87" s="16">
        <v>869.52</v>
      </c>
      <c r="L87" s="16">
        <v>217.38</v>
      </c>
      <c r="M87" s="16">
        <v>0</v>
      </c>
      <c r="N87" s="16">
        <v>1806.9</v>
      </c>
      <c r="O87" s="16">
        <v>0</v>
      </c>
      <c r="P87" s="16">
        <v>0</v>
      </c>
      <c r="Q87" s="16">
        <v>303.04000000000002</v>
      </c>
      <c r="R87" s="8">
        <f t="shared" si="68"/>
        <v>1825968.25</v>
      </c>
      <c r="S87" s="363">
        <f t="shared" si="69"/>
        <v>1068456.55</v>
      </c>
      <c r="T87" s="363">
        <f t="shared" si="69"/>
        <v>149654.51</v>
      </c>
      <c r="U87" s="363">
        <f t="shared" si="69"/>
        <v>26531.67</v>
      </c>
      <c r="V87" s="363">
        <f t="shared" si="69"/>
        <v>33473.47</v>
      </c>
      <c r="W87" s="363">
        <f t="shared" si="70"/>
        <v>486605.13</v>
      </c>
      <c r="X87" s="363">
        <f t="shared" si="71"/>
        <v>61246.92</v>
      </c>
      <c r="Z87" s="390"/>
    </row>
    <row r="88" spans="1:26">
      <c r="A88" s="2" t="s">
        <v>90</v>
      </c>
      <c r="B88" s="16">
        <v>127265.32</v>
      </c>
      <c r="C88" s="16">
        <v>27306.50999999998</v>
      </c>
      <c r="D88" s="16">
        <v>4902.95</v>
      </c>
      <c r="E88" s="16">
        <v>2807.24</v>
      </c>
      <c r="F88" s="16">
        <v>85913.13</v>
      </c>
      <c r="G88" s="16">
        <v>4347.6000000000004</v>
      </c>
      <c r="H88" s="16">
        <v>3230.3</v>
      </c>
      <c r="I88" s="16">
        <v>0</v>
      </c>
      <c r="J88" s="16">
        <v>6085.05</v>
      </c>
      <c r="K88" s="16">
        <v>1412.97</v>
      </c>
      <c r="L88" s="16">
        <v>0</v>
      </c>
      <c r="M88" s="16">
        <v>0</v>
      </c>
      <c r="N88" s="16">
        <v>602.29999999999995</v>
      </c>
      <c r="O88" s="16">
        <v>0</v>
      </c>
      <c r="P88" s="16">
        <v>0</v>
      </c>
      <c r="Q88" s="16">
        <v>0</v>
      </c>
      <c r="R88" s="8">
        <f t="shared" si="68"/>
        <v>263873.36999999994</v>
      </c>
      <c r="S88" s="363">
        <f t="shared" si="69"/>
        <v>127265.32</v>
      </c>
      <c r="T88" s="363">
        <f t="shared" si="69"/>
        <v>27306.50999999998</v>
      </c>
      <c r="U88" s="363">
        <f t="shared" si="69"/>
        <v>4902.95</v>
      </c>
      <c r="V88" s="363">
        <f t="shared" si="69"/>
        <v>2807.24</v>
      </c>
      <c r="W88" s="363">
        <f t="shared" si="70"/>
        <v>90260.73000000001</v>
      </c>
      <c r="X88" s="363">
        <f t="shared" si="71"/>
        <v>11330.619999999999</v>
      </c>
      <c r="Z88" s="390"/>
    </row>
    <row r="89" spans="1:26">
      <c r="A89" s="2" t="s">
        <v>91</v>
      </c>
      <c r="B89" s="16">
        <v>183923.83</v>
      </c>
      <c r="C89" s="16">
        <v>34763.760000000009</v>
      </c>
      <c r="D89" s="16">
        <v>3444.65</v>
      </c>
      <c r="E89" s="16">
        <v>5893.6299999999992</v>
      </c>
      <c r="F89" s="16">
        <v>91734.36</v>
      </c>
      <c r="G89" s="16">
        <v>4891.0499999999993</v>
      </c>
      <c r="H89" s="16">
        <v>3831.04</v>
      </c>
      <c r="I89" s="16">
        <v>0</v>
      </c>
      <c r="J89" s="16">
        <v>8196.93</v>
      </c>
      <c r="K89" s="16">
        <v>217.38</v>
      </c>
      <c r="L89" s="16">
        <v>217.38</v>
      </c>
      <c r="M89" s="16">
        <v>0</v>
      </c>
      <c r="N89" s="16">
        <v>253.6</v>
      </c>
      <c r="O89" s="16">
        <v>0</v>
      </c>
      <c r="P89" s="16">
        <v>0</v>
      </c>
      <c r="Q89" s="16">
        <v>0</v>
      </c>
      <c r="R89" s="8">
        <f t="shared" si="68"/>
        <v>337367.60999999993</v>
      </c>
      <c r="S89" s="363">
        <f t="shared" si="69"/>
        <v>183923.83</v>
      </c>
      <c r="T89" s="363">
        <f t="shared" si="69"/>
        <v>34763.760000000009</v>
      </c>
      <c r="U89" s="363">
        <f t="shared" si="69"/>
        <v>3444.65</v>
      </c>
      <c r="V89" s="363">
        <f t="shared" si="69"/>
        <v>5893.6299999999992</v>
      </c>
      <c r="W89" s="363">
        <f t="shared" si="70"/>
        <v>96625.41</v>
      </c>
      <c r="X89" s="363">
        <f t="shared" si="71"/>
        <v>12716.33</v>
      </c>
      <c r="Z89" s="390"/>
    </row>
    <row r="90" spans="1:26">
      <c r="A90" s="2" t="s">
        <v>92</v>
      </c>
      <c r="B90" s="16">
        <v>989690.4</v>
      </c>
      <c r="C90" s="16">
        <v>138109.32999999996</v>
      </c>
      <c r="D90" s="16">
        <v>27574.7</v>
      </c>
      <c r="E90" s="16">
        <v>29621.91</v>
      </c>
      <c r="F90" s="16">
        <v>612576.84</v>
      </c>
      <c r="G90" s="16">
        <v>11412.45</v>
      </c>
      <c r="H90" s="16">
        <v>15655.27</v>
      </c>
      <c r="I90" s="16">
        <v>12388.23</v>
      </c>
      <c r="J90" s="16">
        <v>34048.81</v>
      </c>
      <c r="K90" s="16">
        <v>2934.63</v>
      </c>
      <c r="L90" s="16">
        <v>652.14</v>
      </c>
      <c r="M90" s="16">
        <v>0</v>
      </c>
      <c r="N90" s="16">
        <v>1458.2</v>
      </c>
      <c r="O90" s="16">
        <v>0</v>
      </c>
      <c r="P90" s="16">
        <v>0</v>
      </c>
      <c r="Q90" s="16">
        <v>0</v>
      </c>
      <c r="R90" s="8">
        <f t="shared" si="68"/>
        <v>1876122.9099999995</v>
      </c>
      <c r="S90" s="363">
        <f t="shared" si="69"/>
        <v>989690.4</v>
      </c>
      <c r="T90" s="363">
        <f t="shared" si="69"/>
        <v>138109.32999999996</v>
      </c>
      <c r="U90" s="363">
        <f t="shared" si="69"/>
        <v>27574.7</v>
      </c>
      <c r="V90" s="363">
        <f t="shared" si="69"/>
        <v>29621.91</v>
      </c>
      <c r="W90" s="363">
        <f t="shared" si="70"/>
        <v>623989.28999999992</v>
      </c>
      <c r="X90" s="363">
        <f t="shared" si="71"/>
        <v>67137.279999999999</v>
      </c>
      <c r="Z90" s="390"/>
    </row>
    <row r="91" spans="1:26">
      <c r="A91" s="2" t="s">
        <v>93</v>
      </c>
      <c r="B91" s="16">
        <v>338556.6</v>
      </c>
      <c r="C91" s="16">
        <v>63511.869999999995</v>
      </c>
      <c r="D91" s="16">
        <v>9905.92</v>
      </c>
      <c r="E91" s="16">
        <v>7422.9999999999982</v>
      </c>
      <c r="F91" s="16">
        <v>165208.79999999999</v>
      </c>
      <c r="G91" s="16">
        <v>7608.3</v>
      </c>
      <c r="H91" s="16">
        <v>6443.18</v>
      </c>
      <c r="I91" s="16">
        <v>4494.42</v>
      </c>
      <c r="J91" s="16">
        <v>14738.77</v>
      </c>
      <c r="K91" s="16">
        <v>434.76</v>
      </c>
      <c r="L91" s="16">
        <v>0</v>
      </c>
      <c r="M91" s="16">
        <v>0</v>
      </c>
      <c r="N91" s="16">
        <v>697.4</v>
      </c>
      <c r="O91" s="16">
        <v>0</v>
      </c>
      <c r="P91" s="16">
        <v>0</v>
      </c>
      <c r="Q91" s="16">
        <v>0</v>
      </c>
      <c r="R91" s="8">
        <f t="shared" si="68"/>
        <v>619023.02000000014</v>
      </c>
      <c r="S91" s="363">
        <f t="shared" si="69"/>
        <v>338556.6</v>
      </c>
      <c r="T91" s="363">
        <f t="shared" si="69"/>
        <v>63511.869999999995</v>
      </c>
      <c r="U91" s="363">
        <f t="shared" si="69"/>
        <v>9905.92</v>
      </c>
      <c r="V91" s="363">
        <f t="shared" si="69"/>
        <v>7422.9999999999982</v>
      </c>
      <c r="W91" s="363">
        <f t="shared" si="70"/>
        <v>172817.09999999998</v>
      </c>
      <c r="X91" s="363">
        <f t="shared" si="71"/>
        <v>26808.530000000002</v>
      </c>
      <c r="Z91" s="390"/>
    </row>
    <row r="92" spans="1:26">
      <c r="A92" s="2" t="s">
        <v>94</v>
      </c>
      <c r="B92" s="16">
        <v>92819.41</v>
      </c>
      <c r="C92" s="16">
        <v>7164.8499999999913</v>
      </c>
      <c r="D92" s="16">
        <v>2434.7399999999998</v>
      </c>
      <c r="E92" s="16">
        <v>1533.4500000000003</v>
      </c>
      <c r="F92" s="16">
        <v>47704.17</v>
      </c>
      <c r="G92" s="16">
        <v>2499.87</v>
      </c>
      <c r="H92" s="16">
        <v>671.37</v>
      </c>
      <c r="I92" s="16">
        <v>0</v>
      </c>
      <c r="J92" s="16">
        <v>1685.02</v>
      </c>
      <c r="K92" s="16">
        <v>0</v>
      </c>
      <c r="L92" s="16">
        <v>0</v>
      </c>
      <c r="M92" s="16">
        <v>0</v>
      </c>
      <c r="N92" s="16">
        <v>63.4</v>
      </c>
      <c r="O92" s="16">
        <v>0</v>
      </c>
      <c r="P92" s="16">
        <v>0</v>
      </c>
      <c r="Q92" s="16">
        <v>0</v>
      </c>
      <c r="R92" s="8">
        <f t="shared" si="68"/>
        <v>156576.27999999997</v>
      </c>
      <c r="S92" s="363">
        <f t="shared" si="69"/>
        <v>92819.41</v>
      </c>
      <c r="T92" s="363">
        <f t="shared" si="69"/>
        <v>7164.8499999999913</v>
      </c>
      <c r="U92" s="363">
        <f t="shared" si="69"/>
        <v>2434.7399999999998</v>
      </c>
      <c r="V92" s="363">
        <f t="shared" si="69"/>
        <v>1533.4500000000003</v>
      </c>
      <c r="W92" s="363">
        <f t="shared" si="70"/>
        <v>50204.04</v>
      </c>
      <c r="X92" s="363">
        <f t="shared" si="71"/>
        <v>2419.79</v>
      </c>
      <c r="Z92" s="390"/>
    </row>
    <row r="93" spans="1:26">
      <c r="A93" s="2" t="s">
        <v>95</v>
      </c>
      <c r="B93" s="16">
        <v>1084229.46</v>
      </c>
      <c r="C93" s="16">
        <v>122402.74000000022</v>
      </c>
      <c r="D93" s="16">
        <v>47383.5</v>
      </c>
      <c r="E93" s="16">
        <v>29086</v>
      </c>
      <c r="F93" s="16">
        <v>551157.54</v>
      </c>
      <c r="G93" s="16">
        <v>18477.3</v>
      </c>
      <c r="H93" s="16">
        <v>15031.590000000002</v>
      </c>
      <c r="I93" s="16">
        <v>6072.16</v>
      </c>
      <c r="J93" s="16">
        <v>29461.5</v>
      </c>
      <c r="K93" s="16">
        <v>2163.06</v>
      </c>
      <c r="L93" s="16">
        <v>0</v>
      </c>
      <c r="M93" s="16">
        <v>0</v>
      </c>
      <c r="N93" s="16">
        <v>2529.7399999999998</v>
      </c>
      <c r="O93" s="16">
        <v>0</v>
      </c>
      <c r="P93" s="16">
        <v>0</v>
      </c>
      <c r="Q93" s="16">
        <v>0</v>
      </c>
      <c r="R93" s="8">
        <f t="shared" si="68"/>
        <v>1907994.5900000003</v>
      </c>
      <c r="S93" s="363">
        <f t="shared" si="69"/>
        <v>1084229.46</v>
      </c>
      <c r="T93" s="363">
        <f t="shared" si="69"/>
        <v>122402.74000000022</v>
      </c>
      <c r="U93" s="363">
        <f t="shared" si="69"/>
        <v>47383.5</v>
      </c>
      <c r="V93" s="363">
        <f t="shared" si="69"/>
        <v>29086</v>
      </c>
      <c r="W93" s="363">
        <f t="shared" si="70"/>
        <v>569634.84000000008</v>
      </c>
      <c r="X93" s="363">
        <f t="shared" si="71"/>
        <v>55258.049999999996</v>
      </c>
      <c r="Z93" s="390"/>
    </row>
    <row r="94" spans="1:26">
      <c r="A94" s="2" t="s">
        <v>96</v>
      </c>
      <c r="B94" s="16">
        <v>135778.71</v>
      </c>
      <c r="C94" s="16">
        <v>27485.139999999985</v>
      </c>
      <c r="D94" s="16">
        <v>2307.94</v>
      </c>
      <c r="E94" s="16">
        <v>2547.5800000000004</v>
      </c>
      <c r="F94" s="16">
        <v>83582.61</v>
      </c>
      <c r="G94" s="16">
        <v>3369.39</v>
      </c>
      <c r="H94" s="16">
        <v>3018.7599999999998</v>
      </c>
      <c r="I94" s="16">
        <v>326.07</v>
      </c>
      <c r="J94" s="16">
        <v>5922.93</v>
      </c>
      <c r="K94" s="16">
        <v>326.07</v>
      </c>
      <c r="L94" s="16">
        <v>0</v>
      </c>
      <c r="M94" s="16">
        <v>0</v>
      </c>
      <c r="N94" s="16">
        <v>412.1</v>
      </c>
      <c r="O94" s="16">
        <v>0</v>
      </c>
      <c r="P94" s="16">
        <v>0</v>
      </c>
      <c r="Q94" s="16">
        <v>0</v>
      </c>
      <c r="R94" s="8">
        <f t="shared" si="68"/>
        <v>265077.3</v>
      </c>
      <c r="S94" s="363">
        <f t="shared" si="69"/>
        <v>135778.71</v>
      </c>
      <c r="T94" s="363">
        <f t="shared" si="69"/>
        <v>27485.139999999985</v>
      </c>
      <c r="U94" s="363">
        <f t="shared" si="69"/>
        <v>2307.94</v>
      </c>
      <c r="V94" s="363">
        <f t="shared" si="69"/>
        <v>2547.5800000000004</v>
      </c>
      <c r="W94" s="363">
        <f t="shared" si="70"/>
        <v>86952</v>
      </c>
      <c r="X94" s="363">
        <f t="shared" si="71"/>
        <v>10005.93</v>
      </c>
      <c r="Z94" s="390"/>
    </row>
    <row r="95" spans="1:26">
      <c r="A95" s="2" t="s">
        <v>97</v>
      </c>
      <c r="B95" s="16">
        <v>1213105.26</v>
      </c>
      <c r="C95" s="16">
        <v>150586.84000000008</v>
      </c>
      <c r="D95" s="16">
        <v>32809.67</v>
      </c>
      <c r="E95" s="16">
        <v>43994.86</v>
      </c>
      <c r="F95" s="16">
        <v>828533.13</v>
      </c>
      <c r="G95" s="16">
        <v>12499.349999999999</v>
      </c>
      <c r="H95" s="16">
        <v>24498.98</v>
      </c>
      <c r="I95" s="16">
        <v>0</v>
      </c>
      <c r="J95" s="16">
        <v>40773.71</v>
      </c>
      <c r="K95" s="16">
        <v>1847.73</v>
      </c>
      <c r="L95" s="16">
        <v>217.38</v>
      </c>
      <c r="M95" s="16">
        <v>350.29</v>
      </c>
      <c r="N95" s="16">
        <v>1296.57</v>
      </c>
      <c r="O95" s="16">
        <v>0</v>
      </c>
      <c r="P95" s="16">
        <v>0</v>
      </c>
      <c r="Q95" s="16">
        <v>0</v>
      </c>
      <c r="R95" s="8">
        <f t="shared" si="68"/>
        <v>2350513.77</v>
      </c>
      <c r="S95" s="363">
        <f t="shared" si="69"/>
        <v>1213105.26</v>
      </c>
      <c r="T95" s="363">
        <f t="shared" si="69"/>
        <v>150586.84000000008</v>
      </c>
      <c r="U95" s="363">
        <f t="shared" si="69"/>
        <v>32809.67</v>
      </c>
      <c r="V95" s="363">
        <f t="shared" si="69"/>
        <v>43994.86</v>
      </c>
      <c r="W95" s="363">
        <f t="shared" si="70"/>
        <v>841032.48</v>
      </c>
      <c r="X95" s="363">
        <f t="shared" si="71"/>
        <v>68984.66</v>
      </c>
      <c r="Z95" s="390"/>
    </row>
    <row r="96" spans="1:26">
      <c r="A96" s="2" t="s">
        <v>98</v>
      </c>
      <c r="B96" s="16">
        <v>55721.41</v>
      </c>
      <c r="C96" s="16">
        <v>13662.330000000002</v>
      </c>
      <c r="D96" s="16">
        <v>2092.36</v>
      </c>
      <c r="E96" s="16">
        <v>4264.4399999999987</v>
      </c>
      <c r="F96" s="16">
        <v>69018.149999999994</v>
      </c>
      <c r="G96" s="16">
        <v>1521.66</v>
      </c>
      <c r="H96" s="16">
        <v>1553.17</v>
      </c>
      <c r="I96" s="16">
        <v>0</v>
      </c>
      <c r="J96" s="16">
        <v>3696.05</v>
      </c>
      <c r="K96" s="16">
        <v>434.76</v>
      </c>
      <c r="L96" s="16">
        <v>0</v>
      </c>
      <c r="M96" s="16">
        <v>0</v>
      </c>
      <c r="N96" s="16">
        <v>190.2</v>
      </c>
      <c r="O96" s="16">
        <v>0</v>
      </c>
      <c r="P96" s="16">
        <v>494.75</v>
      </c>
      <c r="Q96" s="16">
        <v>24.9</v>
      </c>
      <c r="R96" s="8">
        <f t="shared" si="68"/>
        <v>152674.18000000002</v>
      </c>
      <c r="S96" s="363">
        <f t="shared" si="69"/>
        <v>55721.41</v>
      </c>
      <c r="T96" s="363">
        <f t="shared" si="69"/>
        <v>13662.330000000002</v>
      </c>
      <c r="U96" s="363">
        <f t="shared" si="69"/>
        <v>2092.36</v>
      </c>
      <c r="V96" s="363">
        <f t="shared" si="69"/>
        <v>4264.4399999999987</v>
      </c>
      <c r="W96" s="363">
        <f t="shared" si="70"/>
        <v>70539.81</v>
      </c>
      <c r="X96" s="363">
        <f t="shared" si="71"/>
        <v>6393.83</v>
      </c>
      <c r="Z96" s="390"/>
    </row>
    <row r="97" spans="1:26">
      <c r="A97" s="2" t="s">
        <v>99</v>
      </c>
      <c r="B97" s="16">
        <v>14799.78</v>
      </c>
      <c r="C97" s="16">
        <v>5302.4999999999982</v>
      </c>
      <c r="D97" s="16">
        <v>549.51</v>
      </c>
      <c r="E97" s="16">
        <v>847.58999999999992</v>
      </c>
      <c r="F97" s="16">
        <v>16086.12</v>
      </c>
      <c r="G97" s="16">
        <v>543.45000000000005</v>
      </c>
      <c r="H97" s="16">
        <v>385.96999999999997</v>
      </c>
      <c r="I97" s="16">
        <v>0</v>
      </c>
      <c r="J97" s="16">
        <v>1244.78</v>
      </c>
      <c r="K97" s="16">
        <v>108.69</v>
      </c>
      <c r="L97" s="16">
        <v>0</v>
      </c>
      <c r="M97" s="16">
        <v>0</v>
      </c>
      <c r="N97" s="16">
        <v>63.4</v>
      </c>
      <c r="O97" s="16">
        <v>0</v>
      </c>
      <c r="P97" s="16">
        <v>0</v>
      </c>
      <c r="Q97" s="16">
        <v>0</v>
      </c>
      <c r="R97" s="8">
        <f t="shared" si="68"/>
        <v>39931.79</v>
      </c>
      <c r="S97" s="363">
        <f t="shared" si="69"/>
        <v>14799.78</v>
      </c>
      <c r="T97" s="363">
        <f t="shared" si="69"/>
        <v>5302.4999999999982</v>
      </c>
      <c r="U97" s="363">
        <f t="shared" si="69"/>
        <v>549.51</v>
      </c>
      <c r="V97" s="363">
        <f t="shared" si="69"/>
        <v>847.58999999999992</v>
      </c>
      <c r="W97" s="363">
        <f t="shared" si="70"/>
        <v>16629.57</v>
      </c>
      <c r="X97" s="363">
        <f t="shared" si="71"/>
        <v>1802.8400000000001</v>
      </c>
      <c r="Z97" s="390"/>
    </row>
    <row r="98" spans="1:26">
      <c r="A98" s="2" t="s">
        <v>100</v>
      </c>
      <c r="B98" s="16">
        <v>865199.15</v>
      </c>
      <c r="C98" s="16">
        <v>133689.97999999998</v>
      </c>
      <c r="D98" s="16">
        <v>25502.45</v>
      </c>
      <c r="E98" s="16">
        <v>35812.89</v>
      </c>
      <c r="F98" s="16">
        <v>497235.27</v>
      </c>
      <c r="G98" s="16">
        <v>6412.71</v>
      </c>
      <c r="H98" s="16">
        <v>24661.079999999998</v>
      </c>
      <c r="I98" s="16">
        <v>0</v>
      </c>
      <c r="J98" s="16">
        <v>35091.550000000003</v>
      </c>
      <c r="K98" s="16">
        <v>326.07</v>
      </c>
      <c r="L98" s="16">
        <v>0</v>
      </c>
      <c r="M98" s="16">
        <v>0</v>
      </c>
      <c r="N98" s="16">
        <v>1585</v>
      </c>
      <c r="O98" s="16">
        <v>0</v>
      </c>
      <c r="P98" s="16">
        <v>0</v>
      </c>
      <c r="Q98" s="16">
        <v>0</v>
      </c>
      <c r="R98" s="8">
        <f t="shared" si="68"/>
        <v>1625516.1500000001</v>
      </c>
      <c r="S98" s="363">
        <f t="shared" si="69"/>
        <v>865199.15</v>
      </c>
      <c r="T98" s="363">
        <f t="shared" si="69"/>
        <v>133689.97999999998</v>
      </c>
      <c r="U98" s="363">
        <f t="shared" si="69"/>
        <v>25502.45</v>
      </c>
      <c r="V98" s="363">
        <f t="shared" si="69"/>
        <v>35812.89</v>
      </c>
      <c r="W98" s="363">
        <f t="shared" si="70"/>
        <v>503647.98000000004</v>
      </c>
      <c r="X98" s="363">
        <f t="shared" si="71"/>
        <v>61663.700000000004</v>
      </c>
      <c r="Z98" s="390"/>
    </row>
    <row r="99" spans="1:26">
      <c r="A99" s="2" t="s">
        <v>101</v>
      </c>
      <c r="B99" s="16">
        <v>4150994.62</v>
      </c>
      <c r="C99" s="16">
        <v>641660.54</v>
      </c>
      <c r="D99" s="16">
        <v>125674.24000000001</v>
      </c>
      <c r="E99" s="16">
        <v>101175.8</v>
      </c>
      <c r="F99" s="16">
        <v>2800128.66</v>
      </c>
      <c r="G99" s="16">
        <v>49997.399999999994</v>
      </c>
      <c r="H99" s="16">
        <v>120234.76</v>
      </c>
      <c r="I99" s="16">
        <v>1928.34</v>
      </c>
      <c r="J99" s="16">
        <v>149706.66</v>
      </c>
      <c r="K99" s="16">
        <v>11412.45</v>
      </c>
      <c r="L99" s="16">
        <v>869.52</v>
      </c>
      <c r="M99" s="16">
        <v>0</v>
      </c>
      <c r="N99" s="16">
        <v>9380.07</v>
      </c>
      <c r="O99" s="16">
        <v>0</v>
      </c>
      <c r="P99" s="16">
        <v>760</v>
      </c>
      <c r="Q99" s="16">
        <v>14669.66</v>
      </c>
      <c r="R99" s="8">
        <f t="shared" si="68"/>
        <v>8178592.7200000007</v>
      </c>
      <c r="S99" s="363">
        <f t="shared" si="69"/>
        <v>4150994.62</v>
      </c>
      <c r="T99" s="363">
        <f t="shared" si="69"/>
        <v>641660.54</v>
      </c>
      <c r="U99" s="363">
        <f t="shared" si="69"/>
        <v>125674.24000000001</v>
      </c>
      <c r="V99" s="363">
        <f t="shared" si="69"/>
        <v>101175.8</v>
      </c>
      <c r="W99" s="363">
        <f t="shared" si="70"/>
        <v>2850126.06</v>
      </c>
      <c r="X99" s="363">
        <f t="shared" si="71"/>
        <v>308961.46000000002</v>
      </c>
      <c r="Z99" s="390"/>
    </row>
    <row r="100" spans="1:26">
      <c r="A100" s="2" t="s">
        <v>102</v>
      </c>
      <c r="B100" s="16">
        <v>78131.899999999994</v>
      </c>
      <c r="C100" s="16">
        <v>23160.440000000017</v>
      </c>
      <c r="D100" s="16">
        <v>1593.57</v>
      </c>
      <c r="E100" s="16">
        <v>966.97999999999979</v>
      </c>
      <c r="F100" s="16">
        <v>72702.87</v>
      </c>
      <c r="G100" s="16">
        <v>1412.97</v>
      </c>
      <c r="H100" s="16">
        <v>2162.7199999999998</v>
      </c>
      <c r="I100" s="16">
        <v>0</v>
      </c>
      <c r="J100" s="16">
        <v>2999.65</v>
      </c>
      <c r="K100" s="16">
        <v>652.14</v>
      </c>
      <c r="L100" s="16">
        <v>0</v>
      </c>
      <c r="M100" s="16">
        <v>0</v>
      </c>
      <c r="N100" s="16">
        <v>63.4</v>
      </c>
      <c r="O100" s="16">
        <v>0</v>
      </c>
      <c r="P100" s="16">
        <v>0</v>
      </c>
      <c r="Q100" s="16">
        <v>392.86</v>
      </c>
      <c r="R100" s="8">
        <f t="shared" si="68"/>
        <v>184239.5</v>
      </c>
      <c r="S100" s="363">
        <f t="shared" si="69"/>
        <v>78131.899999999994</v>
      </c>
      <c r="T100" s="363">
        <f t="shared" si="69"/>
        <v>23160.440000000017</v>
      </c>
      <c r="U100" s="363">
        <f t="shared" si="69"/>
        <v>1593.57</v>
      </c>
      <c r="V100" s="363">
        <f t="shared" si="69"/>
        <v>966.97999999999979</v>
      </c>
      <c r="W100" s="363">
        <f t="shared" si="70"/>
        <v>74115.839999999997</v>
      </c>
      <c r="X100" s="363">
        <f t="shared" si="71"/>
        <v>6270.7699999999995</v>
      </c>
      <c r="Z100" s="390"/>
    </row>
    <row r="101" spans="1:26">
      <c r="A101" s="2" t="s">
        <v>103</v>
      </c>
      <c r="B101" s="16">
        <v>43830.48</v>
      </c>
      <c r="C101" s="16">
        <v>7490.0099999999948</v>
      </c>
      <c r="D101" s="16">
        <v>1086.33</v>
      </c>
      <c r="E101" s="16">
        <v>4370.54</v>
      </c>
      <c r="F101" s="16">
        <v>40432.68</v>
      </c>
      <c r="G101" s="16">
        <v>1304.2800000000002</v>
      </c>
      <c r="H101" s="16">
        <v>1130.8999999999999</v>
      </c>
      <c r="I101" s="16">
        <v>0</v>
      </c>
      <c r="J101" s="16">
        <v>2428.33</v>
      </c>
      <c r="K101" s="16">
        <v>543.45000000000005</v>
      </c>
      <c r="L101" s="16">
        <v>0</v>
      </c>
      <c r="M101" s="16">
        <v>0</v>
      </c>
      <c r="N101" s="16">
        <v>63.4</v>
      </c>
      <c r="O101" s="16">
        <v>0</v>
      </c>
      <c r="P101" s="16">
        <v>0</v>
      </c>
      <c r="Q101" s="16">
        <v>0</v>
      </c>
      <c r="R101" s="8">
        <f t="shared" si="68"/>
        <v>102680.4</v>
      </c>
      <c r="S101" s="363">
        <f t="shared" si="69"/>
        <v>43830.48</v>
      </c>
      <c r="T101" s="363">
        <f t="shared" si="69"/>
        <v>7490.0099999999948</v>
      </c>
      <c r="U101" s="363">
        <f t="shared" si="69"/>
        <v>1086.33</v>
      </c>
      <c r="V101" s="363">
        <f t="shared" si="69"/>
        <v>4370.54</v>
      </c>
      <c r="W101" s="363">
        <f t="shared" si="70"/>
        <v>41736.959999999999</v>
      </c>
      <c r="X101" s="363">
        <f t="shared" si="71"/>
        <v>4166.079999999999</v>
      </c>
      <c r="Z101" s="390"/>
    </row>
    <row r="102" spans="1:26">
      <c r="A102" s="6" t="s">
        <v>37</v>
      </c>
      <c r="B102" s="5">
        <f t="shared" ref="B102:X102" si="72">SUM(B75:B101)</f>
        <v>12922947.51</v>
      </c>
      <c r="C102" s="5">
        <f t="shared" si="72"/>
        <v>1899576.1600000004</v>
      </c>
      <c r="D102" s="5">
        <f t="shared" si="72"/>
        <v>388254.64</v>
      </c>
      <c r="E102" s="5">
        <f t="shared" si="72"/>
        <v>365541.57999999996</v>
      </c>
      <c r="F102" s="5">
        <f t="shared" si="72"/>
        <v>8029561.6499999994</v>
      </c>
      <c r="G102" s="5">
        <f t="shared" si="72"/>
        <v>184014.75</v>
      </c>
      <c r="H102" s="5">
        <f t="shared" si="72"/>
        <v>288013.44999999995</v>
      </c>
      <c r="I102" s="5">
        <f t="shared" si="72"/>
        <v>34093.18</v>
      </c>
      <c r="J102" s="5">
        <f t="shared" si="72"/>
        <v>454611.51000000007</v>
      </c>
      <c r="K102" s="5">
        <f t="shared" si="72"/>
        <v>29661.629999999994</v>
      </c>
      <c r="L102" s="5">
        <f t="shared" si="72"/>
        <v>2173.8000000000002</v>
      </c>
      <c r="M102" s="5">
        <f t="shared" si="72"/>
        <v>2350.23</v>
      </c>
      <c r="N102" s="5">
        <f t="shared" si="72"/>
        <v>24995.65</v>
      </c>
      <c r="O102" s="5">
        <f t="shared" si="72"/>
        <v>0</v>
      </c>
      <c r="P102" s="5">
        <f t="shared" si="72"/>
        <v>1631.85</v>
      </c>
      <c r="Q102" s="5">
        <f t="shared" si="72"/>
        <v>15772.84</v>
      </c>
      <c r="R102" s="775">
        <f t="shared" si="72"/>
        <v>24643200.43</v>
      </c>
      <c r="S102" s="363">
        <f t="shared" si="72"/>
        <v>12922947.51</v>
      </c>
      <c r="T102" s="363">
        <f t="shared" si="72"/>
        <v>1899576.1600000004</v>
      </c>
      <c r="U102" s="363">
        <f t="shared" si="72"/>
        <v>388254.64</v>
      </c>
      <c r="V102" s="363">
        <f t="shared" si="72"/>
        <v>365541.57999999996</v>
      </c>
      <c r="W102" s="363">
        <f t="shared" si="72"/>
        <v>8213576.3999999994</v>
      </c>
      <c r="X102" s="363">
        <f t="shared" si="72"/>
        <v>853304.14</v>
      </c>
      <c r="Z102" s="390"/>
    </row>
    <row r="103" spans="1:26">
      <c r="R103" s="774"/>
    </row>
  </sheetData>
  <mergeCells count="48">
    <mergeCell ref="L73:L74"/>
    <mergeCell ref="D73:E73"/>
    <mergeCell ref="R3:R4"/>
    <mergeCell ref="O38:O39"/>
    <mergeCell ref="A73:A74"/>
    <mergeCell ref="B73:C73"/>
    <mergeCell ref="A37:R37"/>
    <mergeCell ref="A38:A39"/>
    <mergeCell ref="B38:C38"/>
    <mergeCell ref="D38:E38"/>
    <mergeCell ref="F38:F39"/>
    <mergeCell ref="G38:G39"/>
    <mergeCell ref="G73:G74"/>
    <mergeCell ref="H73:H74"/>
    <mergeCell ref="I73:I74"/>
    <mergeCell ref="A72:R72"/>
    <mergeCell ref="J73:J74"/>
    <mergeCell ref="K73:K74"/>
    <mergeCell ref="R73:R74"/>
    <mergeCell ref="R38:R39"/>
    <mergeCell ref="F73:F74"/>
    <mergeCell ref="H38:H39"/>
    <mergeCell ref="I38:I39"/>
    <mergeCell ref="J38:J39"/>
    <mergeCell ref="K38:K39"/>
    <mergeCell ref="L38:L39"/>
    <mergeCell ref="M38:M39"/>
    <mergeCell ref="N38:N39"/>
    <mergeCell ref="P38:Q38"/>
    <mergeCell ref="M73:M74"/>
    <mergeCell ref="N73:N74"/>
    <mergeCell ref="P73:Q73"/>
    <mergeCell ref="O73:O74"/>
    <mergeCell ref="P3:Q3"/>
    <mergeCell ref="O3:O4"/>
    <mergeCell ref="A2:R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0">
    <tabColor theme="3"/>
  </sheetPr>
  <dimension ref="A1:AP153"/>
  <sheetViews>
    <sheetView showGridLines="0" topLeftCell="C1" zoomScale="60" zoomScaleNormal="60" workbookViewId="0">
      <selection sqref="A1:AC1"/>
    </sheetView>
  </sheetViews>
  <sheetFormatPr defaultRowHeight="15"/>
  <cols>
    <col min="1" max="1" width="13.5703125" style="427" customWidth="1"/>
    <col min="2" max="13" width="14.28515625" style="19" customWidth="1"/>
    <col min="14" max="14" width="15.28515625" style="141" bestFit="1" customWidth="1"/>
    <col min="15" max="15" width="2.5703125" style="743" customWidth="1"/>
    <col min="16" max="16" width="5.7109375" bestFit="1" customWidth="1"/>
    <col min="17" max="17" width="21.85546875" bestFit="1" customWidth="1"/>
    <col min="18" max="18" width="22.7109375" customWidth="1"/>
    <col min="19" max="19" width="24" customWidth="1"/>
    <col min="20" max="21" width="19.140625" customWidth="1"/>
    <col min="22" max="26" width="13.140625" customWidth="1"/>
    <col min="27" max="29" width="23.7109375" customWidth="1"/>
  </cols>
  <sheetData>
    <row r="1" spans="1:42" ht="22.5" customHeight="1">
      <c r="A1" s="1015" t="str">
        <f>Lançamentos!A1</f>
        <v>TOTAL - Exercício e Exercícios Anteriores (100%)</v>
      </c>
      <c r="B1" s="1015" t="s">
        <v>104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P1" s="70"/>
      <c r="Q1" s="70"/>
      <c r="R1" s="70"/>
      <c r="S1" s="1014" t="s">
        <v>315</v>
      </c>
      <c r="T1" s="70"/>
      <c r="U1" s="70"/>
      <c r="V1" s="70"/>
      <c r="W1" s="70"/>
      <c r="X1" s="70"/>
      <c r="Y1" s="70"/>
      <c r="Z1" s="70"/>
      <c r="AA1" s="70"/>
      <c r="AB1" s="70"/>
      <c r="AC1" s="70"/>
      <c r="AD1" s="71"/>
      <c r="AF1" s="1013" t="s">
        <v>441</v>
      </c>
      <c r="AG1" s="1013"/>
      <c r="AH1" s="1013"/>
      <c r="AI1" s="1013"/>
      <c r="AJ1" s="1013"/>
      <c r="AK1" s="1013"/>
      <c r="AL1" s="1013"/>
      <c r="AM1" s="1013"/>
      <c r="AN1" s="1013"/>
      <c r="AO1" s="1013"/>
      <c r="AP1" s="1013"/>
    </row>
    <row r="2" spans="1:42" ht="19.5" customHeight="1">
      <c r="A2" s="458" t="s">
        <v>183</v>
      </c>
      <c r="B2" s="459" t="s">
        <v>120</v>
      </c>
      <c r="C2" s="459" t="s">
        <v>136</v>
      </c>
      <c r="D2" s="459" t="s">
        <v>137</v>
      </c>
      <c r="E2" s="459" t="s">
        <v>138</v>
      </c>
      <c r="F2" s="459" t="s">
        <v>139</v>
      </c>
      <c r="G2" s="459" t="s">
        <v>140</v>
      </c>
      <c r="H2" s="459" t="s">
        <v>141</v>
      </c>
      <c r="I2" s="459" t="s">
        <v>142</v>
      </c>
      <c r="J2" s="459" t="s">
        <v>143</v>
      </c>
      <c r="K2" s="459" t="s">
        <v>144</v>
      </c>
      <c r="L2" s="459" t="s">
        <v>145</v>
      </c>
      <c r="M2" s="459" t="s">
        <v>146</v>
      </c>
      <c r="P2" s="1012" t="s">
        <v>190</v>
      </c>
      <c r="Q2" s="1012"/>
      <c r="R2" s="1012"/>
      <c r="S2" s="1014"/>
      <c r="T2" s="70"/>
      <c r="U2" s="70"/>
      <c r="V2" s="70"/>
      <c r="W2" s="70"/>
      <c r="X2" s="70"/>
      <c r="Y2" s="70"/>
      <c r="Z2" s="70"/>
      <c r="AA2" s="70"/>
      <c r="AB2" s="70"/>
      <c r="AC2" s="70"/>
      <c r="AD2" s="71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</row>
    <row r="3" spans="1:42" ht="19.5" customHeight="1">
      <c r="A3" s="458" t="s">
        <v>214</v>
      </c>
      <c r="B3" s="30">
        <f t="shared" ref="B3:E3" si="0">B10+B17+B23+B30+B36+B42</f>
        <v>33393067.428586558</v>
      </c>
      <c r="C3" s="30">
        <f t="shared" si="0"/>
        <v>66419112.806236759</v>
      </c>
      <c r="D3" s="30">
        <f t="shared" si="0"/>
        <v>88210827.224150628</v>
      </c>
      <c r="E3" s="30">
        <f t="shared" si="0"/>
        <v>106971107.41893491</v>
      </c>
      <c r="F3" s="30">
        <f>F10+F17+F23+F30+F36+F42</f>
        <v>126869345.92172693</v>
      </c>
      <c r="G3" s="30">
        <f t="shared" ref="G3:L3" si="1">G10+G17+G23+G30+G36+G42</f>
        <v>146336524.56977105</v>
      </c>
      <c r="H3" s="30">
        <f t="shared" si="1"/>
        <v>164508052.39332825</v>
      </c>
      <c r="I3" s="30">
        <f t="shared" si="1"/>
        <v>183214253.89967453</v>
      </c>
      <c r="J3" s="30">
        <f t="shared" si="1"/>
        <v>198285291.58599114</v>
      </c>
      <c r="K3" s="30">
        <f t="shared" si="1"/>
        <v>214264749.7080397</v>
      </c>
      <c r="L3" s="30">
        <f t="shared" si="1"/>
        <v>228207538.47151867</v>
      </c>
      <c r="M3" s="30">
        <f>M10+M17+M23+M30+M36+M42</f>
        <v>242409019.66799998</v>
      </c>
      <c r="N3" s="42">
        <f>N10+N17+N23+N30+N36+N42</f>
        <v>242409019.66799998</v>
      </c>
      <c r="O3" s="472"/>
      <c r="P3" s="83"/>
      <c r="Q3" s="83"/>
      <c r="R3" s="83"/>
      <c r="S3" s="1014"/>
      <c r="T3" s="70"/>
      <c r="U3" s="70"/>
      <c r="V3" s="70"/>
      <c r="W3" s="70"/>
      <c r="X3" s="70"/>
      <c r="Y3" s="70"/>
      <c r="Z3" s="70"/>
      <c r="AA3" s="70"/>
      <c r="AB3" s="70"/>
      <c r="AC3" s="70"/>
      <c r="AD3" s="71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</row>
    <row r="4" spans="1:42" ht="19.5" customHeight="1">
      <c r="A4" s="458" t="s">
        <v>166</v>
      </c>
      <c r="B4" s="27">
        <f>B11+B17+B24+B30+B36+B43</f>
        <v>26495233.292128325</v>
      </c>
      <c r="C4" s="27">
        <f t="shared" ref="C4:N4" si="2">C11+C17+C24+C30+C36+C43</f>
        <v>52688382.172870323</v>
      </c>
      <c r="D4" s="27">
        <f t="shared" si="2"/>
        <v>71146391.991785929</v>
      </c>
      <c r="E4" s="27">
        <f t="shared" si="2"/>
        <v>87193068.099814907</v>
      </c>
      <c r="F4" s="27">
        <f t="shared" si="2"/>
        <v>104200291.03470112</v>
      </c>
      <c r="G4" s="27">
        <f t="shared" si="2"/>
        <v>120810517.31602216</v>
      </c>
      <c r="H4" s="27">
        <f t="shared" si="2"/>
        <v>137098482.61578691</v>
      </c>
      <c r="I4" s="27">
        <f t="shared" si="2"/>
        <v>153925536.5878334</v>
      </c>
      <c r="J4" s="27">
        <f t="shared" si="2"/>
        <v>167913126.17899984</v>
      </c>
      <c r="K4" s="27">
        <f t="shared" si="2"/>
        <v>183022070.82118729</v>
      </c>
      <c r="L4" s="27">
        <f t="shared" si="2"/>
        <v>196051596.00296664</v>
      </c>
      <c r="M4" s="27">
        <f t="shared" si="2"/>
        <v>209250933.3972857</v>
      </c>
      <c r="N4" s="42">
        <f t="shared" si="2"/>
        <v>209250933.39728573</v>
      </c>
      <c r="O4" s="472"/>
      <c r="P4" s="72" t="s">
        <v>183</v>
      </c>
      <c r="Q4" s="73" t="s">
        <v>191</v>
      </c>
      <c r="R4" s="74" t="s">
        <v>192</v>
      </c>
      <c r="S4" s="74" t="s">
        <v>214</v>
      </c>
      <c r="T4" s="75" t="s">
        <v>193</v>
      </c>
      <c r="U4" s="75" t="s">
        <v>194</v>
      </c>
      <c r="V4" s="70"/>
      <c r="W4" s="70"/>
      <c r="X4" s="70"/>
      <c r="Y4" s="70"/>
      <c r="Z4" s="70"/>
      <c r="AA4" s="70"/>
      <c r="AB4" s="70"/>
      <c r="AC4" s="70"/>
      <c r="AD4" s="71"/>
      <c r="AF4" s="194"/>
      <c r="AG4" s="194"/>
      <c r="AH4" s="194"/>
      <c r="AI4" s="194"/>
      <c r="AJ4" s="194"/>
      <c r="AK4" s="194"/>
      <c r="AL4" s="194"/>
      <c r="AM4" s="194"/>
      <c r="AN4" s="194" t="s">
        <v>166</v>
      </c>
      <c r="AO4" s="194" t="s">
        <v>167</v>
      </c>
      <c r="AP4" s="194" t="s">
        <v>186</v>
      </c>
    </row>
    <row r="5" spans="1:42" ht="19.5" customHeight="1">
      <c r="A5" s="458" t="s">
        <v>167</v>
      </c>
      <c r="B5" s="30">
        <f>B12+B18+B25+B31+B37+B44</f>
        <v>20850868.670000006</v>
      </c>
      <c r="C5" s="30">
        <f t="shared" ref="C5:M5" si="3">C12+C18+C25+C31+C37+C44</f>
        <v>45494069.100000001</v>
      </c>
      <c r="D5" s="30">
        <f t="shared" si="3"/>
        <v>70516849.5</v>
      </c>
      <c r="E5" s="30">
        <f t="shared" si="3"/>
        <v>86940351.560000002</v>
      </c>
      <c r="F5" s="30">
        <f t="shared" si="3"/>
        <v>106384818.08000001</v>
      </c>
      <c r="G5" s="30">
        <f t="shared" si="3"/>
        <v>125380052.99000001</v>
      </c>
      <c r="H5" s="30">
        <f t="shared" si="3"/>
        <v>142869466.36000001</v>
      </c>
      <c r="I5" s="30">
        <f t="shared" si="3"/>
        <v>159979151.97999996</v>
      </c>
      <c r="J5" s="30">
        <f>J12+J18+J25+J31+J37+J44</f>
        <v>174452905.24999997</v>
      </c>
      <c r="K5" s="30">
        <f t="shared" si="3"/>
        <v>0</v>
      </c>
      <c r="L5" s="30">
        <f t="shared" si="3"/>
        <v>0</v>
      </c>
      <c r="M5" s="30">
        <f t="shared" si="3"/>
        <v>0</v>
      </c>
      <c r="O5" s="472"/>
      <c r="P5" s="76" t="s">
        <v>195</v>
      </c>
      <c r="Q5" s="77">
        <f>B4</f>
        <v>26495233.292128325</v>
      </c>
      <c r="R5" s="151">
        <f>B5</f>
        <v>20850868.670000006</v>
      </c>
      <c r="S5" s="154">
        <f>B3</f>
        <v>33393067.428586558</v>
      </c>
      <c r="T5" s="71" t="e">
        <f>IF(R5="",NA(),IF(R5&gt;=Q5,R5,NA()))</f>
        <v>#N/A</v>
      </c>
      <c r="U5" s="71">
        <f>IF(R5="",NA(),IF(R5&lt;Q5,R5,NA()))</f>
        <v>20850868.670000006</v>
      </c>
      <c r="V5" s="70"/>
      <c r="W5" s="70"/>
      <c r="X5" s="70"/>
      <c r="Y5" s="70"/>
      <c r="Z5" s="70"/>
      <c r="AA5" s="70"/>
      <c r="AB5" s="70"/>
      <c r="AC5" s="70"/>
      <c r="AD5" s="71"/>
      <c r="AF5" s="194"/>
      <c r="AG5" s="194"/>
      <c r="AH5" s="194"/>
      <c r="AI5" s="194"/>
      <c r="AJ5" s="194"/>
      <c r="AK5" s="194"/>
      <c r="AL5" s="194"/>
      <c r="AM5" s="483" t="str">
        <f>A8</f>
        <v>Anuid. PF - Exerc.</v>
      </c>
      <c r="AN5" s="484">
        <f>M11/1000000</f>
        <v>67.945589089999984</v>
      </c>
      <c r="AO5" s="484">
        <f>M12/1000000</f>
        <v>0</v>
      </c>
      <c r="AP5" s="485">
        <f>J13</f>
        <v>1.0055475502928928</v>
      </c>
    </row>
    <row r="6" spans="1:42" ht="19.5" customHeight="1">
      <c r="A6" s="458" t="s">
        <v>168</v>
      </c>
      <c r="B6" s="32">
        <f>B5/B4</f>
        <v>0.78696678908635054</v>
      </c>
      <c r="C6" s="32">
        <f>C5/C4</f>
        <v>0.86345541889546318</v>
      </c>
      <c r="D6" s="32">
        <f t="shared" ref="D6:M6" si="4">D5/D4</f>
        <v>0.99115144880630612</v>
      </c>
      <c r="E6" s="32">
        <f>E5/E4</f>
        <v>0.9971016441407291</v>
      </c>
      <c r="F6" s="32">
        <f t="shared" si="4"/>
        <v>1.0209646923593658</v>
      </c>
      <c r="G6" s="32">
        <f>G5/G4</f>
        <v>1.0378239889663301</v>
      </c>
      <c r="H6" s="32">
        <f t="shared" si="4"/>
        <v>1.0420937098216183</v>
      </c>
      <c r="I6" s="32">
        <f t="shared" si="4"/>
        <v>1.0393282071731627</v>
      </c>
      <c r="J6" s="32">
        <f t="shared" si="4"/>
        <v>1.0389473963103311</v>
      </c>
      <c r="K6" s="32">
        <f t="shared" si="4"/>
        <v>0</v>
      </c>
      <c r="L6" s="32">
        <f t="shared" si="4"/>
        <v>0</v>
      </c>
      <c r="M6" s="32">
        <f t="shared" si="4"/>
        <v>0</v>
      </c>
      <c r="O6" s="472"/>
      <c r="P6" s="76" t="s">
        <v>196</v>
      </c>
      <c r="Q6" s="80">
        <f>C4</f>
        <v>52688382.172870323</v>
      </c>
      <c r="R6" s="151">
        <f>C5</f>
        <v>45494069.100000001</v>
      </c>
      <c r="S6" s="154">
        <f>C3</f>
        <v>66419112.806236759</v>
      </c>
      <c r="T6" s="71">
        <f>IF(R7="",NA(),IF(R7&gt;=Q6,R7,NA()))</f>
        <v>70516849.5</v>
      </c>
      <c r="U6" s="71" t="e">
        <f>IF(R7="",NA(),IF(R7&lt;Q6,R7,NA()))</f>
        <v>#N/A</v>
      </c>
      <c r="V6" s="70"/>
      <c r="W6" s="70"/>
      <c r="X6" s="70"/>
      <c r="Y6" s="70"/>
      <c r="Z6" s="70"/>
      <c r="AA6" s="70"/>
      <c r="AB6" s="70"/>
      <c r="AC6" s="70"/>
      <c r="AD6" s="71"/>
      <c r="AF6" s="194"/>
      <c r="AG6" s="194"/>
      <c r="AH6" s="194"/>
      <c r="AI6" s="194"/>
      <c r="AJ6" s="194"/>
      <c r="AK6" s="194"/>
      <c r="AL6" s="194"/>
      <c r="AM6" s="483" t="str">
        <f>A15</f>
        <v>Anuid. PF - Exerc. Ant.</v>
      </c>
      <c r="AN6" s="484">
        <f>M17/1000000</f>
        <v>16.761168281999996</v>
      </c>
      <c r="AO6" s="484">
        <f>M18/1000000</f>
        <v>0</v>
      </c>
      <c r="AP6" s="485">
        <f>J19</f>
        <v>1.0779175054074772</v>
      </c>
    </row>
    <row r="7" spans="1:42" ht="19.5" customHeight="1">
      <c r="A7" s="421"/>
      <c r="B7"/>
      <c r="C7"/>
      <c r="D7"/>
      <c r="E7"/>
      <c r="F7"/>
      <c r="G7"/>
      <c r="H7"/>
      <c r="I7"/>
      <c r="J7"/>
      <c r="K7"/>
      <c r="L7"/>
      <c r="M7"/>
      <c r="O7" s="472"/>
      <c r="P7" s="76" t="s">
        <v>197</v>
      </c>
      <c r="Q7" s="80">
        <f>D4</f>
        <v>71146391.991785929</v>
      </c>
      <c r="R7" s="153">
        <f>D5</f>
        <v>70516849.5</v>
      </c>
      <c r="S7" s="152">
        <f>D3</f>
        <v>88210827.224150628</v>
      </c>
      <c r="T7" s="71" t="e">
        <f>IF(#REF!="",NA(),IF(#REF!&gt;=Q7,#REF!,NA()))</f>
        <v>#REF!</v>
      </c>
      <c r="U7" s="71" t="e">
        <f>IF(#REF!="",NA(),IF(#REF!&lt;Q7,#REF!,NA()))</f>
        <v>#REF!</v>
      </c>
      <c r="V7" s="70"/>
      <c r="W7" s="70"/>
      <c r="X7" s="70"/>
      <c r="Y7" s="70"/>
      <c r="Z7" s="70"/>
      <c r="AC7" s="70"/>
      <c r="AD7" s="71"/>
      <c r="AF7" s="194"/>
      <c r="AG7" s="194"/>
      <c r="AH7" s="194"/>
      <c r="AI7" s="194"/>
      <c r="AJ7" s="194"/>
      <c r="AK7" s="194"/>
      <c r="AL7" s="194"/>
      <c r="AM7" s="483" t="str">
        <f>A21</f>
        <v>Anuid. PJ - Exerc.</v>
      </c>
      <c r="AN7" s="484">
        <f>M24/1000000</f>
        <v>5.5884023580000006</v>
      </c>
      <c r="AO7" s="484">
        <f>M25/1000000</f>
        <v>0</v>
      </c>
      <c r="AP7" s="485">
        <f>J26</f>
        <v>0.66924300203596865</v>
      </c>
    </row>
    <row r="8" spans="1:42" ht="19.5" customHeight="1">
      <c r="A8" s="1015" t="str">
        <f>Lançamentos!A36</f>
        <v>Anuid. PF - Exerc.</v>
      </c>
      <c r="B8" s="1015" t="s">
        <v>104</v>
      </c>
      <c r="C8" s="1015"/>
      <c r="D8" s="1015"/>
      <c r="E8" s="1015"/>
      <c r="F8" s="1015"/>
      <c r="G8" s="1015"/>
      <c r="H8" s="1015"/>
      <c r="I8" s="1015"/>
      <c r="J8" s="1015"/>
      <c r="K8" s="1015"/>
      <c r="L8" s="1015"/>
      <c r="M8" s="1015"/>
      <c r="O8" s="472"/>
      <c r="P8" s="76" t="s">
        <v>198</v>
      </c>
      <c r="Q8" s="80">
        <f>E4</f>
        <v>87193068.099814907</v>
      </c>
      <c r="R8" s="153">
        <f>E5</f>
        <v>86940351.560000002</v>
      </c>
      <c r="S8" s="152">
        <f>E3</f>
        <v>106971107.41893491</v>
      </c>
      <c r="T8" s="71" t="e">
        <f t="shared" ref="T8:T13" si="5">IF(R8="",NA(),IF(R8&gt;=Q8,R8,NA()))</f>
        <v>#N/A</v>
      </c>
      <c r="U8" s="71">
        <f t="shared" ref="U8:U13" si="6">IF(R8="",NA(),IF(R8&lt;Q8,R8,NA()))</f>
        <v>86940351.560000002</v>
      </c>
      <c r="V8" s="70"/>
      <c r="W8" s="70"/>
      <c r="X8" s="70"/>
      <c r="Y8" s="70"/>
      <c r="Z8" s="70"/>
      <c r="AC8" s="70"/>
      <c r="AD8" s="71"/>
      <c r="AF8" s="194"/>
      <c r="AG8" s="194"/>
      <c r="AH8" s="194"/>
      <c r="AI8" s="194"/>
      <c r="AJ8" s="194"/>
      <c r="AK8" s="194"/>
      <c r="AL8" s="194"/>
      <c r="AM8" s="483" t="str">
        <f>A28</f>
        <v>Anuid. PJ - Exerc. Ant.</v>
      </c>
      <c r="AN8" s="484">
        <f>M30/1000000</f>
        <v>2.8000125260000006</v>
      </c>
      <c r="AO8" s="484">
        <f>M31/1000000</f>
        <v>0</v>
      </c>
      <c r="AP8" s="485">
        <f>J32</f>
        <v>1.324561886472432</v>
      </c>
    </row>
    <row r="9" spans="1:42" ht="19.5" customHeight="1">
      <c r="A9" s="458" t="s">
        <v>183</v>
      </c>
      <c r="B9" s="459" t="s">
        <v>120</v>
      </c>
      <c r="C9" s="459" t="s">
        <v>136</v>
      </c>
      <c r="D9" s="459" t="s">
        <v>137</v>
      </c>
      <c r="E9" s="459" t="s">
        <v>138</v>
      </c>
      <c r="F9" s="459" t="s">
        <v>139</v>
      </c>
      <c r="G9" s="459" t="s">
        <v>140</v>
      </c>
      <c r="H9" s="459" t="s">
        <v>141</v>
      </c>
      <c r="I9" s="459" t="s">
        <v>142</v>
      </c>
      <c r="J9" s="459" t="s">
        <v>143</v>
      </c>
      <c r="K9" s="459" t="s">
        <v>144</v>
      </c>
      <c r="L9" s="459" t="s">
        <v>145</v>
      </c>
      <c r="M9" s="459" t="s">
        <v>146</v>
      </c>
      <c r="O9" s="472"/>
      <c r="P9" s="76" t="s">
        <v>199</v>
      </c>
      <c r="Q9" s="80">
        <f>F4</f>
        <v>104200291.03470112</v>
      </c>
      <c r="R9" s="153">
        <f>F5</f>
        <v>106384818.08000001</v>
      </c>
      <c r="S9" s="152">
        <f>F3</f>
        <v>126869345.92172693</v>
      </c>
      <c r="T9" s="71">
        <f t="shared" si="5"/>
        <v>106384818.08000001</v>
      </c>
      <c r="U9" s="71" t="e">
        <f t="shared" si="6"/>
        <v>#N/A</v>
      </c>
      <c r="V9" s="70"/>
      <c r="W9" s="70"/>
      <c r="X9" s="70"/>
      <c r="Y9" s="70"/>
      <c r="Z9" s="70"/>
      <c r="AC9" s="70"/>
      <c r="AD9" s="71"/>
      <c r="AF9" s="194"/>
      <c r="AG9" s="194"/>
      <c r="AH9" s="194"/>
      <c r="AI9" s="194"/>
      <c r="AJ9" s="194"/>
      <c r="AK9" s="194"/>
      <c r="AL9" s="194"/>
      <c r="AM9" s="483" t="str">
        <f>A34</f>
        <v>RRT</v>
      </c>
      <c r="AN9" s="484">
        <f>M36/1000000</f>
        <v>108.19030397200002</v>
      </c>
      <c r="AO9" s="484">
        <f>M37/1000000</f>
        <v>0</v>
      </c>
      <c r="AP9" s="485">
        <f>J38</f>
        <v>1.0466709989132086</v>
      </c>
    </row>
    <row r="10" spans="1:42" ht="19.5" customHeight="1">
      <c r="A10" s="458" t="s">
        <v>214</v>
      </c>
      <c r="B10" s="30">
        <f>$N$10*Lançamentos!B58</f>
        <v>20659530.362153042</v>
      </c>
      <c r="C10" s="30">
        <f>$N$10*Lançamentos!B59</f>
        <v>40477751.405271091</v>
      </c>
      <c r="D10" s="30">
        <f>$N$10*Lançamentos!B60</f>
        <v>50181564.297001474</v>
      </c>
      <c r="E10" s="30">
        <f>$N$10*Lançamentos!B61</f>
        <v>58010737.085941866</v>
      </c>
      <c r="F10" s="30">
        <f>$N$10*Lançamentos!B62</f>
        <v>66406065.64133504</v>
      </c>
      <c r="G10" s="30">
        <f>$N$10*Lançamentos!B63</f>
        <v>74528039.32518658</v>
      </c>
      <c r="H10" s="30">
        <f>$N$10*Lançamentos!B64</f>
        <v>79791366.372447044</v>
      </c>
      <c r="I10" s="30">
        <f>$N$10*Lançamentos!B65</f>
        <v>84968215.907965034</v>
      </c>
      <c r="J10" s="30">
        <f>$N$10*Lançamentos!B66</f>
        <v>87837564.421211004</v>
      </c>
      <c r="K10" s="30">
        <f>$N$10*Lançamentos!B67</f>
        <v>89985338.258907154</v>
      </c>
      <c r="L10" s="30">
        <f>$N$10*Lançamentos!B68</f>
        <v>92306230.140205741</v>
      </c>
      <c r="M10" s="30">
        <f>$N$10*Lançamentos!B69</f>
        <v>94869054.395999953</v>
      </c>
      <c r="N10" s="42">
        <f>Lançamentos!V14</f>
        <v>94869054.395999968</v>
      </c>
      <c r="O10" s="472"/>
      <c r="P10" s="76" t="s">
        <v>200</v>
      </c>
      <c r="Q10" s="80">
        <f>G4</f>
        <v>120810517.31602216</v>
      </c>
      <c r="R10" s="153">
        <f>G5</f>
        <v>125380052.99000001</v>
      </c>
      <c r="S10" s="152">
        <f>G3</f>
        <v>146336524.56977105</v>
      </c>
      <c r="T10" s="71">
        <f t="shared" si="5"/>
        <v>125380052.99000001</v>
      </c>
      <c r="U10" s="71" t="e">
        <f t="shared" si="6"/>
        <v>#N/A</v>
      </c>
      <c r="V10" s="70"/>
      <c r="W10" s="70"/>
      <c r="X10" s="70"/>
      <c r="Y10" s="70"/>
      <c r="Z10" s="70"/>
      <c r="AC10" s="70"/>
      <c r="AD10" s="71"/>
      <c r="AF10" s="194"/>
      <c r="AG10" s="194"/>
      <c r="AH10" s="194"/>
      <c r="AI10" s="194"/>
      <c r="AJ10" s="194"/>
      <c r="AK10" s="194"/>
      <c r="AL10" s="194"/>
      <c r="AM10" s="483" t="str">
        <f>A40</f>
        <v>Taxas e Multas</v>
      </c>
      <c r="AN10" s="484">
        <f>M43/1000000</f>
        <v>7.9654571692857079</v>
      </c>
      <c r="AO10" s="484">
        <f>M44/1000000</f>
        <v>0</v>
      </c>
      <c r="AP10" s="485">
        <f>J45</f>
        <v>1.4460894509605524</v>
      </c>
    </row>
    <row r="11" spans="1:42" ht="19.5" customHeight="1">
      <c r="A11" s="458" t="s">
        <v>166</v>
      </c>
      <c r="B11" s="27">
        <f>$N$11*Lançamentos!B58</f>
        <v>14796436.727616586</v>
      </c>
      <c r="C11" s="27">
        <f>$N$11*Lançamentos!B59</f>
        <v>28990324.419062428</v>
      </c>
      <c r="D11" s="27">
        <f>$N$11*Lançamentos!B60</f>
        <v>35940233.296572618</v>
      </c>
      <c r="E11" s="27">
        <f>$N$11*Lançamentos!B61</f>
        <v>41547517.575084224</v>
      </c>
      <c r="F11" s="27">
        <f>$N$11*Lançamentos!B62</f>
        <v>47560284.835514925</v>
      </c>
      <c r="G11" s="27">
        <f>$N$11*Lançamentos!B63</f>
        <v>53377274.264114507</v>
      </c>
      <c r="H11" s="27">
        <f>$N$11*Lançamentos!B64</f>
        <v>57146889.75228703</v>
      </c>
      <c r="I11" s="27">
        <f>$N$11*Lançamentos!B65</f>
        <v>60854569.707152195</v>
      </c>
      <c r="J11" s="27">
        <f>$N$11*Lançamentos!B66</f>
        <v>62909608.373641044</v>
      </c>
      <c r="K11" s="27">
        <f>$N$11*Lançamentos!B67</f>
        <v>64447852.425544523</v>
      </c>
      <c r="L11" s="27">
        <f>$N$11*Lançamentos!B68</f>
        <v>66110084.299710646</v>
      </c>
      <c r="M11" s="27">
        <f>$N$11*Lançamentos!B69</f>
        <v>67945589.089999989</v>
      </c>
      <c r="N11" s="42">
        <f>Lançamentos!O38</f>
        <v>67945589.090000004</v>
      </c>
      <c r="O11" s="472"/>
      <c r="P11" s="76" t="s">
        <v>201</v>
      </c>
      <c r="Q11" s="80">
        <f>H4</f>
        <v>137098482.61578691</v>
      </c>
      <c r="R11" s="153">
        <f>H5</f>
        <v>142869466.36000001</v>
      </c>
      <c r="S11" s="152">
        <f>H3</f>
        <v>164508052.39332825</v>
      </c>
      <c r="T11" s="71">
        <f t="shared" si="5"/>
        <v>142869466.36000001</v>
      </c>
      <c r="U11" s="71" t="e">
        <f t="shared" si="6"/>
        <v>#N/A</v>
      </c>
      <c r="V11" s="70"/>
      <c r="W11" s="70"/>
      <c r="X11" s="70"/>
      <c r="Y11" s="70"/>
      <c r="Z11" s="70"/>
      <c r="AC11" s="70"/>
      <c r="AD11" s="71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</row>
    <row r="12" spans="1:42" ht="19.5" customHeight="1">
      <c r="A12" s="458" t="s">
        <v>167</v>
      </c>
      <c r="B12" s="119">
        <f>Lançamentos!B38</f>
        <v>11173689.340000004</v>
      </c>
      <c r="C12" s="119">
        <f>SUM(Lançamentos!B38:C38)</f>
        <v>24096636.850000001</v>
      </c>
      <c r="D12" s="119">
        <f>SUM(Lançamentos!B38:D38)</f>
        <v>35307556.620000005</v>
      </c>
      <c r="E12" s="119">
        <f>SUM(Lançamentos!B38:E38)</f>
        <v>40577115.160000004</v>
      </c>
      <c r="F12" s="119">
        <f>SUM(Lançamentos!B38:F38)</f>
        <v>46812972.500000007</v>
      </c>
      <c r="G12" s="119">
        <f>SUM(Lançamentos!B38:G38)</f>
        <v>53671919.270000011</v>
      </c>
      <c r="H12" s="119">
        <f>SUM(Lançamentos!B38:H38)</f>
        <v>59004806.530000009</v>
      </c>
      <c r="I12" s="119">
        <f>SUM(Lançamentos!B38:I38)</f>
        <v>61458803.430000007</v>
      </c>
      <c r="J12" s="119">
        <f>SUM(Lançamentos!B38:J38)</f>
        <v>63258602.590000004</v>
      </c>
      <c r="K12" s="119">
        <f>SUM(Lançamentos!B38:K38)*0</f>
        <v>0</v>
      </c>
      <c r="L12" s="119">
        <f>SUM(Lançamentos!B38:L38)*0</f>
        <v>0</v>
      </c>
      <c r="M12" s="119">
        <f>SUM(Lançamentos!B38:M38)*0</f>
        <v>0</v>
      </c>
      <c r="O12" s="472"/>
      <c r="P12" s="76" t="s">
        <v>202</v>
      </c>
      <c r="Q12" s="80">
        <f>I4</f>
        <v>153925536.5878334</v>
      </c>
      <c r="R12" s="153">
        <f>I5</f>
        <v>159979151.97999996</v>
      </c>
      <c r="S12" s="152">
        <f>I3</f>
        <v>183214253.89967453</v>
      </c>
      <c r="T12" s="71">
        <f t="shared" si="5"/>
        <v>159979151.97999996</v>
      </c>
      <c r="U12" s="71" t="e">
        <f t="shared" si="6"/>
        <v>#N/A</v>
      </c>
      <c r="V12" s="70"/>
      <c r="W12" s="70"/>
      <c r="X12" s="70"/>
      <c r="Y12" s="70"/>
      <c r="Z12" s="70"/>
      <c r="AC12" s="70"/>
      <c r="AD12" s="71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</row>
    <row r="13" spans="1:42" ht="19.5" customHeight="1">
      <c r="A13" s="458" t="s">
        <v>168</v>
      </c>
      <c r="B13" s="32">
        <f>B12/B11</f>
        <v>0.75516082322340761</v>
      </c>
      <c r="C13" s="32">
        <f t="shared" ref="C13" si="7">C12/C11</f>
        <v>0.8311958328467477</v>
      </c>
      <c r="D13" s="32">
        <f t="shared" ref="D13" si="8">D12/D11</f>
        <v>0.9823964226566958</v>
      </c>
      <c r="E13" s="32">
        <f>E12/E11</f>
        <v>0.97664355244978185</v>
      </c>
      <c r="F13" s="32">
        <f t="shared" ref="F13" si="9">F12/F11</f>
        <v>0.98428705088500912</v>
      </c>
      <c r="G13" s="32">
        <f t="shared" ref="G13" si="10">G12/G11</f>
        <v>1.0055200459361708</v>
      </c>
      <c r="H13" s="32">
        <f>H12/H11</f>
        <v>1.0325112492694954</v>
      </c>
      <c r="I13" s="32">
        <f t="shared" ref="I13" si="11">I12/I11</f>
        <v>1.0099291429674968</v>
      </c>
      <c r="J13" s="32">
        <f t="shared" ref="J13" si="12">J12/J11</f>
        <v>1.0055475502928928</v>
      </c>
      <c r="K13" s="32">
        <f t="shared" ref="K13" si="13">K12/K11</f>
        <v>0</v>
      </c>
      <c r="L13" s="32">
        <f t="shared" ref="L13" si="14">L12/L11</f>
        <v>0</v>
      </c>
      <c r="M13" s="32">
        <f t="shared" ref="M13" si="15">M12/M11</f>
        <v>0</v>
      </c>
      <c r="O13" s="472"/>
      <c r="P13" s="76" t="s">
        <v>203</v>
      </c>
      <c r="Q13" s="80">
        <f>J4</f>
        <v>167913126.17899984</v>
      </c>
      <c r="R13" s="153">
        <f>J5</f>
        <v>174452905.24999997</v>
      </c>
      <c r="S13" s="152">
        <f>J3</f>
        <v>198285291.58599114</v>
      </c>
      <c r="T13" s="71">
        <f t="shared" si="5"/>
        <v>174452905.24999997</v>
      </c>
      <c r="U13" s="71" t="e">
        <f t="shared" si="6"/>
        <v>#N/A</v>
      </c>
      <c r="V13" s="70"/>
      <c r="W13" s="70"/>
      <c r="X13" s="70"/>
      <c r="Y13" s="70"/>
      <c r="Z13" s="70"/>
      <c r="AC13" s="70"/>
      <c r="AD13" s="71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</row>
    <row r="14" spans="1:42" ht="19.5" customHeight="1">
      <c r="A14" s="421"/>
      <c r="B14"/>
      <c r="C14"/>
      <c r="D14"/>
      <c r="E14"/>
      <c r="F14"/>
      <c r="G14"/>
      <c r="H14"/>
      <c r="I14"/>
      <c r="J14"/>
      <c r="K14"/>
      <c r="L14"/>
      <c r="M14"/>
      <c r="O14" s="472"/>
      <c r="P14" s="76" t="s">
        <v>204</v>
      </c>
      <c r="Q14" s="80">
        <f>K4</f>
        <v>183022070.82118729</v>
      </c>
      <c r="T14" s="71" t="e">
        <f t="shared" ref="T14:T16" si="16">IF(AA14="",NA(),IF(AA14&gt;=Q14,AA14,NA()))</f>
        <v>#N/A</v>
      </c>
      <c r="U14" s="71">
        <f t="shared" ref="U14:U16" si="17">IF(AA14="",NA(),IF(AA14&lt;Q14,AA14,NA()))</f>
        <v>0</v>
      </c>
      <c r="V14" s="70"/>
      <c r="W14" s="70"/>
      <c r="X14" s="70"/>
      <c r="Y14" s="70"/>
      <c r="Z14" s="70"/>
      <c r="AA14" s="153">
        <f>K5</f>
        <v>0</v>
      </c>
      <c r="AB14" s="152">
        <f>K3</f>
        <v>214264749.7080397</v>
      </c>
      <c r="AC14" s="70"/>
      <c r="AD14" s="71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</row>
    <row r="15" spans="1:42" ht="19.5" customHeight="1">
      <c r="A15" s="1015" t="str">
        <f>Lançamentos!S36</f>
        <v>Anuid. PF - Exerc. Ant.</v>
      </c>
      <c r="B15" s="1015" t="s">
        <v>104</v>
      </c>
      <c r="C15" s="1015"/>
      <c r="D15" s="1015"/>
      <c r="E15" s="1015"/>
      <c r="F15" s="1015"/>
      <c r="G15" s="1015"/>
      <c r="H15" s="1015"/>
      <c r="I15" s="1015"/>
      <c r="J15" s="1015"/>
      <c r="K15" s="1015"/>
      <c r="L15" s="1015"/>
      <c r="M15" s="1015"/>
      <c r="O15" s="472"/>
      <c r="P15" s="76" t="s">
        <v>205</v>
      </c>
      <c r="Q15" s="80">
        <f>L4</f>
        <v>196051596.00296664</v>
      </c>
      <c r="T15" s="71" t="e">
        <f t="shared" si="16"/>
        <v>#N/A</v>
      </c>
      <c r="U15" s="71">
        <f t="shared" si="17"/>
        <v>0</v>
      </c>
      <c r="V15" s="70"/>
      <c r="W15" s="70"/>
      <c r="X15" s="70"/>
      <c r="Y15" s="70"/>
      <c r="Z15" s="70"/>
      <c r="AA15" s="153">
        <f>L5</f>
        <v>0</v>
      </c>
      <c r="AB15" s="152">
        <f>L3</f>
        <v>228207538.47151867</v>
      </c>
      <c r="AC15" s="70"/>
      <c r="AD15" s="71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</row>
    <row r="16" spans="1:42" ht="19.5" customHeight="1">
      <c r="A16" s="458" t="s">
        <v>183</v>
      </c>
      <c r="B16" s="459" t="s">
        <v>120</v>
      </c>
      <c r="C16" s="459" t="s">
        <v>136</v>
      </c>
      <c r="D16" s="459" t="s">
        <v>137</v>
      </c>
      <c r="E16" s="459" t="s">
        <v>138</v>
      </c>
      <c r="F16" s="459" t="s">
        <v>139</v>
      </c>
      <c r="G16" s="459" t="s">
        <v>140</v>
      </c>
      <c r="H16" s="459" t="s">
        <v>141</v>
      </c>
      <c r="I16" s="459" t="s">
        <v>142</v>
      </c>
      <c r="J16" s="459" t="s">
        <v>143</v>
      </c>
      <c r="K16" s="459" t="s">
        <v>144</v>
      </c>
      <c r="L16" s="459" t="s">
        <v>145</v>
      </c>
      <c r="M16" s="459" t="s">
        <v>146</v>
      </c>
      <c r="O16" s="472"/>
      <c r="P16" s="76" t="s">
        <v>206</v>
      </c>
      <c r="Q16" s="80">
        <f>M4</f>
        <v>209250933.3972857</v>
      </c>
      <c r="T16" s="71" t="e">
        <f t="shared" si="16"/>
        <v>#N/A</v>
      </c>
      <c r="U16" s="71">
        <f t="shared" si="17"/>
        <v>0</v>
      </c>
      <c r="V16" s="70"/>
      <c r="W16" s="70"/>
      <c r="X16" s="70"/>
      <c r="Y16" s="70"/>
      <c r="Z16" s="70"/>
      <c r="AA16" s="153">
        <f>M5</f>
        <v>0</v>
      </c>
      <c r="AB16" s="152">
        <f>M3</f>
        <v>242409019.66799998</v>
      </c>
      <c r="AC16" s="70"/>
      <c r="AD16" s="71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</row>
    <row r="17" spans="1:42" ht="19.5" customHeight="1" thickBot="1">
      <c r="A17" s="458" t="s">
        <v>166</v>
      </c>
      <c r="B17" s="27">
        <f>$N$17*Lançamentos!T58</f>
        <v>2267417.3715040069</v>
      </c>
      <c r="C17" s="27">
        <f>$N$17*Lançamentos!T59</f>
        <v>4015108.5195592274</v>
      </c>
      <c r="D17" s="27">
        <f>$N$17*Lançamentos!T60</f>
        <v>5395529.5701630656</v>
      </c>
      <c r="E17" s="27">
        <f>$N$17*Lançamentos!T61</f>
        <v>6635371.2627898455</v>
      </c>
      <c r="F17" s="27">
        <f>$N$17*Lançamentos!T62</f>
        <v>7721041.6845208984</v>
      </c>
      <c r="G17" s="27">
        <f>$N$17*Lançamentos!T63</f>
        <v>8753842.54612788</v>
      </c>
      <c r="H17" s="27">
        <f>$N$17*Lançamentos!T64</f>
        <v>10149068.112386934</v>
      </c>
      <c r="I17" s="27">
        <f>$N$17*Lançamentos!T65</f>
        <v>11519535.891210407</v>
      </c>
      <c r="J17" s="27">
        <f>$N$17*Lançamentos!T66</f>
        <v>12701239.474559357</v>
      </c>
      <c r="K17" s="27">
        <f>$N$17*Lançamentos!T67</f>
        <v>14357984.204981059</v>
      </c>
      <c r="L17" s="27">
        <f>$N$17*Lançamentos!T68</f>
        <v>15406149.681081541</v>
      </c>
      <c r="M17" s="27">
        <f>$N$17*Lançamentos!T69</f>
        <v>16761168.281999998</v>
      </c>
      <c r="N17" s="42">
        <f>Lançamentos!AG38</f>
        <v>16761168.282</v>
      </c>
      <c r="O17" s="472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1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</row>
    <row r="18" spans="1:42" ht="19.5" customHeight="1">
      <c r="A18" s="458" t="s">
        <v>167</v>
      </c>
      <c r="B18" s="119">
        <f>Lançamentos!T38</f>
        <v>1624877.0600000003</v>
      </c>
      <c r="C18" s="119">
        <f>SUM(Lançamentos!T38:U38)</f>
        <v>3524453.2200000007</v>
      </c>
      <c r="D18" s="119">
        <f>SUM(Lançamentos!T38:V38)</f>
        <v>5532964.6900000013</v>
      </c>
      <c r="E18" s="119">
        <f>SUM(Lançamentos!T38:W38)</f>
        <v>6889303.290000001</v>
      </c>
      <c r="F18" s="119">
        <f>SUM(Lançamentos!T38:X38)</f>
        <v>8501206.7300000004</v>
      </c>
      <c r="G18" s="119">
        <f>SUM(Lançamentos!T38:Y38)</f>
        <v>9916700.8599999994</v>
      </c>
      <c r="H18" s="119">
        <f>SUM(Lançamentos!T38:Z38)</f>
        <v>11128942.629999999</v>
      </c>
      <c r="I18" s="119">
        <f>SUM(Lançamentos!T38:AA38)</f>
        <v>12539439.719999999</v>
      </c>
      <c r="J18" s="119">
        <f>SUM(Lançamentos!T38:AB38)</f>
        <v>13690888.369999999</v>
      </c>
      <c r="K18" s="119">
        <f>SUM(Lançamentos!T38:AC38)*0</f>
        <v>0</v>
      </c>
      <c r="L18" s="119">
        <f>SUM(Lançamentos!T38:AD38)*0</f>
        <v>0</v>
      </c>
      <c r="M18" s="119">
        <f>SUM(Lançamentos!T38:AE38)*0</f>
        <v>0</v>
      </c>
      <c r="O18" s="472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 t="s">
        <v>403</v>
      </c>
      <c r="AP18" s="194"/>
    </row>
    <row r="19" spans="1:42" ht="19.5" customHeight="1">
      <c r="A19" s="458" t="s">
        <v>168</v>
      </c>
      <c r="B19" s="32">
        <f>B18/B17</f>
        <v>0.71662018665853233</v>
      </c>
      <c r="C19" s="32">
        <f t="shared" ref="C19" si="18">C18/C17</f>
        <v>0.87779774888547968</v>
      </c>
      <c r="D19" s="32">
        <f t="shared" ref="D19" si="19">D18/D17</f>
        <v>1.0254720353303117</v>
      </c>
      <c r="E19" s="32">
        <f>E18/E17</f>
        <v>1.0382694527786513</v>
      </c>
      <c r="F19" s="32">
        <f t="shared" ref="F19" si="20">F18/F17</f>
        <v>1.1010440141831086</v>
      </c>
      <c r="G19" s="32">
        <f t="shared" ref="G19" si="21">G18/G17</f>
        <v>1.1328397566833655</v>
      </c>
      <c r="H19" s="32">
        <f t="shared" ref="H19" si="22">H18/H17</f>
        <v>1.0965482255870496</v>
      </c>
      <c r="I19" s="32">
        <f t="shared" ref="I19" si="23">I18/I17</f>
        <v>1.0885368853764148</v>
      </c>
      <c r="J19" s="32">
        <f t="shared" ref="J19" si="24">J18/J17</f>
        <v>1.0779175054074772</v>
      </c>
      <c r="K19" s="32">
        <f t="shared" ref="K19" si="25">K18/K17</f>
        <v>0</v>
      </c>
      <c r="L19" s="32">
        <f t="shared" ref="L19" si="26">L18/L17</f>
        <v>0</v>
      </c>
      <c r="M19" s="32">
        <f t="shared" ref="M19" si="27">M18/M17</f>
        <v>0</v>
      </c>
      <c r="O19" s="472"/>
      <c r="P19" s="1012" t="s">
        <v>419</v>
      </c>
      <c r="Q19" s="1012"/>
      <c r="R19" s="1012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</row>
    <row r="20" spans="1:42" ht="19.5" customHeight="1">
      <c r="A20" s="421"/>
      <c r="B20"/>
      <c r="C20"/>
      <c r="D20"/>
      <c r="E20"/>
      <c r="F20"/>
      <c r="G20"/>
      <c r="H20"/>
      <c r="I20"/>
      <c r="J20"/>
      <c r="K20"/>
      <c r="L20"/>
      <c r="M20"/>
      <c r="O20" s="472"/>
      <c r="P20" s="72" t="s">
        <v>183</v>
      </c>
      <c r="Q20" s="73" t="s">
        <v>191</v>
      </c>
      <c r="R20" s="74" t="s">
        <v>192</v>
      </c>
      <c r="S20" s="74" t="s">
        <v>214</v>
      </c>
      <c r="T20" s="75" t="s">
        <v>193</v>
      </c>
      <c r="U20" s="75" t="s">
        <v>194</v>
      </c>
      <c r="V20" s="70"/>
      <c r="W20" s="70"/>
      <c r="X20" s="70"/>
      <c r="Y20" s="70"/>
      <c r="Z20" s="70"/>
      <c r="AA20" s="70"/>
      <c r="AB20" s="70"/>
      <c r="AC20" s="70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</row>
    <row r="21" spans="1:42" ht="19.5" customHeight="1">
      <c r="A21" s="1015" t="str">
        <f>Lançamentos!A71</f>
        <v>Anuid. PJ - Exerc.</v>
      </c>
      <c r="B21" s="1015" t="s">
        <v>104</v>
      </c>
      <c r="C21" s="1015"/>
      <c r="D21" s="1015"/>
      <c r="E21" s="1015"/>
      <c r="F21" s="1015"/>
      <c r="G21" s="1015"/>
      <c r="H21" s="1015"/>
      <c r="I21" s="1015"/>
      <c r="J21" s="1015"/>
      <c r="K21" s="1015"/>
      <c r="L21" s="1015"/>
      <c r="M21" s="1015"/>
      <c r="O21" s="472"/>
      <c r="P21" s="76" t="s">
        <v>195</v>
      </c>
      <c r="Q21" s="77">
        <f>B11</f>
        <v>14796436.727616586</v>
      </c>
      <c r="R21" s="151">
        <f>B12</f>
        <v>11173689.340000004</v>
      </c>
      <c r="S21" s="154">
        <f>B10</f>
        <v>20659530.362153042</v>
      </c>
      <c r="T21" s="71" t="e">
        <f>IF(R21="",NA(),IF(R21&gt;=Q21,R21,NA()))</f>
        <v>#N/A</v>
      </c>
      <c r="U21" s="71">
        <f>IF(R21="",NA(),IF(R21&lt;Q21,R21,NA()))</f>
        <v>11173689.340000004</v>
      </c>
      <c r="V21" s="70"/>
      <c r="W21" s="70"/>
      <c r="X21" s="70"/>
      <c r="Y21" s="70"/>
      <c r="Z21" s="70"/>
      <c r="AA21" s="70"/>
      <c r="AB21" s="70"/>
      <c r="AC21" s="70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</row>
    <row r="22" spans="1:42" ht="19.5" customHeight="1">
      <c r="A22" s="458" t="s">
        <v>183</v>
      </c>
      <c r="B22" s="459" t="s">
        <v>120</v>
      </c>
      <c r="C22" s="459" t="s">
        <v>136</v>
      </c>
      <c r="D22" s="459" t="s">
        <v>137</v>
      </c>
      <c r="E22" s="459" t="s">
        <v>138</v>
      </c>
      <c r="F22" s="459" t="s">
        <v>139</v>
      </c>
      <c r="G22" s="459" t="s">
        <v>140</v>
      </c>
      <c r="H22" s="459" t="s">
        <v>141</v>
      </c>
      <c r="I22" s="459" t="s">
        <v>142</v>
      </c>
      <c r="J22" s="459" t="s">
        <v>143</v>
      </c>
      <c r="K22" s="459" t="s">
        <v>144</v>
      </c>
      <c r="L22" s="459" t="s">
        <v>145</v>
      </c>
      <c r="M22" s="459" t="s">
        <v>146</v>
      </c>
      <c r="O22" s="472"/>
      <c r="P22" s="76" t="s">
        <v>196</v>
      </c>
      <c r="Q22" s="80">
        <f>C11</f>
        <v>28990324.419062428</v>
      </c>
      <c r="R22" s="151">
        <f>C12</f>
        <v>24096636.850000001</v>
      </c>
      <c r="S22" s="152">
        <f>C10</f>
        <v>40477751.405271091</v>
      </c>
      <c r="T22" s="71">
        <f>IF(R23="",NA(),IF(R23&gt;=Q22,R23,NA()))</f>
        <v>35307556.620000005</v>
      </c>
      <c r="U22" s="71" t="e">
        <f>IF(R23="",NA(),IF(R23&lt;Q22,R23,NA()))</f>
        <v>#N/A</v>
      </c>
      <c r="V22" s="70"/>
      <c r="W22" s="70"/>
      <c r="X22" s="70"/>
      <c r="Y22" s="70"/>
      <c r="Z22" s="70"/>
      <c r="AC22" s="70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</row>
    <row r="23" spans="1:42" ht="19.5" customHeight="1">
      <c r="A23" s="458" t="s">
        <v>214</v>
      </c>
      <c r="B23" s="30">
        <f>$N$23*Lançamentos!B93</f>
        <v>1926442.4732265207</v>
      </c>
      <c r="C23" s="30">
        <f>$N$23*Lançamentos!B94</f>
        <v>4264980.4776132097</v>
      </c>
      <c r="D23" s="30">
        <f>$N$23*Lançamentos!B95</f>
        <v>5306578.8374429336</v>
      </c>
      <c r="E23" s="30">
        <f>$N$23*Lançamentos!B96</f>
        <v>6174520.6920783566</v>
      </c>
      <c r="F23" s="30">
        <f>$N$23*Lançamentos!B97</f>
        <v>7095244.8123568492</v>
      </c>
      <c r="G23" s="30">
        <f>$N$23*Lançamentos!B98</f>
        <v>8100253.3602671716</v>
      </c>
      <c r="H23" s="30">
        <f>$N$23*Lançamentos!B99</f>
        <v>8700173.8804929536</v>
      </c>
      <c r="I23" s="30">
        <f>$N$23*Lançamentos!B100</f>
        <v>9337262.7852477971</v>
      </c>
      <c r="J23" s="30">
        <f>$N$23*Lançamentos!B101</f>
        <v>9682777.6393550113</v>
      </c>
      <c r="K23" s="30">
        <f>$N$23*Lançamentos!B102</f>
        <v>9971156.8793984521</v>
      </c>
      <c r="L23" s="30">
        <f>$N$23*Lançamentos!B103</f>
        <v>10265545.84745948</v>
      </c>
      <c r="M23" s="30">
        <f>$N$23*Lançamentos!B104</f>
        <v>10565259.252</v>
      </c>
      <c r="N23" s="42">
        <f>Lançamentos!V15</f>
        <v>10565259.252</v>
      </c>
      <c r="O23" s="472"/>
      <c r="P23" s="76" t="s">
        <v>197</v>
      </c>
      <c r="Q23" s="80">
        <f>D11</f>
        <v>35940233.296572618</v>
      </c>
      <c r="R23" s="153">
        <f>D12</f>
        <v>35307556.620000005</v>
      </c>
      <c r="S23" s="152">
        <f>D10</f>
        <v>50181564.297001474</v>
      </c>
      <c r="T23" s="71" t="e">
        <f>IF(#REF!="",NA(),IF(#REF!&gt;=Q23,#REF!,NA()))</f>
        <v>#REF!</v>
      </c>
      <c r="U23" s="71" t="e">
        <f>IF(#REF!="",NA(),IF(#REF!&lt;Q23,#REF!,NA()))</f>
        <v>#REF!</v>
      </c>
      <c r="V23" s="70"/>
      <c r="W23" s="70"/>
      <c r="X23" s="70"/>
      <c r="Y23" s="70"/>
      <c r="Z23" s="70"/>
      <c r="AC23" s="70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</row>
    <row r="24" spans="1:42" ht="19.5" customHeight="1">
      <c r="A24" s="458" t="s">
        <v>166</v>
      </c>
      <c r="B24" s="27">
        <f>$N$24*Lançamentos!B93</f>
        <v>1018975.0580793833</v>
      </c>
      <c r="C24" s="27">
        <f>$N$24*Lançamentos!B94</f>
        <v>2255924.4775186926</v>
      </c>
      <c r="D24" s="27">
        <f>$N$24*Lançamentos!B95</f>
        <v>2806868.906928645</v>
      </c>
      <c r="E24" s="27">
        <f>$N$24*Lançamentos!B96</f>
        <v>3265959.2322449223</v>
      </c>
      <c r="F24" s="27">
        <f>$N$24*Lançamentos!B97</f>
        <v>3752968.2797377976</v>
      </c>
      <c r="G24" s="27">
        <f>$N$24*Lançamentos!B98</f>
        <v>4284558.8450984173</v>
      </c>
      <c r="H24" s="27">
        <f>$N$24*Lançamentos!B99</f>
        <v>4601881.6073588617</v>
      </c>
      <c r="I24" s="27">
        <f>$N$24*Lançamentos!B100</f>
        <v>4938864.2646385338</v>
      </c>
      <c r="J24" s="27">
        <f>$N$24*Lançamentos!B101</f>
        <v>5121621.3536376767</v>
      </c>
      <c r="K24" s="27">
        <f>$N$24*Lançamentos!B102</f>
        <v>5274157.0545247076</v>
      </c>
      <c r="L24" s="27">
        <f>$N$24*Lançamentos!B103</f>
        <v>5429871.5489863567</v>
      </c>
      <c r="M24" s="27">
        <f>$N$24*Lançamentos!B104</f>
        <v>5588402.3580000009</v>
      </c>
      <c r="N24" s="42">
        <f>Lançamentos!O73</f>
        <v>5588402.3580000009</v>
      </c>
      <c r="O24" s="472"/>
      <c r="P24" s="76" t="s">
        <v>198</v>
      </c>
      <c r="Q24" s="80">
        <f>E11</f>
        <v>41547517.575084224</v>
      </c>
      <c r="R24" s="153">
        <f>E12</f>
        <v>40577115.160000004</v>
      </c>
      <c r="S24" s="152">
        <f>E10</f>
        <v>58010737.085941866</v>
      </c>
      <c r="T24" s="71" t="e">
        <f t="shared" ref="T24:T29" si="28">IF(R24="",NA(),IF(R24&gt;=Q24,R24,NA()))</f>
        <v>#N/A</v>
      </c>
      <c r="U24" s="71">
        <f t="shared" ref="U24:U29" si="29">IF(R24="",NA(),IF(R24&lt;Q24,R24,NA()))</f>
        <v>40577115.160000004</v>
      </c>
      <c r="V24" s="70"/>
      <c r="W24" s="70"/>
      <c r="X24" s="70"/>
      <c r="Y24" s="70"/>
      <c r="Z24" s="70"/>
      <c r="AC24" s="70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</row>
    <row r="25" spans="1:42" ht="19.5" customHeight="1">
      <c r="A25" s="458" t="s">
        <v>167</v>
      </c>
      <c r="B25" s="119">
        <f>Lançamentos!B73</f>
        <v>414294.46000000008</v>
      </c>
      <c r="C25" s="119">
        <f>SUM(Lançamentos!B73:C73)</f>
        <v>802549.10000000009</v>
      </c>
      <c r="D25" s="119">
        <f>SUM(Lançamentos!B73:D73)</f>
        <v>1029153.2200000001</v>
      </c>
      <c r="E25" s="119">
        <f>SUM(Lançamentos!B73:E73)</f>
        <v>1168470.53</v>
      </c>
      <c r="F25" s="119">
        <f>SUM(Lançamentos!B73:F73)</f>
        <v>1303580.67</v>
      </c>
      <c r="G25" s="119">
        <f>SUM(Lançamentos!B73:G73)</f>
        <v>1445440.21</v>
      </c>
      <c r="H25" s="119">
        <f>SUM(Lançamentos!B73:H73)</f>
        <v>1752726.26</v>
      </c>
      <c r="I25" s="119">
        <f>SUM(Lançamentos!B73:I73)</f>
        <v>2883068.31</v>
      </c>
      <c r="J25" s="119">
        <f>SUM(Lançamentos!B73:J73)</f>
        <v>3427609.25</v>
      </c>
      <c r="K25" s="119">
        <f>SUM(Lançamentos!B73:K73)*0</f>
        <v>0</v>
      </c>
      <c r="L25" s="119">
        <f>SUM(Lançamentos!B73:L73)*0</f>
        <v>0</v>
      </c>
      <c r="M25" s="119">
        <f>SUM(Lançamentos!B73:M73)*0</f>
        <v>0</v>
      </c>
      <c r="O25" s="472"/>
      <c r="P25" s="76" t="s">
        <v>199</v>
      </c>
      <c r="Q25" s="80">
        <f>F11</f>
        <v>47560284.835514925</v>
      </c>
      <c r="R25" s="153">
        <f>F12</f>
        <v>46812972.500000007</v>
      </c>
      <c r="S25" s="152">
        <f>F10</f>
        <v>66406065.64133504</v>
      </c>
      <c r="T25" s="71" t="e">
        <f t="shared" si="28"/>
        <v>#N/A</v>
      </c>
      <c r="U25" s="71">
        <f t="shared" si="29"/>
        <v>46812972.500000007</v>
      </c>
      <c r="V25" s="70"/>
      <c r="W25" s="70"/>
      <c r="X25" s="70"/>
      <c r="Y25" s="70"/>
      <c r="Z25" s="70"/>
      <c r="AC25" s="70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</row>
    <row r="26" spans="1:42" ht="19.5" customHeight="1">
      <c r="A26" s="458" t="s">
        <v>168</v>
      </c>
      <c r="B26" s="32">
        <f>B25/B24</f>
        <v>0.40657958869070221</v>
      </c>
      <c r="C26" s="32">
        <f t="shared" ref="C26" si="30">C25/C24</f>
        <v>0.35575175853525448</v>
      </c>
      <c r="D26" s="32">
        <f t="shared" ref="D26" si="31">D25/D24</f>
        <v>0.36665524971956331</v>
      </c>
      <c r="E26" s="32">
        <f t="shared" ref="E26" si="32">E25/E24</f>
        <v>0.35777253998263431</v>
      </c>
      <c r="F26" s="32">
        <f t="shared" ref="F26" si="33">F25/F24</f>
        <v>0.34734657285488035</v>
      </c>
      <c r="G26" s="32">
        <f t="shared" ref="G26" si="34">G25/G24</f>
        <v>0.33736033562792572</v>
      </c>
      <c r="H26" s="32">
        <f t="shared" ref="H26" si="35">H25/H24</f>
        <v>0.38087165415060181</v>
      </c>
      <c r="I26" s="32">
        <f t="shared" ref="I26" si="36">I25/I24</f>
        <v>0.58375127468926424</v>
      </c>
      <c r="J26" s="32">
        <f t="shared" ref="J26" si="37">J25/J24</f>
        <v>0.66924300203596865</v>
      </c>
      <c r="K26" s="32">
        <f t="shared" ref="K26" si="38">K25/K24</f>
        <v>0</v>
      </c>
      <c r="L26" s="32">
        <f t="shared" ref="L26" si="39">L25/L24</f>
        <v>0</v>
      </c>
      <c r="M26" s="32">
        <f t="shared" ref="M26" si="40">M25/M24</f>
        <v>0</v>
      </c>
      <c r="O26" s="472"/>
      <c r="P26" s="76" t="s">
        <v>200</v>
      </c>
      <c r="Q26" s="80">
        <f>G11</f>
        <v>53377274.264114507</v>
      </c>
      <c r="R26" s="153">
        <f>G12</f>
        <v>53671919.270000011</v>
      </c>
      <c r="S26" s="152">
        <f>G10</f>
        <v>74528039.32518658</v>
      </c>
      <c r="T26" s="71">
        <f t="shared" si="28"/>
        <v>53671919.270000011</v>
      </c>
      <c r="U26" s="71" t="e">
        <f t="shared" si="29"/>
        <v>#N/A</v>
      </c>
      <c r="V26" s="70"/>
      <c r="W26" s="70"/>
      <c r="X26" s="70"/>
      <c r="Y26" s="70"/>
      <c r="Z26" s="70"/>
      <c r="AC26" s="70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</row>
    <row r="27" spans="1:42" ht="19.5" customHeight="1">
      <c r="A27" s="421"/>
      <c r="B27"/>
      <c r="C27"/>
      <c r="D27"/>
      <c r="E27"/>
      <c r="F27"/>
      <c r="G27"/>
      <c r="H27"/>
      <c r="I27"/>
      <c r="J27"/>
      <c r="K27"/>
      <c r="L27"/>
      <c r="M27"/>
      <c r="O27" s="472"/>
      <c r="P27" s="76" t="s">
        <v>201</v>
      </c>
      <c r="Q27" s="80">
        <f>H11</f>
        <v>57146889.75228703</v>
      </c>
      <c r="R27" s="153">
        <f>H12</f>
        <v>59004806.530000009</v>
      </c>
      <c r="S27" s="152">
        <f>H10</f>
        <v>79791366.372447044</v>
      </c>
      <c r="T27" s="71">
        <f t="shared" si="28"/>
        <v>59004806.530000009</v>
      </c>
      <c r="U27" s="71" t="e">
        <f t="shared" si="29"/>
        <v>#N/A</v>
      </c>
      <c r="V27" s="70"/>
      <c r="W27" s="70"/>
      <c r="X27" s="70"/>
      <c r="Y27" s="70"/>
      <c r="Z27" s="70"/>
      <c r="AC27" s="70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</row>
    <row r="28" spans="1:42" ht="19.5" customHeight="1">
      <c r="A28" s="1015" t="str">
        <f>Lançamentos!S71</f>
        <v>Anuid. PJ - Exerc. Ant.</v>
      </c>
      <c r="B28" s="1015" t="s">
        <v>104</v>
      </c>
      <c r="C28" s="1015"/>
      <c r="D28" s="1015"/>
      <c r="E28" s="1015"/>
      <c r="F28" s="1015"/>
      <c r="G28" s="1015"/>
      <c r="H28" s="1015"/>
      <c r="I28" s="1015"/>
      <c r="J28" s="1015"/>
      <c r="K28" s="1015"/>
      <c r="L28" s="1015"/>
      <c r="M28" s="1015"/>
      <c r="O28" s="472"/>
      <c r="P28" s="76" t="s">
        <v>202</v>
      </c>
      <c r="Q28" s="80">
        <f>I11</f>
        <v>60854569.707152195</v>
      </c>
      <c r="R28" s="153">
        <f>I12</f>
        <v>61458803.430000007</v>
      </c>
      <c r="S28" s="152">
        <f>I10</f>
        <v>84968215.907965034</v>
      </c>
      <c r="T28" s="71">
        <f t="shared" si="28"/>
        <v>61458803.430000007</v>
      </c>
      <c r="U28" s="71" t="e">
        <f t="shared" si="29"/>
        <v>#N/A</v>
      </c>
      <c r="V28" s="70"/>
      <c r="W28" s="70"/>
      <c r="X28" s="70"/>
      <c r="Y28" s="70"/>
      <c r="Z28" s="70"/>
      <c r="AC28" s="70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</row>
    <row r="29" spans="1:42" ht="19.5" customHeight="1">
      <c r="A29" s="458" t="s">
        <v>183</v>
      </c>
      <c r="B29" s="459" t="s">
        <v>120</v>
      </c>
      <c r="C29" s="459" t="s">
        <v>136</v>
      </c>
      <c r="D29" s="459" t="s">
        <v>137</v>
      </c>
      <c r="E29" s="459" t="s">
        <v>138</v>
      </c>
      <c r="F29" s="459" t="s">
        <v>139</v>
      </c>
      <c r="G29" s="459" t="s">
        <v>140</v>
      </c>
      <c r="H29" s="459" t="s">
        <v>141</v>
      </c>
      <c r="I29" s="459" t="s">
        <v>142</v>
      </c>
      <c r="J29" s="459" t="s">
        <v>143</v>
      </c>
      <c r="K29" s="459" t="s">
        <v>144</v>
      </c>
      <c r="L29" s="459" t="s">
        <v>145</v>
      </c>
      <c r="M29" s="459" t="s">
        <v>146</v>
      </c>
      <c r="O29" s="472"/>
      <c r="P29" s="76" t="s">
        <v>203</v>
      </c>
      <c r="Q29" s="80">
        <f>J11</f>
        <v>62909608.373641044</v>
      </c>
      <c r="R29" s="153">
        <f>J12</f>
        <v>63258602.590000004</v>
      </c>
      <c r="S29" s="152">
        <f>J10</f>
        <v>87837564.421211004</v>
      </c>
      <c r="T29" s="71">
        <f t="shared" si="28"/>
        <v>63258602.590000004</v>
      </c>
      <c r="U29" s="71" t="e">
        <f t="shared" si="29"/>
        <v>#N/A</v>
      </c>
      <c r="V29" s="70"/>
      <c r="W29" s="70"/>
      <c r="X29" s="70"/>
      <c r="Y29" s="70"/>
      <c r="Z29" s="70"/>
      <c r="AC29" s="70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</row>
    <row r="30" spans="1:42" ht="19.5" customHeight="1">
      <c r="A30" s="458" t="s">
        <v>166</v>
      </c>
      <c r="B30" s="27">
        <f>$N$30*Lançamentos!T93</f>
        <v>355455.89127551753</v>
      </c>
      <c r="C30" s="27">
        <f>$N$30*Lançamentos!T94</f>
        <v>657632.93539569969</v>
      </c>
      <c r="D30" s="27">
        <f>$N$30*Lançamentos!T95</f>
        <v>892200.03768604691</v>
      </c>
      <c r="E30" s="27">
        <f>$N$30*Lançamentos!T96</f>
        <v>1096140.990105195</v>
      </c>
      <c r="F30" s="27">
        <f>$N$30*Lançamentos!T97</f>
        <v>1275804.9312838914</v>
      </c>
      <c r="G30" s="27">
        <f>$N$30*Lançamentos!T98</f>
        <v>1458629.7889792309</v>
      </c>
      <c r="H30" s="27">
        <f>$N$30*Lançamentos!T99</f>
        <v>1696796.0090236673</v>
      </c>
      <c r="I30" s="27">
        <f>$N$30*Lançamentos!T100</f>
        <v>1937976.3969157287</v>
      </c>
      <c r="J30" s="27">
        <f>$N$30*Lançamentos!T101</f>
        <v>2132604.8022738365</v>
      </c>
      <c r="K30" s="27">
        <f>$N$30*Lançamentos!T102</f>
        <v>2380233.0535183935</v>
      </c>
      <c r="L30" s="27">
        <f>$N$30*Lançamentos!T103</f>
        <v>2568201.8132475866</v>
      </c>
      <c r="M30" s="27">
        <f>$N$30*Lançamentos!T104</f>
        <v>2800012.5260000005</v>
      </c>
      <c r="N30" s="42">
        <f>Lançamentos!AG73</f>
        <v>2800012.5260000001</v>
      </c>
      <c r="O30" s="472"/>
      <c r="P30" s="76" t="s">
        <v>204</v>
      </c>
      <c r="Q30" s="80">
        <f>K11</f>
        <v>64447852.425544523</v>
      </c>
      <c r="T30" s="71" t="e">
        <f t="shared" ref="T30:T32" si="41">IF(AA30="",NA(),IF(AA30&gt;=Q30,AA30,NA()))</f>
        <v>#N/A</v>
      </c>
      <c r="U30" s="71">
        <f t="shared" ref="U30:U32" si="42">IF(AA30="",NA(),IF(AA30&lt;Q30,AA30,NA()))</f>
        <v>0</v>
      </c>
      <c r="V30" s="70"/>
      <c r="W30" s="70"/>
      <c r="X30" s="70"/>
      <c r="Y30" s="70"/>
      <c r="Z30" s="70"/>
      <c r="AA30" s="153">
        <f>K12</f>
        <v>0</v>
      </c>
      <c r="AB30" s="152">
        <f>K10</f>
        <v>89985338.258907154</v>
      </c>
      <c r="AC30" s="70"/>
    </row>
    <row r="31" spans="1:42" ht="19.5" customHeight="1">
      <c r="A31" s="458" t="s">
        <v>167</v>
      </c>
      <c r="B31" s="119">
        <f>Lançamentos!T73</f>
        <v>273703.60000000003</v>
      </c>
      <c r="C31" s="119">
        <f>SUM(Lançamentos!T73:U73)</f>
        <v>639245.17999999993</v>
      </c>
      <c r="D31" s="119">
        <f>SUM(Lançamentos!T73:V73)</f>
        <v>1013167.1299999999</v>
      </c>
      <c r="E31" s="119">
        <f>SUM(Lançamentos!T73:W73)</f>
        <v>1260635.3899999999</v>
      </c>
      <c r="F31" s="119">
        <f>SUM(Lançamentos!T73:X73)</f>
        <v>1569367.39</v>
      </c>
      <c r="G31" s="119">
        <f>SUM(Lançamentos!T73:Y73)</f>
        <v>1825059.48</v>
      </c>
      <c r="H31" s="119">
        <f>SUM(Lançamentos!T73:Z73)</f>
        <v>2041703.08</v>
      </c>
      <c r="I31" s="119">
        <f>SUM(Lançamentos!T73:AA73)</f>
        <v>2446736.0700000003</v>
      </c>
      <c r="J31" s="119">
        <f>SUM(Lançamentos!T73:AB73)</f>
        <v>2824767.0400000005</v>
      </c>
      <c r="K31" s="119">
        <f>SUM(Lançamentos!T73:AC73)*0</f>
        <v>0</v>
      </c>
      <c r="L31" s="119">
        <f>SUM(Lançamentos!T73:AD73)*0</f>
        <v>0</v>
      </c>
      <c r="M31" s="119">
        <f>SUM(Lançamentos!T73:AE73)*0</f>
        <v>0</v>
      </c>
      <c r="O31" s="472"/>
      <c r="P31" s="76" t="s">
        <v>205</v>
      </c>
      <c r="Q31" s="80">
        <f>L11</f>
        <v>66110084.299710646</v>
      </c>
      <c r="T31" s="71" t="e">
        <f t="shared" si="41"/>
        <v>#N/A</v>
      </c>
      <c r="U31" s="71">
        <f t="shared" si="42"/>
        <v>0</v>
      </c>
      <c r="V31" s="70"/>
      <c r="W31" s="70"/>
      <c r="X31" s="70"/>
      <c r="Y31" s="70"/>
      <c r="Z31" s="70"/>
      <c r="AA31" s="153">
        <f>L12</f>
        <v>0</v>
      </c>
      <c r="AB31" s="152">
        <f>L10</f>
        <v>92306230.140205741</v>
      </c>
      <c r="AC31" s="70"/>
    </row>
    <row r="32" spans="1:42" ht="19.5" customHeight="1">
      <c r="A32" s="458" t="s">
        <v>168</v>
      </c>
      <c r="B32" s="32">
        <f>B31/B30</f>
        <v>0.77000721247815684</v>
      </c>
      <c r="C32" s="32">
        <f t="shared" ref="C32" si="43">C31/C30</f>
        <v>0.97203948524166328</v>
      </c>
      <c r="D32" s="32">
        <f t="shared" ref="D32" si="44">D31/D30</f>
        <v>1.135582926702946</v>
      </c>
      <c r="E32" s="32">
        <f t="shared" ref="E32" si="45">E31/E30</f>
        <v>1.1500668266032261</v>
      </c>
      <c r="F32" s="32">
        <f t="shared" ref="F32" si="46">F31/F30</f>
        <v>1.2300997993640652</v>
      </c>
      <c r="G32" s="32">
        <f t="shared" ref="G32" si="47">G31/G30</f>
        <v>1.2512150058838449</v>
      </c>
      <c r="H32" s="32">
        <f t="shared" ref="H32" si="48">H31/H30</f>
        <v>1.2032696146985822</v>
      </c>
      <c r="I32" s="32">
        <f t="shared" ref="I32" si="49">I31/I30</f>
        <v>1.2625210884373814</v>
      </c>
      <c r="J32" s="32">
        <f>J31/J30</f>
        <v>1.324561886472432</v>
      </c>
      <c r="K32" s="32">
        <f t="shared" ref="K32" si="50">K31/K30</f>
        <v>0</v>
      </c>
      <c r="L32" s="32">
        <f t="shared" ref="L32" si="51">L31/L30</f>
        <v>0</v>
      </c>
      <c r="M32" s="32">
        <f t="shared" ref="M32" si="52">M31/M30</f>
        <v>0</v>
      </c>
      <c r="O32" s="472"/>
      <c r="P32" s="76" t="s">
        <v>206</v>
      </c>
      <c r="Q32" s="80">
        <f>M11</f>
        <v>67945589.089999989</v>
      </c>
      <c r="T32" s="71" t="e">
        <f t="shared" si="41"/>
        <v>#N/A</v>
      </c>
      <c r="U32" s="71">
        <f t="shared" si="42"/>
        <v>0</v>
      </c>
      <c r="V32" s="70"/>
      <c r="W32" s="70"/>
      <c r="X32" s="70"/>
      <c r="Y32" s="70"/>
      <c r="Z32" s="70"/>
      <c r="AA32" s="153">
        <f>M12</f>
        <v>0</v>
      </c>
      <c r="AB32" s="152">
        <f>M10</f>
        <v>94869054.395999953</v>
      </c>
      <c r="AC32" s="70"/>
    </row>
    <row r="33" spans="1:29" ht="19.5" customHeight="1" thickBot="1">
      <c r="A33" s="421"/>
      <c r="B33">
        <v>5861.1999999999971</v>
      </c>
      <c r="C33"/>
      <c r="D33"/>
      <c r="E33"/>
      <c r="F33"/>
      <c r="G33"/>
      <c r="H33"/>
      <c r="I33"/>
      <c r="J33"/>
      <c r="K33"/>
      <c r="L33"/>
      <c r="M33"/>
      <c r="O33" s="472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9.5" customHeight="1">
      <c r="A34" s="1015" t="str">
        <f>Lançamentos!A106</f>
        <v>RRT</v>
      </c>
      <c r="B34" s="1015" t="s">
        <v>104</v>
      </c>
      <c r="C34" s="1015"/>
      <c r="D34" s="1015"/>
      <c r="E34" s="1015"/>
      <c r="F34" s="1015"/>
      <c r="G34" s="1015"/>
      <c r="H34" s="1015"/>
      <c r="I34" s="1015"/>
      <c r="J34" s="1015"/>
      <c r="K34" s="1015"/>
      <c r="L34" s="1015"/>
      <c r="M34" s="1015"/>
      <c r="O34" s="472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</row>
    <row r="35" spans="1:29" ht="19.5" customHeight="1">
      <c r="A35" s="458" t="s">
        <v>183</v>
      </c>
      <c r="B35" s="459" t="s">
        <v>120</v>
      </c>
      <c r="C35" s="459" t="s">
        <v>136</v>
      </c>
      <c r="D35" s="459" t="s">
        <v>137</v>
      </c>
      <c r="E35" s="459" t="s">
        <v>138</v>
      </c>
      <c r="F35" s="459" t="s">
        <v>139</v>
      </c>
      <c r="G35" s="459" t="s">
        <v>140</v>
      </c>
      <c r="H35" s="459" t="s">
        <v>141</v>
      </c>
      <c r="I35" s="459" t="s">
        <v>142</v>
      </c>
      <c r="J35" s="459" t="s">
        <v>143</v>
      </c>
      <c r="K35" s="459" t="s">
        <v>144</v>
      </c>
      <c r="L35" s="459" t="s">
        <v>145</v>
      </c>
      <c r="M35" s="459" t="s">
        <v>146</v>
      </c>
      <c r="O35" s="472"/>
      <c r="P35" s="1012" t="s">
        <v>207</v>
      </c>
      <c r="Q35" s="1012"/>
      <c r="R35" s="1012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</row>
    <row r="36" spans="1:29" ht="19.5" customHeight="1">
      <c r="A36" s="458" t="s">
        <v>166</v>
      </c>
      <c r="B36" s="27">
        <f>$N$36*Lançamentos!B128</f>
        <v>7250924.0097673479</v>
      </c>
      <c r="C36" s="27">
        <f>$N$36*Lançamentos!B129</f>
        <v>15285894.523920869</v>
      </c>
      <c r="D36" s="27">
        <f>$N$36*Lançamentos!B130</f>
        <v>24063494.476585761</v>
      </c>
      <c r="E36" s="27">
        <f>$N$36*Lançamentos!B131</f>
        <v>32075232.868020844</v>
      </c>
      <c r="F36" s="27">
        <f>$N$36*Lançamentos!B132</f>
        <v>40844019.560462549</v>
      </c>
      <c r="G36" s="27">
        <f>$N$36*Lançamentos!B133</f>
        <v>49392579.832004428</v>
      </c>
      <c r="H36" s="27">
        <f>$N$36*Lançamentos!B134</f>
        <v>59280977.355267935</v>
      </c>
      <c r="I36" s="27">
        <f>$N$36*Lançamentos!B135</f>
        <v>69755899.774108976</v>
      </c>
      <c r="J36" s="27">
        <f>$N$36*Lançamentos!B136</f>
        <v>79455650.864838809</v>
      </c>
      <c r="K36" s="27">
        <f>$N$36*Lançamentos!B137</f>
        <v>90176926.459439576</v>
      </c>
      <c r="L36" s="27">
        <f>$N$36*Lançamentos!B138</f>
        <v>99418188.601490989</v>
      </c>
      <c r="M36" s="27">
        <f>$N$36*Lançamentos!B139</f>
        <v>108190303.97200002</v>
      </c>
      <c r="N36" s="42">
        <f>Lançamentos!O108</f>
        <v>108190303.97200002</v>
      </c>
      <c r="O36" s="472"/>
      <c r="P36" s="72" t="s">
        <v>183</v>
      </c>
      <c r="Q36" s="73" t="s">
        <v>191</v>
      </c>
      <c r="R36" s="74" t="s">
        <v>192</v>
      </c>
      <c r="S36" s="75"/>
      <c r="T36" s="75" t="s">
        <v>193</v>
      </c>
      <c r="U36" s="75" t="s">
        <v>194</v>
      </c>
      <c r="V36" s="70"/>
      <c r="W36" s="70"/>
      <c r="X36" s="70"/>
      <c r="Y36" s="70"/>
      <c r="Z36" s="70"/>
      <c r="AA36" s="70"/>
      <c r="AB36" s="70"/>
      <c r="AC36" s="70"/>
    </row>
    <row r="37" spans="1:29" ht="19.5" customHeight="1">
      <c r="A37" s="458" t="s">
        <v>167</v>
      </c>
      <c r="B37" s="119">
        <f>Lançamentos!B108</f>
        <v>6710688.8399999999</v>
      </c>
      <c r="C37" s="119">
        <f>SUM(Lançamentos!B108:C108)</f>
        <v>14924265.239999998</v>
      </c>
      <c r="D37" s="119">
        <f>SUM(Lançamentos!B108:D108)</f>
        <v>25179154.68</v>
      </c>
      <c r="E37" s="119">
        <f>SUM(Lançamentos!B108:E108)</f>
        <v>33908790.850000001</v>
      </c>
      <c r="F37" s="119">
        <f>SUM(Lançamentos!B108:F108)</f>
        <v>44197712.32</v>
      </c>
      <c r="G37" s="119">
        <f>SUM(Lançamentos!B108:G108)</f>
        <v>53763671.239999995</v>
      </c>
      <c r="H37" s="119">
        <f>SUM(Lançamentos!B108:H108)</f>
        <v>63251623.86999999</v>
      </c>
      <c r="I37" s="119">
        <f>SUM(Lançamentos!B108:I108)</f>
        <v>73709634.499999985</v>
      </c>
      <c r="J37" s="119">
        <f>SUM(Lançamentos!B108:J108)</f>
        <v>83163925.459999979</v>
      </c>
      <c r="K37" s="119">
        <f>SUM(Lançamentos!B108:K108)*0</f>
        <v>0</v>
      </c>
      <c r="L37" s="119">
        <f>SUM(Lançamentos!B108:L108)*0</f>
        <v>0</v>
      </c>
      <c r="M37" s="119">
        <f>SUM(Lançamentos!B108:M108)*0</f>
        <v>0</v>
      </c>
      <c r="O37" s="472"/>
      <c r="P37" s="76" t="s">
        <v>195</v>
      </c>
      <c r="Q37" s="77">
        <f>B17</f>
        <v>2267417.3715040069</v>
      </c>
      <c r="R37" s="151">
        <f>B18</f>
        <v>1624877.0600000003</v>
      </c>
      <c r="S37" s="70"/>
      <c r="T37" s="71" t="e">
        <f>IF(R37="",NA(),IF(R37&gt;=Q37,R37,NA()))</f>
        <v>#N/A</v>
      </c>
      <c r="U37" s="71">
        <f>IF(R37="",NA(),IF(R37&lt;Q37,R37,NA()))</f>
        <v>1624877.0600000003</v>
      </c>
      <c r="V37" s="70"/>
      <c r="W37" s="70"/>
      <c r="X37" s="70"/>
      <c r="Y37" s="70"/>
      <c r="Z37" s="70"/>
      <c r="AA37" s="70"/>
      <c r="AB37" s="70"/>
      <c r="AC37" s="70"/>
    </row>
    <row r="38" spans="1:29" ht="19.5" customHeight="1">
      <c r="A38" s="458" t="s">
        <v>168</v>
      </c>
      <c r="B38" s="32">
        <f>B37/B36</f>
        <v>0.92549429989341703</v>
      </c>
      <c r="C38" s="32">
        <f t="shared" ref="C38" si="53">C37/C36</f>
        <v>0.97634228841792947</v>
      </c>
      <c r="D38" s="32">
        <f t="shared" ref="D38" si="54">D37/D36</f>
        <v>1.0463631832234424</v>
      </c>
      <c r="E38" s="32">
        <f t="shared" ref="E38" si="55">E37/E36</f>
        <v>1.0571642921354196</v>
      </c>
      <c r="F38" s="32">
        <f t="shared" ref="F38" si="56">F37/F36</f>
        <v>1.082109762839891</v>
      </c>
      <c r="G38" s="32">
        <f t="shared" ref="G38" si="57">G37/G36</f>
        <v>1.0884969244947855</v>
      </c>
      <c r="H38" s="32">
        <f t="shared" ref="H38" si="58">H37/H36</f>
        <v>1.0669801122025395</v>
      </c>
      <c r="I38" s="32">
        <f t="shared" ref="I38" si="59">I37/I36</f>
        <v>1.0566795746122466</v>
      </c>
      <c r="J38" s="32">
        <f t="shared" ref="J38" si="60">J37/J36</f>
        <v>1.0466709989132086</v>
      </c>
      <c r="K38" s="32">
        <f t="shared" ref="K38" si="61">K37/K36</f>
        <v>0</v>
      </c>
      <c r="L38" s="32">
        <f t="shared" ref="L38" si="62">L37/L36</f>
        <v>0</v>
      </c>
      <c r="M38" s="32">
        <f t="shared" ref="M38" si="63">M37/M36</f>
        <v>0</v>
      </c>
      <c r="O38" s="472"/>
      <c r="P38" s="76" t="s">
        <v>196</v>
      </c>
      <c r="Q38" s="80">
        <f>C17</f>
        <v>4015108.5195592274</v>
      </c>
      <c r="R38" s="151">
        <f>C18</f>
        <v>3524453.2200000007</v>
      </c>
      <c r="S38" s="70"/>
      <c r="T38" s="71">
        <f>IF(R39="",NA(),IF(R39&gt;=Q38,R39,NA()))</f>
        <v>5532964.6900000013</v>
      </c>
      <c r="U38" s="71" t="e">
        <f>IF(R39="",NA(),IF(R39&lt;Q38,R39,NA()))</f>
        <v>#N/A</v>
      </c>
      <c r="V38" s="70"/>
      <c r="W38" s="70"/>
      <c r="X38" s="70"/>
      <c r="Y38" s="70"/>
      <c r="Z38" s="70"/>
      <c r="AB38" s="70"/>
      <c r="AC38" s="70"/>
    </row>
    <row r="39" spans="1:29" ht="19.5" customHeight="1">
      <c r="A39" s="421"/>
      <c r="B39"/>
      <c r="C39"/>
      <c r="D39"/>
      <c r="E39"/>
      <c r="F39"/>
      <c r="G39"/>
      <c r="H39"/>
      <c r="I39"/>
      <c r="J39"/>
      <c r="K39"/>
      <c r="L39"/>
      <c r="M39"/>
      <c r="O39" s="472"/>
      <c r="P39" s="76" t="s">
        <v>197</v>
      </c>
      <c r="Q39" s="80">
        <f>D17</f>
        <v>5395529.5701630656</v>
      </c>
      <c r="R39" s="153">
        <f>D18</f>
        <v>5532964.6900000013</v>
      </c>
      <c r="S39" s="70"/>
      <c r="T39" s="71" t="e">
        <f>IF(#REF!="",NA(),IF(#REF!&gt;=Q39,#REF!,NA()))</f>
        <v>#REF!</v>
      </c>
      <c r="U39" s="71" t="e">
        <f>IF(#REF!="",NA(),IF(#REF!&lt;Q39,#REF!,NA()))</f>
        <v>#REF!</v>
      </c>
      <c r="V39" s="70"/>
      <c r="W39" s="70"/>
      <c r="X39" s="70"/>
      <c r="Y39" s="70"/>
      <c r="Z39" s="70"/>
      <c r="AB39" s="70"/>
      <c r="AC39" s="70"/>
    </row>
    <row r="40" spans="1:29" ht="19.5" customHeight="1">
      <c r="A40" s="1015" t="str">
        <f>Lançamentos!A141</f>
        <v>Taxas e Multas</v>
      </c>
      <c r="B40" s="1015" t="s">
        <v>104</v>
      </c>
      <c r="C40" s="1015"/>
      <c r="D40" s="1015"/>
      <c r="E40" s="1015"/>
      <c r="F40" s="1015"/>
      <c r="G40" s="1015"/>
      <c r="H40" s="1015"/>
      <c r="I40" s="1015"/>
      <c r="J40" s="1015"/>
      <c r="K40" s="1015"/>
      <c r="L40" s="1015"/>
      <c r="M40" s="1015"/>
      <c r="O40" s="472"/>
      <c r="P40" s="76" t="s">
        <v>198</v>
      </c>
      <c r="Q40" s="80">
        <f>E17</f>
        <v>6635371.2627898455</v>
      </c>
      <c r="R40" s="153">
        <f>E18</f>
        <v>6889303.290000001</v>
      </c>
      <c r="S40" s="70"/>
      <c r="T40" s="71">
        <f t="shared" ref="T40:T45" si="64">IF(R40="",NA(),IF(R40&gt;=Q40,R40,NA()))</f>
        <v>6889303.290000001</v>
      </c>
      <c r="U40" s="71" t="e">
        <f t="shared" ref="U40:U45" si="65">IF(R40="",NA(),IF(R40&lt;Q40,R40,NA()))</f>
        <v>#N/A</v>
      </c>
      <c r="V40" s="70"/>
      <c r="W40" s="70"/>
      <c r="X40" s="70"/>
      <c r="Y40" s="70"/>
      <c r="Z40" s="70"/>
      <c r="AB40" s="70"/>
      <c r="AC40" s="70"/>
    </row>
    <row r="41" spans="1:29" ht="19.5" customHeight="1">
      <c r="A41" s="458" t="s">
        <v>183</v>
      </c>
      <c r="B41" s="459" t="s">
        <v>120</v>
      </c>
      <c r="C41" s="459" t="s">
        <v>136</v>
      </c>
      <c r="D41" s="459" t="s">
        <v>137</v>
      </c>
      <c r="E41" s="459" t="s">
        <v>138</v>
      </c>
      <c r="F41" s="459" t="s">
        <v>139</v>
      </c>
      <c r="G41" s="459" t="s">
        <v>140</v>
      </c>
      <c r="H41" s="459" t="s">
        <v>141</v>
      </c>
      <c r="I41" s="459" t="s">
        <v>142</v>
      </c>
      <c r="J41" s="459" t="s">
        <v>143</v>
      </c>
      <c r="K41" s="459" t="s">
        <v>144</v>
      </c>
      <c r="L41" s="459" t="s">
        <v>145</v>
      </c>
      <c r="M41" s="459" t="s">
        <v>146</v>
      </c>
      <c r="O41" s="472"/>
      <c r="P41" s="76" t="s">
        <v>199</v>
      </c>
      <c r="Q41" s="80">
        <f>F17</f>
        <v>7721041.6845208984</v>
      </c>
      <c r="R41" s="153">
        <f>F18</f>
        <v>8501206.7300000004</v>
      </c>
      <c r="S41" s="70"/>
      <c r="T41" s="71">
        <f t="shared" si="64"/>
        <v>8501206.7300000004</v>
      </c>
      <c r="U41" s="71" t="e">
        <f t="shared" si="65"/>
        <v>#N/A</v>
      </c>
      <c r="V41" s="70"/>
      <c r="W41" s="70"/>
      <c r="X41" s="70"/>
      <c r="Y41" s="70"/>
      <c r="Z41" s="70"/>
      <c r="AB41" s="70"/>
      <c r="AC41" s="70"/>
    </row>
    <row r="42" spans="1:29" ht="19.5" customHeight="1">
      <c r="A42" s="458" t="s">
        <v>214</v>
      </c>
      <c r="B42" s="27">
        <f>$N$42*Lançamentos!B163</f>
        <v>933297.32066012197</v>
      </c>
      <c r="C42" s="27">
        <f>$N$42*Lançamentos!B164</f>
        <v>1717744.9444766585</v>
      </c>
      <c r="D42" s="27">
        <f>$N$42*Lançamentos!B165</f>
        <v>2371460.0052713524</v>
      </c>
      <c r="E42" s="27">
        <f>$N$42*Lançamentos!B166</f>
        <v>2979104.5199988051</v>
      </c>
      <c r="F42" s="27">
        <f>$N$42*Lançamentos!B167</f>
        <v>3527169.2917677076</v>
      </c>
      <c r="G42" s="27">
        <f>$N$42*Lançamentos!B168</f>
        <v>4103179.7172057563</v>
      </c>
      <c r="H42" s="27">
        <f>$N$42*Lançamentos!B169</f>
        <v>4889670.663709715</v>
      </c>
      <c r="I42" s="27">
        <f>$N$42*Lançamentos!B170</f>
        <v>5695363.1442265818</v>
      </c>
      <c r="J42" s="27">
        <f>$N$42*Lançamentos!B171</f>
        <v>6475454.3837531153</v>
      </c>
      <c r="K42" s="27">
        <f>$N$42*Lançamentos!B172</f>
        <v>7393110.851795068</v>
      </c>
      <c r="L42" s="27">
        <f>$N$42*Lançamentos!B173</f>
        <v>8243222.388033337</v>
      </c>
      <c r="M42" s="27">
        <f>$N$42*Lançamentos!B174</f>
        <v>9223221.2399999984</v>
      </c>
      <c r="N42" s="42">
        <f>Lançamentos!V16</f>
        <v>9223221.2400000002</v>
      </c>
      <c r="O42" s="472"/>
      <c r="P42" s="76" t="s">
        <v>200</v>
      </c>
      <c r="Q42" s="80">
        <f>G17</f>
        <v>8753842.54612788</v>
      </c>
      <c r="R42" s="153">
        <f>G18</f>
        <v>9916700.8599999994</v>
      </c>
      <c r="S42" s="70"/>
      <c r="T42" s="71">
        <f t="shared" si="64"/>
        <v>9916700.8599999994</v>
      </c>
      <c r="U42" s="71" t="e">
        <f t="shared" si="65"/>
        <v>#N/A</v>
      </c>
      <c r="V42" s="70"/>
      <c r="W42" s="70"/>
      <c r="X42" s="70"/>
      <c r="Y42" s="70"/>
      <c r="Z42" s="70"/>
      <c r="AB42" s="70"/>
      <c r="AC42" s="70"/>
    </row>
    <row r="43" spans="1:29" ht="19.5" customHeight="1">
      <c r="A43" s="458" t="s">
        <v>166</v>
      </c>
      <c r="B43" s="27">
        <f>$N$43*Lançamentos!B163</f>
        <v>806024.23388548277</v>
      </c>
      <c r="C43" s="27">
        <f>$N$43*Lançamentos!B164</f>
        <v>1483497.2974134013</v>
      </c>
      <c r="D43" s="27">
        <f>$N$43*Lançamentos!B165</f>
        <v>2048065.7038497992</v>
      </c>
      <c r="E43" s="27">
        <f>$N$43*Lançamentos!B166</f>
        <v>2572846.1715698736</v>
      </c>
      <c r="F43" s="27">
        <f>$N$43*Lançamentos!B167</f>
        <v>3046171.7431810712</v>
      </c>
      <c r="G43" s="27">
        <f>$N$43*Lançamentos!B168</f>
        <v>3543632.0396976946</v>
      </c>
      <c r="H43" s="27">
        <f>$N$43*Lançamentos!B169</f>
        <v>4222869.7794624902</v>
      </c>
      <c r="I43" s="27">
        <f>$N$43*Lançamentos!B170</f>
        <v>4918690.5538075566</v>
      </c>
      <c r="J43" s="27">
        <f>$N$43*Lançamentos!B171</f>
        <v>5592401.3100491157</v>
      </c>
      <c r="K43" s="27">
        <f>$N$43*Lançamentos!B172</f>
        <v>6384917.6231790138</v>
      </c>
      <c r="L43" s="27">
        <f>$N$43*Lançamentos!B173</f>
        <v>7119100.0584494928</v>
      </c>
      <c r="M43" s="27">
        <f>$N$43*Lançamentos!B174</f>
        <v>7965457.1692857081</v>
      </c>
      <c r="N43" s="42">
        <f>Lançamentos!O143</f>
        <v>7965457.169285709</v>
      </c>
      <c r="O43" s="472"/>
      <c r="P43" s="76" t="s">
        <v>201</v>
      </c>
      <c r="Q43" s="80">
        <f>H17</f>
        <v>10149068.112386934</v>
      </c>
      <c r="R43" s="153">
        <f>H18</f>
        <v>11128942.629999999</v>
      </c>
      <c r="S43" s="70"/>
      <c r="T43" s="71">
        <f t="shared" si="64"/>
        <v>11128942.629999999</v>
      </c>
      <c r="U43" s="71" t="e">
        <f t="shared" si="65"/>
        <v>#N/A</v>
      </c>
      <c r="V43" s="70"/>
      <c r="W43" s="70"/>
      <c r="X43" s="70"/>
      <c r="Y43" s="70"/>
      <c r="Z43" s="70"/>
      <c r="AB43" s="70"/>
      <c r="AC43" s="70"/>
    </row>
    <row r="44" spans="1:29" ht="19.5" customHeight="1">
      <c r="A44" s="458" t="s">
        <v>167</v>
      </c>
      <c r="B44" s="119">
        <f>Lançamentos!B143</f>
        <v>653615.37</v>
      </c>
      <c r="C44" s="119">
        <f>SUM(Lançamentos!B143:C143)</f>
        <v>1506919.51</v>
      </c>
      <c r="D44" s="119">
        <f>SUM(Lançamentos!B143:D143)</f>
        <v>2454853.16</v>
      </c>
      <c r="E44" s="119">
        <f>SUM(Lançamentos!B143:E143)</f>
        <v>3136036.34</v>
      </c>
      <c r="F44" s="119">
        <f>SUM(Lançamentos!B143:F143)</f>
        <v>3999978.4699999997</v>
      </c>
      <c r="G44" s="119">
        <f>SUM(Lançamentos!B143:G143)</f>
        <v>4757261.93</v>
      </c>
      <c r="H44" s="119">
        <f>SUM(Lançamentos!B143:H143)</f>
        <v>5689663.9900000002</v>
      </c>
      <c r="I44" s="119">
        <f>SUM(Lançamentos!B143:I143)</f>
        <v>6941469.9500000002</v>
      </c>
      <c r="J44" s="119">
        <f>SUM(Lançamentos!B143:J143)</f>
        <v>8087112.54</v>
      </c>
      <c r="K44" s="119">
        <f>SUM(Lançamentos!B143:K143)*0</f>
        <v>0</v>
      </c>
      <c r="L44" s="119">
        <f>SUM(Lançamentos!B143:L143)*0</f>
        <v>0</v>
      </c>
      <c r="M44" s="119">
        <f>SUM(Lançamentos!B143:M143)*0</f>
        <v>0</v>
      </c>
      <c r="O44" s="472"/>
      <c r="P44" s="76" t="s">
        <v>202</v>
      </c>
      <c r="Q44" s="80">
        <f>I17</f>
        <v>11519535.891210407</v>
      </c>
      <c r="R44" s="153">
        <f>I18</f>
        <v>12539439.719999999</v>
      </c>
      <c r="S44" s="70"/>
      <c r="T44" s="71">
        <f t="shared" si="64"/>
        <v>12539439.719999999</v>
      </c>
      <c r="U44" s="71" t="e">
        <f t="shared" si="65"/>
        <v>#N/A</v>
      </c>
      <c r="V44" s="70"/>
      <c r="W44" s="70"/>
      <c r="X44" s="70"/>
      <c r="Y44" s="70"/>
      <c r="Z44" s="70"/>
      <c r="AB44" s="70"/>
      <c r="AC44" s="70"/>
    </row>
    <row r="45" spans="1:29" ht="19.5" customHeight="1">
      <c r="A45" s="458" t="s">
        <v>168</v>
      </c>
      <c r="B45" s="32">
        <f>B44/B43</f>
        <v>0.81091280202483773</v>
      </c>
      <c r="C45" s="32">
        <f t="shared" ref="C45" si="66">C44/C43</f>
        <v>1.0157885104525888</v>
      </c>
      <c r="D45" s="32">
        <f t="shared" ref="D45" si="67">D44/D43</f>
        <v>1.1986203154447401</v>
      </c>
      <c r="E45" s="32">
        <f>E44/E43</f>
        <v>1.2188977229394498</v>
      </c>
      <c r="F45" s="32">
        <f t="shared" ref="F45" si="68">F44/F43</f>
        <v>1.3131165302659142</v>
      </c>
      <c r="G45" s="32">
        <f t="shared" ref="G45" si="69">G44/G43</f>
        <v>1.342481915928788</v>
      </c>
      <c r="H45" s="32">
        <f t="shared" ref="H45" si="70">H44/H43</f>
        <v>1.3473453568639788</v>
      </c>
      <c r="I45" s="32">
        <f t="shared" ref="I45" si="71">I44/I43</f>
        <v>1.4112434750802956</v>
      </c>
      <c r="J45" s="32">
        <f t="shared" ref="J45" si="72">J44/J43</f>
        <v>1.4460894509605524</v>
      </c>
      <c r="K45" s="32">
        <f t="shared" ref="K45" si="73">K44/K43</f>
        <v>0</v>
      </c>
      <c r="L45" s="32">
        <f t="shared" ref="L45" si="74">L44/L43</f>
        <v>0</v>
      </c>
      <c r="M45" s="32">
        <f t="shared" ref="M45" si="75">M44/M43</f>
        <v>0</v>
      </c>
      <c r="O45" s="472"/>
      <c r="P45" s="76" t="s">
        <v>203</v>
      </c>
      <c r="Q45" s="80">
        <f>J17</f>
        <v>12701239.474559357</v>
      </c>
      <c r="R45" s="153">
        <f>J18</f>
        <v>13690888.369999999</v>
      </c>
      <c r="S45" s="70"/>
      <c r="T45" s="71">
        <f t="shared" si="64"/>
        <v>13690888.369999999</v>
      </c>
      <c r="U45" s="71" t="e">
        <f t="shared" si="65"/>
        <v>#N/A</v>
      </c>
      <c r="V45" s="70"/>
      <c r="W45" s="70"/>
      <c r="X45" s="70"/>
      <c r="Y45" s="70"/>
      <c r="Z45" s="70"/>
      <c r="AB45" s="70"/>
      <c r="AC45" s="70"/>
    </row>
    <row r="46" spans="1:29" ht="19.5" customHeight="1">
      <c r="A46" s="421"/>
      <c r="B46"/>
      <c r="C46"/>
      <c r="D46"/>
      <c r="E46"/>
      <c r="F46"/>
      <c r="G46"/>
      <c r="H46"/>
      <c r="I46"/>
      <c r="J46"/>
      <c r="K46"/>
      <c r="L46"/>
      <c r="M46"/>
      <c r="N46" s="40"/>
      <c r="O46" s="472"/>
      <c r="P46" s="76" t="s">
        <v>204</v>
      </c>
      <c r="Q46" s="80">
        <f>K17</f>
        <v>14357984.204981059</v>
      </c>
      <c r="S46" s="70"/>
      <c r="T46" s="71" t="e">
        <f t="shared" ref="T46:T48" si="76">IF(AA46="",NA(),IF(AA46&gt;=Q46,AA46,NA()))</f>
        <v>#N/A</v>
      </c>
      <c r="U46" s="71">
        <f t="shared" ref="U46:U48" si="77">IF(AA46="",NA(),IF(AA46&lt;Q46,AA46,NA()))</f>
        <v>0</v>
      </c>
      <c r="V46" s="70"/>
      <c r="W46" s="70"/>
      <c r="X46" s="70"/>
      <c r="Y46" s="70"/>
      <c r="Z46" s="70"/>
      <c r="AA46" s="153">
        <f>K18</f>
        <v>0</v>
      </c>
      <c r="AB46" s="70"/>
      <c r="AC46" s="70"/>
    </row>
    <row r="47" spans="1:29" ht="19.5" customHeight="1">
      <c r="A47" s="436"/>
      <c r="B47" s="451"/>
      <c r="C47" s="451"/>
      <c r="D47" s="451"/>
      <c r="E47" s="451"/>
      <c r="F47" s="451"/>
      <c r="G47" s="451"/>
      <c r="H47" s="451"/>
      <c r="I47" s="451"/>
      <c r="J47" s="450"/>
      <c r="K47" s="451"/>
      <c r="L47" s="451"/>
      <c r="M47" s="451"/>
      <c r="N47" s="451"/>
      <c r="O47" s="739"/>
      <c r="P47" s="76" t="s">
        <v>205</v>
      </c>
      <c r="Q47" s="80">
        <f>L17</f>
        <v>15406149.681081541</v>
      </c>
      <c r="S47" s="70"/>
      <c r="T47" s="71" t="e">
        <f t="shared" si="76"/>
        <v>#N/A</v>
      </c>
      <c r="U47" s="71">
        <f t="shared" si="77"/>
        <v>0</v>
      </c>
      <c r="V47" s="70"/>
      <c r="W47" s="70"/>
      <c r="X47" s="70"/>
      <c r="Y47" s="70"/>
      <c r="Z47" s="70"/>
      <c r="AA47" s="153">
        <f>L18</f>
        <v>0</v>
      </c>
      <c r="AB47" s="70"/>
      <c r="AC47" s="70"/>
    </row>
    <row r="48" spans="1:29" ht="19.5" customHeight="1">
      <c r="A48" s="442"/>
      <c r="B48" s="132"/>
      <c r="C48" s="452"/>
      <c r="D48" s="132"/>
      <c r="E48" s="452"/>
      <c r="F48" s="132"/>
      <c r="G48" s="452"/>
      <c r="H48" s="132"/>
      <c r="I48" s="452"/>
      <c r="J48" s="132"/>
      <c r="K48" s="452"/>
      <c r="L48" s="132"/>
      <c r="M48" s="452"/>
      <c r="N48" s="405"/>
      <c r="O48" s="740"/>
      <c r="P48" s="76" t="s">
        <v>206</v>
      </c>
      <c r="Q48" s="80">
        <f>M17</f>
        <v>16761168.281999998</v>
      </c>
      <c r="S48" s="70"/>
      <c r="T48" s="71" t="e">
        <f t="shared" si="76"/>
        <v>#N/A</v>
      </c>
      <c r="U48" s="71">
        <f t="shared" si="77"/>
        <v>0</v>
      </c>
      <c r="V48" s="70"/>
      <c r="W48" s="70"/>
      <c r="X48" s="70"/>
      <c r="Y48" s="70"/>
      <c r="Z48" s="70"/>
      <c r="AA48" s="153">
        <f>M18</f>
        <v>0</v>
      </c>
      <c r="AB48" s="70"/>
      <c r="AC48" s="70"/>
    </row>
    <row r="49" spans="1:29" ht="16.5" thickBot="1">
      <c r="A49" s="442"/>
      <c r="B49" s="132"/>
      <c r="C49" s="452"/>
      <c r="D49" s="132"/>
      <c r="E49" s="452"/>
      <c r="F49" s="132"/>
      <c r="G49" s="452"/>
      <c r="H49" s="132"/>
      <c r="I49" s="452"/>
      <c r="J49" s="132"/>
      <c r="K49" s="452"/>
      <c r="L49" s="132"/>
      <c r="M49" s="452"/>
      <c r="N49" s="405"/>
      <c r="O49" s="740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>
      <c r="A50" s="442"/>
      <c r="B50" s="132"/>
      <c r="C50" s="452"/>
      <c r="D50" s="132"/>
      <c r="E50" s="452"/>
      <c r="F50" s="132"/>
      <c r="G50" s="452"/>
      <c r="H50" s="132"/>
      <c r="I50" s="452"/>
      <c r="J50" s="132"/>
      <c r="K50" s="452"/>
      <c r="L50" s="132"/>
      <c r="M50" s="452"/>
      <c r="N50" s="405"/>
      <c r="O50" s="74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</row>
    <row r="51" spans="1:29" ht="19.5" customHeight="1">
      <c r="A51" s="442"/>
      <c r="B51" s="132"/>
      <c r="C51" s="452"/>
      <c r="D51" s="132"/>
      <c r="E51" s="452"/>
      <c r="F51" s="132"/>
      <c r="G51" s="452"/>
      <c r="H51" s="132"/>
      <c r="I51" s="452"/>
      <c r="J51" s="132"/>
      <c r="K51" s="452"/>
      <c r="L51" s="132"/>
      <c r="M51" s="452"/>
      <c r="N51" s="405"/>
      <c r="O51" s="740"/>
      <c r="P51" s="1012" t="s">
        <v>420</v>
      </c>
      <c r="Q51" s="1012"/>
      <c r="R51" s="1012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</row>
    <row r="52" spans="1:29" ht="19.5" customHeight="1">
      <c r="A52" s="442"/>
      <c r="B52" s="132"/>
      <c r="C52" s="452"/>
      <c r="D52" s="132"/>
      <c r="E52" s="452"/>
      <c r="F52" s="132"/>
      <c r="G52" s="452"/>
      <c r="H52" s="132"/>
      <c r="I52" s="452"/>
      <c r="J52" s="132"/>
      <c r="K52" s="452"/>
      <c r="L52" s="132"/>
      <c r="M52" s="452"/>
      <c r="N52" s="405"/>
      <c r="O52" s="740"/>
      <c r="P52" s="72" t="s">
        <v>183</v>
      </c>
      <c r="Q52" s="73" t="s">
        <v>191</v>
      </c>
      <c r="R52" s="74" t="s">
        <v>192</v>
      </c>
      <c r="S52" s="74" t="s">
        <v>214</v>
      </c>
      <c r="T52" s="75" t="s">
        <v>193</v>
      </c>
      <c r="U52" s="75" t="s">
        <v>194</v>
      </c>
      <c r="V52" s="70"/>
      <c r="W52" s="70"/>
      <c r="X52" s="70"/>
      <c r="Y52" s="70"/>
      <c r="Z52" s="70"/>
      <c r="AA52" s="145"/>
      <c r="AB52" s="70"/>
      <c r="AC52" s="70"/>
    </row>
    <row r="53" spans="1:29" ht="19.5" customHeight="1">
      <c r="A53" s="442"/>
      <c r="B53" s="132"/>
      <c r="C53" s="452"/>
      <c r="D53" s="132"/>
      <c r="E53" s="452"/>
      <c r="F53" s="132"/>
      <c r="G53" s="452"/>
      <c r="H53" s="132"/>
      <c r="I53" s="452"/>
      <c r="J53" s="132"/>
      <c r="K53" s="452"/>
      <c r="L53" s="132"/>
      <c r="M53" s="452"/>
      <c r="N53" s="405"/>
      <c r="O53" s="740"/>
      <c r="P53" s="76" t="s">
        <v>195</v>
      </c>
      <c r="Q53" s="77">
        <f>B24</f>
        <v>1018975.0580793833</v>
      </c>
      <c r="R53" s="151">
        <f>B25</f>
        <v>414294.46000000008</v>
      </c>
      <c r="S53" s="154">
        <f>B23</f>
        <v>1926442.4732265207</v>
      </c>
      <c r="T53" s="71" t="e">
        <f>IF(R53="",NA(),IF(R53&gt;=Q53,R53,NA()))</f>
        <v>#N/A</v>
      </c>
      <c r="U53" s="71">
        <f>IF(R53="",NA(),IF(R53&lt;Q53,R53,NA()))</f>
        <v>414294.46000000008</v>
      </c>
      <c r="V53" s="70"/>
      <c r="W53" s="70"/>
      <c r="X53" s="70"/>
      <c r="Y53" s="70"/>
      <c r="Z53" s="70"/>
      <c r="AA53" s="145"/>
      <c r="AB53" s="70"/>
      <c r="AC53" s="70"/>
    </row>
    <row r="54" spans="1:29" ht="19.5" customHeight="1">
      <c r="A54" s="442"/>
      <c r="B54" s="132"/>
      <c r="C54" s="452"/>
      <c r="D54" s="132"/>
      <c r="E54" s="452"/>
      <c r="F54" s="132"/>
      <c r="G54" s="452"/>
      <c r="H54" s="132"/>
      <c r="I54" s="452"/>
      <c r="J54" s="132"/>
      <c r="K54" s="452"/>
      <c r="L54" s="132"/>
      <c r="M54" s="452"/>
      <c r="N54" s="405"/>
      <c r="O54" s="740"/>
      <c r="P54" s="76" t="s">
        <v>196</v>
      </c>
      <c r="Q54" s="80">
        <f>C24</f>
        <v>2255924.4775186926</v>
      </c>
      <c r="R54" s="151">
        <f>C25</f>
        <v>802549.10000000009</v>
      </c>
      <c r="S54" s="152">
        <f>C23</f>
        <v>4264980.4776132097</v>
      </c>
      <c r="T54" s="71" t="e">
        <f>IF(R55="",NA(),IF(R55&gt;=Q54,R55,NA()))</f>
        <v>#N/A</v>
      </c>
      <c r="U54" s="71">
        <f>IF(R55="",NA(),IF(R55&lt;Q54,R55,NA()))</f>
        <v>1029153.2200000001</v>
      </c>
      <c r="V54" s="70"/>
      <c r="W54" s="70"/>
      <c r="X54" s="70"/>
      <c r="Y54" s="70"/>
      <c r="Z54" s="70"/>
      <c r="AC54" s="70"/>
    </row>
    <row r="55" spans="1:29" ht="19.5" customHeight="1">
      <c r="A55" s="435"/>
      <c r="B55" s="453"/>
      <c r="C55" s="454"/>
      <c r="D55" s="453"/>
      <c r="E55" s="454"/>
      <c r="F55" s="453"/>
      <c r="G55" s="454"/>
      <c r="H55" s="453"/>
      <c r="I55" s="454"/>
      <c r="J55" s="453"/>
      <c r="K55" s="454"/>
      <c r="L55" s="453"/>
      <c r="M55" s="454"/>
      <c r="N55" s="455"/>
      <c r="O55" s="741"/>
      <c r="P55" s="76" t="s">
        <v>197</v>
      </c>
      <c r="Q55" s="80">
        <f>D24</f>
        <v>2806868.906928645</v>
      </c>
      <c r="R55" s="153">
        <f>D25</f>
        <v>1029153.2200000001</v>
      </c>
      <c r="S55" s="152">
        <f>D23</f>
        <v>5306578.8374429336</v>
      </c>
      <c r="T55" s="71" t="e">
        <f>IF(AA53="",NA(),IF(AA53&gt;=Q55,AA53,NA()))</f>
        <v>#N/A</v>
      </c>
      <c r="U55" s="71" t="e">
        <f>IF(AA53="",NA(),IF(AA53&lt;Q55,AA53,NA()))</f>
        <v>#N/A</v>
      </c>
      <c r="V55" s="70"/>
      <c r="W55" s="70"/>
      <c r="X55" s="70"/>
      <c r="Y55" s="70"/>
      <c r="Z55" s="70"/>
      <c r="AC55" s="70"/>
    </row>
    <row r="56" spans="1:29" ht="19.5" customHeight="1">
      <c r="A56" s="442"/>
      <c r="B56" s="132"/>
      <c r="C56" s="452"/>
      <c r="D56" s="132"/>
      <c r="E56" s="452"/>
      <c r="F56" s="132"/>
      <c r="G56" s="452"/>
      <c r="H56" s="132"/>
      <c r="I56" s="452"/>
      <c r="J56" s="132"/>
      <c r="K56" s="452"/>
      <c r="L56" s="132"/>
      <c r="M56" s="452"/>
      <c r="N56" s="405"/>
      <c r="O56" s="740"/>
      <c r="P56" s="76" t="s">
        <v>198</v>
      </c>
      <c r="Q56" s="80">
        <f>E24</f>
        <v>3265959.2322449223</v>
      </c>
      <c r="R56" s="153">
        <f>E25</f>
        <v>1168470.53</v>
      </c>
      <c r="S56" s="152">
        <f>E23</f>
        <v>6174520.6920783566</v>
      </c>
      <c r="T56" s="71" t="e">
        <f t="shared" ref="T56:T61" si="78">IF(R56="",NA(),IF(R56&gt;=Q56,R56,NA()))</f>
        <v>#N/A</v>
      </c>
      <c r="U56" s="71">
        <f t="shared" ref="U56:U61" si="79">IF(R56="",NA(),IF(R56&lt;Q56,R56,NA()))</f>
        <v>1168470.53</v>
      </c>
      <c r="V56" s="70"/>
      <c r="W56" s="70"/>
      <c r="X56" s="70"/>
      <c r="Y56" s="70"/>
      <c r="Z56" s="70"/>
      <c r="AC56" s="70"/>
    </row>
    <row r="57" spans="1:29" ht="19.5" customHeight="1">
      <c r="A57" s="442"/>
      <c r="B57" s="132"/>
      <c r="C57" s="452"/>
      <c r="D57" s="132"/>
      <c r="E57" s="452"/>
      <c r="F57" s="132"/>
      <c r="G57" s="452"/>
      <c r="H57" s="132"/>
      <c r="I57" s="452"/>
      <c r="J57" s="132"/>
      <c r="K57" s="452"/>
      <c r="L57" s="132"/>
      <c r="M57" s="452"/>
      <c r="N57" s="405"/>
      <c r="O57" s="740"/>
      <c r="P57" s="76" t="s">
        <v>199</v>
      </c>
      <c r="Q57" s="80">
        <f>F24</f>
        <v>3752968.2797377976</v>
      </c>
      <c r="R57" s="153">
        <f>F25</f>
        <v>1303580.67</v>
      </c>
      <c r="S57" s="152">
        <f>F23</f>
        <v>7095244.8123568492</v>
      </c>
      <c r="T57" s="71" t="e">
        <f t="shared" si="78"/>
        <v>#N/A</v>
      </c>
      <c r="U57" s="71">
        <f t="shared" si="79"/>
        <v>1303580.67</v>
      </c>
      <c r="V57" s="70"/>
      <c r="W57" s="70"/>
      <c r="X57" s="70"/>
      <c r="Y57" s="70"/>
      <c r="Z57" s="70"/>
      <c r="AC57" s="70"/>
    </row>
    <row r="58" spans="1:29" ht="19.5" customHeight="1">
      <c r="A58" s="442"/>
      <c r="B58" s="132"/>
      <c r="C58" s="452"/>
      <c r="D58" s="132"/>
      <c r="E58" s="452"/>
      <c r="F58" s="132"/>
      <c r="G58" s="452"/>
      <c r="H58" s="132"/>
      <c r="I58" s="452"/>
      <c r="J58" s="132"/>
      <c r="K58" s="452"/>
      <c r="L58" s="132"/>
      <c r="M58" s="452"/>
      <c r="N58" s="405"/>
      <c r="O58" s="740"/>
      <c r="P58" s="76" t="s">
        <v>200</v>
      </c>
      <c r="Q58" s="80">
        <f>G24</f>
        <v>4284558.8450984173</v>
      </c>
      <c r="R58" s="153">
        <f>G25</f>
        <v>1445440.21</v>
      </c>
      <c r="S58" s="152">
        <f>G23</f>
        <v>8100253.3602671716</v>
      </c>
      <c r="T58" s="71" t="e">
        <f t="shared" si="78"/>
        <v>#N/A</v>
      </c>
      <c r="U58" s="71">
        <f t="shared" si="79"/>
        <v>1445440.21</v>
      </c>
      <c r="V58" s="70"/>
      <c r="W58" s="70"/>
      <c r="X58" s="70"/>
      <c r="Y58" s="70"/>
      <c r="Z58" s="70"/>
      <c r="AC58" s="70"/>
    </row>
    <row r="59" spans="1:29" ht="19.5" customHeight="1">
      <c r="A59" s="442"/>
      <c r="B59" s="132"/>
      <c r="C59" s="452"/>
      <c r="D59" s="132"/>
      <c r="E59" s="452"/>
      <c r="F59" s="132"/>
      <c r="G59" s="452"/>
      <c r="H59" s="132"/>
      <c r="I59" s="452"/>
      <c r="J59" s="132"/>
      <c r="K59" s="452"/>
      <c r="L59" s="132"/>
      <c r="M59" s="452"/>
      <c r="N59" s="405"/>
      <c r="O59" s="740"/>
      <c r="P59" s="76" t="s">
        <v>201</v>
      </c>
      <c r="Q59" s="80">
        <f>H24</f>
        <v>4601881.6073588617</v>
      </c>
      <c r="R59" s="153">
        <f>H25</f>
        <v>1752726.26</v>
      </c>
      <c r="S59" s="152">
        <f>H23</f>
        <v>8700173.8804929536</v>
      </c>
      <c r="T59" s="71" t="e">
        <f t="shared" si="78"/>
        <v>#N/A</v>
      </c>
      <c r="U59" s="71">
        <f t="shared" si="79"/>
        <v>1752726.26</v>
      </c>
      <c r="V59" s="70"/>
      <c r="W59" s="70"/>
      <c r="X59" s="70"/>
      <c r="Y59" s="70"/>
      <c r="Z59" s="70"/>
      <c r="AC59" s="70"/>
    </row>
    <row r="60" spans="1:29" ht="19.5" customHeight="1">
      <c r="A60" s="442"/>
      <c r="B60" s="132"/>
      <c r="C60" s="452"/>
      <c r="D60" s="132"/>
      <c r="E60" s="452"/>
      <c r="F60" s="132"/>
      <c r="G60" s="452"/>
      <c r="H60" s="132"/>
      <c r="I60" s="452"/>
      <c r="J60" s="132"/>
      <c r="K60" s="452"/>
      <c r="L60" s="132"/>
      <c r="M60" s="452"/>
      <c r="N60" s="405"/>
      <c r="O60" s="740"/>
      <c r="P60" s="76" t="s">
        <v>202</v>
      </c>
      <c r="Q60" s="80">
        <f>I24</f>
        <v>4938864.2646385338</v>
      </c>
      <c r="R60" s="153">
        <f>I25</f>
        <v>2883068.31</v>
      </c>
      <c r="S60" s="152">
        <f>I23</f>
        <v>9337262.7852477971</v>
      </c>
      <c r="T60" s="71" t="e">
        <f t="shared" si="78"/>
        <v>#N/A</v>
      </c>
      <c r="U60" s="71">
        <f t="shared" si="79"/>
        <v>2883068.31</v>
      </c>
      <c r="V60" s="70"/>
      <c r="W60" s="70"/>
      <c r="X60" s="70"/>
      <c r="Y60" s="70"/>
      <c r="Z60" s="70"/>
      <c r="AC60" s="70"/>
    </row>
    <row r="61" spans="1:29" ht="19.5" customHeight="1">
      <c r="A61" s="442"/>
      <c r="B61" s="132"/>
      <c r="C61" s="452"/>
      <c r="D61" s="132"/>
      <c r="E61" s="452"/>
      <c r="F61" s="132"/>
      <c r="G61" s="452"/>
      <c r="H61" s="132"/>
      <c r="I61" s="452"/>
      <c r="J61" s="132"/>
      <c r="K61" s="452"/>
      <c r="L61" s="132"/>
      <c r="M61" s="452"/>
      <c r="N61" s="405"/>
      <c r="O61" s="740"/>
      <c r="P61" s="76" t="s">
        <v>203</v>
      </c>
      <c r="Q61" s="80">
        <f>J24</f>
        <v>5121621.3536376767</v>
      </c>
      <c r="R61" s="153">
        <f>J25</f>
        <v>3427609.25</v>
      </c>
      <c r="S61" s="152">
        <f>J23</f>
        <v>9682777.6393550113</v>
      </c>
      <c r="T61" s="71" t="e">
        <f t="shared" si="78"/>
        <v>#N/A</v>
      </c>
      <c r="U61" s="71">
        <f t="shared" si="79"/>
        <v>3427609.25</v>
      </c>
      <c r="V61" s="70"/>
      <c r="W61" s="70"/>
      <c r="X61" s="70"/>
      <c r="Y61" s="70"/>
      <c r="Z61" s="70"/>
      <c r="AC61" s="70"/>
    </row>
    <row r="62" spans="1:29" ht="19.5" customHeight="1">
      <c r="A62" s="442"/>
      <c r="B62" s="132"/>
      <c r="C62" s="452"/>
      <c r="D62" s="132"/>
      <c r="E62" s="452"/>
      <c r="F62" s="132"/>
      <c r="G62" s="452"/>
      <c r="H62" s="132"/>
      <c r="I62" s="452"/>
      <c r="J62" s="132"/>
      <c r="K62" s="452"/>
      <c r="L62" s="132"/>
      <c r="M62" s="452"/>
      <c r="N62" s="405"/>
      <c r="O62" s="740"/>
      <c r="P62" s="76" t="s">
        <v>204</v>
      </c>
      <c r="Q62" s="80">
        <f>K24</f>
        <v>5274157.0545247076</v>
      </c>
      <c r="T62" s="71" t="e">
        <f t="shared" ref="T62:T64" si="80">IF(AA62="",NA(),IF(AA62&gt;=Q62,AA62,NA()))</f>
        <v>#N/A</v>
      </c>
      <c r="U62" s="71">
        <f t="shared" ref="U62:U64" si="81">IF(AA62="",NA(),IF(AA62&lt;Q62,AA62,NA()))</f>
        <v>0</v>
      </c>
      <c r="V62" s="70"/>
      <c r="W62" s="70"/>
      <c r="X62" s="70"/>
      <c r="Y62" s="70"/>
      <c r="Z62" s="70"/>
      <c r="AA62" s="153">
        <f>K25</f>
        <v>0</v>
      </c>
      <c r="AB62" s="152">
        <f>K23</f>
        <v>9971156.8793984521</v>
      </c>
      <c r="AC62" s="70"/>
    </row>
    <row r="63" spans="1:29" ht="19.5" customHeight="1">
      <c r="A63" s="442"/>
      <c r="B63" s="132"/>
      <c r="C63" s="452"/>
      <c r="D63" s="132"/>
      <c r="E63" s="452"/>
      <c r="F63" s="132"/>
      <c r="G63" s="452"/>
      <c r="H63" s="132"/>
      <c r="I63" s="452"/>
      <c r="J63" s="132"/>
      <c r="K63" s="452"/>
      <c r="L63" s="132"/>
      <c r="M63" s="452"/>
      <c r="N63" s="405"/>
      <c r="O63" s="740"/>
      <c r="P63" s="76" t="s">
        <v>205</v>
      </c>
      <c r="Q63" s="80">
        <f>L24</f>
        <v>5429871.5489863567</v>
      </c>
      <c r="T63" s="71" t="e">
        <f t="shared" si="80"/>
        <v>#N/A</v>
      </c>
      <c r="U63" s="71">
        <f t="shared" si="81"/>
        <v>0</v>
      </c>
      <c r="V63" s="70"/>
      <c r="W63" s="70"/>
      <c r="X63" s="70"/>
      <c r="Y63" s="70"/>
      <c r="Z63" s="70"/>
      <c r="AA63" s="153">
        <f>L25</f>
        <v>0</v>
      </c>
      <c r="AB63" s="152">
        <f>L23</f>
        <v>10265545.84745948</v>
      </c>
      <c r="AC63" s="70"/>
    </row>
    <row r="64" spans="1:29" ht="19.5" customHeight="1">
      <c r="A64" s="442"/>
      <c r="B64" s="132"/>
      <c r="C64" s="452"/>
      <c r="D64" s="132"/>
      <c r="E64" s="452"/>
      <c r="F64" s="132"/>
      <c r="G64" s="452"/>
      <c r="H64" s="132"/>
      <c r="I64" s="452"/>
      <c r="J64" s="132"/>
      <c r="K64" s="452"/>
      <c r="L64" s="132"/>
      <c r="M64" s="452"/>
      <c r="N64" s="405"/>
      <c r="O64" s="740"/>
      <c r="P64" s="76" t="s">
        <v>206</v>
      </c>
      <c r="Q64" s="80">
        <f>M24</f>
        <v>5588402.3580000009</v>
      </c>
      <c r="T64" s="71" t="e">
        <f t="shared" si="80"/>
        <v>#N/A</v>
      </c>
      <c r="U64" s="71">
        <f t="shared" si="81"/>
        <v>0</v>
      </c>
      <c r="V64" s="70"/>
      <c r="W64" s="70"/>
      <c r="X64" s="70"/>
      <c r="Y64" s="70"/>
      <c r="Z64" s="70"/>
      <c r="AA64" s="153">
        <f>M25</f>
        <v>0</v>
      </c>
      <c r="AB64" s="152">
        <f>M23</f>
        <v>10565259.252</v>
      </c>
      <c r="AC64" s="70"/>
    </row>
    <row r="65" spans="1:29" ht="18" customHeight="1" thickBot="1">
      <c r="A65" s="435"/>
      <c r="B65" s="453"/>
      <c r="C65" s="454"/>
      <c r="D65" s="453"/>
      <c r="E65" s="454"/>
      <c r="F65" s="453"/>
      <c r="G65" s="454"/>
      <c r="H65" s="453"/>
      <c r="I65" s="454"/>
      <c r="J65" s="453"/>
      <c r="K65" s="454"/>
      <c r="L65" s="453"/>
      <c r="M65" s="454"/>
      <c r="N65" s="455"/>
      <c r="O65" s="741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8" customHeight="1">
      <c r="A66" s="442"/>
      <c r="B66" s="132"/>
      <c r="C66" s="452"/>
      <c r="D66" s="132"/>
      <c r="E66" s="452"/>
      <c r="F66" s="132"/>
      <c r="G66" s="452"/>
      <c r="H66" s="132"/>
      <c r="I66" s="452"/>
      <c r="J66" s="132"/>
      <c r="K66" s="452"/>
      <c r="L66" s="132"/>
      <c r="M66" s="452"/>
      <c r="N66" s="405"/>
      <c r="O66" s="74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</row>
    <row r="67" spans="1:29" ht="19.5" customHeight="1">
      <c r="A67" s="442"/>
      <c r="B67" s="132"/>
      <c r="C67" s="452"/>
      <c r="D67" s="132"/>
      <c r="E67" s="452"/>
      <c r="F67" s="132"/>
      <c r="G67" s="452"/>
      <c r="H67" s="132"/>
      <c r="I67" s="452"/>
      <c r="J67" s="132"/>
      <c r="K67" s="452"/>
      <c r="L67" s="132"/>
      <c r="M67" s="452"/>
      <c r="N67" s="405"/>
      <c r="O67" s="740"/>
      <c r="P67" s="1012" t="s">
        <v>208</v>
      </c>
      <c r="Q67" s="1012"/>
      <c r="R67" s="1012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</row>
    <row r="68" spans="1:29" ht="19.5" customHeight="1">
      <c r="A68" s="442"/>
      <c r="B68" s="132"/>
      <c r="C68" s="452"/>
      <c r="D68" s="132"/>
      <c r="E68" s="452"/>
      <c r="F68" s="132"/>
      <c r="G68" s="452"/>
      <c r="H68" s="132"/>
      <c r="I68" s="452"/>
      <c r="J68" s="132"/>
      <c r="K68" s="452"/>
      <c r="L68" s="132"/>
      <c r="M68" s="452"/>
      <c r="N68" s="405"/>
      <c r="O68" s="740"/>
      <c r="P68" s="72" t="s">
        <v>183</v>
      </c>
      <c r="Q68" s="73" t="s">
        <v>191</v>
      </c>
      <c r="R68" s="74" t="s">
        <v>192</v>
      </c>
      <c r="S68" s="75"/>
      <c r="T68" s="75" t="s">
        <v>193</v>
      </c>
      <c r="U68" s="75" t="s">
        <v>194</v>
      </c>
      <c r="V68" s="70"/>
      <c r="W68" s="70"/>
      <c r="X68" s="70"/>
      <c r="Y68" s="70"/>
      <c r="Z68" s="70"/>
      <c r="AA68" s="70"/>
      <c r="AB68" s="70"/>
      <c r="AC68" s="70"/>
    </row>
    <row r="69" spans="1:29" ht="19.5" customHeight="1">
      <c r="A69" s="442"/>
      <c r="B69" s="132"/>
      <c r="C69" s="452"/>
      <c r="D69" s="132"/>
      <c r="E69" s="452"/>
      <c r="F69" s="132"/>
      <c r="G69" s="452"/>
      <c r="H69" s="132"/>
      <c r="I69" s="452"/>
      <c r="J69" s="132"/>
      <c r="K69" s="452"/>
      <c r="L69" s="132"/>
      <c r="M69" s="452"/>
      <c r="N69" s="405"/>
      <c r="O69" s="740"/>
      <c r="P69" s="76" t="s">
        <v>195</v>
      </c>
      <c r="Q69" s="77">
        <f>B30</f>
        <v>355455.89127551753</v>
      </c>
      <c r="R69" s="151">
        <f>B31</f>
        <v>273703.60000000003</v>
      </c>
      <c r="S69" s="70"/>
      <c r="T69" s="71" t="e">
        <f>IF(R69="",NA(),IF(R69&gt;=Q69,R69,NA()))</f>
        <v>#N/A</v>
      </c>
      <c r="U69" s="71">
        <f>IF(R69="",NA(),IF(R69&lt;Q69,R69,NA()))</f>
        <v>273703.60000000003</v>
      </c>
      <c r="V69" s="70"/>
      <c r="W69" s="70"/>
      <c r="X69" s="70"/>
      <c r="Y69" s="70"/>
      <c r="Z69" s="70"/>
      <c r="AA69" s="70"/>
      <c r="AB69" s="70"/>
      <c r="AC69" s="70"/>
    </row>
    <row r="70" spans="1:29" ht="19.5" customHeight="1">
      <c r="A70" s="435"/>
      <c r="B70" s="453"/>
      <c r="C70" s="454"/>
      <c r="D70" s="453"/>
      <c r="E70" s="454"/>
      <c r="F70" s="453"/>
      <c r="G70" s="454"/>
      <c r="H70" s="453"/>
      <c r="I70" s="454"/>
      <c r="J70" s="453"/>
      <c r="K70" s="454"/>
      <c r="L70" s="453"/>
      <c r="M70" s="454"/>
      <c r="N70" s="455"/>
      <c r="O70" s="741"/>
      <c r="P70" s="76" t="s">
        <v>196</v>
      </c>
      <c r="Q70" s="80">
        <f>C30</f>
        <v>657632.93539569969</v>
      </c>
      <c r="R70" s="151">
        <f>C31</f>
        <v>639245.17999999993</v>
      </c>
      <c r="S70" s="70"/>
      <c r="T70" s="71">
        <f>IF(R71="",NA(),IF(R71&gt;=Q70,R71,NA()))</f>
        <v>1013167.1299999999</v>
      </c>
      <c r="U70" s="71" t="e">
        <f>IF(R71="",NA(),IF(R71&lt;Q70,R71,NA()))</f>
        <v>#N/A</v>
      </c>
      <c r="V70" s="70"/>
      <c r="W70" s="70"/>
      <c r="X70" s="70"/>
      <c r="Y70" s="70"/>
      <c r="Z70" s="70"/>
      <c r="AB70" s="70"/>
      <c r="AC70" s="70"/>
    </row>
    <row r="71" spans="1:29" ht="19.5" customHeight="1">
      <c r="A71" s="442"/>
      <c r="B71" s="132"/>
      <c r="C71" s="452"/>
      <c r="D71" s="132"/>
      <c r="E71" s="452"/>
      <c r="F71" s="132"/>
      <c r="G71" s="452"/>
      <c r="H71" s="132"/>
      <c r="I71" s="452"/>
      <c r="J71" s="132"/>
      <c r="K71" s="452"/>
      <c r="L71" s="132"/>
      <c r="M71" s="452"/>
      <c r="N71" s="405"/>
      <c r="O71" s="740"/>
      <c r="P71" s="76" t="s">
        <v>197</v>
      </c>
      <c r="Q71" s="80">
        <f>D30</f>
        <v>892200.03768604691</v>
      </c>
      <c r="R71" s="153">
        <f>D$31</f>
        <v>1013167.1299999999</v>
      </c>
      <c r="S71" s="70"/>
      <c r="T71" s="71" t="e">
        <f>IF(#REF!="",NA(),IF(#REF!&gt;=Q71,#REF!,NA()))</f>
        <v>#REF!</v>
      </c>
      <c r="U71" s="71" t="e">
        <f>IF(#REF!="",NA(),IF(#REF!&lt;Q71,#REF!,NA()))</f>
        <v>#REF!</v>
      </c>
      <c r="V71" s="70"/>
      <c r="W71" s="70"/>
      <c r="X71" s="70"/>
      <c r="Y71" s="70"/>
      <c r="Z71" s="70"/>
      <c r="AB71" s="70"/>
      <c r="AC71" s="70"/>
    </row>
    <row r="72" spans="1:29" ht="19.5" customHeight="1">
      <c r="A72" s="442"/>
      <c r="B72" s="132"/>
      <c r="C72" s="452"/>
      <c r="D72" s="132"/>
      <c r="E72" s="452"/>
      <c r="F72" s="132"/>
      <c r="G72" s="452"/>
      <c r="H72" s="132"/>
      <c r="I72" s="452"/>
      <c r="J72" s="132"/>
      <c r="K72" s="452"/>
      <c r="L72" s="132"/>
      <c r="M72" s="452"/>
      <c r="N72" s="405"/>
      <c r="O72" s="740"/>
      <c r="P72" s="76" t="s">
        <v>198</v>
      </c>
      <c r="Q72" s="80">
        <f>E30</f>
        <v>1096140.990105195</v>
      </c>
      <c r="R72" s="153">
        <f>E31</f>
        <v>1260635.3899999999</v>
      </c>
      <c r="S72" s="70"/>
      <c r="T72" s="71">
        <f t="shared" ref="T72:T77" si="82">IF(R72="",NA(),IF(R72&gt;=Q72,R72,NA()))</f>
        <v>1260635.3899999999</v>
      </c>
      <c r="U72" s="71" t="e">
        <f t="shared" ref="U72:U77" si="83">IF(R72="",NA(),IF(R72&lt;Q72,R72,NA()))</f>
        <v>#N/A</v>
      </c>
      <c r="V72" s="70"/>
      <c r="W72" s="70"/>
      <c r="X72" s="70"/>
      <c r="Y72" s="70"/>
      <c r="Z72" s="70"/>
      <c r="AB72" s="70"/>
      <c r="AC72" s="70"/>
    </row>
    <row r="73" spans="1:29" ht="19.5" customHeight="1">
      <c r="A73" s="442"/>
      <c r="B73" s="132"/>
      <c r="C73" s="452"/>
      <c r="D73" s="132"/>
      <c r="E73" s="452"/>
      <c r="F73" s="132"/>
      <c r="G73" s="452"/>
      <c r="H73" s="132"/>
      <c r="I73" s="452"/>
      <c r="J73" s="132"/>
      <c r="K73" s="452"/>
      <c r="L73" s="132"/>
      <c r="M73" s="452"/>
      <c r="N73" s="405"/>
      <c r="O73" s="740"/>
      <c r="P73" s="76" t="s">
        <v>199</v>
      </c>
      <c r="Q73" s="80">
        <f>F30</f>
        <v>1275804.9312838914</v>
      </c>
      <c r="R73" s="153">
        <f>F31</f>
        <v>1569367.39</v>
      </c>
      <c r="S73" s="70"/>
      <c r="T73" s="71">
        <f t="shared" si="82"/>
        <v>1569367.39</v>
      </c>
      <c r="U73" s="71" t="e">
        <f t="shared" si="83"/>
        <v>#N/A</v>
      </c>
      <c r="V73" s="70"/>
      <c r="W73" s="70"/>
      <c r="X73" s="70"/>
      <c r="Y73" s="70"/>
      <c r="Z73" s="70"/>
      <c r="AB73" s="70"/>
      <c r="AC73" s="70"/>
    </row>
    <row r="74" spans="1:29" ht="19.5" customHeight="1">
      <c r="A74" s="442"/>
      <c r="B74" s="132"/>
      <c r="C74" s="452"/>
      <c r="D74" s="132"/>
      <c r="E74" s="452"/>
      <c r="F74" s="132"/>
      <c r="G74" s="452"/>
      <c r="H74" s="132"/>
      <c r="I74" s="452"/>
      <c r="J74" s="132"/>
      <c r="K74" s="452"/>
      <c r="L74" s="132"/>
      <c r="M74" s="452"/>
      <c r="N74" s="405"/>
      <c r="O74" s="740"/>
      <c r="P74" s="76" t="s">
        <v>200</v>
      </c>
      <c r="Q74" s="80">
        <f>G30</f>
        <v>1458629.7889792309</v>
      </c>
      <c r="R74" s="153">
        <f>G31</f>
        <v>1825059.48</v>
      </c>
      <c r="S74" s="70"/>
      <c r="T74" s="71">
        <f t="shared" si="82"/>
        <v>1825059.48</v>
      </c>
      <c r="U74" s="71" t="e">
        <f t="shared" si="83"/>
        <v>#N/A</v>
      </c>
      <c r="V74" s="70"/>
      <c r="W74" s="70"/>
      <c r="X74" s="70"/>
      <c r="Y74" s="70"/>
      <c r="Z74" s="70"/>
      <c r="AB74" s="70"/>
      <c r="AC74" s="70"/>
    </row>
    <row r="75" spans="1:29" ht="19.5" customHeight="1">
      <c r="A75" s="435"/>
      <c r="B75" s="453"/>
      <c r="C75" s="454"/>
      <c r="D75" s="453"/>
      <c r="E75" s="454"/>
      <c r="F75" s="453"/>
      <c r="G75" s="454"/>
      <c r="H75" s="453"/>
      <c r="I75" s="454"/>
      <c r="J75" s="453"/>
      <c r="K75" s="454"/>
      <c r="L75" s="453"/>
      <c r="M75" s="454"/>
      <c r="N75" s="455"/>
      <c r="O75" s="741"/>
      <c r="P75" s="76" t="s">
        <v>201</v>
      </c>
      <c r="Q75" s="80">
        <f>H30</f>
        <v>1696796.0090236673</v>
      </c>
      <c r="R75" s="153">
        <f>H31</f>
        <v>2041703.08</v>
      </c>
      <c r="S75" s="70"/>
      <c r="T75" s="71">
        <f t="shared" si="82"/>
        <v>2041703.08</v>
      </c>
      <c r="U75" s="71" t="e">
        <f t="shared" si="83"/>
        <v>#N/A</v>
      </c>
      <c r="V75" s="70"/>
      <c r="W75" s="70"/>
      <c r="X75" s="70"/>
      <c r="Y75" s="70"/>
      <c r="Z75" s="70"/>
      <c r="AB75" s="70"/>
      <c r="AC75" s="70"/>
    </row>
    <row r="76" spans="1:29" ht="19.5" customHeight="1">
      <c r="A76" s="442"/>
      <c r="B76" s="132"/>
      <c r="C76" s="452"/>
      <c r="D76" s="132"/>
      <c r="E76" s="452"/>
      <c r="F76" s="132"/>
      <c r="G76" s="452"/>
      <c r="H76" s="132"/>
      <c r="I76" s="452"/>
      <c r="J76" s="132"/>
      <c r="K76" s="452"/>
      <c r="L76" s="132"/>
      <c r="M76" s="452"/>
      <c r="N76" s="405"/>
      <c r="O76" s="740"/>
      <c r="P76" s="76" t="s">
        <v>202</v>
      </c>
      <c r="Q76" s="80">
        <f>I30</f>
        <v>1937976.3969157287</v>
      </c>
      <c r="R76" s="153">
        <f>I31</f>
        <v>2446736.0700000003</v>
      </c>
      <c r="S76" s="70"/>
      <c r="T76" s="71">
        <f t="shared" si="82"/>
        <v>2446736.0700000003</v>
      </c>
      <c r="U76" s="71" t="e">
        <f t="shared" si="83"/>
        <v>#N/A</v>
      </c>
      <c r="V76" s="70"/>
      <c r="W76" s="70"/>
      <c r="X76" s="70"/>
      <c r="Y76" s="70"/>
      <c r="Z76" s="70"/>
      <c r="AB76" s="70"/>
      <c r="AC76" s="70"/>
    </row>
    <row r="77" spans="1:29" ht="19.5" customHeight="1">
      <c r="A77" s="442"/>
      <c r="B77" s="132"/>
      <c r="C77" s="452"/>
      <c r="D77" s="132"/>
      <c r="E77" s="452"/>
      <c r="F77" s="132"/>
      <c r="G77" s="452"/>
      <c r="H77" s="132"/>
      <c r="I77" s="452"/>
      <c r="J77" s="132"/>
      <c r="K77" s="452"/>
      <c r="L77" s="132"/>
      <c r="M77" s="452"/>
      <c r="N77" s="405"/>
      <c r="O77" s="740"/>
      <c r="P77" s="76" t="s">
        <v>203</v>
      </c>
      <c r="Q77" s="80">
        <f>J30</f>
        <v>2132604.8022738365</v>
      </c>
      <c r="R77" s="153">
        <f>J31</f>
        <v>2824767.0400000005</v>
      </c>
      <c r="S77" s="70"/>
      <c r="T77" s="71">
        <f t="shared" si="82"/>
        <v>2824767.0400000005</v>
      </c>
      <c r="U77" s="71" t="e">
        <f t="shared" si="83"/>
        <v>#N/A</v>
      </c>
      <c r="V77" s="70"/>
      <c r="W77" s="70"/>
      <c r="X77" s="70"/>
      <c r="Y77" s="70"/>
      <c r="Z77" s="70"/>
      <c r="AB77" s="70"/>
      <c r="AC77" s="70"/>
    </row>
    <row r="78" spans="1:29" ht="19.5" customHeight="1">
      <c r="A78" s="442"/>
      <c r="B78" s="132"/>
      <c r="C78" s="452"/>
      <c r="D78" s="132"/>
      <c r="E78" s="452"/>
      <c r="F78" s="132"/>
      <c r="G78" s="452"/>
      <c r="H78" s="132"/>
      <c r="I78" s="452"/>
      <c r="J78" s="132"/>
      <c r="K78" s="452"/>
      <c r="L78" s="132"/>
      <c r="M78" s="452"/>
      <c r="N78" s="405"/>
      <c r="O78" s="740"/>
      <c r="P78" s="76" t="s">
        <v>204</v>
      </c>
      <c r="Q78" s="80">
        <f>K30</f>
        <v>2380233.0535183935</v>
      </c>
      <c r="S78" s="70"/>
      <c r="T78" s="71" t="e">
        <f t="shared" ref="T78:T80" si="84">IF(AA78="",NA(),IF(AA78&gt;=Q78,AA78,NA()))</f>
        <v>#N/A</v>
      </c>
      <c r="U78" s="71">
        <f t="shared" ref="U78:U80" si="85">IF(AA78="",NA(),IF(AA78&lt;Q78,AA78,NA()))</f>
        <v>0</v>
      </c>
      <c r="V78" s="70"/>
      <c r="W78" s="70"/>
      <c r="X78" s="70"/>
      <c r="Y78" s="70"/>
      <c r="Z78" s="70"/>
      <c r="AA78" s="153">
        <f>K31</f>
        <v>0</v>
      </c>
      <c r="AB78" s="70"/>
      <c r="AC78" s="70"/>
    </row>
    <row r="79" spans="1:29" ht="19.5" customHeight="1">
      <c r="A79" s="435"/>
      <c r="B79" s="453"/>
      <c r="C79" s="454"/>
      <c r="D79" s="453"/>
      <c r="E79" s="454"/>
      <c r="F79" s="453"/>
      <c r="G79" s="454"/>
      <c r="H79" s="453"/>
      <c r="I79" s="454"/>
      <c r="J79" s="453"/>
      <c r="K79" s="454"/>
      <c r="L79" s="453"/>
      <c r="M79" s="454"/>
      <c r="N79" s="455"/>
      <c r="O79" s="741"/>
      <c r="P79" s="76" t="s">
        <v>205</v>
      </c>
      <c r="Q79" s="80">
        <f>L30</f>
        <v>2568201.8132475866</v>
      </c>
      <c r="S79" s="70"/>
      <c r="T79" s="71" t="e">
        <f t="shared" si="84"/>
        <v>#N/A</v>
      </c>
      <c r="U79" s="71">
        <f t="shared" si="85"/>
        <v>0</v>
      </c>
      <c r="V79" s="70"/>
      <c r="W79" s="70"/>
      <c r="X79" s="70"/>
      <c r="Y79" s="70"/>
      <c r="Z79" s="70"/>
      <c r="AA79" s="153">
        <f>L31</f>
        <v>0</v>
      </c>
      <c r="AB79" s="70"/>
      <c r="AC79" s="70"/>
    </row>
    <row r="80" spans="1:29" ht="19.5" customHeight="1">
      <c r="A80" s="435"/>
      <c r="B80" s="453"/>
      <c r="C80" s="454"/>
      <c r="D80" s="453"/>
      <c r="E80" s="454"/>
      <c r="F80" s="453"/>
      <c r="G80" s="454"/>
      <c r="H80" s="453"/>
      <c r="I80" s="454"/>
      <c r="J80" s="453"/>
      <c r="K80" s="454"/>
      <c r="L80" s="453"/>
      <c r="M80" s="454"/>
      <c r="N80" s="455"/>
      <c r="O80" s="741"/>
      <c r="P80" s="76" t="s">
        <v>206</v>
      </c>
      <c r="Q80" s="80">
        <f>M30</f>
        <v>2800012.5260000005</v>
      </c>
      <c r="S80" s="70"/>
      <c r="T80" s="71" t="e">
        <f t="shared" si="84"/>
        <v>#N/A</v>
      </c>
      <c r="U80" s="71">
        <f t="shared" si="85"/>
        <v>0</v>
      </c>
      <c r="V80" s="70"/>
      <c r="W80" s="70"/>
      <c r="X80" s="70"/>
      <c r="Y80" s="70"/>
      <c r="Z80" s="70"/>
      <c r="AA80" s="153">
        <f>M31</f>
        <v>0</v>
      </c>
      <c r="AB80" s="70"/>
      <c r="AC80" s="70"/>
    </row>
    <row r="81" spans="1:29" ht="18" customHeight="1" thickBot="1">
      <c r="A81" s="435"/>
      <c r="B81" s="405"/>
      <c r="C81" s="452"/>
      <c r="D81" s="405"/>
      <c r="E81" s="452"/>
      <c r="F81" s="405"/>
      <c r="G81" s="452"/>
      <c r="H81" s="405"/>
      <c r="I81" s="452"/>
      <c r="J81" s="405"/>
      <c r="K81" s="452"/>
      <c r="L81" s="405"/>
      <c r="M81" s="452"/>
      <c r="N81" s="405"/>
      <c r="O81" s="740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8" customHeight="1">
      <c r="A82" s="435"/>
      <c r="B82" s="453"/>
      <c r="C82" s="456"/>
      <c r="D82" s="453"/>
      <c r="E82" s="456"/>
      <c r="F82" s="453"/>
      <c r="G82" s="456"/>
      <c r="H82" s="453"/>
      <c r="I82" s="456"/>
      <c r="J82" s="453"/>
      <c r="K82" s="456"/>
      <c r="L82" s="453"/>
      <c r="M82" s="456"/>
      <c r="N82" s="453"/>
      <c r="O82" s="742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</row>
    <row r="83" spans="1:29" ht="19.5" customHeight="1">
      <c r="A83" s="445"/>
      <c r="B83" s="457"/>
      <c r="C83" s="457"/>
      <c r="D83" s="457"/>
      <c r="E83" s="457"/>
      <c r="F83" s="457"/>
      <c r="G83" s="457"/>
      <c r="H83" s="457"/>
      <c r="I83" s="457"/>
      <c r="J83" s="457"/>
      <c r="K83" s="457"/>
      <c r="L83" s="457"/>
      <c r="M83" s="457"/>
      <c r="N83" s="132"/>
      <c r="P83" s="1012" t="s">
        <v>28</v>
      </c>
      <c r="Q83" s="1012"/>
      <c r="R83" s="1012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</row>
    <row r="84" spans="1:29" ht="19.5" customHeight="1">
      <c r="A84" s="445"/>
      <c r="B84" s="457"/>
      <c r="C84" s="457"/>
      <c r="D84" s="457"/>
      <c r="E84" s="457"/>
      <c r="F84" s="457"/>
      <c r="G84" s="457"/>
      <c r="H84" s="457"/>
      <c r="I84" s="457"/>
      <c r="J84" s="457"/>
      <c r="K84" s="457"/>
      <c r="L84" s="457"/>
      <c r="M84" s="457"/>
      <c r="N84" s="132"/>
      <c r="P84" s="72" t="s">
        <v>183</v>
      </c>
      <c r="Q84" s="73" t="s">
        <v>191</v>
      </c>
      <c r="R84" s="74" t="s">
        <v>192</v>
      </c>
      <c r="S84" s="75"/>
      <c r="T84" s="75" t="s">
        <v>378</v>
      </c>
      <c r="U84" s="75"/>
      <c r="V84" s="70"/>
      <c r="W84" s="70"/>
      <c r="X84" s="70"/>
      <c r="Y84" s="70"/>
      <c r="Z84" s="70"/>
      <c r="AA84" s="70"/>
      <c r="AB84" s="70"/>
      <c r="AC84" s="70"/>
    </row>
    <row r="85" spans="1:29" ht="19.5" customHeight="1">
      <c r="A85" s="445"/>
      <c r="B85" s="457"/>
      <c r="C85" s="457"/>
      <c r="D85" s="457"/>
      <c r="E85" s="457"/>
      <c r="F85" s="457"/>
      <c r="G85" s="457"/>
      <c r="H85" s="457"/>
      <c r="I85" s="457"/>
      <c r="J85" s="457"/>
      <c r="K85" s="457"/>
      <c r="L85" s="457"/>
      <c r="M85" s="457"/>
      <c r="N85" s="132"/>
      <c r="P85" s="76" t="s">
        <v>195</v>
      </c>
      <c r="Q85" s="77">
        <f>B36</f>
        <v>7250924.0097673479</v>
      </c>
      <c r="R85" s="151">
        <f>B37</f>
        <v>6710688.8399999999</v>
      </c>
      <c r="S85" s="70"/>
      <c r="T85" s="71">
        <f>R85</f>
        <v>6710688.8399999999</v>
      </c>
      <c r="U85" s="71"/>
      <c r="V85" s="70"/>
      <c r="W85" s="70"/>
      <c r="X85" s="70"/>
      <c r="Y85" s="70"/>
      <c r="Z85" s="70"/>
      <c r="AA85" s="70"/>
      <c r="AB85" s="70"/>
      <c r="AC85" s="70"/>
    </row>
    <row r="86" spans="1:29" ht="19.5" customHeight="1">
      <c r="A86" s="445"/>
      <c r="B86" s="457"/>
      <c r="C86" s="457"/>
      <c r="D86" s="457"/>
      <c r="E86" s="457"/>
      <c r="F86" s="457"/>
      <c r="G86" s="457"/>
      <c r="H86" s="457"/>
      <c r="I86" s="457"/>
      <c r="J86" s="457"/>
      <c r="K86" s="457"/>
      <c r="L86" s="457"/>
      <c r="M86" s="457"/>
      <c r="N86" s="132"/>
      <c r="P86" s="76" t="s">
        <v>196</v>
      </c>
      <c r="Q86" s="80">
        <f>C36</f>
        <v>15285894.523920869</v>
      </c>
      <c r="R86" s="151">
        <f>C37</f>
        <v>14924265.239999998</v>
      </c>
      <c r="S86" s="70"/>
      <c r="T86" s="71">
        <f>R87</f>
        <v>25179154.68</v>
      </c>
      <c r="U86" s="71"/>
      <c r="V86" s="70"/>
      <c r="W86" s="70"/>
      <c r="X86" s="70"/>
      <c r="Y86" s="70"/>
      <c r="Z86" s="70"/>
      <c r="AB86" s="70"/>
      <c r="AC86" s="70"/>
    </row>
    <row r="87" spans="1:29" ht="19.5" customHeight="1">
      <c r="A87" s="445"/>
      <c r="B87" s="457"/>
      <c r="C87" s="457"/>
      <c r="D87" s="457"/>
      <c r="E87" s="457"/>
      <c r="F87" s="457"/>
      <c r="G87" s="457"/>
      <c r="H87" s="457"/>
      <c r="I87" s="457"/>
      <c r="J87" s="457"/>
      <c r="K87" s="457"/>
      <c r="L87" s="457"/>
      <c r="M87" s="457"/>
      <c r="N87" s="132"/>
      <c r="P87" s="76" t="s">
        <v>197</v>
      </c>
      <c r="Q87" s="80">
        <f>D36</f>
        <v>24063494.476585761</v>
      </c>
      <c r="R87" s="153">
        <f>D37</f>
        <v>25179154.68</v>
      </c>
      <c r="S87" s="70"/>
      <c r="T87" s="71" t="e">
        <f>#REF!</f>
        <v>#REF!</v>
      </c>
      <c r="U87" s="71"/>
      <c r="V87" s="70"/>
      <c r="W87" s="70"/>
      <c r="X87" s="70"/>
      <c r="Y87" s="70"/>
      <c r="Z87" s="70"/>
      <c r="AB87" s="70"/>
      <c r="AC87" s="70"/>
    </row>
    <row r="88" spans="1:29" ht="19.5" customHeight="1">
      <c r="A88" s="445"/>
      <c r="B88" s="457"/>
      <c r="C88" s="457"/>
      <c r="D88" s="457"/>
      <c r="E88" s="457"/>
      <c r="F88" s="457"/>
      <c r="G88" s="457"/>
      <c r="H88" s="457"/>
      <c r="I88" s="457"/>
      <c r="J88" s="457"/>
      <c r="K88" s="457"/>
      <c r="L88" s="457"/>
      <c r="M88" s="457"/>
      <c r="N88" s="132"/>
      <c r="P88" s="76" t="s">
        <v>198</v>
      </c>
      <c r="Q88" s="80">
        <f>E36</f>
        <v>32075232.868020844</v>
      </c>
      <c r="R88" s="153">
        <f>E37</f>
        <v>33908790.850000001</v>
      </c>
      <c r="S88" s="70"/>
      <c r="T88" s="71">
        <f>R88</f>
        <v>33908790.850000001</v>
      </c>
      <c r="U88" s="71"/>
      <c r="V88" s="70"/>
      <c r="W88" s="70"/>
      <c r="X88" s="70"/>
      <c r="Y88" s="70"/>
      <c r="Z88" s="70"/>
      <c r="AB88" s="70"/>
      <c r="AC88" s="70"/>
    </row>
    <row r="89" spans="1:29" ht="19.5" customHeight="1">
      <c r="A89" s="445"/>
      <c r="B89" s="457"/>
      <c r="C89" s="457"/>
      <c r="D89" s="457"/>
      <c r="E89" s="457"/>
      <c r="F89" s="457"/>
      <c r="G89" s="457"/>
      <c r="H89" s="457"/>
      <c r="I89" s="457"/>
      <c r="J89" s="457"/>
      <c r="K89" s="457"/>
      <c r="L89" s="457"/>
      <c r="M89" s="457"/>
      <c r="N89" s="132"/>
      <c r="P89" s="76" t="s">
        <v>199</v>
      </c>
      <c r="Q89" s="80">
        <f>F36</f>
        <v>40844019.560462549</v>
      </c>
      <c r="R89" s="153">
        <f>F37</f>
        <v>44197712.32</v>
      </c>
      <c r="S89" s="70"/>
      <c r="T89" s="71">
        <f>R89</f>
        <v>44197712.32</v>
      </c>
      <c r="U89" s="71"/>
      <c r="V89" s="70"/>
      <c r="W89" s="70"/>
      <c r="X89" s="70"/>
      <c r="Y89" s="70"/>
      <c r="Z89" s="70"/>
      <c r="AB89" s="70"/>
      <c r="AC89" s="70"/>
    </row>
    <row r="90" spans="1:29" ht="19.5" customHeight="1">
      <c r="A90" s="445"/>
      <c r="B90" s="457"/>
      <c r="C90" s="457"/>
      <c r="D90" s="457"/>
      <c r="E90" s="457"/>
      <c r="F90" s="457"/>
      <c r="G90" s="457"/>
      <c r="H90" s="457"/>
      <c r="I90" s="457"/>
      <c r="J90" s="457"/>
      <c r="K90" s="457"/>
      <c r="L90" s="457"/>
      <c r="M90" s="457"/>
      <c r="N90" s="132"/>
      <c r="P90" s="76" t="s">
        <v>200</v>
      </c>
      <c r="Q90" s="80">
        <f>G36</f>
        <v>49392579.832004428</v>
      </c>
      <c r="R90" s="153">
        <f>G37</f>
        <v>53763671.239999995</v>
      </c>
      <c r="S90" s="70"/>
      <c r="T90" s="71">
        <f>R90</f>
        <v>53763671.239999995</v>
      </c>
      <c r="U90" s="71"/>
      <c r="V90" s="70"/>
      <c r="W90" s="70"/>
      <c r="X90" s="70"/>
      <c r="Y90" s="70"/>
      <c r="Z90" s="70"/>
      <c r="AB90" s="70"/>
      <c r="AC90" s="70"/>
    </row>
    <row r="91" spans="1:29" ht="19.5" customHeight="1">
      <c r="A91" s="445"/>
      <c r="B91" s="457"/>
      <c r="C91" s="457"/>
      <c r="D91" s="457"/>
      <c r="E91" s="457"/>
      <c r="F91" s="457"/>
      <c r="G91" s="457"/>
      <c r="H91" s="457"/>
      <c r="I91" s="457"/>
      <c r="J91" s="457"/>
      <c r="K91" s="457"/>
      <c r="L91" s="457"/>
      <c r="M91" s="457"/>
      <c r="N91" s="132"/>
      <c r="P91" s="76" t="s">
        <v>201</v>
      </c>
      <c r="Q91" s="80">
        <f>H36</f>
        <v>59280977.355267935</v>
      </c>
      <c r="R91" s="153">
        <f>H37</f>
        <v>63251623.86999999</v>
      </c>
      <c r="S91" s="70"/>
      <c r="T91" s="71">
        <f>IF(R91="",NA(),IF(R91&gt;=Q91,R91,NA()))</f>
        <v>63251623.86999999</v>
      </c>
      <c r="U91" s="71"/>
      <c r="V91" s="70"/>
      <c r="W91" s="70"/>
      <c r="X91" s="70"/>
      <c r="Y91" s="70"/>
      <c r="Z91" s="70"/>
      <c r="AB91" s="70"/>
      <c r="AC91" s="70"/>
    </row>
    <row r="92" spans="1:29" ht="19.5" customHeight="1">
      <c r="A92" s="445"/>
      <c r="B92" s="457"/>
      <c r="C92" s="457"/>
      <c r="D92" s="457"/>
      <c r="E92" s="457"/>
      <c r="F92" s="457"/>
      <c r="G92" s="457"/>
      <c r="H92" s="457"/>
      <c r="I92" s="457"/>
      <c r="J92" s="457"/>
      <c r="K92" s="457"/>
      <c r="L92" s="457"/>
      <c r="M92" s="457"/>
      <c r="N92" s="132"/>
      <c r="P92" s="76" t="s">
        <v>202</v>
      </c>
      <c r="Q92" s="80">
        <f>I36</f>
        <v>69755899.774108976</v>
      </c>
      <c r="R92" s="153">
        <f>I37</f>
        <v>73709634.499999985</v>
      </c>
      <c r="S92" s="70"/>
      <c r="T92" s="71">
        <f>IF(R92="",NA(),IF(R92&gt;=Q92,R92,NA()))</f>
        <v>73709634.499999985</v>
      </c>
      <c r="U92" s="71"/>
      <c r="V92" s="70"/>
      <c r="W92" s="70"/>
      <c r="X92" s="70"/>
      <c r="Y92" s="70"/>
      <c r="Z92" s="70"/>
      <c r="AB92" s="70"/>
      <c r="AC92" s="70"/>
    </row>
    <row r="93" spans="1:29" ht="19.5" customHeight="1">
      <c r="A93" s="445"/>
      <c r="B93" s="457"/>
      <c r="C93" s="457"/>
      <c r="D93" s="457"/>
      <c r="E93" s="457"/>
      <c r="F93" s="457"/>
      <c r="G93" s="457"/>
      <c r="H93" s="457"/>
      <c r="I93" s="457"/>
      <c r="J93" s="457"/>
      <c r="K93" s="457"/>
      <c r="L93" s="457"/>
      <c r="M93" s="457"/>
      <c r="N93" s="132"/>
      <c r="P93" s="76" t="s">
        <v>203</v>
      </c>
      <c r="Q93" s="80">
        <f>J36</f>
        <v>79455650.864838809</v>
      </c>
      <c r="R93" s="153">
        <f>J37</f>
        <v>83163925.459999979</v>
      </c>
      <c r="S93" s="70"/>
      <c r="T93" s="71">
        <f>IF(R93="",NA(),IF(R93&gt;=Q93,R93,NA()))</f>
        <v>83163925.459999979</v>
      </c>
      <c r="U93" s="71"/>
      <c r="V93" s="70"/>
      <c r="W93" s="70"/>
      <c r="X93" s="70"/>
      <c r="Y93" s="70"/>
      <c r="Z93" s="70"/>
      <c r="AB93" s="70"/>
      <c r="AC93" s="70"/>
    </row>
    <row r="94" spans="1:29" ht="19.5" customHeight="1">
      <c r="A94" s="445"/>
      <c r="B94" s="457"/>
      <c r="C94" s="457"/>
      <c r="D94" s="457"/>
      <c r="E94" s="457"/>
      <c r="F94" s="457"/>
      <c r="G94" s="457"/>
      <c r="H94" s="457"/>
      <c r="I94" s="457"/>
      <c r="J94" s="457"/>
      <c r="K94" s="457"/>
      <c r="L94" s="457"/>
      <c r="M94" s="457"/>
      <c r="N94" s="132"/>
      <c r="P94" s="76" t="s">
        <v>204</v>
      </c>
      <c r="Q94" s="80">
        <f>K36</f>
        <v>90176926.459439576</v>
      </c>
      <c r="S94" s="70"/>
      <c r="T94" s="71" t="e">
        <f t="shared" ref="T94:T96" si="86">IF(AA94="",NA(),IF(AA94&gt;=Q94,AA94,NA()))</f>
        <v>#N/A</v>
      </c>
      <c r="U94" s="71"/>
      <c r="V94" s="70"/>
      <c r="W94" s="70"/>
      <c r="X94" s="70"/>
      <c r="Y94" s="70"/>
      <c r="Z94" s="70"/>
      <c r="AA94" s="153">
        <f>K37</f>
        <v>0</v>
      </c>
      <c r="AB94" s="70"/>
      <c r="AC94" s="70"/>
    </row>
    <row r="95" spans="1:29" ht="19.5" customHeight="1">
      <c r="A95" s="445"/>
      <c r="B95" s="457"/>
      <c r="C95" s="457"/>
      <c r="D95" s="457"/>
      <c r="E95" s="457"/>
      <c r="F95" s="457"/>
      <c r="G95" s="457"/>
      <c r="H95" s="457"/>
      <c r="I95" s="457"/>
      <c r="J95" s="457"/>
      <c r="K95" s="457"/>
      <c r="L95" s="457"/>
      <c r="M95" s="457"/>
      <c r="N95" s="132"/>
      <c r="P95" s="76" t="s">
        <v>205</v>
      </c>
      <c r="Q95" s="80">
        <f>L36</f>
        <v>99418188.601490989</v>
      </c>
      <c r="S95" s="70"/>
      <c r="T95" s="71" t="e">
        <f t="shared" si="86"/>
        <v>#N/A</v>
      </c>
      <c r="U95" s="71"/>
      <c r="V95" s="70"/>
      <c r="W95" s="70"/>
      <c r="X95" s="70"/>
      <c r="Y95" s="70"/>
      <c r="Z95" s="70"/>
      <c r="AA95" s="153">
        <f>L37</f>
        <v>0</v>
      </c>
      <c r="AB95" s="70"/>
      <c r="AC95" s="70"/>
    </row>
    <row r="96" spans="1:29" ht="19.5" customHeight="1">
      <c r="A96" s="445"/>
      <c r="B96" s="457"/>
      <c r="C96" s="457"/>
      <c r="D96" s="457"/>
      <c r="E96" s="457"/>
      <c r="F96" s="457"/>
      <c r="G96" s="457"/>
      <c r="H96" s="457"/>
      <c r="I96" s="457"/>
      <c r="J96" s="457"/>
      <c r="K96" s="457"/>
      <c r="L96" s="457"/>
      <c r="M96" s="457"/>
      <c r="N96" s="132"/>
      <c r="P96" s="76" t="s">
        <v>206</v>
      </c>
      <c r="Q96" s="80">
        <f>M36</f>
        <v>108190303.97200002</v>
      </c>
      <c r="S96" s="70"/>
      <c r="T96" s="71" t="e">
        <f t="shared" si="86"/>
        <v>#N/A</v>
      </c>
      <c r="U96" s="71"/>
      <c r="V96" s="70"/>
      <c r="W96" s="70"/>
      <c r="X96" s="70"/>
      <c r="Y96" s="70"/>
      <c r="Z96" s="70"/>
      <c r="AA96" s="153">
        <f>M37</f>
        <v>0</v>
      </c>
      <c r="AB96" s="70"/>
      <c r="AC96" s="70"/>
    </row>
    <row r="97" spans="1:29" ht="18" customHeight="1" thickBot="1">
      <c r="A97" s="445"/>
      <c r="B97" s="457"/>
      <c r="C97" s="457"/>
      <c r="D97" s="457"/>
      <c r="E97" s="457"/>
      <c r="F97" s="457"/>
      <c r="G97" s="457"/>
      <c r="H97" s="457"/>
      <c r="I97" s="457"/>
      <c r="J97" s="457"/>
      <c r="K97" s="457"/>
      <c r="L97" s="457"/>
      <c r="M97" s="457"/>
      <c r="N97" s="132"/>
      <c r="P97" s="78"/>
      <c r="Q97" s="79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8" customHeight="1">
      <c r="A98" s="445"/>
      <c r="B98" s="457"/>
      <c r="C98" s="457"/>
      <c r="D98" s="457"/>
      <c r="E98" s="457"/>
      <c r="F98" s="457"/>
      <c r="G98" s="457"/>
      <c r="H98" s="457"/>
      <c r="I98" s="457"/>
      <c r="J98" s="457"/>
      <c r="K98" s="457"/>
      <c r="L98" s="457"/>
      <c r="M98" s="457"/>
      <c r="N98" s="13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</row>
    <row r="99" spans="1:29" ht="19.5" customHeight="1">
      <c r="A99" s="445"/>
      <c r="B99" s="457"/>
      <c r="C99" s="457"/>
      <c r="D99" s="457"/>
      <c r="E99" s="457"/>
      <c r="F99" s="457"/>
      <c r="G99" s="457"/>
      <c r="H99" s="457"/>
      <c r="I99" s="457"/>
      <c r="J99" s="457"/>
      <c r="K99" s="457"/>
      <c r="L99" s="457"/>
      <c r="M99" s="457"/>
      <c r="N99" s="132"/>
      <c r="P99" s="1012" t="s">
        <v>132</v>
      </c>
      <c r="Q99" s="1012"/>
      <c r="R99" s="1012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</row>
    <row r="100" spans="1:29" ht="19.5" customHeight="1">
      <c r="A100" s="445"/>
      <c r="B100" s="457"/>
      <c r="C100" s="457"/>
      <c r="D100" s="457"/>
      <c r="E100" s="457"/>
      <c r="F100" s="457"/>
      <c r="G100" s="457"/>
      <c r="H100" s="457"/>
      <c r="I100" s="457"/>
      <c r="J100" s="457"/>
      <c r="K100" s="457"/>
      <c r="L100" s="457"/>
      <c r="M100" s="457"/>
      <c r="N100" s="132"/>
      <c r="P100" s="72" t="s">
        <v>183</v>
      </c>
      <c r="Q100" s="73" t="s">
        <v>191</v>
      </c>
      <c r="R100" s="74" t="s">
        <v>192</v>
      </c>
      <c r="S100" s="74" t="s">
        <v>214</v>
      </c>
      <c r="T100" s="75" t="s">
        <v>193</v>
      </c>
      <c r="U100" s="75" t="s">
        <v>194</v>
      </c>
      <c r="V100" s="70"/>
      <c r="W100" s="70"/>
      <c r="X100" s="70"/>
      <c r="Y100" s="70"/>
      <c r="Z100" s="70"/>
      <c r="AA100" s="70"/>
      <c r="AB100" s="70"/>
      <c r="AC100" s="70"/>
    </row>
    <row r="101" spans="1:29" ht="19.5" customHeight="1">
      <c r="A101" s="445"/>
      <c r="B101" s="457"/>
      <c r="C101" s="457"/>
      <c r="D101" s="457"/>
      <c r="E101" s="457"/>
      <c r="F101" s="457"/>
      <c r="G101" s="457"/>
      <c r="H101" s="457"/>
      <c r="I101" s="457"/>
      <c r="J101" s="457"/>
      <c r="K101" s="457"/>
      <c r="L101" s="457"/>
      <c r="M101" s="457"/>
      <c r="N101" s="132"/>
      <c r="P101" s="76" t="s">
        <v>195</v>
      </c>
      <c r="Q101" s="77">
        <f>B43</f>
        <v>806024.23388548277</v>
      </c>
      <c r="R101" s="151">
        <f>B44</f>
        <v>653615.37</v>
      </c>
      <c r="S101" s="152">
        <f>B42</f>
        <v>933297.32066012197</v>
      </c>
      <c r="T101" s="71" t="e">
        <f>IF(R101="",NA(),IF(R101&gt;=Q101,R101,NA()))</f>
        <v>#N/A</v>
      </c>
      <c r="U101" s="71">
        <f>IF(R101="",NA(),IF(R101&lt;Q101,R101,NA()))</f>
        <v>653615.37</v>
      </c>
      <c r="V101" s="70"/>
      <c r="W101" s="70"/>
      <c r="X101" s="70"/>
      <c r="Y101" s="70"/>
      <c r="Z101" s="70"/>
      <c r="AA101" s="70"/>
      <c r="AB101" s="70"/>
      <c r="AC101" s="70"/>
    </row>
    <row r="102" spans="1:29" ht="19.5" customHeight="1">
      <c r="A102" s="445"/>
      <c r="B102" s="457"/>
      <c r="C102" s="457"/>
      <c r="D102" s="457"/>
      <c r="E102" s="457"/>
      <c r="F102" s="457"/>
      <c r="G102" s="457"/>
      <c r="H102" s="457"/>
      <c r="I102" s="457"/>
      <c r="J102" s="457"/>
      <c r="K102" s="457"/>
      <c r="L102" s="457"/>
      <c r="M102" s="457"/>
      <c r="N102" s="132"/>
      <c r="P102" s="76" t="s">
        <v>196</v>
      </c>
      <c r="Q102" s="80">
        <f>C43</f>
        <v>1483497.2974134013</v>
      </c>
      <c r="R102" s="151">
        <f>C44</f>
        <v>1506919.51</v>
      </c>
      <c r="S102" s="152">
        <f>C42</f>
        <v>1717744.9444766585</v>
      </c>
      <c r="T102" s="71">
        <f>IF(R103="",NA(),IF(R103&gt;=Q102,R103,NA()))</f>
        <v>2454853.16</v>
      </c>
      <c r="U102" s="71" t="e">
        <f>IF(R103="",NA(),IF(R103&lt;Q102,R103,NA()))</f>
        <v>#N/A</v>
      </c>
      <c r="V102" s="70"/>
      <c r="W102" s="70"/>
      <c r="X102" s="70"/>
      <c r="Y102" s="70"/>
      <c r="Z102" s="70"/>
      <c r="AC102" s="70"/>
    </row>
    <row r="103" spans="1:29" ht="19.5" customHeight="1">
      <c r="A103" s="445"/>
      <c r="B103" s="457"/>
      <c r="C103" s="457"/>
      <c r="D103" s="457"/>
      <c r="E103" s="457"/>
      <c r="F103" s="457"/>
      <c r="G103" s="457"/>
      <c r="H103" s="457"/>
      <c r="I103" s="457"/>
      <c r="J103" s="457"/>
      <c r="K103" s="457"/>
      <c r="L103" s="457"/>
      <c r="M103" s="457"/>
      <c r="N103" s="132"/>
      <c r="P103" s="76" t="s">
        <v>197</v>
      </c>
      <c r="Q103" s="80">
        <f>D43</f>
        <v>2048065.7038497992</v>
      </c>
      <c r="R103" s="153">
        <f>D44</f>
        <v>2454853.16</v>
      </c>
      <c r="S103" s="152">
        <f>D42</f>
        <v>2371460.0052713524</v>
      </c>
      <c r="T103" s="71" t="e">
        <f>IF(#REF!="",NA(),IF(#REF!&gt;=Q103,#REF!,NA()))</f>
        <v>#REF!</v>
      </c>
      <c r="U103" s="71" t="e">
        <f>IF(#REF!="",NA(),IF(#REF!&lt;Q103,#REF!,NA()))</f>
        <v>#REF!</v>
      </c>
      <c r="V103" s="70"/>
      <c r="W103" s="70"/>
      <c r="X103" s="70"/>
      <c r="Y103" s="70"/>
      <c r="Z103" s="70"/>
      <c r="AC103" s="70"/>
    </row>
    <row r="104" spans="1:29" ht="19.5" customHeight="1">
      <c r="A104" s="445"/>
      <c r="B104" s="457"/>
      <c r="C104" s="457"/>
      <c r="D104" s="457"/>
      <c r="E104" s="457"/>
      <c r="F104" s="457"/>
      <c r="G104" s="457"/>
      <c r="H104" s="457"/>
      <c r="I104" s="457"/>
      <c r="J104" s="457"/>
      <c r="K104" s="457"/>
      <c r="L104" s="457"/>
      <c r="M104" s="457"/>
      <c r="N104" s="132"/>
      <c r="P104" s="76" t="s">
        <v>198</v>
      </c>
      <c r="Q104" s="80">
        <f>E43</f>
        <v>2572846.1715698736</v>
      </c>
      <c r="R104" s="153">
        <f>E44</f>
        <v>3136036.34</v>
      </c>
      <c r="S104" s="152">
        <f>E42</f>
        <v>2979104.5199988051</v>
      </c>
      <c r="T104" s="71">
        <f t="shared" ref="T104:T109" si="87">IF(R104="",NA(),IF(R104&gt;=Q104,R104,NA()))</f>
        <v>3136036.34</v>
      </c>
      <c r="U104" s="71" t="e">
        <f t="shared" ref="U104:U109" si="88">IF(R104="",NA(),IF(R104&lt;Q104,R104,NA()))</f>
        <v>#N/A</v>
      </c>
      <c r="V104" s="70"/>
      <c r="W104" s="70"/>
      <c r="X104" s="70"/>
      <c r="Y104" s="70"/>
      <c r="Z104" s="70"/>
      <c r="AC104" s="70"/>
    </row>
    <row r="105" spans="1:29" ht="19.5" customHeight="1">
      <c r="A105" s="445"/>
      <c r="B105" s="457"/>
      <c r="C105" s="457"/>
      <c r="D105" s="457"/>
      <c r="E105" s="457"/>
      <c r="F105" s="457"/>
      <c r="G105" s="457"/>
      <c r="H105" s="457"/>
      <c r="I105" s="457"/>
      <c r="J105" s="457"/>
      <c r="K105" s="457"/>
      <c r="L105" s="457"/>
      <c r="M105" s="457"/>
      <c r="N105" s="132"/>
      <c r="P105" s="76" t="s">
        <v>199</v>
      </c>
      <c r="Q105" s="80">
        <f>F43</f>
        <v>3046171.7431810712</v>
      </c>
      <c r="R105" s="153">
        <f>F44</f>
        <v>3999978.4699999997</v>
      </c>
      <c r="S105" s="152">
        <f>F42</f>
        <v>3527169.2917677076</v>
      </c>
      <c r="T105" s="71">
        <f t="shared" si="87"/>
        <v>3999978.4699999997</v>
      </c>
      <c r="U105" s="71" t="e">
        <f t="shared" si="88"/>
        <v>#N/A</v>
      </c>
      <c r="V105" s="70"/>
      <c r="W105" s="70"/>
      <c r="X105" s="70"/>
      <c r="Y105" s="70"/>
      <c r="Z105" s="70"/>
      <c r="AC105" s="70"/>
    </row>
    <row r="106" spans="1:29" ht="19.5" customHeight="1">
      <c r="A106" s="445"/>
      <c r="B106" s="457"/>
      <c r="C106" s="457"/>
      <c r="D106" s="457"/>
      <c r="E106" s="457"/>
      <c r="F106" s="457"/>
      <c r="G106" s="457"/>
      <c r="H106" s="457"/>
      <c r="I106" s="457"/>
      <c r="J106" s="457"/>
      <c r="K106" s="457"/>
      <c r="L106" s="457"/>
      <c r="M106" s="457"/>
      <c r="N106" s="132"/>
      <c r="P106" s="76" t="s">
        <v>200</v>
      </c>
      <c r="Q106" s="80">
        <f>G43</f>
        <v>3543632.0396976946</v>
      </c>
      <c r="R106" s="153">
        <f>G44</f>
        <v>4757261.93</v>
      </c>
      <c r="S106" s="152">
        <f>G42</f>
        <v>4103179.7172057563</v>
      </c>
      <c r="T106" s="71">
        <f t="shared" si="87"/>
        <v>4757261.93</v>
      </c>
      <c r="U106" s="71" t="e">
        <f t="shared" si="88"/>
        <v>#N/A</v>
      </c>
      <c r="V106" s="70"/>
      <c r="W106" s="70"/>
      <c r="X106" s="70"/>
      <c r="Y106" s="70"/>
      <c r="Z106" s="70"/>
      <c r="AC106" s="70"/>
    </row>
    <row r="107" spans="1:29" ht="19.5" customHeight="1">
      <c r="A107" s="445"/>
      <c r="B107" s="457"/>
      <c r="C107" s="457"/>
      <c r="D107" s="457"/>
      <c r="E107" s="457"/>
      <c r="F107" s="457"/>
      <c r="G107" s="457"/>
      <c r="H107" s="457"/>
      <c r="I107" s="457"/>
      <c r="J107" s="457"/>
      <c r="K107" s="457"/>
      <c r="L107" s="457"/>
      <c r="M107" s="457"/>
      <c r="N107" s="132"/>
      <c r="P107" s="76" t="s">
        <v>201</v>
      </c>
      <c r="Q107" s="80">
        <f>H43</f>
        <v>4222869.7794624902</v>
      </c>
      <c r="R107" s="153">
        <f>H44</f>
        <v>5689663.9900000002</v>
      </c>
      <c r="S107" s="152">
        <f>H42</f>
        <v>4889670.663709715</v>
      </c>
      <c r="T107" s="71">
        <f t="shared" si="87"/>
        <v>5689663.9900000002</v>
      </c>
      <c r="U107" s="71" t="e">
        <f t="shared" si="88"/>
        <v>#N/A</v>
      </c>
      <c r="V107" s="70"/>
      <c r="W107" s="70"/>
      <c r="X107" s="70"/>
      <c r="Y107" s="70"/>
      <c r="Z107" s="70"/>
      <c r="AC107" s="70"/>
    </row>
    <row r="108" spans="1:29" ht="19.5" customHeight="1">
      <c r="A108" s="445"/>
      <c r="B108" s="457"/>
      <c r="C108" s="457"/>
      <c r="D108" s="457"/>
      <c r="E108" s="457"/>
      <c r="F108" s="457"/>
      <c r="G108" s="457"/>
      <c r="H108" s="457"/>
      <c r="I108" s="457"/>
      <c r="J108" s="457"/>
      <c r="K108" s="457"/>
      <c r="L108" s="457"/>
      <c r="M108" s="457"/>
      <c r="N108" s="132"/>
      <c r="P108" s="76" t="s">
        <v>202</v>
      </c>
      <c r="Q108" s="80">
        <f>I43</f>
        <v>4918690.5538075566</v>
      </c>
      <c r="R108" s="153">
        <f>I44</f>
        <v>6941469.9500000002</v>
      </c>
      <c r="S108" s="152">
        <f>I42</f>
        <v>5695363.1442265818</v>
      </c>
      <c r="T108" s="71">
        <f t="shared" si="87"/>
        <v>6941469.9500000002</v>
      </c>
      <c r="U108" s="71" t="e">
        <f t="shared" si="88"/>
        <v>#N/A</v>
      </c>
      <c r="V108" s="70"/>
      <c r="W108" s="70"/>
      <c r="X108" s="70"/>
      <c r="Y108" s="70"/>
      <c r="Z108" s="70"/>
      <c r="AC108" s="70"/>
    </row>
    <row r="109" spans="1:29" ht="19.5" customHeight="1">
      <c r="A109" s="445"/>
      <c r="B109" s="457"/>
      <c r="C109" s="457"/>
      <c r="D109" s="457"/>
      <c r="E109" s="457"/>
      <c r="F109" s="457"/>
      <c r="G109" s="457"/>
      <c r="H109" s="457"/>
      <c r="I109" s="457"/>
      <c r="J109" s="457"/>
      <c r="K109" s="457"/>
      <c r="L109" s="457"/>
      <c r="M109" s="457"/>
      <c r="N109" s="132"/>
      <c r="P109" s="76" t="s">
        <v>203</v>
      </c>
      <c r="Q109" s="80">
        <f>J43</f>
        <v>5592401.3100491157</v>
      </c>
      <c r="R109" s="153">
        <f>J44</f>
        <v>8087112.54</v>
      </c>
      <c r="S109" s="152">
        <f>J42</f>
        <v>6475454.3837531153</v>
      </c>
      <c r="T109" s="71">
        <f t="shared" si="87"/>
        <v>8087112.54</v>
      </c>
      <c r="U109" s="71" t="e">
        <f t="shared" si="88"/>
        <v>#N/A</v>
      </c>
      <c r="V109" s="70"/>
      <c r="W109" s="70"/>
      <c r="X109" s="70"/>
      <c r="Y109" s="70"/>
      <c r="Z109" s="70"/>
      <c r="AC109" s="70"/>
    </row>
    <row r="110" spans="1:29" ht="19.5" customHeight="1">
      <c r="A110" s="445"/>
      <c r="B110" s="457"/>
      <c r="C110" s="457"/>
      <c r="D110" s="457"/>
      <c r="E110" s="457"/>
      <c r="F110" s="457"/>
      <c r="G110" s="457"/>
      <c r="H110" s="457"/>
      <c r="I110" s="457"/>
      <c r="J110" s="457"/>
      <c r="K110" s="457"/>
      <c r="L110" s="457"/>
      <c r="M110" s="457"/>
      <c r="N110" s="132"/>
      <c r="P110" s="76" t="s">
        <v>204</v>
      </c>
      <c r="Q110" s="80">
        <f>K43</f>
        <v>6384917.6231790138</v>
      </c>
      <c r="T110" s="71" t="e">
        <f t="shared" ref="T110:T112" si="89">IF(AA110="",NA(),IF(AA110&gt;=Q110,AA110,NA()))</f>
        <v>#N/A</v>
      </c>
      <c r="U110" s="71">
        <f t="shared" ref="U110:U112" si="90">IF(AA110="",NA(),IF(AA110&lt;Q110,AA110,NA()))</f>
        <v>0</v>
      </c>
      <c r="V110" s="70"/>
      <c r="W110" s="70"/>
      <c r="X110" s="70"/>
      <c r="Y110" s="70"/>
      <c r="Z110" s="70"/>
      <c r="AA110" s="153">
        <f>K44</f>
        <v>0</v>
      </c>
      <c r="AB110" s="152">
        <f>K42</f>
        <v>7393110.851795068</v>
      </c>
      <c r="AC110" s="70"/>
    </row>
    <row r="111" spans="1:29" ht="19.5" customHeight="1">
      <c r="A111" s="445"/>
      <c r="B111" s="457"/>
      <c r="C111" s="457"/>
      <c r="D111" s="457"/>
      <c r="E111" s="457"/>
      <c r="F111" s="457"/>
      <c r="G111" s="457"/>
      <c r="H111" s="457"/>
      <c r="I111" s="457"/>
      <c r="J111" s="457"/>
      <c r="K111" s="457"/>
      <c r="L111" s="457"/>
      <c r="M111" s="457"/>
      <c r="N111" s="132"/>
      <c r="P111" s="76" t="s">
        <v>205</v>
      </c>
      <c r="Q111" s="80">
        <f>L43</f>
        <v>7119100.0584494928</v>
      </c>
      <c r="T111" s="71" t="e">
        <f t="shared" si="89"/>
        <v>#N/A</v>
      </c>
      <c r="U111" s="71">
        <f t="shared" si="90"/>
        <v>0</v>
      </c>
      <c r="V111" s="70"/>
      <c r="W111" s="70"/>
      <c r="X111" s="70"/>
      <c r="Y111" s="70"/>
      <c r="Z111" s="70"/>
      <c r="AA111" s="153">
        <f>L44</f>
        <v>0</v>
      </c>
      <c r="AB111" s="152">
        <f>L42</f>
        <v>8243222.388033337</v>
      </c>
      <c r="AC111" s="70"/>
    </row>
    <row r="112" spans="1:29" ht="19.5" customHeight="1">
      <c r="A112" s="445"/>
      <c r="B112" s="457"/>
      <c r="C112" s="457"/>
      <c r="D112" s="457"/>
      <c r="E112" s="457"/>
      <c r="F112" s="457"/>
      <c r="G112" s="457"/>
      <c r="H112" s="457"/>
      <c r="I112" s="457"/>
      <c r="J112" s="457"/>
      <c r="K112" s="457"/>
      <c r="L112" s="457"/>
      <c r="M112" s="457"/>
      <c r="N112" s="132"/>
      <c r="P112" s="76" t="s">
        <v>206</v>
      </c>
      <c r="Q112" s="80">
        <f>M43</f>
        <v>7965457.1692857081</v>
      </c>
      <c r="T112" s="71" t="e">
        <f t="shared" si="89"/>
        <v>#N/A</v>
      </c>
      <c r="U112" s="71">
        <f t="shared" si="90"/>
        <v>0</v>
      </c>
      <c r="V112" s="70"/>
      <c r="W112" s="70"/>
      <c r="X112" s="70"/>
      <c r="Y112" s="70"/>
      <c r="Z112" s="70"/>
      <c r="AA112" s="153">
        <f>M44</f>
        <v>0</v>
      </c>
      <c r="AB112" s="152">
        <f>M42</f>
        <v>9223221.2399999984</v>
      </c>
      <c r="AC112" s="70"/>
    </row>
    <row r="113" spans="1:29" ht="18" customHeight="1" thickBot="1">
      <c r="A113" s="445"/>
      <c r="B113" s="457"/>
      <c r="C113" s="457"/>
      <c r="D113" s="457"/>
      <c r="E113" s="457"/>
      <c r="F113" s="457"/>
      <c r="G113" s="457"/>
      <c r="H113" s="457"/>
      <c r="I113" s="457"/>
      <c r="J113" s="457"/>
      <c r="K113" s="457"/>
      <c r="L113" s="457"/>
      <c r="M113" s="457"/>
      <c r="N113" s="132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>
      <c r="A114" s="445"/>
      <c r="B114" s="457"/>
      <c r="C114" s="457"/>
      <c r="D114" s="457"/>
      <c r="E114" s="457"/>
      <c r="F114" s="457"/>
      <c r="G114" s="457"/>
      <c r="H114" s="457"/>
      <c r="I114" s="457"/>
      <c r="J114" s="457"/>
      <c r="K114" s="457"/>
      <c r="L114" s="457"/>
      <c r="M114" s="457"/>
      <c r="N114" s="132"/>
    </row>
    <row r="115" spans="1:29" ht="20.25">
      <c r="A115" s="445"/>
      <c r="B115" s="457"/>
      <c r="C115" s="457"/>
      <c r="D115" s="457"/>
      <c r="E115" s="457"/>
      <c r="F115" s="457"/>
      <c r="G115" s="457"/>
      <c r="H115" s="457"/>
      <c r="I115" s="457"/>
      <c r="J115" s="457"/>
      <c r="K115" s="457"/>
      <c r="L115" s="457"/>
      <c r="M115" s="457"/>
      <c r="N115" s="132"/>
      <c r="P115" s="1011" t="s">
        <v>269</v>
      </c>
      <c r="Q115" s="1011"/>
      <c r="R115" s="1011"/>
      <c r="S115" s="70"/>
    </row>
    <row r="116" spans="1:29">
      <c r="A116" s="445"/>
      <c r="B116" s="457"/>
      <c r="C116" s="457"/>
      <c r="D116" s="457"/>
      <c r="E116" s="457"/>
      <c r="F116" s="457"/>
      <c r="G116" s="457"/>
      <c r="H116" s="457"/>
      <c r="I116" s="457"/>
      <c r="J116" s="457"/>
      <c r="K116" s="457"/>
      <c r="L116" s="457"/>
      <c r="M116" s="457"/>
      <c r="N116" s="132"/>
      <c r="P116" s="72" t="s">
        <v>183</v>
      </c>
      <c r="Q116" s="74">
        <v>2020</v>
      </c>
      <c r="R116" s="74">
        <v>2021</v>
      </c>
      <c r="S116" s="74">
        <v>2022</v>
      </c>
    </row>
    <row r="117" spans="1:29" ht="15.75">
      <c r="A117" s="445"/>
      <c r="B117" s="457"/>
      <c r="C117" s="457"/>
      <c r="D117" s="457"/>
      <c r="E117" s="457"/>
      <c r="F117" s="457"/>
      <c r="G117" s="457"/>
      <c r="H117" s="457"/>
      <c r="I117" s="457"/>
      <c r="J117" s="457"/>
      <c r="K117" s="457"/>
      <c r="L117" s="457"/>
      <c r="M117" s="457"/>
      <c r="N117" s="132"/>
      <c r="P117" s="76" t="s">
        <v>195</v>
      </c>
      <c r="Q117" s="77">
        <v>22576388.020000003</v>
      </c>
      <c r="R117" s="81">
        <v>20826016.739999998</v>
      </c>
      <c r="S117" s="151">
        <f>B5</f>
        <v>20850868.670000006</v>
      </c>
    </row>
    <row r="118" spans="1:29" ht="15.75">
      <c r="A118" s="445"/>
      <c r="B118" s="457"/>
      <c r="C118" s="457"/>
      <c r="D118" s="457"/>
      <c r="E118" s="457"/>
      <c r="F118" s="457"/>
      <c r="G118" s="457"/>
      <c r="H118" s="457"/>
      <c r="I118" s="457"/>
      <c r="J118" s="457"/>
      <c r="K118" s="457"/>
      <c r="L118" s="457"/>
      <c r="M118" s="457"/>
      <c r="N118" s="132"/>
      <c r="P118" s="76" t="s">
        <v>196</v>
      </c>
      <c r="Q118" s="80">
        <v>21791063.839999996</v>
      </c>
      <c r="R118" s="81">
        <v>22708621.000000004</v>
      </c>
      <c r="S118" s="151">
        <f>C5-S117</f>
        <v>24643200.429999996</v>
      </c>
    </row>
    <row r="119" spans="1:29" ht="15.75">
      <c r="A119" s="445"/>
      <c r="B119" s="457"/>
      <c r="C119" s="457"/>
      <c r="D119" s="457"/>
      <c r="E119" s="457"/>
      <c r="F119" s="457"/>
      <c r="G119" s="457"/>
      <c r="H119" s="457"/>
      <c r="I119" s="457"/>
      <c r="J119" s="457"/>
      <c r="K119" s="457"/>
      <c r="L119" s="457"/>
      <c r="M119" s="457"/>
      <c r="N119" s="132"/>
      <c r="P119" s="76" t="s">
        <v>197</v>
      </c>
      <c r="Q119" s="80">
        <v>15811503.18999999</v>
      </c>
      <c r="R119" s="81">
        <v>20161318.559999999</v>
      </c>
      <c r="S119" s="153">
        <f>D5-S117-S118</f>
        <v>25022780.400000002</v>
      </c>
    </row>
    <row r="120" spans="1:29" ht="15.75">
      <c r="A120" s="445"/>
      <c r="B120" s="457"/>
      <c r="C120" s="457"/>
      <c r="D120" s="457"/>
      <c r="E120" s="457"/>
      <c r="F120" s="457"/>
      <c r="G120" s="457"/>
      <c r="H120" s="457"/>
      <c r="I120" s="457"/>
      <c r="J120" s="457"/>
      <c r="K120" s="457"/>
      <c r="L120" s="457"/>
      <c r="M120" s="457"/>
      <c r="N120" s="132"/>
      <c r="P120" s="76" t="s">
        <v>198</v>
      </c>
      <c r="Q120" s="80">
        <v>8141870.1900000051</v>
      </c>
      <c r="R120" s="81">
        <v>16615530.980000008</v>
      </c>
      <c r="S120" s="153">
        <f>E5-S117-S118-S119</f>
        <v>16423502.060000006</v>
      </c>
    </row>
    <row r="121" spans="1:29" ht="15.75">
      <c r="A121" s="445"/>
      <c r="B121" s="457"/>
      <c r="C121" s="457"/>
      <c r="D121" s="457"/>
      <c r="E121" s="457"/>
      <c r="F121" s="457"/>
      <c r="G121" s="457"/>
      <c r="H121" s="457"/>
      <c r="I121" s="457"/>
      <c r="J121" s="457"/>
      <c r="K121" s="457"/>
      <c r="L121" s="457"/>
      <c r="M121" s="457"/>
      <c r="N121" s="132"/>
      <c r="P121" s="76" t="s">
        <v>199</v>
      </c>
      <c r="Q121" s="80">
        <v>8658705.8900000006</v>
      </c>
      <c r="R121" s="81">
        <v>16155960.789999992</v>
      </c>
      <c r="S121" s="153">
        <f>F5-SUM(S117:S120)</f>
        <v>19444466.520000011</v>
      </c>
    </row>
    <row r="122" spans="1:29" ht="15.75">
      <c r="A122" s="445"/>
      <c r="B122" s="457"/>
      <c r="C122" s="457"/>
      <c r="D122" s="457"/>
      <c r="E122" s="457"/>
      <c r="F122" s="457"/>
      <c r="G122" s="457"/>
      <c r="H122" s="457"/>
      <c r="I122" s="457"/>
      <c r="J122" s="457"/>
      <c r="K122" s="457"/>
      <c r="L122" s="457"/>
      <c r="M122" s="457"/>
      <c r="N122" s="132"/>
      <c r="P122" s="76" t="s">
        <v>200</v>
      </c>
      <c r="Q122" s="80">
        <v>11852236.879999995</v>
      </c>
      <c r="R122" s="81">
        <v>17234451.25</v>
      </c>
      <c r="S122" s="153">
        <f>G5-SUM(S117:S121)</f>
        <v>18995234.909999996</v>
      </c>
    </row>
    <row r="123" spans="1:29" ht="15.75">
      <c r="A123" s="445"/>
      <c r="B123" s="457"/>
      <c r="C123" s="457"/>
      <c r="D123" s="457"/>
      <c r="E123" s="457"/>
      <c r="F123" s="457"/>
      <c r="G123" s="457"/>
      <c r="H123" s="457"/>
      <c r="I123" s="457"/>
      <c r="J123" s="457"/>
      <c r="K123" s="457"/>
      <c r="L123" s="457"/>
      <c r="M123" s="457"/>
      <c r="N123" s="132"/>
      <c r="P123" s="76" t="s">
        <v>201</v>
      </c>
      <c r="Q123" s="80">
        <v>15414639.370000005</v>
      </c>
      <c r="R123" s="81">
        <v>16068055.850000024</v>
      </c>
      <c r="S123" s="153">
        <f>H5-SUM(S117:S122)</f>
        <v>17489413.370000005</v>
      </c>
    </row>
    <row r="124" spans="1:29" ht="15.75">
      <c r="A124" s="442"/>
      <c r="B124" s="114"/>
      <c r="C124" s="114"/>
      <c r="D124" s="114"/>
      <c r="E124" s="114"/>
      <c r="F124" s="114"/>
      <c r="G124" s="114"/>
      <c r="H124" s="114"/>
      <c r="I124" s="114"/>
      <c r="J124" s="114"/>
      <c r="K124" s="457"/>
      <c r="L124" s="457"/>
      <c r="M124" s="457"/>
      <c r="N124" s="132"/>
      <c r="P124" s="76" t="s">
        <v>202</v>
      </c>
      <c r="Q124" s="80">
        <v>16518182.859999985</v>
      </c>
      <c r="R124" s="81">
        <v>16489729.73999998</v>
      </c>
      <c r="S124" s="153">
        <f>I5-SUM(S117:S123)</f>
        <v>17109685.619999945</v>
      </c>
    </row>
    <row r="125" spans="1:29" ht="15.75">
      <c r="A125" s="445"/>
      <c r="B125" s="457"/>
      <c r="C125" s="457"/>
      <c r="D125" s="457"/>
      <c r="E125" s="457"/>
      <c r="F125" s="457"/>
      <c r="G125" s="457"/>
      <c r="H125" s="457"/>
      <c r="I125" s="457"/>
      <c r="J125" s="457"/>
      <c r="K125" s="457"/>
      <c r="L125" s="457"/>
      <c r="M125" s="457"/>
      <c r="N125" s="132"/>
      <c r="P125" s="76" t="s">
        <v>203</v>
      </c>
      <c r="Q125" s="80">
        <v>12575439.830000013</v>
      </c>
      <c r="R125" s="81">
        <v>13915469.599999994</v>
      </c>
      <c r="S125" s="153">
        <f>J5-SUM(S117:S124)</f>
        <v>14473753.270000011</v>
      </c>
    </row>
    <row r="126" spans="1:29" ht="15.75">
      <c r="A126" s="445"/>
      <c r="B126" s="457"/>
      <c r="C126" s="457"/>
      <c r="D126" s="457"/>
      <c r="E126" s="457"/>
      <c r="F126" s="457"/>
      <c r="G126" s="457"/>
      <c r="H126" s="457"/>
      <c r="I126" s="457"/>
      <c r="J126" s="457"/>
      <c r="K126" s="457"/>
      <c r="L126" s="457"/>
      <c r="M126" s="457"/>
      <c r="N126" s="132"/>
      <c r="P126" s="76" t="s">
        <v>204</v>
      </c>
      <c r="Q126" s="80">
        <v>13091764.559999973</v>
      </c>
      <c r="R126" s="81">
        <v>12602396.24000001</v>
      </c>
      <c r="AC126" s="153">
        <f>K5-SUM(S117:S125)</f>
        <v>-174452905.24999997</v>
      </c>
    </row>
    <row r="127" spans="1:29" ht="15.75">
      <c r="A127" s="445"/>
      <c r="B127" s="457"/>
      <c r="C127" s="457"/>
      <c r="D127" s="457"/>
      <c r="E127" s="457"/>
      <c r="F127" s="457"/>
      <c r="G127" s="457"/>
      <c r="H127" s="457"/>
      <c r="I127" s="457"/>
      <c r="J127" s="457"/>
      <c r="K127" s="457"/>
      <c r="L127" s="457"/>
      <c r="M127" s="457"/>
      <c r="N127" s="132"/>
      <c r="P127" s="76" t="s">
        <v>205</v>
      </c>
      <c r="Q127" s="80">
        <v>11490553.480000019</v>
      </c>
      <c r="R127" s="81">
        <v>12335348.24000001</v>
      </c>
      <c r="AC127" s="153">
        <f>L5-SUM(S117:S126)</f>
        <v>-174452905.24999997</v>
      </c>
    </row>
    <row r="128" spans="1:29" ht="15.75">
      <c r="A128" s="445"/>
      <c r="B128" s="457"/>
      <c r="C128" s="457"/>
      <c r="D128" s="457"/>
      <c r="E128" s="457"/>
      <c r="F128" s="457"/>
      <c r="G128" s="457"/>
      <c r="H128" s="457"/>
      <c r="I128" s="457"/>
      <c r="J128" s="457"/>
      <c r="K128" s="457"/>
      <c r="L128" s="457"/>
      <c r="M128" s="457"/>
      <c r="N128" s="132"/>
      <c r="P128" s="76" t="s">
        <v>206</v>
      </c>
      <c r="Q128" s="80">
        <v>11503465.950000048</v>
      </c>
      <c r="R128" s="81">
        <v>12798786.219999999</v>
      </c>
      <c r="AC128" s="153">
        <f>M5-SUM(S117:S127)</f>
        <v>-174452905.24999997</v>
      </c>
    </row>
    <row r="129" spans="1:20">
      <c r="A129" s="445"/>
      <c r="B129" s="457"/>
      <c r="C129" s="457"/>
      <c r="D129" s="457"/>
      <c r="E129" s="457"/>
      <c r="F129" s="457"/>
      <c r="G129" s="457"/>
      <c r="H129" s="457"/>
      <c r="I129" s="457"/>
      <c r="J129" s="457"/>
      <c r="K129" s="457"/>
      <c r="L129" s="457"/>
      <c r="M129" s="457"/>
      <c r="N129" s="132"/>
      <c r="T129" t="b">
        <f>SUM(S117:S128)='ARRECADAÇÃO MENSAL POR RECEITA'!R17</f>
        <v>1</v>
      </c>
    </row>
    <row r="130" spans="1:20">
      <c r="A130" s="445"/>
      <c r="B130" s="457"/>
      <c r="C130" s="457"/>
      <c r="D130" s="457"/>
      <c r="E130" s="457"/>
      <c r="F130" s="457"/>
      <c r="G130" s="457"/>
      <c r="H130" s="457"/>
      <c r="I130" s="457"/>
      <c r="J130" s="457"/>
      <c r="K130" s="457"/>
      <c r="L130" s="457"/>
      <c r="M130" s="457"/>
      <c r="N130" s="132"/>
    </row>
    <row r="131" spans="1:20">
      <c r="A131" s="445"/>
      <c r="B131" s="457"/>
      <c r="C131" s="457"/>
      <c r="D131" s="457"/>
      <c r="E131" s="457"/>
      <c r="F131" s="457"/>
      <c r="G131" s="457"/>
      <c r="H131" s="457"/>
      <c r="I131" s="457"/>
      <c r="J131" s="457"/>
      <c r="K131" s="457"/>
      <c r="L131" s="457"/>
      <c r="M131" s="457"/>
      <c r="N131" s="132"/>
    </row>
    <row r="132" spans="1:20">
      <c r="A132" s="445"/>
      <c r="B132" s="457"/>
      <c r="C132" s="457"/>
      <c r="D132" s="457"/>
      <c r="E132" s="457"/>
      <c r="F132" s="457"/>
      <c r="G132" s="457"/>
      <c r="H132" s="457"/>
      <c r="I132" s="457"/>
      <c r="J132" s="457"/>
      <c r="K132" s="457"/>
      <c r="L132" s="457"/>
      <c r="M132" s="457"/>
      <c r="N132" s="132"/>
    </row>
    <row r="133" spans="1:20">
      <c r="A133" s="445"/>
      <c r="B133" s="457"/>
      <c r="C133" s="457"/>
      <c r="D133" s="457"/>
      <c r="E133" s="457"/>
      <c r="F133" s="457"/>
      <c r="G133" s="457"/>
      <c r="H133" s="457"/>
      <c r="I133" s="457"/>
      <c r="J133" s="457"/>
      <c r="K133" s="457"/>
      <c r="L133" s="457"/>
      <c r="M133" s="457"/>
      <c r="N133" s="132"/>
    </row>
    <row r="134" spans="1:20">
      <c r="A134" s="445"/>
      <c r="B134" s="457"/>
      <c r="C134" s="457"/>
      <c r="D134" s="457"/>
      <c r="E134" s="457"/>
      <c r="F134" s="457"/>
      <c r="G134" s="457"/>
      <c r="H134" s="457"/>
      <c r="I134" s="457"/>
      <c r="J134" s="457"/>
      <c r="K134" s="457"/>
      <c r="L134" s="457"/>
      <c r="M134" s="457"/>
      <c r="N134" s="132"/>
    </row>
    <row r="153" spans="2:2">
      <c r="B153" s="19">
        <v>2974.7800000000034</v>
      </c>
    </row>
  </sheetData>
  <mergeCells count="17">
    <mergeCell ref="AF1:AP1"/>
    <mergeCell ref="S1:S3"/>
    <mergeCell ref="A40:M40"/>
    <mergeCell ref="A1:M1"/>
    <mergeCell ref="A8:M8"/>
    <mergeCell ref="A15:M15"/>
    <mergeCell ref="A21:M21"/>
    <mergeCell ref="A28:M28"/>
    <mergeCell ref="A34:M34"/>
    <mergeCell ref="P115:R115"/>
    <mergeCell ref="P83:R83"/>
    <mergeCell ref="P99:R99"/>
    <mergeCell ref="P2:R2"/>
    <mergeCell ref="P19:R19"/>
    <mergeCell ref="P35:R35"/>
    <mergeCell ref="P51:R51"/>
    <mergeCell ref="P67:R67"/>
  </mergeCells>
  <conditionalFormatting sqref="T129">
    <cfRule type="cellIs" dxfId="9" priority="1" operator="equal">
      <formula>FALSE</formula>
    </cfRule>
    <cfRule type="cellIs" dxfId="8" priority="2" operator="equal">
      <formula>TRUE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2">
    <tabColor rgb="FF2A5664"/>
  </sheetPr>
  <dimension ref="A1:AO244"/>
  <sheetViews>
    <sheetView zoomScale="80" zoomScaleNormal="80" workbookViewId="0">
      <selection sqref="A1:AC1"/>
    </sheetView>
  </sheetViews>
  <sheetFormatPr defaultRowHeight="15"/>
  <cols>
    <col min="1" max="1" width="14.5703125" style="566" bestFit="1" customWidth="1"/>
    <col min="2" max="2" width="9.140625" style="566"/>
    <col min="3" max="5" width="17" style="566" customWidth="1"/>
    <col min="6" max="6" width="13.7109375" style="566" bestFit="1" customWidth="1"/>
    <col min="7" max="7" width="25.85546875" style="566" bestFit="1" customWidth="1"/>
    <col min="8" max="8" width="13.85546875" style="566" bestFit="1" customWidth="1"/>
    <col min="9" max="9" width="17.28515625" style="566" bestFit="1" customWidth="1"/>
    <col min="10" max="10" width="34.42578125" style="566" bestFit="1" customWidth="1"/>
    <col min="11" max="11" width="2.28515625" style="566" bestFit="1" customWidth="1"/>
    <col min="12" max="12" width="18.7109375" style="566" bestFit="1" customWidth="1"/>
    <col min="13" max="13" width="22.28515625" style="566" customWidth="1"/>
    <col min="14" max="14" width="22.85546875" style="566" bestFit="1" customWidth="1"/>
    <col min="15" max="15" width="11" style="566" bestFit="1" customWidth="1"/>
    <col min="16" max="19" width="32.140625" style="566" bestFit="1" customWidth="1"/>
    <col min="20" max="21" width="4.42578125" style="566" bestFit="1" customWidth="1"/>
    <col min="22" max="22" width="6" style="566" bestFit="1" customWidth="1"/>
    <col min="23" max="23" width="4.42578125" style="566" bestFit="1" customWidth="1"/>
    <col min="24" max="24" width="6" style="566" bestFit="1" customWidth="1"/>
    <col min="25" max="25" width="4.42578125" style="566" bestFit="1" customWidth="1"/>
    <col min="26" max="26" width="6" style="566" bestFit="1" customWidth="1"/>
    <col min="27" max="30" width="4.42578125" style="566" bestFit="1" customWidth="1"/>
    <col min="31" max="32" width="6" style="566" bestFit="1" customWidth="1"/>
    <col min="33" max="33" width="4.42578125" style="566" bestFit="1" customWidth="1"/>
    <col min="34" max="34" width="7.7109375" style="566" bestFit="1" customWidth="1"/>
    <col min="35" max="35" width="3.7109375" style="566" bestFit="1" customWidth="1"/>
    <col min="36" max="37" width="6" style="566" bestFit="1" customWidth="1"/>
    <col min="38" max="38" width="4.42578125" style="566" bestFit="1" customWidth="1"/>
    <col min="39" max="39" width="6" style="566" bestFit="1" customWidth="1"/>
    <col min="40" max="40" width="4.42578125" style="566" bestFit="1" customWidth="1"/>
    <col min="41" max="41" width="11" style="566" bestFit="1" customWidth="1"/>
    <col min="42" max="16384" width="9.140625" style="566"/>
  </cols>
  <sheetData>
    <row r="1" spans="1:41" s="134" customFormat="1" ht="30">
      <c r="A1" s="134" t="s">
        <v>589</v>
      </c>
      <c r="B1" s="134" t="s">
        <v>379</v>
      </c>
      <c r="C1" s="134" t="s">
        <v>590</v>
      </c>
      <c r="D1" s="134" t="s">
        <v>382</v>
      </c>
      <c r="E1" s="134" t="s">
        <v>375</v>
      </c>
      <c r="F1" s="134" t="s">
        <v>380</v>
      </c>
      <c r="G1" s="134" t="s">
        <v>595</v>
      </c>
      <c r="H1" s="134" t="s">
        <v>376</v>
      </c>
      <c r="I1" s="134" t="s">
        <v>381</v>
      </c>
      <c r="J1" s="134" t="s">
        <v>596</v>
      </c>
      <c r="L1" s="134" t="s">
        <v>594</v>
      </c>
      <c r="M1"/>
      <c r="N1" s="135" t="s">
        <v>540</v>
      </c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</row>
    <row r="2" spans="1:41">
      <c r="A2" s="744">
        <v>44562</v>
      </c>
      <c r="B2" s="566" t="s">
        <v>77</v>
      </c>
      <c r="C2" s="566">
        <v>204</v>
      </c>
      <c r="E2" s="566">
        <v>53</v>
      </c>
      <c r="F2" s="566">
        <v>145</v>
      </c>
      <c r="H2" s="566">
        <v>4</v>
      </c>
      <c r="I2" s="566">
        <v>6</v>
      </c>
      <c r="K2" s="566">
        <v>1</v>
      </c>
      <c r="L2" s="566" t="s">
        <v>380</v>
      </c>
      <c r="M2" s="106" t="s">
        <v>541</v>
      </c>
      <c r="N2" s="790" t="s">
        <v>101</v>
      </c>
      <c r="O2" s="790" t="s">
        <v>257</v>
      </c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 s="780" t="s">
        <v>77</v>
      </c>
      <c r="AH2" s="780">
        <f t="shared" ref="AH2:AH28" si="0">SUMIF(B:B,AG2,C:C)</f>
        <v>2236</v>
      </c>
      <c r="AI2" s="789"/>
      <c r="AJ2"/>
      <c r="AK2"/>
      <c r="AL2"/>
      <c r="AM2"/>
      <c r="AN2"/>
      <c r="AO2"/>
    </row>
    <row r="3" spans="1:41">
      <c r="A3" s="744">
        <v>44562</v>
      </c>
      <c r="B3" s="566" t="s">
        <v>78</v>
      </c>
      <c r="C3" s="566">
        <v>679</v>
      </c>
      <c r="D3" s="566">
        <v>1</v>
      </c>
      <c r="E3" s="566">
        <v>138</v>
      </c>
      <c r="F3" s="566">
        <v>483</v>
      </c>
      <c r="G3" s="566">
        <v>4</v>
      </c>
      <c r="H3" s="566">
        <v>15</v>
      </c>
      <c r="I3" s="566">
        <v>30</v>
      </c>
      <c r="J3" s="566">
        <v>34</v>
      </c>
      <c r="K3" s="566">
        <v>2</v>
      </c>
      <c r="L3" s="566" t="s">
        <v>375</v>
      </c>
      <c r="M3" s="322" t="s">
        <v>258</v>
      </c>
      <c r="N3" s="169">
        <v>116831</v>
      </c>
      <c r="O3" s="169">
        <v>116831</v>
      </c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 s="780" t="s">
        <v>78</v>
      </c>
      <c r="AH3" s="780">
        <f t="shared" si="0"/>
        <v>6861</v>
      </c>
      <c r="AI3" s="789"/>
      <c r="AJ3"/>
      <c r="AK3"/>
      <c r="AL3"/>
      <c r="AM3"/>
      <c r="AN3"/>
      <c r="AO3"/>
    </row>
    <row r="4" spans="1:41">
      <c r="A4" s="744">
        <v>44562</v>
      </c>
      <c r="B4" s="566" t="s">
        <v>80</v>
      </c>
      <c r="C4" s="566">
        <v>534</v>
      </c>
      <c r="E4" s="566">
        <v>125</v>
      </c>
      <c r="F4" s="566">
        <v>377</v>
      </c>
      <c r="G4" s="566">
        <v>3</v>
      </c>
      <c r="H4" s="566">
        <v>14</v>
      </c>
      <c r="I4" s="566">
        <v>26</v>
      </c>
      <c r="J4" s="566">
        <v>9</v>
      </c>
      <c r="K4" s="566">
        <v>3</v>
      </c>
      <c r="L4" s="566" t="s">
        <v>376</v>
      </c>
      <c r="M4" s="322" t="s">
        <v>259</v>
      </c>
      <c r="N4" s="169">
        <v>106046</v>
      </c>
      <c r="O4" s="169">
        <v>106046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 s="780" t="s">
        <v>80</v>
      </c>
      <c r="AH4" s="780">
        <f t="shared" si="0"/>
        <v>6159</v>
      </c>
      <c r="AI4" s="789"/>
      <c r="AJ4"/>
      <c r="AK4"/>
      <c r="AL4"/>
      <c r="AM4"/>
      <c r="AN4"/>
      <c r="AO4"/>
    </row>
    <row r="5" spans="1:41">
      <c r="A5" s="744">
        <v>44562</v>
      </c>
      <c r="B5" s="566" t="s">
        <v>79</v>
      </c>
      <c r="C5" s="566">
        <v>275</v>
      </c>
      <c r="E5" s="566">
        <v>98</v>
      </c>
      <c r="F5" s="566">
        <v>139</v>
      </c>
      <c r="G5" s="566">
        <v>8</v>
      </c>
      <c r="H5" s="566">
        <v>29</v>
      </c>
      <c r="I5" s="566">
        <v>3</v>
      </c>
      <c r="J5" s="566">
        <v>5</v>
      </c>
      <c r="K5" s="566">
        <v>4</v>
      </c>
      <c r="L5" s="566" t="s">
        <v>591</v>
      </c>
      <c r="M5" s="322" t="s">
        <v>260</v>
      </c>
      <c r="N5" s="169">
        <v>15228</v>
      </c>
      <c r="O5" s="169">
        <v>15228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 s="780" t="s">
        <v>79</v>
      </c>
      <c r="AH5" s="780">
        <f t="shared" si="0"/>
        <v>3083</v>
      </c>
      <c r="AI5" s="789"/>
      <c r="AJ5"/>
      <c r="AK5"/>
      <c r="AL5"/>
      <c r="AM5"/>
      <c r="AN5"/>
      <c r="AO5"/>
    </row>
    <row r="6" spans="1:41">
      <c r="A6" s="744">
        <v>44562</v>
      </c>
      <c r="B6" s="566" t="s">
        <v>81</v>
      </c>
      <c r="C6" s="566">
        <v>1725</v>
      </c>
      <c r="E6" s="566">
        <v>420</v>
      </c>
      <c r="F6" s="566">
        <v>1098</v>
      </c>
      <c r="G6" s="566">
        <v>45</v>
      </c>
      <c r="H6" s="566">
        <v>63</v>
      </c>
      <c r="I6" s="566">
        <v>126</v>
      </c>
      <c r="J6" s="566">
        <v>17</v>
      </c>
      <c r="K6" s="566">
        <v>5</v>
      </c>
      <c r="L6" s="566" t="s">
        <v>592</v>
      </c>
      <c r="M6" s="322" t="s">
        <v>623</v>
      </c>
      <c r="N6" s="745">
        <v>3810</v>
      </c>
      <c r="O6" s="745">
        <v>3810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 s="780" t="s">
        <v>81</v>
      </c>
      <c r="AH6" s="780">
        <f t="shared" si="0"/>
        <v>20099</v>
      </c>
      <c r="AI6" s="789"/>
      <c r="AJ6"/>
      <c r="AK6"/>
      <c r="AL6"/>
      <c r="AM6"/>
      <c r="AN6"/>
      <c r="AO6"/>
    </row>
    <row r="7" spans="1:41">
      <c r="A7" s="744">
        <v>44562</v>
      </c>
      <c r="B7" s="566" t="s">
        <v>82</v>
      </c>
      <c r="C7" s="566">
        <v>1100</v>
      </c>
      <c r="E7" s="566">
        <v>257</v>
      </c>
      <c r="F7" s="566">
        <v>693</v>
      </c>
      <c r="G7" s="566">
        <v>3</v>
      </c>
      <c r="H7" s="566">
        <v>41</v>
      </c>
      <c r="I7" s="566">
        <v>54</v>
      </c>
      <c r="J7" s="566">
        <v>81</v>
      </c>
      <c r="K7" s="566">
        <v>6</v>
      </c>
      <c r="L7" s="566" t="s">
        <v>382</v>
      </c>
      <c r="M7" s="322" t="s">
        <v>597</v>
      </c>
      <c r="N7" s="169">
        <v>34366</v>
      </c>
      <c r="O7" s="169">
        <v>34366</v>
      </c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 s="780" t="s">
        <v>82</v>
      </c>
      <c r="AH7" s="780">
        <f t="shared" si="0"/>
        <v>12660</v>
      </c>
      <c r="AI7" s="789"/>
      <c r="AJ7"/>
      <c r="AK7"/>
      <c r="AL7"/>
      <c r="AM7"/>
      <c r="AN7"/>
      <c r="AO7"/>
    </row>
    <row r="8" spans="1:41">
      <c r="A8" s="744">
        <v>44562</v>
      </c>
      <c r="B8" s="566" t="s">
        <v>83</v>
      </c>
      <c r="C8" s="566">
        <v>1367</v>
      </c>
      <c r="D8" s="566">
        <v>1</v>
      </c>
      <c r="E8" s="566">
        <v>459</v>
      </c>
      <c r="F8" s="566">
        <v>766</v>
      </c>
      <c r="H8" s="566">
        <v>52</v>
      </c>
      <c r="I8" s="566">
        <v>115</v>
      </c>
      <c r="J8" s="566">
        <v>22</v>
      </c>
      <c r="K8" s="566">
        <v>7</v>
      </c>
      <c r="L8" s="566" t="s">
        <v>593</v>
      </c>
      <c r="M8" s="322" t="s">
        <v>261</v>
      </c>
      <c r="N8" s="169">
        <v>54</v>
      </c>
      <c r="O8" s="169">
        <v>54</v>
      </c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 s="780" t="s">
        <v>83</v>
      </c>
      <c r="AH8" s="780">
        <f t="shared" si="0"/>
        <v>13599</v>
      </c>
      <c r="AI8" s="789"/>
      <c r="AJ8"/>
      <c r="AK8"/>
      <c r="AL8"/>
      <c r="AM8"/>
      <c r="AN8"/>
      <c r="AO8"/>
    </row>
    <row r="9" spans="1:41">
      <c r="A9" s="744">
        <v>44562</v>
      </c>
      <c r="B9" s="566" t="s">
        <v>84</v>
      </c>
      <c r="C9" s="566">
        <v>1165</v>
      </c>
      <c r="E9" s="566">
        <v>357</v>
      </c>
      <c r="F9" s="566">
        <v>663</v>
      </c>
      <c r="G9" s="566">
        <v>4</v>
      </c>
      <c r="H9" s="566">
        <v>17</v>
      </c>
      <c r="I9" s="566">
        <v>128</v>
      </c>
      <c r="J9" s="566">
        <v>36</v>
      </c>
      <c r="M9" s="322" t="s">
        <v>598</v>
      </c>
      <c r="N9" s="169">
        <v>3015</v>
      </c>
      <c r="O9" s="169">
        <v>3015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 s="780" t="s">
        <v>84</v>
      </c>
      <c r="AH9" s="780">
        <f t="shared" si="0"/>
        <v>13420</v>
      </c>
      <c r="AI9" s="789"/>
      <c r="AJ9"/>
      <c r="AK9"/>
      <c r="AL9"/>
      <c r="AM9"/>
      <c r="AN9"/>
      <c r="AO9"/>
    </row>
    <row r="10" spans="1:41">
      <c r="A10" s="744">
        <v>44562</v>
      </c>
      <c r="B10" s="566" t="s">
        <v>85</v>
      </c>
      <c r="C10" s="566">
        <v>2134</v>
      </c>
      <c r="E10" s="566">
        <v>605</v>
      </c>
      <c r="F10" s="566">
        <v>1410</v>
      </c>
      <c r="G10" s="566">
        <v>1</v>
      </c>
      <c r="H10" s="566">
        <v>48</v>
      </c>
      <c r="I10" s="566">
        <v>96</v>
      </c>
      <c r="J10" s="566">
        <v>29</v>
      </c>
      <c r="M10"/>
      <c r="N10"/>
      <c r="O10"/>
      <c r="P10"/>
      <c r="Q10"/>
      <c r="R10"/>
      <c r="S10"/>
      <c r="T10"/>
      <c r="AG10" s="566" t="s">
        <v>85</v>
      </c>
      <c r="AH10" s="566">
        <f t="shared" si="0"/>
        <v>25310</v>
      </c>
    </row>
    <row r="11" spans="1:41">
      <c r="A11" s="744">
        <v>44562</v>
      </c>
      <c r="B11" s="566" t="s">
        <v>86</v>
      </c>
      <c r="C11" s="566">
        <v>530</v>
      </c>
      <c r="E11" s="566">
        <v>160</v>
      </c>
      <c r="F11" s="566">
        <v>289</v>
      </c>
      <c r="G11" s="566">
        <v>6</v>
      </c>
      <c r="H11" s="566">
        <v>11</v>
      </c>
      <c r="I11" s="566">
        <v>53</v>
      </c>
      <c r="J11" s="566">
        <v>23</v>
      </c>
      <c r="M11"/>
      <c r="N11"/>
      <c r="O11"/>
      <c r="P11"/>
      <c r="Q11"/>
      <c r="R11"/>
      <c r="S11"/>
      <c r="T11"/>
      <c r="AG11" s="566" t="s">
        <v>86</v>
      </c>
      <c r="AH11" s="566">
        <f t="shared" si="0"/>
        <v>5965</v>
      </c>
    </row>
    <row r="12" spans="1:41">
      <c r="A12" s="744">
        <v>44562</v>
      </c>
      <c r="B12" s="566" t="s">
        <v>89</v>
      </c>
      <c r="C12" s="566">
        <v>4091</v>
      </c>
      <c r="D12" s="566">
        <v>31</v>
      </c>
      <c r="E12" s="566">
        <v>667</v>
      </c>
      <c r="F12" s="566">
        <v>2813</v>
      </c>
      <c r="G12" s="566">
        <v>24</v>
      </c>
      <c r="H12" s="566">
        <v>137</v>
      </c>
      <c r="I12" s="566">
        <v>469</v>
      </c>
      <c r="J12" s="566">
        <v>168</v>
      </c>
      <c r="M12"/>
      <c r="N12"/>
      <c r="O12"/>
      <c r="P12"/>
      <c r="Q12"/>
      <c r="R12"/>
      <c r="S12"/>
      <c r="T12"/>
      <c r="AG12" s="566" t="s">
        <v>89</v>
      </c>
      <c r="AH12" s="566">
        <f t="shared" si="0"/>
        <v>47515</v>
      </c>
    </row>
    <row r="13" spans="1:41">
      <c r="A13" s="744">
        <v>44562</v>
      </c>
      <c r="B13" s="566" t="s">
        <v>88</v>
      </c>
      <c r="C13" s="566">
        <v>1326</v>
      </c>
      <c r="D13" s="566">
        <v>2</v>
      </c>
      <c r="E13" s="566">
        <v>463</v>
      </c>
      <c r="F13" s="566">
        <v>740</v>
      </c>
      <c r="G13" s="566">
        <v>9</v>
      </c>
      <c r="H13" s="566">
        <v>38</v>
      </c>
      <c r="I13" s="566">
        <v>144</v>
      </c>
      <c r="J13" s="566">
        <v>19</v>
      </c>
      <c r="M13"/>
      <c r="N13"/>
      <c r="O13"/>
      <c r="P13"/>
      <c r="Q13"/>
      <c r="R13"/>
      <c r="S13"/>
      <c r="T13"/>
      <c r="AG13" s="566" t="s">
        <v>88</v>
      </c>
      <c r="AH13" s="566">
        <f t="shared" si="0"/>
        <v>16284</v>
      </c>
    </row>
    <row r="14" spans="1:41">
      <c r="A14" s="744">
        <v>44562</v>
      </c>
      <c r="B14" s="566" t="s">
        <v>87</v>
      </c>
      <c r="C14" s="566">
        <v>1810</v>
      </c>
      <c r="E14" s="566">
        <v>632</v>
      </c>
      <c r="F14" s="566">
        <v>1130</v>
      </c>
      <c r="G14" s="566">
        <v>22</v>
      </c>
      <c r="H14" s="566">
        <v>33</v>
      </c>
      <c r="I14" s="566">
        <v>131</v>
      </c>
      <c r="J14" s="566">
        <v>15</v>
      </c>
      <c r="M14"/>
      <c r="N14"/>
      <c r="O14"/>
      <c r="P14"/>
      <c r="Q14"/>
      <c r="R14"/>
      <c r="S14"/>
      <c r="T14"/>
      <c r="AG14" s="566" t="s">
        <v>87</v>
      </c>
      <c r="AH14" s="566">
        <f t="shared" si="0"/>
        <v>25520</v>
      </c>
    </row>
    <row r="15" spans="1:41">
      <c r="A15" s="744">
        <v>44562</v>
      </c>
      <c r="B15" s="566" t="s">
        <v>90</v>
      </c>
      <c r="C15" s="566">
        <v>726</v>
      </c>
      <c r="E15" s="566">
        <v>174</v>
      </c>
      <c r="F15" s="566">
        <v>438</v>
      </c>
      <c r="G15" s="566">
        <v>39</v>
      </c>
      <c r="H15" s="566">
        <v>36</v>
      </c>
      <c r="I15" s="566">
        <v>50</v>
      </c>
      <c r="J15" s="566">
        <v>8</v>
      </c>
      <c r="M15"/>
      <c r="N15"/>
      <c r="O15"/>
      <c r="P15"/>
      <c r="Q15"/>
      <c r="R15"/>
      <c r="S15"/>
      <c r="T15"/>
      <c r="AG15" s="566" t="s">
        <v>90</v>
      </c>
      <c r="AH15" s="566">
        <f t="shared" si="0"/>
        <v>9011</v>
      </c>
    </row>
    <row r="16" spans="1:41">
      <c r="A16" s="744">
        <v>44562</v>
      </c>
      <c r="B16" s="566" t="s">
        <v>91</v>
      </c>
      <c r="C16" s="566">
        <v>851</v>
      </c>
      <c r="E16" s="566">
        <v>231</v>
      </c>
      <c r="F16" s="566">
        <v>562</v>
      </c>
      <c r="G16" s="566">
        <v>5</v>
      </c>
      <c r="H16" s="566">
        <v>12</v>
      </c>
      <c r="I16" s="566">
        <v>44</v>
      </c>
      <c r="J16" s="566">
        <v>12</v>
      </c>
      <c r="M16"/>
      <c r="N16"/>
      <c r="O16"/>
      <c r="P16"/>
      <c r="Q16"/>
      <c r="R16"/>
      <c r="S16"/>
      <c r="T16"/>
      <c r="AG16" s="566" t="s">
        <v>91</v>
      </c>
      <c r="AH16" s="566">
        <f t="shared" si="0"/>
        <v>9065</v>
      </c>
    </row>
    <row r="17" spans="1:34">
      <c r="A17" s="744">
        <v>44562</v>
      </c>
      <c r="B17" s="566" t="s">
        <v>93</v>
      </c>
      <c r="C17" s="566">
        <v>1397</v>
      </c>
      <c r="E17" s="566">
        <v>237</v>
      </c>
      <c r="F17" s="566">
        <v>941</v>
      </c>
      <c r="G17" s="566">
        <v>21</v>
      </c>
      <c r="H17" s="566">
        <v>30</v>
      </c>
      <c r="I17" s="566">
        <v>168</v>
      </c>
      <c r="J17" s="566">
        <v>25</v>
      </c>
      <c r="M17"/>
      <c r="N17"/>
      <c r="O17"/>
      <c r="P17"/>
      <c r="Q17"/>
      <c r="R17"/>
      <c r="S17"/>
      <c r="T17"/>
      <c r="AG17" s="566" t="s">
        <v>93</v>
      </c>
      <c r="AH17" s="566">
        <f t="shared" si="0"/>
        <v>15581</v>
      </c>
    </row>
    <row r="18" spans="1:34">
      <c r="A18" s="744">
        <v>44562</v>
      </c>
      <c r="B18" s="566" t="s">
        <v>94</v>
      </c>
      <c r="C18" s="566">
        <v>366</v>
      </c>
      <c r="E18" s="566">
        <v>86</v>
      </c>
      <c r="F18" s="566">
        <v>202</v>
      </c>
      <c r="G18" s="566">
        <v>1</v>
      </c>
      <c r="H18" s="566">
        <v>7</v>
      </c>
      <c r="I18" s="566">
        <v>54</v>
      </c>
      <c r="J18" s="566">
        <v>29</v>
      </c>
      <c r="M18"/>
      <c r="N18"/>
      <c r="O18"/>
      <c r="P18"/>
      <c r="Q18"/>
      <c r="R18"/>
      <c r="S18"/>
      <c r="T18"/>
      <c r="AG18" s="566" t="s">
        <v>94</v>
      </c>
      <c r="AH18" s="566">
        <f t="shared" si="0"/>
        <v>4449</v>
      </c>
    </row>
    <row r="19" spans="1:34">
      <c r="A19" s="744">
        <v>44562</v>
      </c>
      <c r="B19" s="566" t="s">
        <v>92</v>
      </c>
      <c r="C19" s="566">
        <v>5049</v>
      </c>
      <c r="D19" s="566">
        <v>1</v>
      </c>
      <c r="E19" s="566">
        <v>1807</v>
      </c>
      <c r="F19" s="566">
        <v>2850</v>
      </c>
      <c r="G19" s="566">
        <v>57</v>
      </c>
      <c r="H19" s="566">
        <v>142</v>
      </c>
      <c r="I19" s="566">
        <v>287</v>
      </c>
      <c r="J19" s="566">
        <v>231</v>
      </c>
      <c r="M19"/>
      <c r="N19"/>
      <c r="O19"/>
      <c r="P19"/>
      <c r="Q19"/>
      <c r="R19"/>
      <c r="S19"/>
      <c r="T19"/>
      <c r="AG19" s="566" t="s">
        <v>92</v>
      </c>
      <c r="AH19" s="566">
        <f t="shared" si="0"/>
        <v>56658</v>
      </c>
    </row>
    <row r="20" spans="1:34">
      <c r="A20" s="744">
        <v>44562</v>
      </c>
      <c r="B20" s="566" t="s">
        <v>95</v>
      </c>
      <c r="C20" s="566">
        <v>4464</v>
      </c>
      <c r="D20" s="566">
        <v>2</v>
      </c>
      <c r="E20" s="566">
        <v>1724</v>
      </c>
      <c r="F20" s="566">
        <v>2189</v>
      </c>
      <c r="G20" s="566">
        <v>51</v>
      </c>
      <c r="H20" s="566">
        <v>185</v>
      </c>
      <c r="I20" s="566">
        <v>382</v>
      </c>
      <c r="J20" s="566">
        <v>44</v>
      </c>
      <c r="M20"/>
      <c r="N20"/>
      <c r="O20"/>
      <c r="P20"/>
      <c r="Q20"/>
      <c r="R20"/>
      <c r="S20"/>
      <c r="T20"/>
      <c r="AG20" s="566" t="s">
        <v>95</v>
      </c>
      <c r="AH20" s="566">
        <f t="shared" si="0"/>
        <v>51144</v>
      </c>
    </row>
    <row r="21" spans="1:34">
      <c r="A21" s="744">
        <v>44562</v>
      </c>
      <c r="B21" s="566" t="s">
        <v>96</v>
      </c>
      <c r="C21" s="566">
        <v>654</v>
      </c>
      <c r="E21" s="566">
        <v>167</v>
      </c>
      <c r="F21" s="566">
        <v>467</v>
      </c>
      <c r="G21" s="566">
        <v>1</v>
      </c>
      <c r="H21" s="566">
        <v>13</v>
      </c>
      <c r="I21" s="566">
        <v>36</v>
      </c>
      <c r="J21" s="566">
        <v>17</v>
      </c>
      <c r="M21"/>
      <c r="N21"/>
      <c r="O21"/>
      <c r="P21"/>
      <c r="Q21"/>
      <c r="R21"/>
      <c r="S21"/>
      <c r="T21"/>
      <c r="AG21" s="566" t="s">
        <v>96</v>
      </c>
      <c r="AH21" s="566">
        <f t="shared" si="0"/>
        <v>7489</v>
      </c>
    </row>
    <row r="22" spans="1:34">
      <c r="A22" s="744">
        <v>44562</v>
      </c>
      <c r="B22" s="566" t="s">
        <v>98</v>
      </c>
      <c r="C22" s="566">
        <v>555</v>
      </c>
      <c r="E22" s="566">
        <v>167</v>
      </c>
      <c r="F22" s="566">
        <v>332</v>
      </c>
      <c r="G22" s="566">
        <v>7</v>
      </c>
      <c r="H22" s="566">
        <v>10</v>
      </c>
      <c r="I22" s="566">
        <v>87</v>
      </c>
      <c r="J22" s="566">
        <v>14</v>
      </c>
      <c r="M22"/>
      <c r="N22"/>
      <c r="O22"/>
      <c r="P22"/>
      <c r="Q22"/>
      <c r="R22"/>
      <c r="S22"/>
      <c r="T22"/>
      <c r="AG22" s="566" t="s">
        <v>98</v>
      </c>
      <c r="AH22" s="566">
        <f t="shared" si="0"/>
        <v>7167</v>
      </c>
    </row>
    <row r="23" spans="1:34">
      <c r="A23" s="744">
        <v>44562</v>
      </c>
      <c r="B23" s="566" t="s">
        <v>99</v>
      </c>
      <c r="C23" s="566">
        <v>129</v>
      </c>
      <c r="E23" s="566">
        <v>34</v>
      </c>
      <c r="F23" s="566">
        <v>81</v>
      </c>
      <c r="H23" s="566">
        <v>14</v>
      </c>
      <c r="I23" s="566">
        <v>12</v>
      </c>
      <c r="M23"/>
      <c r="N23"/>
      <c r="O23"/>
      <c r="P23"/>
      <c r="Q23"/>
      <c r="R23"/>
      <c r="S23"/>
      <c r="T23"/>
      <c r="AG23" s="566" t="s">
        <v>99</v>
      </c>
      <c r="AH23" s="566">
        <f t="shared" si="0"/>
        <v>1296</v>
      </c>
    </row>
    <row r="24" spans="1:34">
      <c r="A24" s="744">
        <v>44562</v>
      </c>
      <c r="B24" s="566" t="s">
        <v>97</v>
      </c>
      <c r="C24" s="566">
        <v>6803</v>
      </c>
      <c r="E24" s="566">
        <v>2380</v>
      </c>
      <c r="F24" s="566">
        <v>3205</v>
      </c>
      <c r="G24" s="566">
        <v>42</v>
      </c>
      <c r="H24" s="566">
        <v>159</v>
      </c>
      <c r="I24" s="566">
        <v>1294</v>
      </c>
      <c r="J24" s="566">
        <v>179</v>
      </c>
      <c r="M24"/>
      <c r="N24"/>
      <c r="O24"/>
      <c r="P24"/>
      <c r="Q24"/>
      <c r="R24"/>
      <c r="S24"/>
      <c r="T24"/>
      <c r="AG24" s="566" t="s">
        <v>97</v>
      </c>
      <c r="AH24" s="566">
        <f t="shared" si="0"/>
        <v>73503</v>
      </c>
    </row>
    <row r="25" spans="1:34">
      <c r="A25" s="744">
        <v>44562</v>
      </c>
      <c r="B25" s="566" t="s">
        <v>100</v>
      </c>
      <c r="C25" s="566">
        <v>3992</v>
      </c>
      <c r="D25" s="566">
        <v>7</v>
      </c>
      <c r="E25" s="566">
        <v>1364</v>
      </c>
      <c r="F25" s="566">
        <v>2083</v>
      </c>
      <c r="G25" s="566">
        <v>12</v>
      </c>
      <c r="H25" s="566">
        <v>82</v>
      </c>
      <c r="I25" s="566">
        <v>555</v>
      </c>
      <c r="J25" s="566">
        <v>169</v>
      </c>
      <c r="M25"/>
      <c r="N25"/>
      <c r="O25"/>
      <c r="P25"/>
      <c r="Q25"/>
      <c r="R25"/>
      <c r="S25"/>
      <c r="T25"/>
      <c r="AG25" s="566" t="s">
        <v>100</v>
      </c>
      <c r="AH25" s="566">
        <f t="shared" si="0"/>
        <v>47797</v>
      </c>
    </row>
    <row r="26" spans="1:34">
      <c r="A26" s="744">
        <v>44562</v>
      </c>
      <c r="B26" s="566" t="s">
        <v>102</v>
      </c>
      <c r="C26" s="566">
        <v>601</v>
      </c>
      <c r="E26" s="566">
        <v>155</v>
      </c>
      <c r="F26" s="566">
        <v>413</v>
      </c>
      <c r="G26" s="566">
        <v>12</v>
      </c>
      <c r="H26" s="566">
        <v>17</v>
      </c>
      <c r="I26" s="566">
        <v>45</v>
      </c>
      <c r="J26" s="566">
        <v>13</v>
      </c>
      <c r="M26"/>
      <c r="N26"/>
      <c r="O26"/>
      <c r="P26"/>
      <c r="Q26"/>
      <c r="R26"/>
      <c r="S26"/>
      <c r="T26"/>
      <c r="AG26" s="566" t="s">
        <v>102</v>
      </c>
      <c r="AH26" s="566">
        <f t="shared" si="0"/>
        <v>6702</v>
      </c>
    </row>
    <row r="27" spans="1:34">
      <c r="A27" s="744">
        <v>44562</v>
      </c>
      <c r="B27" s="566" t="s">
        <v>101</v>
      </c>
      <c r="C27" s="566">
        <v>23130</v>
      </c>
      <c r="D27" s="566">
        <v>3</v>
      </c>
      <c r="E27" s="566">
        <v>9317</v>
      </c>
      <c r="F27" s="566">
        <v>9868</v>
      </c>
      <c r="G27" s="566">
        <v>258</v>
      </c>
      <c r="H27" s="566">
        <v>1446</v>
      </c>
      <c r="I27" s="566">
        <v>2981</v>
      </c>
      <c r="J27" s="566">
        <v>303</v>
      </c>
      <c r="M27"/>
      <c r="N27"/>
      <c r="O27"/>
      <c r="P27"/>
      <c r="Q27"/>
      <c r="R27"/>
      <c r="S27"/>
      <c r="T27"/>
      <c r="AG27" s="566" t="s">
        <v>101</v>
      </c>
      <c r="AH27" s="566">
        <f t="shared" si="0"/>
        <v>265567</v>
      </c>
    </row>
    <row r="28" spans="1:34">
      <c r="A28" s="744">
        <v>44562</v>
      </c>
      <c r="B28" s="566" t="s">
        <v>103</v>
      </c>
      <c r="C28" s="566">
        <v>308</v>
      </c>
      <c r="E28" s="566">
        <v>82</v>
      </c>
      <c r="F28" s="566">
        <v>199</v>
      </c>
      <c r="G28" s="566">
        <v>6</v>
      </c>
      <c r="H28" s="566">
        <v>4</v>
      </c>
      <c r="I28" s="566">
        <v>25</v>
      </c>
      <c r="M28"/>
      <c r="N28"/>
      <c r="O28"/>
      <c r="P28"/>
      <c r="Q28"/>
      <c r="R28"/>
      <c r="S28"/>
      <c r="T28"/>
      <c r="AG28" s="566" t="s">
        <v>103</v>
      </c>
      <c r="AH28" s="566">
        <f t="shared" si="0"/>
        <v>3990</v>
      </c>
    </row>
    <row r="29" spans="1:34">
      <c r="A29" s="744">
        <v>44593</v>
      </c>
      <c r="B29" s="566" t="s">
        <v>77</v>
      </c>
      <c r="C29" s="566">
        <v>178</v>
      </c>
      <c r="E29" s="566">
        <v>50</v>
      </c>
      <c r="F29" s="566">
        <v>119</v>
      </c>
      <c r="G29" s="566">
        <v>2</v>
      </c>
      <c r="H29" s="566">
        <v>5</v>
      </c>
      <c r="I29" s="566">
        <v>6</v>
      </c>
      <c r="M29"/>
      <c r="N29"/>
      <c r="O29"/>
      <c r="AH29" s="566">
        <f>SUM(AH2:AH28)</f>
        <v>758130</v>
      </c>
    </row>
    <row r="30" spans="1:34">
      <c r="A30" s="744">
        <v>44593</v>
      </c>
      <c r="B30" s="566" t="s">
        <v>78</v>
      </c>
      <c r="C30" s="566">
        <v>714</v>
      </c>
      <c r="E30" s="566">
        <v>167</v>
      </c>
      <c r="F30" s="566">
        <v>485</v>
      </c>
      <c r="G30" s="566">
        <v>24</v>
      </c>
      <c r="H30" s="566">
        <v>7</v>
      </c>
      <c r="I30" s="566">
        <v>35</v>
      </c>
      <c r="J30" s="566">
        <v>22</v>
      </c>
      <c r="L30" s="106" t="s">
        <v>256</v>
      </c>
      <c r="M30" t="s">
        <v>717</v>
      </c>
      <c r="N30"/>
      <c r="O30"/>
      <c r="P30"/>
      <c r="Q30"/>
      <c r="R30"/>
      <c r="S30"/>
    </row>
    <row r="31" spans="1:34">
      <c r="A31" s="744">
        <v>44593</v>
      </c>
      <c r="B31" s="566" t="s">
        <v>80</v>
      </c>
      <c r="C31" s="566">
        <v>593</v>
      </c>
      <c r="E31" s="566">
        <v>136</v>
      </c>
      <c r="F31" s="566">
        <v>398</v>
      </c>
      <c r="G31" s="566">
        <v>7</v>
      </c>
      <c r="H31" s="566">
        <v>26</v>
      </c>
      <c r="I31" s="566">
        <v>36</v>
      </c>
      <c r="J31" s="566">
        <v>10</v>
      </c>
      <c r="L31" s="322" t="s">
        <v>195</v>
      </c>
      <c r="M31" s="745">
        <v>65965</v>
      </c>
      <c r="N31"/>
      <c r="O31"/>
      <c r="P31"/>
      <c r="Q31"/>
      <c r="R31"/>
      <c r="S31"/>
    </row>
    <row r="32" spans="1:34">
      <c r="A32" s="744">
        <v>44593</v>
      </c>
      <c r="B32" s="566" t="s">
        <v>79</v>
      </c>
      <c r="C32" s="566">
        <v>224</v>
      </c>
      <c r="E32" s="566">
        <v>70</v>
      </c>
      <c r="F32" s="566">
        <v>119</v>
      </c>
      <c r="G32" s="566">
        <v>6</v>
      </c>
      <c r="H32" s="566">
        <v>20</v>
      </c>
      <c r="I32" s="566">
        <v>5</v>
      </c>
      <c r="J32" s="566">
        <v>8</v>
      </c>
      <c r="L32" s="322" t="s">
        <v>196</v>
      </c>
      <c r="M32" s="745">
        <v>73809</v>
      </c>
      <c r="N32"/>
      <c r="O32"/>
      <c r="P32"/>
      <c r="Q32"/>
      <c r="R32"/>
      <c r="S32"/>
    </row>
    <row r="33" spans="1:19">
      <c r="A33" s="744">
        <v>44593</v>
      </c>
      <c r="B33" s="566" t="s">
        <v>81</v>
      </c>
      <c r="C33" s="566">
        <v>2083</v>
      </c>
      <c r="D33" s="566">
        <v>2</v>
      </c>
      <c r="E33" s="566">
        <v>522</v>
      </c>
      <c r="F33" s="566">
        <v>1338</v>
      </c>
      <c r="G33" s="566">
        <v>26</v>
      </c>
      <c r="H33" s="566">
        <v>86</v>
      </c>
      <c r="I33" s="566">
        <v>144</v>
      </c>
      <c r="J33" s="566">
        <v>34</v>
      </c>
      <c r="L33" s="322" t="s">
        <v>197</v>
      </c>
      <c r="M33" s="745">
        <v>94024</v>
      </c>
      <c r="N33"/>
      <c r="O33"/>
      <c r="P33"/>
      <c r="Q33"/>
      <c r="R33"/>
      <c r="S33"/>
    </row>
    <row r="34" spans="1:19">
      <c r="A34" s="744">
        <v>44593</v>
      </c>
      <c r="B34" s="566" t="s">
        <v>82</v>
      </c>
      <c r="C34" s="566">
        <v>1236</v>
      </c>
      <c r="E34" s="566">
        <v>252</v>
      </c>
      <c r="F34" s="566">
        <v>785</v>
      </c>
      <c r="G34" s="566">
        <v>24</v>
      </c>
      <c r="H34" s="566">
        <v>59</v>
      </c>
      <c r="I34" s="566">
        <v>60</v>
      </c>
      <c r="J34" s="566">
        <v>97</v>
      </c>
      <c r="L34" s="322" t="s">
        <v>198</v>
      </c>
      <c r="M34" s="745">
        <v>78399</v>
      </c>
      <c r="N34"/>
      <c r="O34"/>
      <c r="P34"/>
      <c r="Q34"/>
      <c r="R34"/>
      <c r="S34"/>
    </row>
    <row r="35" spans="1:19">
      <c r="A35" s="744">
        <v>44593</v>
      </c>
      <c r="B35" s="566" t="s">
        <v>83</v>
      </c>
      <c r="C35" s="566">
        <v>1399</v>
      </c>
      <c r="E35" s="566">
        <v>443</v>
      </c>
      <c r="F35" s="566">
        <v>780</v>
      </c>
      <c r="G35" s="566">
        <v>3</v>
      </c>
      <c r="H35" s="566">
        <v>42</v>
      </c>
      <c r="I35" s="566">
        <v>148</v>
      </c>
      <c r="J35" s="566">
        <v>27</v>
      </c>
      <c r="L35" s="322" t="s">
        <v>199</v>
      </c>
      <c r="M35" s="745">
        <v>93305</v>
      </c>
      <c r="N35"/>
      <c r="O35"/>
      <c r="P35"/>
      <c r="Q35"/>
      <c r="R35"/>
      <c r="S35"/>
    </row>
    <row r="36" spans="1:19">
      <c r="A36" s="744">
        <v>44593</v>
      </c>
      <c r="B36" s="566" t="s">
        <v>84</v>
      </c>
      <c r="C36" s="566">
        <v>1277</v>
      </c>
      <c r="E36" s="566">
        <v>375</v>
      </c>
      <c r="F36" s="566">
        <v>711</v>
      </c>
      <c r="G36" s="566">
        <v>5</v>
      </c>
      <c r="H36" s="566">
        <v>44</v>
      </c>
      <c r="I36" s="566">
        <v>124</v>
      </c>
      <c r="J36" s="566">
        <v>54</v>
      </c>
      <c r="L36" s="322" t="s">
        <v>200</v>
      </c>
      <c r="M36" s="745">
        <v>86380</v>
      </c>
      <c r="N36"/>
      <c r="O36"/>
      <c r="P36"/>
      <c r="Q36"/>
      <c r="R36"/>
      <c r="S36"/>
    </row>
    <row r="37" spans="1:19">
      <c r="A37" s="744">
        <v>44593</v>
      </c>
      <c r="B37" s="566" t="s">
        <v>85</v>
      </c>
      <c r="C37" s="566">
        <v>2476</v>
      </c>
      <c r="E37" s="566">
        <v>687</v>
      </c>
      <c r="F37" s="566">
        <v>1660</v>
      </c>
      <c r="G37" s="566">
        <v>3</v>
      </c>
      <c r="H37" s="566">
        <v>37</v>
      </c>
      <c r="I37" s="566">
        <v>116</v>
      </c>
      <c r="J37" s="566">
        <v>24</v>
      </c>
      <c r="L37" s="322" t="s">
        <v>201</v>
      </c>
      <c r="M37" s="745">
        <v>85436</v>
      </c>
      <c r="N37"/>
      <c r="O37"/>
      <c r="P37"/>
      <c r="Q37"/>
      <c r="R37"/>
      <c r="S37"/>
    </row>
    <row r="38" spans="1:19">
      <c r="A38" s="744">
        <v>44593</v>
      </c>
      <c r="B38" s="566" t="s">
        <v>86</v>
      </c>
      <c r="C38" s="566">
        <v>652</v>
      </c>
      <c r="E38" s="566">
        <v>182</v>
      </c>
      <c r="F38" s="566">
        <v>379</v>
      </c>
      <c r="G38" s="566">
        <v>8</v>
      </c>
      <c r="H38" s="566">
        <v>17</v>
      </c>
      <c r="I38" s="566">
        <v>67</v>
      </c>
      <c r="J38" s="566">
        <v>21</v>
      </c>
      <c r="L38" s="322" t="s">
        <v>202</v>
      </c>
      <c r="M38" s="745">
        <v>95562</v>
      </c>
      <c r="N38"/>
      <c r="O38"/>
      <c r="P38"/>
      <c r="Q38"/>
      <c r="R38"/>
      <c r="S38"/>
    </row>
    <row r="39" spans="1:19">
      <c r="A39" s="744">
        <v>44593</v>
      </c>
      <c r="B39" s="566" t="s">
        <v>89</v>
      </c>
      <c r="C39" s="566">
        <v>4349</v>
      </c>
      <c r="D39" s="566">
        <v>26</v>
      </c>
      <c r="E39" s="566">
        <v>702</v>
      </c>
      <c r="F39" s="566">
        <v>3156</v>
      </c>
      <c r="G39" s="566">
        <v>36</v>
      </c>
      <c r="H39" s="566">
        <v>118</v>
      </c>
      <c r="I39" s="566">
        <v>431</v>
      </c>
      <c r="J39" s="566">
        <v>106</v>
      </c>
      <c r="L39" s="322" t="s">
        <v>257</v>
      </c>
      <c r="M39" s="745">
        <v>672880</v>
      </c>
      <c r="N39"/>
      <c r="O39"/>
      <c r="P39"/>
      <c r="Q39"/>
      <c r="R39"/>
      <c r="S39"/>
    </row>
    <row r="40" spans="1:19">
      <c r="A40" s="744">
        <v>44593</v>
      </c>
      <c r="B40" s="566" t="s">
        <v>88</v>
      </c>
      <c r="C40" s="566">
        <v>1564</v>
      </c>
      <c r="D40" s="566">
        <v>3</v>
      </c>
      <c r="E40" s="566">
        <v>501</v>
      </c>
      <c r="F40" s="566">
        <v>900</v>
      </c>
      <c r="G40" s="566">
        <v>6</v>
      </c>
      <c r="H40" s="566">
        <v>32</v>
      </c>
      <c r="I40" s="566">
        <v>197</v>
      </c>
      <c r="J40" s="566">
        <v>23</v>
      </c>
      <c r="L40"/>
      <c r="M40"/>
      <c r="N40"/>
      <c r="O40"/>
      <c r="P40"/>
      <c r="Q40"/>
      <c r="R40"/>
      <c r="S40"/>
    </row>
    <row r="41" spans="1:19">
      <c r="A41" s="744">
        <v>44593</v>
      </c>
      <c r="B41" s="566" t="s">
        <v>87</v>
      </c>
      <c r="C41" s="566">
        <v>2454</v>
      </c>
      <c r="D41" s="566">
        <v>1</v>
      </c>
      <c r="E41" s="566">
        <v>912</v>
      </c>
      <c r="F41" s="566">
        <v>1506</v>
      </c>
      <c r="G41" s="566">
        <v>22</v>
      </c>
      <c r="H41" s="566">
        <v>43</v>
      </c>
      <c r="I41" s="566">
        <v>142</v>
      </c>
      <c r="J41" s="566">
        <v>35</v>
      </c>
      <c r="L41"/>
      <c r="M41"/>
      <c r="N41"/>
      <c r="O41"/>
      <c r="P41"/>
      <c r="Q41"/>
      <c r="R41"/>
      <c r="S41"/>
    </row>
    <row r="42" spans="1:19">
      <c r="A42" s="744">
        <v>44593</v>
      </c>
      <c r="B42" s="566" t="s">
        <v>90</v>
      </c>
      <c r="C42" s="566">
        <v>791</v>
      </c>
      <c r="E42" s="566">
        <v>178</v>
      </c>
      <c r="F42" s="566">
        <v>473</v>
      </c>
      <c r="G42" s="566">
        <v>24</v>
      </c>
      <c r="H42" s="566">
        <v>57</v>
      </c>
      <c r="I42" s="566">
        <v>56</v>
      </c>
      <c r="J42" s="566">
        <v>20</v>
      </c>
      <c r="L42"/>
      <c r="M42"/>
      <c r="N42"/>
      <c r="O42"/>
      <c r="P42"/>
      <c r="Q42"/>
      <c r="R42"/>
      <c r="S42"/>
    </row>
    <row r="43" spans="1:19">
      <c r="A43" s="744">
        <v>44593</v>
      </c>
      <c r="B43" s="566" t="s">
        <v>91</v>
      </c>
      <c r="C43" s="566">
        <v>889</v>
      </c>
      <c r="E43" s="566">
        <v>196</v>
      </c>
      <c r="F43" s="566">
        <v>635</v>
      </c>
      <c r="G43" s="566">
        <v>7</v>
      </c>
      <c r="H43" s="566">
        <v>13</v>
      </c>
      <c r="I43" s="566">
        <v>42</v>
      </c>
      <c r="J43" s="566">
        <v>6</v>
      </c>
      <c r="L43"/>
      <c r="M43"/>
      <c r="N43"/>
      <c r="O43"/>
      <c r="P43"/>
      <c r="Q43"/>
      <c r="R43"/>
      <c r="S43"/>
    </row>
    <row r="44" spans="1:19">
      <c r="A44" s="744">
        <v>44593</v>
      </c>
      <c r="B44" s="566" t="s">
        <v>93</v>
      </c>
      <c r="C44" s="566">
        <v>1560</v>
      </c>
      <c r="D44" s="566">
        <v>3</v>
      </c>
      <c r="E44" s="566">
        <v>278</v>
      </c>
      <c r="F44" s="566">
        <v>1065</v>
      </c>
      <c r="G44" s="566">
        <v>26</v>
      </c>
      <c r="H44" s="566">
        <v>32</v>
      </c>
      <c r="I44" s="566">
        <v>172</v>
      </c>
      <c r="J44" s="566">
        <v>44</v>
      </c>
      <c r="L44"/>
      <c r="M44"/>
      <c r="N44"/>
      <c r="O44"/>
      <c r="P44"/>
      <c r="Q44"/>
      <c r="R44"/>
      <c r="S44"/>
    </row>
    <row r="45" spans="1:19">
      <c r="A45" s="744">
        <v>44593</v>
      </c>
      <c r="B45" s="566" t="s">
        <v>94</v>
      </c>
      <c r="C45" s="566">
        <v>445</v>
      </c>
      <c r="E45" s="566">
        <v>92</v>
      </c>
      <c r="F45" s="566">
        <v>280</v>
      </c>
      <c r="G45" s="566">
        <v>1</v>
      </c>
      <c r="H45" s="566">
        <v>18</v>
      </c>
      <c r="I45" s="566">
        <v>62</v>
      </c>
      <c r="J45" s="566">
        <v>14</v>
      </c>
      <c r="L45"/>
      <c r="M45"/>
      <c r="N45"/>
      <c r="O45"/>
      <c r="P45"/>
      <c r="Q45"/>
      <c r="R45"/>
      <c r="S45"/>
    </row>
    <row r="46" spans="1:19">
      <c r="A46" s="744">
        <v>44593</v>
      </c>
      <c r="B46" s="566" t="s">
        <v>92</v>
      </c>
      <c r="C46" s="566">
        <v>5624</v>
      </c>
      <c r="D46" s="566">
        <v>2</v>
      </c>
      <c r="E46" s="566">
        <v>1950</v>
      </c>
      <c r="F46" s="566">
        <v>3229</v>
      </c>
      <c r="G46" s="566">
        <v>83</v>
      </c>
      <c r="H46" s="566">
        <v>145</v>
      </c>
      <c r="I46" s="566">
        <v>317</v>
      </c>
      <c r="J46" s="566">
        <v>247</v>
      </c>
      <c r="L46"/>
      <c r="M46"/>
      <c r="N46"/>
      <c r="O46"/>
      <c r="P46"/>
      <c r="Q46"/>
      <c r="R46"/>
      <c r="S46"/>
    </row>
    <row r="47" spans="1:19">
      <c r="A47" s="744">
        <v>44593</v>
      </c>
      <c r="B47" s="566" t="s">
        <v>95</v>
      </c>
      <c r="C47" s="566">
        <v>5001</v>
      </c>
      <c r="D47" s="566">
        <v>2</v>
      </c>
      <c r="E47" s="566">
        <v>1852</v>
      </c>
      <c r="F47" s="566">
        <v>2544</v>
      </c>
      <c r="G47" s="566">
        <v>65</v>
      </c>
      <c r="H47" s="566">
        <v>197</v>
      </c>
      <c r="I47" s="566">
        <v>449</v>
      </c>
      <c r="J47" s="566">
        <v>31</v>
      </c>
      <c r="L47"/>
      <c r="M47"/>
      <c r="N47"/>
      <c r="O47"/>
      <c r="P47"/>
      <c r="Q47"/>
      <c r="R47"/>
      <c r="S47"/>
    </row>
    <row r="48" spans="1:19">
      <c r="A48" s="744">
        <v>44593</v>
      </c>
      <c r="B48" s="566" t="s">
        <v>96</v>
      </c>
      <c r="C48" s="566">
        <v>767</v>
      </c>
      <c r="E48" s="566">
        <v>158</v>
      </c>
      <c r="F48" s="566">
        <v>529</v>
      </c>
      <c r="G48" s="566">
        <v>2</v>
      </c>
      <c r="H48" s="566">
        <v>24</v>
      </c>
      <c r="I48" s="566">
        <v>53</v>
      </c>
      <c r="J48" s="566">
        <v>32</v>
      </c>
      <c r="L48"/>
      <c r="M48"/>
      <c r="N48"/>
      <c r="O48"/>
      <c r="P48"/>
      <c r="Q48"/>
      <c r="R48"/>
      <c r="S48"/>
    </row>
    <row r="49" spans="1:19">
      <c r="A49" s="744">
        <v>44593</v>
      </c>
      <c r="B49" s="566" t="s">
        <v>98</v>
      </c>
      <c r="C49" s="566">
        <v>633</v>
      </c>
      <c r="D49" s="566">
        <v>1</v>
      </c>
      <c r="E49" s="566">
        <v>189</v>
      </c>
      <c r="F49" s="566">
        <v>375</v>
      </c>
      <c r="G49" s="566">
        <v>3</v>
      </c>
      <c r="H49" s="566">
        <v>20</v>
      </c>
      <c r="I49" s="566">
        <v>95</v>
      </c>
      <c r="J49" s="566">
        <v>9</v>
      </c>
      <c r="L49"/>
      <c r="M49"/>
      <c r="N49"/>
      <c r="O49"/>
      <c r="P49"/>
      <c r="Q49"/>
      <c r="R49"/>
      <c r="S49"/>
    </row>
    <row r="50" spans="1:19">
      <c r="A50" s="744">
        <v>44593</v>
      </c>
      <c r="B50" s="566" t="s">
        <v>99</v>
      </c>
      <c r="C50" s="566">
        <v>144</v>
      </c>
      <c r="E50" s="566">
        <v>38</v>
      </c>
      <c r="F50" s="566">
        <v>94</v>
      </c>
      <c r="G50" s="566">
        <v>5</v>
      </c>
      <c r="H50" s="566">
        <v>5</v>
      </c>
      <c r="I50" s="566">
        <v>5</v>
      </c>
      <c r="J50" s="566">
        <v>1</v>
      </c>
      <c r="L50"/>
      <c r="M50"/>
      <c r="N50"/>
      <c r="O50"/>
      <c r="P50"/>
      <c r="Q50"/>
      <c r="R50"/>
      <c r="S50"/>
    </row>
    <row r="51" spans="1:19">
      <c r="A51" s="744">
        <v>44593</v>
      </c>
      <c r="B51" s="566" t="s">
        <v>97</v>
      </c>
      <c r="C51" s="566">
        <v>7579</v>
      </c>
      <c r="D51" s="566">
        <v>1</v>
      </c>
      <c r="E51" s="566">
        <v>2754</v>
      </c>
      <c r="F51" s="566">
        <v>3637</v>
      </c>
      <c r="G51" s="566">
        <v>40</v>
      </c>
      <c r="H51" s="566">
        <v>174</v>
      </c>
      <c r="I51" s="566">
        <v>1261</v>
      </c>
      <c r="J51" s="566">
        <v>199</v>
      </c>
      <c r="L51"/>
      <c r="M51"/>
      <c r="N51"/>
      <c r="O51"/>
      <c r="P51"/>
      <c r="Q51"/>
      <c r="R51"/>
      <c r="S51"/>
    </row>
    <row r="52" spans="1:19">
      <c r="A52" s="744">
        <v>44593</v>
      </c>
      <c r="B52" s="566" t="s">
        <v>100</v>
      </c>
      <c r="C52" s="566">
        <v>4531</v>
      </c>
      <c r="D52" s="566">
        <v>3</v>
      </c>
      <c r="E52" s="566">
        <v>1540</v>
      </c>
      <c r="F52" s="566">
        <v>2345</v>
      </c>
      <c r="G52" s="566">
        <v>40</v>
      </c>
      <c r="H52" s="566">
        <v>88</v>
      </c>
      <c r="I52" s="566">
        <v>588</v>
      </c>
      <c r="J52" s="566">
        <v>210</v>
      </c>
      <c r="L52"/>
      <c r="M52"/>
      <c r="N52"/>
      <c r="O52"/>
      <c r="P52"/>
      <c r="Q52"/>
      <c r="R52"/>
      <c r="S52"/>
    </row>
    <row r="53" spans="1:19">
      <c r="A53" s="744">
        <v>44593</v>
      </c>
      <c r="B53" s="566" t="s">
        <v>102</v>
      </c>
      <c r="C53" s="566">
        <v>670</v>
      </c>
      <c r="E53" s="566">
        <v>189</v>
      </c>
      <c r="F53" s="566">
        <v>455</v>
      </c>
      <c r="G53" s="566">
        <v>22</v>
      </c>
      <c r="H53" s="566">
        <v>23</v>
      </c>
      <c r="I53" s="566">
        <v>52</v>
      </c>
      <c r="J53" s="566">
        <v>13</v>
      </c>
      <c r="L53"/>
      <c r="M53"/>
      <c r="N53"/>
      <c r="O53"/>
      <c r="P53"/>
      <c r="Q53"/>
      <c r="R53"/>
      <c r="S53"/>
    </row>
    <row r="54" spans="1:19">
      <c r="A54" s="744">
        <v>44593</v>
      </c>
      <c r="B54" s="566" t="s">
        <v>101</v>
      </c>
      <c r="C54" s="566">
        <v>25601</v>
      </c>
      <c r="D54" s="566">
        <v>5</v>
      </c>
      <c r="E54" s="566">
        <v>9904</v>
      </c>
      <c r="F54" s="566">
        <v>11220</v>
      </c>
      <c r="G54" s="566">
        <v>332</v>
      </c>
      <c r="H54" s="566">
        <v>1582</v>
      </c>
      <c r="I54" s="566">
        <v>3357</v>
      </c>
      <c r="J54" s="566">
        <v>390</v>
      </c>
      <c r="L54"/>
      <c r="M54"/>
      <c r="N54"/>
      <c r="O54"/>
      <c r="P54"/>
      <c r="Q54"/>
      <c r="R54"/>
      <c r="S54"/>
    </row>
    <row r="55" spans="1:19">
      <c r="A55" s="744">
        <v>44593</v>
      </c>
      <c r="B55" s="566" t="s">
        <v>103</v>
      </c>
      <c r="C55" s="566">
        <v>375</v>
      </c>
      <c r="E55" s="566">
        <v>94</v>
      </c>
      <c r="F55" s="566">
        <v>234</v>
      </c>
      <c r="G55" s="566">
        <v>13</v>
      </c>
      <c r="H55" s="566">
        <v>11</v>
      </c>
      <c r="I55" s="566">
        <v>32</v>
      </c>
      <c r="L55"/>
      <c r="M55"/>
      <c r="N55"/>
      <c r="O55"/>
      <c r="P55"/>
      <c r="Q55"/>
      <c r="R55"/>
      <c r="S55"/>
    </row>
    <row r="56" spans="1:19">
      <c r="A56" s="781">
        <v>44621</v>
      </c>
      <c r="B56" s="566" t="s">
        <v>77</v>
      </c>
      <c r="C56" s="566">
        <v>261</v>
      </c>
      <c r="D56" s="566">
        <v>1</v>
      </c>
      <c r="E56" s="566">
        <v>67</v>
      </c>
      <c r="F56" s="566">
        <v>179</v>
      </c>
      <c r="G56" s="566">
        <v>1</v>
      </c>
      <c r="H56" s="566">
        <v>3</v>
      </c>
      <c r="I56" s="566">
        <v>10</v>
      </c>
      <c r="J56" s="566">
        <v>2</v>
      </c>
      <c r="L56"/>
      <c r="M56"/>
      <c r="N56"/>
      <c r="O56"/>
      <c r="P56"/>
      <c r="Q56"/>
      <c r="R56"/>
      <c r="S56"/>
    </row>
    <row r="57" spans="1:19">
      <c r="A57" s="781">
        <v>44621</v>
      </c>
      <c r="B57" s="566" t="s">
        <v>78</v>
      </c>
      <c r="C57" s="566">
        <v>902</v>
      </c>
      <c r="E57" s="566">
        <v>217</v>
      </c>
      <c r="F57" s="566">
        <v>593</v>
      </c>
      <c r="G57" s="566">
        <v>14</v>
      </c>
      <c r="H57" s="566">
        <v>10</v>
      </c>
      <c r="I57" s="566">
        <v>62</v>
      </c>
      <c r="J57" s="566">
        <v>31</v>
      </c>
      <c r="L57"/>
      <c r="M57"/>
      <c r="N57"/>
      <c r="O57"/>
      <c r="P57"/>
      <c r="Q57"/>
      <c r="R57"/>
      <c r="S57"/>
    </row>
    <row r="58" spans="1:19">
      <c r="A58" s="781">
        <v>44621</v>
      </c>
      <c r="B58" s="566" t="s">
        <v>80</v>
      </c>
      <c r="C58" s="566">
        <v>760</v>
      </c>
      <c r="D58" s="566">
        <v>1</v>
      </c>
      <c r="E58" s="566">
        <v>183</v>
      </c>
      <c r="F58" s="566">
        <v>507</v>
      </c>
      <c r="G58" s="566">
        <v>9</v>
      </c>
      <c r="H58" s="566">
        <v>17</v>
      </c>
      <c r="I58" s="566">
        <v>52</v>
      </c>
      <c r="J58" s="566">
        <v>11</v>
      </c>
      <c r="L58"/>
      <c r="M58"/>
      <c r="N58"/>
      <c r="O58"/>
      <c r="P58"/>
      <c r="Q58"/>
      <c r="R58"/>
      <c r="S58"/>
    </row>
    <row r="59" spans="1:19">
      <c r="A59" s="781">
        <v>44621</v>
      </c>
      <c r="B59" s="566" t="s">
        <v>79</v>
      </c>
      <c r="C59" s="566">
        <v>385</v>
      </c>
      <c r="D59" s="566">
        <v>1</v>
      </c>
      <c r="E59" s="566">
        <v>128</v>
      </c>
      <c r="F59" s="566">
        <v>200</v>
      </c>
      <c r="G59" s="566">
        <v>9</v>
      </c>
      <c r="H59" s="566">
        <v>36</v>
      </c>
      <c r="I59" s="566">
        <v>5</v>
      </c>
      <c r="J59" s="566">
        <v>15</v>
      </c>
    </row>
    <row r="60" spans="1:19">
      <c r="A60" s="781">
        <v>44621</v>
      </c>
      <c r="B60" s="566" t="s">
        <v>81</v>
      </c>
      <c r="C60" s="566">
        <v>2520</v>
      </c>
      <c r="E60" s="566">
        <v>558</v>
      </c>
      <c r="F60" s="566">
        <v>1723</v>
      </c>
      <c r="G60" s="566">
        <v>42</v>
      </c>
      <c r="H60" s="566">
        <v>84</v>
      </c>
      <c r="I60" s="566">
        <v>154</v>
      </c>
      <c r="J60" s="566">
        <v>55</v>
      </c>
    </row>
    <row r="61" spans="1:19">
      <c r="A61" s="781">
        <v>44621</v>
      </c>
      <c r="B61" s="566" t="s">
        <v>82</v>
      </c>
      <c r="C61" s="566">
        <v>1334</v>
      </c>
      <c r="D61" s="566">
        <v>2</v>
      </c>
      <c r="E61" s="566">
        <v>240</v>
      </c>
      <c r="F61" s="566">
        <v>890</v>
      </c>
      <c r="G61" s="566">
        <v>19</v>
      </c>
      <c r="H61" s="566">
        <v>70</v>
      </c>
      <c r="I61" s="566">
        <v>69</v>
      </c>
      <c r="J61" s="566">
        <v>85</v>
      </c>
    </row>
    <row r="62" spans="1:19">
      <c r="A62" s="781">
        <v>44621</v>
      </c>
      <c r="B62" s="566" t="s">
        <v>83</v>
      </c>
      <c r="C62" s="566">
        <v>1614</v>
      </c>
      <c r="E62" s="566">
        <v>545</v>
      </c>
      <c r="F62" s="566">
        <v>875</v>
      </c>
      <c r="G62" s="566">
        <v>2</v>
      </c>
      <c r="H62" s="566">
        <v>50</v>
      </c>
      <c r="I62" s="566">
        <v>174</v>
      </c>
      <c r="J62" s="566">
        <v>11</v>
      </c>
    </row>
    <row r="63" spans="1:19">
      <c r="A63" s="781">
        <v>44621</v>
      </c>
      <c r="B63" s="566" t="s">
        <v>84</v>
      </c>
      <c r="C63" s="566">
        <v>1683</v>
      </c>
      <c r="D63" s="566">
        <v>1</v>
      </c>
      <c r="E63" s="566">
        <v>523</v>
      </c>
      <c r="F63" s="566">
        <v>969</v>
      </c>
      <c r="G63" s="566">
        <v>6</v>
      </c>
      <c r="H63" s="566">
        <v>45</v>
      </c>
      <c r="I63" s="566">
        <v>169</v>
      </c>
      <c r="J63" s="566">
        <v>39</v>
      </c>
    </row>
    <row r="64" spans="1:19">
      <c r="A64" s="781">
        <v>44621</v>
      </c>
      <c r="B64" s="566" t="s">
        <v>85</v>
      </c>
      <c r="C64" s="566">
        <v>3378</v>
      </c>
      <c r="E64" s="566">
        <v>930</v>
      </c>
      <c r="F64" s="566">
        <v>2294</v>
      </c>
      <c r="G64" s="566">
        <v>3</v>
      </c>
      <c r="H64" s="566">
        <v>56</v>
      </c>
      <c r="I64" s="566">
        <v>133</v>
      </c>
      <c r="J64" s="566">
        <v>33</v>
      </c>
    </row>
    <row r="65" spans="1:10">
      <c r="A65" s="781">
        <v>44621</v>
      </c>
      <c r="B65" s="566" t="s">
        <v>86</v>
      </c>
      <c r="C65" s="566">
        <v>700</v>
      </c>
      <c r="E65" s="566">
        <v>179</v>
      </c>
      <c r="F65" s="566">
        <v>397</v>
      </c>
      <c r="G65" s="566">
        <v>24</v>
      </c>
      <c r="H65" s="566">
        <v>19</v>
      </c>
      <c r="I65" s="566">
        <v>56</v>
      </c>
      <c r="J65" s="566">
        <v>42</v>
      </c>
    </row>
    <row r="66" spans="1:10">
      <c r="A66" s="781">
        <v>44621</v>
      </c>
      <c r="B66" s="566" t="s">
        <v>89</v>
      </c>
      <c r="C66" s="566">
        <v>5847</v>
      </c>
      <c r="D66" s="566">
        <v>10</v>
      </c>
      <c r="E66" s="566">
        <v>1052</v>
      </c>
      <c r="F66" s="566">
        <v>4133</v>
      </c>
      <c r="G66" s="566">
        <v>49</v>
      </c>
      <c r="H66" s="566">
        <v>252</v>
      </c>
      <c r="I66" s="566">
        <v>555</v>
      </c>
      <c r="J66" s="566">
        <v>118</v>
      </c>
    </row>
    <row r="67" spans="1:10">
      <c r="A67" s="781">
        <v>44621</v>
      </c>
      <c r="B67" s="566" t="s">
        <v>88</v>
      </c>
      <c r="C67" s="566">
        <v>2166</v>
      </c>
      <c r="D67" s="566">
        <v>1</v>
      </c>
      <c r="E67" s="566">
        <v>706</v>
      </c>
      <c r="F67" s="566">
        <v>1130</v>
      </c>
      <c r="G67" s="566">
        <v>88</v>
      </c>
      <c r="H67" s="566">
        <v>72</v>
      </c>
      <c r="I67" s="566">
        <v>246</v>
      </c>
      <c r="J67" s="566">
        <v>41</v>
      </c>
    </row>
    <row r="68" spans="1:10">
      <c r="A68" s="781">
        <v>44621</v>
      </c>
      <c r="B68" s="566" t="s">
        <v>87</v>
      </c>
      <c r="C68" s="566">
        <v>3220</v>
      </c>
      <c r="D68" s="566">
        <v>1</v>
      </c>
      <c r="E68" s="566">
        <v>1196</v>
      </c>
      <c r="F68" s="566">
        <v>1937</v>
      </c>
      <c r="G68" s="566">
        <v>41</v>
      </c>
      <c r="H68" s="566">
        <v>46</v>
      </c>
      <c r="I68" s="566">
        <v>210</v>
      </c>
      <c r="J68" s="566">
        <v>46</v>
      </c>
    </row>
    <row r="69" spans="1:10">
      <c r="A69" s="781">
        <v>44621</v>
      </c>
      <c r="B69" s="566" t="s">
        <v>90</v>
      </c>
      <c r="C69" s="566">
        <v>1091</v>
      </c>
      <c r="E69" s="566">
        <v>321</v>
      </c>
      <c r="F69" s="566">
        <v>654</v>
      </c>
      <c r="G69" s="566">
        <v>27</v>
      </c>
      <c r="H69" s="566">
        <v>28</v>
      </c>
      <c r="I69" s="566">
        <v>52</v>
      </c>
      <c r="J69" s="566">
        <v>26</v>
      </c>
    </row>
    <row r="70" spans="1:10">
      <c r="A70" s="781">
        <v>44621</v>
      </c>
      <c r="B70" s="566" t="s">
        <v>91</v>
      </c>
      <c r="C70" s="566">
        <v>1174</v>
      </c>
      <c r="E70" s="566">
        <v>307</v>
      </c>
      <c r="F70" s="566">
        <v>799</v>
      </c>
      <c r="G70" s="566">
        <v>11</v>
      </c>
      <c r="H70" s="566">
        <v>20</v>
      </c>
      <c r="I70" s="566">
        <v>38</v>
      </c>
      <c r="J70" s="566">
        <v>13</v>
      </c>
    </row>
    <row r="71" spans="1:10">
      <c r="A71" s="781">
        <v>44621</v>
      </c>
      <c r="B71" s="566" t="s">
        <v>93</v>
      </c>
      <c r="C71" s="566">
        <v>1969</v>
      </c>
      <c r="D71" s="566">
        <v>1</v>
      </c>
      <c r="E71" s="566">
        <v>340</v>
      </c>
      <c r="F71" s="566">
        <v>1350</v>
      </c>
      <c r="G71" s="566">
        <v>23</v>
      </c>
      <c r="H71" s="566">
        <v>41</v>
      </c>
      <c r="I71" s="566">
        <v>234</v>
      </c>
      <c r="J71" s="566">
        <v>47</v>
      </c>
    </row>
    <row r="72" spans="1:10">
      <c r="A72" s="781">
        <v>44621</v>
      </c>
      <c r="B72" s="566" t="s">
        <v>94</v>
      </c>
      <c r="C72" s="566">
        <v>518</v>
      </c>
      <c r="E72" s="566">
        <v>97</v>
      </c>
      <c r="F72" s="566">
        <v>335</v>
      </c>
      <c r="G72" s="566">
        <v>1</v>
      </c>
      <c r="H72" s="566">
        <v>10</v>
      </c>
      <c r="I72" s="566">
        <v>62</v>
      </c>
      <c r="J72" s="566">
        <v>29</v>
      </c>
    </row>
    <row r="73" spans="1:10">
      <c r="A73" s="781">
        <v>44621</v>
      </c>
      <c r="B73" s="566" t="s">
        <v>92</v>
      </c>
      <c r="C73" s="566">
        <v>7162</v>
      </c>
      <c r="D73" s="566">
        <v>10</v>
      </c>
      <c r="E73" s="566">
        <v>2416</v>
      </c>
      <c r="F73" s="566">
        <v>4140</v>
      </c>
      <c r="G73" s="566">
        <v>92</v>
      </c>
      <c r="H73" s="566">
        <v>214</v>
      </c>
      <c r="I73" s="566">
        <v>366</v>
      </c>
      <c r="J73" s="566">
        <v>343</v>
      </c>
    </row>
    <row r="74" spans="1:10">
      <c r="A74" s="781">
        <v>44621</v>
      </c>
      <c r="B74" s="566" t="s">
        <v>95</v>
      </c>
      <c r="C74" s="566">
        <v>6025</v>
      </c>
      <c r="D74" s="566">
        <v>3</v>
      </c>
      <c r="E74" s="566">
        <v>2276</v>
      </c>
      <c r="F74" s="566">
        <v>3020</v>
      </c>
      <c r="G74" s="566">
        <v>100</v>
      </c>
      <c r="H74" s="566">
        <v>208</v>
      </c>
      <c r="I74" s="566">
        <v>533</v>
      </c>
      <c r="J74" s="566">
        <v>45</v>
      </c>
    </row>
    <row r="75" spans="1:10">
      <c r="A75" s="781">
        <v>44621</v>
      </c>
      <c r="B75" s="566" t="s">
        <v>96</v>
      </c>
      <c r="C75" s="566">
        <v>894</v>
      </c>
      <c r="E75" s="566">
        <v>141</v>
      </c>
      <c r="F75" s="566">
        <v>674</v>
      </c>
      <c r="G75" s="566">
        <v>4</v>
      </c>
      <c r="H75" s="566">
        <v>15</v>
      </c>
      <c r="I75" s="566">
        <v>71</v>
      </c>
      <c r="J75" s="566">
        <v>22</v>
      </c>
    </row>
    <row r="76" spans="1:10">
      <c r="A76" s="781">
        <v>44621</v>
      </c>
      <c r="B76" s="566" t="s">
        <v>98</v>
      </c>
      <c r="C76" s="566">
        <v>820</v>
      </c>
      <c r="D76" s="566">
        <v>2</v>
      </c>
      <c r="E76" s="566">
        <v>208</v>
      </c>
      <c r="F76" s="566">
        <v>512</v>
      </c>
      <c r="G76" s="566">
        <v>14</v>
      </c>
      <c r="H76" s="566">
        <v>28</v>
      </c>
      <c r="I76" s="566">
        <v>102</v>
      </c>
      <c r="J76" s="566">
        <v>15</v>
      </c>
    </row>
    <row r="77" spans="1:10">
      <c r="A77" s="781">
        <v>44621</v>
      </c>
      <c r="B77" s="566" t="s">
        <v>99</v>
      </c>
      <c r="C77" s="566">
        <v>145</v>
      </c>
      <c r="E77" s="566">
        <v>31</v>
      </c>
      <c r="F77" s="566">
        <v>100</v>
      </c>
      <c r="H77" s="566">
        <v>7</v>
      </c>
      <c r="I77" s="566">
        <v>9</v>
      </c>
    </row>
    <row r="78" spans="1:10">
      <c r="A78" s="781">
        <v>44621</v>
      </c>
      <c r="B78" s="566" t="s">
        <v>97</v>
      </c>
      <c r="C78" s="566">
        <v>8797</v>
      </c>
      <c r="D78" s="566">
        <v>1</v>
      </c>
      <c r="E78" s="566">
        <v>3056</v>
      </c>
      <c r="F78" s="566">
        <v>4240</v>
      </c>
      <c r="G78" s="566">
        <v>34</v>
      </c>
      <c r="H78" s="566">
        <v>227</v>
      </c>
      <c r="I78" s="566">
        <v>1659</v>
      </c>
      <c r="J78" s="566">
        <v>218</v>
      </c>
    </row>
    <row r="79" spans="1:10">
      <c r="A79" s="781">
        <v>44621</v>
      </c>
      <c r="B79" s="566" t="s">
        <v>100</v>
      </c>
      <c r="C79" s="566">
        <v>6453</v>
      </c>
      <c r="D79" s="566">
        <v>10</v>
      </c>
      <c r="E79" s="566">
        <v>2195</v>
      </c>
      <c r="F79" s="566">
        <v>3340</v>
      </c>
      <c r="G79" s="566">
        <v>84</v>
      </c>
      <c r="H79" s="566">
        <v>149</v>
      </c>
      <c r="I79" s="566">
        <v>768</v>
      </c>
      <c r="J79" s="566">
        <v>291</v>
      </c>
    </row>
    <row r="80" spans="1:10">
      <c r="A80" s="781">
        <v>44621</v>
      </c>
      <c r="B80" s="566" t="s">
        <v>102</v>
      </c>
      <c r="C80" s="566">
        <v>961</v>
      </c>
      <c r="E80" s="566">
        <v>350</v>
      </c>
      <c r="F80" s="566">
        <v>656</v>
      </c>
      <c r="G80" s="566">
        <v>4</v>
      </c>
      <c r="H80" s="566">
        <v>12</v>
      </c>
      <c r="I80" s="566">
        <v>57</v>
      </c>
      <c r="J80" s="566">
        <v>20</v>
      </c>
    </row>
    <row r="81" spans="1:10">
      <c r="A81" s="781">
        <v>44621</v>
      </c>
      <c r="B81" s="566" t="s">
        <v>101</v>
      </c>
      <c r="C81" s="566">
        <v>32744</v>
      </c>
      <c r="D81" s="566">
        <v>4</v>
      </c>
      <c r="E81" s="566">
        <v>12792</v>
      </c>
      <c r="F81" s="566">
        <v>14468</v>
      </c>
      <c r="G81" s="566">
        <v>421</v>
      </c>
      <c r="H81" s="566">
        <v>1903</v>
      </c>
      <c r="I81" s="566">
        <v>4289</v>
      </c>
      <c r="J81" s="566">
        <v>497</v>
      </c>
    </row>
    <row r="82" spans="1:10">
      <c r="A82" s="781">
        <v>44621</v>
      </c>
      <c r="B82" s="566" t="s">
        <v>103</v>
      </c>
      <c r="C82" s="566">
        <v>501</v>
      </c>
      <c r="E82" s="566">
        <v>111</v>
      </c>
      <c r="F82" s="566">
        <v>344</v>
      </c>
      <c r="G82" s="566">
        <v>2</v>
      </c>
      <c r="H82" s="566">
        <v>11</v>
      </c>
      <c r="I82" s="566">
        <v>41</v>
      </c>
      <c r="J82" s="566">
        <v>2</v>
      </c>
    </row>
    <row r="83" spans="1:10">
      <c r="A83" s="781">
        <v>44652</v>
      </c>
      <c r="B83" s="566" t="s">
        <v>77</v>
      </c>
      <c r="C83" s="566">
        <v>207</v>
      </c>
      <c r="E83" s="566">
        <v>45</v>
      </c>
      <c r="F83" s="566">
        <v>148</v>
      </c>
      <c r="G83" s="566">
        <v>1</v>
      </c>
      <c r="H83" s="566">
        <v>7</v>
      </c>
      <c r="I83" s="566">
        <v>3</v>
      </c>
      <c r="J83" s="566">
        <v>6</v>
      </c>
    </row>
    <row r="84" spans="1:10">
      <c r="A84" s="781">
        <v>44652</v>
      </c>
      <c r="B84" s="566" t="s">
        <v>78</v>
      </c>
      <c r="C84" s="566">
        <v>821</v>
      </c>
      <c r="E84" s="566">
        <v>164</v>
      </c>
      <c r="F84" s="566">
        <v>540</v>
      </c>
      <c r="G84" s="566">
        <v>6</v>
      </c>
      <c r="H84" s="566">
        <v>50</v>
      </c>
      <c r="I84" s="566">
        <v>43</v>
      </c>
      <c r="J84" s="566">
        <v>40</v>
      </c>
    </row>
    <row r="85" spans="1:10">
      <c r="A85" s="781">
        <v>44652</v>
      </c>
      <c r="B85" s="566" t="s">
        <v>80</v>
      </c>
      <c r="C85" s="566">
        <v>641</v>
      </c>
      <c r="E85" s="566">
        <v>141</v>
      </c>
      <c r="F85" s="566">
        <v>452</v>
      </c>
      <c r="G85" s="566">
        <v>9</v>
      </c>
      <c r="H85" s="566">
        <v>14</v>
      </c>
      <c r="I85" s="566">
        <v>33</v>
      </c>
      <c r="J85" s="566">
        <v>10</v>
      </c>
    </row>
    <row r="86" spans="1:10">
      <c r="A86" s="781">
        <v>44652</v>
      </c>
      <c r="B86" s="566" t="s">
        <v>79</v>
      </c>
      <c r="C86" s="566">
        <v>275</v>
      </c>
      <c r="E86" s="566">
        <v>77</v>
      </c>
      <c r="F86" s="566">
        <v>149</v>
      </c>
      <c r="G86" s="566">
        <v>3</v>
      </c>
      <c r="H86" s="566">
        <v>31</v>
      </c>
      <c r="I86" s="566">
        <v>15</v>
      </c>
      <c r="J86" s="566">
        <v>5</v>
      </c>
    </row>
    <row r="87" spans="1:10">
      <c r="A87" s="781">
        <v>44652</v>
      </c>
      <c r="B87" s="566" t="s">
        <v>81</v>
      </c>
      <c r="C87" s="566">
        <v>2024</v>
      </c>
      <c r="E87" s="566">
        <v>501</v>
      </c>
      <c r="F87" s="566">
        <v>1332</v>
      </c>
      <c r="G87" s="566">
        <v>25</v>
      </c>
      <c r="H87" s="566">
        <v>60</v>
      </c>
      <c r="I87" s="566">
        <v>121</v>
      </c>
      <c r="J87" s="566">
        <v>30</v>
      </c>
    </row>
    <row r="88" spans="1:10">
      <c r="A88" s="781">
        <v>44652</v>
      </c>
      <c r="B88" s="566" t="s">
        <v>82</v>
      </c>
      <c r="C88" s="566">
        <v>1155</v>
      </c>
      <c r="D88" s="566">
        <v>2</v>
      </c>
      <c r="E88" s="566">
        <v>234</v>
      </c>
      <c r="F88" s="566">
        <v>744</v>
      </c>
      <c r="G88" s="566">
        <v>7</v>
      </c>
      <c r="H88" s="566">
        <v>39</v>
      </c>
      <c r="I88" s="566">
        <v>67</v>
      </c>
      <c r="J88" s="566">
        <v>96</v>
      </c>
    </row>
    <row r="89" spans="1:10">
      <c r="A89" s="781">
        <v>44652</v>
      </c>
      <c r="B89" s="566" t="s">
        <v>83</v>
      </c>
      <c r="C89" s="566">
        <v>1422</v>
      </c>
      <c r="D89" s="566">
        <v>1</v>
      </c>
      <c r="E89" s="566">
        <v>472</v>
      </c>
      <c r="F89" s="566">
        <v>810</v>
      </c>
      <c r="G89" s="566">
        <v>1</v>
      </c>
      <c r="H89" s="566">
        <v>38</v>
      </c>
      <c r="I89" s="566">
        <v>131</v>
      </c>
      <c r="J89" s="566">
        <v>14</v>
      </c>
    </row>
    <row r="90" spans="1:10">
      <c r="A90" s="781">
        <v>44652</v>
      </c>
      <c r="B90" s="566" t="s">
        <v>84</v>
      </c>
      <c r="C90" s="566">
        <v>1311</v>
      </c>
      <c r="E90" s="566">
        <v>385</v>
      </c>
      <c r="F90" s="566">
        <v>744</v>
      </c>
      <c r="G90" s="566">
        <v>3</v>
      </c>
      <c r="H90" s="566">
        <v>35</v>
      </c>
      <c r="I90" s="566">
        <v>133</v>
      </c>
      <c r="J90" s="566">
        <v>48</v>
      </c>
    </row>
    <row r="91" spans="1:10">
      <c r="A91" s="781">
        <v>44652</v>
      </c>
      <c r="B91" s="566" t="s">
        <v>85</v>
      </c>
      <c r="C91" s="566">
        <v>2626</v>
      </c>
      <c r="D91" s="566">
        <v>3</v>
      </c>
      <c r="E91" s="566">
        <v>677</v>
      </c>
      <c r="F91" s="566">
        <v>1834</v>
      </c>
      <c r="G91" s="566">
        <v>3</v>
      </c>
      <c r="H91" s="566">
        <v>29</v>
      </c>
      <c r="I91" s="566">
        <v>107</v>
      </c>
      <c r="J91" s="566">
        <v>29</v>
      </c>
    </row>
    <row r="92" spans="1:10">
      <c r="A92" s="781">
        <v>44652</v>
      </c>
      <c r="B92" s="566" t="s">
        <v>86</v>
      </c>
      <c r="C92" s="566">
        <v>611</v>
      </c>
      <c r="E92" s="566">
        <v>142</v>
      </c>
      <c r="F92" s="566">
        <v>387</v>
      </c>
      <c r="G92" s="566">
        <v>12</v>
      </c>
      <c r="H92" s="566">
        <v>14</v>
      </c>
      <c r="I92" s="566">
        <v>52</v>
      </c>
      <c r="J92" s="566">
        <v>26</v>
      </c>
    </row>
    <row r="93" spans="1:10">
      <c r="A93" s="781">
        <v>44652</v>
      </c>
      <c r="B93" s="566" t="s">
        <v>89</v>
      </c>
      <c r="C93" s="566">
        <v>4913</v>
      </c>
      <c r="D93" s="566">
        <v>13</v>
      </c>
      <c r="E93" s="566">
        <v>830</v>
      </c>
      <c r="F93" s="566">
        <v>3478</v>
      </c>
      <c r="G93" s="566">
        <v>17</v>
      </c>
      <c r="H93" s="566">
        <v>158</v>
      </c>
      <c r="I93" s="566">
        <v>508</v>
      </c>
      <c r="J93" s="566">
        <v>180</v>
      </c>
    </row>
    <row r="94" spans="1:10">
      <c r="A94" s="781">
        <v>44652</v>
      </c>
      <c r="B94" s="566" t="s">
        <v>88</v>
      </c>
      <c r="C94" s="566">
        <v>1592</v>
      </c>
      <c r="E94" s="566">
        <v>523</v>
      </c>
      <c r="F94" s="566">
        <v>855</v>
      </c>
      <c r="G94" s="566">
        <v>14</v>
      </c>
      <c r="H94" s="566">
        <v>59</v>
      </c>
      <c r="I94" s="566">
        <v>190</v>
      </c>
      <c r="J94" s="566">
        <v>54</v>
      </c>
    </row>
    <row r="95" spans="1:10">
      <c r="A95" s="781">
        <v>44652</v>
      </c>
      <c r="B95" s="566" t="s">
        <v>87</v>
      </c>
      <c r="C95" s="566">
        <v>2686</v>
      </c>
      <c r="E95" s="566">
        <v>1017</v>
      </c>
      <c r="F95" s="566">
        <v>1656</v>
      </c>
      <c r="G95" s="566">
        <v>22</v>
      </c>
      <c r="H95" s="566">
        <v>50</v>
      </c>
      <c r="I95" s="566">
        <v>187</v>
      </c>
      <c r="J95" s="566">
        <v>30</v>
      </c>
    </row>
    <row r="96" spans="1:10">
      <c r="A96" s="781">
        <v>44652</v>
      </c>
      <c r="B96" s="566" t="s">
        <v>90</v>
      </c>
      <c r="C96" s="566">
        <v>1011</v>
      </c>
      <c r="E96" s="566">
        <v>254</v>
      </c>
      <c r="F96" s="566">
        <v>636</v>
      </c>
      <c r="G96" s="566">
        <v>10</v>
      </c>
      <c r="H96" s="566">
        <v>49</v>
      </c>
      <c r="I96" s="566">
        <v>60</v>
      </c>
      <c r="J96" s="566">
        <v>26</v>
      </c>
    </row>
    <row r="97" spans="1:10">
      <c r="A97" s="781">
        <v>44652</v>
      </c>
      <c r="B97" s="566" t="s">
        <v>91</v>
      </c>
      <c r="C97" s="566">
        <v>898</v>
      </c>
      <c r="E97" s="566">
        <v>206</v>
      </c>
      <c r="F97" s="566">
        <v>619</v>
      </c>
      <c r="G97" s="566">
        <v>11</v>
      </c>
      <c r="H97" s="566">
        <v>16</v>
      </c>
      <c r="I97" s="566">
        <v>50</v>
      </c>
      <c r="J97" s="566">
        <v>17</v>
      </c>
    </row>
    <row r="98" spans="1:10">
      <c r="A98" s="781">
        <v>44652</v>
      </c>
      <c r="B98" s="566" t="s">
        <v>93</v>
      </c>
      <c r="C98" s="566">
        <v>1667</v>
      </c>
      <c r="D98" s="566">
        <v>2</v>
      </c>
      <c r="E98" s="566">
        <v>335</v>
      </c>
      <c r="F98" s="566">
        <v>1132</v>
      </c>
      <c r="G98" s="566">
        <v>9</v>
      </c>
      <c r="H98" s="566">
        <v>30</v>
      </c>
      <c r="I98" s="566">
        <v>178</v>
      </c>
      <c r="J98" s="566">
        <v>27</v>
      </c>
    </row>
    <row r="99" spans="1:10">
      <c r="A99" s="781">
        <v>44652</v>
      </c>
      <c r="B99" s="566" t="s">
        <v>94</v>
      </c>
      <c r="C99" s="566">
        <v>478</v>
      </c>
      <c r="E99" s="566">
        <v>99</v>
      </c>
      <c r="F99" s="566">
        <v>281</v>
      </c>
      <c r="G99" s="566">
        <v>2</v>
      </c>
      <c r="H99" s="566">
        <v>11</v>
      </c>
      <c r="I99" s="566">
        <v>61</v>
      </c>
      <c r="J99" s="566">
        <v>44</v>
      </c>
    </row>
    <row r="100" spans="1:10">
      <c r="A100" s="781">
        <v>44652</v>
      </c>
      <c r="B100" s="566" t="s">
        <v>92</v>
      </c>
      <c r="C100" s="566">
        <v>6003</v>
      </c>
      <c r="D100" s="566">
        <v>3</v>
      </c>
      <c r="E100" s="566">
        <v>2035</v>
      </c>
      <c r="F100" s="566">
        <v>3414</v>
      </c>
      <c r="G100" s="566">
        <v>63</v>
      </c>
      <c r="H100" s="566">
        <v>172</v>
      </c>
      <c r="I100" s="566">
        <v>339</v>
      </c>
      <c r="J100" s="566">
        <v>360</v>
      </c>
    </row>
    <row r="101" spans="1:10">
      <c r="A101" s="781">
        <v>44652</v>
      </c>
      <c r="B101" s="566" t="s">
        <v>95</v>
      </c>
      <c r="C101" s="566">
        <v>5065</v>
      </c>
      <c r="D101" s="566">
        <v>4</v>
      </c>
      <c r="E101" s="566">
        <v>1859</v>
      </c>
      <c r="F101" s="566">
        <v>2586</v>
      </c>
      <c r="G101" s="566">
        <v>69</v>
      </c>
      <c r="H101" s="566">
        <v>171</v>
      </c>
      <c r="I101" s="566">
        <v>454</v>
      </c>
      <c r="J101" s="566">
        <v>34</v>
      </c>
    </row>
    <row r="102" spans="1:10">
      <c r="A102" s="781">
        <v>44652</v>
      </c>
      <c r="B102" s="566" t="s">
        <v>96</v>
      </c>
      <c r="C102" s="566">
        <v>791</v>
      </c>
      <c r="E102" s="566">
        <v>163</v>
      </c>
      <c r="F102" s="566">
        <v>558</v>
      </c>
      <c r="G102" s="566">
        <v>4</v>
      </c>
      <c r="H102" s="566">
        <v>19</v>
      </c>
      <c r="I102" s="566">
        <v>58</v>
      </c>
      <c r="J102" s="566">
        <v>25</v>
      </c>
    </row>
    <row r="103" spans="1:10">
      <c r="A103" s="781">
        <v>44652</v>
      </c>
      <c r="B103" s="566" t="s">
        <v>98</v>
      </c>
      <c r="C103" s="566">
        <v>816</v>
      </c>
      <c r="E103" s="566">
        <v>238</v>
      </c>
      <c r="F103" s="566">
        <v>504</v>
      </c>
      <c r="H103" s="566">
        <v>17</v>
      </c>
      <c r="I103" s="566">
        <v>110</v>
      </c>
      <c r="J103" s="566">
        <v>18</v>
      </c>
    </row>
    <row r="104" spans="1:10">
      <c r="A104" s="781">
        <v>44652</v>
      </c>
      <c r="B104" s="566" t="s">
        <v>99</v>
      </c>
      <c r="C104" s="566">
        <v>145</v>
      </c>
      <c r="E104" s="566">
        <v>33</v>
      </c>
      <c r="F104" s="566">
        <v>106</v>
      </c>
      <c r="G104" s="566">
        <v>1</v>
      </c>
      <c r="H104" s="566">
        <v>4</v>
      </c>
      <c r="I104" s="566">
        <v>7</v>
      </c>
      <c r="J104" s="566">
        <v>3</v>
      </c>
    </row>
    <row r="105" spans="1:10">
      <c r="A105" s="781">
        <v>44652</v>
      </c>
      <c r="B105" s="566" t="s">
        <v>97</v>
      </c>
      <c r="C105" s="566">
        <v>7546</v>
      </c>
      <c r="D105" s="566">
        <v>2</v>
      </c>
      <c r="E105" s="566">
        <v>2646</v>
      </c>
      <c r="F105" s="566">
        <v>3583</v>
      </c>
      <c r="G105" s="566">
        <v>47</v>
      </c>
      <c r="H105" s="566">
        <v>147</v>
      </c>
      <c r="I105" s="566">
        <v>1428</v>
      </c>
      <c r="J105" s="566">
        <v>193</v>
      </c>
    </row>
    <row r="106" spans="1:10">
      <c r="A106" s="781">
        <v>44652</v>
      </c>
      <c r="B106" s="566" t="s">
        <v>100</v>
      </c>
      <c r="C106" s="566">
        <v>4932</v>
      </c>
      <c r="D106" s="566">
        <v>8</v>
      </c>
      <c r="E106" s="566">
        <v>1640</v>
      </c>
      <c r="F106" s="566">
        <v>2513</v>
      </c>
      <c r="G106" s="566">
        <v>34</v>
      </c>
      <c r="H106" s="566">
        <v>135</v>
      </c>
      <c r="I106" s="566">
        <v>628</v>
      </c>
      <c r="J106" s="566">
        <v>276</v>
      </c>
    </row>
    <row r="107" spans="1:10">
      <c r="A107" s="781">
        <v>44652</v>
      </c>
      <c r="B107" s="566" t="s">
        <v>102</v>
      </c>
      <c r="C107" s="566">
        <v>732</v>
      </c>
      <c r="E107" s="566">
        <v>261</v>
      </c>
      <c r="F107" s="566">
        <v>531</v>
      </c>
      <c r="G107" s="566">
        <v>2</v>
      </c>
      <c r="H107" s="566">
        <v>24</v>
      </c>
      <c r="I107" s="566">
        <v>45</v>
      </c>
      <c r="J107" s="566">
        <v>18</v>
      </c>
    </row>
    <row r="108" spans="1:10">
      <c r="A108" s="781">
        <v>44652</v>
      </c>
      <c r="B108" s="566" t="s">
        <v>101</v>
      </c>
      <c r="C108" s="566">
        <v>27573</v>
      </c>
      <c r="D108" s="566">
        <v>10</v>
      </c>
      <c r="E108" s="566">
        <v>10999</v>
      </c>
      <c r="F108" s="566">
        <v>12314</v>
      </c>
      <c r="G108" s="566">
        <v>313</v>
      </c>
      <c r="H108" s="566">
        <v>1516</v>
      </c>
      <c r="I108" s="566">
        <v>3530</v>
      </c>
      <c r="J108" s="566">
        <v>401</v>
      </c>
    </row>
    <row r="109" spans="1:10">
      <c r="A109" s="781">
        <v>44652</v>
      </c>
      <c r="B109" s="566" t="s">
        <v>103</v>
      </c>
      <c r="C109" s="566">
        <v>458</v>
      </c>
      <c r="E109" s="566">
        <v>133</v>
      </c>
      <c r="F109" s="566">
        <v>284</v>
      </c>
      <c r="G109" s="566">
        <v>1</v>
      </c>
      <c r="H109" s="566">
        <v>14</v>
      </c>
      <c r="I109" s="566">
        <v>43</v>
      </c>
      <c r="J109" s="566">
        <v>2</v>
      </c>
    </row>
    <row r="110" spans="1:10">
      <c r="A110" s="781">
        <v>44682</v>
      </c>
      <c r="B110" s="780" t="s">
        <v>77</v>
      </c>
      <c r="C110" s="780">
        <v>249</v>
      </c>
      <c r="D110" s="780"/>
      <c r="E110" s="780">
        <v>79</v>
      </c>
      <c r="F110" s="780">
        <v>153</v>
      </c>
      <c r="G110" s="780">
        <v>2</v>
      </c>
      <c r="H110" s="780">
        <v>10</v>
      </c>
      <c r="I110" s="780">
        <v>4</v>
      </c>
      <c r="J110" s="780">
        <v>5</v>
      </c>
    </row>
    <row r="111" spans="1:10">
      <c r="A111" s="781">
        <v>44682</v>
      </c>
      <c r="B111" s="780" t="s">
        <v>78</v>
      </c>
      <c r="C111" s="780">
        <v>756</v>
      </c>
      <c r="D111" s="780"/>
      <c r="E111" s="780">
        <v>173</v>
      </c>
      <c r="F111" s="780">
        <v>527</v>
      </c>
      <c r="G111" s="780">
        <v>5</v>
      </c>
      <c r="H111" s="780">
        <v>17</v>
      </c>
      <c r="I111" s="780">
        <v>34</v>
      </c>
      <c r="J111" s="780">
        <v>28</v>
      </c>
    </row>
    <row r="112" spans="1:10">
      <c r="A112" s="781">
        <v>44682</v>
      </c>
      <c r="B112" s="780" t="s">
        <v>80</v>
      </c>
      <c r="C112" s="780">
        <v>735</v>
      </c>
      <c r="D112" s="780"/>
      <c r="E112" s="780">
        <v>189</v>
      </c>
      <c r="F112" s="780">
        <v>503</v>
      </c>
      <c r="G112" s="780">
        <v>2</v>
      </c>
      <c r="H112" s="780">
        <v>20</v>
      </c>
      <c r="I112" s="780">
        <v>43</v>
      </c>
      <c r="J112" s="780">
        <v>8</v>
      </c>
    </row>
    <row r="113" spans="1:10">
      <c r="A113" s="781">
        <v>44682</v>
      </c>
      <c r="B113" s="780" t="s">
        <v>79</v>
      </c>
      <c r="C113" s="780">
        <v>387</v>
      </c>
      <c r="D113" s="780"/>
      <c r="E113" s="780">
        <v>126</v>
      </c>
      <c r="F113" s="780">
        <v>195</v>
      </c>
      <c r="G113" s="780">
        <v>10</v>
      </c>
      <c r="H113" s="780">
        <v>34</v>
      </c>
      <c r="I113" s="780">
        <v>9</v>
      </c>
      <c r="J113" s="780">
        <v>17</v>
      </c>
    </row>
    <row r="114" spans="1:10">
      <c r="A114" s="781">
        <v>44682</v>
      </c>
      <c r="B114" s="780" t="s">
        <v>81</v>
      </c>
      <c r="C114" s="780">
        <v>2701</v>
      </c>
      <c r="D114" s="780">
        <v>1</v>
      </c>
      <c r="E114" s="780">
        <v>722</v>
      </c>
      <c r="F114" s="780">
        <v>1751</v>
      </c>
      <c r="G114" s="780">
        <v>27</v>
      </c>
      <c r="H114" s="780">
        <v>73</v>
      </c>
      <c r="I114" s="780">
        <v>154</v>
      </c>
      <c r="J114" s="780">
        <v>40</v>
      </c>
    </row>
    <row r="115" spans="1:10">
      <c r="A115" s="781">
        <v>44682</v>
      </c>
      <c r="B115" s="780" t="s">
        <v>82</v>
      </c>
      <c r="C115" s="780">
        <v>1562</v>
      </c>
      <c r="D115" s="780"/>
      <c r="E115" s="780">
        <v>346</v>
      </c>
      <c r="F115" s="780">
        <v>1021</v>
      </c>
      <c r="G115" s="780">
        <v>11</v>
      </c>
      <c r="H115" s="780">
        <v>54</v>
      </c>
      <c r="I115" s="780">
        <v>68</v>
      </c>
      <c r="J115" s="780">
        <v>108</v>
      </c>
    </row>
    <row r="116" spans="1:10">
      <c r="A116" s="781">
        <v>44682</v>
      </c>
      <c r="B116" s="780" t="s">
        <v>83</v>
      </c>
      <c r="C116" s="780">
        <v>1792</v>
      </c>
      <c r="D116" s="780"/>
      <c r="E116" s="780">
        <v>609</v>
      </c>
      <c r="F116" s="780">
        <v>1006</v>
      </c>
      <c r="G116" s="780">
        <v>3</v>
      </c>
      <c r="H116" s="780">
        <v>64</v>
      </c>
      <c r="I116" s="780">
        <v>175</v>
      </c>
      <c r="J116" s="780">
        <v>21</v>
      </c>
    </row>
    <row r="117" spans="1:10">
      <c r="A117" s="781">
        <v>44682</v>
      </c>
      <c r="B117" s="780" t="s">
        <v>84</v>
      </c>
      <c r="C117" s="780">
        <v>1609</v>
      </c>
      <c r="D117" s="780">
        <v>2</v>
      </c>
      <c r="E117" s="780">
        <v>480</v>
      </c>
      <c r="F117" s="780">
        <v>873</v>
      </c>
      <c r="G117" s="780">
        <v>11</v>
      </c>
      <c r="H117" s="780">
        <v>30</v>
      </c>
      <c r="I117" s="780">
        <v>194</v>
      </c>
      <c r="J117" s="780">
        <v>56</v>
      </c>
    </row>
    <row r="118" spans="1:10">
      <c r="A118" s="781">
        <v>44682</v>
      </c>
      <c r="B118" s="780" t="s">
        <v>85</v>
      </c>
      <c r="C118" s="780">
        <v>3151</v>
      </c>
      <c r="D118" s="780"/>
      <c r="E118" s="780">
        <v>927</v>
      </c>
      <c r="F118" s="780">
        <v>2082</v>
      </c>
      <c r="G118" s="780">
        <v>9</v>
      </c>
      <c r="H118" s="780">
        <v>46</v>
      </c>
      <c r="I118" s="780">
        <v>125</v>
      </c>
      <c r="J118" s="780">
        <v>27</v>
      </c>
    </row>
    <row r="119" spans="1:10">
      <c r="A119" s="781">
        <v>44682</v>
      </c>
      <c r="B119" s="780" t="s">
        <v>86</v>
      </c>
      <c r="C119" s="780">
        <v>686</v>
      </c>
      <c r="D119" s="780">
        <v>1</v>
      </c>
      <c r="E119" s="780">
        <v>168</v>
      </c>
      <c r="F119" s="780">
        <v>406</v>
      </c>
      <c r="G119" s="780">
        <v>11</v>
      </c>
      <c r="H119" s="780">
        <v>11</v>
      </c>
      <c r="I119" s="780">
        <v>66</v>
      </c>
      <c r="J119" s="780">
        <v>44</v>
      </c>
    </row>
    <row r="120" spans="1:10">
      <c r="A120" s="781">
        <v>44682</v>
      </c>
      <c r="B120" s="780" t="s">
        <v>89</v>
      </c>
      <c r="C120" s="780">
        <v>5854</v>
      </c>
      <c r="D120" s="780">
        <v>23</v>
      </c>
      <c r="E120" s="780">
        <v>1023</v>
      </c>
      <c r="F120" s="780">
        <v>4214</v>
      </c>
      <c r="G120" s="780">
        <v>23</v>
      </c>
      <c r="H120" s="780">
        <v>143</v>
      </c>
      <c r="I120" s="780">
        <v>570</v>
      </c>
      <c r="J120" s="780">
        <v>143</v>
      </c>
    </row>
    <row r="121" spans="1:10">
      <c r="A121" s="781">
        <v>44682</v>
      </c>
      <c r="B121" s="780" t="s">
        <v>88</v>
      </c>
      <c r="C121" s="780">
        <v>2025</v>
      </c>
      <c r="D121" s="780"/>
      <c r="E121" s="780">
        <v>648</v>
      </c>
      <c r="F121" s="780">
        <v>1125</v>
      </c>
      <c r="G121" s="780">
        <v>20</v>
      </c>
      <c r="H121" s="780">
        <v>67</v>
      </c>
      <c r="I121" s="780">
        <v>226</v>
      </c>
      <c r="J121" s="780">
        <v>52</v>
      </c>
    </row>
    <row r="122" spans="1:10">
      <c r="A122" s="781">
        <v>44682</v>
      </c>
      <c r="B122" s="780" t="s">
        <v>87</v>
      </c>
      <c r="C122" s="780">
        <v>3258</v>
      </c>
      <c r="D122" s="780">
        <v>1</v>
      </c>
      <c r="E122" s="780">
        <v>1201</v>
      </c>
      <c r="F122" s="780">
        <v>2012</v>
      </c>
      <c r="G122" s="780">
        <v>55</v>
      </c>
      <c r="H122" s="780">
        <v>56</v>
      </c>
      <c r="I122" s="780">
        <v>221</v>
      </c>
      <c r="J122" s="780">
        <v>43</v>
      </c>
    </row>
    <row r="123" spans="1:10">
      <c r="A123" s="781">
        <v>44682</v>
      </c>
      <c r="B123" s="780" t="s">
        <v>90</v>
      </c>
      <c r="C123" s="780">
        <v>1157</v>
      </c>
      <c r="D123" s="780">
        <v>1</v>
      </c>
      <c r="E123" s="780">
        <v>283</v>
      </c>
      <c r="F123" s="780">
        <v>734</v>
      </c>
      <c r="G123" s="780">
        <v>29</v>
      </c>
      <c r="H123" s="780">
        <v>48</v>
      </c>
      <c r="I123" s="780">
        <v>64</v>
      </c>
      <c r="J123" s="780">
        <v>20</v>
      </c>
    </row>
    <row r="124" spans="1:10">
      <c r="A124" s="781">
        <v>44682</v>
      </c>
      <c r="B124" s="780" t="s">
        <v>91</v>
      </c>
      <c r="C124" s="780">
        <v>1125</v>
      </c>
      <c r="D124" s="780"/>
      <c r="E124" s="780">
        <v>254</v>
      </c>
      <c r="F124" s="780">
        <v>816</v>
      </c>
      <c r="G124" s="780">
        <v>10</v>
      </c>
      <c r="H124" s="780">
        <v>21</v>
      </c>
      <c r="I124" s="780">
        <v>47</v>
      </c>
      <c r="J124" s="780">
        <v>6</v>
      </c>
    </row>
    <row r="125" spans="1:10">
      <c r="A125" s="781">
        <v>44682</v>
      </c>
      <c r="B125" s="780" t="s">
        <v>93</v>
      </c>
      <c r="C125" s="780">
        <v>1919</v>
      </c>
      <c r="D125" s="780">
        <v>2</v>
      </c>
      <c r="E125" s="780">
        <v>421</v>
      </c>
      <c r="F125" s="780">
        <v>1268</v>
      </c>
      <c r="G125" s="780">
        <v>17</v>
      </c>
      <c r="H125" s="780">
        <v>38</v>
      </c>
      <c r="I125" s="780">
        <v>209</v>
      </c>
      <c r="J125" s="780">
        <v>35</v>
      </c>
    </row>
    <row r="126" spans="1:10">
      <c r="A126" s="781">
        <v>44682</v>
      </c>
      <c r="B126" s="780" t="s">
        <v>94</v>
      </c>
      <c r="C126" s="780">
        <v>523</v>
      </c>
      <c r="D126" s="780">
        <v>3</v>
      </c>
      <c r="E126" s="780">
        <v>130</v>
      </c>
      <c r="F126" s="780">
        <v>302</v>
      </c>
      <c r="G126" s="780">
        <v>2</v>
      </c>
      <c r="H126" s="780">
        <v>13</v>
      </c>
      <c r="I126" s="780">
        <v>53</v>
      </c>
      <c r="J126" s="780">
        <v>39</v>
      </c>
    </row>
    <row r="127" spans="1:10">
      <c r="A127" s="781">
        <v>44682</v>
      </c>
      <c r="B127" s="780" t="s">
        <v>92</v>
      </c>
      <c r="C127" s="780">
        <v>6587</v>
      </c>
      <c r="D127" s="780">
        <v>2</v>
      </c>
      <c r="E127" s="780">
        <v>2210</v>
      </c>
      <c r="F127" s="780">
        <v>3794</v>
      </c>
      <c r="G127" s="780">
        <v>69</v>
      </c>
      <c r="H127" s="780">
        <v>199</v>
      </c>
      <c r="I127" s="780">
        <v>402</v>
      </c>
      <c r="J127" s="780">
        <v>334</v>
      </c>
    </row>
    <row r="128" spans="1:10">
      <c r="A128" s="781">
        <v>44682</v>
      </c>
      <c r="B128" s="780" t="s">
        <v>95</v>
      </c>
      <c r="C128" s="780">
        <v>6372</v>
      </c>
      <c r="D128" s="780">
        <v>2</v>
      </c>
      <c r="E128" s="780">
        <v>2367</v>
      </c>
      <c r="F128" s="780">
        <v>3199</v>
      </c>
      <c r="G128" s="780">
        <v>82</v>
      </c>
      <c r="H128" s="780">
        <v>242</v>
      </c>
      <c r="I128" s="780">
        <v>591</v>
      </c>
      <c r="J128" s="780">
        <v>55</v>
      </c>
    </row>
    <row r="129" spans="1:10">
      <c r="A129" s="781">
        <v>44682</v>
      </c>
      <c r="B129" s="780" t="s">
        <v>96</v>
      </c>
      <c r="C129" s="780">
        <v>921</v>
      </c>
      <c r="D129" s="780"/>
      <c r="E129" s="780">
        <v>177</v>
      </c>
      <c r="F129" s="780">
        <v>661</v>
      </c>
      <c r="G129" s="780">
        <v>2</v>
      </c>
      <c r="H129" s="780">
        <v>16</v>
      </c>
      <c r="I129" s="780">
        <v>63</v>
      </c>
      <c r="J129" s="780">
        <v>39</v>
      </c>
    </row>
    <row r="130" spans="1:10">
      <c r="A130" s="781">
        <v>44682</v>
      </c>
      <c r="B130" s="780" t="s">
        <v>98</v>
      </c>
      <c r="C130" s="780">
        <v>981</v>
      </c>
      <c r="D130" s="780">
        <v>1</v>
      </c>
      <c r="E130" s="780">
        <v>309</v>
      </c>
      <c r="F130" s="780">
        <v>626</v>
      </c>
      <c r="G130" s="780">
        <v>2</v>
      </c>
      <c r="H130" s="780">
        <v>20</v>
      </c>
      <c r="I130" s="780">
        <v>119</v>
      </c>
      <c r="J130" s="780">
        <v>4</v>
      </c>
    </row>
    <row r="131" spans="1:10">
      <c r="A131" s="781">
        <v>44682</v>
      </c>
      <c r="B131" s="780" t="s">
        <v>99</v>
      </c>
      <c r="C131" s="780">
        <v>191</v>
      </c>
      <c r="D131" s="780">
        <v>2</v>
      </c>
      <c r="E131" s="780">
        <v>40</v>
      </c>
      <c r="F131" s="780">
        <v>120</v>
      </c>
      <c r="G131" s="780">
        <v>22</v>
      </c>
      <c r="H131" s="780">
        <v>5</v>
      </c>
      <c r="I131" s="780">
        <v>16</v>
      </c>
      <c r="J131" s="780">
        <v>1</v>
      </c>
    </row>
    <row r="132" spans="1:10">
      <c r="A132" s="781">
        <v>44682</v>
      </c>
      <c r="B132" s="780" t="s">
        <v>97</v>
      </c>
      <c r="C132" s="780">
        <v>8694</v>
      </c>
      <c r="D132" s="780"/>
      <c r="E132" s="780">
        <v>3049</v>
      </c>
      <c r="F132" s="780">
        <v>4203</v>
      </c>
      <c r="G132" s="780">
        <v>26</v>
      </c>
      <c r="H132" s="780">
        <v>211</v>
      </c>
      <c r="I132" s="780">
        <v>1632</v>
      </c>
      <c r="J132" s="780">
        <v>209</v>
      </c>
    </row>
    <row r="133" spans="1:10">
      <c r="A133" s="781">
        <v>44682</v>
      </c>
      <c r="B133" s="780" t="s">
        <v>100</v>
      </c>
      <c r="C133" s="780">
        <v>5758</v>
      </c>
      <c r="D133" s="780">
        <v>5</v>
      </c>
      <c r="E133" s="780">
        <v>1938</v>
      </c>
      <c r="F133" s="780">
        <v>2998</v>
      </c>
      <c r="G133" s="780">
        <v>63</v>
      </c>
      <c r="H133" s="780">
        <v>141</v>
      </c>
      <c r="I133" s="780">
        <v>683</v>
      </c>
      <c r="J133" s="780">
        <v>286</v>
      </c>
    </row>
    <row r="134" spans="1:10">
      <c r="A134" s="781">
        <v>44682</v>
      </c>
      <c r="B134" s="780" t="s">
        <v>102</v>
      </c>
      <c r="C134" s="780">
        <v>797</v>
      </c>
      <c r="D134" s="780"/>
      <c r="E134" s="780">
        <v>263</v>
      </c>
      <c r="F134" s="780">
        <v>610</v>
      </c>
      <c r="G134" s="780">
        <v>7</v>
      </c>
      <c r="H134" s="780">
        <v>6</v>
      </c>
      <c r="I134" s="780">
        <v>64</v>
      </c>
      <c r="J134" s="780">
        <v>12</v>
      </c>
    </row>
    <row r="135" spans="1:10">
      <c r="A135" s="781">
        <v>44682</v>
      </c>
      <c r="B135" s="780" t="s">
        <v>101</v>
      </c>
      <c r="C135" s="780">
        <v>32927</v>
      </c>
      <c r="D135" s="780">
        <v>5</v>
      </c>
      <c r="E135" s="780">
        <v>13193</v>
      </c>
      <c r="F135" s="780">
        <v>14669</v>
      </c>
      <c r="G135" s="780">
        <v>393</v>
      </c>
      <c r="H135" s="780">
        <v>1888</v>
      </c>
      <c r="I135" s="780">
        <v>4074</v>
      </c>
      <c r="J135" s="780">
        <v>442</v>
      </c>
    </row>
    <row r="136" spans="1:10">
      <c r="A136" s="781">
        <v>44682</v>
      </c>
      <c r="B136" s="780" t="s">
        <v>103</v>
      </c>
      <c r="C136" s="780">
        <v>588</v>
      </c>
      <c r="D136" s="780"/>
      <c r="E136" s="780">
        <v>159</v>
      </c>
      <c r="F136" s="780">
        <v>389</v>
      </c>
      <c r="G136" s="780"/>
      <c r="H136" s="780">
        <v>22</v>
      </c>
      <c r="I136" s="780">
        <v>34</v>
      </c>
      <c r="J136" s="780">
        <v>1</v>
      </c>
    </row>
    <row r="137" spans="1:10">
      <c r="A137" s="781">
        <v>44713</v>
      </c>
      <c r="B137" s="790" t="s">
        <v>77</v>
      </c>
      <c r="C137" s="790">
        <v>328</v>
      </c>
      <c r="D137" s="790"/>
      <c r="E137" s="790">
        <v>99</v>
      </c>
      <c r="F137" s="790">
        <v>208</v>
      </c>
      <c r="G137" s="790"/>
      <c r="H137" s="790">
        <v>14</v>
      </c>
      <c r="I137" s="790">
        <v>9</v>
      </c>
      <c r="J137" s="790">
        <v>8</v>
      </c>
    </row>
    <row r="138" spans="1:10">
      <c r="A138" s="781">
        <v>44713</v>
      </c>
      <c r="B138" s="790" t="s">
        <v>78</v>
      </c>
      <c r="C138" s="790">
        <v>626</v>
      </c>
      <c r="D138" s="790"/>
      <c r="E138" s="790">
        <v>121</v>
      </c>
      <c r="F138" s="790">
        <v>465</v>
      </c>
      <c r="G138" s="790">
        <v>7</v>
      </c>
      <c r="H138" s="790">
        <v>14</v>
      </c>
      <c r="I138" s="790">
        <v>33</v>
      </c>
      <c r="J138" s="790">
        <v>23</v>
      </c>
    </row>
    <row r="139" spans="1:10">
      <c r="A139" s="781">
        <v>44713</v>
      </c>
      <c r="B139" s="790" t="s">
        <v>80</v>
      </c>
      <c r="C139" s="790">
        <v>755</v>
      </c>
      <c r="D139" s="790"/>
      <c r="E139" s="790">
        <v>188</v>
      </c>
      <c r="F139" s="790">
        <v>501</v>
      </c>
      <c r="G139" s="790">
        <v>10</v>
      </c>
      <c r="H139" s="790">
        <v>24</v>
      </c>
      <c r="I139" s="790">
        <v>48</v>
      </c>
      <c r="J139" s="790">
        <v>18</v>
      </c>
    </row>
    <row r="140" spans="1:10">
      <c r="A140" s="781">
        <v>44713</v>
      </c>
      <c r="B140" s="790" t="s">
        <v>79</v>
      </c>
      <c r="C140" s="790">
        <v>389</v>
      </c>
      <c r="D140" s="790"/>
      <c r="E140" s="790">
        <v>137</v>
      </c>
      <c r="F140" s="790">
        <v>190</v>
      </c>
      <c r="G140" s="790">
        <v>9</v>
      </c>
      <c r="H140" s="790">
        <v>39</v>
      </c>
      <c r="I140" s="790">
        <v>8</v>
      </c>
      <c r="J140" s="790">
        <v>8</v>
      </c>
    </row>
    <row r="141" spans="1:10">
      <c r="A141" s="781">
        <v>44713</v>
      </c>
      <c r="B141" s="790" t="s">
        <v>81</v>
      </c>
      <c r="C141" s="790">
        <v>2034</v>
      </c>
      <c r="D141" s="790">
        <v>1</v>
      </c>
      <c r="E141" s="790">
        <v>520</v>
      </c>
      <c r="F141" s="790">
        <v>1305</v>
      </c>
      <c r="G141" s="790">
        <v>19</v>
      </c>
      <c r="H141" s="790">
        <v>79</v>
      </c>
      <c r="I141" s="790">
        <v>129</v>
      </c>
      <c r="J141" s="790">
        <v>38</v>
      </c>
    </row>
    <row r="142" spans="1:10">
      <c r="A142" s="781">
        <v>44713</v>
      </c>
      <c r="B142" s="790" t="s">
        <v>82</v>
      </c>
      <c r="C142" s="790">
        <v>1554</v>
      </c>
      <c r="D142" s="790">
        <v>2</v>
      </c>
      <c r="E142" s="790">
        <v>337</v>
      </c>
      <c r="F142" s="790">
        <v>1003</v>
      </c>
      <c r="G142" s="790">
        <v>4</v>
      </c>
      <c r="H142" s="790">
        <v>69</v>
      </c>
      <c r="I142" s="790">
        <v>78</v>
      </c>
      <c r="J142" s="790">
        <v>112</v>
      </c>
    </row>
    <row r="143" spans="1:10">
      <c r="A143" s="781">
        <v>44713</v>
      </c>
      <c r="B143" s="790" t="s">
        <v>83</v>
      </c>
      <c r="C143" s="790">
        <v>1547</v>
      </c>
      <c r="D143" s="790"/>
      <c r="E143" s="790">
        <v>466</v>
      </c>
      <c r="F143" s="790">
        <v>900</v>
      </c>
      <c r="G143" s="790">
        <v>1</v>
      </c>
      <c r="H143" s="790">
        <v>46</v>
      </c>
      <c r="I143" s="790">
        <v>180</v>
      </c>
      <c r="J143" s="790">
        <v>18</v>
      </c>
    </row>
    <row r="144" spans="1:10">
      <c r="A144" s="781">
        <v>44713</v>
      </c>
      <c r="B144" s="790" t="s">
        <v>84</v>
      </c>
      <c r="C144" s="790">
        <v>1488</v>
      </c>
      <c r="D144" s="790"/>
      <c r="E144" s="790">
        <v>446</v>
      </c>
      <c r="F144" s="790">
        <v>853</v>
      </c>
      <c r="G144" s="790">
        <v>1</v>
      </c>
      <c r="H144" s="790">
        <v>38</v>
      </c>
      <c r="I144" s="790">
        <v>148</v>
      </c>
      <c r="J144" s="790">
        <v>46</v>
      </c>
    </row>
    <row r="145" spans="1:10">
      <c r="A145" s="781">
        <v>44713</v>
      </c>
      <c r="B145" s="790" t="s">
        <v>85</v>
      </c>
      <c r="C145" s="790">
        <v>2894</v>
      </c>
      <c r="D145" s="790"/>
      <c r="E145" s="790">
        <v>831</v>
      </c>
      <c r="F145" s="790">
        <v>1909</v>
      </c>
      <c r="G145" s="790">
        <v>7</v>
      </c>
      <c r="H145" s="790">
        <v>43</v>
      </c>
      <c r="I145" s="790">
        <v>129</v>
      </c>
      <c r="J145" s="790">
        <v>24</v>
      </c>
    </row>
    <row r="146" spans="1:10">
      <c r="A146" s="781">
        <v>44713</v>
      </c>
      <c r="B146" s="790" t="s">
        <v>86</v>
      </c>
      <c r="C146" s="790">
        <v>648</v>
      </c>
      <c r="D146" s="790">
        <v>1</v>
      </c>
      <c r="E146" s="790">
        <v>165</v>
      </c>
      <c r="F146" s="790">
        <v>416</v>
      </c>
      <c r="G146" s="790">
        <v>8</v>
      </c>
      <c r="H146" s="790">
        <v>23</v>
      </c>
      <c r="I146" s="790">
        <v>49</v>
      </c>
      <c r="J146" s="790">
        <v>19</v>
      </c>
    </row>
    <row r="147" spans="1:10">
      <c r="A147" s="781">
        <v>44713</v>
      </c>
      <c r="B147" s="790" t="s">
        <v>89</v>
      </c>
      <c r="C147" s="790">
        <v>5557</v>
      </c>
      <c r="D147" s="790">
        <v>8</v>
      </c>
      <c r="E147" s="790">
        <v>985</v>
      </c>
      <c r="F147" s="790">
        <v>3985</v>
      </c>
      <c r="G147" s="790">
        <v>38</v>
      </c>
      <c r="H147" s="790">
        <v>167</v>
      </c>
      <c r="I147" s="790">
        <v>520</v>
      </c>
      <c r="J147" s="790">
        <v>139</v>
      </c>
    </row>
    <row r="148" spans="1:10">
      <c r="A148" s="781">
        <v>44713</v>
      </c>
      <c r="B148" s="790" t="s">
        <v>88</v>
      </c>
      <c r="C148" s="790">
        <v>1876</v>
      </c>
      <c r="D148" s="790">
        <v>2</v>
      </c>
      <c r="E148" s="790">
        <v>626</v>
      </c>
      <c r="F148" s="790">
        <v>997</v>
      </c>
      <c r="G148" s="790">
        <v>15</v>
      </c>
      <c r="H148" s="790">
        <v>75</v>
      </c>
      <c r="I148" s="790">
        <v>217</v>
      </c>
      <c r="J148" s="790">
        <v>49</v>
      </c>
    </row>
    <row r="149" spans="1:10">
      <c r="A149" s="781">
        <v>44713</v>
      </c>
      <c r="B149" s="790" t="s">
        <v>87</v>
      </c>
      <c r="C149" s="790">
        <v>3134</v>
      </c>
      <c r="D149" s="790">
        <v>2</v>
      </c>
      <c r="E149" s="790">
        <v>1184</v>
      </c>
      <c r="F149" s="790">
        <v>1924</v>
      </c>
      <c r="G149" s="790">
        <v>41</v>
      </c>
      <c r="H149" s="790">
        <v>48</v>
      </c>
      <c r="I149" s="790">
        <v>211</v>
      </c>
      <c r="J149" s="790">
        <v>34</v>
      </c>
    </row>
    <row r="150" spans="1:10">
      <c r="A150" s="781">
        <v>44713</v>
      </c>
      <c r="B150" s="790" t="s">
        <v>90</v>
      </c>
      <c r="C150" s="790">
        <v>1131</v>
      </c>
      <c r="D150" s="790">
        <v>1</v>
      </c>
      <c r="E150" s="790">
        <v>351</v>
      </c>
      <c r="F150" s="790">
        <v>707</v>
      </c>
      <c r="G150" s="790">
        <v>21</v>
      </c>
      <c r="H150" s="790">
        <v>66</v>
      </c>
      <c r="I150" s="790">
        <v>83</v>
      </c>
      <c r="J150" s="790">
        <v>28</v>
      </c>
    </row>
    <row r="151" spans="1:10">
      <c r="A151" s="781">
        <v>44713</v>
      </c>
      <c r="B151" s="790" t="s">
        <v>91</v>
      </c>
      <c r="C151" s="790">
        <v>955</v>
      </c>
      <c r="D151" s="790"/>
      <c r="E151" s="790">
        <v>199</v>
      </c>
      <c r="F151" s="790">
        <v>700</v>
      </c>
      <c r="G151" s="790">
        <v>2</v>
      </c>
      <c r="H151" s="790">
        <v>17</v>
      </c>
      <c r="I151" s="790">
        <v>46</v>
      </c>
      <c r="J151" s="790">
        <v>8</v>
      </c>
    </row>
    <row r="152" spans="1:10">
      <c r="A152" s="781">
        <v>44713</v>
      </c>
      <c r="B152" s="790" t="s">
        <v>93</v>
      </c>
      <c r="C152" s="790">
        <v>1465</v>
      </c>
      <c r="D152" s="790">
        <v>1</v>
      </c>
      <c r="E152" s="790">
        <v>215</v>
      </c>
      <c r="F152" s="790">
        <v>1007</v>
      </c>
      <c r="G152" s="790">
        <v>17</v>
      </c>
      <c r="H152" s="790">
        <v>59</v>
      </c>
      <c r="I152" s="790">
        <v>175</v>
      </c>
      <c r="J152" s="790">
        <v>27</v>
      </c>
    </row>
    <row r="153" spans="1:10">
      <c r="A153" s="781">
        <v>44713</v>
      </c>
      <c r="B153" s="790" t="s">
        <v>94</v>
      </c>
      <c r="C153" s="790">
        <v>505</v>
      </c>
      <c r="D153" s="790"/>
      <c r="E153" s="790">
        <v>104</v>
      </c>
      <c r="F153" s="790">
        <v>296</v>
      </c>
      <c r="G153" s="790">
        <v>2</v>
      </c>
      <c r="H153" s="790">
        <v>18</v>
      </c>
      <c r="I153" s="790">
        <v>71</v>
      </c>
      <c r="J153" s="790">
        <v>25</v>
      </c>
    </row>
    <row r="154" spans="1:10">
      <c r="A154" s="781">
        <v>44713</v>
      </c>
      <c r="B154" s="790" t="s">
        <v>92</v>
      </c>
      <c r="C154" s="790">
        <v>6258</v>
      </c>
      <c r="D154" s="790">
        <v>8</v>
      </c>
      <c r="E154" s="790">
        <v>2141</v>
      </c>
      <c r="F154" s="790">
        <v>3536</v>
      </c>
      <c r="G154" s="790">
        <v>53</v>
      </c>
      <c r="H154" s="790">
        <v>179</v>
      </c>
      <c r="I154" s="790">
        <v>392</v>
      </c>
      <c r="J154" s="790">
        <v>315</v>
      </c>
    </row>
    <row r="155" spans="1:10">
      <c r="A155" s="781">
        <v>44713</v>
      </c>
      <c r="B155" s="790" t="s">
        <v>95</v>
      </c>
      <c r="C155" s="790">
        <v>5854</v>
      </c>
      <c r="D155" s="790">
        <v>2</v>
      </c>
      <c r="E155" s="790">
        <v>2083</v>
      </c>
      <c r="F155" s="790">
        <v>2996</v>
      </c>
      <c r="G155" s="790">
        <v>74</v>
      </c>
      <c r="H155" s="790">
        <v>231</v>
      </c>
      <c r="I155" s="790">
        <v>569</v>
      </c>
      <c r="J155" s="790">
        <v>64</v>
      </c>
    </row>
    <row r="156" spans="1:10">
      <c r="A156" s="781">
        <v>44713</v>
      </c>
      <c r="B156" s="790" t="s">
        <v>96</v>
      </c>
      <c r="C156" s="790">
        <v>853</v>
      </c>
      <c r="D156" s="790"/>
      <c r="E156" s="790">
        <v>177</v>
      </c>
      <c r="F156" s="790">
        <v>593</v>
      </c>
      <c r="G156" s="790">
        <v>2</v>
      </c>
      <c r="H156" s="790">
        <v>31</v>
      </c>
      <c r="I156" s="790">
        <v>71</v>
      </c>
      <c r="J156" s="790">
        <v>19</v>
      </c>
    </row>
    <row r="157" spans="1:10">
      <c r="A157" s="781">
        <v>44713</v>
      </c>
      <c r="B157" s="790" t="s">
        <v>98</v>
      </c>
      <c r="C157" s="790">
        <v>806</v>
      </c>
      <c r="D157" s="790">
        <v>1</v>
      </c>
      <c r="E157" s="790">
        <v>223</v>
      </c>
      <c r="F157" s="790">
        <v>498</v>
      </c>
      <c r="G157" s="790">
        <v>6</v>
      </c>
      <c r="H157" s="790">
        <v>20</v>
      </c>
      <c r="I157" s="790">
        <v>120</v>
      </c>
      <c r="J157" s="790">
        <v>13</v>
      </c>
    </row>
    <row r="158" spans="1:10">
      <c r="A158" s="781">
        <v>44713</v>
      </c>
      <c r="B158" s="790" t="s">
        <v>99</v>
      </c>
      <c r="C158" s="790">
        <v>147</v>
      </c>
      <c r="D158" s="790"/>
      <c r="E158" s="790">
        <v>30</v>
      </c>
      <c r="F158" s="790">
        <v>102</v>
      </c>
      <c r="G158" s="790">
        <v>1</v>
      </c>
      <c r="H158" s="790">
        <v>3</v>
      </c>
      <c r="I158" s="790">
        <v>18</v>
      </c>
      <c r="J158" s="790"/>
    </row>
    <row r="159" spans="1:10">
      <c r="A159" s="781">
        <v>44713</v>
      </c>
      <c r="B159" s="790" t="s">
        <v>97</v>
      </c>
      <c r="C159" s="790">
        <v>8167</v>
      </c>
      <c r="D159" s="790">
        <v>4</v>
      </c>
      <c r="E159" s="790">
        <v>2844</v>
      </c>
      <c r="F159" s="790">
        <v>3848</v>
      </c>
      <c r="G159" s="790">
        <v>42</v>
      </c>
      <c r="H159" s="790">
        <v>209</v>
      </c>
      <c r="I159" s="790">
        <v>1557</v>
      </c>
      <c r="J159" s="790">
        <v>222</v>
      </c>
    </row>
    <row r="160" spans="1:10">
      <c r="A160" s="781">
        <v>44713</v>
      </c>
      <c r="B160" s="790" t="s">
        <v>100</v>
      </c>
      <c r="C160" s="790">
        <v>5423</v>
      </c>
      <c r="D160" s="790">
        <v>6</v>
      </c>
      <c r="E160" s="790">
        <v>1817</v>
      </c>
      <c r="F160" s="790">
        <v>2790</v>
      </c>
      <c r="G160" s="790">
        <v>81</v>
      </c>
      <c r="H160" s="790">
        <v>165</v>
      </c>
      <c r="I160" s="790">
        <v>619</v>
      </c>
      <c r="J160" s="790">
        <v>272</v>
      </c>
    </row>
    <row r="161" spans="1:10">
      <c r="A161" s="781">
        <v>44713</v>
      </c>
      <c r="B161" s="790" t="s">
        <v>102</v>
      </c>
      <c r="C161" s="790">
        <v>596</v>
      </c>
      <c r="D161" s="790"/>
      <c r="E161" s="790">
        <v>192</v>
      </c>
      <c r="F161" s="790">
        <v>443</v>
      </c>
      <c r="G161" s="790">
        <v>4</v>
      </c>
      <c r="H161" s="790">
        <v>16</v>
      </c>
      <c r="I161" s="790">
        <v>49</v>
      </c>
      <c r="J161" s="790">
        <v>14</v>
      </c>
    </row>
    <row r="162" spans="1:10">
      <c r="A162" s="781">
        <v>44713</v>
      </c>
      <c r="B162" s="790" t="s">
        <v>101</v>
      </c>
      <c r="C162" s="790">
        <v>30909</v>
      </c>
      <c r="D162" s="790">
        <v>6</v>
      </c>
      <c r="E162" s="790">
        <v>12392</v>
      </c>
      <c r="F162" s="790">
        <v>13600</v>
      </c>
      <c r="G162" s="790">
        <v>347</v>
      </c>
      <c r="H162" s="790">
        <v>1739</v>
      </c>
      <c r="I162" s="790">
        <v>3978</v>
      </c>
      <c r="J162" s="790">
        <v>477</v>
      </c>
    </row>
    <row r="163" spans="1:10">
      <c r="A163" s="781">
        <v>44713</v>
      </c>
      <c r="B163" s="790" t="s">
        <v>103</v>
      </c>
      <c r="C163" s="790">
        <v>481</v>
      </c>
      <c r="D163" s="790"/>
      <c r="E163" s="790">
        <v>129</v>
      </c>
      <c r="F163" s="790">
        <v>322</v>
      </c>
      <c r="G163" s="790">
        <v>1</v>
      </c>
      <c r="H163" s="790">
        <v>10</v>
      </c>
      <c r="I163" s="790">
        <v>33</v>
      </c>
      <c r="J163" s="790">
        <v>2</v>
      </c>
    </row>
    <row r="164" spans="1:10">
      <c r="A164" s="781">
        <v>44743</v>
      </c>
      <c r="B164" s="790" t="s">
        <v>77</v>
      </c>
      <c r="C164" s="566">
        <v>269</v>
      </c>
      <c r="E164" s="566">
        <v>73</v>
      </c>
      <c r="F164" s="566">
        <v>178</v>
      </c>
      <c r="G164" s="566">
        <v>2</v>
      </c>
      <c r="H164" s="566">
        <v>8</v>
      </c>
      <c r="I164" s="566">
        <v>12</v>
      </c>
    </row>
    <row r="165" spans="1:10">
      <c r="A165" s="781">
        <v>44743</v>
      </c>
      <c r="B165" s="790" t="s">
        <v>78</v>
      </c>
      <c r="C165" s="566">
        <v>644</v>
      </c>
      <c r="E165" s="566">
        <v>134</v>
      </c>
      <c r="F165" s="566">
        <v>451</v>
      </c>
      <c r="G165" s="566">
        <v>5</v>
      </c>
      <c r="H165" s="566">
        <v>14</v>
      </c>
      <c r="I165" s="566">
        <v>44</v>
      </c>
      <c r="J165" s="566">
        <v>21</v>
      </c>
    </row>
    <row r="166" spans="1:10">
      <c r="A166" s="781">
        <v>44743</v>
      </c>
      <c r="B166" s="790" t="s">
        <v>80</v>
      </c>
      <c r="C166" s="566">
        <v>665</v>
      </c>
      <c r="E166" s="566">
        <v>168</v>
      </c>
      <c r="F166" s="566">
        <v>439</v>
      </c>
      <c r="G166" s="566">
        <v>5</v>
      </c>
      <c r="H166" s="566">
        <v>18</v>
      </c>
      <c r="I166" s="566">
        <v>44</v>
      </c>
      <c r="J166" s="566">
        <v>13</v>
      </c>
    </row>
    <row r="167" spans="1:10">
      <c r="A167" s="781">
        <v>44743</v>
      </c>
      <c r="B167" s="790" t="s">
        <v>79</v>
      </c>
      <c r="C167" s="566">
        <v>346</v>
      </c>
      <c r="E167" s="566">
        <v>131</v>
      </c>
      <c r="F167" s="566">
        <v>183</v>
      </c>
      <c r="G167" s="566">
        <v>7</v>
      </c>
      <c r="H167" s="566">
        <v>15</v>
      </c>
      <c r="I167" s="566">
        <v>4</v>
      </c>
      <c r="J167" s="566">
        <v>8</v>
      </c>
    </row>
    <row r="168" spans="1:10">
      <c r="A168" s="781">
        <v>44743</v>
      </c>
      <c r="B168" s="790" t="s">
        <v>81</v>
      </c>
      <c r="C168" s="566">
        <v>2195</v>
      </c>
      <c r="D168" s="566">
        <v>1</v>
      </c>
      <c r="E168" s="566">
        <v>577</v>
      </c>
      <c r="F168" s="566">
        <v>1403</v>
      </c>
      <c r="G168" s="566">
        <v>25</v>
      </c>
      <c r="H168" s="566">
        <v>77</v>
      </c>
      <c r="I168" s="566">
        <v>145</v>
      </c>
      <c r="J168" s="566">
        <v>25</v>
      </c>
    </row>
    <row r="169" spans="1:10">
      <c r="A169" s="781">
        <v>44743</v>
      </c>
      <c r="B169" s="790" t="s">
        <v>82</v>
      </c>
      <c r="C169" s="566">
        <v>1515</v>
      </c>
      <c r="D169" s="566">
        <v>1</v>
      </c>
      <c r="E169" s="566">
        <v>351</v>
      </c>
      <c r="F169" s="566">
        <v>968</v>
      </c>
      <c r="G169" s="566">
        <v>4</v>
      </c>
      <c r="H169" s="566">
        <v>50</v>
      </c>
      <c r="I169" s="566">
        <v>74</v>
      </c>
      <c r="J169" s="566">
        <v>113</v>
      </c>
    </row>
    <row r="170" spans="1:10">
      <c r="A170" s="781">
        <v>44743</v>
      </c>
      <c r="B170" s="790" t="s">
        <v>83</v>
      </c>
      <c r="C170" s="566">
        <v>1433</v>
      </c>
      <c r="E170" s="566">
        <v>461</v>
      </c>
      <c r="F170" s="566">
        <v>820</v>
      </c>
      <c r="H170" s="566">
        <v>57</v>
      </c>
      <c r="I170" s="566">
        <v>144</v>
      </c>
      <c r="J170" s="566">
        <v>16</v>
      </c>
    </row>
    <row r="171" spans="1:10">
      <c r="A171" s="781">
        <v>44743</v>
      </c>
      <c r="B171" s="790" t="s">
        <v>84</v>
      </c>
      <c r="C171" s="566">
        <v>1634</v>
      </c>
      <c r="E171" s="566">
        <v>532</v>
      </c>
      <c r="F171" s="566">
        <v>927</v>
      </c>
      <c r="G171" s="566">
        <v>6</v>
      </c>
      <c r="H171" s="566">
        <v>33</v>
      </c>
      <c r="I171" s="566">
        <v>154</v>
      </c>
      <c r="J171" s="566">
        <v>44</v>
      </c>
    </row>
    <row r="172" spans="1:10">
      <c r="A172" s="781">
        <v>44743</v>
      </c>
      <c r="B172" s="790" t="s">
        <v>85</v>
      </c>
      <c r="C172" s="566">
        <v>2686</v>
      </c>
      <c r="D172" s="566">
        <v>1</v>
      </c>
      <c r="E172" s="566">
        <v>764</v>
      </c>
      <c r="F172" s="566">
        <v>1762</v>
      </c>
      <c r="G172" s="566">
        <v>7</v>
      </c>
      <c r="H172" s="566">
        <v>37</v>
      </c>
      <c r="I172" s="566">
        <v>110</v>
      </c>
      <c r="J172" s="566">
        <v>50</v>
      </c>
    </row>
    <row r="173" spans="1:10">
      <c r="A173" s="781">
        <v>44743</v>
      </c>
      <c r="B173" s="790" t="s">
        <v>86</v>
      </c>
      <c r="C173" s="566">
        <v>690</v>
      </c>
      <c r="E173" s="566">
        <v>169</v>
      </c>
      <c r="F173" s="566">
        <v>389</v>
      </c>
      <c r="G173" s="566">
        <v>2</v>
      </c>
      <c r="H173" s="566">
        <v>10</v>
      </c>
      <c r="I173" s="566">
        <v>83</v>
      </c>
      <c r="J173" s="566">
        <v>52</v>
      </c>
    </row>
    <row r="174" spans="1:10">
      <c r="A174" s="781">
        <v>44743</v>
      </c>
      <c r="B174" s="790" t="s">
        <v>89</v>
      </c>
      <c r="C174" s="566">
        <v>5413</v>
      </c>
      <c r="D174" s="566">
        <v>8</v>
      </c>
      <c r="E174" s="566">
        <v>979</v>
      </c>
      <c r="F174" s="566">
        <v>3818</v>
      </c>
      <c r="G174" s="566">
        <v>23</v>
      </c>
      <c r="H174" s="566">
        <v>197</v>
      </c>
      <c r="I174" s="566">
        <v>548</v>
      </c>
      <c r="J174" s="566">
        <v>148</v>
      </c>
    </row>
    <row r="175" spans="1:10">
      <c r="A175" s="781">
        <v>44743</v>
      </c>
      <c r="B175" s="790" t="s">
        <v>88</v>
      </c>
      <c r="C175" s="566">
        <v>1956</v>
      </c>
      <c r="D175" s="566">
        <v>2</v>
      </c>
      <c r="E175" s="566">
        <v>705</v>
      </c>
      <c r="F175" s="566">
        <v>1037</v>
      </c>
      <c r="G175" s="566">
        <v>16</v>
      </c>
      <c r="H175" s="566">
        <v>48</v>
      </c>
      <c r="I175" s="566">
        <v>212</v>
      </c>
      <c r="J175" s="566">
        <v>46</v>
      </c>
    </row>
    <row r="176" spans="1:10">
      <c r="A176" s="781">
        <v>44743</v>
      </c>
      <c r="B176" s="790" t="s">
        <v>87</v>
      </c>
      <c r="C176" s="566">
        <v>2940</v>
      </c>
      <c r="E176" s="566">
        <v>1036</v>
      </c>
      <c r="F176" s="566">
        <v>1813</v>
      </c>
      <c r="G176" s="566">
        <v>38</v>
      </c>
      <c r="H176" s="566">
        <v>51</v>
      </c>
      <c r="I176" s="566">
        <v>207</v>
      </c>
      <c r="J176" s="566">
        <v>34</v>
      </c>
    </row>
    <row r="177" spans="1:10">
      <c r="A177" s="781">
        <v>44743</v>
      </c>
      <c r="B177" s="790" t="s">
        <v>90</v>
      </c>
      <c r="C177" s="566">
        <v>922</v>
      </c>
      <c r="E177" s="566">
        <v>227</v>
      </c>
      <c r="F177" s="566">
        <v>569</v>
      </c>
      <c r="G177" s="566">
        <v>32</v>
      </c>
      <c r="H177" s="566">
        <v>34</v>
      </c>
      <c r="I177" s="566">
        <v>59</v>
      </c>
      <c r="J177" s="566">
        <v>20</v>
      </c>
    </row>
    <row r="178" spans="1:10">
      <c r="A178" s="781">
        <v>44743</v>
      </c>
      <c r="B178" s="790" t="s">
        <v>91</v>
      </c>
      <c r="C178" s="566">
        <v>938</v>
      </c>
      <c r="E178" s="566">
        <v>201</v>
      </c>
      <c r="F178" s="566">
        <v>678</v>
      </c>
      <c r="G178" s="566">
        <v>1</v>
      </c>
      <c r="H178" s="566">
        <v>16</v>
      </c>
      <c r="I178" s="566">
        <v>54</v>
      </c>
      <c r="J178" s="566">
        <v>11</v>
      </c>
    </row>
    <row r="179" spans="1:10">
      <c r="A179" s="781">
        <v>44743</v>
      </c>
      <c r="B179" s="790" t="s">
        <v>93</v>
      </c>
      <c r="C179" s="566">
        <v>1724</v>
      </c>
      <c r="D179" s="566">
        <v>1</v>
      </c>
      <c r="E179" s="566">
        <v>299</v>
      </c>
      <c r="F179" s="566">
        <v>1161</v>
      </c>
      <c r="G179" s="566">
        <v>10</v>
      </c>
      <c r="H179" s="566">
        <v>44</v>
      </c>
      <c r="I179" s="566">
        <v>240</v>
      </c>
      <c r="J179" s="566">
        <v>34</v>
      </c>
    </row>
    <row r="180" spans="1:10">
      <c r="A180" s="781">
        <v>44743</v>
      </c>
      <c r="B180" s="790" t="s">
        <v>94</v>
      </c>
      <c r="C180" s="566">
        <v>541</v>
      </c>
      <c r="E180" s="566">
        <v>120</v>
      </c>
      <c r="F180" s="566">
        <v>312</v>
      </c>
      <c r="G180" s="566">
        <v>3</v>
      </c>
      <c r="H180" s="566">
        <v>23</v>
      </c>
      <c r="I180" s="566">
        <v>80</v>
      </c>
      <c r="J180" s="566">
        <v>21</v>
      </c>
    </row>
    <row r="181" spans="1:10">
      <c r="A181" s="781">
        <v>44743</v>
      </c>
      <c r="B181" s="790" t="s">
        <v>92</v>
      </c>
      <c r="C181" s="566">
        <v>6571</v>
      </c>
      <c r="D181" s="566">
        <v>3</v>
      </c>
      <c r="E181" s="566">
        <v>2286</v>
      </c>
      <c r="F181" s="566">
        <v>3792</v>
      </c>
      <c r="G181" s="566">
        <v>57</v>
      </c>
      <c r="H181" s="566">
        <v>166</v>
      </c>
      <c r="I181" s="566">
        <v>354</v>
      </c>
      <c r="J181" s="566">
        <v>313</v>
      </c>
    </row>
    <row r="182" spans="1:10">
      <c r="A182" s="781">
        <v>44743</v>
      </c>
      <c r="B182" s="790" t="s">
        <v>95</v>
      </c>
      <c r="C182" s="566">
        <v>5883</v>
      </c>
      <c r="D182" s="566">
        <v>1</v>
      </c>
      <c r="E182" s="566">
        <v>2207</v>
      </c>
      <c r="F182" s="566">
        <v>2942</v>
      </c>
      <c r="G182" s="566">
        <v>70</v>
      </c>
      <c r="H182" s="566">
        <v>227</v>
      </c>
      <c r="I182" s="566">
        <v>564</v>
      </c>
      <c r="J182" s="566">
        <v>60</v>
      </c>
    </row>
    <row r="183" spans="1:10">
      <c r="A183" s="781">
        <v>44743</v>
      </c>
      <c r="B183" s="790" t="s">
        <v>96</v>
      </c>
      <c r="C183" s="566">
        <v>809</v>
      </c>
      <c r="E183" s="566">
        <v>148</v>
      </c>
      <c r="F183" s="566">
        <v>559</v>
      </c>
      <c r="G183" s="566">
        <v>2</v>
      </c>
      <c r="H183" s="566">
        <v>28</v>
      </c>
      <c r="I183" s="566">
        <v>66</v>
      </c>
      <c r="J183" s="566">
        <v>34</v>
      </c>
    </row>
    <row r="184" spans="1:10">
      <c r="A184" s="781">
        <v>44743</v>
      </c>
      <c r="B184" s="790" t="s">
        <v>98</v>
      </c>
      <c r="C184" s="566">
        <v>860</v>
      </c>
      <c r="D184" s="566">
        <v>2</v>
      </c>
      <c r="E184" s="566">
        <v>245</v>
      </c>
      <c r="F184" s="566">
        <v>527</v>
      </c>
      <c r="G184" s="566">
        <v>9</v>
      </c>
      <c r="H184" s="566">
        <v>14</v>
      </c>
      <c r="I184" s="566">
        <v>123</v>
      </c>
      <c r="J184" s="566">
        <v>11</v>
      </c>
    </row>
    <row r="185" spans="1:10">
      <c r="A185" s="781">
        <v>44743</v>
      </c>
      <c r="B185" s="790" t="s">
        <v>99</v>
      </c>
      <c r="C185" s="566">
        <v>130</v>
      </c>
      <c r="E185" s="566">
        <v>30</v>
      </c>
      <c r="F185" s="566">
        <v>89</v>
      </c>
      <c r="G185" s="566">
        <v>1</v>
      </c>
      <c r="H185" s="566">
        <v>7</v>
      </c>
      <c r="I185" s="566">
        <v>15</v>
      </c>
      <c r="J185" s="566">
        <v>1</v>
      </c>
    </row>
    <row r="186" spans="1:10">
      <c r="A186" s="781">
        <v>44743</v>
      </c>
      <c r="B186" s="790" t="s">
        <v>97</v>
      </c>
      <c r="C186" s="566">
        <v>8151</v>
      </c>
      <c r="D186" s="566">
        <v>2</v>
      </c>
      <c r="E186" s="566">
        <v>2862</v>
      </c>
      <c r="F186" s="566">
        <v>3927</v>
      </c>
      <c r="G186" s="566">
        <v>25</v>
      </c>
      <c r="H186" s="566">
        <v>209</v>
      </c>
      <c r="I186" s="566">
        <v>1497</v>
      </c>
      <c r="J186" s="566">
        <v>232</v>
      </c>
    </row>
    <row r="187" spans="1:10">
      <c r="A187" s="781">
        <v>44743</v>
      </c>
      <c r="B187" s="790" t="s">
        <v>100</v>
      </c>
      <c r="C187" s="566">
        <v>5471</v>
      </c>
      <c r="D187" s="566">
        <v>3</v>
      </c>
      <c r="E187" s="566">
        <v>1912</v>
      </c>
      <c r="F187" s="566">
        <v>2798</v>
      </c>
      <c r="G187" s="566">
        <v>88</v>
      </c>
      <c r="H187" s="566">
        <v>154</v>
      </c>
      <c r="I187" s="566">
        <v>623</v>
      </c>
      <c r="J187" s="566">
        <v>258</v>
      </c>
    </row>
    <row r="188" spans="1:10">
      <c r="A188" s="781">
        <v>44743</v>
      </c>
      <c r="B188" s="790" t="s">
        <v>102</v>
      </c>
      <c r="C188" s="566">
        <v>669</v>
      </c>
      <c r="E188" s="566">
        <v>218</v>
      </c>
      <c r="F188" s="566">
        <v>504</v>
      </c>
      <c r="G188" s="566">
        <v>6</v>
      </c>
      <c r="H188" s="566">
        <v>19</v>
      </c>
      <c r="I188" s="566">
        <v>52</v>
      </c>
      <c r="J188" s="566">
        <v>8</v>
      </c>
    </row>
    <row r="189" spans="1:10">
      <c r="A189" s="781">
        <v>44743</v>
      </c>
      <c r="B189" s="790" t="s">
        <v>101</v>
      </c>
      <c r="C189" s="566">
        <v>29999</v>
      </c>
      <c r="D189" s="566">
        <v>13</v>
      </c>
      <c r="E189" s="566">
        <v>12058</v>
      </c>
      <c r="F189" s="566">
        <v>13380</v>
      </c>
      <c r="G189" s="566">
        <v>294</v>
      </c>
      <c r="H189" s="566">
        <v>1661</v>
      </c>
      <c r="I189" s="566">
        <v>3884</v>
      </c>
      <c r="J189" s="566">
        <v>389</v>
      </c>
    </row>
    <row r="190" spans="1:10">
      <c r="A190" s="781">
        <v>44743</v>
      </c>
      <c r="B190" s="790" t="s">
        <v>103</v>
      </c>
      <c r="C190" s="566">
        <v>382</v>
      </c>
      <c r="E190" s="566">
        <v>99</v>
      </c>
      <c r="F190" s="566">
        <v>252</v>
      </c>
      <c r="G190" s="566">
        <v>1</v>
      </c>
      <c r="H190" s="566">
        <v>10</v>
      </c>
      <c r="I190" s="566">
        <v>26</v>
      </c>
      <c r="J190" s="566">
        <v>1</v>
      </c>
    </row>
    <row r="191" spans="1:10">
      <c r="A191" s="781">
        <v>44774</v>
      </c>
      <c r="B191" s="790" t="s">
        <v>77</v>
      </c>
      <c r="C191" s="790">
        <v>278</v>
      </c>
      <c r="D191" s="790"/>
      <c r="E191" s="790">
        <v>76</v>
      </c>
      <c r="F191" s="790">
        <v>182</v>
      </c>
      <c r="G191" s="790">
        <v>3</v>
      </c>
      <c r="H191" s="790">
        <v>13</v>
      </c>
      <c r="I191" s="790">
        <v>4</v>
      </c>
      <c r="J191" s="790">
        <v>4</v>
      </c>
    </row>
    <row r="192" spans="1:10">
      <c r="A192" s="781">
        <v>44774</v>
      </c>
      <c r="B192" s="790" t="s">
        <v>78</v>
      </c>
      <c r="C192" s="790">
        <v>894</v>
      </c>
      <c r="D192" s="790"/>
      <c r="E192" s="790">
        <v>206</v>
      </c>
      <c r="F192" s="790">
        <v>630</v>
      </c>
      <c r="G192" s="790">
        <v>10</v>
      </c>
      <c r="H192" s="790">
        <v>19</v>
      </c>
      <c r="I192" s="790">
        <v>41</v>
      </c>
      <c r="J192" s="790">
        <v>35</v>
      </c>
    </row>
    <row r="193" spans="1:10">
      <c r="A193" s="781">
        <v>44774</v>
      </c>
      <c r="B193" s="790" t="s">
        <v>80</v>
      </c>
      <c r="C193" s="790">
        <v>826</v>
      </c>
      <c r="D193" s="790"/>
      <c r="E193" s="790">
        <v>205</v>
      </c>
      <c r="F193" s="790">
        <v>548</v>
      </c>
      <c r="G193" s="790">
        <v>5</v>
      </c>
      <c r="H193" s="790">
        <v>20</v>
      </c>
      <c r="I193" s="790">
        <v>52</v>
      </c>
      <c r="J193" s="790">
        <v>26</v>
      </c>
    </row>
    <row r="194" spans="1:10">
      <c r="A194" s="781">
        <v>44774</v>
      </c>
      <c r="B194" s="790" t="s">
        <v>79</v>
      </c>
      <c r="C194" s="790">
        <v>398</v>
      </c>
      <c r="D194" s="790"/>
      <c r="E194" s="790">
        <v>149</v>
      </c>
      <c r="F194" s="790">
        <v>195</v>
      </c>
      <c r="G194" s="790">
        <v>4</v>
      </c>
      <c r="H194" s="790">
        <v>46</v>
      </c>
      <c r="I194" s="790">
        <v>4</v>
      </c>
      <c r="J194" s="790">
        <v>6</v>
      </c>
    </row>
    <row r="195" spans="1:10">
      <c r="A195" s="781">
        <v>44774</v>
      </c>
      <c r="B195" s="790" t="s">
        <v>81</v>
      </c>
      <c r="C195" s="790">
        <v>2611</v>
      </c>
      <c r="D195" s="790">
        <v>4</v>
      </c>
      <c r="E195" s="790">
        <v>690</v>
      </c>
      <c r="F195" s="790">
        <v>1708</v>
      </c>
      <c r="G195" s="790">
        <v>16</v>
      </c>
      <c r="H195" s="790">
        <v>66</v>
      </c>
      <c r="I195" s="790">
        <v>151</v>
      </c>
      <c r="J195" s="790">
        <v>42</v>
      </c>
    </row>
    <row r="196" spans="1:10">
      <c r="A196" s="781">
        <v>44774</v>
      </c>
      <c r="B196" s="790" t="s">
        <v>82</v>
      </c>
      <c r="C196" s="790">
        <v>1654</v>
      </c>
      <c r="D196" s="790">
        <v>1</v>
      </c>
      <c r="E196" s="790">
        <v>398</v>
      </c>
      <c r="F196" s="790">
        <v>1057</v>
      </c>
      <c r="G196" s="790">
        <v>5</v>
      </c>
      <c r="H196" s="790">
        <v>54</v>
      </c>
      <c r="I196" s="790">
        <v>86</v>
      </c>
      <c r="J196" s="790">
        <v>113</v>
      </c>
    </row>
    <row r="197" spans="1:10">
      <c r="A197" s="781">
        <v>44774</v>
      </c>
      <c r="B197" s="790" t="s">
        <v>83</v>
      </c>
      <c r="C197" s="790">
        <v>1605</v>
      </c>
      <c r="D197" s="790">
        <v>1</v>
      </c>
      <c r="E197" s="790">
        <v>522</v>
      </c>
      <c r="F197" s="790">
        <v>908</v>
      </c>
      <c r="G197" s="790">
        <v>1</v>
      </c>
      <c r="H197" s="790">
        <v>36</v>
      </c>
      <c r="I197" s="790">
        <v>174</v>
      </c>
      <c r="J197" s="790">
        <v>27</v>
      </c>
    </row>
    <row r="198" spans="1:10">
      <c r="A198" s="781">
        <v>44774</v>
      </c>
      <c r="B198" s="790" t="s">
        <v>84</v>
      </c>
      <c r="C198" s="790">
        <v>1662</v>
      </c>
      <c r="D198" s="790">
        <v>1</v>
      </c>
      <c r="E198" s="790">
        <v>531</v>
      </c>
      <c r="F198" s="790">
        <v>911</v>
      </c>
      <c r="G198" s="790">
        <v>14</v>
      </c>
      <c r="H198" s="790">
        <v>49</v>
      </c>
      <c r="I198" s="790">
        <v>184</v>
      </c>
      <c r="J198" s="790">
        <v>38</v>
      </c>
    </row>
    <row r="199" spans="1:10">
      <c r="A199" s="781">
        <v>44774</v>
      </c>
      <c r="B199" s="790" t="s">
        <v>85</v>
      </c>
      <c r="C199" s="790">
        <v>3270</v>
      </c>
      <c r="D199" s="790"/>
      <c r="E199" s="790">
        <v>1003</v>
      </c>
      <c r="F199" s="790">
        <v>2133</v>
      </c>
      <c r="G199" s="790">
        <v>8</v>
      </c>
      <c r="H199" s="790">
        <v>53</v>
      </c>
      <c r="I199" s="790">
        <v>115</v>
      </c>
      <c r="J199" s="790">
        <v>39</v>
      </c>
    </row>
    <row r="200" spans="1:10">
      <c r="A200" s="781">
        <v>44774</v>
      </c>
      <c r="B200" s="790" t="s">
        <v>86</v>
      </c>
      <c r="C200" s="790">
        <v>766</v>
      </c>
      <c r="D200" s="790"/>
      <c r="E200" s="790">
        <v>184</v>
      </c>
      <c r="F200" s="790">
        <v>487</v>
      </c>
      <c r="G200" s="790">
        <v>2</v>
      </c>
      <c r="H200" s="790">
        <v>17</v>
      </c>
      <c r="I200" s="790">
        <v>70</v>
      </c>
      <c r="J200" s="790">
        <v>32</v>
      </c>
    </row>
    <row r="201" spans="1:10">
      <c r="A201" s="781">
        <v>44774</v>
      </c>
      <c r="B201" s="790" t="s">
        <v>89</v>
      </c>
      <c r="C201" s="790">
        <v>5905</v>
      </c>
      <c r="D201" s="790">
        <v>11</v>
      </c>
      <c r="E201" s="790">
        <v>1202</v>
      </c>
      <c r="F201" s="790">
        <v>4140</v>
      </c>
      <c r="G201" s="790">
        <v>23</v>
      </c>
      <c r="H201" s="790">
        <v>153</v>
      </c>
      <c r="I201" s="790">
        <v>569</v>
      </c>
      <c r="J201" s="790">
        <v>131</v>
      </c>
    </row>
    <row r="202" spans="1:10">
      <c r="A202" s="781">
        <v>44774</v>
      </c>
      <c r="B202" s="790" t="s">
        <v>88</v>
      </c>
      <c r="C202" s="790">
        <v>1966</v>
      </c>
      <c r="D202" s="790">
        <v>1</v>
      </c>
      <c r="E202" s="790">
        <v>653</v>
      </c>
      <c r="F202" s="790">
        <v>1079</v>
      </c>
      <c r="G202" s="790">
        <v>8</v>
      </c>
      <c r="H202" s="790">
        <v>69</v>
      </c>
      <c r="I202" s="790">
        <v>236</v>
      </c>
      <c r="J202" s="790">
        <v>45</v>
      </c>
    </row>
    <row r="203" spans="1:10">
      <c r="A203" s="781">
        <v>44774</v>
      </c>
      <c r="B203" s="790" t="s">
        <v>87</v>
      </c>
      <c r="C203" s="790">
        <v>3179</v>
      </c>
      <c r="D203" s="790"/>
      <c r="E203" s="790">
        <v>1132</v>
      </c>
      <c r="F203" s="790">
        <v>1958</v>
      </c>
      <c r="G203" s="790">
        <v>31</v>
      </c>
      <c r="H203" s="790">
        <v>69</v>
      </c>
      <c r="I203" s="790">
        <v>215</v>
      </c>
      <c r="J203" s="790">
        <v>28</v>
      </c>
    </row>
    <row r="204" spans="1:10">
      <c r="A204" s="781">
        <v>44774</v>
      </c>
      <c r="B204" s="790" t="s">
        <v>90</v>
      </c>
      <c r="C204" s="790">
        <v>1232</v>
      </c>
      <c r="D204" s="790"/>
      <c r="E204" s="790">
        <v>386</v>
      </c>
      <c r="F204" s="790">
        <v>696</v>
      </c>
      <c r="G204" s="790">
        <v>35</v>
      </c>
      <c r="H204" s="790">
        <v>40</v>
      </c>
      <c r="I204" s="790">
        <v>64</v>
      </c>
      <c r="J204" s="790">
        <v>35</v>
      </c>
    </row>
    <row r="205" spans="1:10">
      <c r="A205" s="781">
        <v>44774</v>
      </c>
      <c r="B205" s="790" t="s">
        <v>91</v>
      </c>
      <c r="C205" s="790">
        <v>1127</v>
      </c>
      <c r="D205" s="790"/>
      <c r="E205" s="790">
        <v>265</v>
      </c>
      <c r="F205" s="790">
        <v>810</v>
      </c>
      <c r="G205" s="790">
        <v>7</v>
      </c>
      <c r="H205" s="790">
        <v>16</v>
      </c>
      <c r="I205" s="790">
        <v>50</v>
      </c>
      <c r="J205" s="790">
        <v>5</v>
      </c>
    </row>
    <row r="206" spans="1:10">
      <c r="A206" s="781">
        <v>44774</v>
      </c>
      <c r="B206" s="790" t="s">
        <v>93</v>
      </c>
      <c r="C206" s="790">
        <v>1960</v>
      </c>
      <c r="D206" s="790">
        <v>4</v>
      </c>
      <c r="E206" s="790">
        <v>318</v>
      </c>
      <c r="F206" s="790">
        <v>1347</v>
      </c>
      <c r="G206" s="790">
        <v>23</v>
      </c>
      <c r="H206" s="790">
        <v>59</v>
      </c>
      <c r="I206" s="790">
        <v>219</v>
      </c>
      <c r="J206" s="790">
        <v>55</v>
      </c>
    </row>
    <row r="207" spans="1:10">
      <c r="A207" s="781">
        <v>44774</v>
      </c>
      <c r="B207" s="790" t="s">
        <v>94</v>
      </c>
      <c r="C207" s="790">
        <v>598</v>
      </c>
      <c r="D207" s="790"/>
      <c r="E207" s="790">
        <v>142</v>
      </c>
      <c r="F207" s="790">
        <v>373</v>
      </c>
      <c r="G207" s="790">
        <v>3</v>
      </c>
      <c r="H207" s="790">
        <v>9</v>
      </c>
      <c r="I207" s="790">
        <v>59</v>
      </c>
      <c r="J207" s="790">
        <v>28</v>
      </c>
    </row>
    <row r="208" spans="1:10">
      <c r="A208" s="781">
        <v>44774</v>
      </c>
      <c r="B208" s="790" t="s">
        <v>92</v>
      </c>
      <c r="C208" s="790">
        <v>7233</v>
      </c>
      <c r="D208" s="790">
        <v>9</v>
      </c>
      <c r="E208" s="790">
        <v>2507</v>
      </c>
      <c r="F208" s="790">
        <v>4152</v>
      </c>
      <c r="G208" s="790">
        <v>62</v>
      </c>
      <c r="H208" s="790">
        <v>188</v>
      </c>
      <c r="I208" s="790">
        <v>433</v>
      </c>
      <c r="J208" s="790">
        <v>361</v>
      </c>
    </row>
    <row r="209" spans="1:10">
      <c r="A209" s="781">
        <v>44774</v>
      </c>
      <c r="B209" s="790" t="s">
        <v>95</v>
      </c>
      <c r="C209" s="790">
        <v>6684</v>
      </c>
      <c r="D209" s="790">
        <v>2</v>
      </c>
      <c r="E209" s="790">
        <v>2470</v>
      </c>
      <c r="F209" s="790">
        <v>3450</v>
      </c>
      <c r="G209" s="790">
        <v>108</v>
      </c>
      <c r="H209" s="790">
        <v>208</v>
      </c>
      <c r="I209" s="790">
        <v>619</v>
      </c>
      <c r="J209" s="790">
        <v>51</v>
      </c>
    </row>
    <row r="210" spans="1:10">
      <c r="A210" s="781">
        <v>44774</v>
      </c>
      <c r="B210" s="790" t="s">
        <v>96</v>
      </c>
      <c r="C210" s="790">
        <v>925</v>
      </c>
      <c r="D210" s="790">
        <v>1</v>
      </c>
      <c r="E210" s="790">
        <v>162</v>
      </c>
      <c r="F210" s="790">
        <v>654</v>
      </c>
      <c r="G210" s="790">
        <v>1</v>
      </c>
      <c r="H210" s="790">
        <v>14</v>
      </c>
      <c r="I210" s="790">
        <v>73</v>
      </c>
      <c r="J210" s="790">
        <v>41</v>
      </c>
    </row>
    <row r="211" spans="1:10">
      <c r="A211" s="781">
        <v>44774</v>
      </c>
      <c r="B211" s="790" t="s">
        <v>98</v>
      </c>
      <c r="C211" s="790">
        <v>908</v>
      </c>
      <c r="D211" s="790">
        <v>2</v>
      </c>
      <c r="E211" s="790">
        <v>257</v>
      </c>
      <c r="F211" s="790">
        <v>560</v>
      </c>
      <c r="G211" s="790">
        <v>10</v>
      </c>
      <c r="H211" s="790">
        <v>18</v>
      </c>
      <c r="I211" s="790">
        <v>139</v>
      </c>
      <c r="J211" s="790">
        <v>13</v>
      </c>
    </row>
    <row r="212" spans="1:10">
      <c r="A212" s="781">
        <v>44774</v>
      </c>
      <c r="B212" s="790" t="s">
        <v>99</v>
      </c>
      <c r="C212" s="790">
        <v>129</v>
      </c>
      <c r="D212" s="790"/>
      <c r="E212" s="790">
        <v>38</v>
      </c>
      <c r="F212" s="790">
        <v>83</v>
      </c>
      <c r="G212" s="790">
        <v>4</v>
      </c>
      <c r="H212" s="790">
        <v>3</v>
      </c>
      <c r="I212" s="790">
        <v>6</v>
      </c>
      <c r="J212" s="790"/>
    </row>
    <row r="213" spans="1:10">
      <c r="A213" s="781">
        <v>44774</v>
      </c>
      <c r="B213" s="790" t="s">
        <v>97</v>
      </c>
      <c r="C213" s="790">
        <v>9379</v>
      </c>
      <c r="D213" s="790">
        <v>1</v>
      </c>
      <c r="E213" s="790">
        <v>3342</v>
      </c>
      <c r="F213" s="790">
        <v>4478</v>
      </c>
      <c r="G213" s="790">
        <v>37</v>
      </c>
      <c r="H213" s="790">
        <v>243</v>
      </c>
      <c r="I213" s="790">
        <v>1787</v>
      </c>
      <c r="J213" s="790">
        <v>228</v>
      </c>
    </row>
    <row r="214" spans="1:10">
      <c r="A214" s="781">
        <v>44774</v>
      </c>
      <c r="B214" s="790" t="s">
        <v>100</v>
      </c>
      <c r="C214" s="790">
        <v>5894</v>
      </c>
      <c r="D214" s="790">
        <v>8</v>
      </c>
      <c r="E214" s="790">
        <v>1940</v>
      </c>
      <c r="F214" s="790">
        <v>3080</v>
      </c>
      <c r="G214" s="790">
        <v>76</v>
      </c>
      <c r="H214" s="790">
        <v>156</v>
      </c>
      <c r="I214" s="790">
        <v>722</v>
      </c>
      <c r="J214" s="790">
        <v>289</v>
      </c>
    </row>
    <row r="215" spans="1:10">
      <c r="A215" s="781">
        <v>44774</v>
      </c>
      <c r="B215" s="790" t="s">
        <v>102</v>
      </c>
      <c r="C215" s="790">
        <v>821</v>
      </c>
      <c r="D215" s="790"/>
      <c r="E215" s="790">
        <v>256</v>
      </c>
      <c r="F215" s="790">
        <v>575</v>
      </c>
      <c r="G215" s="790">
        <v>5</v>
      </c>
      <c r="H215" s="790">
        <v>23</v>
      </c>
      <c r="I215" s="790">
        <v>71</v>
      </c>
      <c r="J215" s="790">
        <v>19</v>
      </c>
    </row>
    <row r="216" spans="1:10">
      <c r="A216" s="781">
        <v>44774</v>
      </c>
      <c r="B216" s="790" t="s">
        <v>101</v>
      </c>
      <c r="C216" s="790">
        <v>33179</v>
      </c>
      <c r="D216" s="790">
        <v>4</v>
      </c>
      <c r="E216" s="790">
        <v>13590</v>
      </c>
      <c r="F216" s="790">
        <v>14379</v>
      </c>
      <c r="G216" s="790">
        <v>329</v>
      </c>
      <c r="H216" s="790">
        <v>1870</v>
      </c>
      <c r="I216" s="790">
        <v>4264</v>
      </c>
      <c r="J216" s="790">
        <v>537</v>
      </c>
    </row>
    <row r="217" spans="1:10">
      <c r="A217" s="781">
        <v>44774</v>
      </c>
      <c r="B217" s="790" t="s">
        <v>103</v>
      </c>
      <c r="C217" s="790">
        <v>479</v>
      </c>
      <c r="D217" s="790"/>
      <c r="E217" s="790">
        <v>139</v>
      </c>
      <c r="F217" s="790">
        <v>312</v>
      </c>
      <c r="G217" s="790"/>
      <c r="H217" s="790">
        <v>6</v>
      </c>
      <c r="I217" s="790">
        <v>27</v>
      </c>
      <c r="J217" s="790">
        <v>3</v>
      </c>
    </row>
    <row r="218" spans="1:10">
      <c r="A218" s="781">
        <v>44805</v>
      </c>
      <c r="B218" s="790" t="s">
        <v>77</v>
      </c>
      <c r="C218" s="566">
        <v>262</v>
      </c>
      <c r="E218" s="566">
        <v>72</v>
      </c>
      <c r="F218" s="566">
        <v>175</v>
      </c>
      <c r="G218" s="566">
        <v>2</v>
      </c>
      <c r="H218" s="566">
        <v>4</v>
      </c>
      <c r="I218" s="566">
        <v>6</v>
      </c>
      <c r="J218" s="566">
        <v>7</v>
      </c>
    </row>
    <row r="219" spans="1:10">
      <c r="A219" s="781">
        <v>44805</v>
      </c>
      <c r="B219" s="790" t="s">
        <v>78</v>
      </c>
      <c r="C219" s="566">
        <v>825</v>
      </c>
      <c r="E219" s="566">
        <v>206</v>
      </c>
      <c r="F219" s="566">
        <v>550</v>
      </c>
      <c r="G219" s="566">
        <v>4</v>
      </c>
      <c r="H219" s="566">
        <v>15</v>
      </c>
      <c r="I219" s="566">
        <v>53</v>
      </c>
      <c r="J219" s="566">
        <v>39</v>
      </c>
    </row>
    <row r="220" spans="1:10">
      <c r="A220" s="781">
        <v>44805</v>
      </c>
      <c r="B220" s="790" t="s">
        <v>80</v>
      </c>
      <c r="C220" s="566">
        <v>650</v>
      </c>
      <c r="E220" s="566">
        <v>169</v>
      </c>
      <c r="F220" s="566">
        <v>429</v>
      </c>
      <c r="G220" s="566">
        <v>7</v>
      </c>
      <c r="H220" s="566">
        <v>7</v>
      </c>
      <c r="I220" s="566">
        <v>41</v>
      </c>
      <c r="J220" s="566">
        <v>17</v>
      </c>
    </row>
    <row r="221" spans="1:10">
      <c r="A221" s="781">
        <v>44805</v>
      </c>
      <c r="B221" s="790" t="s">
        <v>79</v>
      </c>
      <c r="C221" s="566">
        <v>404</v>
      </c>
      <c r="E221" s="566">
        <v>165</v>
      </c>
      <c r="F221" s="566">
        <v>192</v>
      </c>
      <c r="G221" s="566">
        <v>7</v>
      </c>
      <c r="H221" s="566">
        <v>26</v>
      </c>
      <c r="I221" s="566">
        <v>8</v>
      </c>
      <c r="J221" s="566">
        <v>12</v>
      </c>
    </row>
    <row r="222" spans="1:10">
      <c r="A222" s="781">
        <v>44805</v>
      </c>
      <c r="B222" s="790" t="s">
        <v>81</v>
      </c>
      <c r="C222" s="566">
        <v>2206</v>
      </c>
      <c r="D222" s="566">
        <v>1</v>
      </c>
      <c r="E222" s="566">
        <v>547</v>
      </c>
      <c r="F222" s="566">
        <v>1470</v>
      </c>
      <c r="G222" s="566">
        <v>25</v>
      </c>
      <c r="H222" s="566">
        <v>50</v>
      </c>
      <c r="I222" s="566">
        <v>133</v>
      </c>
      <c r="J222" s="566">
        <v>36</v>
      </c>
    </row>
    <row r="223" spans="1:10">
      <c r="A223" s="781">
        <v>44805</v>
      </c>
      <c r="B223" s="790" t="s">
        <v>82</v>
      </c>
      <c r="C223" s="566">
        <v>1550</v>
      </c>
      <c r="E223" s="566">
        <v>403</v>
      </c>
      <c r="F223" s="566">
        <v>987</v>
      </c>
      <c r="G223" s="566">
        <v>13</v>
      </c>
      <c r="H223" s="566">
        <v>41</v>
      </c>
      <c r="I223" s="566">
        <v>94</v>
      </c>
      <c r="J223" s="566">
        <v>75</v>
      </c>
    </row>
    <row r="224" spans="1:10">
      <c r="A224" s="781">
        <v>44805</v>
      </c>
      <c r="B224" s="790" t="s">
        <v>83</v>
      </c>
      <c r="C224" s="566">
        <v>1420</v>
      </c>
      <c r="E224" s="566">
        <v>447</v>
      </c>
      <c r="F224" s="566">
        <v>824</v>
      </c>
      <c r="G224" s="566">
        <v>3</v>
      </c>
      <c r="H224" s="566">
        <v>56</v>
      </c>
      <c r="I224" s="566">
        <v>133</v>
      </c>
      <c r="J224" s="566">
        <v>21</v>
      </c>
    </row>
    <row r="225" spans="1:10">
      <c r="A225" s="781">
        <v>44805</v>
      </c>
      <c r="B225" s="790" t="s">
        <v>84</v>
      </c>
      <c r="C225" s="566">
        <v>1591</v>
      </c>
      <c r="E225" s="566">
        <v>520</v>
      </c>
      <c r="F225" s="566">
        <v>858</v>
      </c>
      <c r="G225" s="566">
        <v>8</v>
      </c>
      <c r="H225" s="566">
        <v>23</v>
      </c>
      <c r="I225" s="566">
        <v>177</v>
      </c>
      <c r="J225" s="566">
        <v>52</v>
      </c>
    </row>
    <row r="226" spans="1:10">
      <c r="A226" s="781">
        <v>44805</v>
      </c>
      <c r="B226" s="790" t="s">
        <v>85</v>
      </c>
      <c r="C226" s="566">
        <v>2695</v>
      </c>
      <c r="D226" s="566">
        <v>1</v>
      </c>
      <c r="E226" s="566">
        <v>791</v>
      </c>
      <c r="F226" s="566">
        <v>1753</v>
      </c>
      <c r="G226" s="566">
        <v>5</v>
      </c>
      <c r="H226" s="566">
        <v>47</v>
      </c>
      <c r="I226" s="566">
        <v>120</v>
      </c>
      <c r="J226" s="566">
        <v>38</v>
      </c>
    </row>
    <row r="227" spans="1:10">
      <c r="A227" s="781">
        <v>44805</v>
      </c>
      <c r="B227" s="790" t="s">
        <v>86</v>
      </c>
      <c r="C227" s="566">
        <v>682</v>
      </c>
      <c r="E227" s="566">
        <v>165</v>
      </c>
      <c r="F227" s="566">
        <v>433</v>
      </c>
      <c r="G227" s="566">
        <v>5</v>
      </c>
      <c r="H227" s="566">
        <v>11</v>
      </c>
      <c r="I227" s="566">
        <v>55</v>
      </c>
      <c r="J227" s="566">
        <v>39</v>
      </c>
    </row>
    <row r="228" spans="1:10">
      <c r="A228" s="781">
        <v>44805</v>
      </c>
      <c r="B228" s="790" t="s">
        <v>89</v>
      </c>
      <c r="C228" s="566">
        <v>5586</v>
      </c>
      <c r="D228" s="566">
        <v>2</v>
      </c>
      <c r="E228" s="566">
        <v>989</v>
      </c>
      <c r="F228" s="566">
        <v>3976</v>
      </c>
      <c r="G228" s="566">
        <v>26</v>
      </c>
      <c r="H228" s="566">
        <v>195</v>
      </c>
      <c r="I228" s="566">
        <v>553</v>
      </c>
      <c r="J228" s="566">
        <v>161</v>
      </c>
    </row>
    <row r="229" spans="1:10">
      <c r="A229" s="781">
        <v>44805</v>
      </c>
      <c r="B229" s="790" t="s">
        <v>88</v>
      </c>
      <c r="C229" s="566">
        <v>1813</v>
      </c>
      <c r="D229" s="566">
        <v>1</v>
      </c>
      <c r="E229" s="566">
        <v>575</v>
      </c>
      <c r="F229" s="566">
        <v>1008</v>
      </c>
      <c r="G229" s="566">
        <v>11</v>
      </c>
      <c r="H229" s="566">
        <v>48</v>
      </c>
      <c r="I229" s="566">
        <v>245</v>
      </c>
      <c r="J229" s="566">
        <v>40</v>
      </c>
    </row>
    <row r="230" spans="1:10">
      <c r="A230" s="781">
        <v>44805</v>
      </c>
      <c r="B230" s="790" t="s">
        <v>87</v>
      </c>
      <c r="C230" s="566">
        <v>2839</v>
      </c>
      <c r="D230" s="566">
        <v>1</v>
      </c>
      <c r="E230" s="566">
        <v>1022</v>
      </c>
      <c r="F230" s="566">
        <v>1725</v>
      </c>
      <c r="G230" s="566">
        <v>44</v>
      </c>
      <c r="H230" s="566">
        <v>56</v>
      </c>
      <c r="I230" s="566">
        <v>217</v>
      </c>
      <c r="J230" s="566">
        <v>41</v>
      </c>
    </row>
    <row r="231" spans="1:10">
      <c r="A231" s="781">
        <v>44805</v>
      </c>
      <c r="B231" s="790" t="s">
        <v>90</v>
      </c>
      <c r="C231" s="566">
        <v>950</v>
      </c>
      <c r="D231" s="566">
        <v>2</v>
      </c>
      <c r="E231" s="566">
        <v>256</v>
      </c>
      <c r="F231" s="566">
        <v>584</v>
      </c>
      <c r="G231" s="566">
        <v>16</v>
      </c>
      <c r="H231" s="566">
        <v>41</v>
      </c>
      <c r="I231" s="566">
        <v>55</v>
      </c>
      <c r="J231" s="566">
        <v>23</v>
      </c>
    </row>
    <row r="232" spans="1:10">
      <c r="A232" s="781">
        <v>44805</v>
      </c>
      <c r="B232" s="790" t="s">
        <v>91</v>
      </c>
      <c r="C232" s="566">
        <v>1108</v>
      </c>
      <c r="E232" s="566">
        <v>268</v>
      </c>
      <c r="F232" s="566">
        <v>787</v>
      </c>
      <c r="G232" s="566">
        <v>6</v>
      </c>
      <c r="H232" s="566">
        <v>27</v>
      </c>
      <c r="I232" s="566">
        <v>35</v>
      </c>
      <c r="J232" s="566">
        <v>6</v>
      </c>
    </row>
    <row r="233" spans="1:10">
      <c r="A233" s="781">
        <v>44805</v>
      </c>
      <c r="B233" s="790" t="s">
        <v>93</v>
      </c>
      <c r="C233" s="566">
        <v>1920</v>
      </c>
      <c r="E233" s="566">
        <v>416</v>
      </c>
      <c r="F233" s="566">
        <v>1267</v>
      </c>
      <c r="G233" s="566">
        <v>13</v>
      </c>
      <c r="H233" s="566">
        <v>37</v>
      </c>
      <c r="I233" s="566">
        <v>196</v>
      </c>
      <c r="J233" s="566">
        <v>44</v>
      </c>
    </row>
    <row r="234" spans="1:10">
      <c r="A234" s="781">
        <v>44805</v>
      </c>
      <c r="B234" s="790" t="s">
        <v>94</v>
      </c>
      <c r="C234" s="566">
        <v>475</v>
      </c>
      <c r="E234" s="566">
        <v>109</v>
      </c>
      <c r="F234" s="566">
        <v>282</v>
      </c>
      <c r="G234" s="566">
        <v>3</v>
      </c>
      <c r="H234" s="566">
        <v>10</v>
      </c>
      <c r="I234" s="566">
        <v>65</v>
      </c>
      <c r="J234" s="566">
        <v>19</v>
      </c>
    </row>
    <row r="235" spans="1:10">
      <c r="A235" s="781">
        <v>44805</v>
      </c>
      <c r="B235" s="790" t="s">
        <v>92</v>
      </c>
      <c r="C235" s="566">
        <v>6171</v>
      </c>
      <c r="D235" s="566">
        <v>3</v>
      </c>
      <c r="E235" s="566">
        <v>2142</v>
      </c>
      <c r="F235" s="566">
        <v>3551</v>
      </c>
      <c r="G235" s="566">
        <v>47</v>
      </c>
      <c r="H235" s="566">
        <v>153</v>
      </c>
      <c r="I235" s="566">
        <v>381</v>
      </c>
      <c r="J235" s="566">
        <v>285</v>
      </c>
    </row>
    <row r="236" spans="1:10">
      <c r="A236" s="781">
        <v>44805</v>
      </c>
      <c r="B236" s="790" t="s">
        <v>95</v>
      </c>
      <c r="C236" s="566">
        <v>5796</v>
      </c>
      <c r="D236" s="566">
        <v>2</v>
      </c>
      <c r="E236" s="566">
        <v>2188</v>
      </c>
      <c r="F236" s="566">
        <v>2994</v>
      </c>
      <c r="G236" s="566">
        <v>84</v>
      </c>
      <c r="H236" s="566">
        <v>241</v>
      </c>
      <c r="I236" s="566">
        <v>480</v>
      </c>
      <c r="J236" s="566">
        <v>53</v>
      </c>
    </row>
    <row r="237" spans="1:10">
      <c r="A237" s="781">
        <v>44805</v>
      </c>
      <c r="B237" s="790" t="s">
        <v>96</v>
      </c>
      <c r="C237" s="566">
        <v>875</v>
      </c>
      <c r="E237" s="566">
        <v>187</v>
      </c>
      <c r="F237" s="566">
        <v>607</v>
      </c>
      <c r="H237" s="566">
        <v>16</v>
      </c>
      <c r="I237" s="566">
        <v>79</v>
      </c>
      <c r="J237" s="566">
        <v>21</v>
      </c>
    </row>
    <row r="238" spans="1:10">
      <c r="A238" s="781">
        <v>44805</v>
      </c>
      <c r="B238" s="790" t="s">
        <v>98</v>
      </c>
      <c r="C238" s="566">
        <v>788</v>
      </c>
      <c r="D238" s="566">
        <v>1</v>
      </c>
      <c r="E238" s="566">
        <v>223</v>
      </c>
      <c r="F238" s="566">
        <v>475</v>
      </c>
      <c r="G238" s="566">
        <v>9</v>
      </c>
      <c r="H238" s="566">
        <v>20</v>
      </c>
      <c r="I238" s="566">
        <v>130</v>
      </c>
      <c r="J238" s="566">
        <v>9</v>
      </c>
    </row>
    <row r="239" spans="1:10">
      <c r="A239" s="781">
        <v>44805</v>
      </c>
      <c r="B239" s="790" t="s">
        <v>99</v>
      </c>
      <c r="C239" s="566">
        <v>136</v>
      </c>
      <c r="E239" s="566">
        <v>26</v>
      </c>
      <c r="F239" s="566">
        <v>94</v>
      </c>
      <c r="G239" s="566">
        <v>2</v>
      </c>
      <c r="H239" s="566">
        <v>6</v>
      </c>
      <c r="I239" s="566">
        <v>13</v>
      </c>
      <c r="J239" s="566">
        <v>2</v>
      </c>
    </row>
    <row r="240" spans="1:10">
      <c r="A240" s="781">
        <v>44805</v>
      </c>
      <c r="B240" s="790" t="s">
        <v>97</v>
      </c>
      <c r="C240" s="566">
        <v>8387</v>
      </c>
      <c r="D240" s="566">
        <v>3</v>
      </c>
      <c r="E240" s="566">
        <v>2946</v>
      </c>
      <c r="F240" s="566">
        <v>3940</v>
      </c>
      <c r="G240" s="566">
        <v>37</v>
      </c>
      <c r="H240" s="566">
        <v>194</v>
      </c>
      <c r="I240" s="566">
        <v>1668</v>
      </c>
      <c r="J240" s="566">
        <v>250</v>
      </c>
    </row>
    <row r="241" spans="1:10">
      <c r="A241" s="781">
        <v>44805</v>
      </c>
      <c r="B241" s="790" t="s">
        <v>100</v>
      </c>
      <c r="C241" s="566">
        <v>5343</v>
      </c>
      <c r="D241" s="566">
        <v>6</v>
      </c>
      <c r="E241" s="566">
        <v>1798</v>
      </c>
      <c r="F241" s="566">
        <v>2728</v>
      </c>
      <c r="G241" s="566">
        <v>83</v>
      </c>
      <c r="H241" s="566">
        <v>120</v>
      </c>
      <c r="I241" s="566">
        <v>668</v>
      </c>
      <c r="J241" s="566">
        <v>268</v>
      </c>
    </row>
    <row r="242" spans="1:10">
      <c r="A242" s="781">
        <v>44805</v>
      </c>
      <c r="B242" s="790" t="s">
        <v>102</v>
      </c>
      <c r="C242" s="566">
        <v>855</v>
      </c>
      <c r="E242" s="566">
        <v>314</v>
      </c>
      <c r="F242" s="566">
        <v>631</v>
      </c>
      <c r="G242" s="566">
        <v>6</v>
      </c>
      <c r="H242" s="566">
        <v>14</v>
      </c>
      <c r="I242" s="566">
        <v>62</v>
      </c>
      <c r="J242" s="566">
        <v>13</v>
      </c>
    </row>
    <row r="243" spans="1:10">
      <c r="A243" s="781">
        <v>44805</v>
      </c>
      <c r="B243" s="790" t="s">
        <v>101</v>
      </c>
      <c r="C243" s="566">
        <v>29505</v>
      </c>
      <c r="D243" s="566">
        <v>4</v>
      </c>
      <c r="E243" s="566">
        <v>11801</v>
      </c>
      <c r="F243" s="566">
        <v>12933</v>
      </c>
      <c r="G243" s="566">
        <v>328</v>
      </c>
      <c r="H243" s="566">
        <v>1623</v>
      </c>
      <c r="I243" s="566">
        <v>4009</v>
      </c>
      <c r="J243" s="566">
        <v>374</v>
      </c>
    </row>
    <row r="244" spans="1:10">
      <c r="A244" s="781">
        <v>44805</v>
      </c>
      <c r="B244" s="790" t="s">
        <v>103</v>
      </c>
      <c r="C244" s="566">
        <v>418</v>
      </c>
      <c r="E244" s="566">
        <v>94</v>
      </c>
      <c r="F244" s="566">
        <v>292</v>
      </c>
      <c r="H244" s="566">
        <v>13</v>
      </c>
      <c r="I244" s="566">
        <v>37</v>
      </c>
    </row>
  </sheetData>
  <autoFilter ref="A1:AO163"/>
  <pageMargins left="0.511811024" right="0.511811024" top="0.78740157499999996" bottom="0.78740157499999996" header="0.31496062000000002" footer="0.31496062000000002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1">
    <tabColor rgb="FF2A5664"/>
  </sheetPr>
  <dimension ref="A1:EM177"/>
  <sheetViews>
    <sheetView zoomScale="85" zoomScaleNormal="85" zoomScaleSheetLayoutView="40" workbookViewId="0">
      <pane xSplit="1" ySplit="3" topLeftCell="DW4" activePane="bottomRight" state="frozen"/>
      <selection sqref="A1:AC1"/>
      <selection pane="topRight" sqref="A1:AC1"/>
      <selection pane="bottomLeft" sqref="A1:AC1"/>
      <selection pane="bottomRight" sqref="A1:AC1"/>
    </sheetView>
  </sheetViews>
  <sheetFormatPr defaultRowHeight="15"/>
  <cols>
    <col min="1" max="1" width="18" style="68" customWidth="1"/>
    <col min="2" max="2" width="23" style="68" customWidth="1"/>
    <col min="3" max="3" width="15" style="68" customWidth="1"/>
    <col min="4" max="20" width="14.85546875" style="68" customWidth="1"/>
    <col min="21" max="48" width="13.5703125" style="68" customWidth="1"/>
    <col min="49" max="50" width="18.28515625" style="529" customWidth="1"/>
    <col min="51" max="51" width="13.5703125" style="68" customWidth="1"/>
    <col min="52" max="53" width="18.140625" style="529" customWidth="1"/>
    <col min="54" max="54" width="10.28515625" style="68" customWidth="1"/>
    <col min="55" max="56" width="18.140625" style="529" customWidth="1"/>
    <col min="57" max="57" width="10.28515625" style="68" customWidth="1"/>
    <col min="58" max="59" width="18.140625" style="529" customWidth="1"/>
    <col min="60" max="60" width="10.28515625" style="68" customWidth="1"/>
    <col min="61" max="62" width="18.140625" style="68" customWidth="1"/>
    <col min="63" max="63" width="10.28515625" style="68" customWidth="1"/>
    <col min="64" max="65" width="18.140625" style="68" customWidth="1"/>
    <col min="66" max="66" width="10.28515625" style="68" customWidth="1"/>
    <col min="67" max="67" width="18.140625" style="68" customWidth="1"/>
    <col min="68" max="70" width="13.5703125" style="68" customWidth="1"/>
    <col min="71" max="71" width="32.7109375" bestFit="1" customWidth="1"/>
    <col min="72" max="72" width="18.7109375" bestFit="1" customWidth="1"/>
    <col min="73" max="73" width="23.42578125" style="117" customWidth="1"/>
    <col min="74" max="74" width="16.42578125" style="750" bestFit="1" customWidth="1"/>
    <col min="75" max="75" width="26" style="759" customWidth="1"/>
    <col min="76" max="76" width="15" style="117" customWidth="1"/>
    <col min="77" max="78" width="15" style="759" customWidth="1"/>
    <col min="79" max="79" width="15" style="117" customWidth="1"/>
    <col min="80" max="81" width="15" style="759" customWidth="1"/>
    <col min="82" max="82" width="15" style="117" customWidth="1"/>
    <col min="83" max="84" width="15" style="759" customWidth="1"/>
    <col min="85" max="85" width="15" style="124" customWidth="1"/>
    <col min="86" max="87" width="15" style="759" customWidth="1"/>
    <col min="88" max="88" width="15" style="124" customWidth="1"/>
    <col min="89" max="90" width="15" style="759" customWidth="1"/>
    <col min="91" max="91" width="15" style="124" customWidth="1"/>
    <col min="92" max="92" width="15" style="117" customWidth="1"/>
    <col min="93" max="93" width="15" style="303" customWidth="1"/>
    <col min="94" max="94" width="15" style="117" customWidth="1"/>
    <col min="95" max="95" width="15" style="124" customWidth="1"/>
    <col min="96" max="98" width="15" style="117" customWidth="1"/>
    <col min="99" max="99" width="15" style="124" customWidth="1"/>
    <col min="100" max="100" width="15" style="303" customWidth="1"/>
    <col min="101" max="103" width="15" style="117" customWidth="1"/>
    <col min="104" max="107" width="15" style="124" customWidth="1"/>
    <col min="108" max="111" width="15" style="117" customWidth="1"/>
    <col min="112" max="114" width="15" style="124" customWidth="1"/>
    <col min="115" max="115" width="15" style="117" customWidth="1"/>
    <col min="116" max="117" width="15" style="324" customWidth="1"/>
    <col min="118" max="118" width="15" style="117" customWidth="1"/>
    <col min="119" max="120" width="15" style="759" customWidth="1"/>
    <col min="121" max="121" width="15" style="39" customWidth="1"/>
    <col min="122" max="122" width="15" style="128" customWidth="1"/>
    <col min="123" max="123" width="15.140625" style="128" customWidth="1"/>
    <col min="124" max="124" width="15.140625" style="39" customWidth="1"/>
    <col min="125" max="126" width="15.140625" style="128" customWidth="1"/>
    <col min="127" max="127" width="15.140625" style="39" customWidth="1"/>
    <col min="128" max="129" width="15.140625" style="128" customWidth="1"/>
    <col min="130" max="130" width="15.140625" style="39" customWidth="1"/>
    <col min="131" max="132" width="15.140625" style="128" customWidth="1"/>
    <col min="133" max="133" width="15.140625" style="39" customWidth="1"/>
    <col min="134" max="135" width="15.140625" style="128" customWidth="1"/>
    <col min="136" max="136" width="15.140625" style="39" customWidth="1"/>
    <col min="137" max="137" width="15.85546875" style="128" bestFit="1" customWidth="1"/>
    <col min="138" max="139" width="15.140625" style="39" customWidth="1"/>
    <col min="140" max="140" width="15.140625" style="169" customWidth="1"/>
  </cols>
  <sheetData>
    <row r="1" spans="1:143">
      <c r="D1" s="1019" t="s">
        <v>242</v>
      </c>
      <c r="E1" s="1019"/>
      <c r="F1" s="1019"/>
      <c r="G1" s="1019"/>
      <c r="H1" s="1019"/>
      <c r="I1" s="1019"/>
      <c r="J1" s="1019"/>
      <c r="K1" s="1019"/>
      <c r="L1" s="1019"/>
      <c r="M1" s="1019"/>
      <c r="N1" s="1019"/>
      <c r="O1" s="1019"/>
      <c r="P1" s="1019"/>
      <c r="Q1" s="1019"/>
      <c r="R1" s="1019"/>
      <c r="S1" s="1019"/>
      <c r="T1" s="1019"/>
      <c r="U1" s="1020"/>
      <c r="V1" s="1020" t="s">
        <v>241</v>
      </c>
      <c r="W1" s="1026"/>
      <c r="X1" s="1026"/>
      <c r="Y1" s="1026"/>
      <c r="Z1" s="1026"/>
      <c r="AA1" s="1026"/>
      <c r="AB1" s="1026"/>
      <c r="AC1" s="1026"/>
      <c r="AD1" s="1026"/>
      <c r="AE1" s="1026"/>
      <c r="AF1" s="1026"/>
      <c r="AG1" s="1027"/>
      <c r="AH1" s="1028" t="s">
        <v>264</v>
      </c>
      <c r="AI1" s="1029"/>
      <c r="AJ1" s="1029"/>
      <c r="AK1" s="1029"/>
      <c r="AL1" s="1029"/>
      <c r="AM1" s="1029"/>
      <c r="AN1" s="1029"/>
      <c r="AO1" s="1029"/>
      <c r="AP1" s="1029"/>
      <c r="AQ1" s="851"/>
      <c r="AR1" s="1022" t="s">
        <v>240</v>
      </c>
      <c r="AS1" s="1023"/>
      <c r="AT1" s="1019" t="s">
        <v>555</v>
      </c>
      <c r="AU1" s="1019"/>
      <c r="AV1" s="1019"/>
      <c r="AW1" s="1032" t="s">
        <v>265</v>
      </c>
      <c r="AX1" s="1033"/>
      <c r="AY1" s="1033"/>
      <c r="AZ1" s="1033"/>
      <c r="BA1" s="1033"/>
      <c r="BB1" s="1033"/>
      <c r="BC1" s="1033"/>
      <c r="BD1" s="1033"/>
      <c r="BE1" s="1033"/>
      <c r="BF1" s="1033"/>
      <c r="BG1" s="1033"/>
      <c r="BH1" s="1033"/>
      <c r="BI1" s="1033"/>
      <c r="BJ1" s="1033"/>
      <c r="BK1" s="1033"/>
      <c r="BL1" s="1033"/>
      <c r="BM1" s="1033"/>
      <c r="BN1" s="1033"/>
      <c r="BO1" s="1033"/>
      <c r="BP1" s="1033"/>
      <c r="BQ1" s="1033"/>
      <c r="BR1" s="488"/>
    </row>
    <row r="2" spans="1:143" s="388" customFormat="1" ht="47.25">
      <c r="D2" s="1016" t="s">
        <v>173</v>
      </c>
      <c r="E2" s="1017"/>
      <c r="F2" s="1017"/>
      <c r="G2" s="1017"/>
      <c r="H2" s="1017"/>
      <c r="I2" s="1018"/>
      <c r="J2" s="1016" t="s">
        <v>174</v>
      </c>
      <c r="K2" s="1017"/>
      <c r="L2" s="1017"/>
      <c r="M2" s="1017"/>
      <c r="N2" s="1017"/>
      <c r="O2" s="1018"/>
      <c r="P2" s="1021" t="s">
        <v>28</v>
      </c>
      <c r="Q2" s="1021"/>
      <c r="R2" s="1021"/>
      <c r="S2" s="1021" t="s">
        <v>239</v>
      </c>
      <c r="T2" s="1021"/>
      <c r="U2" s="1016"/>
      <c r="V2" s="1021" t="s">
        <v>173</v>
      </c>
      <c r="W2" s="1021"/>
      <c r="X2" s="1021"/>
      <c r="Y2" s="1021"/>
      <c r="Z2" s="1021" t="s">
        <v>174</v>
      </c>
      <c r="AA2" s="1021"/>
      <c r="AB2" s="1021"/>
      <c r="AC2" s="1021"/>
      <c r="AD2" s="1016" t="s">
        <v>28</v>
      </c>
      <c r="AE2" s="1017"/>
      <c r="AF2" s="1017"/>
      <c r="AG2" s="1018"/>
      <c r="AH2" s="1016" t="s">
        <v>173</v>
      </c>
      <c r="AI2" s="1017"/>
      <c r="AJ2" s="1017"/>
      <c r="AK2" s="1017"/>
      <c r="AL2" s="1017"/>
      <c r="AM2" s="1018"/>
      <c r="AN2" s="1016" t="s">
        <v>174</v>
      </c>
      <c r="AO2" s="1017"/>
      <c r="AP2" s="1017"/>
      <c r="AQ2" s="1018"/>
      <c r="AR2" s="1024"/>
      <c r="AS2" s="1025"/>
      <c r="AT2" s="1019"/>
      <c r="AU2" s="1019"/>
      <c r="AV2" s="1019"/>
      <c r="AW2" s="1020" t="s">
        <v>251</v>
      </c>
      <c r="AX2" s="1026"/>
      <c r="AY2" s="1027"/>
      <c r="AZ2" s="1020" t="s">
        <v>44</v>
      </c>
      <c r="BA2" s="1026"/>
      <c r="BB2" s="1027"/>
      <c r="BC2" s="1020" t="s">
        <v>251</v>
      </c>
      <c r="BD2" s="1026"/>
      <c r="BE2" s="1027"/>
      <c r="BF2" s="1020" t="s">
        <v>44</v>
      </c>
      <c r="BG2" s="1026"/>
      <c r="BH2" s="1027"/>
      <c r="BI2" s="1020" t="s">
        <v>251</v>
      </c>
      <c r="BJ2" s="1026"/>
      <c r="BK2" s="1027"/>
      <c r="BL2" s="1020" t="s">
        <v>251</v>
      </c>
      <c r="BM2" s="1026"/>
      <c r="BN2" s="1027"/>
      <c r="BO2" s="526"/>
      <c r="BP2" s="389"/>
      <c r="BQ2" s="389"/>
      <c r="BR2" s="389"/>
      <c r="BV2" s="748" t="str">
        <f t="shared" ref="BV2:DA2" si="0">D3</f>
        <v>Anuidade PF - Exerc.
Exec.</v>
      </c>
      <c r="BW2" s="758" t="str">
        <f t="shared" si="0"/>
        <v>Anuidade PF - Exerc.
Previsto</v>
      </c>
      <c r="BX2" s="513" t="str">
        <f t="shared" si="0"/>
        <v>Anuidade PF - Exerc.
Exec. %</v>
      </c>
      <c r="BY2" s="758" t="str">
        <f t="shared" si="0"/>
        <v>Anuidade PF - Ex. Ant.
Exec.</v>
      </c>
      <c r="BZ2" s="758" t="str">
        <f t="shared" si="0"/>
        <v>Anuidade PF - Ex. Ant.
Previsto</v>
      </c>
      <c r="CA2" s="513" t="str">
        <f t="shared" si="0"/>
        <v>Anuidade PF - Ex. Ant.
Exec. %</v>
      </c>
      <c r="CB2" s="758" t="str">
        <f t="shared" si="0"/>
        <v>Anuidade PJ - Exerc.
Exec.</v>
      </c>
      <c r="CC2" s="758" t="str">
        <f t="shared" si="0"/>
        <v>Anuidade PJ - Exerc.
Previsto</v>
      </c>
      <c r="CD2" s="513" t="str">
        <f t="shared" si="0"/>
        <v>Anuidade PJ - Exerc.
Exec. %</v>
      </c>
      <c r="CE2" s="758" t="str">
        <f t="shared" si="0"/>
        <v>Anuidade PJ - Ex. Ant.
Exec.</v>
      </c>
      <c r="CF2" s="758" t="str">
        <f t="shared" si="0"/>
        <v>Anuidade PJ - Ex. Ant.
Previsto</v>
      </c>
      <c r="CG2" s="514" t="str">
        <f t="shared" si="0"/>
        <v>Anuidade PJ - Ex. Ant.
Exec. %</v>
      </c>
      <c r="CH2" s="758" t="str">
        <f t="shared" si="0"/>
        <v>RRT
Exec.</v>
      </c>
      <c r="CI2" s="758" t="str">
        <f t="shared" si="0"/>
        <v>RRT
Previsto</v>
      </c>
      <c r="CJ2" s="514" t="str">
        <f t="shared" si="0"/>
        <v>RRT
Exec. %</v>
      </c>
      <c r="CK2" s="758" t="str">
        <f t="shared" si="0"/>
        <v>Taxas
Exec.</v>
      </c>
      <c r="CL2" s="758" t="str">
        <f t="shared" si="0"/>
        <v>Taxas
Previsto</v>
      </c>
      <c r="CM2" s="514" t="str">
        <f t="shared" si="0"/>
        <v>Taxas
Exec. %</v>
      </c>
      <c r="CN2" s="513" t="str">
        <f t="shared" si="0"/>
        <v>PF Ativos
Exec.</v>
      </c>
      <c r="CO2" s="752" t="str">
        <f t="shared" si="0"/>
        <v>Var
PF - Ativos
2022 x 2021</v>
      </c>
      <c r="CP2" s="513" t="str">
        <f t="shared" si="0"/>
        <v>Previsto PF</v>
      </c>
      <c r="CQ2" s="513" t="str">
        <f t="shared" si="0"/>
        <v>% de exerc. - PF</v>
      </c>
      <c r="CR2" s="513" t="str">
        <f t="shared" si="0"/>
        <v>PJ Ativos</v>
      </c>
      <c r="CS2" s="513" t="str">
        <f t="shared" si="0"/>
        <v>Var
PJ - Ativos
2022 x 2021</v>
      </c>
      <c r="CT2" s="513" t="str">
        <f t="shared" si="0"/>
        <v>Previsto PJ</v>
      </c>
      <c r="CU2" s="514" t="str">
        <f t="shared" si="0"/>
        <v>% de exerc. - PJ</v>
      </c>
      <c r="CV2" s="752" t="str">
        <f t="shared" si="0"/>
        <v>RRT
Executado</v>
      </c>
      <c r="CW2" s="513" t="str">
        <f t="shared" si="0"/>
        <v>Previsto - RRT</v>
      </c>
      <c r="CX2" s="513" t="str">
        <f t="shared" si="0"/>
        <v>Méd/Prof
Executado</v>
      </c>
      <c r="CY2" s="513" t="str">
        <f t="shared" si="0"/>
        <v>Méd/Prof
Previsto</v>
      </c>
      <c r="CZ2" s="514" t="str">
        <f t="shared" si="0"/>
        <v>PF
Qnt Pot Pag.
Exec.</v>
      </c>
      <c r="DA2" s="514" t="str">
        <f t="shared" si="0"/>
        <v>PF Qnt Pag.
Exec.</v>
      </c>
      <c r="DB2" s="514" t="str">
        <f t="shared" ref="DB2:EG2" si="1">AJ3</f>
        <v>Adimp. PF
Exec.</v>
      </c>
      <c r="DC2" s="514" t="str">
        <f t="shared" si="1"/>
        <v>PF
Qnt Pot Pag.
Previsto</v>
      </c>
      <c r="DD2" s="513" t="str">
        <f t="shared" si="1"/>
        <v>PF Qnt Pag.
Previsto</v>
      </c>
      <c r="DE2" s="513" t="str">
        <f t="shared" si="1"/>
        <v>Adimp. PF
Previsto</v>
      </c>
      <c r="DF2" s="513" t="str">
        <f t="shared" si="1"/>
        <v>PJ Pagantes
Exec.</v>
      </c>
      <c r="DG2" s="513" t="str">
        <f t="shared" si="1"/>
        <v>Adimp. PJ
Exec.</v>
      </c>
      <c r="DH2" s="514" t="str">
        <f t="shared" si="1"/>
        <v>PJ Pagante
Previsto</v>
      </c>
      <c r="DI2" s="514" t="str">
        <f t="shared" si="1"/>
        <v>Adimp. PJ
Previsto PJ</v>
      </c>
      <c r="DJ2" s="514" t="str">
        <f t="shared" si="1"/>
        <v>Masculino</v>
      </c>
      <c r="DK2" s="513" t="str">
        <f t="shared" si="1"/>
        <v>Feminino</v>
      </c>
      <c r="DL2" s="513" t="str">
        <f t="shared" si="1"/>
        <v>Egressos</v>
      </c>
      <c r="DM2" s="513" t="str">
        <f t="shared" si="1"/>
        <v>Previsto - Egressos</v>
      </c>
      <c r="DN2" s="513" t="str">
        <f t="shared" si="1"/>
        <v>% de exec. - Egressos</v>
      </c>
      <c r="DO2" s="758" t="str">
        <f t="shared" si="1"/>
        <v>Receita
PF
2022</v>
      </c>
      <c r="DP2" s="758" t="str">
        <f t="shared" si="1"/>
        <v>Receita
PF
2021</v>
      </c>
      <c r="DQ2" s="514" t="str">
        <f t="shared" si="1"/>
        <v>Var
PF
YOY</v>
      </c>
      <c r="DR2" s="758" t="str">
        <f t="shared" si="1"/>
        <v>Receita
PF - Ex Ant
2022</v>
      </c>
      <c r="DS2" s="758" t="str">
        <f t="shared" si="1"/>
        <v>Receita
PF - Ex Ant
2021</v>
      </c>
      <c r="DT2" s="514" t="str">
        <f t="shared" si="1"/>
        <v>Var
PF Ex Ant
YOY</v>
      </c>
      <c r="DU2" s="758" t="str">
        <f t="shared" si="1"/>
        <v>Receita
PJ
2022</v>
      </c>
      <c r="DV2" s="758" t="str">
        <f t="shared" si="1"/>
        <v>Receita
PJ
2021</v>
      </c>
      <c r="DW2" s="514" t="str">
        <f t="shared" si="1"/>
        <v>Var
PJ
YOY</v>
      </c>
      <c r="DX2" s="758" t="str">
        <f t="shared" si="1"/>
        <v>Receita
PJ - Ex Ant
2022</v>
      </c>
      <c r="DY2" s="758" t="str">
        <f t="shared" si="1"/>
        <v>Receita
PJ - Ex Ant
2021</v>
      </c>
      <c r="DZ2" s="514" t="str">
        <f t="shared" si="1"/>
        <v>Var
PJ Ex Ant
YOY</v>
      </c>
      <c r="EA2" s="758" t="str">
        <f t="shared" si="1"/>
        <v>Receita
RRT
2022</v>
      </c>
      <c r="EB2" s="758" t="str">
        <f t="shared" si="1"/>
        <v>Receita
RRT
2021</v>
      </c>
      <c r="EC2" s="514" t="str">
        <f t="shared" si="1"/>
        <v>Var
RRT
YOY</v>
      </c>
      <c r="ED2" s="758" t="str">
        <f t="shared" si="1"/>
        <v>Receita
Taxas
2022</v>
      </c>
      <c r="EE2" s="758" t="str">
        <f t="shared" si="1"/>
        <v>Receita
Taxas
2021</v>
      </c>
      <c r="EF2" s="514" t="str">
        <f t="shared" si="1"/>
        <v>Var
Taxas
YOY</v>
      </c>
      <c r="EG2" s="758" t="str">
        <f t="shared" si="1"/>
        <v>Ano anterior
TOTAL acumulado</v>
      </c>
      <c r="EH2" s="514" t="str">
        <f t="shared" ref="EH2:EJ2" si="2">BP3</f>
        <v>YOY
% de exec.</v>
      </c>
      <c r="EI2" s="514" t="str">
        <f t="shared" si="2"/>
        <v>% de exec.
x Previsto</v>
      </c>
      <c r="EJ2" s="752" t="str">
        <f t="shared" si="2"/>
        <v>PF + PJ</v>
      </c>
    </row>
    <row r="3" spans="1:143" s="134" customFormat="1" ht="60">
      <c r="A3" s="734" t="s">
        <v>172</v>
      </c>
      <c r="B3" s="733" t="s">
        <v>301</v>
      </c>
      <c r="C3" s="733" t="s">
        <v>236</v>
      </c>
      <c r="D3" s="733" t="s">
        <v>458</v>
      </c>
      <c r="E3" s="108" t="s">
        <v>456</v>
      </c>
      <c r="F3" s="108" t="s">
        <v>457</v>
      </c>
      <c r="G3" s="108" t="s">
        <v>459</v>
      </c>
      <c r="H3" s="108" t="s">
        <v>460</v>
      </c>
      <c r="I3" s="108" t="s">
        <v>461</v>
      </c>
      <c r="J3" s="108" t="s">
        <v>470</v>
      </c>
      <c r="K3" s="108" t="s">
        <v>462</v>
      </c>
      <c r="L3" s="108" t="s">
        <v>463</v>
      </c>
      <c r="M3" s="108" t="s">
        <v>471</v>
      </c>
      <c r="N3" s="108" t="s">
        <v>464</v>
      </c>
      <c r="O3" s="108" t="s">
        <v>465</v>
      </c>
      <c r="P3" s="108" t="s">
        <v>472</v>
      </c>
      <c r="Q3" s="108" t="s">
        <v>466</v>
      </c>
      <c r="R3" s="108" t="s">
        <v>467</v>
      </c>
      <c r="S3" s="108" t="s">
        <v>473</v>
      </c>
      <c r="T3" s="108" t="s">
        <v>468</v>
      </c>
      <c r="U3" s="733" t="s">
        <v>469</v>
      </c>
      <c r="V3" s="108" t="s">
        <v>474</v>
      </c>
      <c r="W3" s="108" t="s">
        <v>599</v>
      </c>
      <c r="X3" s="108" t="s">
        <v>220</v>
      </c>
      <c r="Y3" s="108" t="s">
        <v>396</v>
      </c>
      <c r="Z3" s="108" t="s">
        <v>221</v>
      </c>
      <c r="AA3" s="108" t="s">
        <v>600</v>
      </c>
      <c r="AB3" s="108" t="s">
        <v>219</v>
      </c>
      <c r="AC3" s="108" t="s">
        <v>397</v>
      </c>
      <c r="AD3" s="108" t="s">
        <v>601</v>
      </c>
      <c r="AE3" s="108" t="s">
        <v>262</v>
      </c>
      <c r="AF3" s="108" t="s">
        <v>238</v>
      </c>
      <c r="AG3" s="108" t="s">
        <v>237</v>
      </c>
      <c r="AH3" s="108" t="s">
        <v>510</v>
      </c>
      <c r="AI3" s="108" t="s">
        <v>511</v>
      </c>
      <c r="AJ3" s="733" t="s">
        <v>504</v>
      </c>
      <c r="AK3" s="733" t="s">
        <v>509</v>
      </c>
      <c r="AL3" s="733" t="s">
        <v>512</v>
      </c>
      <c r="AM3" s="733" t="s">
        <v>503</v>
      </c>
      <c r="AN3" s="733" t="s">
        <v>513</v>
      </c>
      <c r="AO3" s="733" t="s">
        <v>505</v>
      </c>
      <c r="AP3" s="733" t="s">
        <v>514</v>
      </c>
      <c r="AQ3" s="733" t="s">
        <v>506</v>
      </c>
      <c r="AR3" s="107" t="s">
        <v>218</v>
      </c>
      <c r="AS3" s="107" t="s">
        <v>217</v>
      </c>
      <c r="AT3" s="107" t="s">
        <v>556</v>
      </c>
      <c r="AU3" s="733" t="s">
        <v>557</v>
      </c>
      <c r="AV3" s="733" t="s">
        <v>558</v>
      </c>
      <c r="AW3" s="528" t="s">
        <v>602</v>
      </c>
      <c r="AX3" s="528" t="s">
        <v>444</v>
      </c>
      <c r="AY3" s="733" t="s">
        <v>445</v>
      </c>
      <c r="AZ3" s="528" t="s">
        <v>603</v>
      </c>
      <c r="BA3" s="528" t="s">
        <v>544</v>
      </c>
      <c r="BB3" s="733" t="s">
        <v>546</v>
      </c>
      <c r="BC3" s="528" t="s">
        <v>604</v>
      </c>
      <c r="BD3" s="528" t="s">
        <v>447</v>
      </c>
      <c r="BE3" s="733" t="s">
        <v>449</v>
      </c>
      <c r="BF3" s="528" t="s">
        <v>605</v>
      </c>
      <c r="BG3" s="528" t="s">
        <v>547</v>
      </c>
      <c r="BH3" s="733" t="s">
        <v>545</v>
      </c>
      <c r="BI3" s="733" t="s">
        <v>606</v>
      </c>
      <c r="BJ3" s="733" t="s">
        <v>450</v>
      </c>
      <c r="BK3" s="733" t="s">
        <v>453</v>
      </c>
      <c r="BL3" s="733" t="s">
        <v>607</v>
      </c>
      <c r="BM3" s="733" t="s">
        <v>454</v>
      </c>
      <c r="BN3" s="733" t="s">
        <v>452</v>
      </c>
      <c r="BO3" s="733" t="s">
        <v>374</v>
      </c>
      <c r="BP3" s="733" t="s">
        <v>537</v>
      </c>
      <c r="BQ3" s="735" t="s">
        <v>523</v>
      </c>
      <c r="BR3" s="108" t="s">
        <v>526</v>
      </c>
      <c r="BT3" s="135" t="s">
        <v>172</v>
      </c>
      <c r="BU3" s="135" t="s">
        <v>301</v>
      </c>
      <c r="BV3" s="749" t="s">
        <v>476</v>
      </c>
      <c r="BW3" s="771" t="s">
        <v>477</v>
      </c>
      <c r="BX3" s="134" t="s">
        <v>478</v>
      </c>
      <c r="BY3" s="771" t="s">
        <v>479</v>
      </c>
      <c r="BZ3" s="771" t="s">
        <v>480</v>
      </c>
      <c r="CA3" s="134" t="s">
        <v>481</v>
      </c>
      <c r="CB3" s="771" t="s">
        <v>482</v>
      </c>
      <c r="CC3" s="771" t="s">
        <v>483</v>
      </c>
      <c r="CD3" s="134" t="s">
        <v>484</v>
      </c>
      <c r="CE3" s="771" t="s">
        <v>485</v>
      </c>
      <c r="CF3" s="771" t="s">
        <v>486</v>
      </c>
      <c r="CG3" s="134" t="s">
        <v>487</v>
      </c>
      <c r="CH3" s="771" t="s">
        <v>488</v>
      </c>
      <c r="CI3" s="771" t="s">
        <v>489</v>
      </c>
      <c r="CJ3" s="134" t="s">
        <v>490</v>
      </c>
      <c r="CK3" s="771" t="s">
        <v>491</v>
      </c>
      <c r="CL3" s="771" t="s">
        <v>492</v>
      </c>
      <c r="CM3" s="134" t="s">
        <v>493</v>
      </c>
      <c r="CN3" s="134" t="s">
        <v>494</v>
      </c>
      <c r="CO3" s="753" t="s">
        <v>608</v>
      </c>
      <c r="CP3" s="134" t="s">
        <v>395</v>
      </c>
      <c r="CQ3" s="134" t="s">
        <v>400</v>
      </c>
      <c r="CR3" s="134" t="s">
        <v>235</v>
      </c>
      <c r="CS3" s="134" t="s">
        <v>609</v>
      </c>
      <c r="CT3" s="134" t="s">
        <v>234</v>
      </c>
      <c r="CU3" s="746" t="s">
        <v>401</v>
      </c>
      <c r="CV3" s="753" t="s">
        <v>610</v>
      </c>
      <c r="CW3" s="134" t="s">
        <v>263</v>
      </c>
      <c r="CX3" s="134" t="s">
        <v>233</v>
      </c>
      <c r="CY3" s="134" t="s">
        <v>232</v>
      </c>
      <c r="CZ3" s="134" t="s">
        <v>515</v>
      </c>
      <c r="DA3" s="134" t="s">
        <v>516</v>
      </c>
      <c r="DB3" s="134" t="s">
        <v>507</v>
      </c>
      <c r="DC3" s="134" t="s">
        <v>517</v>
      </c>
      <c r="DD3" s="134" t="s">
        <v>518</v>
      </c>
      <c r="DE3" s="134" t="s">
        <v>508</v>
      </c>
      <c r="DF3" s="134" t="s">
        <v>519</v>
      </c>
      <c r="DG3" s="134" t="s">
        <v>520</v>
      </c>
      <c r="DH3" s="134" t="s">
        <v>521</v>
      </c>
      <c r="DI3" s="134" t="s">
        <v>522</v>
      </c>
      <c r="DJ3" s="134" t="s">
        <v>231</v>
      </c>
      <c r="DK3" s="134" t="s">
        <v>230</v>
      </c>
      <c r="DL3" s="134" t="s">
        <v>560</v>
      </c>
      <c r="DM3" s="134" t="s">
        <v>561</v>
      </c>
      <c r="DN3" s="134" t="s">
        <v>562</v>
      </c>
      <c r="DO3" s="771" t="s">
        <v>611</v>
      </c>
      <c r="DP3" s="771" t="s">
        <v>495</v>
      </c>
      <c r="DQ3" s="746" t="s">
        <v>496</v>
      </c>
      <c r="DR3" s="771" t="s">
        <v>612</v>
      </c>
      <c r="DS3" s="771" t="s">
        <v>548</v>
      </c>
      <c r="DT3" s="746" t="s">
        <v>549</v>
      </c>
      <c r="DU3" s="771" t="s">
        <v>613</v>
      </c>
      <c r="DV3" s="771" t="s">
        <v>497</v>
      </c>
      <c r="DW3" s="746" t="s">
        <v>498</v>
      </c>
      <c r="DX3" s="771" t="s">
        <v>614</v>
      </c>
      <c r="DY3" s="771" t="s">
        <v>550</v>
      </c>
      <c r="DZ3" s="746" t="s">
        <v>551</v>
      </c>
      <c r="EA3" s="771" t="s">
        <v>615</v>
      </c>
      <c r="EB3" s="771" t="s">
        <v>499</v>
      </c>
      <c r="EC3" s="746" t="s">
        <v>500</v>
      </c>
      <c r="ED3" s="771" t="s">
        <v>616</v>
      </c>
      <c r="EE3" s="771" t="s">
        <v>501</v>
      </c>
      <c r="EF3" s="746" t="s">
        <v>502</v>
      </c>
      <c r="EG3" s="771" t="s">
        <v>402</v>
      </c>
      <c r="EH3" s="746" t="s">
        <v>538</v>
      </c>
      <c r="EI3" s="746" t="s">
        <v>524</v>
      </c>
      <c r="EJ3" s="753" t="s">
        <v>617</v>
      </c>
      <c r="EK3"/>
      <c r="EL3"/>
      <c r="EM3"/>
    </row>
    <row r="4" spans="1:143">
      <c r="A4" s="490" t="s">
        <v>77</v>
      </c>
      <c r="B4" s="131" t="s">
        <v>0</v>
      </c>
      <c r="C4" s="105" t="s">
        <v>225</v>
      </c>
      <c r="D4" s="527">
        <f>VLOOKUP($B$4:$B$29,'TOTAL POR UF'!$A$5:$B$31,2,)</f>
        <v>145826.93599999999</v>
      </c>
      <c r="E4" s="104">
        <f>VLOOKUP($A$4:$A$31,'Evolução das Receitas'!$P$212:$Q$239,2,0)</f>
        <v>173232.09</v>
      </c>
      <c r="F4" s="103">
        <f t="shared" ref="F4:F31" si="3">D4/E4</f>
        <v>0.84180093884452922</v>
      </c>
      <c r="G4" s="527">
        <f>VLOOKUP($B$4:$B$30,'TOTAL POR UF'!$A$5:$C$31,3,)</f>
        <v>65148.808000000005</v>
      </c>
      <c r="H4" s="104">
        <f>VLOOKUP($A$4:$A$31,'Evolução das Receitas'!$P$212:$R$239,3,0)</f>
        <v>65999.62</v>
      </c>
      <c r="I4" s="103">
        <f t="shared" ref="I4:I31" si="4">IFERROR(G4/H4,)</f>
        <v>0.98710883486904943</v>
      </c>
      <c r="J4" s="527">
        <f>VLOOKUP($B$4:$B$30,'TOTAL POR UF'!$A$5:$D$31,4,)</f>
        <v>11480.128000000001</v>
      </c>
      <c r="K4" s="104">
        <f>VLOOKUP($A$4:$A$31,'Evolução das Receitas'!$P$212:$S$239,4,)</f>
        <v>22368.199999999997</v>
      </c>
      <c r="L4" s="103">
        <f t="shared" ref="L4:L31" si="5">J4/K4</f>
        <v>0.5132343237274346</v>
      </c>
      <c r="M4" s="527">
        <f>VLOOKUP($B$4:$B$30,'TOTAL POR UF'!$A$5:$E$31,5,)</f>
        <v>6094.0479999999998</v>
      </c>
      <c r="N4" s="104">
        <f>VLOOKUP($A$4:$A$31,'Evolução das Receitas'!$P$212:$T$239,5,0)</f>
        <v>10405.58</v>
      </c>
      <c r="O4" s="103">
        <f t="shared" ref="O4:O31" si="6">IFERROR(M4/N4,)</f>
        <v>0.58565192906113839</v>
      </c>
      <c r="P4" s="527">
        <f>VLOOKUP($B$4:$B$30,'TOTAL POR UF'!$A$5:$X$31,23,)</f>
        <v>199212.12000000002</v>
      </c>
      <c r="Q4" s="104">
        <f>VLOOKUP($A$4:$A$31,'Evolução das Receitas'!$P$212:$U$239,6,0)</f>
        <v>247987.1</v>
      </c>
      <c r="R4" s="103">
        <f t="shared" ref="R4:R31" si="7">P4/Q4</f>
        <v>0.80331646283213931</v>
      </c>
      <c r="S4" s="527">
        <f>VLOOKUP($B$4:$B$30,'TOTAL POR UF'!$A$5:$X$31,24,0)</f>
        <v>30779.920000000002</v>
      </c>
      <c r="T4" s="104">
        <f>VLOOKUP($A$4:$A$31,'Evolução das Receitas'!$P$212:$V$239,7,0)</f>
        <v>28255.510000000002</v>
      </c>
      <c r="U4" s="103">
        <f t="shared" ref="U4:U31" si="8">S4/T4</f>
        <v>1.0893422203315388</v>
      </c>
      <c r="V4" s="109">
        <f>VLOOKUP($A$4:$A$29,'Anuid PF'!$A$5:$G$31,7,)</f>
        <v>739</v>
      </c>
      <c r="W4" s="109">
        <f>VLOOKUP($A$4:$A$29,'Relatórios - SICCAU e IGEO'!$A$3:$E$29,5,)</f>
        <v>53</v>
      </c>
      <c r="X4" s="109">
        <f>VLOOKUP($A$4:$A$29,'Anuid PF'!$A$5:$B$31,2,)</f>
        <v>720</v>
      </c>
      <c r="Y4" s="495">
        <f t="shared" ref="Y4:Y31" si="9">IFERROR(V4/X4,)</f>
        <v>1.0263888888888888</v>
      </c>
      <c r="Z4" s="109">
        <f>VLOOKUP($A$4:$A$29,'Anuid PJ'!$A$5:$F$31,6,)</f>
        <v>165</v>
      </c>
      <c r="AA4" s="496">
        <f>VLOOKUP($A$4:$A$29,'Relatórios - SICCAU e IGEO'!$A$3:$J$29,10,)</f>
        <v>13</v>
      </c>
      <c r="AB4" s="109">
        <f>VLOOKUP($A$4:$A$29,'Anuid PJ'!$A$5:$B$31,2,)</f>
        <v>172</v>
      </c>
      <c r="AC4" s="103">
        <f>IFERROR(Z4/AB4,)</f>
        <v>0.95930232558139539</v>
      </c>
      <c r="AD4" s="109">
        <f>VLOOKUP($A$4:$A$29,RRT!$A$4:$D$30,4,)</f>
        <v>2236</v>
      </c>
      <c r="AE4" s="109">
        <f>VLOOKUP($A$4:$A$29,RRT!$A$4:$B$30,2,)</f>
        <v>2852</v>
      </c>
      <c r="AF4" s="498">
        <f t="shared" ref="AF4:AF31" si="10">AD4/V4</f>
        <v>3.0257104194857916</v>
      </c>
      <c r="AG4" s="498">
        <f>Tabela3[[#This Row],[Previsto - RRT]]/Tabela3[[#This Row],[Previsto PF]]</f>
        <v>3.9611111111111112</v>
      </c>
      <c r="AH4" s="109">
        <f>VLOOKUP(Tabela3[UF],'ADIMPLÊNCIA PF'!$A$4:H30,8,)</f>
        <v>732</v>
      </c>
      <c r="AI4" s="109">
        <f>VLOOKUP(Tabela3[[#This Row],[UF]],'ADIMPLÊNCIA PF'!$A$4:$I$30,9,)</f>
        <v>398</v>
      </c>
      <c r="AJ4" s="103">
        <f>Tabela3[[#This Row],[PF Qnt Pag.
Exec.]]/Tabela3[[#This Row],[PF
Qnt Pot Pag.
Exec.]]</f>
        <v>0.54371584699453557</v>
      </c>
      <c r="AK4" s="507">
        <f>VLOOKUP(Tabela3[[#This Row],[UF]],'ADIMPLÊNCIA PF'!$A$4:$C$30,3,)</f>
        <v>709</v>
      </c>
      <c r="AL4" s="507">
        <f>VLOOKUP(Tabela3[[#This Row],[UF]],'ADIMPLÊNCIA PF'!$A$4:$D$30,4,)</f>
        <v>481</v>
      </c>
      <c r="AM4" s="103">
        <f>Tabela3[[#This Row],[PF Qnt Pag.
Previsto]]/Tabela3[[#This Row],[PF
Qnt Pot Pag.
Previsto]]</f>
        <v>0.67842031029619176</v>
      </c>
      <c r="AN4" s="507">
        <f>VLOOKUP(Tabela3[[#This Row],[UF]],'ADIMPLÊNCIA PJ'!$A$4:$F$30,6,)</f>
        <v>53</v>
      </c>
      <c r="AO4" s="103">
        <f>Tabela3[[#This Row],[PJ Pagantes
Exec.]]/Tabela3[[#This Row],[PJ Ativos]]</f>
        <v>0.32121212121212123</v>
      </c>
      <c r="AP4" s="507">
        <f>VLOOKUP(Tabela3[[#This Row],[UF]],'ADIMPLÊNCIA PJ'!$A$4:$C$30,3,)</f>
        <v>83</v>
      </c>
      <c r="AQ4" s="103">
        <f>Tabela3[[#This Row],[PJ Pagante
Previsto]]/Tabela3[[#This Row],[Previsto PJ]]</f>
        <v>0.48255813953488375</v>
      </c>
      <c r="AR4" s="109">
        <f>VLOOKUP($A$4:$A$29,'PF - Gênero'!$A$2:$B$28,2,)</f>
        <v>386</v>
      </c>
      <c r="AS4" s="109">
        <f>VLOOKUP($A$4:$A$29,'PF - Gênero'!$A$2:$C$28,3,)</f>
        <v>353</v>
      </c>
      <c r="AT4" s="109">
        <f>VLOOKUP($A$4:$A$29,'Relatórios - SICCAU e IGEO'!A3:F29,6,)</f>
        <v>34</v>
      </c>
      <c r="AU4" s="109">
        <v>43</v>
      </c>
      <c r="AV4" s="495">
        <f t="shared" ref="AV4:AV31" si="11">AT4/AU4</f>
        <v>0.79069767441860461</v>
      </c>
      <c r="AW4" s="527">
        <f>'Comparativo YoY'!FN3</f>
        <v>145826.93599999999</v>
      </c>
      <c r="AX4" s="527">
        <f>'Comparativo YoY'!FU3</f>
        <v>126924.16000000002</v>
      </c>
      <c r="AY4" s="103">
        <f>Tabela3[[#This Row],[Receita
PF
2022]]/Tabela3[[#This Row],[Receita
PF
2021]]-1</f>
        <v>0.14892969155754088</v>
      </c>
      <c r="AZ4" s="527">
        <f>+'Comparativo YoY'!FO3</f>
        <v>65148.808000000005</v>
      </c>
      <c r="BA4" s="527">
        <f>+'Comparativo YoY'!FV3</f>
        <v>37310.880000000005</v>
      </c>
      <c r="BB4" s="103">
        <f>Tabela3[[#This Row],[Receita
PF - Ex Ant
2022]]/Tabela3[[#This Row],[Receita
PF - Ex Ant
2021]]-1</f>
        <v>0.74610751609182091</v>
      </c>
      <c r="BC4" s="527">
        <f>'Comparativo YoY'!FP3</f>
        <v>11480.128000000001</v>
      </c>
      <c r="BD4" s="527">
        <f>'Comparativo YoY'!FW3</f>
        <v>13298.240000000002</v>
      </c>
      <c r="BE4" s="103">
        <f>Tabela3[[#This Row],[Receita
PJ
2022]]/Tabela3[[#This Row],[Receita
PJ
2021]]-1</f>
        <v>-0.13671824241403374</v>
      </c>
      <c r="BF4" s="527">
        <f>'Comparativo YoY'!FQ3</f>
        <v>6094.0479999999998</v>
      </c>
      <c r="BG4" s="530">
        <f>'Comparativo YoY'!FX3</f>
        <v>6081.9120000000003</v>
      </c>
      <c r="BH4" s="103">
        <f>Tabela3[[#This Row],[Receita
PJ - Ex Ant
2022]]/Tabela3[[#This Row],[Receita
PJ - Ex Ant
2021]]-1</f>
        <v>1.9954251228888609E-3</v>
      </c>
      <c r="BI4" s="527">
        <f>'Comparativo YoY'!FR3</f>
        <v>199212.12000000002</v>
      </c>
      <c r="BJ4" s="527">
        <f>'Comparativo YoY'!FY3</f>
        <v>188984.06400000001</v>
      </c>
      <c r="BK4" s="103">
        <f>Tabela3[[#This Row],[Receita
RRT
2022]]/Tabela3[[#This Row],[Receita
RRT
2021]]-1</f>
        <v>5.4121261780040841E-2</v>
      </c>
      <c r="BL4" s="527">
        <f>'Comparativo YoY'!FS3</f>
        <v>30779.920000000002</v>
      </c>
      <c r="BM4" s="527">
        <f>'Comparativo YoY'!FZ3</f>
        <v>23589.896000000004</v>
      </c>
      <c r="BN4" s="103">
        <f>Tabela3[[#This Row],[Receita
Taxas
2022]]/Tabela3[[#This Row],[Receita
Taxas
2021]]-1</f>
        <v>0.30479252642741606</v>
      </c>
      <c r="BO4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396189.15200000006</v>
      </c>
      <c r="BP4" s="103">
        <f>((D4+J4+G4+M4+P4+S4)/BO4)-1</f>
        <v>0.15738141159402552</v>
      </c>
      <c r="BQ4" s="499">
        <f t="shared" ref="BQ4:BQ31" si="12">(D4+G4+J4+M4+P4+S4)/(E4+H4+K4+N4+Q4+T4)</f>
        <v>0.83637674257329853</v>
      </c>
      <c r="BR4" s="517">
        <f>Tabela3[[#This Row],[PF Ativos
Exec.]]+Tabela3[[#This Row],[PJ Ativos]]</f>
        <v>904</v>
      </c>
      <c r="BT4" s="790" t="s">
        <v>77</v>
      </c>
      <c r="BU4" s="790" t="s">
        <v>0</v>
      </c>
      <c r="BV4" s="750">
        <v>145826.93599999999</v>
      </c>
      <c r="BW4" s="486">
        <v>173232.09</v>
      </c>
      <c r="BX4" s="122">
        <v>0.84180093884452922</v>
      </c>
      <c r="BY4" s="486">
        <v>65148.808000000005</v>
      </c>
      <c r="BZ4" s="486">
        <v>65999.62</v>
      </c>
      <c r="CA4" s="122">
        <v>0.98710883486904943</v>
      </c>
      <c r="CB4" s="486">
        <v>11480.128000000001</v>
      </c>
      <c r="CC4" s="486">
        <v>22368.199999999997</v>
      </c>
      <c r="CD4" s="122">
        <v>0.5132343237274346</v>
      </c>
      <c r="CE4" s="486">
        <v>6094.0479999999998</v>
      </c>
      <c r="CF4" s="486">
        <v>10405.58</v>
      </c>
      <c r="CG4" s="122">
        <v>0.58565192906113839</v>
      </c>
      <c r="CH4" s="486">
        <v>199212.12000000002</v>
      </c>
      <c r="CI4" s="486">
        <v>247987.1</v>
      </c>
      <c r="CJ4" s="122">
        <v>0.80331646283213931</v>
      </c>
      <c r="CK4" s="486">
        <v>30779.920000000002</v>
      </c>
      <c r="CL4" s="486">
        <v>28255.510000000002</v>
      </c>
      <c r="CM4" s="122">
        <v>1.0893422203315388</v>
      </c>
      <c r="CN4" s="347">
        <v>739</v>
      </c>
      <c r="CO4" s="303">
        <v>53</v>
      </c>
      <c r="CP4" s="347">
        <v>720</v>
      </c>
      <c r="CQ4" s="122">
        <v>1.0263888888888888</v>
      </c>
      <c r="CR4" s="347">
        <v>165</v>
      </c>
      <c r="CS4" s="387">
        <v>13</v>
      </c>
      <c r="CT4" s="347">
        <v>172</v>
      </c>
      <c r="CU4" s="122">
        <v>0.95930232558139539</v>
      </c>
      <c r="CV4" s="303">
        <v>2236</v>
      </c>
      <c r="CW4" s="347">
        <v>2852</v>
      </c>
      <c r="CX4" s="387">
        <v>3.0257104194857916</v>
      </c>
      <c r="CY4" s="387">
        <v>3.9611111111111112</v>
      </c>
      <c r="CZ4" s="347">
        <v>732</v>
      </c>
      <c r="DA4" s="347">
        <v>398</v>
      </c>
      <c r="DB4" s="122">
        <v>0.54371584699453557</v>
      </c>
      <c r="DC4" s="347">
        <v>709</v>
      </c>
      <c r="DD4" s="347">
        <v>481</v>
      </c>
      <c r="DE4" s="122">
        <v>0.67842031029619176</v>
      </c>
      <c r="DF4" s="347">
        <v>53</v>
      </c>
      <c r="DG4" s="122">
        <v>0.32121212121212123</v>
      </c>
      <c r="DH4" s="303">
        <v>83</v>
      </c>
      <c r="DI4" s="122">
        <v>0.48255813953488375</v>
      </c>
      <c r="DJ4" s="303">
        <v>386</v>
      </c>
      <c r="DK4" s="303">
        <v>353</v>
      </c>
      <c r="DL4" s="347">
        <v>34</v>
      </c>
      <c r="DM4" s="347">
        <v>43</v>
      </c>
      <c r="DN4" s="122">
        <v>0.79069767441860461</v>
      </c>
      <c r="DO4" s="486">
        <v>145826.93599999999</v>
      </c>
      <c r="DP4" s="486">
        <v>126924.16000000002</v>
      </c>
      <c r="DQ4" s="122">
        <v>0.14892969155754088</v>
      </c>
      <c r="DR4" s="486">
        <v>65148.808000000005</v>
      </c>
      <c r="DS4" s="486">
        <v>37310.880000000005</v>
      </c>
      <c r="DT4" s="122">
        <v>0.74610751609182091</v>
      </c>
      <c r="DU4" s="486">
        <v>11480.128000000001</v>
      </c>
      <c r="DV4" s="486">
        <v>13298.240000000002</v>
      </c>
      <c r="DW4" s="122">
        <v>-0.13671824241403374</v>
      </c>
      <c r="DX4" s="486">
        <v>6094.0479999999998</v>
      </c>
      <c r="DY4" s="486">
        <v>6081.9120000000003</v>
      </c>
      <c r="DZ4" s="122">
        <v>1.9954251228888609E-3</v>
      </c>
      <c r="EA4" s="486">
        <v>199212.12000000002</v>
      </c>
      <c r="EB4" s="486">
        <v>188984.06400000001</v>
      </c>
      <c r="EC4" s="122">
        <v>5.4121261780040841E-2</v>
      </c>
      <c r="ED4" s="486">
        <v>30779.920000000002</v>
      </c>
      <c r="EE4" s="486">
        <v>23589.896000000004</v>
      </c>
      <c r="EF4" s="122">
        <v>0.30479252642741606</v>
      </c>
      <c r="EG4" s="486">
        <v>396189.15200000006</v>
      </c>
      <c r="EH4" s="122">
        <v>0.15738141159402552</v>
      </c>
      <c r="EI4" s="122">
        <v>0.83637674257329853</v>
      </c>
      <c r="EJ4" s="303">
        <v>904</v>
      </c>
    </row>
    <row r="5" spans="1:143">
      <c r="A5" s="490" t="s">
        <v>78</v>
      </c>
      <c r="B5" s="131" t="s">
        <v>1</v>
      </c>
      <c r="C5" s="105" t="s">
        <v>228</v>
      </c>
      <c r="D5" s="527">
        <f>VLOOKUP($B$4:$B$30,'TOTAL POR UF'!$A$5:$B$31,2,)</f>
        <v>495176.54400000005</v>
      </c>
      <c r="E5" s="104">
        <f>VLOOKUP($A$4:$A$31,'Evolução das Receitas'!$P$212:$Q$239,2,0)</f>
        <v>558689.82999999996</v>
      </c>
      <c r="F5" s="103">
        <f t="shared" si="3"/>
        <v>0.88631744737504903</v>
      </c>
      <c r="G5" s="527">
        <f>VLOOKUP($B$4:$B$30,'TOTAL POR UF'!$A$5:$C$31,3,)</f>
        <v>121918.88799999999</v>
      </c>
      <c r="H5" s="104">
        <f>VLOOKUP($A$4:$A$31,'Evolução das Receitas'!$P$212:$R$239,3,0)</f>
        <v>123638.42</v>
      </c>
      <c r="I5" s="103">
        <f t="shared" si="4"/>
        <v>0.98609225190681016</v>
      </c>
      <c r="J5" s="527">
        <f>VLOOKUP($B$4:$B$30,'TOTAL POR UF'!$A$5:$D$31,4,)</f>
        <v>11320.248000000001</v>
      </c>
      <c r="K5" s="104">
        <f>VLOOKUP($A$4:$A$31,'Evolução das Receitas'!$P$212:$S$239,4,)</f>
        <v>21671.61</v>
      </c>
      <c r="L5" s="103">
        <f t="shared" si="5"/>
        <v>0.52235380758513106</v>
      </c>
      <c r="M5" s="527">
        <f>VLOOKUP($B$4:$B$30,'TOTAL POR UF'!$A$5:$E$31,5,)</f>
        <v>6046.6240000000007</v>
      </c>
      <c r="N5" s="104">
        <f>VLOOKUP($A$4:$A$31,'Evolução das Receitas'!$P$212:$T$239,5,0)</f>
        <v>22976.79</v>
      </c>
      <c r="O5" s="103">
        <f t="shared" si="6"/>
        <v>0.26316226069873122</v>
      </c>
      <c r="P5" s="527">
        <f>VLOOKUP($B$4:$B$30,'TOTAL POR UF'!$A$5:$X$31,23,)</f>
        <v>605895.28800000006</v>
      </c>
      <c r="Q5" s="104">
        <f>VLOOKUP($A$4:$A$31,'Evolução das Receitas'!$P$212:$U$239,6,0)</f>
        <v>671443.34000000008</v>
      </c>
      <c r="R5" s="103">
        <f t="shared" si="7"/>
        <v>0.90237738898415465</v>
      </c>
      <c r="S5" s="527">
        <f>VLOOKUP($B$4:$B$30,'TOTAL POR UF'!$A$5:$X$31,24,0)</f>
        <v>56039.432000000001</v>
      </c>
      <c r="T5" s="104">
        <f>VLOOKUP($A$4:$A$31,'Evolução das Receitas'!$P$212:$V$239,7,0)</f>
        <v>65757.320000000007</v>
      </c>
      <c r="U5" s="103">
        <f t="shared" si="8"/>
        <v>0.8522158749778731</v>
      </c>
      <c r="V5" s="109">
        <f>VLOOKUP($A$4:$A$29,'Anuid PF'!$A$5:$G$31,7,)</f>
        <v>2222</v>
      </c>
      <c r="W5" s="109">
        <f>VLOOKUP($A$4:$A$29,'Relatórios - SICCAU e IGEO'!$A$3:$E$29,5,)</f>
        <v>134</v>
      </c>
      <c r="X5" s="109">
        <f>VLOOKUP($A$4:$A$29,'Anuid PF'!$A$5:$B$31,2,)</f>
        <v>2206</v>
      </c>
      <c r="Y5" s="103">
        <f t="shared" si="9"/>
        <v>1.0072529465095195</v>
      </c>
      <c r="Z5" s="109">
        <f>VLOOKUP($A$4:$A$29,'Anuid PJ'!$A$5:$F$31,6,)</f>
        <v>181</v>
      </c>
      <c r="AA5" s="496">
        <f>VLOOKUP($A$4:$A$29,'Relatórios - SICCAU e IGEO'!$A$3:$J$29,10,)</f>
        <v>11</v>
      </c>
      <c r="AB5" s="109">
        <f>VLOOKUP($A$4:$A$29,'Anuid PJ'!$A$5:$B$31,2,)</f>
        <v>174</v>
      </c>
      <c r="AC5" s="103">
        <f t="shared" ref="AC5:AC31" si="13">IFERROR(Z5/AB5,)</f>
        <v>1.0402298850574712</v>
      </c>
      <c r="AD5" s="109">
        <f>VLOOKUP($A$4:$A$29,RRT!$A$4:$D$30,4,)</f>
        <v>6861</v>
      </c>
      <c r="AE5" s="109">
        <f>VLOOKUP($A$4:$A$29,RRT!$A$4:$B$30,2,)</f>
        <v>7722</v>
      </c>
      <c r="AF5" s="498">
        <f t="shared" si="10"/>
        <v>3.087758775877588</v>
      </c>
      <c r="AG5" s="498">
        <f>Tabela3[[#This Row],[Previsto - RRT]]/Tabela3[[#This Row],[Previsto PF]]</f>
        <v>3.5004533091568448</v>
      </c>
      <c r="AH5" s="109">
        <f>VLOOKUP(Tabela3[UF],'ADIMPLÊNCIA PF'!$A$4:H31,8,)</f>
        <v>2161</v>
      </c>
      <c r="AI5" s="109">
        <f>VLOOKUP(Tabela3[[#This Row],[UF]],'ADIMPLÊNCIA PF'!$A$4:$I$30,9,)</f>
        <v>1301</v>
      </c>
      <c r="AJ5" s="103">
        <f>Tabela3[[#This Row],[PF Qnt Pag.
Exec.]]/Tabela3[[#This Row],[PF
Qnt Pot Pag.
Exec.]]</f>
        <v>0.60203609440074035</v>
      </c>
      <c r="AK5" s="507">
        <f>VLOOKUP(Tabela3[[#This Row],[UF]],'ADIMPLÊNCIA PF'!$A$4:$C$30,3,)</f>
        <v>2118</v>
      </c>
      <c r="AL5" s="507">
        <f>VLOOKUP(Tabela3[[#This Row],[UF]],'ADIMPLÊNCIA PF'!$A$4:$D$30,4,)</f>
        <v>1536</v>
      </c>
      <c r="AM5" s="103">
        <f>Tabela3[[#This Row],[PF Qnt Pag.
Previsto]]/Tabela3[[#This Row],[PF
Qnt Pot Pag.
Previsto]]</f>
        <v>0.72521246458923516</v>
      </c>
      <c r="AN5" s="507">
        <f>VLOOKUP(Tabela3[[#This Row],[UF]],'ADIMPLÊNCIA PJ'!$A$4:$F$30,6,)</f>
        <v>64</v>
      </c>
      <c r="AO5" s="103">
        <f>Tabela3[[#This Row],[PJ Pagantes
Exec.]]/Tabela3[[#This Row],[PJ Ativos]]</f>
        <v>0.35359116022099446</v>
      </c>
      <c r="AP5" s="507">
        <f>VLOOKUP(Tabela3[[#This Row],[UF]],'ADIMPLÊNCIA PJ'!$A$4:$C$30,3,)</f>
        <v>85</v>
      </c>
      <c r="AQ5" s="103">
        <f>Tabela3[[#This Row],[PJ Pagante
Previsto]]/Tabela3[[#This Row],[Previsto PJ]]</f>
        <v>0.4885057471264368</v>
      </c>
      <c r="AR5" s="109">
        <f>VLOOKUP($A$4:$A$29,'PF - Gênero'!$A$2:$B$28,2,)</f>
        <v>596</v>
      </c>
      <c r="AS5" s="109">
        <f>VLOOKUP($A$4:$A$29,'PF - Gênero'!$A$2:$C$28,3,)</f>
        <v>1626</v>
      </c>
      <c r="AT5" s="109">
        <f>VLOOKUP($A$4:$A$29,'Relatórios - SICCAU e IGEO'!$A$3:$F$29,6,)</f>
        <v>90</v>
      </c>
      <c r="AU5" s="109">
        <v>116</v>
      </c>
      <c r="AV5" s="495">
        <f t="shared" si="11"/>
        <v>0.77586206896551724</v>
      </c>
      <c r="AW5" s="527">
        <f>'Comparativo YoY'!FN4</f>
        <v>495176.54400000005</v>
      </c>
      <c r="AX5" s="527">
        <f>'Comparativo YoY'!FU4</f>
        <v>452815.54400000005</v>
      </c>
      <c r="AY5" s="103">
        <f>Tabela3[[#This Row],[Receita
PF
2022]]/Tabela3[[#This Row],[Receita
PF
2021]]-1</f>
        <v>9.355023377907723E-2</v>
      </c>
      <c r="AZ5" s="527">
        <f>+'Comparativo YoY'!FO4</f>
        <v>121918.88799999999</v>
      </c>
      <c r="BA5" s="527">
        <f>+'Comparativo YoY'!FV4</f>
        <v>198247.984</v>
      </c>
      <c r="BB5" s="103">
        <f>Tabela3[[#This Row],[Receita
PF - Ex Ant
2022]]/Tabela3[[#This Row],[Receita
PF - Ex Ant
2021]]-1</f>
        <v>-0.38501827085414397</v>
      </c>
      <c r="BC5" s="527">
        <f>'Comparativo YoY'!FP4</f>
        <v>11320.248000000001</v>
      </c>
      <c r="BD5" s="527">
        <f>'Comparativo YoY'!FW4</f>
        <v>21222.544000000002</v>
      </c>
      <c r="BE5" s="103">
        <f>Tabela3[[#This Row],[Receita
PJ
2022]]/Tabela3[[#This Row],[Receita
PJ
2021]]-1</f>
        <v>-0.46659326044983107</v>
      </c>
      <c r="BF5" s="527">
        <f>'Comparativo YoY'!FQ4</f>
        <v>6046.6240000000007</v>
      </c>
      <c r="BG5" s="530">
        <f>'Comparativo YoY'!FX4</f>
        <v>9239.232</v>
      </c>
      <c r="BH5" s="103">
        <f>Tabela3[[#This Row],[Receita
PJ - Ex Ant
2022]]/Tabela3[[#This Row],[Receita
PJ - Ex Ant
2021]]-1</f>
        <v>-0.3455490672817827</v>
      </c>
      <c r="BI5" s="527">
        <f>'Comparativo YoY'!FR4</f>
        <v>605895.28799999994</v>
      </c>
      <c r="BJ5" s="527">
        <f>'Comparativo YoY'!FY4</f>
        <v>550504.37600000016</v>
      </c>
      <c r="BK5" s="103">
        <f>Tabela3[[#This Row],[Receita
RRT
2022]]/Tabela3[[#This Row],[Receita
RRT
2021]]-1</f>
        <v>0.10061847719081496</v>
      </c>
      <c r="BL5" s="527">
        <f>'Comparativo YoY'!FS4</f>
        <v>56039.432000000001</v>
      </c>
      <c r="BM5" s="527">
        <f>'Comparativo YoY'!FZ4</f>
        <v>78143.071999999986</v>
      </c>
      <c r="BN5" s="103">
        <f>Tabela3[[#This Row],[Receita
Taxas
2022]]/Tabela3[[#This Row],[Receita
Taxas
2021]]-1</f>
        <v>-0.28286116010386675</v>
      </c>
      <c r="BO5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1310172.7520000001</v>
      </c>
      <c r="BP5" s="103">
        <f t="shared" ref="BP5:BP30" si="14">((D5+J5+G5+M5+P5+S5)/BO5)-1</f>
        <v>-1.0514436343582179E-2</v>
      </c>
      <c r="BQ5" s="499">
        <f t="shared" si="12"/>
        <v>0.88540985790853433</v>
      </c>
      <c r="BR5" s="517">
        <f>Tabela3[[#This Row],[PF Ativos
Exec.]]+Tabela3[[#This Row],[PJ Ativos]]</f>
        <v>2403</v>
      </c>
      <c r="BT5" s="790" t="s">
        <v>78</v>
      </c>
      <c r="BU5" s="790" t="s">
        <v>1</v>
      </c>
      <c r="BV5" s="750">
        <v>495176.54400000005</v>
      </c>
      <c r="BW5" s="486">
        <v>558689.82999999996</v>
      </c>
      <c r="BX5" s="122">
        <v>0.88631744737504903</v>
      </c>
      <c r="BY5" s="486">
        <v>121918.88799999999</v>
      </c>
      <c r="BZ5" s="486">
        <v>123638.42</v>
      </c>
      <c r="CA5" s="122">
        <v>0.98609225190681016</v>
      </c>
      <c r="CB5" s="486">
        <v>11320.248000000001</v>
      </c>
      <c r="CC5" s="486">
        <v>21671.61</v>
      </c>
      <c r="CD5" s="122">
        <v>0.52235380758513106</v>
      </c>
      <c r="CE5" s="486">
        <v>6046.6240000000007</v>
      </c>
      <c r="CF5" s="486">
        <v>22976.79</v>
      </c>
      <c r="CG5" s="122">
        <v>0.26316226069873122</v>
      </c>
      <c r="CH5" s="486">
        <v>605895.28800000006</v>
      </c>
      <c r="CI5" s="486">
        <v>671443.34000000008</v>
      </c>
      <c r="CJ5" s="122">
        <v>0.90237738898415465</v>
      </c>
      <c r="CK5" s="486">
        <v>56039.432000000001</v>
      </c>
      <c r="CL5" s="486">
        <v>65757.320000000007</v>
      </c>
      <c r="CM5" s="122">
        <v>0.8522158749778731</v>
      </c>
      <c r="CN5" s="347">
        <v>2222</v>
      </c>
      <c r="CO5" s="303">
        <v>134</v>
      </c>
      <c r="CP5" s="347">
        <v>2206</v>
      </c>
      <c r="CQ5" s="122">
        <v>1.0072529465095195</v>
      </c>
      <c r="CR5" s="347">
        <v>181</v>
      </c>
      <c r="CS5" s="387">
        <v>11</v>
      </c>
      <c r="CT5" s="347">
        <v>174</v>
      </c>
      <c r="CU5" s="122">
        <v>1.0402298850574712</v>
      </c>
      <c r="CV5" s="303">
        <v>6861</v>
      </c>
      <c r="CW5" s="347">
        <v>7722</v>
      </c>
      <c r="CX5" s="387">
        <v>3.087758775877588</v>
      </c>
      <c r="CY5" s="387">
        <v>3.5004533091568448</v>
      </c>
      <c r="CZ5" s="347">
        <v>2161</v>
      </c>
      <c r="DA5" s="347">
        <v>1301</v>
      </c>
      <c r="DB5" s="122">
        <v>0.60203609440074035</v>
      </c>
      <c r="DC5" s="347">
        <v>2118</v>
      </c>
      <c r="DD5" s="347">
        <v>1536</v>
      </c>
      <c r="DE5" s="122">
        <v>0.72521246458923516</v>
      </c>
      <c r="DF5" s="347">
        <v>64</v>
      </c>
      <c r="DG5" s="122">
        <v>0.35359116022099446</v>
      </c>
      <c r="DH5" s="303">
        <v>85</v>
      </c>
      <c r="DI5" s="122">
        <v>0.4885057471264368</v>
      </c>
      <c r="DJ5" s="347">
        <v>596</v>
      </c>
      <c r="DK5" s="347">
        <v>1626</v>
      </c>
      <c r="DL5" s="347">
        <v>90</v>
      </c>
      <c r="DM5" s="347">
        <v>116</v>
      </c>
      <c r="DN5" s="122">
        <v>0.77586206896551724</v>
      </c>
      <c r="DO5" s="486">
        <v>495176.54400000005</v>
      </c>
      <c r="DP5" s="486">
        <v>452815.54400000005</v>
      </c>
      <c r="DQ5" s="122">
        <v>9.355023377907723E-2</v>
      </c>
      <c r="DR5" s="486">
        <v>121918.88799999999</v>
      </c>
      <c r="DS5" s="486">
        <v>198247.984</v>
      </c>
      <c r="DT5" s="122">
        <v>-0.38501827085414397</v>
      </c>
      <c r="DU5" s="486">
        <v>11320.248000000001</v>
      </c>
      <c r="DV5" s="486">
        <v>21222.544000000002</v>
      </c>
      <c r="DW5" s="122">
        <v>-0.46659326044983107</v>
      </c>
      <c r="DX5" s="486">
        <v>6046.6240000000007</v>
      </c>
      <c r="DY5" s="486">
        <v>9239.232</v>
      </c>
      <c r="DZ5" s="122">
        <v>-0.3455490672817827</v>
      </c>
      <c r="EA5" s="486">
        <v>605895.28799999994</v>
      </c>
      <c r="EB5" s="486">
        <v>550504.37600000016</v>
      </c>
      <c r="EC5" s="122">
        <v>0.10061847719081496</v>
      </c>
      <c r="ED5" s="486">
        <v>56039.432000000001</v>
      </c>
      <c r="EE5" s="486">
        <v>78143.071999999986</v>
      </c>
      <c r="EF5" s="122">
        <v>-0.28286116010386675</v>
      </c>
      <c r="EG5" s="486">
        <v>1310172.7520000001</v>
      </c>
      <c r="EH5" s="122">
        <v>-1.0514436343582179E-2</v>
      </c>
      <c r="EI5" s="122">
        <v>0.88540985790853433</v>
      </c>
      <c r="EJ5" s="303">
        <v>2403</v>
      </c>
    </row>
    <row r="6" spans="1:143">
      <c r="A6" s="490" t="s">
        <v>80</v>
      </c>
      <c r="B6" s="131" t="s">
        <v>3</v>
      </c>
      <c r="C6" s="105" t="s">
        <v>225</v>
      </c>
      <c r="D6" s="527">
        <f>VLOOKUP($B$4:$B$30,'TOTAL POR UF'!$A$5:$B$31,2,)</f>
        <v>422608.95200000005</v>
      </c>
      <c r="E6" s="104">
        <f>VLOOKUP($A$4:$A$31,'Evolução das Receitas'!$P$212:$Q$239,2,0)</f>
        <v>564760.02</v>
      </c>
      <c r="F6" s="103">
        <f t="shared" si="3"/>
        <v>0.74829828074586446</v>
      </c>
      <c r="G6" s="527">
        <f>VLOOKUP($B$4:$B$30,'TOTAL POR UF'!$A$5:$C$31,3,)</f>
        <v>98081.751999999993</v>
      </c>
      <c r="H6" s="104">
        <f>VLOOKUP($A$4:$A$31,'Evolução das Receitas'!$P$212:$R$239,3,0)</f>
        <v>146693.6</v>
      </c>
      <c r="I6" s="103">
        <f t="shared" si="4"/>
        <v>0.66861643589086361</v>
      </c>
      <c r="J6" s="527">
        <f>VLOOKUP($B$4:$B$30,'TOTAL POR UF'!$A$5:$D$31,4,)</f>
        <v>15599.032000000003</v>
      </c>
      <c r="K6" s="104">
        <f>VLOOKUP($A$4:$A$31,'Evolução das Receitas'!$P$212:$S$239,4,)</f>
        <v>38358.76</v>
      </c>
      <c r="L6" s="103">
        <f t="shared" si="5"/>
        <v>0.40666152920480231</v>
      </c>
      <c r="M6" s="527">
        <f>VLOOKUP($B$4:$B$30,'TOTAL POR UF'!$A$5:$E$31,5,)</f>
        <v>13587.808000000003</v>
      </c>
      <c r="N6" s="104">
        <f>VLOOKUP($A$4:$A$31,'Evolução das Receitas'!$P$212:$T$239,5,0)</f>
        <v>25790.080000000002</v>
      </c>
      <c r="O6" s="103">
        <f t="shared" si="6"/>
        <v>0.52686180112663483</v>
      </c>
      <c r="P6" s="527">
        <f>VLOOKUP($B$4:$B$30,'TOTAL POR UF'!$A$5:$X$31,23,)</f>
        <v>544278.62400000007</v>
      </c>
      <c r="Q6" s="104">
        <f>VLOOKUP($A$4:$A$31,'Evolução das Receitas'!$P$212:$U$239,6,0)</f>
        <v>677529.99</v>
      </c>
      <c r="R6" s="103">
        <f t="shared" si="7"/>
        <v>0.80332772280677944</v>
      </c>
      <c r="S6" s="527">
        <f>VLOOKUP($B$4:$B$30,'TOTAL POR UF'!$A$5:$X$31,24,0)</f>
        <v>55253.258000000023</v>
      </c>
      <c r="T6" s="104">
        <f>VLOOKUP($A$4:$A$31,'Evolução das Receitas'!$P$212:$V$239,7,0)</f>
        <v>64497.72</v>
      </c>
      <c r="U6" s="103">
        <f t="shared" si="8"/>
        <v>0.85666994120102269</v>
      </c>
      <c r="V6" s="109">
        <f>VLOOKUP($A$4:$A$29,'Anuid PF'!$A$5:$G$31,7,)</f>
        <v>2353</v>
      </c>
      <c r="W6" s="109">
        <f>VLOOKUP($A$4:$A$29,'Relatórios - SICCAU e IGEO'!$A$3:$E$29,5,)</f>
        <v>252</v>
      </c>
      <c r="X6" s="109">
        <f>VLOOKUP($A$4:$A$29,'Anuid PF'!$A$5:$B$31,2,)</f>
        <v>2347</v>
      </c>
      <c r="Y6" s="103">
        <f t="shared" si="9"/>
        <v>1.0025564550489987</v>
      </c>
      <c r="Z6" s="109">
        <f>VLOOKUP($A$4:$A$29,'Anuid PJ'!$A$5:$F$31,6,)</f>
        <v>308</v>
      </c>
      <c r="AA6" s="496">
        <f>VLOOKUP($A$4:$A$29,'Relatórios - SICCAU e IGEO'!$A$3:$J$29,10,)</f>
        <v>47</v>
      </c>
      <c r="AB6" s="109">
        <f>VLOOKUP($A$4:$A$29,'Anuid PJ'!$A$5:$B$31,2,)</f>
        <v>292</v>
      </c>
      <c r="AC6" s="103">
        <f t="shared" si="13"/>
        <v>1.0547945205479452</v>
      </c>
      <c r="AD6" s="109">
        <f>VLOOKUP($A$4:$A$29,RRT!$A$4:$D$30,4,)</f>
        <v>6159</v>
      </c>
      <c r="AE6" s="109">
        <f>VLOOKUP($A$4:$A$29,RRT!$A$4:$B$30,2,)</f>
        <v>7792</v>
      </c>
      <c r="AF6" s="498">
        <f t="shared" si="10"/>
        <v>2.6175095622609437</v>
      </c>
      <c r="AG6" s="498">
        <f>Tabela3[[#This Row],[Previsto - RRT]]/Tabela3[[#This Row],[Previsto PF]]</f>
        <v>3.3199829569663399</v>
      </c>
      <c r="AH6" s="109">
        <f>VLOOKUP(Tabela3[UF],'ADIMPLÊNCIA PF'!$A$4:H32,8,)</f>
        <v>2338</v>
      </c>
      <c r="AI6" s="109">
        <f>VLOOKUP(Tabela3[[#This Row],[UF]],'ADIMPLÊNCIA PF'!$A$4:$I$30,9,)</f>
        <v>1099</v>
      </c>
      <c r="AJ6" s="103">
        <f>Tabela3[[#This Row],[PF Qnt Pag.
Exec.]]/Tabela3[[#This Row],[PF
Qnt Pot Pag.
Exec.]]</f>
        <v>0.47005988023952094</v>
      </c>
      <c r="AK6" s="507">
        <f>VLOOKUP(Tabela3[[#This Row],[UF]],'ADIMPLÊNCIA PF'!$A$4:$C$30,3,)</f>
        <v>2329</v>
      </c>
      <c r="AL6" s="507">
        <f>VLOOKUP(Tabela3[[#This Row],[UF]],'ADIMPLÊNCIA PF'!$A$4:$D$30,4,)</f>
        <v>1473</v>
      </c>
      <c r="AM6" s="103">
        <f>Tabela3[[#This Row],[PF Qnt Pag.
Previsto]]/Tabela3[[#This Row],[PF
Qnt Pot Pag.
Previsto]]</f>
        <v>0.63246028338342641</v>
      </c>
      <c r="AN6" s="507">
        <f>VLOOKUP(Tabela3[[#This Row],[UF]],'ADIMPLÊNCIA PJ'!$A$4:$F$30,6,)</f>
        <v>83</v>
      </c>
      <c r="AO6" s="103">
        <f>Tabela3[[#This Row],[PJ Pagantes
Exec.]]/Tabela3[[#This Row],[PJ Ativos]]</f>
        <v>0.26948051948051949</v>
      </c>
      <c r="AP6" s="507">
        <f>VLOOKUP(Tabela3[[#This Row],[UF]],'ADIMPLÊNCIA PJ'!$A$4:$C$30,3,)</f>
        <v>143</v>
      </c>
      <c r="AQ6" s="103">
        <f>Tabela3[[#This Row],[PJ Pagante
Previsto]]/Tabela3[[#This Row],[Previsto PJ]]</f>
        <v>0.48972602739726029</v>
      </c>
      <c r="AR6" s="109">
        <f>VLOOKUP($A$4:$A$29,'PF - Gênero'!$A$2:$B$28,2,)</f>
        <v>944</v>
      </c>
      <c r="AS6" s="109">
        <f>VLOOKUP($A$4:$A$29,'PF - Gênero'!$A$2:$C$28,3,)</f>
        <v>1409</v>
      </c>
      <c r="AT6" s="109">
        <f>VLOOKUP($A$4:$A$29,'Relatórios - SICCAU e IGEO'!$A$3:$F$29,6,)</f>
        <v>79</v>
      </c>
      <c r="AU6" s="109">
        <v>94</v>
      </c>
      <c r="AV6" s="495">
        <f t="shared" si="11"/>
        <v>0.84042553191489366</v>
      </c>
      <c r="AW6" s="527">
        <f>'Comparativo YoY'!FN5</f>
        <v>269696.29600000003</v>
      </c>
      <c r="AX6" s="527">
        <f>'Comparativo YoY'!FU5</f>
        <v>389751.56799999997</v>
      </c>
      <c r="AY6" s="103">
        <f>Tabela3[[#This Row],[Receita
PF
2022]]/Tabela3[[#This Row],[Receita
PF
2021]]-1</f>
        <v>-0.30803024761660469</v>
      </c>
      <c r="AZ6" s="527">
        <f>+'Comparativo YoY'!FO5</f>
        <v>73180.160000000003</v>
      </c>
      <c r="BA6" s="527">
        <f>+'Comparativo YoY'!FV5</f>
        <v>137768.06400000004</v>
      </c>
      <c r="BB6" s="103">
        <f>Tabela3[[#This Row],[Receita
PF - Ex Ant
2022]]/Tabela3[[#This Row],[Receita
PF - Ex Ant
2021]]-1</f>
        <v>-0.46881622724988004</v>
      </c>
      <c r="BC6" s="527">
        <f>'Comparativo YoY'!FP5</f>
        <v>14871.848000000002</v>
      </c>
      <c r="BD6" s="527">
        <f>'Comparativo YoY'!FW5</f>
        <v>23957.4</v>
      </c>
      <c r="BE6" s="103">
        <f>Tabela3[[#This Row],[Receita
PJ
2022]]/Tabela3[[#This Row],[Receita
PJ
2021]]-1</f>
        <v>-0.37923781378613697</v>
      </c>
      <c r="BF6" s="527">
        <f>'Comparativo YoY'!FQ5</f>
        <v>11852.28</v>
      </c>
      <c r="BG6" s="530">
        <f>'Comparativo YoY'!FX5</f>
        <v>10993.576000000001</v>
      </c>
      <c r="BH6" s="103">
        <f>Tabela3[[#This Row],[Receita
PJ - Ex Ant
2022]]/Tabela3[[#This Row],[Receita
PJ - Ex Ant
2021]]-1</f>
        <v>7.8109616015753058E-2</v>
      </c>
      <c r="BI6" s="527">
        <f>'Comparativo YoY'!FR5</f>
        <v>366750.54399999994</v>
      </c>
      <c r="BJ6" s="527">
        <f>'Comparativo YoY'!FY5</f>
        <v>456720.92800000001</v>
      </c>
      <c r="BK6" s="103">
        <f>Tabela3[[#This Row],[Receita
RRT
2022]]/Tabela3[[#This Row],[Receita
RRT
2021]]-1</f>
        <v>-0.19699203273645494</v>
      </c>
      <c r="BL6" s="527">
        <f>'Comparativo YoY'!FS5</f>
        <v>42090.880000000012</v>
      </c>
      <c r="BM6" s="527">
        <f>'Comparativo YoY'!FZ5</f>
        <v>72208.928</v>
      </c>
      <c r="BN6" s="103">
        <f>Tabela3[[#This Row],[Receita
Taxas
2022]]/Tabela3[[#This Row],[Receita
Taxas
2021]]-1</f>
        <v>-0.41709590260085272</v>
      </c>
      <c r="BO6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1091400.4640000002</v>
      </c>
      <c r="BP6" s="103">
        <f t="shared" si="14"/>
        <v>5.3150941302879895E-2</v>
      </c>
      <c r="BQ6" s="499">
        <f t="shared" si="12"/>
        <v>0.7573712283276498</v>
      </c>
      <c r="BR6" s="517">
        <f>Tabela3[[#This Row],[PF Ativos
Exec.]]+Tabela3[[#This Row],[PJ Ativos]]</f>
        <v>2661</v>
      </c>
      <c r="BT6" s="790" t="s">
        <v>80</v>
      </c>
      <c r="BU6" s="790" t="s">
        <v>3</v>
      </c>
      <c r="BV6" s="750">
        <v>422608.95200000005</v>
      </c>
      <c r="BW6" s="486">
        <v>564760.02</v>
      </c>
      <c r="BX6" s="122">
        <v>0.74829828074586446</v>
      </c>
      <c r="BY6" s="486">
        <v>98081.751999999993</v>
      </c>
      <c r="BZ6" s="486">
        <v>146693.6</v>
      </c>
      <c r="CA6" s="122">
        <v>0.66861643589086361</v>
      </c>
      <c r="CB6" s="486">
        <v>15599.032000000003</v>
      </c>
      <c r="CC6" s="486">
        <v>38358.76</v>
      </c>
      <c r="CD6" s="122">
        <v>0.40666152920480231</v>
      </c>
      <c r="CE6" s="486">
        <v>13587.808000000003</v>
      </c>
      <c r="CF6" s="486">
        <v>25790.080000000002</v>
      </c>
      <c r="CG6" s="122">
        <v>0.52686180112663483</v>
      </c>
      <c r="CH6" s="486">
        <v>544278.62400000007</v>
      </c>
      <c r="CI6" s="486">
        <v>677529.99</v>
      </c>
      <c r="CJ6" s="122">
        <v>0.80332772280677944</v>
      </c>
      <c r="CK6" s="486">
        <v>55253.258000000023</v>
      </c>
      <c r="CL6" s="486">
        <v>64497.72</v>
      </c>
      <c r="CM6" s="122">
        <v>0.85666994120102269</v>
      </c>
      <c r="CN6" s="347">
        <v>2353</v>
      </c>
      <c r="CO6" s="303">
        <v>252</v>
      </c>
      <c r="CP6" s="347">
        <v>2347</v>
      </c>
      <c r="CQ6" s="122">
        <v>1.0025564550489987</v>
      </c>
      <c r="CR6" s="347">
        <v>308</v>
      </c>
      <c r="CS6" s="387">
        <v>47</v>
      </c>
      <c r="CT6" s="347">
        <v>292</v>
      </c>
      <c r="CU6" s="122">
        <v>1.0547945205479452</v>
      </c>
      <c r="CV6" s="303">
        <v>6159</v>
      </c>
      <c r="CW6" s="347">
        <v>7792</v>
      </c>
      <c r="CX6" s="387">
        <v>2.6175095622609437</v>
      </c>
      <c r="CY6" s="387">
        <v>3.3199829569663399</v>
      </c>
      <c r="CZ6" s="347">
        <v>2338</v>
      </c>
      <c r="DA6" s="347">
        <v>1099</v>
      </c>
      <c r="DB6" s="122">
        <v>0.47005988023952094</v>
      </c>
      <c r="DC6" s="347">
        <v>2329</v>
      </c>
      <c r="DD6" s="347">
        <v>1473</v>
      </c>
      <c r="DE6" s="122">
        <v>0.63246028338342641</v>
      </c>
      <c r="DF6" s="347">
        <v>83</v>
      </c>
      <c r="DG6" s="122">
        <v>0.26948051948051949</v>
      </c>
      <c r="DH6" s="303">
        <v>143</v>
      </c>
      <c r="DI6" s="122">
        <v>0.48972602739726029</v>
      </c>
      <c r="DJ6" s="347">
        <v>944</v>
      </c>
      <c r="DK6" s="347">
        <v>1409</v>
      </c>
      <c r="DL6" s="347">
        <v>79</v>
      </c>
      <c r="DM6" s="347">
        <v>94</v>
      </c>
      <c r="DN6" s="122">
        <v>0.84042553191489366</v>
      </c>
      <c r="DO6" s="486">
        <v>269696.29600000003</v>
      </c>
      <c r="DP6" s="486">
        <v>389751.56799999997</v>
      </c>
      <c r="DQ6" s="122">
        <v>-0.30803024761660469</v>
      </c>
      <c r="DR6" s="486">
        <v>73180.160000000003</v>
      </c>
      <c r="DS6" s="486">
        <v>137768.06400000004</v>
      </c>
      <c r="DT6" s="122">
        <v>-0.46881622724988004</v>
      </c>
      <c r="DU6" s="486">
        <v>14871.848000000002</v>
      </c>
      <c r="DV6" s="486">
        <v>23957.4</v>
      </c>
      <c r="DW6" s="122">
        <v>-0.37923781378613697</v>
      </c>
      <c r="DX6" s="486">
        <v>11852.28</v>
      </c>
      <c r="DY6" s="486">
        <v>10993.576000000001</v>
      </c>
      <c r="DZ6" s="122">
        <v>7.8109616015753058E-2</v>
      </c>
      <c r="EA6" s="486">
        <v>366750.54399999994</v>
      </c>
      <c r="EB6" s="486">
        <v>456720.92800000001</v>
      </c>
      <c r="EC6" s="122">
        <v>-0.19699203273645494</v>
      </c>
      <c r="ED6" s="486">
        <v>42090.880000000012</v>
      </c>
      <c r="EE6" s="486">
        <v>72208.928</v>
      </c>
      <c r="EF6" s="122">
        <v>-0.41709590260085272</v>
      </c>
      <c r="EG6" s="486">
        <v>1091400.4640000002</v>
      </c>
      <c r="EH6" s="122">
        <v>5.3150941302879895E-2</v>
      </c>
      <c r="EI6" s="122">
        <v>0.7573712283276498</v>
      </c>
      <c r="EJ6" s="303">
        <v>2661</v>
      </c>
    </row>
    <row r="7" spans="1:143">
      <c r="A7" s="490" t="s">
        <v>79</v>
      </c>
      <c r="B7" s="131" t="s">
        <v>2</v>
      </c>
      <c r="C7" s="105" t="s">
        <v>225</v>
      </c>
      <c r="D7" s="767">
        <f>VLOOKUP($B$4:$B$30,'TOTAL POR UF'!$A$5:$B$31,2,)</f>
        <v>158351.24799999999</v>
      </c>
      <c r="E7" s="768">
        <f>VLOOKUP($A$4:$A$31,'Evolução das Receitas'!$P$212:$Q$239,2,0)</f>
        <v>193991.7</v>
      </c>
      <c r="F7" s="103">
        <f t="shared" si="3"/>
        <v>0.81627846964586626</v>
      </c>
      <c r="G7" s="767">
        <f>VLOOKUP($B$4:$B$30,'TOTAL POR UF'!$A$5:$C$31,3,)</f>
        <v>56174.168000000005</v>
      </c>
      <c r="H7" s="768">
        <f>VLOOKUP($A$4:$A$31,'Evolução das Receitas'!$P$212:$R$239,3,0)</f>
        <v>70623.45</v>
      </c>
      <c r="I7" s="103">
        <f t="shared" si="4"/>
        <v>0.79540390620962309</v>
      </c>
      <c r="J7" s="767">
        <f>VLOOKUP($B$4:$B$30,'TOTAL POR UF'!$A$5:$D$31,4,)</f>
        <v>15336.248</v>
      </c>
      <c r="K7" s="768">
        <f>VLOOKUP($A$4:$A$31,'Evolução das Receitas'!$P$212:$S$239,4,)</f>
        <v>30504.54</v>
      </c>
      <c r="L7" s="103">
        <f t="shared" si="5"/>
        <v>0.5027529672632336</v>
      </c>
      <c r="M7" s="767">
        <f>VLOOKUP($B$4:$B$30,'TOTAL POR UF'!$A$5:$E$31,5,)</f>
        <v>13836.183999999999</v>
      </c>
      <c r="N7" s="768">
        <f>VLOOKUP($A$4:$A$31,'Evolução das Receitas'!$P$212:$T$239,5,0)</f>
        <v>29503.100000000002</v>
      </c>
      <c r="O7" s="103">
        <f t="shared" si="6"/>
        <v>0.4689739044371608</v>
      </c>
      <c r="P7" s="767">
        <f>VLOOKUP($B$4:$B$30,'TOTAL POR UF'!$A$5:$X$31,23,)</f>
        <v>280687.79200000002</v>
      </c>
      <c r="Q7" s="768">
        <f>VLOOKUP($A$4:$A$31,'Evolução das Receitas'!$P$212:$U$239,6,0)</f>
        <v>311896.82</v>
      </c>
      <c r="R7" s="103">
        <f t="shared" si="7"/>
        <v>0.89993797307712209</v>
      </c>
      <c r="S7" s="767">
        <f>VLOOKUP($B$4:$B$30,'TOTAL POR UF'!$A$5:$X$31,24,0)</f>
        <v>37415.800000000003</v>
      </c>
      <c r="T7" s="768">
        <f>VLOOKUP($A$4:$A$31,'Evolução das Receitas'!$P$212:$V$239,7,0)</f>
        <v>34372.410000000003</v>
      </c>
      <c r="U7" s="103">
        <f t="shared" si="8"/>
        <v>1.0885416530292755</v>
      </c>
      <c r="V7" s="109">
        <f>VLOOKUP($A$4:$A$29,'Anuid PF'!$A$5:$G$31,7,)</f>
        <v>886</v>
      </c>
      <c r="W7" s="109">
        <f>VLOOKUP($A$4:$A$29,'Relatórios - SICCAU e IGEO'!$A$3:$E$29,5,)</f>
        <v>55</v>
      </c>
      <c r="X7" s="109">
        <f>VLOOKUP($A$4:$A$29,'Anuid PF'!$A$5:$B$31,2,)</f>
        <v>883</v>
      </c>
      <c r="Y7" s="495">
        <f t="shared" si="9"/>
        <v>1.0033975084937712</v>
      </c>
      <c r="Z7" s="109">
        <f>VLOOKUP($A$4:$A$29,'Anuid PJ'!$A$5:$F$31,6,)</f>
        <v>336</v>
      </c>
      <c r="AA7" s="496">
        <f>VLOOKUP($A$4:$A$29,'Relatórios - SICCAU e IGEO'!$A$3:$J$29,10,)</f>
        <v>29</v>
      </c>
      <c r="AB7" s="109">
        <f>VLOOKUP($A$4:$A$29,'Anuid PJ'!$A$5:$B$31,2,)</f>
        <v>350</v>
      </c>
      <c r="AC7" s="103">
        <f t="shared" si="13"/>
        <v>0.96</v>
      </c>
      <c r="AD7" s="109">
        <f>VLOOKUP($A$4:$A$29,RRT!$A$4:$D$30,4,)</f>
        <v>3083</v>
      </c>
      <c r="AE7" s="109">
        <f>VLOOKUP($A$4:$A$29,RRT!$A$4:$B$30,2,)</f>
        <v>3587</v>
      </c>
      <c r="AF7" s="498">
        <f t="shared" si="10"/>
        <v>3.479683972911964</v>
      </c>
      <c r="AG7" s="498">
        <f>Tabela3[[#This Row],[Previsto - RRT]]/Tabela3[[#This Row],[Previsto PF]]</f>
        <v>4.062287655719139</v>
      </c>
      <c r="AH7" s="109">
        <f>VLOOKUP(Tabela3[UF],'ADIMPLÊNCIA PF'!$A$4:H33,8,)</f>
        <v>881</v>
      </c>
      <c r="AI7" s="109">
        <f>VLOOKUP(Tabela3[[#This Row],[UF]],'ADIMPLÊNCIA PF'!$A$4:$I$30,9,)</f>
        <v>417</v>
      </c>
      <c r="AJ7" s="103">
        <f>Tabela3[[#This Row],[PF Qnt Pag.
Exec.]]/Tabela3[[#This Row],[PF
Qnt Pot Pag.
Exec.]]</f>
        <v>0.47332576617480138</v>
      </c>
      <c r="AK7" s="507">
        <f>VLOOKUP(Tabela3[[#This Row],[UF]],'ADIMPLÊNCIA PF'!$A$4:$C$30,3,)</f>
        <v>877</v>
      </c>
      <c r="AL7" s="507">
        <f>VLOOKUP(Tabela3[[#This Row],[UF]],'ADIMPLÊNCIA PF'!$A$4:$D$30,4,)</f>
        <v>518</v>
      </c>
      <c r="AM7" s="103">
        <f>Tabela3[[#This Row],[PF Qnt Pag.
Previsto]]/Tabela3[[#This Row],[PF
Qnt Pot Pag.
Previsto]]</f>
        <v>0.59064994298745721</v>
      </c>
      <c r="AN7" s="507">
        <f>VLOOKUP(Tabela3[[#This Row],[UF]],'ADIMPLÊNCIA PJ'!$A$4:$F$30,6,)</f>
        <v>82</v>
      </c>
      <c r="AO7" s="103">
        <f>Tabela3[[#This Row],[PJ Pagantes
Exec.]]/Tabela3[[#This Row],[PJ Ativos]]</f>
        <v>0.24404761904761904</v>
      </c>
      <c r="AP7" s="507">
        <f>VLOOKUP(Tabela3[[#This Row],[UF]],'ADIMPLÊNCIA PJ'!$A$4:$C$30,3,)</f>
        <v>110</v>
      </c>
      <c r="AQ7" s="103">
        <f>Tabela3[[#This Row],[PJ Pagante
Previsto]]/Tabela3[[#This Row],[Previsto PJ]]</f>
        <v>0.31428571428571428</v>
      </c>
      <c r="AR7" s="109">
        <f>VLOOKUP($A$4:$A$29,'PF - Gênero'!$A$2:$B$28,2,)</f>
        <v>481</v>
      </c>
      <c r="AS7" s="109">
        <f>VLOOKUP($A$4:$A$29,'PF - Gênero'!$A$2:$C$28,3,)</f>
        <v>405</v>
      </c>
      <c r="AT7" s="109">
        <f>VLOOKUP($A$4:$A$29,'Relatórios - SICCAU e IGEO'!$A$3:$F$29,6,)</f>
        <v>35</v>
      </c>
      <c r="AU7" s="109">
        <v>30</v>
      </c>
      <c r="AV7" s="495">
        <f t="shared" si="11"/>
        <v>1.1666666666666667</v>
      </c>
      <c r="AW7" s="527">
        <f>'Comparativo YoY'!FN6</f>
        <v>311263.90399999998</v>
      </c>
      <c r="AX7" s="527">
        <f>'Comparativo YoY'!FU6</f>
        <v>135081.76</v>
      </c>
      <c r="AY7" s="103">
        <f>Tabela3[[#This Row],[Receita
PF
2022]]/Tabela3[[#This Row],[Receita
PF
2021]]-1</f>
        <v>1.3042630181898724</v>
      </c>
      <c r="AZ7" s="527">
        <f>+'Comparativo YoY'!FO6</f>
        <v>81075.759999999995</v>
      </c>
      <c r="BA7" s="527">
        <f>+'Comparativo YoY'!FV6</f>
        <v>57580.024000000005</v>
      </c>
      <c r="BB7" s="103">
        <f>Tabela3[[#This Row],[Receita
PF - Ex Ant
2022]]/Tabela3[[#This Row],[Receita
PF - Ex Ant
2021]]-1</f>
        <v>0.40805359858828805</v>
      </c>
      <c r="BC7" s="527">
        <f>'Comparativo YoY'!FP6</f>
        <v>16063.432000000003</v>
      </c>
      <c r="BD7" s="527">
        <f>'Comparativo YoY'!FW6</f>
        <v>20964.736000000001</v>
      </c>
      <c r="BE7" s="103">
        <f>Tabela3[[#This Row],[Receita
PJ
2022]]/Tabela3[[#This Row],[Receita
PJ
2021]]-1</f>
        <v>-0.23378801431127005</v>
      </c>
      <c r="BF7" s="527">
        <f>'Comparativo YoY'!FQ6</f>
        <v>15571.712000000001</v>
      </c>
      <c r="BG7" s="530">
        <f>'Comparativo YoY'!FX6</f>
        <v>9705.1440000000002</v>
      </c>
      <c r="BH7" s="103">
        <f>Tabela3[[#This Row],[Receita
PJ - Ex Ant
2022]]/Tabela3[[#This Row],[Receita
PJ - Ex Ant
2021]]-1</f>
        <v>0.60448026325008697</v>
      </c>
      <c r="BI7" s="527">
        <f>'Comparativo YoY'!FR6</f>
        <v>458215.87200000003</v>
      </c>
      <c r="BJ7" s="527">
        <f>'Comparativo YoY'!FY6</f>
        <v>234633.38399999999</v>
      </c>
      <c r="BK7" s="103">
        <f>Tabela3[[#This Row],[Receita
RRT
2022]]/Tabela3[[#This Row],[Receita
RRT
2021]]-1</f>
        <v>0.95290143366810942</v>
      </c>
      <c r="BL7" s="527">
        <f>'Comparativo YoY'!FS6</f>
        <v>50578.178</v>
      </c>
      <c r="BM7" s="527">
        <f>'Comparativo YoY'!FZ6</f>
        <v>26222.200000000008</v>
      </c>
      <c r="BN7" s="103">
        <f>Tabela3[[#This Row],[Receita
Taxas
2022]]/Tabela3[[#This Row],[Receita
Taxas
2021]]-1</f>
        <v>0.92883045663597952</v>
      </c>
      <c r="BO7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484187.24800000002</v>
      </c>
      <c r="BP7" s="103">
        <f t="shared" si="14"/>
        <v>0.16029788541642898</v>
      </c>
      <c r="BQ7" s="499">
        <f t="shared" si="12"/>
        <v>0.83739472709781237</v>
      </c>
      <c r="BR7" s="517">
        <f>Tabela3[[#This Row],[PF Ativos
Exec.]]+Tabela3[[#This Row],[PJ Ativos]]</f>
        <v>1222</v>
      </c>
      <c r="BT7" s="790" t="s">
        <v>79</v>
      </c>
      <c r="BU7" s="790" t="s">
        <v>2</v>
      </c>
      <c r="BV7" s="750">
        <v>158351.24799999999</v>
      </c>
      <c r="BW7" s="486">
        <v>193991.7</v>
      </c>
      <c r="BX7" s="122">
        <v>0.81627846964586626</v>
      </c>
      <c r="BY7" s="486">
        <v>56174.168000000005</v>
      </c>
      <c r="BZ7" s="486">
        <v>70623.45</v>
      </c>
      <c r="CA7" s="122">
        <v>0.79540390620962309</v>
      </c>
      <c r="CB7" s="486">
        <v>15336.248</v>
      </c>
      <c r="CC7" s="486">
        <v>30504.54</v>
      </c>
      <c r="CD7" s="122">
        <v>0.5027529672632336</v>
      </c>
      <c r="CE7" s="486">
        <v>13836.183999999999</v>
      </c>
      <c r="CF7" s="486">
        <v>29503.100000000002</v>
      </c>
      <c r="CG7" s="122">
        <v>0.4689739044371608</v>
      </c>
      <c r="CH7" s="486">
        <v>280687.79200000002</v>
      </c>
      <c r="CI7" s="486">
        <v>311896.82</v>
      </c>
      <c r="CJ7" s="122">
        <v>0.89993797307712209</v>
      </c>
      <c r="CK7" s="486">
        <v>37415.800000000003</v>
      </c>
      <c r="CL7" s="486">
        <v>34372.410000000003</v>
      </c>
      <c r="CM7" s="122">
        <v>1.0885416530292755</v>
      </c>
      <c r="CN7" s="347">
        <v>886</v>
      </c>
      <c r="CO7" s="303">
        <v>55</v>
      </c>
      <c r="CP7" s="347">
        <v>883</v>
      </c>
      <c r="CQ7" s="122">
        <v>1.0033975084937712</v>
      </c>
      <c r="CR7" s="347">
        <v>336</v>
      </c>
      <c r="CS7" s="387">
        <v>29</v>
      </c>
      <c r="CT7" s="347">
        <v>350</v>
      </c>
      <c r="CU7" s="122">
        <v>0.96</v>
      </c>
      <c r="CV7" s="303">
        <v>3083</v>
      </c>
      <c r="CW7" s="347">
        <v>3587</v>
      </c>
      <c r="CX7" s="387">
        <v>3.479683972911964</v>
      </c>
      <c r="CY7" s="387">
        <v>4.062287655719139</v>
      </c>
      <c r="CZ7" s="347">
        <v>881</v>
      </c>
      <c r="DA7" s="347">
        <v>417</v>
      </c>
      <c r="DB7" s="122">
        <v>0.47332576617480138</v>
      </c>
      <c r="DC7" s="347">
        <v>877</v>
      </c>
      <c r="DD7" s="347">
        <v>518</v>
      </c>
      <c r="DE7" s="122">
        <v>0.59064994298745721</v>
      </c>
      <c r="DF7" s="347">
        <v>82</v>
      </c>
      <c r="DG7" s="122">
        <v>0.24404761904761904</v>
      </c>
      <c r="DH7" s="303">
        <v>110</v>
      </c>
      <c r="DI7" s="122">
        <v>0.31428571428571428</v>
      </c>
      <c r="DJ7" s="347">
        <v>481</v>
      </c>
      <c r="DK7" s="347">
        <v>405</v>
      </c>
      <c r="DL7" s="347">
        <v>35</v>
      </c>
      <c r="DM7" s="347">
        <v>30</v>
      </c>
      <c r="DN7" s="122">
        <v>1.1666666666666667</v>
      </c>
      <c r="DO7" s="486">
        <v>311263.90399999998</v>
      </c>
      <c r="DP7" s="486">
        <v>135081.76</v>
      </c>
      <c r="DQ7" s="122">
        <v>1.3042630181898724</v>
      </c>
      <c r="DR7" s="486">
        <v>81075.759999999995</v>
      </c>
      <c r="DS7" s="486">
        <v>57580.024000000005</v>
      </c>
      <c r="DT7" s="122">
        <v>0.40805359858828805</v>
      </c>
      <c r="DU7" s="486">
        <v>16063.432000000003</v>
      </c>
      <c r="DV7" s="486">
        <v>20964.736000000001</v>
      </c>
      <c r="DW7" s="122">
        <v>-0.23378801431127005</v>
      </c>
      <c r="DX7" s="486">
        <v>15571.712000000001</v>
      </c>
      <c r="DY7" s="486">
        <v>9705.1440000000002</v>
      </c>
      <c r="DZ7" s="122">
        <v>0.60448026325008697</v>
      </c>
      <c r="EA7" s="486">
        <v>458215.87200000003</v>
      </c>
      <c r="EB7" s="486">
        <v>234633.38399999999</v>
      </c>
      <c r="EC7" s="122">
        <v>0.95290143366810942</v>
      </c>
      <c r="ED7" s="486">
        <v>50578.178</v>
      </c>
      <c r="EE7" s="486">
        <v>26222.200000000008</v>
      </c>
      <c r="EF7" s="122">
        <v>0.92883045663597952</v>
      </c>
      <c r="EG7" s="486">
        <v>484187.24800000002</v>
      </c>
      <c r="EH7" s="122">
        <v>0.16029788541642898</v>
      </c>
      <c r="EI7" s="122">
        <v>0.83739472709781237</v>
      </c>
      <c r="EJ7" s="303">
        <v>1222</v>
      </c>
    </row>
    <row r="8" spans="1:143">
      <c r="A8" s="490" t="s">
        <v>81</v>
      </c>
      <c r="B8" s="131" t="s">
        <v>4</v>
      </c>
      <c r="C8" s="105" t="s">
        <v>228</v>
      </c>
      <c r="D8" s="767">
        <f>VLOOKUP($B$4:$B$30,'TOTAL POR UF'!$A$5:$B$31,2,)</f>
        <v>1530239.888</v>
      </c>
      <c r="E8" s="768">
        <f>VLOOKUP($A$4:$A$31,'Evolução das Receitas'!$P$212:$Q$239,2,0)</f>
        <v>1725578.28</v>
      </c>
      <c r="F8" s="103">
        <f t="shared" si="3"/>
        <v>0.88679830161051865</v>
      </c>
      <c r="G8" s="767">
        <f>VLOOKUP($B$4:$B$30,'TOTAL POR UF'!$A$5:$C$31,3,)</f>
        <v>289451.016</v>
      </c>
      <c r="H8" s="768">
        <f>VLOOKUP($A$4:$A$31,'Evolução das Receitas'!$P$212:$R$239,3,0)</f>
        <v>369690.77</v>
      </c>
      <c r="I8" s="103">
        <f t="shared" si="4"/>
        <v>0.78295440267551175</v>
      </c>
      <c r="J8" s="767">
        <f>VLOOKUP($B$4:$B$30,'TOTAL POR UF'!$A$5:$D$31,4,)</f>
        <v>66782.296000000002</v>
      </c>
      <c r="K8" s="768">
        <f>VLOOKUP($A$4:$A$31,'Evolução das Receitas'!$P$212:$S$239,4,)</f>
        <v>167980.98</v>
      </c>
      <c r="L8" s="103">
        <f t="shared" si="5"/>
        <v>0.39755867598819816</v>
      </c>
      <c r="M8" s="767">
        <f>VLOOKUP($B$4:$B$30,'TOTAL POR UF'!$A$5:$E$31,5,)</f>
        <v>53345.688000000002</v>
      </c>
      <c r="N8" s="768">
        <f>VLOOKUP($A$4:$A$31,'Evolução das Receitas'!$P$212:$T$239,5,0)</f>
        <v>99609.25</v>
      </c>
      <c r="O8" s="103">
        <f t="shared" si="6"/>
        <v>0.53554953982687348</v>
      </c>
      <c r="P8" s="767">
        <f>VLOOKUP($B$4:$B$30,'TOTAL POR UF'!$A$5:$X$31,23,)</f>
        <v>1776444.1440000001</v>
      </c>
      <c r="Q8" s="768">
        <f>VLOOKUP($A$4:$A$31,'Evolução das Receitas'!$P$212:$U$239,6,0)</f>
        <v>1628784.86</v>
      </c>
      <c r="R8" s="103">
        <f t="shared" si="7"/>
        <v>1.0906561005239206</v>
      </c>
      <c r="S8" s="767">
        <f>VLOOKUP($B$4:$B$30,'TOTAL POR UF'!$A$5:$X$31,24,0)</f>
        <v>169066.712</v>
      </c>
      <c r="T8" s="768">
        <f>VLOOKUP($A$4:$A$31,'Evolução das Receitas'!$P$212:$V$239,7,0)</f>
        <v>160121</v>
      </c>
      <c r="U8" s="103">
        <f t="shared" si="8"/>
        <v>1.055868449485077</v>
      </c>
      <c r="V8" s="109">
        <f>VLOOKUP($A$4:$A$29,'Anuid PF'!$A$5:$G$31,7,)</f>
        <v>7444</v>
      </c>
      <c r="W8" s="109">
        <f>VLOOKUP($A$4:$A$29,'Relatórios - SICCAU e IGEO'!$A$3:$E$29,5,)</f>
        <v>348</v>
      </c>
      <c r="X8" s="109">
        <f>VLOOKUP($A$4:$A$29,'Anuid PF'!$A$5:$B$31,2,)</f>
        <v>7436</v>
      </c>
      <c r="Y8" s="103">
        <f t="shared" si="9"/>
        <v>1.0010758472296934</v>
      </c>
      <c r="Z8" s="109">
        <f>VLOOKUP($A$4:$A$29,'Anuid PJ'!$A$5:$F$31,6,)</f>
        <v>1068</v>
      </c>
      <c r="AA8" s="496">
        <f>VLOOKUP($A$4:$A$29,'Relatórios - SICCAU e IGEO'!$A$3:$J$29,10,)</f>
        <v>46</v>
      </c>
      <c r="AB8" s="109">
        <f>VLOOKUP($A$4:$A$29,'Anuid PJ'!$A$5:$B$31,2,)</f>
        <v>1140</v>
      </c>
      <c r="AC8" s="103">
        <f t="shared" si="13"/>
        <v>0.93684210526315792</v>
      </c>
      <c r="AD8" s="109">
        <f>VLOOKUP($A$4:$A$29,RRT!$A$4:$D$30,4,)</f>
        <v>20099</v>
      </c>
      <c r="AE8" s="109">
        <f>VLOOKUP($A$4:$A$29,RRT!$A$4:$B$30,2,)</f>
        <v>18732</v>
      </c>
      <c r="AF8" s="498">
        <f t="shared" si="10"/>
        <v>2.7000268672756582</v>
      </c>
      <c r="AG8" s="498">
        <f>Tabela3[[#This Row],[Previsto - RRT]]/Tabela3[[#This Row],[Previsto PF]]</f>
        <v>2.5190962883270576</v>
      </c>
      <c r="AH8" s="109">
        <f>VLOOKUP(Tabela3[UF],'ADIMPLÊNCIA PF'!$A$4:H34,8,)</f>
        <v>6690</v>
      </c>
      <c r="AI8" s="109">
        <f>VLOOKUP(Tabela3[[#This Row],[UF]],'ADIMPLÊNCIA PF'!$A$4:$I$30,9,)</f>
        <v>4179</v>
      </c>
      <c r="AJ8" s="103">
        <f>Tabela3[[#This Row],[PF Qnt Pag.
Exec.]]/Tabela3[[#This Row],[PF
Qnt Pot Pag.
Exec.]]</f>
        <v>0.62466367713004489</v>
      </c>
      <c r="AK8" s="507">
        <f>VLOOKUP(Tabela3[[#This Row],[UF]],'ADIMPLÊNCIA PF'!$A$4:$C$30,3,)</f>
        <v>6633</v>
      </c>
      <c r="AL8" s="507">
        <f>VLOOKUP(Tabela3[[#This Row],[UF]],'ADIMPLÊNCIA PF'!$A$4:$D$30,4,)</f>
        <v>4840</v>
      </c>
      <c r="AM8" s="103">
        <f>Tabela3[[#This Row],[PF Qnt Pag.
Previsto]]/Tabela3[[#This Row],[PF
Qnt Pot Pag.
Previsto]]</f>
        <v>0.72968490878938641</v>
      </c>
      <c r="AN8" s="507">
        <f>VLOOKUP(Tabela3[[#This Row],[UF]],'ADIMPLÊNCIA PJ'!$A$4:$F$30,6,)</f>
        <v>357</v>
      </c>
      <c r="AO8" s="103">
        <f>Tabela3[[#This Row],[PJ Pagantes
Exec.]]/Tabela3[[#This Row],[PJ Ativos]]</f>
        <v>0.3342696629213483</v>
      </c>
      <c r="AP8" s="507">
        <f>VLOOKUP(Tabela3[[#This Row],[UF]],'ADIMPLÊNCIA PJ'!$A$4:$C$30,3,)</f>
        <v>568</v>
      </c>
      <c r="AQ8" s="103">
        <f>Tabela3[[#This Row],[PJ Pagante
Previsto]]/Tabela3[[#This Row],[Previsto PJ]]</f>
        <v>0.49824561403508771</v>
      </c>
      <c r="AR8" s="109">
        <f>VLOOKUP($A$4:$A$29,'PF - Gênero'!$A$2:$B$28,2,)</f>
        <v>2749</v>
      </c>
      <c r="AS8" s="109">
        <f>VLOOKUP($A$4:$A$29,'PF - Gênero'!$A$2:$C$28,3,)</f>
        <v>4695</v>
      </c>
      <c r="AT8" s="109">
        <f>VLOOKUP($A$4:$A$29,'Relatórios - SICCAU e IGEO'!$A$3:$F$29,6,)</f>
        <v>257</v>
      </c>
      <c r="AU8" s="109">
        <v>388</v>
      </c>
      <c r="AV8" s="495">
        <f t="shared" si="11"/>
        <v>0.66237113402061853</v>
      </c>
      <c r="AW8" s="527">
        <f>'Comparativo YoY'!FN7</f>
        <v>1530239.888</v>
      </c>
      <c r="AX8" s="527">
        <f>'Comparativo YoY'!FU7</f>
        <v>1379175.9440000001</v>
      </c>
      <c r="AY8" s="103">
        <f>Tabela3[[#This Row],[Receita
PF
2022]]/Tabela3[[#This Row],[Receita
PF
2021]]-1</f>
        <v>0.1095320322669433</v>
      </c>
      <c r="AZ8" s="527">
        <f>+'Comparativo YoY'!FO7</f>
        <v>289451.016</v>
      </c>
      <c r="BA8" s="527">
        <f>+'Comparativo YoY'!FV7</f>
        <v>378812.96799999999</v>
      </c>
      <c r="BB8" s="103">
        <f>Tabela3[[#This Row],[Receita
PF - Ex Ant
2022]]/Tabela3[[#This Row],[Receita
PF - Ex Ant
2021]]-1</f>
        <v>-0.23589992832557938</v>
      </c>
      <c r="BC8" s="527">
        <f>'Comparativo YoY'!FP7</f>
        <v>66782.296000000002</v>
      </c>
      <c r="BD8" s="527">
        <f>'Comparativo YoY'!FW7</f>
        <v>106338.40000000001</v>
      </c>
      <c r="BE8" s="103">
        <f>Tabela3[[#This Row],[Receita
PJ
2022]]/Tabela3[[#This Row],[Receita
PJ
2021]]-1</f>
        <v>-0.37198325346253092</v>
      </c>
      <c r="BF8" s="527">
        <f>'Comparativo YoY'!FQ7</f>
        <v>53345.688000000002</v>
      </c>
      <c r="BG8" s="530">
        <f>'Comparativo YoY'!FX7</f>
        <v>40606.344000000005</v>
      </c>
      <c r="BH8" s="103">
        <f>Tabela3[[#This Row],[Receita
PJ - Ex Ant
2022]]/Tabela3[[#This Row],[Receita
PJ - Ex Ant
2021]]-1</f>
        <v>0.3137279238928774</v>
      </c>
      <c r="BI8" s="527">
        <f>'Comparativo YoY'!FR7</f>
        <v>1776444.1440000003</v>
      </c>
      <c r="BJ8" s="527">
        <f>'Comparativo YoY'!FY7</f>
        <v>1484676.5280000002</v>
      </c>
      <c r="BK8" s="103">
        <f>Tabela3[[#This Row],[Receita
RRT
2022]]/Tabela3[[#This Row],[Receita
RRT
2021]]-1</f>
        <v>0.19651931615908191</v>
      </c>
      <c r="BL8" s="527">
        <f>'Comparativo YoY'!FS7</f>
        <v>169066.71200000003</v>
      </c>
      <c r="BM8" s="527">
        <f>'Comparativo YoY'!FZ7</f>
        <v>192743.11199999999</v>
      </c>
      <c r="BN8" s="103">
        <f>Tabela3[[#This Row],[Receita
Taxas
2022]]/Tabela3[[#This Row],[Receita
Taxas
2021]]-1</f>
        <v>-0.12283914975908439</v>
      </c>
      <c r="BO8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3582353.2960000006</v>
      </c>
      <c r="BP8" s="103">
        <f t="shared" si="14"/>
        <v>8.4574697961336875E-2</v>
      </c>
      <c r="BQ8" s="499">
        <f t="shared" si="12"/>
        <v>0.93582599520549947</v>
      </c>
      <c r="BR8" s="517">
        <f>Tabela3[[#This Row],[PF Ativos
Exec.]]+Tabela3[[#This Row],[PJ Ativos]]</f>
        <v>8512</v>
      </c>
      <c r="BT8" s="790" t="s">
        <v>81</v>
      </c>
      <c r="BU8" s="790" t="s">
        <v>4</v>
      </c>
      <c r="BV8" s="750">
        <v>1530239.888</v>
      </c>
      <c r="BW8" s="486">
        <v>1725578.28</v>
      </c>
      <c r="BX8" s="122">
        <v>0.88679830161051865</v>
      </c>
      <c r="BY8" s="486">
        <v>289451.016</v>
      </c>
      <c r="BZ8" s="486">
        <v>369690.77</v>
      </c>
      <c r="CA8" s="122">
        <v>0.78295440267551175</v>
      </c>
      <c r="CB8" s="486">
        <v>66782.296000000002</v>
      </c>
      <c r="CC8" s="486">
        <v>167980.98</v>
      </c>
      <c r="CD8" s="122">
        <v>0.39755867598819816</v>
      </c>
      <c r="CE8" s="486">
        <v>53345.688000000002</v>
      </c>
      <c r="CF8" s="486">
        <v>99609.25</v>
      </c>
      <c r="CG8" s="122">
        <v>0.53554953982687348</v>
      </c>
      <c r="CH8" s="486">
        <v>1776444.1440000001</v>
      </c>
      <c r="CI8" s="486">
        <v>1628784.86</v>
      </c>
      <c r="CJ8" s="122">
        <v>1.0906561005239206</v>
      </c>
      <c r="CK8" s="486">
        <v>169066.712</v>
      </c>
      <c r="CL8" s="486">
        <v>160121</v>
      </c>
      <c r="CM8" s="122">
        <v>1.055868449485077</v>
      </c>
      <c r="CN8" s="347">
        <v>7444</v>
      </c>
      <c r="CO8" s="303">
        <v>348</v>
      </c>
      <c r="CP8" s="347">
        <v>7436</v>
      </c>
      <c r="CQ8" s="122">
        <v>1.0010758472296934</v>
      </c>
      <c r="CR8" s="347">
        <v>1068</v>
      </c>
      <c r="CS8" s="387">
        <v>46</v>
      </c>
      <c r="CT8" s="347">
        <v>1140</v>
      </c>
      <c r="CU8" s="122">
        <v>0.93684210526315792</v>
      </c>
      <c r="CV8" s="303">
        <v>20099</v>
      </c>
      <c r="CW8" s="347">
        <v>18732</v>
      </c>
      <c r="CX8" s="387">
        <v>2.7000268672756582</v>
      </c>
      <c r="CY8" s="387">
        <v>2.5190962883270576</v>
      </c>
      <c r="CZ8" s="347">
        <v>6690</v>
      </c>
      <c r="DA8" s="347">
        <v>4179</v>
      </c>
      <c r="DB8" s="122">
        <v>0.62466367713004489</v>
      </c>
      <c r="DC8" s="347">
        <v>6633</v>
      </c>
      <c r="DD8" s="347">
        <v>4840</v>
      </c>
      <c r="DE8" s="122">
        <v>0.72968490878938641</v>
      </c>
      <c r="DF8" s="347">
        <v>357</v>
      </c>
      <c r="DG8" s="122">
        <v>0.3342696629213483</v>
      </c>
      <c r="DH8" s="303">
        <v>568</v>
      </c>
      <c r="DI8" s="122">
        <v>0.49824561403508771</v>
      </c>
      <c r="DJ8" s="347">
        <v>2749</v>
      </c>
      <c r="DK8" s="347">
        <v>4695</v>
      </c>
      <c r="DL8" s="347">
        <v>257</v>
      </c>
      <c r="DM8" s="347">
        <v>388</v>
      </c>
      <c r="DN8" s="122">
        <v>0.66237113402061853</v>
      </c>
      <c r="DO8" s="486">
        <v>1530239.888</v>
      </c>
      <c r="DP8" s="486">
        <v>1379175.9440000001</v>
      </c>
      <c r="DQ8" s="122">
        <v>0.1095320322669433</v>
      </c>
      <c r="DR8" s="486">
        <v>289451.016</v>
      </c>
      <c r="DS8" s="486">
        <v>378812.96799999999</v>
      </c>
      <c r="DT8" s="122">
        <v>-0.23589992832557938</v>
      </c>
      <c r="DU8" s="486">
        <v>66782.296000000002</v>
      </c>
      <c r="DV8" s="486">
        <v>106338.40000000001</v>
      </c>
      <c r="DW8" s="122">
        <v>-0.37198325346253092</v>
      </c>
      <c r="DX8" s="486">
        <v>53345.688000000002</v>
      </c>
      <c r="DY8" s="486">
        <v>40606.344000000005</v>
      </c>
      <c r="DZ8" s="122">
        <v>0.3137279238928774</v>
      </c>
      <c r="EA8" s="486">
        <v>1776444.1440000003</v>
      </c>
      <c r="EB8" s="486">
        <v>1484676.5280000002</v>
      </c>
      <c r="EC8" s="122">
        <v>0.19651931615908191</v>
      </c>
      <c r="ED8" s="486">
        <v>169066.71200000003</v>
      </c>
      <c r="EE8" s="486">
        <v>192743.11199999999</v>
      </c>
      <c r="EF8" s="122">
        <v>-0.12283914975908439</v>
      </c>
      <c r="EG8" s="486">
        <v>3582353.2960000006</v>
      </c>
      <c r="EH8" s="122">
        <v>8.4574697961336875E-2</v>
      </c>
      <c r="EI8" s="122">
        <v>0.93582599520549947</v>
      </c>
      <c r="EJ8" s="303">
        <v>8512</v>
      </c>
    </row>
    <row r="9" spans="1:143">
      <c r="A9" s="490" t="s">
        <v>82</v>
      </c>
      <c r="B9" s="131" t="s">
        <v>5</v>
      </c>
      <c r="C9" s="105" t="s">
        <v>228</v>
      </c>
      <c r="D9" s="767">
        <f>VLOOKUP($B$4:$B$30,'TOTAL POR UF'!$A$5:$B$31,2,)</f>
        <v>1083541.3440000003</v>
      </c>
      <c r="E9" s="768">
        <f>VLOOKUP($A$4:$A$31,'Evolução das Receitas'!$P$212:$Q$239,2,0)</f>
        <v>1150209.6499999999</v>
      </c>
      <c r="F9" s="103">
        <f t="shared" si="3"/>
        <v>0.94203812670151077</v>
      </c>
      <c r="G9" s="767">
        <f>VLOOKUP($B$4:$B$30,'TOTAL POR UF'!$A$5:$C$31,3,)</f>
        <v>298626.2</v>
      </c>
      <c r="H9" s="768">
        <f>VLOOKUP($A$4:$A$31,'Evolução das Receitas'!$P$212:$R$239,3,0)</f>
        <v>211350.33000000002</v>
      </c>
      <c r="I9" s="103">
        <f t="shared" si="4"/>
        <v>1.4129440914523295</v>
      </c>
      <c r="J9" s="767">
        <f>VLOOKUP($B$4:$B$30,'TOTAL POR UF'!$A$5:$D$31,4,)</f>
        <v>39283.168000000005</v>
      </c>
      <c r="K9" s="768">
        <f>VLOOKUP($A$4:$A$31,'Evolução das Receitas'!$P$212:$S$239,4,)</f>
        <v>83922</v>
      </c>
      <c r="L9" s="103">
        <f t="shared" si="5"/>
        <v>0.4680914182216821</v>
      </c>
      <c r="M9" s="767">
        <f>VLOOKUP($B$4:$B$30,'TOTAL POR UF'!$A$5:$E$31,5,)</f>
        <v>56357.911999999997</v>
      </c>
      <c r="N9" s="768">
        <f>VLOOKUP($A$4:$A$31,'Evolução das Receitas'!$P$212:$T$239,5,0)</f>
        <v>56778.33</v>
      </c>
      <c r="O9" s="103">
        <f t="shared" si="6"/>
        <v>0.99259544970766123</v>
      </c>
      <c r="P9" s="767">
        <f>VLOOKUP($B$4:$B$30,'TOTAL POR UF'!$A$5:$X$31,23,)</f>
        <v>1117589.5920000002</v>
      </c>
      <c r="Q9" s="768">
        <f>VLOOKUP($A$4:$A$31,'Evolução das Receitas'!$P$212:$U$239,6,0)</f>
        <v>1064727.24</v>
      </c>
      <c r="R9" s="103">
        <f t="shared" si="7"/>
        <v>1.0496487269359243</v>
      </c>
      <c r="S9" s="767">
        <f>VLOOKUP($B$4:$B$30,'TOTAL POR UF'!$A$5:$X$31,24,0)</f>
        <v>177476.24000000005</v>
      </c>
      <c r="T9" s="768">
        <f>VLOOKUP($A$4:$A$31,'Evolução das Receitas'!$P$212:$V$239,7,0)</f>
        <v>110694.43000000001</v>
      </c>
      <c r="U9" s="103">
        <f t="shared" si="8"/>
        <v>1.6032987386989574</v>
      </c>
      <c r="V9" s="109">
        <f>VLOOKUP($A$4:$A$29,'Anuid PF'!$A$5:$G$31,7,)</f>
        <v>4757</v>
      </c>
      <c r="W9" s="109">
        <f>VLOOKUP($A$4:$A$29,'Relatórios - SICCAU e IGEO'!$A$3:$E$29,5,)</f>
        <v>324</v>
      </c>
      <c r="X9" s="109">
        <f>VLOOKUP($A$4:$A$29,'Anuid PF'!$A$5:$B$31,2,)</f>
        <v>4756</v>
      </c>
      <c r="Y9" s="103">
        <f t="shared" si="9"/>
        <v>1.000210260723297</v>
      </c>
      <c r="Z9" s="109">
        <f>VLOOKUP($A$4:$A$29,'Anuid PJ'!$A$5:$F$31,6,)</f>
        <v>470</v>
      </c>
      <c r="AA9" s="496">
        <f>VLOOKUP($A$4:$A$29,'Relatórios - SICCAU e IGEO'!$A$3:$J$29,10,)</f>
        <v>18</v>
      </c>
      <c r="AB9" s="109">
        <f>VLOOKUP($A$4:$A$29,'Anuid PJ'!$A$5:$B$31,2,)</f>
        <v>499</v>
      </c>
      <c r="AC9" s="103">
        <f t="shared" si="13"/>
        <v>0.94188376753507019</v>
      </c>
      <c r="AD9" s="109">
        <f>VLOOKUP($A$4:$A$29,RRT!$A$4:$D$30,4,)</f>
        <v>12660</v>
      </c>
      <c r="AE9" s="109">
        <f>VLOOKUP($A$4:$A$29,RRT!$A$4:$B$30,2,)</f>
        <v>12245</v>
      </c>
      <c r="AF9" s="498">
        <f t="shared" si="10"/>
        <v>2.6613411814168595</v>
      </c>
      <c r="AG9" s="498">
        <f>Tabela3[[#This Row],[Previsto - RRT]]/Tabela3[[#This Row],[Previsto PF]]</f>
        <v>2.5746425567703954</v>
      </c>
      <c r="AH9" s="109">
        <f>VLOOKUP(Tabela3[UF],'ADIMPLÊNCIA PF'!$A$4:H35,8,)</f>
        <v>4584</v>
      </c>
      <c r="AI9" s="109">
        <f>VLOOKUP(Tabela3[[#This Row],[UF]],'ADIMPLÊNCIA PF'!$A$4:$I$30,9,)</f>
        <v>3080</v>
      </c>
      <c r="AJ9" s="103">
        <f>Tabela3[[#This Row],[PF Qnt Pag.
Exec.]]/Tabela3[[#This Row],[PF
Qnt Pot Pag.
Exec.]]</f>
        <v>0.67190226876090753</v>
      </c>
      <c r="AK9" s="507">
        <f>VLOOKUP(Tabela3[[#This Row],[UF]],'ADIMPLÊNCIA PF'!$A$4:$C$30,3,)</f>
        <v>4570</v>
      </c>
      <c r="AL9" s="507">
        <f>VLOOKUP(Tabela3[[#This Row],[UF]],'ADIMPLÊNCIA PF'!$A$4:$D$30,4,)</f>
        <v>3326</v>
      </c>
      <c r="AM9" s="103">
        <f>Tabela3[[#This Row],[PF Qnt Pag.
Previsto]]/Tabela3[[#This Row],[PF
Qnt Pot Pag.
Previsto]]</f>
        <v>0.7277899343544858</v>
      </c>
      <c r="AN9" s="507">
        <f>VLOOKUP(Tabela3[[#This Row],[UF]],'ADIMPLÊNCIA PJ'!$A$4:$F$30,6,)</f>
        <v>226</v>
      </c>
      <c r="AO9" s="103">
        <f>Tabela3[[#This Row],[PJ Pagantes
Exec.]]/Tabela3[[#This Row],[PJ Ativos]]</f>
        <v>0.48085106382978721</v>
      </c>
      <c r="AP9" s="507">
        <f>VLOOKUP(Tabela3[[#This Row],[UF]],'ADIMPLÊNCIA PJ'!$A$4:$C$30,3,)</f>
        <v>287</v>
      </c>
      <c r="AQ9" s="103">
        <f>Tabela3[[#This Row],[PJ Pagante
Previsto]]/Tabela3[[#This Row],[Previsto PJ]]</f>
        <v>0.57515030060120242</v>
      </c>
      <c r="AR9" s="109">
        <f>VLOOKUP($A$4:$A$29,'PF - Gênero'!$A$2:$B$28,2,)</f>
        <v>1847</v>
      </c>
      <c r="AS9" s="109">
        <f>VLOOKUP($A$4:$A$29,'PF - Gênero'!$A$2:$C$28,3,)</f>
        <v>2910</v>
      </c>
      <c r="AT9" s="109">
        <f>VLOOKUP($A$4:$A$29,'Relatórios - SICCAU e IGEO'!$A$3:$F$29,6,)</f>
        <v>280</v>
      </c>
      <c r="AU9" s="109">
        <v>414</v>
      </c>
      <c r="AV9" s="495">
        <f t="shared" si="11"/>
        <v>0.67632850241545894</v>
      </c>
      <c r="AW9" s="527">
        <f>'Comparativo YoY'!FN8</f>
        <v>1083541.3440000003</v>
      </c>
      <c r="AX9" s="527">
        <f>'Comparativo YoY'!FU8</f>
        <v>874640.304</v>
      </c>
      <c r="AY9" s="103">
        <f>Tabela3[[#This Row],[Receita
PF
2022]]/Tabela3[[#This Row],[Receita
PF
2021]]-1</f>
        <v>0.23884222925084897</v>
      </c>
      <c r="AZ9" s="527">
        <f>+'Comparativo YoY'!FO8</f>
        <v>298626.2</v>
      </c>
      <c r="BA9" s="527">
        <f>+'Comparativo YoY'!FV8</f>
        <v>174492.83999999997</v>
      </c>
      <c r="BB9" s="103">
        <f>Tabela3[[#This Row],[Receita
PF - Ex Ant
2022]]/Tabela3[[#This Row],[Receita
PF - Ex Ant
2021]]-1</f>
        <v>0.71139514950871385</v>
      </c>
      <c r="BC9" s="527">
        <f>'Comparativo YoY'!FP8</f>
        <v>39283.168000000005</v>
      </c>
      <c r="BD9" s="527">
        <f>'Comparativo YoY'!FW8</f>
        <v>50366.872000000003</v>
      </c>
      <c r="BE9" s="103">
        <f>Tabela3[[#This Row],[Receita
PJ
2022]]/Tabela3[[#This Row],[Receita
PJ
2021]]-1</f>
        <v>-0.22005940730248241</v>
      </c>
      <c r="BF9" s="527">
        <f>'Comparativo YoY'!FQ8</f>
        <v>56357.911999999997</v>
      </c>
      <c r="BG9" s="530">
        <f>'Comparativo YoY'!FX8</f>
        <v>19461.52</v>
      </c>
      <c r="BH9" s="103">
        <f>Tabela3[[#This Row],[Receita
PJ - Ex Ant
2022]]/Tabela3[[#This Row],[Receita
PJ - Ex Ant
2021]]-1</f>
        <v>1.895863837973601</v>
      </c>
      <c r="BI9" s="527">
        <f>'Comparativo YoY'!FR8</f>
        <v>1117589.5920000002</v>
      </c>
      <c r="BJ9" s="527">
        <f>'Comparativo YoY'!FY8</f>
        <v>907609.73599999992</v>
      </c>
      <c r="BK9" s="103">
        <f>Tabela3[[#This Row],[Receita
RRT
2022]]/Tabela3[[#This Row],[Receita
RRT
2021]]-1</f>
        <v>0.23135478573138646</v>
      </c>
      <c r="BL9" s="527">
        <f>'Comparativo YoY'!FS8</f>
        <v>177476.24</v>
      </c>
      <c r="BM9" s="527">
        <f>'Comparativo YoY'!FZ8</f>
        <v>101811.81600000004</v>
      </c>
      <c r="BN9" s="103">
        <f>Tabela3[[#This Row],[Receita
Taxas
2022]]/Tabela3[[#This Row],[Receita
Taxas
2021]]-1</f>
        <v>0.74317920033957474</v>
      </c>
      <c r="BO9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2128383.088</v>
      </c>
      <c r="BP9" s="103">
        <f t="shared" si="14"/>
        <v>0.30280797269706583</v>
      </c>
      <c r="BQ9" s="499">
        <f t="shared" si="12"/>
        <v>1.0355503292441026</v>
      </c>
      <c r="BR9" s="517">
        <f>Tabela3[[#This Row],[PF Ativos
Exec.]]+Tabela3[[#This Row],[PJ Ativos]]</f>
        <v>5227</v>
      </c>
      <c r="BT9" s="790" t="s">
        <v>82</v>
      </c>
      <c r="BU9" s="790" t="s">
        <v>5</v>
      </c>
      <c r="BV9" s="750">
        <v>1083541.3440000003</v>
      </c>
      <c r="BW9" s="486">
        <v>1150209.6499999999</v>
      </c>
      <c r="BX9" s="122">
        <v>0.94203812670151077</v>
      </c>
      <c r="BY9" s="486">
        <v>298626.2</v>
      </c>
      <c r="BZ9" s="486">
        <v>211350.33000000002</v>
      </c>
      <c r="CA9" s="122">
        <v>1.4129440914523295</v>
      </c>
      <c r="CB9" s="486">
        <v>39283.168000000005</v>
      </c>
      <c r="CC9" s="486">
        <v>83922</v>
      </c>
      <c r="CD9" s="122">
        <v>0.4680914182216821</v>
      </c>
      <c r="CE9" s="486">
        <v>56357.911999999997</v>
      </c>
      <c r="CF9" s="486">
        <v>56778.33</v>
      </c>
      <c r="CG9" s="122">
        <v>0.99259544970766123</v>
      </c>
      <c r="CH9" s="486">
        <v>1117589.5920000002</v>
      </c>
      <c r="CI9" s="486">
        <v>1064727.24</v>
      </c>
      <c r="CJ9" s="122">
        <v>1.0496487269359243</v>
      </c>
      <c r="CK9" s="486">
        <v>177476.24000000005</v>
      </c>
      <c r="CL9" s="486">
        <v>110694.43000000001</v>
      </c>
      <c r="CM9" s="122">
        <v>1.6032987386989574</v>
      </c>
      <c r="CN9" s="347">
        <v>4757</v>
      </c>
      <c r="CO9" s="303">
        <v>324</v>
      </c>
      <c r="CP9" s="347">
        <v>4756</v>
      </c>
      <c r="CQ9" s="122">
        <v>1.000210260723297</v>
      </c>
      <c r="CR9" s="347">
        <v>470</v>
      </c>
      <c r="CS9" s="387">
        <v>18</v>
      </c>
      <c r="CT9" s="347">
        <v>499</v>
      </c>
      <c r="CU9" s="122">
        <v>0.94188376753507019</v>
      </c>
      <c r="CV9" s="303">
        <v>12660</v>
      </c>
      <c r="CW9" s="347">
        <v>12245</v>
      </c>
      <c r="CX9" s="387">
        <v>2.6613411814168595</v>
      </c>
      <c r="CY9" s="387">
        <v>2.5746425567703954</v>
      </c>
      <c r="CZ9" s="347">
        <v>4584</v>
      </c>
      <c r="DA9" s="347">
        <v>3080</v>
      </c>
      <c r="DB9" s="122">
        <v>0.67190226876090753</v>
      </c>
      <c r="DC9" s="347">
        <v>4570</v>
      </c>
      <c r="DD9" s="347">
        <v>3326</v>
      </c>
      <c r="DE9" s="122">
        <v>0.7277899343544858</v>
      </c>
      <c r="DF9" s="347">
        <v>226</v>
      </c>
      <c r="DG9" s="122">
        <v>0.48085106382978721</v>
      </c>
      <c r="DH9" s="303">
        <v>287</v>
      </c>
      <c r="DI9" s="122">
        <v>0.57515030060120242</v>
      </c>
      <c r="DJ9" s="347">
        <v>1847</v>
      </c>
      <c r="DK9" s="347">
        <v>2910</v>
      </c>
      <c r="DL9" s="347">
        <v>280</v>
      </c>
      <c r="DM9" s="347">
        <v>414</v>
      </c>
      <c r="DN9" s="122">
        <v>0.67632850241545894</v>
      </c>
      <c r="DO9" s="486">
        <v>1083541.3440000003</v>
      </c>
      <c r="DP9" s="486">
        <v>874640.304</v>
      </c>
      <c r="DQ9" s="122">
        <v>0.23884222925084897</v>
      </c>
      <c r="DR9" s="486">
        <v>298626.2</v>
      </c>
      <c r="DS9" s="486">
        <v>174492.83999999997</v>
      </c>
      <c r="DT9" s="122">
        <v>0.71139514950871385</v>
      </c>
      <c r="DU9" s="486">
        <v>39283.168000000005</v>
      </c>
      <c r="DV9" s="486">
        <v>50366.872000000003</v>
      </c>
      <c r="DW9" s="122">
        <v>-0.22005940730248241</v>
      </c>
      <c r="DX9" s="486">
        <v>56357.911999999997</v>
      </c>
      <c r="DY9" s="486">
        <v>19461.52</v>
      </c>
      <c r="DZ9" s="122">
        <v>1.895863837973601</v>
      </c>
      <c r="EA9" s="486">
        <v>1117589.5920000002</v>
      </c>
      <c r="EB9" s="486">
        <v>907609.73599999992</v>
      </c>
      <c r="EC9" s="122">
        <v>0.23135478573138646</v>
      </c>
      <c r="ED9" s="486">
        <v>177476.24</v>
      </c>
      <c r="EE9" s="486">
        <v>101811.81600000004</v>
      </c>
      <c r="EF9" s="122">
        <v>0.74317920033957474</v>
      </c>
      <c r="EG9" s="486">
        <v>2128383.088</v>
      </c>
      <c r="EH9" s="122">
        <v>0.30280797269706583</v>
      </c>
      <c r="EI9" s="122">
        <v>1.0355503292441026</v>
      </c>
      <c r="EJ9" s="303">
        <v>5227</v>
      </c>
    </row>
    <row r="10" spans="1:143">
      <c r="A10" s="490" t="s">
        <v>83</v>
      </c>
      <c r="B10" s="131" t="s">
        <v>6</v>
      </c>
      <c r="C10" s="105" t="s">
        <v>229</v>
      </c>
      <c r="D10" s="767">
        <f>VLOOKUP($B$4:$B$30,'TOTAL POR UF'!$A$5:$B$31,2,)</f>
        <v>1684099.824</v>
      </c>
      <c r="E10" s="768">
        <f>VLOOKUP($A$4:$A$31,'Evolução das Receitas'!$P$212:$Q$239,2,0)</f>
        <v>1763978.32</v>
      </c>
      <c r="F10" s="103">
        <f t="shared" si="3"/>
        <v>0.95471684935447498</v>
      </c>
      <c r="G10" s="767">
        <f>VLOOKUP($B$4:$B$30,'TOTAL POR UF'!$A$5:$C$31,3,)</f>
        <v>456786.24000000011</v>
      </c>
      <c r="H10" s="768">
        <f>VLOOKUP($A$4:$A$31,'Evolução das Receitas'!$P$212:$R$239,3,0)</f>
        <v>394786.83999999997</v>
      </c>
      <c r="I10" s="103">
        <f t="shared" si="4"/>
        <v>1.1570452551052617</v>
      </c>
      <c r="J10" s="767">
        <f>VLOOKUP($B$4:$B$30,'TOTAL POR UF'!$A$5:$D$31,4,)</f>
        <v>68091.248000000007</v>
      </c>
      <c r="K10" s="768">
        <f>VLOOKUP($A$4:$A$31,'Evolução das Receitas'!$P$212:$S$239,4,)</f>
        <v>117069.78</v>
      </c>
      <c r="L10" s="103">
        <f t="shared" si="5"/>
        <v>0.58162958878029847</v>
      </c>
      <c r="M10" s="767">
        <f>VLOOKUP($B$4:$B$30,'TOTAL POR UF'!$A$5:$E$31,5,)</f>
        <v>49406.168000000005</v>
      </c>
      <c r="N10" s="768">
        <f>VLOOKUP($A$4:$A$31,'Evolução das Receitas'!$P$212:$T$239,5,0)</f>
        <v>65835.459999999992</v>
      </c>
      <c r="O10" s="103">
        <f t="shared" si="6"/>
        <v>0.75044919561585821</v>
      </c>
      <c r="P10" s="767">
        <f>VLOOKUP($B$4:$B$30,'TOTAL POR UF'!$A$5:$X$31,23,)</f>
        <v>1207770.504</v>
      </c>
      <c r="Q10" s="768">
        <f>VLOOKUP($A$4:$A$31,'Evolução das Receitas'!$P$212:$U$239,6,0)</f>
        <v>1640958.15</v>
      </c>
      <c r="R10" s="103">
        <f t="shared" si="7"/>
        <v>0.73601542123423447</v>
      </c>
      <c r="S10" s="767">
        <f>VLOOKUP($B$4:$B$30,'TOTAL POR UF'!$A$5:$X$31,24,0)</f>
        <v>241606.20800000007</v>
      </c>
      <c r="T10" s="768">
        <f>VLOOKUP($A$4:$A$31,'Evolução das Receitas'!$P$212:$V$239,7,0)</f>
        <v>176003.27000000002</v>
      </c>
      <c r="U10" s="103">
        <f t="shared" si="8"/>
        <v>1.3727370406243022</v>
      </c>
      <c r="V10" s="109">
        <f>VLOOKUP($A$4:$A$29,'Anuid PF'!$A$5:$G$31,7,)</f>
        <v>6772</v>
      </c>
      <c r="W10" s="109">
        <f>VLOOKUP($A$4:$A$29,'Relatórios - SICCAU e IGEO'!$A$3:$E$29,5,)</f>
        <v>183</v>
      </c>
      <c r="X10" s="109">
        <f>VLOOKUP($A$4:$A$29,'Anuid PF'!$A$5:$B$31,2,)</f>
        <v>6854</v>
      </c>
      <c r="Y10" s="103">
        <f t="shared" si="9"/>
        <v>0.98803618325065656</v>
      </c>
      <c r="Z10" s="109">
        <f>VLOOKUP($A$4:$A$29,'Anuid PJ'!$A$5:$F$31,6,)</f>
        <v>833</v>
      </c>
      <c r="AA10" s="496">
        <f>VLOOKUP($A$4:$A$29,'Relatórios - SICCAU e IGEO'!$A$3:$J$29,10,)</f>
        <v>28</v>
      </c>
      <c r="AB10" s="109">
        <f>VLOOKUP($A$4:$A$29,'Anuid PJ'!$A$5:$B$31,2,)</f>
        <v>924</v>
      </c>
      <c r="AC10" s="103">
        <f t="shared" si="13"/>
        <v>0.90151515151515149</v>
      </c>
      <c r="AD10" s="109">
        <f>VLOOKUP($A$4:$A$29,RRT!$A$4:$D$30,4,)</f>
        <v>13599</v>
      </c>
      <c r="AE10" s="109">
        <f>VLOOKUP($A$4:$A$29,RRT!$A$4:$B$30,2,)</f>
        <v>18872</v>
      </c>
      <c r="AF10" s="498">
        <f t="shared" si="10"/>
        <v>2.0081216774955699</v>
      </c>
      <c r="AG10" s="498">
        <f>Tabela3[[#This Row],[Previsto - RRT]]/Tabela3[[#This Row],[Previsto PF]]</f>
        <v>2.7534286548001168</v>
      </c>
      <c r="AH10" s="109">
        <f>VLOOKUP(Tabela3[UF],'ADIMPLÊNCIA PF'!$A$4:H36,8,)</f>
        <v>6348</v>
      </c>
      <c r="AI10" s="109">
        <f>VLOOKUP(Tabela3[[#This Row],[UF]],'ADIMPLÊNCIA PF'!$A$4:$I$30,9,)</f>
        <v>4273</v>
      </c>
      <c r="AJ10" s="103">
        <f>Tabela3[[#This Row],[PF Qnt Pag.
Exec.]]/Tabela3[[#This Row],[PF
Qnt Pot Pag.
Exec.]]</f>
        <v>0.67312539382482672</v>
      </c>
      <c r="AK10" s="507">
        <f>VLOOKUP(Tabela3[[#This Row],[UF]],'ADIMPLÊNCIA PF'!$A$4:$C$30,3,)</f>
        <v>6327</v>
      </c>
      <c r="AL10" s="507">
        <f>VLOOKUP(Tabela3[[#This Row],[UF]],'ADIMPLÊNCIA PF'!$A$4:$D$30,4,)</f>
        <v>4671</v>
      </c>
      <c r="AM10" s="103">
        <f>Tabela3[[#This Row],[PF Qnt Pag.
Previsto]]/Tabela3[[#This Row],[PF
Qnt Pot Pag.
Previsto]]</f>
        <v>0.73826458036984355</v>
      </c>
      <c r="AN10" s="507">
        <f>VLOOKUP(Tabela3[[#This Row],[UF]],'ADIMPLÊNCIA PJ'!$A$4:$F$30,6,)</f>
        <v>379</v>
      </c>
      <c r="AO10" s="103">
        <f>Tabela3[[#This Row],[PJ Pagantes
Exec.]]/Tabela3[[#This Row],[PJ Ativos]]</f>
        <v>0.45498199279711887</v>
      </c>
      <c r="AP10" s="507">
        <f>VLOOKUP(Tabela3[[#This Row],[UF]],'ADIMPLÊNCIA PJ'!$A$4:$C$30,3,)</f>
        <v>459</v>
      </c>
      <c r="AQ10" s="103">
        <f>Tabela3[[#This Row],[PJ Pagante
Previsto]]/Tabela3[[#This Row],[Previsto PJ]]</f>
        <v>0.49675324675324678</v>
      </c>
      <c r="AR10" s="109">
        <f>VLOOKUP($A$4:$A$29,'PF - Gênero'!$A$2:$B$28,2,)</f>
        <v>2392</v>
      </c>
      <c r="AS10" s="109">
        <f>VLOOKUP($A$4:$A$29,'PF - Gênero'!$A$2:$C$28,3,)</f>
        <v>4380</v>
      </c>
      <c r="AT10" s="109">
        <f>VLOOKUP($A$4:$A$29,'Relatórios - SICCAU e IGEO'!$A$3:$F$29,6,)</f>
        <v>178</v>
      </c>
      <c r="AU10" s="109">
        <v>279</v>
      </c>
      <c r="AV10" s="495">
        <f t="shared" si="11"/>
        <v>0.63799283154121866</v>
      </c>
      <c r="AW10" s="527">
        <f>'Comparativo YoY'!FN9</f>
        <v>1684099.824</v>
      </c>
      <c r="AX10" s="527">
        <f>'Comparativo YoY'!FU9</f>
        <v>1417913.216</v>
      </c>
      <c r="AY10" s="103">
        <f>Tabela3[[#This Row],[Receita
PF
2022]]/Tabela3[[#This Row],[Receita
PF
2021]]-1</f>
        <v>0.18773124123274965</v>
      </c>
      <c r="AZ10" s="527">
        <f>+'Comparativo YoY'!FO9</f>
        <v>456786.24000000011</v>
      </c>
      <c r="BA10" s="527">
        <f>+'Comparativo YoY'!FV9</f>
        <v>362184.47200000001</v>
      </c>
      <c r="BB10" s="103">
        <f>Tabela3[[#This Row],[Receita
PF - Ex Ant
2022]]/Tabela3[[#This Row],[Receita
PF - Ex Ant
2021]]-1</f>
        <v>0.2611977467659079</v>
      </c>
      <c r="BC10" s="527">
        <f>'Comparativo YoY'!FP9</f>
        <v>68091.248000000007</v>
      </c>
      <c r="BD10" s="527">
        <f>'Comparativo YoY'!FW9</f>
        <v>86133.104000000007</v>
      </c>
      <c r="BE10" s="103">
        <f>Tabela3[[#This Row],[Receita
PJ
2022]]/Tabela3[[#This Row],[Receita
PJ
2021]]-1</f>
        <v>-0.20946483015403694</v>
      </c>
      <c r="BF10" s="527">
        <f>'Comparativo YoY'!FQ9</f>
        <v>49406.168000000005</v>
      </c>
      <c r="BG10" s="530">
        <f>'Comparativo YoY'!FX9</f>
        <v>29542.183999999994</v>
      </c>
      <c r="BH10" s="103">
        <f>Tabela3[[#This Row],[Receita
PJ - Ex Ant
2022]]/Tabela3[[#This Row],[Receita
PJ - Ex Ant
2021]]-1</f>
        <v>0.67239388936173494</v>
      </c>
      <c r="BI10" s="527">
        <f>'Comparativo YoY'!FR9</f>
        <v>1207770.504</v>
      </c>
      <c r="BJ10" s="527">
        <f>'Comparativo YoY'!FY9</f>
        <v>1140917.504</v>
      </c>
      <c r="BK10" s="103">
        <f>Tabela3[[#This Row],[Receita
RRT
2022]]/Tabela3[[#This Row],[Receita
RRT
2021]]-1</f>
        <v>5.8595822893080962E-2</v>
      </c>
      <c r="BL10" s="527">
        <f>'Comparativo YoY'!FS9</f>
        <v>241606.20800000001</v>
      </c>
      <c r="BM10" s="527">
        <f>'Comparativo YoY'!FZ9</f>
        <v>178165.64800000004</v>
      </c>
      <c r="BN10" s="103">
        <f>Tabela3[[#This Row],[Receita
Taxas
2022]]/Tabela3[[#This Row],[Receita
Taxas
2021]]-1</f>
        <v>0.35607627346883364</v>
      </c>
      <c r="BO10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3214856.128</v>
      </c>
      <c r="BP10" s="103">
        <f t="shared" si="14"/>
        <v>0.15332072241336703</v>
      </c>
      <c r="BQ10" s="499">
        <f t="shared" si="12"/>
        <v>0.89158173949623665</v>
      </c>
      <c r="BR10" s="517">
        <f>Tabela3[[#This Row],[PF Ativos
Exec.]]+Tabela3[[#This Row],[PJ Ativos]]</f>
        <v>7605</v>
      </c>
      <c r="BT10" s="790" t="s">
        <v>83</v>
      </c>
      <c r="BU10" s="790" t="s">
        <v>6</v>
      </c>
      <c r="BV10" s="750">
        <v>1684099.824</v>
      </c>
      <c r="BW10" s="486">
        <v>1763978.32</v>
      </c>
      <c r="BX10" s="122">
        <v>0.95471684935447498</v>
      </c>
      <c r="BY10" s="486">
        <v>456786.24000000011</v>
      </c>
      <c r="BZ10" s="486">
        <v>394786.83999999997</v>
      </c>
      <c r="CA10" s="122">
        <v>1.1570452551052617</v>
      </c>
      <c r="CB10" s="486">
        <v>68091.248000000007</v>
      </c>
      <c r="CC10" s="486">
        <v>117069.78</v>
      </c>
      <c r="CD10" s="122">
        <v>0.58162958878029847</v>
      </c>
      <c r="CE10" s="486">
        <v>49406.168000000005</v>
      </c>
      <c r="CF10" s="486">
        <v>65835.459999999992</v>
      </c>
      <c r="CG10" s="122">
        <v>0.75044919561585821</v>
      </c>
      <c r="CH10" s="486">
        <v>1207770.504</v>
      </c>
      <c r="CI10" s="486">
        <v>1640958.15</v>
      </c>
      <c r="CJ10" s="122">
        <v>0.73601542123423447</v>
      </c>
      <c r="CK10" s="486">
        <v>241606.20800000007</v>
      </c>
      <c r="CL10" s="486">
        <v>176003.27000000002</v>
      </c>
      <c r="CM10" s="122">
        <v>1.3727370406243022</v>
      </c>
      <c r="CN10" s="347">
        <v>6772</v>
      </c>
      <c r="CO10" s="303">
        <v>183</v>
      </c>
      <c r="CP10" s="347">
        <v>6854</v>
      </c>
      <c r="CQ10" s="122">
        <v>0.98803618325065656</v>
      </c>
      <c r="CR10" s="347">
        <v>833</v>
      </c>
      <c r="CS10" s="387">
        <v>28</v>
      </c>
      <c r="CT10" s="347">
        <v>924</v>
      </c>
      <c r="CU10" s="122">
        <v>0.90151515151515149</v>
      </c>
      <c r="CV10" s="303">
        <v>13599</v>
      </c>
      <c r="CW10" s="347">
        <v>18872</v>
      </c>
      <c r="CX10" s="387">
        <v>2.0081216774955699</v>
      </c>
      <c r="CY10" s="387">
        <v>2.7534286548001168</v>
      </c>
      <c r="CZ10" s="347">
        <v>6348</v>
      </c>
      <c r="DA10" s="347">
        <v>4273</v>
      </c>
      <c r="DB10" s="122">
        <v>0.67312539382482672</v>
      </c>
      <c r="DC10" s="347">
        <v>6327</v>
      </c>
      <c r="DD10" s="347">
        <v>4671</v>
      </c>
      <c r="DE10" s="122">
        <v>0.73826458036984355</v>
      </c>
      <c r="DF10" s="347">
        <v>379</v>
      </c>
      <c r="DG10" s="122">
        <v>0.45498199279711887</v>
      </c>
      <c r="DH10" s="303">
        <v>459</v>
      </c>
      <c r="DI10" s="122">
        <v>0.49675324675324678</v>
      </c>
      <c r="DJ10" s="347">
        <v>2392</v>
      </c>
      <c r="DK10" s="347">
        <v>4380</v>
      </c>
      <c r="DL10" s="347">
        <v>178</v>
      </c>
      <c r="DM10" s="347">
        <v>279</v>
      </c>
      <c r="DN10" s="122">
        <v>0.63799283154121866</v>
      </c>
      <c r="DO10" s="486">
        <v>1684099.824</v>
      </c>
      <c r="DP10" s="486">
        <v>1417913.216</v>
      </c>
      <c r="DQ10" s="122">
        <v>0.18773124123274965</v>
      </c>
      <c r="DR10" s="486">
        <v>456786.24000000011</v>
      </c>
      <c r="DS10" s="486">
        <v>362184.47200000001</v>
      </c>
      <c r="DT10" s="122">
        <v>0.2611977467659079</v>
      </c>
      <c r="DU10" s="486">
        <v>68091.248000000007</v>
      </c>
      <c r="DV10" s="486">
        <v>86133.104000000007</v>
      </c>
      <c r="DW10" s="122">
        <v>-0.20946483015403694</v>
      </c>
      <c r="DX10" s="486">
        <v>49406.168000000005</v>
      </c>
      <c r="DY10" s="486">
        <v>29542.183999999994</v>
      </c>
      <c r="DZ10" s="122">
        <v>0.67239388936173494</v>
      </c>
      <c r="EA10" s="486">
        <v>1207770.504</v>
      </c>
      <c r="EB10" s="486">
        <v>1140917.504</v>
      </c>
      <c r="EC10" s="122">
        <v>5.8595822893080962E-2</v>
      </c>
      <c r="ED10" s="486">
        <v>241606.20800000001</v>
      </c>
      <c r="EE10" s="486">
        <v>178165.64800000004</v>
      </c>
      <c r="EF10" s="122">
        <v>0.35607627346883364</v>
      </c>
      <c r="EG10" s="486">
        <v>3214856.128</v>
      </c>
      <c r="EH10" s="122">
        <v>0.15332072241336703</v>
      </c>
      <c r="EI10" s="122">
        <v>0.89158173949623665</v>
      </c>
      <c r="EJ10" s="303">
        <v>7605</v>
      </c>
    </row>
    <row r="11" spans="1:143">
      <c r="A11" s="490" t="s">
        <v>84</v>
      </c>
      <c r="B11" s="131" t="s">
        <v>302</v>
      </c>
      <c r="C11" s="105" t="s">
        <v>227</v>
      </c>
      <c r="D11" s="767">
        <f>VLOOKUP($B$4:$B$30,'TOTAL POR UF'!$A$5:$B$31,2,)</f>
        <v>1328322.0480000002</v>
      </c>
      <c r="E11" s="768">
        <f>VLOOKUP($A$4:$A$31,'Evolução das Receitas'!$P$212:$Q$239,2,0)</f>
        <v>1418616.52</v>
      </c>
      <c r="F11" s="103">
        <f t="shared" si="3"/>
        <v>0.93635033095483777</v>
      </c>
      <c r="G11" s="767">
        <f>VLOOKUP($B$4:$B$30,'TOTAL POR UF'!$A$5:$C$31,3,)</f>
        <v>186104.20799999998</v>
      </c>
      <c r="H11" s="768">
        <f>VLOOKUP($A$4:$A$31,'Evolução das Receitas'!$P$212:$R$239,3,0)</f>
        <v>230979.35</v>
      </c>
      <c r="I11" s="103">
        <f t="shared" si="4"/>
        <v>0.80571794837936805</v>
      </c>
      <c r="J11" s="767">
        <f>VLOOKUP($B$4:$B$30,'TOTAL POR UF'!$A$5:$D$31,4,)</f>
        <v>55261.768000000011</v>
      </c>
      <c r="K11" s="768">
        <f>VLOOKUP($A$4:$A$31,'Evolução das Receitas'!$P$212:$S$239,4,)</f>
        <v>99098.45</v>
      </c>
      <c r="L11" s="103">
        <f t="shared" si="5"/>
        <v>0.55764512966650859</v>
      </c>
      <c r="M11" s="767">
        <f>VLOOKUP($B$4:$B$30,'TOTAL POR UF'!$A$5:$E$31,5,)</f>
        <v>26724.248</v>
      </c>
      <c r="N11" s="768">
        <f>VLOOKUP($A$4:$A$31,'Evolução das Receitas'!$P$212:$T$239,5,0)</f>
        <v>20060.740000000002</v>
      </c>
      <c r="O11" s="103">
        <f t="shared" si="6"/>
        <v>1.3321666100054135</v>
      </c>
      <c r="P11" s="767">
        <f>VLOOKUP($B$4:$B$30,'TOTAL POR UF'!$A$5:$X$31,23,)</f>
        <v>1183466.9040000001</v>
      </c>
      <c r="Q11" s="768">
        <f>VLOOKUP($A$4:$A$31,'Evolução das Receitas'!$P$212:$U$239,6,0)</f>
        <v>1537311.36</v>
      </c>
      <c r="R11" s="103">
        <f t="shared" si="7"/>
        <v>0.76982902409567833</v>
      </c>
      <c r="S11" s="767">
        <f>VLOOKUP($B$4:$B$30,'TOTAL POR UF'!$A$5:$X$31,24,0)</f>
        <v>116437.768</v>
      </c>
      <c r="T11" s="768">
        <f>VLOOKUP($A$4:$A$31,'Evolução das Receitas'!$P$212:$V$239,7,0)</f>
        <v>125197.05</v>
      </c>
      <c r="U11" s="103">
        <f t="shared" si="8"/>
        <v>0.93003603519411993</v>
      </c>
      <c r="V11" s="109">
        <f>VLOOKUP($A$4:$A$29,'Anuid PF'!$A$5:$G$31,7,)</f>
        <v>4136</v>
      </c>
      <c r="W11" s="109">
        <f>VLOOKUP($A$4:$A$29,'Relatórios - SICCAU e IGEO'!$A$3:$E$29,5,)</f>
        <v>245</v>
      </c>
      <c r="X11" s="109">
        <f>VLOOKUP($A$4:$A$29,'Anuid PF'!$A$5:$B$31,2,)</f>
        <v>4185</v>
      </c>
      <c r="Y11" s="495">
        <f t="shared" si="9"/>
        <v>0.9882915173237754</v>
      </c>
      <c r="Z11" s="109">
        <f>VLOOKUP($A$4:$A$29,'Anuid PJ'!$A$5:$F$31,6,)</f>
        <v>493</v>
      </c>
      <c r="AA11" s="496">
        <f>VLOOKUP($A$4:$A$29,'Relatórios - SICCAU e IGEO'!$A$3:$J$29,10,)</f>
        <v>15</v>
      </c>
      <c r="AB11" s="109">
        <f>VLOOKUP($A$4:$A$29,'Anuid PJ'!$A$5:$B$31,2,)</f>
        <v>484</v>
      </c>
      <c r="AC11" s="103">
        <f t="shared" si="13"/>
        <v>1.0185950413223142</v>
      </c>
      <c r="AD11" s="109">
        <f>VLOOKUP($A$4:$A$29,RRT!$A$4:$D$30,4,)</f>
        <v>13420</v>
      </c>
      <c r="AE11" s="109">
        <f>VLOOKUP($A$4:$A$29,RRT!$A$4:$B$30,2,)</f>
        <v>17680</v>
      </c>
      <c r="AF11" s="498">
        <f t="shared" si="10"/>
        <v>3.2446808510638299</v>
      </c>
      <c r="AG11" s="498">
        <f>Tabela3[[#This Row],[Previsto - RRT]]/Tabela3[[#This Row],[Previsto PF]]</f>
        <v>4.2246117084826764</v>
      </c>
      <c r="AH11" s="109">
        <f>VLOOKUP(Tabela3[UF],'ADIMPLÊNCIA PF'!$A$4:H37,8,)</f>
        <v>4064</v>
      </c>
      <c r="AI11" s="109">
        <f>VLOOKUP(Tabela3[[#This Row],[UF]],'ADIMPLÊNCIA PF'!$A$4:$I$30,9,)</f>
        <v>3428</v>
      </c>
      <c r="AJ11" s="103">
        <f>Tabela3[[#This Row],[PF Qnt Pag.
Exec.]]/Tabela3[[#This Row],[PF
Qnt Pot Pag.
Exec.]]</f>
        <v>0.84350393700787396</v>
      </c>
      <c r="AK11" s="507">
        <f>VLOOKUP(Tabela3[[#This Row],[UF]],'ADIMPLÊNCIA PF'!$A$4:$C$30,3,)</f>
        <v>4090</v>
      </c>
      <c r="AL11" s="507">
        <f>VLOOKUP(Tabela3[[#This Row],[UF]],'ADIMPLÊNCIA PF'!$A$4:$D$30,4,)</f>
        <v>3974</v>
      </c>
      <c r="AM11" s="103">
        <f>Tabela3[[#This Row],[PF Qnt Pag.
Previsto]]/Tabela3[[#This Row],[PF
Qnt Pot Pag.
Previsto]]</f>
        <v>0.97163814180929098</v>
      </c>
      <c r="AN11" s="507">
        <f>VLOOKUP(Tabela3[[#This Row],[UF]],'ADIMPLÊNCIA PJ'!$A$4:$F$30,6,)</f>
        <v>313</v>
      </c>
      <c r="AO11" s="103">
        <f>Tabela3[[#This Row],[PJ Pagantes
Exec.]]/Tabela3[[#This Row],[PJ Ativos]]</f>
        <v>0.63488843813387419</v>
      </c>
      <c r="AP11" s="507">
        <f>VLOOKUP(Tabela3[[#This Row],[UF]],'ADIMPLÊNCIA PJ'!$A$4:$C$30,3,)</f>
        <v>369</v>
      </c>
      <c r="AQ11" s="103">
        <f>Tabela3[[#This Row],[PJ Pagante
Previsto]]/Tabela3[[#This Row],[Previsto PJ]]</f>
        <v>0.76239669421487599</v>
      </c>
      <c r="AR11" s="109">
        <f>VLOOKUP($A$4:$A$29,'PF - Gênero'!$A$2:$B$28,2,)</f>
        <v>1090</v>
      </c>
      <c r="AS11" s="109">
        <f>VLOOKUP($A$4:$A$29,'PF - Gênero'!$A$2:$C$28,3,)</f>
        <v>3046</v>
      </c>
      <c r="AT11" s="109">
        <f>VLOOKUP($A$4:$A$29,'Relatórios - SICCAU e IGEO'!$A$3:$F$29,6,)</f>
        <v>141</v>
      </c>
      <c r="AU11" s="109">
        <v>124</v>
      </c>
      <c r="AV11" s="495">
        <f t="shared" si="11"/>
        <v>1.1370967741935485</v>
      </c>
      <c r="AW11" s="527">
        <f>'Comparativo YoY'!FN10</f>
        <v>1328322.0480000002</v>
      </c>
      <c r="AX11" s="527">
        <f>'Comparativo YoY'!FU10</f>
        <v>1072032.344</v>
      </c>
      <c r="AY11" s="103">
        <f>Tabela3[[#This Row],[Receita
PF
2022]]/Tabela3[[#This Row],[Receita
PF
2021]]-1</f>
        <v>0.23906900331357916</v>
      </c>
      <c r="AZ11" s="527">
        <f>+'Comparativo YoY'!FO10</f>
        <v>186104.20799999998</v>
      </c>
      <c r="BA11" s="527">
        <f>+'Comparativo YoY'!FV10</f>
        <v>150495.45599999998</v>
      </c>
      <c r="BB11" s="103">
        <f>Tabela3[[#This Row],[Receita
PF - Ex Ant
2022]]/Tabela3[[#This Row],[Receita
PF - Ex Ant
2021]]-1</f>
        <v>0.23661014721932871</v>
      </c>
      <c r="BC11" s="527">
        <f>'Comparativo YoY'!FP10</f>
        <v>55261.768000000011</v>
      </c>
      <c r="BD11" s="527">
        <f>'Comparativo YoY'!FW10</f>
        <v>82272.736000000004</v>
      </c>
      <c r="BE11" s="103">
        <f>Tabela3[[#This Row],[Receita
PJ
2022]]/Tabela3[[#This Row],[Receita
PJ
2021]]-1</f>
        <v>-0.3283100734610308</v>
      </c>
      <c r="BF11" s="527">
        <f>'Comparativo YoY'!FQ10</f>
        <v>26724.248</v>
      </c>
      <c r="BG11" s="530">
        <f>'Comparativo YoY'!FX10</f>
        <v>20292.039999999997</v>
      </c>
      <c r="BH11" s="103">
        <f>Tabela3[[#This Row],[Receita
PJ - Ex Ant
2022]]/Tabela3[[#This Row],[Receita
PJ - Ex Ant
2021]]-1</f>
        <v>0.31698183129936686</v>
      </c>
      <c r="BI11" s="527">
        <f>'Comparativo YoY'!FR10</f>
        <v>1183466.9040000001</v>
      </c>
      <c r="BJ11" s="527">
        <f>'Comparativo YoY'!FY10</f>
        <v>1028768.6</v>
      </c>
      <c r="BK11" s="103">
        <f>Tabela3[[#This Row],[Receita
RRT
2022]]/Tabela3[[#This Row],[Receita
RRT
2021]]-1</f>
        <v>0.15037230335373786</v>
      </c>
      <c r="BL11" s="527">
        <f>'Comparativo YoY'!FS10</f>
        <v>116437.76800000001</v>
      </c>
      <c r="BM11" s="527">
        <f>'Comparativo YoY'!FZ10</f>
        <v>116018.86400000002</v>
      </c>
      <c r="BN11" s="103">
        <f>Tabela3[[#This Row],[Receita
Taxas
2022]]/Tabela3[[#This Row],[Receita
Taxas
2021]]-1</f>
        <v>3.6106542122322782E-3</v>
      </c>
      <c r="BO11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2469880.04</v>
      </c>
      <c r="BP11" s="103">
        <f t="shared" si="14"/>
        <v>0.17265490513458293</v>
      </c>
      <c r="BQ11" s="499">
        <f t="shared" si="12"/>
        <v>0.84409634215585327</v>
      </c>
      <c r="BR11" s="517">
        <f>Tabela3[[#This Row],[PF Ativos
Exec.]]+Tabela3[[#This Row],[PJ Ativos]]</f>
        <v>4629</v>
      </c>
      <c r="BT11" s="790" t="s">
        <v>84</v>
      </c>
      <c r="BU11" s="790" t="s">
        <v>302</v>
      </c>
      <c r="BV11" s="750">
        <v>1328322.0480000002</v>
      </c>
      <c r="BW11" s="486">
        <v>1418616.52</v>
      </c>
      <c r="BX11" s="122">
        <v>0.93635033095483777</v>
      </c>
      <c r="BY11" s="486">
        <v>186104.20799999998</v>
      </c>
      <c r="BZ11" s="486">
        <v>230979.35</v>
      </c>
      <c r="CA11" s="122">
        <v>0.80571794837936805</v>
      </c>
      <c r="CB11" s="486">
        <v>55261.768000000011</v>
      </c>
      <c r="CC11" s="486">
        <v>99098.45</v>
      </c>
      <c r="CD11" s="122">
        <v>0.55764512966650859</v>
      </c>
      <c r="CE11" s="486">
        <v>26724.248</v>
      </c>
      <c r="CF11" s="486">
        <v>20060.740000000002</v>
      </c>
      <c r="CG11" s="122">
        <v>1.3321666100054135</v>
      </c>
      <c r="CH11" s="486">
        <v>1183466.9040000001</v>
      </c>
      <c r="CI11" s="486">
        <v>1537311.36</v>
      </c>
      <c r="CJ11" s="122">
        <v>0.76982902409567833</v>
      </c>
      <c r="CK11" s="486">
        <v>116437.768</v>
      </c>
      <c r="CL11" s="486">
        <v>125197.05</v>
      </c>
      <c r="CM11" s="122">
        <v>0.93003603519411993</v>
      </c>
      <c r="CN11" s="347">
        <v>4136</v>
      </c>
      <c r="CO11" s="303">
        <v>245</v>
      </c>
      <c r="CP11" s="347">
        <v>4185</v>
      </c>
      <c r="CQ11" s="122">
        <v>0.9882915173237754</v>
      </c>
      <c r="CR11" s="347">
        <v>493</v>
      </c>
      <c r="CS11" s="387">
        <v>15</v>
      </c>
      <c r="CT11" s="347">
        <v>484</v>
      </c>
      <c r="CU11" s="122">
        <v>1.0185950413223142</v>
      </c>
      <c r="CV11" s="303">
        <v>13420</v>
      </c>
      <c r="CW11" s="347">
        <v>17680</v>
      </c>
      <c r="CX11" s="387">
        <v>3.2446808510638299</v>
      </c>
      <c r="CY11" s="387">
        <v>4.2246117084826764</v>
      </c>
      <c r="CZ11" s="347">
        <v>4064</v>
      </c>
      <c r="DA11" s="347">
        <v>3428</v>
      </c>
      <c r="DB11" s="122">
        <v>0.84350393700787396</v>
      </c>
      <c r="DC11" s="347">
        <v>4090</v>
      </c>
      <c r="DD11" s="347">
        <v>3974</v>
      </c>
      <c r="DE11" s="122">
        <v>0.97163814180929098</v>
      </c>
      <c r="DF11" s="347">
        <v>313</v>
      </c>
      <c r="DG11" s="122">
        <v>0.63488843813387419</v>
      </c>
      <c r="DH11" s="303">
        <v>369</v>
      </c>
      <c r="DI11" s="122">
        <v>0.76239669421487599</v>
      </c>
      <c r="DJ11" s="347">
        <v>1090</v>
      </c>
      <c r="DK11" s="347">
        <v>3046</v>
      </c>
      <c r="DL11" s="347">
        <v>141</v>
      </c>
      <c r="DM11" s="347">
        <v>124</v>
      </c>
      <c r="DN11" s="122">
        <v>1.1370967741935485</v>
      </c>
      <c r="DO11" s="486">
        <v>1328322.0480000002</v>
      </c>
      <c r="DP11" s="486">
        <v>1072032.344</v>
      </c>
      <c r="DQ11" s="122">
        <v>0.23906900331357916</v>
      </c>
      <c r="DR11" s="486">
        <v>186104.20799999998</v>
      </c>
      <c r="DS11" s="486">
        <v>150495.45599999998</v>
      </c>
      <c r="DT11" s="122">
        <v>0.23661014721932871</v>
      </c>
      <c r="DU11" s="486">
        <v>55261.768000000011</v>
      </c>
      <c r="DV11" s="486">
        <v>82272.736000000004</v>
      </c>
      <c r="DW11" s="122">
        <v>-0.3283100734610308</v>
      </c>
      <c r="DX11" s="486">
        <v>26724.248</v>
      </c>
      <c r="DY11" s="486">
        <v>20292.039999999997</v>
      </c>
      <c r="DZ11" s="122">
        <v>0.31698183129936686</v>
      </c>
      <c r="EA11" s="486">
        <v>1183466.9040000001</v>
      </c>
      <c r="EB11" s="486">
        <v>1028768.6</v>
      </c>
      <c r="EC11" s="122">
        <v>0.15037230335373786</v>
      </c>
      <c r="ED11" s="486">
        <v>116437.76800000001</v>
      </c>
      <c r="EE11" s="486">
        <v>116018.86400000002</v>
      </c>
      <c r="EF11" s="122">
        <v>3.6106542122322782E-3</v>
      </c>
      <c r="EG11" s="486">
        <v>2469880.04</v>
      </c>
      <c r="EH11" s="122">
        <v>0.17265490513458293</v>
      </c>
      <c r="EI11" s="122">
        <v>0.84409634215585327</v>
      </c>
      <c r="EJ11" s="303">
        <v>4629</v>
      </c>
    </row>
    <row r="12" spans="1:143">
      <c r="A12" s="490" t="s">
        <v>85</v>
      </c>
      <c r="B12" s="131" t="s">
        <v>8</v>
      </c>
      <c r="C12" s="105" t="s">
        <v>229</v>
      </c>
      <c r="D12" s="767">
        <f>VLOOKUP($B$4:$B$30,'TOTAL POR UF'!$A$5:$B$31,2,)</f>
        <v>1257495.4879999999</v>
      </c>
      <c r="E12" s="768">
        <f>VLOOKUP($A$4:$A$31,'Evolução das Receitas'!$P$212:$Q$239,2,0)</f>
        <v>1363273.97</v>
      </c>
      <c r="F12" s="103">
        <f t="shared" si="3"/>
        <v>0.92240849284315163</v>
      </c>
      <c r="G12" s="767">
        <f>VLOOKUP($B$4:$B$30,'TOTAL POR UF'!$A$5:$C$31,3,)</f>
        <v>367743.88</v>
      </c>
      <c r="H12" s="768">
        <f>VLOOKUP($A$4:$A$31,'Evolução das Receitas'!$P$212:$R$239,3,0)</f>
        <v>317093.52</v>
      </c>
      <c r="I12" s="103">
        <f t="shared" si="4"/>
        <v>1.1597331916464266</v>
      </c>
      <c r="J12" s="767">
        <f>VLOOKUP($B$4:$B$30,'TOTAL POR UF'!$A$5:$D$31,4,)</f>
        <v>55147.136000000006</v>
      </c>
      <c r="K12" s="768">
        <f>VLOOKUP($A$4:$A$31,'Evolução das Receitas'!$P$212:$S$239,4,)</f>
        <v>80298.62</v>
      </c>
      <c r="L12" s="103">
        <f t="shared" si="5"/>
        <v>0.68677563823637333</v>
      </c>
      <c r="M12" s="767">
        <f>VLOOKUP($B$4:$B$30,'TOTAL POR UF'!$A$5:$E$31,5,)</f>
        <v>48030.840000000004</v>
      </c>
      <c r="N12" s="768">
        <f>VLOOKUP($A$4:$A$31,'Evolução das Receitas'!$P$212:$T$239,5,0)</f>
        <v>111529.82</v>
      </c>
      <c r="O12" s="103">
        <f t="shared" si="6"/>
        <v>0.43065468948125263</v>
      </c>
      <c r="P12" s="767">
        <f>VLOOKUP($B$4:$B$30,'TOTAL POR UF'!$A$5:$X$31,23,)</f>
        <v>2215098.432</v>
      </c>
      <c r="Q12" s="768">
        <f>VLOOKUP($A$4:$A$31,'Evolução das Receitas'!$P$212:$U$239,6,0)</f>
        <v>2884284.79</v>
      </c>
      <c r="R12" s="103">
        <f t="shared" si="7"/>
        <v>0.76798880598749752</v>
      </c>
      <c r="S12" s="767">
        <f>VLOOKUP($B$4:$B$30,'TOTAL POR UF'!$A$5:$X$31,24,0)</f>
        <v>186443.27200000003</v>
      </c>
      <c r="T12" s="768">
        <f>VLOOKUP($A$4:$A$31,'Evolução das Receitas'!$P$212:$V$239,7,0)</f>
        <v>153353.85999999999</v>
      </c>
      <c r="U12" s="103">
        <f t="shared" si="8"/>
        <v>1.2157716277894801</v>
      </c>
      <c r="V12" s="109">
        <f>VLOOKUP($A$4:$A$29,'Anuid PF'!$A$5:$G$31,7,)</f>
        <v>5405</v>
      </c>
      <c r="W12" s="109">
        <f>VLOOKUP($A$4:$A$29,'Relatórios - SICCAU e IGEO'!$A$3:$E$29,5,)</f>
        <v>300</v>
      </c>
      <c r="X12" s="109">
        <f>VLOOKUP($A$4:$A$29,'Anuid PF'!$A$5:$B$31,2,)</f>
        <v>5373</v>
      </c>
      <c r="Y12" s="103">
        <f t="shared" si="9"/>
        <v>1.0059557044481668</v>
      </c>
      <c r="Z12" s="109">
        <f>VLOOKUP($A$4:$A$29,'Anuid PJ'!$A$5:$F$31,6,)</f>
        <v>773</v>
      </c>
      <c r="AA12" s="496">
        <f>VLOOKUP($A$4:$A$29,'Relatórios - SICCAU e IGEO'!$A$3:$J$29,10,)</f>
        <v>55</v>
      </c>
      <c r="AB12" s="109">
        <f>VLOOKUP($A$4:$A$29,'Anuid PJ'!$A$5:$B$31,2,)</f>
        <v>811</v>
      </c>
      <c r="AC12" s="103">
        <f t="shared" si="13"/>
        <v>0.95314426633785454</v>
      </c>
      <c r="AD12" s="109">
        <f>VLOOKUP($A$4:$A$29,RRT!$A$4:$D$30,4,)</f>
        <v>25310</v>
      </c>
      <c r="AE12" s="109">
        <f>VLOOKUP($A$4:$A$29,RRT!$A$4:$B$30,2,)</f>
        <v>33171</v>
      </c>
      <c r="AF12" s="498">
        <f t="shared" si="10"/>
        <v>4.6827012025901942</v>
      </c>
      <c r="AG12" s="498">
        <f>Tabela3[[#This Row],[Previsto - RRT]]/Tabela3[[#This Row],[Previsto PF]]</f>
        <v>6.1736460078168625</v>
      </c>
      <c r="AH12" s="109">
        <f>VLOOKUP(Tabela3[UF],'ADIMPLÊNCIA PF'!$A$4:H38,8,)</f>
        <v>5211</v>
      </c>
      <c r="AI12" s="109">
        <f>VLOOKUP(Tabela3[[#This Row],[UF]],'ADIMPLÊNCIA PF'!$A$4:$I$30,9,)</f>
        <v>3328</v>
      </c>
      <c r="AJ12" s="103">
        <f>Tabela3[[#This Row],[PF Qnt Pag.
Exec.]]/Tabela3[[#This Row],[PF
Qnt Pot Pag.
Exec.]]</f>
        <v>0.63864901170600652</v>
      </c>
      <c r="AK12" s="507">
        <f>VLOOKUP(Tabela3[[#This Row],[UF]],'ADIMPLÊNCIA PF'!$A$4:$C$30,3,)</f>
        <v>5137</v>
      </c>
      <c r="AL12" s="507">
        <f>VLOOKUP(Tabela3[[#This Row],[UF]],'ADIMPLÊNCIA PF'!$A$4:$D$30,4,)</f>
        <v>3697</v>
      </c>
      <c r="AM12" s="103">
        <f>Tabela3[[#This Row],[PF Qnt Pag.
Previsto]]/Tabela3[[#This Row],[PF
Qnt Pot Pag.
Previsto]]</f>
        <v>0.71968074751800659</v>
      </c>
      <c r="AN12" s="507">
        <f>VLOOKUP(Tabela3[[#This Row],[UF]],'ADIMPLÊNCIA PJ'!$A$4:$F$30,6,)</f>
        <v>301</v>
      </c>
      <c r="AO12" s="103">
        <f>Tabela3[[#This Row],[PJ Pagantes
Exec.]]/Tabela3[[#This Row],[PJ Ativos]]</f>
        <v>0.38939197930142305</v>
      </c>
      <c r="AP12" s="507">
        <f>VLOOKUP(Tabela3[[#This Row],[UF]],'ADIMPLÊNCIA PJ'!$A$4:$C$30,3,)</f>
        <v>329</v>
      </c>
      <c r="AQ12" s="103">
        <f>Tabela3[[#This Row],[PJ Pagante
Previsto]]/Tabela3[[#This Row],[Previsto PJ]]</f>
        <v>0.40567200986436497</v>
      </c>
      <c r="AR12" s="109">
        <f>VLOOKUP($A$4:$A$29,'PF - Gênero'!$A$2:$B$28,2,)</f>
        <v>1701</v>
      </c>
      <c r="AS12" s="109">
        <f>VLOOKUP($A$4:$A$29,'PF - Gênero'!$A$2:$C$28,3,)</f>
        <v>3704</v>
      </c>
      <c r="AT12" s="109">
        <f>VLOOKUP($A$4:$A$29,'Relatórios - SICCAU e IGEO'!$A$3:$F$29,6,)</f>
        <v>188</v>
      </c>
      <c r="AU12" s="109">
        <v>310</v>
      </c>
      <c r="AV12" s="495">
        <f t="shared" si="11"/>
        <v>0.6064516129032258</v>
      </c>
      <c r="AW12" s="527">
        <f>'Comparativo YoY'!FN11</f>
        <v>1257495.4879999999</v>
      </c>
      <c r="AX12" s="527">
        <f>'Comparativo YoY'!FU11</f>
        <v>1052483.152</v>
      </c>
      <c r="AY12" s="103">
        <f>Tabela3[[#This Row],[Receita
PF
2022]]/Tabela3[[#This Row],[Receita
PF
2021]]-1</f>
        <v>0.19478918556598424</v>
      </c>
      <c r="AZ12" s="527">
        <f>+'Comparativo YoY'!FO11</f>
        <v>367743.88</v>
      </c>
      <c r="BA12" s="527">
        <f>+'Comparativo YoY'!FV11</f>
        <v>313531.81599999999</v>
      </c>
      <c r="BB12" s="103">
        <f>Tabela3[[#This Row],[Receita
PF - Ex Ant
2022]]/Tabela3[[#This Row],[Receita
PF - Ex Ant
2021]]-1</f>
        <v>0.17290769623201507</v>
      </c>
      <c r="BC12" s="527">
        <f>'Comparativo YoY'!FP11</f>
        <v>55147.136000000006</v>
      </c>
      <c r="BD12" s="527">
        <f>'Comparativo YoY'!FW11</f>
        <v>86101.847999999998</v>
      </c>
      <c r="BE12" s="103">
        <f>Tabela3[[#This Row],[Receita
PJ
2022]]/Tabela3[[#This Row],[Receita
PJ
2021]]-1</f>
        <v>-0.35951274820489332</v>
      </c>
      <c r="BF12" s="527">
        <f>'Comparativo YoY'!FQ11</f>
        <v>48030.840000000004</v>
      </c>
      <c r="BG12" s="530">
        <f>'Comparativo YoY'!FX11</f>
        <v>32641.264000000003</v>
      </c>
      <c r="BH12" s="103">
        <f>Tabela3[[#This Row],[Receita
PJ - Ex Ant
2022]]/Tabela3[[#This Row],[Receita
PJ - Ex Ant
2021]]-1</f>
        <v>0.47147610460183165</v>
      </c>
      <c r="BI12" s="527">
        <f>'Comparativo YoY'!FR11</f>
        <v>2215098.432</v>
      </c>
      <c r="BJ12" s="527">
        <f>'Comparativo YoY'!FY11</f>
        <v>1994112.4800000002</v>
      </c>
      <c r="BK12" s="103">
        <f>Tabela3[[#This Row],[Receita
RRT
2022]]/Tabela3[[#This Row],[Receita
RRT
2021]]-1</f>
        <v>0.11081920113152277</v>
      </c>
      <c r="BL12" s="527">
        <f>'Comparativo YoY'!FS11</f>
        <v>186443.272</v>
      </c>
      <c r="BM12" s="527">
        <f>'Comparativo YoY'!FZ11</f>
        <v>155691.39999999994</v>
      </c>
      <c r="BN12" s="103">
        <f>Tabela3[[#This Row],[Receita
Taxas
2022]]/Tabela3[[#This Row],[Receita
Taxas
2021]]-1</f>
        <v>0.197518115965301</v>
      </c>
      <c r="BO12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3634561.96</v>
      </c>
      <c r="BP12" s="103">
        <f t="shared" si="14"/>
        <v>0.13630173139213708</v>
      </c>
      <c r="BQ12" s="499">
        <f t="shared" si="12"/>
        <v>0.84116052805999009</v>
      </c>
      <c r="BR12" s="517">
        <f>Tabela3[[#This Row],[PF Ativos
Exec.]]+Tabela3[[#This Row],[PJ Ativos]]</f>
        <v>6178</v>
      </c>
      <c r="BT12" s="790" t="s">
        <v>85</v>
      </c>
      <c r="BU12" s="790" t="s">
        <v>8</v>
      </c>
      <c r="BV12" s="750">
        <v>1257495.4879999999</v>
      </c>
      <c r="BW12" s="486">
        <v>1363273.97</v>
      </c>
      <c r="BX12" s="122">
        <v>0.92240849284315163</v>
      </c>
      <c r="BY12" s="486">
        <v>367743.88</v>
      </c>
      <c r="BZ12" s="486">
        <v>317093.52</v>
      </c>
      <c r="CA12" s="122">
        <v>1.1597331916464266</v>
      </c>
      <c r="CB12" s="486">
        <v>55147.136000000006</v>
      </c>
      <c r="CC12" s="486">
        <v>80298.62</v>
      </c>
      <c r="CD12" s="122">
        <v>0.68677563823637333</v>
      </c>
      <c r="CE12" s="486">
        <v>48030.840000000004</v>
      </c>
      <c r="CF12" s="486">
        <v>111529.82</v>
      </c>
      <c r="CG12" s="122">
        <v>0.43065468948125263</v>
      </c>
      <c r="CH12" s="486">
        <v>2215098.432</v>
      </c>
      <c r="CI12" s="486">
        <v>2884284.79</v>
      </c>
      <c r="CJ12" s="122">
        <v>0.76798880598749752</v>
      </c>
      <c r="CK12" s="486">
        <v>186443.27200000003</v>
      </c>
      <c r="CL12" s="486">
        <v>153353.85999999999</v>
      </c>
      <c r="CM12" s="122">
        <v>1.2157716277894801</v>
      </c>
      <c r="CN12" s="347">
        <v>5405</v>
      </c>
      <c r="CO12" s="303">
        <v>300</v>
      </c>
      <c r="CP12" s="347">
        <v>5373</v>
      </c>
      <c r="CQ12" s="122">
        <v>1.0059557044481668</v>
      </c>
      <c r="CR12" s="347">
        <v>773</v>
      </c>
      <c r="CS12" s="387">
        <v>55</v>
      </c>
      <c r="CT12" s="347">
        <v>811</v>
      </c>
      <c r="CU12" s="122">
        <v>0.95314426633785454</v>
      </c>
      <c r="CV12" s="303">
        <v>25310</v>
      </c>
      <c r="CW12" s="347">
        <v>33171</v>
      </c>
      <c r="CX12" s="387">
        <v>4.6827012025901942</v>
      </c>
      <c r="CY12" s="387">
        <v>6.1736460078168625</v>
      </c>
      <c r="CZ12" s="347">
        <v>5211</v>
      </c>
      <c r="DA12" s="347">
        <v>3328</v>
      </c>
      <c r="DB12" s="122">
        <v>0.63864901170600652</v>
      </c>
      <c r="DC12" s="347">
        <v>5137</v>
      </c>
      <c r="DD12" s="347">
        <v>3697</v>
      </c>
      <c r="DE12" s="122">
        <v>0.71968074751800659</v>
      </c>
      <c r="DF12" s="347">
        <v>301</v>
      </c>
      <c r="DG12" s="122">
        <v>0.38939197930142305</v>
      </c>
      <c r="DH12" s="303">
        <v>329</v>
      </c>
      <c r="DI12" s="122">
        <v>0.40567200986436497</v>
      </c>
      <c r="DJ12" s="347">
        <v>1701</v>
      </c>
      <c r="DK12" s="347">
        <v>3704</v>
      </c>
      <c r="DL12" s="347">
        <v>188</v>
      </c>
      <c r="DM12" s="347">
        <v>310</v>
      </c>
      <c r="DN12" s="122">
        <v>0.6064516129032258</v>
      </c>
      <c r="DO12" s="486">
        <v>1257495.4879999999</v>
      </c>
      <c r="DP12" s="486">
        <v>1052483.152</v>
      </c>
      <c r="DQ12" s="122">
        <v>0.19478918556598424</v>
      </c>
      <c r="DR12" s="486">
        <v>367743.88</v>
      </c>
      <c r="DS12" s="486">
        <v>313531.81599999999</v>
      </c>
      <c r="DT12" s="122">
        <v>0.17290769623201507</v>
      </c>
      <c r="DU12" s="486">
        <v>55147.136000000006</v>
      </c>
      <c r="DV12" s="486">
        <v>86101.847999999998</v>
      </c>
      <c r="DW12" s="122">
        <v>-0.35951274820489332</v>
      </c>
      <c r="DX12" s="486">
        <v>48030.840000000004</v>
      </c>
      <c r="DY12" s="486">
        <v>32641.264000000003</v>
      </c>
      <c r="DZ12" s="122">
        <v>0.47147610460183165</v>
      </c>
      <c r="EA12" s="486">
        <v>2215098.432</v>
      </c>
      <c r="EB12" s="486">
        <v>1994112.4800000002</v>
      </c>
      <c r="EC12" s="122">
        <v>0.11081920113152277</v>
      </c>
      <c r="ED12" s="486">
        <v>186443.272</v>
      </c>
      <c r="EE12" s="486">
        <v>155691.39999999994</v>
      </c>
      <c r="EF12" s="122">
        <v>0.197518115965301</v>
      </c>
      <c r="EG12" s="486">
        <v>3634561.96</v>
      </c>
      <c r="EH12" s="122">
        <v>0.13630173139213708</v>
      </c>
      <c r="EI12" s="122">
        <v>0.84116052805999009</v>
      </c>
      <c r="EJ12" s="303">
        <v>6178</v>
      </c>
    </row>
    <row r="13" spans="1:143">
      <c r="A13" s="490" t="s">
        <v>86</v>
      </c>
      <c r="B13" s="131" t="s">
        <v>9</v>
      </c>
      <c r="C13" s="105" t="s">
        <v>228</v>
      </c>
      <c r="D13" s="767">
        <f>VLOOKUP($B$4:$B$30,'TOTAL POR UF'!$A$5:$B$31,2,)</f>
        <v>419525.04</v>
      </c>
      <c r="E13" s="768">
        <f>VLOOKUP($A$4:$A$31,'Evolução das Receitas'!$P$212:$Q$239,2,0)</f>
        <v>512036.4</v>
      </c>
      <c r="F13" s="103">
        <f t="shared" si="3"/>
        <v>0.81932659474990444</v>
      </c>
      <c r="G13" s="767">
        <f>VLOOKUP($B$4:$B$30,'TOTAL POR UF'!$A$5:$C$31,3,)</f>
        <v>97415.056000000026</v>
      </c>
      <c r="H13" s="768">
        <f>VLOOKUP($A$4:$A$31,'Evolução das Receitas'!$P$212:$R$239,3,0)</f>
        <v>165818.14000000001</v>
      </c>
      <c r="I13" s="103">
        <f t="shared" si="4"/>
        <v>0.58748129728146758</v>
      </c>
      <c r="J13" s="767">
        <f>VLOOKUP($B$4:$B$30,'TOTAL POR UF'!$A$5:$D$31,4,)</f>
        <v>17735.112000000001</v>
      </c>
      <c r="K13" s="768">
        <f>VLOOKUP($A$4:$A$31,'Evolução das Receitas'!$P$212:$S$239,4,)</f>
        <v>40883.160000000003</v>
      </c>
      <c r="L13" s="103">
        <f t="shared" si="5"/>
        <v>0.43379993131646377</v>
      </c>
      <c r="M13" s="767">
        <f>VLOOKUP($B$4:$B$30,'TOTAL POR UF'!$A$5:$E$31,5,)</f>
        <v>13639.152000000002</v>
      </c>
      <c r="N13" s="768">
        <f>VLOOKUP($A$4:$A$31,'Evolução das Receitas'!$P$212:$T$239,5,0)</f>
        <v>50933.57</v>
      </c>
      <c r="O13" s="103">
        <f t="shared" si="6"/>
        <v>0.26778315362539878</v>
      </c>
      <c r="P13" s="767">
        <f>VLOOKUP($B$4:$B$30,'TOTAL POR UF'!$A$5:$X$31,23,)</f>
        <v>529810.22399999993</v>
      </c>
      <c r="Q13" s="768">
        <f>VLOOKUP($A$4:$A$31,'Evolução das Receitas'!$P$212:$U$239,6,0)</f>
        <v>489800.62</v>
      </c>
      <c r="R13" s="103">
        <f t="shared" si="7"/>
        <v>1.0816854907206934</v>
      </c>
      <c r="S13" s="767">
        <f>VLOOKUP($B$4:$B$30,'TOTAL POR UF'!$A$5:$X$31,24,0)</f>
        <v>52473.191999999995</v>
      </c>
      <c r="T13" s="768">
        <f>VLOOKUP($A$4:$A$31,'Evolução das Receitas'!$P$212:$V$239,7,0)</f>
        <v>44648.26</v>
      </c>
      <c r="U13" s="103">
        <f t="shared" si="8"/>
        <v>1.1752572664645833</v>
      </c>
      <c r="V13" s="109">
        <f>VLOOKUP($A$4:$A$29,'Anuid PF'!$A$5:$G$31,7,)</f>
        <v>2252</v>
      </c>
      <c r="W13" s="109">
        <f>VLOOKUP($A$4:$A$29,'Relatórios - SICCAU e IGEO'!$A$3:$E$29,5,)</f>
        <v>171</v>
      </c>
      <c r="X13" s="109">
        <f>VLOOKUP($A$4:$A$29,'Anuid PF'!$A$5:$B$31,2,)</f>
        <v>2191</v>
      </c>
      <c r="Y13" s="103">
        <f t="shared" si="9"/>
        <v>1.0278411684162483</v>
      </c>
      <c r="Z13" s="109">
        <f>VLOOKUP($A$4:$A$29,'Anuid PJ'!$A$5:$F$31,6,)</f>
        <v>329</v>
      </c>
      <c r="AA13" s="496">
        <f>VLOOKUP($A$4:$A$29,'Relatórios - SICCAU e IGEO'!$A$3:$J$29,10,)</f>
        <v>29</v>
      </c>
      <c r="AB13" s="109">
        <f>VLOOKUP($A$4:$A$29,'Anuid PJ'!$A$5:$B$31,2,)</f>
        <v>340</v>
      </c>
      <c r="AC13" s="103">
        <f t="shared" si="13"/>
        <v>0.96764705882352942</v>
      </c>
      <c r="AD13" s="109">
        <f>VLOOKUP($A$4:$A$29,RRT!$A$4:$D$30,4,)</f>
        <v>5965</v>
      </c>
      <c r="AE13" s="109">
        <f>VLOOKUP($A$4:$A$29,RRT!$A$4:$B$30,2,)</f>
        <v>5633</v>
      </c>
      <c r="AF13" s="498">
        <f t="shared" si="10"/>
        <v>2.6487566607460034</v>
      </c>
      <c r="AG13" s="498">
        <f>Tabela3[[#This Row],[Previsto - RRT]]/Tabela3[[#This Row],[Previsto PF]]</f>
        <v>2.5709721588315837</v>
      </c>
      <c r="AH13" s="109">
        <f>VLOOKUP(Tabela3[UF],'ADIMPLÊNCIA PF'!$A$4:H39,8,)</f>
        <v>2227</v>
      </c>
      <c r="AI13" s="109">
        <f>VLOOKUP(Tabela3[[#This Row],[UF]],'ADIMPLÊNCIA PF'!$A$4:$I$30,9,)</f>
        <v>1145</v>
      </c>
      <c r="AJ13" s="103">
        <f>Tabela3[[#This Row],[PF Qnt Pag.
Exec.]]/Tabela3[[#This Row],[PF
Qnt Pot Pag.
Exec.]]</f>
        <v>0.51414458913336325</v>
      </c>
      <c r="AK13" s="507">
        <f>VLOOKUP(Tabela3[[#This Row],[UF]],'ADIMPLÊNCIA PF'!$A$4:$C$30,3,)</f>
        <v>2163</v>
      </c>
      <c r="AL13" s="507">
        <f>VLOOKUP(Tabela3[[#This Row],[UF]],'ADIMPLÊNCIA PF'!$A$4:$D$30,4,)</f>
        <v>1388</v>
      </c>
      <c r="AM13" s="103">
        <f>Tabela3[[#This Row],[PF Qnt Pag.
Previsto]]/Tabela3[[#This Row],[PF
Qnt Pot Pag.
Previsto]]</f>
        <v>0.64170134073046692</v>
      </c>
      <c r="AN13" s="507">
        <f>VLOOKUP(Tabela3[[#This Row],[UF]],'ADIMPLÊNCIA PJ'!$A$4:$F$30,6,)</f>
        <v>96</v>
      </c>
      <c r="AO13" s="103">
        <f>Tabela3[[#This Row],[PJ Pagantes
Exec.]]/Tabela3[[#This Row],[PJ Ativos]]</f>
        <v>0.2917933130699088</v>
      </c>
      <c r="AP13" s="507">
        <f>VLOOKUP(Tabela3[[#This Row],[UF]],'ADIMPLÊNCIA PJ'!$A$4:$C$30,3,)</f>
        <v>135</v>
      </c>
      <c r="AQ13" s="103">
        <f>Tabela3[[#This Row],[PJ Pagante
Previsto]]/Tabela3[[#This Row],[Previsto PJ]]</f>
        <v>0.39705882352941174</v>
      </c>
      <c r="AR13" s="109">
        <f>VLOOKUP($A$4:$A$29,'PF - Gênero'!$A$2:$B$28,2,)</f>
        <v>887</v>
      </c>
      <c r="AS13" s="109">
        <f>VLOOKUP($A$4:$A$29,'PF - Gênero'!$A$2:$C$28,3,)</f>
        <v>1365</v>
      </c>
      <c r="AT13" s="109">
        <f>VLOOKUP($A$4:$A$29,'Relatórios - SICCAU e IGEO'!$A$3:$F$29,6,)</f>
        <v>91</v>
      </c>
      <c r="AU13" s="109">
        <v>137</v>
      </c>
      <c r="AV13" s="495">
        <f t="shared" si="11"/>
        <v>0.66423357664233573</v>
      </c>
      <c r="AW13" s="527">
        <f>'Comparativo YoY'!FN12</f>
        <v>419525.04</v>
      </c>
      <c r="AX13" s="527">
        <f>'Comparativo YoY'!FU12</f>
        <v>369740.90399999998</v>
      </c>
      <c r="AY13" s="103">
        <f>Tabela3[[#This Row],[Receita
PF
2022]]/Tabela3[[#This Row],[Receita
PF
2021]]-1</f>
        <v>0.13464600605833965</v>
      </c>
      <c r="AZ13" s="527">
        <f>+'Comparativo YoY'!FO12</f>
        <v>97415.056000000026</v>
      </c>
      <c r="BA13" s="527">
        <f>+'Comparativo YoY'!FV12</f>
        <v>122393.83200000001</v>
      </c>
      <c r="BB13" s="103">
        <f>Tabela3[[#This Row],[Receita
PF - Ex Ant
2022]]/Tabela3[[#This Row],[Receita
PF - Ex Ant
2021]]-1</f>
        <v>-0.20408525161627411</v>
      </c>
      <c r="BC13" s="527">
        <f>'Comparativo YoY'!FP12</f>
        <v>17735.112000000001</v>
      </c>
      <c r="BD13" s="527">
        <f>'Comparativo YoY'!FW12</f>
        <v>23559.696000000004</v>
      </c>
      <c r="BE13" s="103">
        <f>Tabela3[[#This Row],[Receita
PJ
2022]]/Tabela3[[#This Row],[Receita
PJ
2021]]-1</f>
        <v>-0.24722661956249359</v>
      </c>
      <c r="BF13" s="527">
        <f>'Comparativo YoY'!FQ12</f>
        <v>13639.152000000002</v>
      </c>
      <c r="BG13" s="530">
        <f>'Comparativo YoY'!FX12</f>
        <v>13940.528000000004</v>
      </c>
      <c r="BH13" s="103">
        <f>Tabela3[[#This Row],[Receita
PJ - Ex Ant
2022]]/Tabela3[[#This Row],[Receita
PJ - Ex Ant
2021]]-1</f>
        <v>-2.1618693352217555E-2</v>
      </c>
      <c r="BI13" s="527">
        <f>'Comparativo YoY'!FR12</f>
        <v>529810.22400000005</v>
      </c>
      <c r="BJ13" s="527">
        <f>'Comparativo YoY'!FY12</f>
        <v>454013.272</v>
      </c>
      <c r="BK13" s="103">
        <f>Tabela3[[#This Row],[Receita
RRT
2022]]/Tabela3[[#This Row],[Receita
RRT
2021]]-1</f>
        <v>0.16694875827330447</v>
      </c>
      <c r="BL13" s="527">
        <f>'Comparativo YoY'!FS12</f>
        <v>52473.19200000001</v>
      </c>
      <c r="BM13" s="527">
        <f>'Comparativo YoY'!FZ12</f>
        <v>59868.928000000007</v>
      </c>
      <c r="BN13" s="103">
        <f>Tabela3[[#This Row],[Receita
Taxas
2022]]/Tabela3[[#This Row],[Receita
Taxas
2021]]-1</f>
        <v>-0.12353212671521352</v>
      </c>
      <c r="BO13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1043517.1599999999</v>
      </c>
      <c r="BP13" s="103">
        <f t="shared" si="14"/>
        <v>8.3449146154913167E-2</v>
      </c>
      <c r="BQ13" s="499">
        <f t="shared" si="12"/>
        <v>0.8669429546042976</v>
      </c>
      <c r="BR13" s="517">
        <f>Tabela3[[#This Row],[PF Ativos
Exec.]]+Tabela3[[#This Row],[PJ Ativos]]</f>
        <v>2581</v>
      </c>
      <c r="BT13" s="790" t="s">
        <v>86</v>
      </c>
      <c r="BU13" s="790" t="s">
        <v>9</v>
      </c>
      <c r="BV13" s="750">
        <v>419525.04</v>
      </c>
      <c r="BW13" s="486">
        <v>512036.4</v>
      </c>
      <c r="BX13" s="122">
        <v>0.81932659474990444</v>
      </c>
      <c r="BY13" s="486">
        <v>97415.056000000026</v>
      </c>
      <c r="BZ13" s="486">
        <v>165818.14000000001</v>
      </c>
      <c r="CA13" s="122">
        <v>0.58748129728146758</v>
      </c>
      <c r="CB13" s="486">
        <v>17735.112000000001</v>
      </c>
      <c r="CC13" s="486">
        <v>40883.160000000003</v>
      </c>
      <c r="CD13" s="122">
        <v>0.43379993131646377</v>
      </c>
      <c r="CE13" s="486">
        <v>13639.152000000002</v>
      </c>
      <c r="CF13" s="486">
        <v>50933.57</v>
      </c>
      <c r="CG13" s="122">
        <v>0.26778315362539878</v>
      </c>
      <c r="CH13" s="486">
        <v>529810.22399999993</v>
      </c>
      <c r="CI13" s="486">
        <v>489800.62</v>
      </c>
      <c r="CJ13" s="122">
        <v>1.0816854907206934</v>
      </c>
      <c r="CK13" s="486">
        <v>52473.191999999995</v>
      </c>
      <c r="CL13" s="486">
        <v>44648.26</v>
      </c>
      <c r="CM13" s="122">
        <v>1.1752572664645833</v>
      </c>
      <c r="CN13" s="347">
        <v>2252</v>
      </c>
      <c r="CO13" s="303">
        <v>171</v>
      </c>
      <c r="CP13" s="347">
        <v>2191</v>
      </c>
      <c r="CQ13" s="122">
        <v>1.0278411684162483</v>
      </c>
      <c r="CR13" s="347">
        <v>329</v>
      </c>
      <c r="CS13" s="387">
        <v>29</v>
      </c>
      <c r="CT13" s="347">
        <v>340</v>
      </c>
      <c r="CU13" s="122">
        <v>0.96764705882352942</v>
      </c>
      <c r="CV13" s="303">
        <v>5965</v>
      </c>
      <c r="CW13" s="347">
        <v>5633</v>
      </c>
      <c r="CX13" s="387">
        <v>2.6487566607460034</v>
      </c>
      <c r="CY13" s="387">
        <v>2.5709721588315837</v>
      </c>
      <c r="CZ13" s="347">
        <v>2227</v>
      </c>
      <c r="DA13" s="347">
        <v>1145</v>
      </c>
      <c r="DB13" s="122">
        <v>0.51414458913336325</v>
      </c>
      <c r="DC13" s="347">
        <v>2163</v>
      </c>
      <c r="DD13" s="347">
        <v>1388</v>
      </c>
      <c r="DE13" s="122">
        <v>0.64170134073046692</v>
      </c>
      <c r="DF13" s="347">
        <v>96</v>
      </c>
      <c r="DG13" s="122">
        <v>0.2917933130699088</v>
      </c>
      <c r="DH13" s="303">
        <v>135</v>
      </c>
      <c r="DI13" s="122">
        <v>0.39705882352941174</v>
      </c>
      <c r="DJ13" s="347">
        <v>887</v>
      </c>
      <c r="DK13" s="347">
        <v>1365</v>
      </c>
      <c r="DL13" s="347">
        <v>91</v>
      </c>
      <c r="DM13" s="347">
        <v>137</v>
      </c>
      <c r="DN13" s="122">
        <v>0.66423357664233573</v>
      </c>
      <c r="DO13" s="486">
        <v>419525.04</v>
      </c>
      <c r="DP13" s="486">
        <v>369740.90399999998</v>
      </c>
      <c r="DQ13" s="122">
        <v>0.13464600605833965</v>
      </c>
      <c r="DR13" s="486">
        <v>97415.056000000026</v>
      </c>
      <c r="DS13" s="486">
        <v>122393.83200000001</v>
      </c>
      <c r="DT13" s="122">
        <v>-0.20408525161627411</v>
      </c>
      <c r="DU13" s="486">
        <v>17735.112000000001</v>
      </c>
      <c r="DV13" s="486">
        <v>23559.696000000004</v>
      </c>
      <c r="DW13" s="122">
        <v>-0.24722661956249359</v>
      </c>
      <c r="DX13" s="486">
        <v>13639.152000000002</v>
      </c>
      <c r="DY13" s="486">
        <v>13940.528000000004</v>
      </c>
      <c r="DZ13" s="122">
        <v>-2.1618693352217555E-2</v>
      </c>
      <c r="EA13" s="486">
        <v>529810.22400000005</v>
      </c>
      <c r="EB13" s="486">
        <v>454013.272</v>
      </c>
      <c r="EC13" s="122">
        <v>0.16694875827330447</v>
      </c>
      <c r="ED13" s="486">
        <v>52473.19200000001</v>
      </c>
      <c r="EE13" s="486">
        <v>59868.928000000007</v>
      </c>
      <c r="EF13" s="122">
        <v>-0.12353212671521352</v>
      </c>
      <c r="EG13" s="486">
        <v>1043517.1599999999</v>
      </c>
      <c r="EH13" s="122">
        <v>8.3449146154913167E-2</v>
      </c>
      <c r="EI13" s="122">
        <v>0.8669429546042976</v>
      </c>
      <c r="EJ13" s="303">
        <v>2581</v>
      </c>
    </row>
    <row r="14" spans="1:143">
      <c r="A14" s="490" t="s">
        <v>89</v>
      </c>
      <c r="B14" s="131" t="s">
        <v>12</v>
      </c>
      <c r="C14" s="105" t="s">
        <v>227</v>
      </c>
      <c r="D14" s="767">
        <f>VLOOKUP($B$4:$B$30,'TOTAL POR UF'!$A$5:$B$31,2,)</f>
        <v>4564030.3279999997</v>
      </c>
      <c r="E14" s="768">
        <f>VLOOKUP($A$4:$A$31,'Evolução das Receitas'!$P$212:$Q$239,2,0)</f>
        <v>4794475.05</v>
      </c>
      <c r="F14" s="103">
        <f t="shared" si="3"/>
        <v>0.95193535901287041</v>
      </c>
      <c r="G14" s="767">
        <f>VLOOKUP($B$4:$B$30,'TOTAL POR UF'!$A$5:$C$31,3,)</f>
        <v>956042.51199999999</v>
      </c>
      <c r="H14" s="768">
        <f>VLOOKUP($A$4:$A$31,'Evolução das Receitas'!$P$212:$R$239,3,0)</f>
        <v>723080.07</v>
      </c>
      <c r="I14" s="103">
        <f t="shared" si="4"/>
        <v>1.3221806984667688</v>
      </c>
      <c r="J14" s="767">
        <f>VLOOKUP($B$4:$B$30,'TOTAL POR UF'!$A$5:$D$31,4,)</f>
        <v>185987.48800000001</v>
      </c>
      <c r="K14" s="768">
        <f>VLOOKUP($A$4:$A$31,'Evolução das Receitas'!$P$212:$S$239,4,)</f>
        <v>366538.9</v>
      </c>
      <c r="L14" s="103">
        <f t="shared" si="5"/>
        <v>0.5074154148440998</v>
      </c>
      <c r="M14" s="767">
        <f>VLOOKUP($B$4:$B$30,'TOTAL POR UF'!$A$5:$E$31,5,)</f>
        <v>175841.04800000004</v>
      </c>
      <c r="N14" s="768">
        <f>VLOOKUP($A$4:$A$31,'Evolução das Receitas'!$P$212:$T$239,5,0)</f>
        <v>109991.88</v>
      </c>
      <c r="O14" s="103">
        <f t="shared" si="6"/>
        <v>1.5986729929518437</v>
      </c>
      <c r="P14" s="767">
        <f>VLOOKUP($B$4:$B$30,'TOTAL POR UF'!$A$5:$X$31,23,)</f>
        <v>4189608.3680000002</v>
      </c>
      <c r="Q14" s="768">
        <f>VLOOKUP($A$4:$A$31,'Evolução das Receitas'!$P$212:$U$239,6,0)</f>
        <v>5364068.88</v>
      </c>
      <c r="R14" s="103">
        <f t="shared" si="7"/>
        <v>0.78105044169380622</v>
      </c>
      <c r="S14" s="767">
        <f>VLOOKUP($B$4:$B$30,'TOTAL POR UF'!$A$5:$X$31,24,0)</f>
        <v>497634.47200000001</v>
      </c>
      <c r="T14" s="768">
        <f>VLOOKUP($A$4:$A$31,'Evolução das Receitas'!$P$212:$V$239,7,0)</f>
        <v>524881.82000000007</v>
      </c>
      <c r="U14" s="103">
        <f t="shared" si="8"/>
        <v>0.94808860402137751</v>
      </c>
      <c r="V14" s="109">
        <f>VLOOKUP($A$4:$A$29,'Anuid PF'!$A$5:$G$31,7,)</f>
        <v>17877</v>
      </c>
      <c r="W14" s="109">
        <f>VLOOKUP($A$4:$A$29,'Relatórios - SICCAU e IGEO'!$A$3:$E$29,5,)</f>
        <v>632</v>
      </c>
      <c r="X14" s="109">
        <f>VLOOKUP($A$4:$A$29,'Anuid PF'!$A$5:$B$31,2,)</f>
        <v>18589</v>
      </c>
      <c r="Y14" s="103">
        <f t="shared" si="9"/>
        <v>0.96169777825595781</v>
      </c>
      <c r="Z14" s="109">
        <f>VLOOKUP($A$4:$A$29,'Anuid PJ'!$A$5:$F$31,6,)</f>
        <v>2035</v>
      </c>
      <c r="AA14" s="496">
        <f>VLOOKUP($A$4:$A$29,'Relatórios - SICCAU e IGEO'!$A$3:$J$29,10,)</f>
        <v>144</v>
      </c>
      <c r="AB14" s="109">
        <f>VLOOKUP($A$4:$A$29,'Anuid PJ'!$A$5:$B$31,2,)</f>
        <v>2127</v>
      </c>
      <c r="AC14" s="103">
        <f t="shared" si="13"/>
        <v>0.95674659144334739</v>
      </c>
      <c r="AD14" s="109">
        <f>VLOOKUP($A$4:$A$29,RRT!$A$4:$D$30,4,)</f>
        <v>47515</v>
      </c>
      <c r="AE14" s="109">
        <f>VLOOKUP($A$4:$A$29,RRT!$A$4:$B$30,2,)</f>
        <v>61690</v>
      </c>
      <c r="AF14" s="498">
        <f t="shared" si="10"/>
        <v>2.6578844325110476</v>
      </c>
      <c r="AG14" s="498">
        <f>Tabela3[[#This Row],[Previsto - RRT]]/Tabela3[[#This Row],[Previsto PF]]</f>
        <v>3.3186292968960136</v>
      </c>
      <c r="AH14" s="109">
        <f>VLOOKUP(Tabela3[UF],'ADIMPLÊNCIA PF'!$A$4:H40,8,)</f>
        <v>17230</v>
      </c>
      <c r="AI14" s="109">
        <f>VLOOKUP(Tabela3[[#This Row],[UF]],'ADIMPLÊNCIA PF'!$A$4:$I$30,9,)</f>
        <v>11631</v>
      </c>
      <c r="AJ14" s="103">
        <f>Tabela3[[#This Row],[PF Qnt Pag.
Exec.]]/Tabela3[[#This Row],[PF
Qnt Pot Pag.
Exec.]]</f>
        <v>0.67504352872896112</v>
      </c>
      <c r="AK14" s="507">
        <f>VLOOKUP(Tabela3[[#This Row],[UF]],'ADIMPLÊNCIA PF'!$A$4:$C$30,3,)</f>
        <v>17880</v>
      </c>
      <c r="AL14" s="507">
        <f>VLOOKUP(Tabela3[[#This Row],[UF]],'ADIMPLÊNCIA PF'!$A$4:$D$30,4,)</f>
        <v>13411</v>
      </c>
      <c r="AM14" s="103">
        <f>Tabela3[[#This Row],[PF Qnt Pag.
Previsto]]/Tabela3[[#This Row],[PF
Qnt Pot Pag.
Previsto]]</f>
        <v>0.75005592841163315</v>
      </c>
      <c r="AN14" s="507">
        <f>VLOOKUP(Tabela3[[#This Row],[UF]],'ADIMPLÊNCIA PJ'!$A$4:$F$30,6,)</f>
        <v>1071</v>
      </c>
      <c r="AO14" s="103">
        <f>Tabela3[[#This Row],[PJ Pagantes
Exec.]]/Tabela3[[#This Row],[PJ Ativos]]</f>
        <v>0.52628992628992632</v>
      </c>
      <c r="AP14" s="507">
        <f>VLOOKUP(Tabela3[[#This Row],[UF]],'ADIMPLÊNCIA PJ'!$A$4:$C$30,3,)</f>
        <v>1408</v>
      </c>
      <c r="AQ14" s="103">
        <f>Tabela3[[#This Row],[PJ Pagante
Previsto]]/Tabela3[[#This Row],[Previsto PJ]]</f>
        <v>0.66196520921485658</v>
      </c>
      <c r="AR14" s="109">
        <f>VLOOKUP($A$4:$A$29,'PF - Gênero'!$A$2:$B$28,2,)</f>
        <v>5417</v>
      </c>
      <c r="AS14" s="109">
        <f>VLOOKUP($A$4:$A$29,'PF - Gênero'!$A$2:$C$28,3,)</f>
        <v>12460</v>
      </c>
      <c r="AT14" s="109">
        <f>VLOOKUP($A$4:$A$29,'Relatórios - SICCAU e IGEO'!$A$3:$F$29,6,)</f>
        <v>632</v>
      </c>
      <c r="AU14" s="109">
        <v>797</v>
      </c>
      <c r="AV14" s="495">
        <f t="shared" si="11"/>
        <v>0.79297365119196994</v>
      </c>
      <c r="AW14" s="527">
        <f>'Comparativo YoY'!FN13</f>
        <v>3100071.3280000002</v>
      </c>
      <c r="AX14" s="527">
        <f>'Comparativo YoY'!FU13</f>
        <v>3875235.3840000005</v>
      </c>
      <c r="AY14" s="103">
        <f>Tabela3[[#This Row],[Receita
PF
2022]]/Tabela3[[#This Row],[Receita
PF
2021]]-1</f>
        <v>-0.20003018634699798</v>
      </c>
      <c r="AZ14" s="527">
        <f>+'Comparativo YoY'!FO13</f>
        <v>490125.58399999997</v>
      </c>
      <c r="BA14" s="527">
        <f>+'Comparativo YoY'!FV13</f>
        <v>1141704.456</v>
      </c>
      <c r="BB14" s="103">
        <f>Tabela3[[#This Row],[Receita
PF - Ex Ant
2022]]/Tabela3[[#This Row],[Receita
PF - Ex Ant
2021]]-1</f>
        <v>-0.57070712878079544</v>
      </c>
      <c r="BC14" s="527">
        <f>'Comparativo YoY'!FP13</f>
        <v>110797.296</v>
      </c>
      <c r="BD14" s="527">
        <f>'Comparativo YoY'!FW13</f>
        <v>298078.41599999997</v>
      </c>
      <c r="BE14" s="103">
        <f>Tabela3[[#This Row],[Receita
PJ
2022]]/Tabela3[[#This Row],[Receita
PJ
2021]]-1</f>
        <v>-0.62829480414308159</v>
      </c>
      <c r="BF14" s="527">
        <f>'Comparativo YoY'!FQ13</f>
        <v>84048.751999999993</v>
      </c>
      <c r="BG14" s="530">
        <f>'Comparativo YoY'!FX13</f>
        <v>141826.36799999999</v>
      </c>
      <c r="BH14" s="103">
        <f>Tabela3[[#This Row],[Receita
PJ - Ex Ant
2022]]/Tabela3[[#This Row],[Receita
PJ - Ex Ant
2021]]-1</f>
        <v>-0.40738275128077739</v>
      </c>
      <c r="BI14" s="527">
        <f>'Comparativo YoY'!FR13</f>
        <v>2818462.2800000003</v>
      </c>
      <c r="BJ14" s="527">
        <f>'Comparativo YoY'!FY13</f>
        <v>3698718.1439999999</v>
      </c>
      <c r="BK14" s="103">
        <f>Tabela3[[#This Row],[Receita
RRT
2022]]/Tabela3[[#This Row],[Receita
RRT
2021]]-1</f>
        <v>-0.2379894411332576</v>
      </c>
      <c r="BL14" s="527">
        <f>'Comparativo YoY'!FS13</f>
        <v>226677.17600000001</v>
      </c>
      <c r="BM14" s="527">
        <f>'Comparativo YoY'!FZ13</f>
        <v>519842.40799999994</v>
      </c>
      <c r="BN14" s="103">
        <f>Tabela3[[#This Row],[Receita
Taxas
2022]]/Tabela3[[#This Row],[Receita
Taxas
2021]]-1</f>
        <v>-0.56395020392410911</v>
      </c>
      <c r="BO14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9675405.1760000009</v>
      </c>
      <c r="BP14" s="103">
        <f t="shared" si="14"/>
        <v>9.2372259739254448E-2</v>
      </c>
      <c r="BQ14" s="499">
        <f t="shared" si="12"/>
        <v>0.8894312600198504</v>
      </c>
      <c r="BR14" s="517">
        <f>Tabela3[[#This Row],[PF Ativos
Exec.]]+Tabela3[[#This Row],[PJ Ativos]]</f>
        <v>19912</v>
      </c>
      <c r="BT14" s="790" t="s">
        <v>89</v>
      </c>
      <c r="BU14"/>
      <c r="BV14" s="750">
        <v>4564030.3279999997</v>
      </c>
      <c r="BW14" s="486">
        <v>4794475.05</v>
      </c>
      <c r="BX14" s="122">
        <v>0.95193535901287041</v>
      </c>
      <c r="BY14" s="486">
        <v>956042.51199999999</v>
      </c>
      <c r="BZ14" s="486">
        <v>723080.07</v>
      </c>
      <c r="CA14" s="122">
        <v>1.3221806984667688</v>
      </c>
      <c r="CB14" s="486">
        <v>185987.48800000001</v>
      </c>
      <c r="CC14" s="486">
        <v>366538.9</v>
      </c>
      <c r="CD14" s="122">
        <v>0.5074154148440998</v>
      </c>
      <c r="CE14" s="486">
        <v>175841.04800000004</v>
      </c>
      <c r="CF14" s="486">
        <v>109991.88</v>
      </c>
      <c r="CG14" s="122">
        <v>1.5986729929518437</v>
      </c>
      <c r="CH14" s="486">
        <v>4189608.3680000002</v>
      </c>
      <c r="CI14" s="486">
        <v>5364068.88</v>
      </c>
      <c r="CJ14" s="122">
        <v>0.78105044169380622</v>
      </c>
      <c r="CK14" s="486">
        <v>497634.47200000001</v>
      </c>
      <c r="CL14" s="486">
        <v>524881.82000000007</v>
      </c>
      <c r="CM14" s="122">
        <v>0.94808860402137751</v>
      </c>
      <c r="CN14" s="347">
        <v>17877</v>
      </c>
      <c r="CO14" s="303">
        <v>632</v>
      </c>
      <c r="CP14" s="347">
        <v>18589</v>
      </c>
      <c r="CQ14" s="122">
        <v>0.96169777825595781</v>
      </c>
      <c r="CR14" s="347">
        <v>2035</v>
      </c>
      <c r="CS14" s="387">
        <v>144</v>
      </c>
      <c r="CT14" s="347">
        <v>2127</v>
      </c>
      <c r="CU14" s="122">
        <v>0.95674659144334739</v>
      </c>
      <c r="CV14" s="303">
        <v>47515</v>
      </c>
      <c r="CW14" s="347">
        <v>61690</v>
      </c>
      <c r="CX14" s="387">
        <v>2.6578844325110476</v>
      </c>
      <c r="CY14" s="387">
        <v>3.3186292968960136</v>
      </c>
      <c r="CZ14" s="347">
        <v>17230</v>
      </c>
      <c r="DA14" s="347">
        <v>11631</v>
      </c>
      <c r="DB14" s="122">
        <v>0.67504352872896112</v>
      </c>
      <c r="DC14" s="347">
        <v>17880</v>
      </c>
      <c r="DD14" s="347">
        <v>13411</v>
      </c>
      <c r="DE14" s="122">
        <v>0.75005592841163315</v>
      </c>
      <c r="DF14" s="347">
        <v>1071</v>
      </c>
      <c r="DG14" s="122">
        <v>0.52628992628992632</v>
      </c>
      <c r="DH14" s="303">
        <v>1408</v>
      </c>
      <c r="DI14" s="122">
        <v>0.66196520921485658</v>
      </c>
      <c r="DJ14" s="347">
        <v>5417</v>
      </c>
      <c r="DK14" s="347">
        <v>12460</v>
      </c>
      <c r="DL14" s="347">
        <v>632</v>
      </c>
      <c r="DM14" s="347">
        <v>797</v>
      </c>
      <c r="DN14" s="122">
        <v>0.79297365119196994</v>
      </c>
      <c r="DO14" s="486">
        <v>3100071.3280000002</v>
      </c>
      <c r="DP14" s="486">
        <v>3875235.3840000005</v>
      </c>
      <c r="DQ14" s="122">
        <v>-0.20003018634699798</v>
      </c>
      <c r="DR14" s="486">
        <v>490125.58399999997</v>
      </c>
      <c r="DS14" s="486">
        <v>1141704.456</v>
      </c>
      <c r="DT14" s="122">
        <v>-0.57070712878079544</v>
      </c>
      <c r="DU14" s="486">
        <v>110797.296</v>
      </c>
      <c r="DV14" s="486">
        <v>298078.41599999997</v>
      </c>
      <c r="DW14" s="122">
        <v>-0.62829480414308159</v>
      </c>
      <c r="DX14" s="486">
        <v>84048.751999999993</v>
      </c>
      <c r="DY14" s="486">
        <v>141826.36799999999</v>
      </c>
      <c r="DZ14" s="122">
        <v>-0.40738275128077739</v>
      </c>
      <c r="EA14" s="486">
        <v>2818462.2800000003</v>
      </c>
      <c r="EB14" s="486">
        <v>3698718.1439999999</v>
      </c>
      <c r="EC14" s="122">
        <v>-0.2379894411332576</v>
      </c>
      <c r="ED14" s="486">
        <v>226677.17600000001</v>
      </c>
      <c r="EE14" s="486">
        <v>519842.40799999994</v>
      </c>
      <c r="EF14" s="122">
        <v>-0.56395020392410911</v>
      </c>
      <c r="EG14" s="486">
        <v>9675405.1760000009</v>
      </c>
      <c r="EH14" s="122">
        <v>9.2372259739254448E-2</v>
      </c>
      <c r="EI14" s="122">
        <v>0.8894312600198504</v>
      </c>
      <c r="EJ14" s="303">
        <v>19912</v>
      </c>
    </row>
    <row r="15" spans="1:143">
      <c r="A15" s="490" t="s">
        <v>88</v>
      </c>
      <c r="B15" s="131" t="s">
        <v>11</v>
      </c>
      <c r="C15" s="105" t="s">
        <v>229</v>
      </c>
      <c r="D15" s="767">
        <f>VLOOKUP($B$4:$B$30,'TOTAL POR UF'!$A$5:$B$31,2,)</f>
        <v>748928.61599999992</v>
      </c>
      <c r="E15" s="768">
        <f>VLOOKUP($A$4:$A$31,'Evolução das Receitas'!$P$212:$Q$239,2,0)</f>
        <v>844523.85</v>
      </c>
      <c r="F15" s="103">
        <f t="shared" si="3"/>
        <v>0.8868057616134819</v>
      </c>
      <c r="G15" s="767">
        <f>VLOOKUP($B$4:$B$30,'TOTAL POR UF'!$A$5:$C$31,3,)</f>
        <v>222159.36000000004</v>
      </c>
      <c r="H15" s="768">
        <f>VLOOKUP($A$4:$A$31,'Evolução das Receitas'!$P$212:$R$239,3,0)</f>
        <v>293680.92</v>
      </c>
      <c r="I15" s="103">
        <f t="shared" si="4"/>
        <v>0.75646507781302252</v>
      </c>
      <c r="J15" s="767">
        <f>VLOOKUP($B$4:$B$30,'TOTAL POR UF'!$A$5:$D$31,4,)</f>
        <v>40397.024000000005</v>
      </c>
      <c r="K15" s="768">
        <f>VLOOKUP($A$4:$A$31,'Evolução das Receitas'!$P$212:$S$239,4,)</f>
        <v>87773.540000000008</v>
      </c>
      <c r="L15" s="103">
        <f t="shared" si="5"/>
        <v>0.46024148051907215</v>
      </c>
      <c r="M15" s="767">
        <f>VLOOKUP($B$4:$B$30,'TOTAL POR UF'!$A$5:$E$31,5,)</f>
        <v>55803.000000000015</v>
      </c>
      <c r="N15" s="768">
        <f>VLOOKUP($A$4:$A$31,'Evolução das Receitas'!$P$212:$T$239,5,0)</f>
        <v>64930.83</v>
      </c>
      <c r="O15" s="103">
        <f t="shared" si="6"/>
        <v>0.8594222498002877</v>
      </c>
      <c r="P15" s="767">
        <f>VLOOKUP($B$4:$B$30,'TOTAL POR UF'!$A$5:$X$31,23,)</f>
        <v>1425865.368</v>
      </c>
      <c r="Q15" s="768">
        <f>VLOOKUP($A$4:$A$31,'Evolução das Receitas'!$P$212:$U$239,6,0)</f>
        <v>2068501.13</v>
      </c>
      <c r="R15" s="103">
        <f t="shared" si="7"/>
        <v>0.68932298238580125</v>
      </c>
      <c r="S15" s="767">
        <f>VLOOKUP($B$4:$B$30,'TOTAL POR UF'!$A$5:$X$31,24,0)</f>
        <v>160039.69600000003</v>
      </c>
      <c r="T15" s="768">
        <f>VLOOKUP($A$4:$A$31,'Evolução das Receitas'!$P$212:$V$239,7,0)</f>
        <v>143612.68</v>
      </c>
      <c r="U15" s="103">
        <f t="shared" si="8"/>
        <v>1.1143841616213834</v>
      </c>
      <c r="V15" s="109">
        <f>VLOOKUP($A$4:$A$29,'Anuid PF'!$A$5:$G$31,7,)</f>
        <v>3640</v>
      </c>
      <c r="W15" s="109">
        <f>VLOOKUP($A$4:$A$29,'Relatórios - SICCAU e IGEO'!$A$3:$E$29,5,)</f>
        <v>72</v>
      </c>
      <c r="X15" s="109">
        <f>VLOOKUP($A$4:$A$29,'Anuid PF'!$A$5:$B$31,2,)</f>
        <v>3778</v>
      </c>
      <c r="Y15" s="103">
        <f t="shared" si="9"/>
        <v>0.96347273689782953</v>
      </c>
      <c r="Z15" s="109">
        <f>VLOOKUP($A$4:$A$29,'Anuid PJ'!$A$5:$F$31,6,)</f>
        <v>698</v>
      </c>
      <c r="AA15" s="496">
        <f>VLOOKUP($A$4:$A$29,'Relatórios - SICCAU e IGEO'!$A$3:$J$29,10,)</f>
        <v>33</v>
      </c>
      <c r="AB15" s="109">
        <f>VLOOKUP($A$4:$A$29,'Anuid PJ'!$A$5:$B$31,2,)</f>
        <v>686</v>
      </c>
      <c r="AC15" s="103">
        <f t="shared" si="13"/>
        <v>1.0174927113702623</v>
      </c>
      <c r="AD15" s="109">
        <f>VLOOKUP($A$4:$A$29,RRT!$A$4:$D$30,4,)</f>
        <v>16284</v>
      </c>
      <c r="AE15" s="109">
        <f>VLOOKUP($A$4:$A$29,RRT!$A$4:$B$30,2,)</f>
        <v>23789</v>
      </c>
      <c r="AF15" s="498">
        <f t="shared" si="10"/>
        <v>4.4736263736263737</v>
      </c>
      <c r="AG15" s="498">
        <f>Tabela3[[#This Row],[Previsto - RRT]]/Tabela3[[#This Row],[Previsto PF]]</f>
        <v>6.2967178401270516</v>
      </c>
      <c r="AH15" s="109">
        <f>VLOOKUP(Tabela3[UF],'ADIMPLÊNCIA PF'!$A$4:H41,8,)</f>
        <v>3571</v>
      </c>
      <c r="AI15" s="109">
        <f>VLOOKUP(Tabela3[[#This Row],[UF]],'ADIMPLÊNCIA PF'!$A$4:$I$30,9,)</f>
        <v>1913</v>
      </c>
      <c r="AJ15" s="103">
        <f>Tabela3[[#This Row],[PF Qnt Pag.
Exec.]]/Tabela3[[#This Row],[PF
Qnt Pot Pag.
Exec.]]</f>
        <v>0.53570428451414165</v>
      </c>
      <c r="AK15" s="507">
        <f>VLOOKUP(Tabela3[[#This Row],[UF]],'ADIMPLÊNCIA PF'!$A$4:$C$30,3,)</f>
        <v>3683</v>
      </c>
      <c r="AL15" s="507">
        <f>VLOOKUP(Tabela3[[#This Row],[UF]],'ADIMPLÊNCIA PF'!$A$4:$D$30,4,)</f>
        <v>2351</v>
      </c>
      <c r="AM15" s="103">
        <f>Tabela3[[#This Row],[PF Qnt Pag.
Previsto]]/Tabela3[[#This Row],[PF
Qnt Pot Pag.
Previsto]]</f>
        <v>0.63833831115938089</v>
      </c>
      <c r="AN15" s="507">
        <f>VLOOKUP(Tabela3[[#This Row],[UF]],'ADIMPLÊNCIA PJ'!$A$4:$F$30,6,)</f>
        <v>232</v>
      </c>
      <c r="AO15" s="103">
        <f>Tabela3[[#This Row],[PJ Pagantes
Exec.]]/Tabela3[[#This Row],[PJ Ativos]]</f>
        <v>0.33237822349570201</v>
      </c>
      <c r="AP15" s="507">
        <f>VLOOKUP(Tabela3[[#This Row],[UF]],'ADIMPLÊNCIA PJ'!$A$4:$C$30,3,)</f>
        <v>331</v>
      </c>
      <c r="AQ15" s="103">
        <f>Tabela3[[#This Row],[PJ Pagante
Previsto]]/Tabela3[[#This Row],[Previsto PJ]]</f>
        <v>0.48250728862973763</v>
      </c>
      <c r="AR15" s="109">
        <f>VLOOKUP($A$4:$A$29,'PF - Gênero'!$A$2:$B$28,2,)</f>
        <v>1359</v>
      </c>
      <c r="AS15" s="109">
        <f>VLOOKUP($A$4:$A$29,'PF - Gênero'!$A$2:$C$28,3,)</f>
        <v>2281</v>
      </c>
      <c r="AT15" s="109">
        <f>VLOOKUP($A$4:$A$29,'Relatórios - SICCAU e IGEO'!$A$3:$F$29,6,)</f>
        <v>151</v>
      </c>
      <c r="AU15" s="109">
        <v>250</v>
      </c>
      <c r="AV15" s="495">
        <f t="shared" si="11"/>
        <v>0.60399999999999998</v>
      </c>
      <c r="AW15" s="527">
        <f>'Comparativo YoY'!FN14</f>
        <v>748928.61599999992</v>
      </c>
      <c r="AX15" s="527">
        <f>'Comparativo YoY'!FU14</f>
        <v>644575.98400000005</v>
      </c>
      <c r="AY15" s="103">
        <f>Tabela3[[#This Row],[Receita
PF
2022]]/Tabela3[[#This Row],[Receita
PF
2021]]-1</f>
        <v>0.16189345335584182</v>
      </c>
      <c r="AZ15" s="527">
        <f>+'Comparativo YoY'!FO14</f>
        <v>222159.36000000004</v>
      </c>
      <c r="BA15" s="527">
        <f>+'Comparativo YoY'!FV14</f>
        <v>206008.52000000005</v>
      </c>
      <c r="BB15" s="103">
        <f>Tabela3[[#This Row],[Receita
PF - Ex Ant
2022]]/Tabela3[[#This Row],[Receita
PF - Ex Ant
2021]]-1</f>
        <v>7.8398893404991066E-2</v>
      </c>
      <c r="BC15" s="527">
        <f>'Comparativo YoY'!FP14</f>
        <v>40397.024000000005</v>
      </c>
      <c r="BD15" s="527">
        <f>'Comparativo YoY'!FW14</f>
        <v>62223.911999999997</v>
      </c>
      <c r="BE15" s="103">
        <f>Tabela3[[#This Row],[Receita
PJ
2022]]/Tabela3[[#This Row],[Receita
PJ
2021]]-1</f>
        <v>-0.35077974525291811</v>
      </c>
      <c r="BF15" s="527">
        <f>'Comparativo YoY'!FQ14</f>
        <v>55803.000000000015</v>
      </c>
      <c r="BG15" s="530">
        <f>'Comparativo YoY'!FX14</f>
        <v>31979.968000000008</v>
      </c>
      <c r="BH15" s="103">
        <f>Tabela3[[#This Row],[Receita
PJ - Ex Ant
2022]]/Tabela3[[#This Row],[Receita
PJ - Ex Ant
2021]]-1</f>
        <v>0.74493607998607136</v>
      </c>
      <c r="BI15" s="527">
        <f>'Comparativo YoY'!FR14</f>
        <v>1425865.3680000002</v>
      </c>
      <c r="BJ15" s="527">
        <f>'Comparativo YoY'!FY14</f>
        <v>1312747.432</v>
      </c>
      <c r="BK15" s="103">
        <f>Tabela3[[#This Row],[Receita
RRT
2022]]/Tabela3[[#This Row],[Receita
RRT
2021]]-1</f>
        <v>8.616884957654225E-2</v>
      </c>
      <c r="BL15" s="527">
        <f>'Comparativo YoY'!FS14</f>
        <v>160039.69600000003</v>
      </c>
      <c r="BM15" s="527">
        <f>'Comparativo YoY'!FZ14</f>
        <v>109269.69599999998</v>
      </c>
      <c r="BN15" s="103">
        <f>Tabela3[[#This Row],[Receita
Taxas
2022]]/Tabela3[[#This Row],[Receita
Taxas
2021]]-1</f>
        <v>0.46463019353508628</v>
      </c>
      <c r="BO15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2366805.5120000001</v>
      </c>
      <c r="BP15" s="103">
        <f t="shared" si="14"/>
        <v>0.12100172597536174</v>
      </c>
      <c r="BQ15" s="499">
        <f t="shared" si="12"/>
        <v>0.75740099390442184</v>
      </c>
      <c r="BR15" s="517">
        <f>Tabela3[[#This Row],[PF Ativos
Exec.]]+Tabela3[[#This Row],[PJ Ativos]]</f>
        <v>4338</v>
      </c>
      <c r="BT15" s="790" t="s">
        <v>88</v>
      </c>
      <c r="BU15" s="790" t="s">
        <v>11</v>
      </c>
      <c r="BV15" s="750">
        <v>748928.61599999992</v>
      </c>
      <c r="BW15" s="486">
        <v>844523.85</v>
      </c>
      <c r="BX15" s="122">
        <v>0.8868057616134819</v>
      </c>
      <c r="BY15" s="486">
        <v>222159.36000000004</v>
      </c>
      <c r="BZ15" s="486">
        <v>293680.92</v>
      </c>
      <c r="CA15" s="122">
        <v>0.75646507781302252</v>
      </c>
      <c r="CB15" s="486">
        <v>40397.024000000005</v>
      </c>
      <c r="CC15" s="486">
        <v>87773.540000000008</v>
      </c>
      <c r="CD15" s="122">
        <v>0.46024148051907215</v>
      </c>
      <c r="CE15" s="486">
        <v>55803.000000000015</v>
      </c>
      <c r="CF15" s="486">
        <v>64930.83</v>
      </c>
      <c r="CG15" s="122">
        <v>0.8594222498002877</v>
      </c>
      <c r="CH15" s="486">
        <v>1425865.368</v>
      </c>
      <c r="CI15" s="486">
        <v>2068501.13</v>
      </c>
      <c r="CJ15" s="122">
        <v>0.68932298238580125</v>
      </c>
      <c r="CK15" s="486">
        <v>160039.69600000003</v>
      </c>
      <c r="CL15" s="486">
        <v>143612.68</v>
      </c>
      <c r="CM15" s="122">
        <v>1.1143841616213834</v>
      </c>
      <c r="CN15" s="347">
        <v>3640</v>
      </c>
      <c r="CO15" s="303">
        <v>72</v>
      </c>
      <c r="CP15" s="347">
        <v>3778</v>
      </c>
      <c r="CQ15" s="122">
        <v>0.96347273689782953</v>
      </c>
      <c r="CR15" s="347">
        <v>698</v>
      </c>
      <c r="CS15" s="387">
        <v>33</v>
      </c>
      <c r="CT15" s="347">
        <v>686</v>
      </c>
      <c r="CU15" s="122">
        <v>1.0174927113702623</v>
      </c>
      <c r="CV15" s="303">
        <v>16284</v>
      </c>
      <c r="CW15" s="347">
        <v>23789</v>
      </c>
      <c r="CX15" s="387">
        <v>4.4736263736263737</v>
      </c>
      <c r="CY15" s="387">
        <v>6.2967178401270516</v>
      </c>
      <c r="CZ15" s="347">
        <v>3571</v>
      </c>
      <c r="DA15" s="347">
        <v>1913</v>
      </c>
      <c r="DB15" s="122">
        <v>0.53570428451414165</v>
      </c>
      <c r="DC15" s="347">
        <v>3683</v>
      </c>
      <c r="DD15" s="347">
        <v>2351</v>
      </c>
      <c r="DE15" s="122">
        <v>0.63833831115938089</v>
      </c>
      <c r="DF15" s="347">
        <v>232</v>
      </c>
      <c r="DG15" s="122">
        <v>0.33237822349570201</v>
      </c>
      <c r="DH15" s="303">
        <v>331</v>
      </c>
      <c r="DI15" s="122">
        <v>0.48250728862973763</v>
      </c>
      <c r="DJ15" s="347">
        <v>1359</v>
      </c>
      <c r="DK15" s="347">
        <v>2281</v>
      </c>
      <c r="DL15" s="347">
        <v>151</v>
      </c>
      <c r="DM15" s="347">
        <v>250</v>
      </c>
      <c r="DN15" s="122">
        <v>0.60399999999999998</v>
      </c>
      <c r="DO15" s="486">
        <v>748928.61599999992</v>
      </c>
      <c r="DP15" s="486">
        <v>644575.98400000005</v>
      </c>
      <c r="DQ15" s="122">
        <v>0.16189345335584182</v>
      </c>
      <c r="DR15" s="486">
        <v>222159.36000000004</v>
      </c>
      <c r="DS15" s="486">
        <v>206008.52000000005</v>
      </c>
      <c r="DT15" s="122">
        <v>7.8398893404991066E-2</v>
      </c>
      <c r="DU15" s="486">
        <v>40397.024000000005</v>
      </c>
      <c r="DV15" s="486">
        <v>62223.911999999997</v>
      </c>
      <c r="DW15" s="122">
        <v>-0.35077974525291811</v>
      </c>
      <c r="DX15" s="486">
        <v>55803.000000000015</v>
      </c>
      <c r="DY15" s="486">
        <v>31979.968000000008</v>
      </c>
      <c r="DZ15" s="122">
        <v>0.74493607998607136</v>
      </c>
      <c r="EA15" s="486">
        <v>1425865.3680000002</v>
      </c>
      <c r="EB15" s="486">
        <v>1312747.432</v>
      </c>
      <c r="EC15" s="122">
        <v>8.616884957654225E-2</v>
      </c>
      <c r="ED15" s="486">
        <v>160039.69600000003</v>
      </c>
      <c r="EE15" s="486">
        <v>109269.69599999998</v>
      </c>
      <c r="EF15" s="122">
        <v>0.46463019353508628</v>
      </c>
      <c r="EG15" s="486">
        <v>2366805.5120000001</v>
      </c>
      <c r="EH15" s="122">
        <v>0.12100172597536174</v>
      </c>
      <c r="EI15" s="122">
        <v>0.75740099390442184</v>
      </c>
      <c r="EJ15" s="303">
        <v>4338</v>
      </c>
    </row>
    <row r="16" spans="1:143">
      <c r="A16" s="490" t="s">
        <v>87</v>
      </c>
      <c r="B16" s="131" t="s">
        <v>10</v>
      </c>
      <c r="C16" s="105" t="s">
        <v>229</v>
      </c>
      <c r="D16" s="767">
        <f>VLOOKUP($B$4:$B$30,'TOTAL POR UF'!$A$5:$B$31,2,)</f>
        <v>903004.57600000012</v>
      </c>
      <c r="E16" s="768">
        <f>VLOOKUP($A$4:$A$31,'Evolução das Receitas'!$P$212:$Q$239,2,0)</f>
        <v>1039263.51</v>
      </c>
      <c r="F16" s="103">
        <f t="shared" si="3"/>
        <v>0.86888894617304524</v>
      </c>
      <c r="G16" s="767">
        <f>VLOOKUP($B$4:$B$30,'TOTAL POR UF'!$A$5:$C$31,3,)</f>
        <v>154706.48000000001</v>
      </c>
      <c r="H16" s="768">
        <f>VLOOKUP($A$4:$A$31,'Evolução das Receitas'!$P$212:$R$239,3,0)</f>
        <v>167836.07</v>
      </c>
      <c r="I16" s="103">
        <f t="shared" si="4"/>
        <v>0.92177134509882175</v>
      </c>
      <c r="J16" s="767">
        <f>VLOOKUP($B$4:$B$30,'TOTAL POR UF'!$A$5:$D$31,4,)</f>
        <v>63403.240000000005</v>
      </c>
      <c r="K16" s="768">
        <f>VLOOKUP($A$4:$A$31,'Evolução das Receitas'!$P$212:$S$239,4,)</f>
        <v>102373.44</v>
      </c>
      <c r="L16" s="103">
        <f t="shared" si="5"/>
        <v>0.61933290509725969</v>
      </c>
      <c r="M16" s="767">
        <f>VLOOKUP($B$4:$B$30,'TOTAL POR UF'!$A$5:$E$31,5,)</f>
        <v>31293.68</v>
      </c>
      <c r="N16" s="768">
        <f>VLOOKUP($A$4:$A$31,'Evolução das Receitas'!$P$212:$T$239,5,0)</f>
        <v>58593.32</v>
      </c>
      <c r="O16" s="103">
        <f t="shared" si="6"/>
        <v>0.534082724788423</v>
      </c>
      <c r="P16" s="767">
        <f>VLOOKUP($B$4:$B$30,'TOTAL POR UF'!$A$5:$X$31,23,)</f>
        <v>2220353.352</v>
      </c>
      <c r="Q16" s="768">
        <f>VLOOKUP($A$4:$A$31,'Evolução das Receitas'!$P$212:$U$239,6,0)</f>
        <v>3102099.55</v>
      </c>
      <c r="R16" s="103">
        <f t="shared" si="7"/>
        <v>0.71575825218117195</v>
      </c>
      <c r="S16" s="767">
        <f>VLOOKUP($B$4:$B$30,'TOTAL POR UF'!$A$5:$X$31,24,0)</f>
        <v>94568.335999999996</v>
      </c>
      <c r="T16" s="768">
        <f>VLOOKUP($A$4:$A$31,'Evolução das Receitas'!$P$212:$V$239,7,0)</f>
        <v>123360.06</v>
      </c>
      <c r="U16" s="103">
        <f t="shared" si="8"/>
        <v>0.76660416669706544</v>
      </c>
      <c r="V16" s="109">
        <f>VLOOKUP($A$4:$A$29,'Anuid PF'!$A$5:$G$31,7,)</f>
        <v>3639</v>
      </c>
      <c r="W16" s="109">
        <f>VLOOKUP($A$4:$A$29,'Relatórios - SICCAU e IGEO'!$A$3:$E$29,5,)</f>
        <v>193</v>
      </c>
      <c r="X16" s="109">
        <f>VLOOKUP($A$4:$A$29,'Anuid PF'!$A$5:$B$31,2,)</f>
        <v>3725</v>
      </c>
      <c r="Y16" s="103">
        <f t="shared" si="9"/>
        <v>0.9769127516778523</v>
      </c>
      <c r="Z16" s="109">
        <f>VLOOKUP($A$4:$A$29,'Anuid PJ'!$A$5:$F$31,6,)</f>
        <v>710</v>
      </c>
      <c r="AA16" s="496">
        <f>VLOOKUP($A$4:$A$29,'Relatórios - SICCAU e IGEO'!$A$3:$J$29,10,)</f>
        <v>49</v>
      </c>
      <c r="AB16" s="109">
        <f>VLOOKUP($A$4:$A$29,'Anuid PJ'!$A$5:$B$31,2,)</f>
        <v>756</v>
      </c>
      <c r="AC16" s="103">
        <f t="shared" si="13"/>
        <v>0.93915343915343918</v>
      </c>
      <c r="AD16" s="109">
        <f>VLOOKUP($A$4:$A$29,RRT!$A$4:$D$30,4,)</f>
        <v>25520</v>
      </c>
      <c r="AE16" s="109">
        <f>VLOOKUP($A$4:$A$29,RRT!$A$4:$B$30,2,)</f>
        <v>35676</v>
      </c>
      <c r="AF16" s="498">
        <f t="shared" si="10"/>
        <v>7.0129156361637817</v>
      </c>
      <c r="AG16" s="498">
        <f>Tabela3[[#This Row],[Previsto - RRT]]/Tabela3[[#This Row],[Previsto PF]]</f>
        <v>9.5774496644295297</v>
      </c>
      <c r="AH16" s="109">
        <f>VLOOKUP(Tabela3[UF],'ADIMPLÊNCIA PF'!$A$4:H42,8,)</f>
        <v>3587</v>
      </c>
      <c r="AI16" s="109">
        <f>VLOOKUP(Tabela3[[#This Row],[UF]],'ADIMPLÊNCIA PF'!$A$4:$I$30,9,)</f>
        <v>2343</v>
      </c>
      <c r="AJ16" s="103">
        <f>Tabela3[[#This Row],[PF Qnt Pag.
Exec.]]/Tabela3[[#This Row],[PF
Qnt Pot Pag.
Exec.]]</f>
        <v>0.65319208252021188</v>
      </c>
      <c r="AK16" s="507">
        <f>VLOOKUP(Tabela3[[#This Row],[UF]],'ADIMPLÊNCIA PF'!$A$4:$C$30,3,)</f>
        <v>3662</v>
      </c>
      <c r="AL16" s="507">
        <f>VLOOKUP(Tabela3[[#This Row],[UF]],'ADIMPLÊNCIA PF'!$A$4:$D$30,4,)</f>
        <v>2872</v>
      </c>
      <c r="AM16" s="103">
        <f>Tabela3[[#This Row],[PF Qnt Pag.
Previsto]]/Tabela3[[#This Row],[PF
Qnt Pot Pag.
Previsto]]</f>
        <v>0.78427089022392138</v>
      </c>
      <c r="AN16" s="507">
        <f>VLOOKUP(Tabela3[[#This Row],[UF]],'ADIMPLÊNCIA PJ'!$A$4:$F$30,6,)</f>
        <v>307</v>
      </c>
      <c r="AO16" s="103">
        <f>Tabela3[[#This Row],[PJ Pagantes
Exec.]]/Tabela3[[#This Row],[PJ Ativos]]</f>
        <v>0.43239436619718308</v>
      </c>
      <c r="AP16" s="507">
        <f>VLOOKUP(Tabela3[[#This Row],[UF]],'ADIMPLÊNCIA PJ'!$A$4:$C$30,3,)</f>
        <v>370</v>
      </c>
      <c r="AQ16" s="103">
        <f>Tabela3[[#This Row],[PJ Pagante
Previsto]]/Tabela3[[#This Row],[Previsto PJ]]</f>
        <v>0.48941798941798942</v>
      </c>
      <c r="AR16" s="109">
        <f>VLOOKUP($A$4:$A$29,'PF - Gênero'!$A$2:$B$28,2,)</f>
        <v>1214</v>
      </c>
      <c r="AS16" s="109">
        <f>VLOOKUP($A$4:$A$29,'PF - Gênero'!$A$2:$C$28,3,)</f>
        <v>2425</v>
      </c>
      <c r="AT16" s="109">
        <f>VLOOKUP($A$4:$A$29,'Relatórios - SICCAU e IGEO'!$A$3:$F$29,6,)</f>
        <v>145</v>
      </c>
      <c r="AU16" s="109">
        <v>147</v>
      </c>
      <c r="AV16" s="495">
        <f t="shared" si="11"/>
        <v>0.98639455782312924</v>
      </c>
      <c r="AW16" s="527">
        <f>'Comparativo YoY'!FN15</f>
        <v>2366963.5760000004</v>
      </c>
      <c r="AX16" s="527">
        <f>'Comparativo YoY'!FU15</f>
        <v>820837.16</v>
      </c>
      <c r="AY16" s="103">
        <f>Tabela3[[#This Row],[Receita
PF
2022]]/Tabela3[[#This Row],[Receita
PF
2021]]-1</f>
        <v>1.8835970047944715</v>
      </c>
      <c r="AZ16" s="527">
        <f>+'Comparativo YoY'!FO15</f>
        <v>620623.40799999994</v>
      </c>
      <c r="BA16" s="527">
        <f>+'Comparativo YoY'!FV15</f>
        <v>247418.99200000009</v>
      </c>
      <c r="BB16" s="103">
        <f>Tabela3[[#This Row],[Receita
PF - Ex Ant
2022]]/Tabela3[[#This Row],[Receita
PF - Ex Ant
2021]]-1</f>
        <v>1.5083903340775056</v>
      </c>
      <c r="BC16" s="527">
        <f>'Comparativo YoY'!FP15</f>
        <v>138593.43200000003</v>
      </c>
      <c r="BD16" s="527">
        <f>'Comparativo YoY'!FW15</f>
        <v>71433.48000000001</v>
      </c>
      <c r="BE16" s="103">
        <f>Tabela3[[#This Row],[Receita
PJ
2022]]/Tabela3[[#This Row],[Receita
PJ
2021]]-1</f>
        <v>0.9401747191932972</v>
      </c>
      <c r="BF16" s="527">
        <f>'Comparativo YoY'!FQ15</f>
        <v>123085.976</v>
      </c>
      <c r="BG16" s="530">
        <f>'Comparativo YoY'!FX15</f>
        <v>34860.576000000008</v>
      </c>
      <c r="BH16" s="103">
        <f>Tabela3[[#This Row],[Receita
PJ - Ex Ant
2022]]/Tabela3[[#This Row],[Receita
PJ - Ex Ant
2021]]-1</f>
        <v>2.5308072936029502</v>
      </c>
      <c r="BI16" s="527">
        <f>'Comparativo YoY'!FR15</f>
        <v>3591499.4400000004</v>
      </c>
      <c r="BJ16" s="527">
        <f>'Comparativo YoY'!FY15</f>
        <v>2052689.0080000004</v>
      </c>
      <c r="BK16" s="103">
        <f>Tabela3[[#This Row],[Receita
RRT
2022]]/Tabela3[[#This Row],[Receita
RRT
2021]]-1</f>
        <v>0.74965590306312957</v>
      </c>
      <c r="BL16" s="527">
        <f>'Comparativo YoY'!FS15</f>
        <v>365525.63200000004</v>
      </c>
      <c r="BM16" s="527">
        <f>'Comparativo YoY'!FZ15</f>
        <v>123571.24799999996</v>
      </c>
      <c r="BN16" s="103">
        <f>Tabela3[[#This Row],[Receita
Taxas
2022]]/Tabela3[[#This Row],[Receita
Taxas
2021]]-1</f>
        <v>1.9580152172615439</v>
      </c>
      <c r="BO16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3350810.4640000011</v>
      </c>
      <c r="BP16" s="103">
        <f t="shared" si="14"/>
        <v>3.4773438023977254E-2</v>
      </c>
      <c r="BQ16" s="499">
        <f t="shared" si="12"/>
        <v>0.75482966717538635</v>
      </c>
      <c r="BR16" s="517">
        <f>Tabela3[[#This Row],[PF Ativos
Exec.]]+Tabela3[[#This Row],[PJ Ativos]]</f>
        <v>4349</v>
      </c>
      <c r="BT16" s="790" t="s">
        <v>87</v>
      </c>
      <c r="BU16" s="790" t="s">
        <v>10</v>
      </c>
      <c r="BV16" s="750">
        <v>903004.57600000012</v>
      </c>
      <c r="BW16" s="486">
        <v>1039263.51</v>
      </c>
      <c r="BX16" s="122">
        <v>0.86888894617304524</v>
      </c>
      <c r="BY16" s="486">
        <v>154706.48000000001</v>
      </c>
      <c r="BZ16" s="486">
        <v>167836.07</v>
      </c>
      <c r="CA16" s="122">
        <v>0.92177134509882175</v>
      </c>
      <c r="CB16" s="486">
        <v>63403.240000000005</v>
      </c>
      <c r="CC16" s="486">
        <v>102373.44</v>
      </c>
      <c r="CD16" s="122">
        <v>0.61933290509725969</v>
      </c>
      <c r="CE16" s="486">
        <v>31293.68</v>
      </c>
      <c r="CF16" s="486">
        <v>58593.32</v>
      </c>
      <c r="CG16" s="122">
        <v>0.534082724788423</v>
      </c>
      <c r="CH16" s="486">
        <v>2220353.352</v>
      </c>
      <c r="CI16" s="486">
        <v>3102099.55</v>
      </c>
      <c r="CJ16" s="122">
        <v>0.71575825218117195</v>
      </c>
      <c r="CK16" s="486">
        <v>94568.335999999996</v>
      </c>
      <c r="CL16" s="486">
        <v>123360.06</v>
      </c>
      <c r="CM16" s="122">
        <v>0.76660416669706544</v>
      </c>
      <c r="CN16" s="347">
        <v>3639</v>
      </c>
      <c r="CO16" s="303">
        <v>193</v>
      </c>
      <c r="CP16" s="347">
        <v>3725</v>
      </c>
      <c r="CQ16" s="122">
        <v>0.9769127516778523</v>
      </c>
      <c r="CR16" s="347">
        <v>710</v>
      </c>
      <c r="CS16" s="387">
        <v>49</v>
      </c>
      <c r="CT16" s="347">
        <v>756</v>
      </c>
      <c r="CU16" s="122">
        <v>0.93915343915343918</v>
      </c>
      <c r="CV16" s="303">
        <v>25520</v>
      </c>
      <c r="CW16" s="347">
        <v>35676</v>
      </c>
      <c r="CX16" s="387">
        <v>7.0129156361637817</v>
      </c>
      <c r="CY16" s="387">
        <v>9.5774496644295297</v>
      </c>
      <c r="CZ16" s="347">
        <v>3587</v>
      </c>
      <c r="DA16" s="347">
        <v>2343</v>
      </c>
      <c r="DB16" s="122">
        <v>0.65319208252021188</v>
      </c>
      <c r="DC16" s="347">
        <v>3662</v>
      </c>
      <c r="DD16" s="347">
        <v>2872</v>
      </c>
      <c r="DE16" s="122">
        <v>0.78427089022392138</v>
      </c>
      <c r="DF16" s="347">
        <v>307</v>
      </c>
      <c r="DG16" s="122">
        <v>0.43239436619718308</v>
      </c>
      <c r="DH16" s="303">
        <v>370</v>
      </c>
      <c r="DI16" s="122">
        <v>0.48941798941798942</v>
      </c>
      <c r="DJ16" s="347">
        <v>1214</v>
      </c>
      <c r="DK16" s="347">
        <v>2425</v>
      </c>
      <c r="DL16" s="347">
        <v>145</v>
      </c>
      <c r="DM16" s="347">
        <v>147</v>
      </c>
      <c r="DN16" s="122">
        <v>0.98639455782312924</v>
      </c>
      <c r="DO16" s="486">
        <v>2366963.5760000004</v>
      </c>
      <c r="DP16" s="486">
        <v>820837.16</v>
      </c>
      <c r="DQ16" s="122">
        <v>1.8835970047944715</v>
      </c>
      <c r="DR16" s="486">
        <v>620623.40799999994</v>
      </c>
      <c r="DS16" s="486">
        <v>247418.99200000009</v>
      </c>
      <c r="DT16" s="122">
        <v>1.5083903340775056</v>
      </c>
      <c r="DU16" s="486">
        <v>138593.43200000003</v>
      </c>
      <c r="DV16" s="486">
        <v>71433.48000000001</v>
      </c>
      <c r="DW16" s="122">
        <v>0.9401747191932972</v>
      </c>
      <c r="DX16" s="486">
        <v>123085.976</v>
      </c>
      <c r="DY16" s="486">
        <v>34860.576000000008</v>
      </c>
      <c r="DZ16" s="122">
        <v>2.5308072936029502</v>
      </c>
      <c r="EA16" s="486">
        <v>3591499.4400000004</v>
      </c>
      <c r="EB16" s="486">
        <v>2052689.0080000004</v>
      </c>
      <c r="EC16" s="122">
        <v>0.74965590306312957</v>
      </c>
      <c r="ED16" s="486">
        <v>365525.63200000004</v>
      </c>
      <c r="EE16" s="486">
        <v>123571.24799999996</v>
      </c>
      <c r="EF16" s="122">
        <v>1.9580152172615439</v>
      </c>
      <c r="EG16" s="486">
        <v>3350810.4640000011</v>
      </c>
      <c r="EH16" s="122">
        <v>3.4773438023977254E-2</v>
      </c>
      <c r="EI16" s="122">
        <v>0.75482966717538635</v>
      </c>
      <c r="EJ16" s="303">
        <v>4349</v>
      </c>
    </row>
    <row r="17" spans="1:140">
      <c r="A17" s="490" t="s">
        <v>90</v>
      </c>
      <c r="B17" s="131" t="s">
        <v>15</v>
      </c>
      <c r="C17" s="105" t="s">
        <v>225</v>
      </c>
      <c r="D17" s="767">
        <f>VLOOKUP($B$4:$B$30,'TOTAL POR UF'!$A$5:$B$31,2,)</f>
        <v>582437.92000000004</v>
      </c>
      <c r="E17" s="768">
        <f>VLOOKUP($A$4:$A$31,'Evolução das Receitas'!$P$212:$Q$239,2,0)</f>
        <v>661650.40999999992</v>
      </c>
      <c r="F17" s="103">
        <f t="shared" si="3"/>
        <v>0.88028044900629643</v>
      </c>
      <c r="G17" s="767">
        <f>VLOOKUP($B$4:$B$30,'TOTAL POR UF'!$A$5:$C$31,3,)</f>
        <v>163335.136</v>
      </c>
      <c r="H17" s="768">
        <f>VLOOKUP($A$4:$A$31,'Evolução das Receitas'!$P$212:$R$239,3,0)</f>
        <v>309741.52</v>
      </c>
      <c r="I17" s="103">
        <f t="shared" si="4"/>
        <v>0.52732722432562473</v>
      </c>
      <c r="J17" s="767">
        <f>VLOOKUP($B$4:$B$30,'TOTAL POR UF'!$A$5:$D$31,4,)</f>
        <v>29247.08</v>
      </c>
      <c r="K17" s="768">
        <f>VLOOKUP($A$4:$A$31,'Evolução das Receitas'!$P$212:$S$239,4,)</f>
        <v>50489.86</v>
      </c>
      <c r="L17" s="103">
        <f t="shared" si="5"/>
        <v>0.5792664111170045</v>
      </c>
      <c r="M17" s="767">
        <f>VLOOKUP($B$4:$B$30,'TOTAL POR UF'!$A$5:$E$31,5,)</f>
        <v>17846.592000000001</v>
      </c>
      <c r="N17" s="768">
        <f>VLOOKUP($A$4:$A$31,'Evolução das Receitas'!$P$212:$T$239,5,0)</f>
        <v>38300.33</v>
      </c>
      <c r="O17" s="103">
        <f t="shared" si="6"/>
        <v>0.4659644446927742</v>
      </c>
      <c r="P17" s="767">
        <f>VLOOKUP($B$4:$B$30,'TOTAL POR UF'!$A$5:$X$31,23,)</f>
        <v>804249.58400000003</v>
      </c>
      <c r="Q17" s="768">
        <f>VLOOKUP($A$4:$A$31,'Evolução das Receitas'!$P$212:$U$239,6,0)</f>
        <v>928212.6</v>
      </c>
      <c r="R17" s="103">
        <f t="shared" si="7"/>
        <v>0.86644975946243352</v>
      </c>
      <c r="S17" s="767">
        <f>VLOOKUP($B$4:$B$30,'TOTAL POR UF'!$A$5:$X$31,24,0)</f>
        <v>83255.351999999984</v>
      </c>
      <c r="T17" s="768">
        <f>VLOOKUP($A$4:$A$31,'Evolução das Receitas'!$P$212:$V$239,7,0)</f>
        <v>77079.790000000008</v>
      </c>
      <c r="U17" s="103">
        <f t="shared" si="8"/>
        <v>1.0801190817982247</v>
      </c>
      <c r="V17" s="109">
        <f>VLOOKUP($A$4:$A$29,'Anuid PF'!$A$5:$G$31,7,)</f>
        <v>3301</v>
      </c>
      <c r="W17" s="109">
        <f>VLOOKUP($A$4:$A$29,'Relatórios - SICCAU e IGEO'!$A$3:$E$29,5,)</f>
        <v>179</v>
      </c>
      <c r="X17" s="109">
        <f>VLOOKUP($A$4:$A$29,'Anuid PF'!$A$5:$B$31,2,)</f>
        <v>3253</v>
      </c>
      <c r="Y17" s="103">
        <f t="shared" si="9"/>
        <v>1.0147556102059638</v>
      </c>
      <c r="Z17" s="109">
        <f>VLOOKUP($A$4:$A$29,'Anuid PJ'!$A$5:$F$31,6,)</f>
        <v>488</v>
      </c>
      <c r="AA17" s="496">
        <f>VLOOKUP($A$4:$A$29,'Relatórios - SICCAU e IGEO'!$A$3:$J$29,10,)</f>
        <v>36</v>
      </c>
      <c r="AB17" s="109">
        <f>VLOOKUP($A$4:$A$29,'Anuid PJ'!$A$5:$B$31,2,)</f>
        <v>513</v>
      </c>
      <c r="AC17" s="103">
        <f t="shared" si="13"/>
        <v>0.95126705653021437</v>
      </c>
      <c r="AD17" s="109">
        <f>VLOOKUP($A$4:$A$29,RRT!$A$4:$D$30,4,)</f>
        <v>9011</v>
      </c>
      <c r="AE17" s="109">
        <f>VLOOKUP($A$4:$A$29,RRT!$A$4:$B$30,2,)</f>
        <v>10675</v>
      </c>
      <c r="AF17" s="498">
        <f t="shared" si="10"/>
        <v>2.7297788548924569</v>
      </c>
      <c r="AG17" s="498">
        <f>Tabela3[[#This Row],[Previsto - RRT]]/Tabela3[[#This Row],[Previsto PF]]</f>
        <v>3.2815862280971411</v>
      </c>
      <c r="AH17" s="109">
        <f>VLOOKUP(Tabela3[UF],'ADIMPLÊNCIA PF'!$A$4:H43,8,)</f>
        <v>3167</v>
      </c>
      <c r="AI17" s="109">
        <f>VLOOKUP(Tabela3[[#This Row],[UF]],'ADIMPLÊNCIA PF'!$A$4:$I$30,9,)</f>
        <v>1577</v>
      </c>
      <c r="AJ17" s="103">
        <f>Tabela3[[#This Row],[PF Qnt Pag.
Exec.]]/Tabela3[[#This Row],[PF
Qnt Pot Pag.
Exec.]]</f>
        <v>0.4979475844647932</v>
      </c>
      <c r="AK17" s="507">
        <f>VLOOKUP(Tabela3[[#This Row],[UF]],'ADIMPLÊNCIA PF'!$A$4:$C$30,3,)</f>
        <v>3086</v>
      </c>
      <c r="AL17" s="507">
        <f>VLOOKUP(Tabela3[[#This Row],[UF]],'ADIMPLÊNCIA PF'!$A$4:$D$30,4,)</f>
        <v>1852</v>
      </c>
      <c r="AM17" s="103">
        <f>Tabela3[[#This Row],[PF Qnt Pag.
Previsto]]/Tabela3[[#This Row],[PF
Qnt Pot Pag.
Previsto]]</f>
        <v>0.60012961762799744</v>
      </c>
      <c r="AN17" s="507">
        <f>VLOOKUP(Tabela3[[#This Row],[UF]],'ADIMPLÊNCIA PJ'!$A$4:$F$30,6,)</f>
        <v>150</v>
      </c>
      <c r="AO17" s="103">
        <f>Tabela3[[#This Row],[PJ Pagantes
Exec.]]/Tabela3[[#This Row],[PJ Ativos]]</f>
        <v>0.30737704918032788</v>
      </c>
      <c r="AP17" s="507">
        <f>VLOOKUP(Tabela3[[#This Row],[UF]],'ADIMPLÊNCIA PJ'!$A$4:$C$30,3,)</f>
        <v>186</v>
      </c>
      <c r="AQ17" s="103">
        <f>Tabela3[[#This Row],[PJ Pagante
Previsto]]/Tabela3[[#This Row],[Previsto PJ]]</f>
        <v>0.36257309941520466</v>
      </c>
      <c r="AR17" s="109">
        <f>VLOOKUP($A$4:$A$29,'PF - Gênero'!$A$2:$B$28,2,)</f>
        <v>1165</v>
      </c>
      <c r="AS17" s="109">
        <f>VLOOKUP($A$4:$A$29,'PF - Gênero'!$A$2:$C$28,3,)</f>
        <v>2136</v>
      </c>
      <c r="AT17" s="109">
        <f>VLOOKUP($A$4:$A$29,'Relatórios - SICCAU e IGEO'!$A$3:$F$29,6,)</f>
        <v>108</v>
      </c>
      <c r="AU17" s="109">
        <v>98</v>
      </c>
      <c r="AV17" s="495">
        <f t="shared" si="11"/>
        <v>1.1020408163265305</v>
      </c>
      <c r="AW17" s="527">
        <f>'Comparativo YoY'!FN16</f>
        <v>582437.92000000004</v>
      </c>
      <c r="AX17" s="527">
        <f>'Comparativo YoY'!FU16</f>
        <v>531132.35199999996</v>
      </c>
      <c r="AY17" s="103">
        <f>Tabela3[[#This Row],[Receita
PF
2022]]/Tabela3[[#This Row],[Receita
PF
2021]]-1</f>
        <v>9.6596578624531082E-2</v>
      </c>
      <c r="AZ17" s="527">
        <f>+'Comparativo YoY'!FO16</f>
        <v>163335.136</v>
      </c>
      <c r="BA17" s="527">
        <f>+'Comparativo YoY'!FV16</f>
        <v>215302.71200000003</v>
      </c>
      <c r="BB17" s="103">
        <f>Tabela3[[#This Row],[Receita
PF - Ex Ant
2022]]/Tabela3[[#This Row],[Receita
PF - Ex Ant
2021]]-1</f>
        <v>-0.24136981609409558</v>
      </c>
      <c r="BC17" s="527">
        <f>'Comparativo YoY'!FP16</f>
        <v>29247.08</v>
      </c>
      <c r="BD17" s="527">
        <f>'Comparativo YoY'!FW16</f>
        <v>43250.536</v>
      </c>
      <c r="BE17" s="103">
        <f>Tabela3[[#This Row],[Receita
PJ
2022]]/Tabela3[[#This Row],[Receita
PJ
2021]]-1</f>
        <v>-0.32377531691167938</v>
      </c>
      <c r="BF17" s="527">
        <f>'Comparativo YoY'!FQ16</f>
        <v>17846.592000000001</v>
      </c>
      <c r="BG17" s="530">
        <f>'Comparativo YoY'!FX16</f>
        <v>15469.624</v>
      </c>
      <c r="BH17" s="103">
        <f>Tabela3[[#This Row],[Receita
PJ - Ex Ant
2022]]/Tabela3[[#This Row],[Receita
PJ - Ex Ant
2021]]-1</f>
        <v>0.15365389617743785</v>
      </c>
      <c r="BI17" s="527">
        <f>'Comparativo YoY'!FR16</f>
        <v>804249.58400000003</v>
      </c>
      <c r="BJ17" s="527">
        <f>'Comparativo YoY'!FY16</f>
        <v>661943.26399999997</v>
      </c>
      <c r="BK17" s="103">
        <f>Tabela3[[#This Row],[Receita
RRT
2022]]/Tabela3[[#This Row],[Receita
RRT
2021]]-1</f>
        <v>0.21498265446508125</v>
      </c>
      <c r="BL17" s="527">
        <f>'Comparativo YoY'!FS16</f>
        <v>83255.351999999999</v>
      </c>
      <c r="BM17" s="527">
        <f>'Comparativo YoY'!FZ16</f>
        <v>94467.848000000027</v>
      </c>
      <c r="BN17" s="103">
        <f>Tabela3[[#This Row],[Receita
Taxas
2022]]/Tabela3[[#This Row],[Receita
Taxas
2021]]-1</f>
        <v>-0.11869113394008957</v>
      </c>
      <c r="BO17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1561566.3359999999</v>
      </c>
      <c r="BP17" s="103">
        <f t="shared" si="14"/>
        <v>7.608087166141364E-2</v>
      </c>
      <c r="BQ17" s="499">
        <f t="shared" si="12"/>
        <v>0.81355236090519467</v>
      </c>
      <c r="BR17" s="517">
        <f>Tabela3[[#This Row],[PF Ativos
Exec.]]+Tabela3[[#This Row],[PJ Ativos]]</f>
        <v>3789</v>
      </c>
      <c r="BT17" s="790" t="s">
        <v>90</v>
      </c>
      <c r="BU17" s="790" t="s">
        <v>15</v>
      </c>
      <c r="BV17" s="750">
        <v>582437.92000000004</v>
      </c>
      <c r="BW17" s="486">
        <v>661650.40999999992</v>
      </c>
      <c r="BX17" s="122">
        <v>0.88028044900629643</v>
      </c>
      <c r="BY17" s="486">
        <v>163335.136</v>
      </c>
      <c r="BZ17" s="486">
        <v>309741.52</v>
      </c>
      <c r="CA17" s="122">
        <v>0.52732722432562473</v>
      </c>
      <c r="CB17" s="486">
        <v>29247.08</v>
      </c>
      <c r="CC17" s="486">
        <v>50489.86</v>
      </c>
      <c r="CD17" s="122">
        <v>0.5792664111170045</v>
      </c>
      <c r="CE17" s="486">
        <v>17846.592000000001</v>
      </c>
      <c r="CF17" s="486">
        <v>38300.33</v>
      </c>
      <c r="CG17" s="122">
        <v>0.4659644446927742</v>
      </c>
      <c r="CH17" s="486">
        <v>804249.58400000003</v>
      </c>
      <c r="CI17" s="486">
        <v>928212.6</v>
      </c>
      <c r="CJ17" s="122">
        <v>0.86644975946243352</v>
      </c>
      <c r="CK17" s="486">
        <v>83255.351999999984</v>
      </c>
      <c r="CL17" s="486">
        <v>77079.790000000008</v>
      </c>
      <c r="CM17" s="122">
        <v>1.0801190817982247</v>
      </c>
      <c r="CN17" s="347">
        <v>3301</v>
      </c>
      <c r="CO17" s="303">
        <v>179</v>
      </c>
      <c r="CP17" s="347">
        <v>3253</v>
      </c>
      <c r="CQ17" s="122">
        <v>1.0147556102059638</v>
      </c>
      <c r="CR17" s="347">
        <v>488</v>
      </c>
      <c r="CS17" s="387">
        <v>36</v>
      </c>
      <c r="CT17" s="347">
        <v>513</v>
      </c>
      <c r="CU17" s="122">
        <v>0.95126705653021437</v>
      </c>
      <c r="CV17" s="303">
        <v>9011</v>
      </c>
      <c r="CW17" s="347">
        <v>10675</v>
      </c>
      <c r="CX17" s="387">
        <v>2.7297788548924569</v>
      </c>
      <c r="CY17" s="387">
        <v>3.2815862280971411</v>
      </c>
      <c r="CZ17" s="347">
        <v>3167</v>
      </c>
      <c r="DA17" s="347">
        <v>1577</v>
      </c>
      <c r="DB17" s="122">
        <v>0.4979475844647932</v>
      </c>
      <c r="DC17" s="347">
        <v>3086</v>
      </c>
      <c r="DD17" s="347">
        <v>1852</v>
      </c>
      <c r="DE17" s="122">
        <v>0.60012961762799744</v>
      </c>
      <c r="DF17" s="347">
        <v>150</v>
      </c>
      <c r="DG17" s="122">
        <v>0.30737704918032788</v>
      </c>
      <c r="DH17" s="303">
        <v>186</v>
      </c>
      <c r="DI17" s="122">
        <v>0.36257309941520466</v>
      </c>
      <c r="DJ17" s="347">
        <v>1165</v>
      </c>
      <c r="DK17" s="347">
        <v>2136</v>
      </c>
      <c r="DL17" s="347">
        <v>108</v>
      </c>
      <c r="DM17" s="347">
        <v>98</v>
      </c>
      <c r="DN17" s="122">
        <v>1.1020408163265305</v>
      </c>
      <c r="DO17" s="486">
        <v>582437.92000000004</v>
      </c>
      <c r="DP17" s="486">
        <v>531132.35199999996</v>
      </c>
      <c r="DQ17" s="122">
        <v>9.6596578624531082E-2</v>
      </c>
      <c r="DR17" s="486">
        <v>163335.136</v>
      </c>
      <c r="DS17" s="486">
        <v>215302.71200000003</v>
      </c>
      <c r="DT17" s="122">
        <v>-0.24136981609409558</v>
      </c>
      <c r="DU17" s="486">
        <v>29247.08</v>
      </c>
      <c r="DV17" s="486">
        <v>43250.536</v>
      </c>
      <c r="DW17" s="122">
        <v>-0.32377531691167938</v>
      </c>
      <c r="DX17" s="486">
        <v>17846.592000000001</v>
      </c>
      <c r="DY17" s="486">
        <v>15469.624</v>
      </c>
      <c r="DZ17" s="122">
        <v>0.15365389617743785</v>
      </c>
      <c r="EA17" s="486">
        <v>804249.58400000003</v>
      </c>
      <c r="EB17" s="486">
        <v>661943.26399999997</v>
      </c>
      <c r="EC17" s="122">
        <v>0.21498265446508125</v>
      </c>
      <c r="ED17" s="486">
        <v>83255.351999999999</v>
      </c>
      <c r="EE17" s="486">
        <v>94467.848000000027</v>
      </c>
      <c r="EF17" s="122">
        <v>-0.11869113394008957</v>
      </c>
      <c r="EG17" s="486">
        <v>1561566.3359999999</v>
      </c>
      <c r="EH17" s="122">
        <v>7.608087166141364E-2</v>
      </c>
      <c r="EI17" s="122">
        <v>0.81355236090519467</v>
      </c>
      <c r="EJ17" s="303">
        <v>3789</v>
      </c>
    </row>
    <row r="18" spans="1:140">
      <c r="A18" s="490" t="s">
        <v>91</v>
      </c>
      <c r="B18" s="131" t="s">
        <v>14</v>
      </c>
      <c r="C18" s="105" t="s">
        <v>228</v>
      </c>
      <c r="D18" s="767">
        <f>VLOOKUP($B$4:$B$30,'TOTAL POR UF'!$A$5:$B$31,2,)</f>
        <v>707095.62400000007</v>
      </c>
      <c r="E18" s="768">
        <f>VLOOKUP($A$4:$A$31,'Evolução das Receitas'!$P$212:$Q$239,2,0)</f>
        <v>789002.26</v>
      </c>
      <c r="F18" s="103">
        <f t="shared" si="3"/>
        <v>0.89618960533775915</v>
      </c>
      <c r="G18" s="767">
        <f>VLOOKUP($B$4:$B$30,'TOTAL POR UF'!$A$5:$C$31,3,)</f>
        <v>233932.296</v>
      </c>
      <c r="H18" s="768">
        <f>VLOOKUP($A$4:$A$31,'Evolução das Receitas'!$P$212:$R$239,3,0)</f>
        <v>273180.46000000002</v>
      </c>
      <c r="I18" s="103">
        <f t="shared" si="4"/>
        <v>0.856328801847687</v>
      </c>
      <c r="J18" s="767">
        <f>VLOOKUP($B$4:$B$30,'TOTAL POR UF'!$A$5:$D$31,4,)</f>
        <v>22603.536</v>
      </c>
      <c r="K18" s="768">
        <f>VLOOKUP($A$4:$A$31,'Evolução das Receitas'!$P$212:$S$239,4,)</f>
        <v>62991.5</v>
      </c>
      <c r="L18" s="103">
        <f t="shared" si="5"/>
        <v>0.35883469991983047</v>
      </c>
      <c r="M18" s="767">
        <f>VLOOKUP($B$4:$B$30,'TOTAL POR UF'!$A$5:$E$31,5,)</f>
        <v>33818.496000000006</v>
      </c>
      <c r="N18" s="768">
        <f>VLOOKUP($A$4:$A$31,'Evolução das Receitas'!$P$212:$T$239,5,0)</f>
        <v>28773.33</v>
      </c>
      <c r="O18" s="103">
        <f t="shared" si="6"/>
        <v>1.1753417487652631</v>
      </c>
      <c r="P18" s="767">
        <f>VLOOKUP($B$4:$B$30,'TOTAL POR UF'!$A$5:$X$31,23,)</f>
        <v>798679.56000000017</v>
      </c>
      <c r="Q18" s="768">
        <f>VLOOKUP($A$4:$A$31,'Evolução das Receitas'!$P$212:$U$239,6,0)</f>
        <v>878041.3</v>
      </c>
      <c r="R18" s="103">
        <f t="shared" si="7"/>
        <v>0.90961502608134737</v>
      </c>
      <c r="S18" s="767">
        <f>VLOOKUP($B$4:$B$30,'TOTAL POR UF'!$A$5:$X$31,24,0)</f>
        <v>120147.51200000002</v>
      </c>
      <c r="T18" s="768">
        <f>VLOOKUP($A$4:$A$31,'Evolução das Receitas'!$P$212:$V$239,7,0)</f>
        <v>95283.22</v>
      </c>
      <c r="U18" s="103">
        <f t="shared" si="8"/>
        <v>1.2609514246055078</v>
      </c>
      <c r="V18" s="109">
        <f>VLOOKUP($A$4:$A$29,'Anuid PF'!$A$5:$G$31,7,)</f>
        <v>3193</v>
      </c>
      <c r="W18" s="109">
        <f>VLOOKUP($A$4:$A$29,'Relatórios - SICCAU e IGEO'!$A$3:$E$29,5,)</f>
        <v>187</v>
      </c>
      <c r="X18" s="109">
        <f>VLOOKUP($A$4:$A$29,'Anuid PF'!$A$5:$B$31,2,)</f>
        <v>3237</v>
      </c>
      <c r="Y18" s="103">
        <f t="shared" si="9"/>
        <v>0.98640716713005872</v>
      </c>
      <c r="Z18" s="109">
        <f>VLOOKUP($A$4:$A$29,'Anuid PJ'!$A$5:$F$31,6,)</f>
        <v>515</v>
      </c>
      <c r="AA18" s="496">
        <f>VLOOKUP($A$4:$A$29,'Relatórios - SICCAU e IGEO'!$A$3:$J$29,10,)</f>
        <v>6</v>
      </c>
      <c r="AB18" s="109">
        <f>VLOOKUP($A$4:$A$29,'Anuid PJ'!$A$5:$B$31,2,)</f>
        <v>562</v>
      </c>
      <c r="AC18" s="103">
        <f t="shared" si="13"/>
        <v>0.91637010676156583</v>
      </c>
      <c r="AD18" s="109">
        <f>VLOOKUP($A$4:$A$29,RRT!$A$4:$D$30,4,)</f>
        <v>9065</v>
      </c>
      <c r="AE18" s="109">
        <f>VLOOKUP($A$4:$A$29,RRT!$A$4:$B$30,2,)</f>
        <v>10098</v>
      </c>
      <c r="AF18" s="498">
        <f t="shared" si="10"/>
        <v>2.8390228625117446</v>
      </c>
      <c r="AG18" s="498">
        <f>Tabela3[[#This Row],[Previsto - RRT]]/Tabela3[[#This Row],[Previsto PF]]</f>
        <v>3.119555143651529</v>
      </c>
      <c r="AH18" s="109">
        <f>VLOOKUP(Tabela3[UF],'ADIMPLÊNCIA PF'!$A$4:H44,8,)</f>
        <v>3136</v>
      </c>
      <c r="AI18" s="109">
        <f>VLOOKUP(Tabela3[[#This Row],[UF]],'ADIMPLÊNCIA PF'!$A$4:$I$30,9,)</f>
        <v>2009</v>
      </c>
      <c r="AJ18" s="103">
        <f>Tabela3[[#This Row],[PF Qnt Pag.
Exec.]]/Tabela3[[#This Row],[PF
Qnt Pot Pag.
Exec.]]</f>
        <v>0.640625</v>
      </c>
      <c r="AK18" s="507">
        <f>VLOOKUP(Tabela3[[#This Row],[UF]],'ADIMPLÊNCIA PF'!$A$4:$C$30,3,)</f>
        <v>3171</v>
      </c>
      <c r="AL18" s="507">
        <f>VLOOKUP(Tabela3[[#This Row],[UF]],'ADIMPLÊNCIA PF'!$A$4:$D$30,4,)</f>
        <v>2231</v>
      </c>
      <c r="AM18" s="103">
        <f>Tabela3[[#This Row],[PF Qnt Pag.
Previsto]]/Tabela3[[#This Row],[PF
Qnt Pot Pag.
Previsto]]</f>
        <v>0.7035635446231473</v>
      </c>
      <c r="AN18" s="507">
        <f>VLOOKUP(Tabela3[[#This Row],[UF]],'ADIMPLÊNCIA PJ'!$A$4:$F$30,6,)</f>
        <v>116</v>
      </c>
      <c r="AO18" s="103">
        <f>Tabela3[[#This Row],[PJ Pagantes
Exec.]]/Tabela3[[#This Row],[PJ Ativos]]</f>
        <v>0.22524271844660193</v>
      </c>
      <c r="AP18" s="507">
        <f>VLOOKUP(Tabela3[[#This Row],[UF]],'ADIMPLÊNCIA PJ'!$A$4:$C$30,3,)</f>
        <v>210</v>
      </c>
      <c r="AQ18" s="103">
        <f>Tabela3[[#This Row],[PJ Pagante
Previsto]]/Tabela3[[#This Row],[Previsto PJ]]</f>
        <v>0.37366548042704628</v>
      </c>
      <c r="AR18" s="109">
        <f>VLOOKUP($A$4:$A$29,'PF - Gênero'!$A$2:$B$28,2,)</f>
        <v>1125</v>
      </c>
      <c r="AS18" s="109">
        <f>VLOOKUP($A$4:$A$29,'PF - Gênero'!$A$2:$C$28,3,)</f>
        <v>2068</v>
      </c>
      <c r="AT18" s="109">
        <f>VLOOKUP($A$4:$A$29,'Relatórios - SICCAU e IGEO'!$A$3:$F$29,6,)</f>
        <v>152</v>
      </c>
      <c r="AU18" s="109">
        <v>246</v>
      </c>
      <c r="AV18" s="495">
        <f t="shared" si="11"/>
        <v>0.61788617886178865</v>
      </c>
      <c r="AW18" s="527">
        <f>'Comparativo YoY'!FN17</f>
        <v>707095.62400000007</v>
      </c>
      <c r="AX18" s="527">
        <f>'Comparativo YoY'!FU17</f>
        <v>590110.14400000009</v>
      </c>
      <c r="AY18" s="103">
        <f>Tabela3[[#This Row],[Receita
PF
2022]]/Tabela3[[#This Row],[Receita
PF
2021]]-1</f>
        <v>0.1982434655453067</v>
      </c>
      <c r="AZ18" s="527">
        <f>+'Comparativo YoY'!FO17</f>
        <v>233932.296</v>
      </c>
      <c r="BA18" s="527">
        <f>+'Comparativo YoY'!FV17</f>
        <v>213254.89599999998</v>
      </c>
      <c r="BB18" s="103">
        <f>Tabela3[[#This Row],[Receita
PF - Ex Ant
2022]]/Tabela3[[#This Row],[Receita
PF - Ex Ant
2021]]-1</f>
        <v>9.6960962621932101E-2</v>
      </c>
      <c r="BC18" s="527">
        <f>'Comparativo YoY'!FP17</f>
        <v>22603.536</v>
      </c>
      <c r="BD18" s="527">
        <f>'Comparativo YoY'!FW17</f>
        <v>30946.392000000003</v>
      </c>
      <c r="BE18" s="103">
        <f>Tabela3[[#This Row],[Receita
PJ
2022]]/Tabela3[[#This Row],[Receita
PJ
2021]]-1</f>
        <v>-0.26959058749078091</v>
      </c>
      <c r="BF18" s="527">
        <f>'Comparativo YoY'!FQ17</f>
        <v>33818.496000000006</v>
      </c>
      <c r="BG18" s="530">
        <f>'Comparativo YoY'!FX17</f>
        <v>20845.535999999996</v>
      </c>
      <c r="BH18" s="103">
        <f>Tabela3[[#This Row],[Receita
PJ - Ex Ant
2022]]/Tabela3[[#This Row],[Receita
PJ - Ex Ant
2021]]-1</f>
        <v>0.62233755946596969</v>
      </c>
      <c r="BI18" s="527">
        <f>'Comparativo YoY'!FR17</f>
        <v>798679.56</v>
      </c>
      <c r="BJ18" s="527">
        <f>'Comparativo YoY'!FY17</f>
        <v>748656.54400000011</v>
      </c>
      <c r="BK18" s="103">
        <f>Tabela3[[#This Row],[Receita
RRT
2022]]/Tabela3[[#This Row],[Receita
RRT
2021]]-1</f>
        <v>6.6817042341915212E-2</v>
      </c>
      <c r="BL18" s="527">
        <f>'Comparativo YoY'!FS17</f>
        <v>120147.512</v>
      </c>
      <c r="BM18" s="527">
        <f>'Comparativo YoY'!FZ17</f>
        <v>85008.664000000004</v>
      </c>
      <c r="BN18" s="103">
        <f>Tabela3[[#This Row],[Receita
Taxas
2022]]/Tabela3[[#This Row],[Receita
Taxas
2021]]-1</f>
        <v>0.41335607862276236</v>
      </c>
      <c r="BO18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1688822.1760000002</v>
      </c>
      <c r="BP18" s="103">
        <f t="shared" si="14"/>
        <v>0.13468253273339292</v>
      </c>
      <c r="BQ18" s="499">
        <f t="shared" si="12"/>
        <v>0.90081426396953534</v>
      </c>
      <c r="BR18" s="517">
        <f>Tabela3[[#This Row],[PF Ativos
Exec.]]+Tabela3[[#This Row],[PJ Ativos]]</f>
        <v>3708</v>
      </c>
      <c r="BT18" s="790" t="s">
        <v>91</v>
      </c>
      <c r="BU18" s="790" t="s">
        <v>14</v>
      </c>
      <c r="BV18" s="750">
        <v>707095.62400000007</v>
      </c>
      <c r="BW18" s="486">
        <v>789002.26</v>
      </c>
      <c r="BX18" s="122">
        <v>0.89618960533775915</v>
      </c>
      <c r="BY18" s="486">
        <v>233932.296</v>
      </c>
      <c r="BZ18" s="486">
        <v>273180.46000000002</v>
      </c>
      <c r="CA18" s="122">
        <v>0.856328801847687</v>
      </c>
      <c r="CB18" s="486">
        <v>22603.536</v>
      </c>
      <c r="CC18" s="486">
        <v>62991.5</v>
      </c>
      <c r="CD18" s="122">
        <v>0.35883469991983047</v>
      </c>
      <c r="CE18" s="486">
        <v>33818.496000000006</v>
      </c>
      <c r="CF18" s="486">
        <v>28773.33</v>
      </c>
      <c r="CG18" s="122">
        <v>1.1753417487652631</v>
      </c>
      <c r="CH18" s="486">
        <v>798679.56000000017</v>
      </c>
      <c r="CI18" s="486">
        <v>878041.3</v>
      </c>
      <c r="CJ18" s="122">
        <v>0.90961502608134737</v>
      </c>
      <c r="CK18" s="486">
        <v>120147.51200000002</v>
      </c>
      <c r="CL18" s="486">
        <v>95283.22</v>
      </c>
      <c r="CM18" s="122">
        <v>1.2609514246055078</v>
      </c>
      <c r="CN18" s="347">
        <v>3193</v>
      </c>
      <c r="CO18" s="303">
        <v>187</v>
      </c>
      <c r="CP18" s="347">
        <v>3237</v>
      </c>
      <c r="CQ18" s="122">
        <v>0.98640716713005872</v>
      </c>
      <c r="CR18" s="347">
        <v>515</v>
      </c>
      <c r="CS18" s="387">
        <v>6</v>
      </c>
      <c r="CT18" s="347">
        <v>562</v>
      </c>
      <c r="CU18" s="122">
        <v>0.91637010676156583</v>
      </c>
      <c r="CV18" s="303">
        <v>9065</v>
      </c>
      <c r="CW18" s="347">
        <v>10098</v>
      </c>
      <c r="CX18" s="387">
        <v>2.8390228625117446</v>
      </c>
      <c r="CY18" s="387">
        <v>3.119555143651529</v>
      </c>
      <c r="CZ18" s="347">
        <v>3136</v>
      </c>
      <c r="DA18" s="347">
        <v>2009</v>
      </c>
      <c r="DB18" s="122">
        <v>0.640625</v>
      </c>
      <c r="DC18" s="347">
        <v>3171</v>
      </c>
      <c r="DD18" s="347">
        <v>2231</v>
      </c>
      <c r="DE18" s="122">
        <v>0.7035635446231473</v>
      </c>
      <c r="DF18" s="347">
        <v>116</v>
      </c>
      <c r="DG18" s="122">
        <v>0.22524271844660193</v>
      </c>
      <c r="DH18" s="303">
        <v>210</v>
      </c>
      <c r="DI18" s="122">
        <v>0.37366548042704628</v>
      </c>
      <c r="DJ18" s="347">
        <v>1125</v>
      </c>
      <c r="DK18" s="347">
        <v>2068</v>
      </c>
      <c r="DL18" s="347">
        <v>152</v>
      </c>
      <c r="DM18" s="347">
        <v>246</v>
      </c>
      <c r="DN18" s="122">
        <v>0.61788617886178865</v>
      </c>
      <c r="DO18" s="486">
        <v>707095.62400000007</v>
      </c>
      <c r="DP18" s="486">
        <v>590110.14400000009</v>
      </c>
      <c r="DQ18" s="122">
        <v>0.1982434655453067</v>
      </c>
      <c r="DR18" s="486">
        <v>233932.296</v>
      </c>
      <c r="DS18" s="486">
        <v>213254.89599999998</v>
      </c>
      <c r="DT18" s="122">
        <v>9.6960962621932101E-2</v>
      </c>
      <c r="DU18" s="486">
        <v>22603.536</v>
      </c>
      <c r="DV18" s="486">
        <v>30946.392000000003</v>
      </c>
      <c r="DW18" s="122">
        <v>-0.26959058749078091</v>
      </c>
      <c r="DX18" s="486">
        <v>33818.496000000006</v>
      </c>
      <c r="DY18" s="486">
        <v>20845.535999999996</v>
      </c>
      <c r="DZ18" s="122">
        <v>0.62233755946596969</v>
      </c>
      <c r="EA18" s="486">
        <v>798679.56</v>
      </c>
      <c r="EB18" s="486">
        <v>748656.54400000011</v>
      </c>
      <c r="EC18" s="122">
        <v>6.6817042341915212E-2</v>
      </c>
      <c r="ED18" s="486">
        <v>120147.512</v>
      </c>
      <c r="EE18" s="486">
        <v>85008.664000000004</v>
      </c>
      <c r="EF18" s="122">
        <v>0.41335607862276236</v>
      </c>
      <c r="EG18" s="486">
        <v>1688822.1760000002</v>
      </c>
      <c r="EH18" s="122">
        <v>0.13468253273339292</v>
      </c>
      <c r="EI18" s="122">
        <v>0.90081426396953534</v>
      </c>
      <c r="EJ18" s="303">
        <v>3708</v>
      </c>
    </row>
    <row r="19" spans="1:140">
      <c r="A19" s="490" t="s">
        <v>93</v>
      </c>
      <c r="B19" s="131" t="s">
        <v>16</v>
      </c>
      <c r="C19" s="105" t="s">
        <v>228</v>
      </c>
      <c r="D19" s="767">
        <f>VLOOKUP($B$4:$B$30,'TOTAL POR UF'!$A$5:$B$31,2,)</f>
        <v>1271106.7520000001</v>
      </c>
      <c r="E19" s="768">
        <f>VLOOKUP($A$4:$A$31,'Evolução das Receitas'!$P$212:$Q$239,2,0)</f>
        <v>1472090.38</v>
      </c>
      <c r="F19" s="103">
        <f t="shared" si="3"/>
        <v>0.86347059207057664</v>
      </c>
      <c r="G19" s="767">
        <f>VLOOKUP($B$4:$B$30,'TOTAL POR UF'!$A$5:$C$31,3,)</f>
        <v>328802.17599999992</v>
      </c>
      <c r="H19" s="768">
        <f>VLOOKUP($A$4:$A$31,'Evolução das Receitas'!$P$212:$R$239,3,0)</f>
        <v>464660.17</v>
      </c>
      <c r="I19" s="103">
        <f t="shared" si="4"/>
        <v>0.70761859360573109</v>
      </c>
      <c r="J19" s="767">
        <f>VLOOKUP($B$4:$B$30,'TOTAL POR UF'!$A$5:$D$31,4,)</f>
        <v>54373.600000000006</v>
      </c>
      <c r="K19" s="768">
        <f>VLOOKUP($A$4:$A$31,'Evolução das Receitas'!$P$212:$S$239,4,)</f>
        <v>108536.37999999999</v>
      </c>
      <c r="L19" s="103">
        <f t="shared" si="5"/>
        <v>0.50097119509605914</v>
      </c>
      <c r="M19" s="767">
        <f>VLOOKUP($B$4:$B$30,'TOTAL POR UF'!$A$5:$E$31,5,)</f>
        <v>40606.392</v>
      </c>
      <c r="N19" s="768">
        <f>VLOOKUP($A$4:$A$31,'Evolução das Receitas'!$P$212:$T$239,5,0)</f>
        <v>48179.87</v>
      </c>
      <c r="O19" s="103">
        <f t="shared" si="6"/>
        <v>0.84280825166194917</v>
      </c>
      <c r="P19" s="767">
        <f>VLOOKUP($B$4:$B$30,'TOTAL POR UF'!$A$5:$X$31,23,)</f>
        <v>1375324.6320000002</v>
      </c>
      <c r="Q19" s="768">
        <f>VLOOKUP($A$4:$A$31,'Evolução das Receitas'!$P$212:$U$239,6,0)</f>
        <v>1890684.29</v>
      </c>
      <c r="R19" s="103">
        <f t="shared" si="7"/>
        <v>0.7274216215124949</v>
      </c>
      <c r="S19" s="767">
        <f>VLOOKUP($B$4:$B$30,'TOTAL POR UF'!$A$5:$X$31,24,0)</f>
        <v>171585.37599999999</v>
      </c>
      <c r="T19" s="768">
        <f>VLOOKUP($A$4:$A$31,'Evolução das Receitas'!$P$212:$V$239,7,0)</f>
        <v>189430.22</v>
      </c>
      <c r="U19" s="103">
        <f t="shared" si="8"/>
        <v>0.90579726930581606</v>
      </c>
      <c r="V19" s="109">
        <f>VLOOKUP($A$4:$A$29,'Anuid PF'!$A$5:$G$31,7,)</f>
        <v>5633</v>
      </c>
      <c r="W19" s="109">
        <f>VLOOKUP($A$4:$A$29,'Relatórios - SICCAU e IGEO'!$A$3:$E$29,5,)</f>
        <v>308</v>
      </c>
      <c r="X19" s="109">
        <f>VLOOKUP($A$4:$A$29,'Anuid PF'!$A$5:$B$31,2,)</f>
        <v>5629</v>
      </c>
      <c r="Y19" s="103">
        <f t="shared" si="9"/>
        <v>1.0007106057914372</v>
      </c>
      <c r="Z19" s="109">
        <f>VLOOKUP($A$4:$A$29,'Anuid PJ'!$A$5:$F$31,6,)</f>
        <v>591</v>
      </c>
      <c r="AA19" s="496">
        <f>VLOOKUP($A$4:$A$29,'Relatórios - SICCAU e IGEO'!$A$3:$J$29,10,)</f>
        <v>37</v>
      </c>
      <c r="AB19" s="109">
        <f>VLOOKUP($A$4:$A$29,'Anuid PJ'!$A$5:$B$31,2,)</f>
        <v>625</v>
      </c>
      <c r="AC19" s="103">
        <f t="shared" si="13"/>
        <v>0.9456</v>
      </c>
      <c r="AD19" s="109">
        <f>VLOOKUP($A$4:$A$29,RRT!$A$4:$D$30,4,)</f>
        <v>15581</v>
      </c>
      <c r="AE19" s="109">
        <f>VLOOKUP($A$4:$A$29,RRT!$A$4:$B$30,2,)</f>
        <v>21744</v>
      </c>
      <c r="AF19" s="498">
        <f t="shared" si="10"/>
        <v>2.7660216580862773</v>
      </c>
      <c r="AG19" s="498">
        <f>Tabela3[[#This Row],[Previsto - RRT]]/Tabela3[[#This Row],[Previsto PF]]</f>
        <v>3.8628530822526201</v>
      </c>
      <c r="AH19" s="109">
        <f>VLOOKUP(Tabela3[UF],'ADIMPLÊNCIA PF'!$A$4:H45,8,)</f>
        <v>5271</v>
      </c>
      <c r="AI19" s="109">
        <f>VLOOKUP(Tabela3[[#This Row],[UF]],'ADIMPLÊNCIA PF'!$A$4:$I$30,9,)</f>
        <v>3429</v>
      </c>
      <c r="AJ19" s="103">
        <f>Tabela3[[#This Row],[PF Qnt Pag.
Exec.]]/Tabela3[[#This Row],[PF
Qnt Pot Pag.
Exec.]]</f>
        <v>0.65054069436539552</v>
      </c>
      <c r="AK19" s="507">
        <f>VLOOKUP(Tabela3[[#This Row],[UF]],'ADIMPLÊNCIA PF'!$A$4:$C$30,3,)</f>
        <v>5181</v>
      </c>
      <c r="AL19" s="507">
        <f>VLOOKUP(Tabela3[[#This Row],[UF]],'ADIMPLÊNCIA PF'!$A$4:$D$30,4,)</f>
        <v>4057</v>
      </c>
      <c r="AM19" s="103">
        <f>Tabela3[[#This Row],[PF Qnt Pag.
Previsto]]/Tabela3[[#This Row],[PF
Qnt Pot Pag.
Previsto]]</f>
        <v>0.78305346458212699</v>
      </c>
      <c r="AN19" s="507">
        <f>VLOOKUP(Tabela3[[#This Row],[UF]],'ADIMPLÊNCIA PJ'!$A$4:$F$30,6,)</f>
        <v>294</v>
      </c>
      <c r="AO19" s="103">
        <f>Tabela3[[#This Row],[PJ Pagantes
Exec.]]/Tabela3[[#This Row],[PJ Ativos]]</f>
        <v>0.49746192893401014</v>
      </c>
      <c r="AP19" s="507">
        <f>VLOOKUP(Tabela3[[#This Row],[UF]],'ADIMPLÊNCIA PJ'!$A$4:$C$30,3,)</f>
        <v>404</v>
      </c>
      <c r="AQ19" s="103">
        <f>Tabela3[[#This Row],[PJ Pagante
Previsto]]/Tabela3[[#This Row],[Previsto PJ]]</f>
        <v>0.64639999999999997</v>
      </c>
      <c r="AR19" s="109">
        <f>VLOOKUP($A$4:$A$29,'PF - Gênero'!$A$2:$B$28,2,)</f>
        <v>1774</v>
      </c>
      <c r="AS19" s="109">
        <f>VLOOKUP($A$4:$A$29,'PF - Gênero'!$A$2:$C$28,3,)</f>
        <v>3859</v>
      </c>
      <c r="AT19" s="109">
        <f>VLOOKUP($A$4:$A$29,'Relatórios - SICCAU e IGEO'!$A$3:$F$29,6,)</f>
        <v>207</v>
      </c>
      <c r="AU19" s="109">
        <v>252</v>
      </c>
      <c r="AV19" s="495">
        <f t="shared" si="11"/>
        <v>0.8214285714285714</v>
      </c>
      <c r="AW19" s="527">
        <f>'Comparativo YoY'!FN18</f>
        <v>2110981.4960000003</v>
      </c>
      <c r="AX19" s="527">
        <f>'Comparativo YoY'!FU18</f>
        <v>1155017.5120000001</v>
      </c>
      <c r="AY19" s="103">
        <f>Tabela3[[#This Row],[Receita
PF
2022]]/Tabela3[[#This Row],[Receita
PF
2021]]-1</f>
        <v>0.82766189609080154</v>
      </c>
      <c r="AZ19" s="527">
        <f>+'Comparativo YoY'!FO18</f>
        <v>472804.44800000003</v>
      </c>
      <c r="BA19" s="527">
        <f>+'Comparativo YoY'!FV18</f>
        <v>373179.09600000002</v>
      </c>
      <c r="BB19" s="103">
        <f>Tabela3[[#This Row],[Receita
PF - Ex Ant
2022]]/Tabela3[[#This Row],[Receita
PF - Ex Ant
2021]]-1</f>
        <v>0.26696391375576956</v>
      </c>
      <c r="BC19" s="527">
        <f>'Comparativo YoY'!FP18</f>
        <v>222658.448</v>
      </c>
      <c r="BD19" s="527">
        <f>'Comparativo YoY'!FW18</f>
        <v>70202.752000000008</v>
      </c>
      <c r="BE19" s="103">
        <f>Tabela3[[#This Row],[Receita
PJ
2022]]/Tabela3[[#This Row],[Receita
PJ
2021]]-1</f>
        <v>2.1716484276855694</v>
      </c>
      <c r="BF19" s="527">
        <f>'Comparativo YoY'!FQ18</f>
        <v>120593.36799999999</v>
      </c>
      <c r="BG19" s="530">
        <f>'Comparativo YoY'!FX18</f>
        <v>45377.648000000001</v>
      </c>
      <c r="BH19" s="103">
        <f>Tabela3[[#This Row],[Receita
PJ - Ex Ant
2022]]/Tabela3[[#This Row],[Receita
PJ - Ex Ant
2021]]-1</f>
        <v>1.6575499902507063</v>
      </c>
      <c r="BI19" s="527">
        <f>'Comparativo YoY'!FR18</f>
        <v>3852587.1119999997</v>
      </c>
      <c r="BJ19" s="527">
        <f>'Comparativo YoY'!FY18</f>
        <v>1168936.4720000001</v>
      </c>
      <c r="BK19" s="103">
        <f>Tabela3[[#This Row],[Receita
RRT
2022]]/Tabela3[[#This Row],[Receita
RRT
2021]]-1</f>
        <v>2.2958053788914539</v>
      </c>
      <c r="BL19" s="527">
        <f>'Comparativo YoY'!FS18</f>
        <v>321059.03200000001</v>
      </c>
      <c r="BM19" s="527">
        <f>'Comparativo YoY'!FZ18</f>
        <v>145995.97600000005</v>
      </c>
      <c r="BN19" s="103">
        <f>Tabela3[[#This Row],[Receita
Taxas
2022]]/Tabela3[[#This Row],[Receita
Taxas
2021]]-1</f>
        <v>1.199095076428681</v>
      </c>
      <c r="BO19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2958709.4560000007</v>
      </c>
      <c r="BP19" s="103">
        <f t="shared" si="14"/>
        <v>9.5680051120234033E-2</v>
      </c>
      <c r="BQ19" s="499">
        <f t="shared" si="12"/>
        <v>0.77674272697948232</v>
      </c>
      <c r="BR19" s="517">
        <f>Tabela3[[#This Row],[PF Ativos
Exec.]]+Tabela3[[#This Row],[PJ Ativos]]</f>
        <v>6224</v>
      </c>
      <c r="BT19" s="790" t="s">
        <v>93</v>
      </c>
      <c r="BU19" s="790" t="s">
        <v>16</v>
      </c>
      <c r="BV19" s="750">
        <v>1271106.7520000001</v>
      </c>
      <c r="BW19" s="486">
        <v>1472090.38</v>
      </c>
      <c r="BX19" s="122">
        <v>0.86347059207057664</v>
      </c>
      <c r="BY19" s="486">
        <v>328802.17599999992</v>
      </c>
      <c r="BZ19" s="486">
        <v>464660.17</v>
      </c>
      <c r="CA19" s="122">
        <v>0.70761859360573109</v>
      </c>
      <c r="CB19" s="486">
        <v>54373.600000000006</v>
      </c>
      <c r="CC19" s="486">
        <v>108536.37999999999</v>
      </c>
      <c r="CD19" s="122">
        <v>0.50097119509605914</v>
      </c>
      <c r="CE19" s="486">
        <v>40606.392</v>
      </c>
      <c r="CF19" s="486">
        <v>48179.87</v>
      </c>
      <c r="CG19" s="122">
        <v>0.84280825166194917</v>
      </c>
      <c r="CH19" s="486">
        <v>1375324.6320000002</v>
      </c>
      <c r="CI19" s="486">
        <v>1890684.29</v>
      </c>
      <c r="CJ19" s="122">
        <v>0.7274216215124949</v>
      </c>
      <c r="CK19" s="486">
        <v>171585.37599999999</v>
      </c>
      <c r="CL19" s="486">
        <v>189430.22</v>
      </c>
      <c r="CM19" s="122">
        <v>0.90579726930581606</v>
      </c>
      <c r="CN19" s="347">
        <v>5633</v>
      </c>
      <c r="CO19" s="303">
        <v>308</v>
      </c>
      <c r="CP19" s="347">
        <v>5629</v>
      </c>
      <c r="CQ19" s="122">
        <v>1.0007106057914372</v>
      </c>
      <c r="CR19" s="347">
        <v>591</v>
      </c>
      <c r="CS19" s="387">
        <v>37</v>
      </c>
      <c r="CT19" s="347">
        <v>625</v>
      </c>
      <c r="CU19" s="122">
        <v>0.9456</v>
      </c>
      <c r="CV19" s="303">
        <v>15581</v>
      </c>
      <c r="CW19" s="347">
        <v>21744</v>
      </c>
      <c r="CX19" s="387">
        <v>2.7660216580862773</v>
      </c>
      <c r="CY19" s="387">
        <v>3.8628530822526201</v>
      </c>
      <c r="CZ19" s="347">
        <v>5271</v>
      </c>
      <c r="DA19" s="347">
        <v>3429</v>
      </c>
      <c r="DB19" s="122">
        <v>0.65054069436539552</v>
      </c>
      <c r="DC19" s="347">
        <v>5181</v>
      </c>
      <c r="DD19" s="347">
        <v>4057</v>
      </c>
      <c r="DE19" s="122">
        <v>0.78305346458212699</v>
      </c>
      <c r="DF19" s="347">
        <v>294</v>
      </c>
      <c r="DG19" s="122">
        <v>0.49746192893401014</v>
      </c>
      <c r="DH19" s="303">
        <v>404</v>
      </c>
      <c r="DI19" s="122">
        <v>0.64639999999999997</v>
      </c>
      <c r="DJ19" s="347">
        <v>1774</v>
      </c>
      <c r="DK19" s="347">
        <v>3859</v>
      </c>
      <c r="DL19" s="347">
        <v>207</v>
      </c>
      <c r="DM19" s="347">
        <v>252</v>
      </c>
      <c r="DN19" s="122">
        <v>0.8214285714285714</v>
      </c>
      <c r="DO19" s="486">
        <v>2110981.4960000003</v>
      </c>
      <c r="DP19" s="486">
        <v>1155017.5120000001</v>
      </c>
      <c r="DQ19" s="122">
        <v>0.82766189609080154</v>
      </c>
      <c r="DR19" s="486">
        <v>472804.44800000003</v>
      </c>
      <c r="DS19" s="486">
        <v>373179.09600000002</v>
      </c>
      <c r="DT19" s="122">
        <v>0.26696391375576956</v>
      </c>
      <c r="DU19" s="486">
        <v>222658.448</v>
      </c>
      <c r="DV19" s="486">
        <v>70202.752000000008</v>
      </c>
      <c r="DW19" s="122">
        <v>2.1716484276855694</v>
      </c>
      <c r="DX19" s="486">
        <v>120593.36799999999</v>
      </c>
      <c r="DY19" s="486">
        <v>45377.648000000001</v>
      </c>
      <c r="DZ19" s="122">
        <v>1.6575499902507063</v>
      </c>
      <c r="EA19" s="486">
        <v>3852587.1119999997</v>
      </c>
      <c r="EB19" s="486">
        <v>1168936.4720000001</v>
      </c>
      <c r="EC19" s="122">
        <v>2.2958053788914539</v>
      </c>
      <c r="ED19" s="486">
        <v>321059.03200000001</v>
      </c>
      <c r="EE19" s="486">
        <v>145995.97600000005</v>
      </c>
      <c r="EF19" s="122">
        <v>1.199095076428681</v>
      </c>
      <c r="EG19" s="486">
        <v>2958709.4560000007</v>
      </c>
      <c r="EH19" s="122">
        <v>9.5680051120234033E-2</v>
      </c>
      <c r="EI19" s="122">
        <v>0.77674272697948232</v>
      </c>
      <c r="EJ19" s="303">
        <v>6224</v>
      </c>
    </row>
    <row r="20" spans="1:140">
      <c r="A20" s="490" t="s">
        <v>94</v>
      </c>
      <c r="B20" s="131" t="s">
        <v>17</v>
      </c>
      <c r="C20" s="105" t="s">
        <v>228</v>
      </c>
      <c r="D20" s="767">
        <f>VLOOKUP($B$4:$B$30,'TOTAL POR UF'!$A$5:$B$31,2,)</f>
        <v>352559.63200000004</v>
      </c>
      <c r="E20" s="768">
        <f>VLOOKUP($A$4:$A$31,'Evolução das Receitas'!$P$212:$Q$239,2,0)</f>
        <v>441365.22</v>
      </c>
      <c r="F20" s="103">
        <f t="shared" si="3"/>
        <v>0.79879341648170665</v>
      </c>
      <c r="G20" s="767">
        <f>VLOOKUP($B$4:$B$30,'TOTAL POR UF'!$A$5:$C$31,3,)</f>
        <v>50630.864000000001</v>
      </c>
      <c r="H20" s="768">
        <f>VLOOKUP($A$4:$A$31,'Evolução das Receitas'!$P$212:$R$239,3,0)</f>
        <v>200000</v>
      </c>
      <c r="I20" s="103">
        <f t="shared" si="4"/>
        <v>0.25315431999999999</v>
      </c>
      <c r="J20" s="767">
        <f>VLOOKUP($B$4:$B$30,'TOTAL POR UF'!$A$5:$D$31,4,)</f>
        <v>22578.975999999999</v>
      </c>
      <c r="K20" s="768">
        <f>VLOOKUP($A$4:$A$31,'Evolução das Receitas'!$P$212:$S$239,4,)</f>
        <v>58238.9</v>
      </c>
      <c r="L20" s="103">
        <f t="shared" si="5"/>
        <v>0.38769578408932859</v>
      </c>
      <c r="M20" s="767">
        <f>VLOOKUP($B$4:$B$30,'TOTAL POR UF'!$A$5:$E$31,5,)</f>
        <v>12928.519999999999</v>
      </c>
      <c r="N20" s="768">
        <f>VLOOKUP($A$4:$A$31,'Evolução das Receitas'!$P$212:$T$239,5,0)</f>
        <v>45000</v>
      </c>
      <c r="O20" s="103">
        <f t="shared" si="6"/>
        <v>0.28730044444444441</v>
      </c>
      <c r="P20" s="767">
        <f>VLOOKUP($B$4:$B$30,'TOTAL POR UF'!$A$5:$X$31,23,)</f>
        <v>397641.92000000004</v>
      </c>
      <c r="Q20" s="768">
        <f>VLOOKUP($A$4:$A$31,'Evolução das Receitas'!$P$212:$U$239,6,0)</f>
        <v>521167.17000000004</v>
      </c>
      <c r="R20" s="103">
        <f t="shared" si="7"/>
        <v>0.76298343965142701</v>
      </c>
      <c r="S20" s="767">
        <f>VLOOKUP($B$4:$B$30,'TOTAL POR UF'!$A$5:$X$31,24,0)</f>
        <v>30466.078000000001</v>
      </c>
      <c r="T20" s="768">
        <f>VLOOKUP($A$4:$A$31,'Evolução das Receitas'!$P$212:$V$239,7,0)</f>
        <v>44159.64</v>
      </c>
      <c r="U20" s="103">
        <f t="shared" si="8"/>
        <v>0.68990775287117379</v>
      </c>
      <c r="V20" s="109">
        <f>VLOOKUP($A$4:$A$29,'Anuid PF'!$A$5:$G$31,7,)</f>
        <v>1613</v>
      </c>
      <c r="W20" s="109">
        <f>VLOOKUP($A$4:$A$29,'Relatórios - SICCAU e IGEO'!$A$3:$E$29,5,)</f>
        <v>106</v>
      </c>
      <c r="X20" s="109">
        <f>VLOOKUP($A$4:$A$29,'Anuid PF'!$A$5:$B$31,2,)</f>
        <v>1641</v>
      </c>
      <c r="Y20" s="103">
        <f t="shared" si="9"/>
        <v>0.98293723339427175</v>
      </c>
      <c r="Z20" s="109">
        <f>VLOOKUP($A$4:$A$29,'Anuid PJ'!$A$5:$F$31,6,)</f>
        <v>313</v>
      </c>
      <c r="AA20" s="496">
        <f>VLOOKUP($A$4:$A$29,'Relatórios - SICCAU e IGEO'!$A$3:$J$29,10,)</f>
        <v>23</v>
      </c>
      <c r="AB20" s="109">
        <f>VLOOKUP($A$4:$A$29,'Anuid PJ'!$A$5:$B$31,2,)</f>
        <v>275</v>
      </c>
      <c r="AC20" s="103">
        <f t="shared" si="13"/>
        <v>1.1381818181818182</v>
      </c>
      <c r="AD20" s="109">
        <f>VLOOKUP($A$4:$A$29,RRT!$A$4:$D$30,4,)</f>
        <v>4449</v>
      </c>
      <c r="AE20" s="109">
        <f>VLOOKUP($A$4:$A$29,RRT!$A$4:$B$30,2,)</f>
        <v>6019</v>
      </c>
      <c r="AF20" s="498">
        <f t="shared" si="10"/>
        <v>2.7582145071295723</v>
      </c>
      <c r="AG20" s="498">
        <f>Tabela3[[#This Row],[Previsto - RRT]]/Tabela3[[#This Row],[Previsto PF]]</f>
        <v>3.6678854357099331</v>
      </c>
      <c r="AH20" s="109">
        <f>VLOOKUP(Tabela3[UF],'ADIMPLÊNCIA PF'!$A$4:H46,8,)</f>
        <v>1576</v>
      </c>
      <c r="AI20" s="109">
        <f>VLOOKUP(Tabela3[[#This Row],[UF]],'ADIMPLÊNCIA PF'!$A$4:$I$30,9,)</f>
        <v>969</v>
      </c>
      <c r="AJ20" s="103">
        <f>Tabela3[[#This Row],[PF Qnt Pag.
Exec.]]/Tabela3[[#This Row],[PF
Qnt Pot Pag.
Exec.]]</f>
        <v>0.61484771573604058</v>
      </c>
      <c r="AK20" s="507">
        <f>VLOOKUP(Tabela3[[#This Row],[UF]],'ADIMPLÊNCIA PF'!$A$4:$C$30,3,)</f>
        <v>1599</v>
      </c>
      <c r="AL20" s="507">
        <f>VLOOKUP(Tabela3[[#This Row],[UF]],'ADIMPLÊNCIA PF'!$A$4:$D$30,4,)</f>
        <v>1196</v>
      </c>
      <c r="AM20" s="103">
        <f>Tabela3[[#This Row],[PF Qnt Pag.
Previsto]]/Tabela3[[#This Row],[PF
Qnt Pot Pag.
Previsto]]</f>
        <v>0.74796747967479671</v>
      </c>
      <c r="AN20" s="507">
        <f>VLOOKUP(Tabela3[[#This Row],[UF]],'ADIMPLÊNCIA PJ'!$A$4:$F$30,6,)</f>
        <v>121</v>
      </c>
      <c r="AO20" s="103">
        <f>Tabela3[[#This Row],[PJ Pagantes
Exec.]]/Tabela3[[#This Row],[PJ Ativos]]</f>
        <v>0.38658146964856233</v>
      </c>
      <c r="AP20" s="507">
        <f>VLOOKUP(Tabela3[[#This Row],[UF]],'ADIMPLÊNCIA PJ'!$A$4:$C$30,3,)</f>
        <v>155</v>
      </c>
      <c r="AQ20" s="103">
        <f>Tabela3[[#This Row],[PJ Pagante
Previsto]]/Tabela3[[#This Row],[Previsto PJ]]</f>
        <v>0.5636363636363636</v>
      </c>
      <c r="AR20" s="109">
        <f>VLOOKUP($A$4:$A$29,'PF - Gênero'!$A$2:$B$28,2,)</f>
        <v>561</v>
      </c>
      <c r="AS20" s="109">
        <f>VLOOKUP($A$4:$A$29,'PF - Gênero'!$A$2:$C$28,3,)</f>
        <v>1052</v>
      </c>
      <c r="AT20" s="109">
        <f>VLOOKUP($A$4:$A$29,'Relatórios - SICCAU e IGEO'!$A$3:$F$29,6,)</f>
        <v>108</v>
      </c>
      <c r="AU20" s="109">
        <v>138</v>
      </c>
      <c r="AV20" s="495">
        <f t="shared" si="11"/>
        <v>0.78260869565217395</v>
      </c>
      <c r="AW20" s="527">
        <f>'Comparativo YoY'!FN19</f>
        <v>781287.00000000012</v>
      </c>
      <c r="AX20" s="527">
        <f>'Comparativo YoY'!FU19</f>
        <v>347095.47199999995</v>
      </c>
      <c r="AY20" s="103">
        <f>Tabela3[[#This Row],[Receita
PF
2022]]/Tabela3[[#This Row],[Receita
PF
2021]]-1</f>
        <v>1.2509282402854285</v>
      </c>
      <c r="AZ20" s="527">
        <f>+'Comparativo YoY'!FO19</f>
        <v>220661.59999999998</v>
      </c>
      <c r="BA20" s="527">
        <f>+'Comparativo YoY'!FV19</f>
        <v>127498.336</v>
      </c>
      <c r="BB20" s="103">
        <f>Tabela3[[#This Row],[Receita
PF - Ex Ant
2022]]/Tabela3[[#This Row],[Receita
PF - Ex Ant
2021]]-1</f>
        <v>0.73070180304157062</v>
      </c>
      <c r="BC20" s="527">
        <f>'Comparativo YoY'!FP19</f>
        <v>42198.240000000005</v>
      </c>
      <c r="BD20" s="527">
        <f>'Comparativo YoY'!FW19</f>
        <v>33720.128000000004</v>
      </c>
      <c r="BE20" s="103">
        <f>Tabela3[[#This Row],[Receita
PJ
2022]]/Tabela3[[#This Row],[Receita
PJ
2021]]-1</f>
        <v>0.25142585461122802</v>
      </c>
      <c r="BF20" s="527">
        <f>'Comparativo YoY'!FQ19</f>
        <v>29258.360000000008</v>
      </c>
      <c r="BG20" s="530">
        <f>'Comparativo YoY'!FX19</f>
        <v>28768.440000000002</v>
      </c>
      <c r="BH20" s="103">
        <f>Tabela3[[#This Row],[Receita
PJ - Ex Ant
2022]]/Tabela3[[#This Row],[Receita
PJ - Ex Ant
2021]]-1</f>
        <v>1.7029772903918605E-2</v>
      </c>
      <c r="BI20" s="527">
        <f>'Comparativo YoY'!FR19</f>
        <v>1066041.9440000001</v>
      </c>
      <c r="BJ20" s="527">
        <f>'Comparativo YoY'!FY19</f>
        <v>390699.09600000002</v>
      </c>
      <c r="BK20" s="103">
        <f>Tabela3[[#This Row],[Receita
RRT
2022]]/Tabela3[[#This Row],[Receita
RRT
2021]]-1</f>
        <v>1.7285498095956693</v>
      </c>
      <c r="BL20" s="527">
        <f>'Comparativo YoY'!FS19</f>
        <v>130356.088</v>
      </c>
      <c r="BM20" s="527">
        <f>'Comparativo YoY'!FZ19</f>
        <v>55499.599999999977</v>
      </c>
      <c r="BN20" s="103">
        <f>Tabela3[[#This Row],[Receita
Taxas
2022]]/Tabela3[[#This Row],[Receita
Taxas
2021]]-1</f>
        <v>1.3487752704524008</v>
      </c>
      <c r="BO20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983281.07199999993</v>
      </c>
      <c r="BP20" s="103">
        <f t="shared" si="14"/>
        <v>-0.11845553150238997</v>
      </c>
      <c r="BQ20" s="499">
        <f t="shared" si="12"/>
        <v>0.6617188510847668</v>
      </c>
      <c r="BR20" s="517">
        <f>Tabela3[[#This Row],[PF Ativos
Exec.]]+Tabela3[[#This Row],[PJ Ativos]]</f>
        <v>1926</v>
      </c>
      <c r="BT20" s="790" t="s">
        <v>94</v>
      </c>
      <c r="BU20" s="790" t="s">
        <v>17</v>
      </c>
      <c r="BV20" s="750">
        <v>352559.63200000004</v>
      </c>
      <c r="BW20" s="486">
        <v>441365.22</v>
      </c>
      <c r="BX20" s="122">
        <v>0.79879341648170665</v>
      </c>
      <c r="BY20" s="486">
        <v>50630.864000000001</v>
      </c>
      <c r="BZ20" s="486">
        <v>200000</v>
      </c>
      <c r="CA20" s="122">
        <v>0.25315431999999999</v>
      </c>
      <c r="CB20" s="486">
        <v>22578.975999999999</v>
      </c>
      <c r="CC20" s="486">
        <v>58238.9</v>
      </c>
      <c r="CD20" s="122">
        <v>0.38769578408932859</v>
      </c>
      <c r="CE20" s="486">
        <v>12928.519999999999</v>
      </c>
      <c r="CF20" s="486">
        <v>45000</v>
      </c>
      <c r="CG20" s="122">
        <v>0.28730044444444441</v>
      </c>
      <c r="CH20" s="486">
        <v>397641.92000000004</v>
      </c>
      <c r="CI20" s="486">
        <v>521167.17000000004</v>
      </c>
      <c r="CJ20" s="122">
        <v>0.76298343965142701</v>
      </c>
      <c r="CK20" s="486">
        <v>30466.078000000001</v>
      </c>
      <c r="CL20" s="486">
        <v>44159.64</v>
      </c>
      <c r="CM20" s="122">
        <v>0.68990775287117379</v>
      </c>
      <c r="CN20" s="347">
        <v>1613</v>
      </c>
      <c r="CO20" s="303">
        <v>106</v>
      </c>
      <c r="CP20" s="347">
        <v>1641</v>
      </c>
      <c r="CQ20" s="122">
        <v>0.98293723339427175</v>
      </c>
      <c r="CR20" s="347">
        <v>313</v>
      </c>
      <c r="CS20" s="387">
        <v>23</v>
      </c>
      <c r="CT20" s="347">
        <v>275</v>
      </c>
      <c r="CU20" s="122">
        <v>1.1381818181818182</v>
      </c>
      <c r="CV20" s="303">
        <v>4449</v>
      </c>
      <c r="CW20" s="347">
        <v>6019</v>
      </c>
      <c r="CX20" s="387">
        <v>2.7582145071295723</v>
      </c>
      <c r="CY20" s="387">
        <v>3.6678854357099331</v>
      </c>
      <c r="CZ20" s="347">
        <v>1576</v>
      </c>
      <c r="DA20" s="347">
        <v>969</v>
      </c>
      <c r="DB20" s="122">
        <v>0.61484771573604058</v>
      </c>
      <c r="DC20" s="347">
        <v>1599</v>
      </c>
      <c r="DD20" s="347">
        <v>1196</v>
      </c>
      <c r="DE20" s="122">
        <v>0.74796747967479671</v>
      </c>
      <c r="DF20" s="347">
        <v>121</v>
      </c>
      <c r="DG20" s="122">
        <v>0.38658146964856233</v>
      </c>
      <c r="DH20" s="303">
        <v>155</v>
      </c>
      <c r="DI20" s="122">
        <v>0.5636363636363636</v>
      </c>
      <c r="DJ20" s="347">
        <v>561</v>
      </c>
      <c r="DK20" s="347">
        <v>1052</v>
      </c>
      <c r="DL20" s="347">
        <v>108</v>
      </c>
      <c r="DM20" s="347">
        <v>138</v>
      </c>
      <c r="DN20" s="122">
        <v>0.78260869565217395</v>
      </c>
      <c r="DO20" s="486">
        <v>781287.00000000012</v>
      </c>
      <c r="DP20" s="486">
        <v>347095.47199999995</v>
      </c>
      <c r="DQ20" s="122">
        <v>1.2509282402854285</v>
      </c>
      <c r="DR20" s="486">
        <v>220661.59999999998</v>
      </c>
      <c r="DS20" s="486">
        <v>127498.336</v>
      </c>
      <c r="DT20" s="122">
        <v>0.73070180304157062</v>
      </c>
      <c r="DU20" s="486">
        <v>42198.240000000005</v>
      </c>
      <c r="DV20" s="486">
        <v>33720.128000000004</v>
      </c>
      <c r="DW20" s="122">
        <v>0.25142585461122802</v>
      </c>
      <c r="DX20" s="486">
        <v>29258.360000000008</v>
      </c>
      <c r="DY20" s="486">
        <v>28768.440000000002</v>
      </c>
      <c r="DZ20" s="122">
        <v>1.7029772903918605E-2</v>
      </c>
      <c r="EA20" s="486">
        <v>1066041.9440000001</v>
      </c>
      <c r="EB20" s="486">
        <v>390699.09600000002</v>
      </c>
      <c r="EC20" s="122">
        <v>1.7285498095956693</v>
      </c>
      <c r="ED20" s="486">
        <v>130356.088</v>
      </c>
      <c r="EE20" s="486">
        <v>55499.599999999977</v>
      </c>
      <c r="EF20" s="122">
        <v>1.3487752704524008</v>
      </c>
      <c r="EG20" s="486">
        <v>983281.07199999993</v>
      </c>
      <c r="EH20" s="122">
        <v>-0.11845553150238997</v>
      </c>
      <c r="EI20" s="122">
        <v>0.6617188510847668</v>
      </c>
      <c r="EJ20" s="303">
        <v>1926</v>
      </c>
    </row>
    <row r="21" spans="1:140">
      <c r="A21" s="490" t="s">
        <v>92</v>
      </c>
      <c r="B21" s="131" t="s">
        <v>13</v>
      </c>
      <c r="C21" s="105" t="s">
        <v>226</v>
      </c>
      <c r="D21" s="767">
        <f>VLOOKUP($B$4:$B$30,'TOTAL POR UF'!$A$5:$B$31,2,)</f>
        <v>3608937.6560000004</v>
      </c>
      <c r="E21" s="768">
        <f>VLOOKUP($A$4:$A$31,'Evolução das Receitas'!$P$212:$Q$239,2,0)</f>
        <v>3699470.39</v>
      </c>
      <c r="F21" s="103">
        <f t="shared" si="3"/>
        <v>0.97552819067163832</v>
      </c>
      <c r="G21" s="767">
        <f>VLOOKUP($B$4:$B$30,'TOTAL POR UF'!$A$5:$C$31,3,)</f>
        <v>642270.16800000006</v>
      </c>
      <c r="H21" s="768">
        <f>VLOOKUP($A$4:$A$31,'Evolução das Receitas'!$P$212:$R$239,3,0)</f>
        <v>867607.55</v>
      </c>
      <c r="I21" s="103">
        <f t="shared" si="4"/>
        <v>0.74027729242328522</v>
      </c>
      <c r="J21" s="767">
        <f>VLOOKUP($B$4:$B$30,'TOTAL POR UF'!$A$5:$D$31,4,)</f>
        <v>274513.35200000001</v>
      </c>
      <c r="K21" s="768">
        <f>VLOOKUP($A$4:$A$31,'Evolução das Receitas'!$P$212:$S$239,4,)</f>
        <v>492458.63</v>
      </c>
      <c r="L21" s="103">
        <f t="shared" si="5"/>
        <v>0.55743434123593283</v>
      </c>
      <c r="M21" s="767">
        <f>VLOOKUP($B$4:$B$30,'TOTAL POR UF'!$A$5:$E$31,5,)</f>
        <v>171166.39200000002</v>
      </c>
      <c r="N21" s="768">
        <f>VLOOKUP($A$4:$A$31,'Evolução das Receitas'!$P$212:$T$239,5,0)</f>
        <v>185014.2</v>
      </c>
      <c r="O21" s="103">
        <f t="shared" si="6"/>
        <v>0.92515272881757193</v>
      </c>
      <c r="P21" s="767">
        <f>VLOOKUP($B$4:$B$30,'TOTAL POR UF'!$A$5:$X$31,23,)</f>
        <v>4962386.4000000004</v>
      </c>
      <c r="Q21" s="768">
        <f>VLOOKUP($A$4:$A$31,'Evolução das Receitas'!$P$212:$U$239,6,0)</f>
        <v>6434187.1500000004</v>
      </c>
      <c r="R21" s="103">
        <f t="shared" si="7"/>
        <v>0.7712530400984684</v>
      </c>
      <c r="S21" s="767">
        <f>VLOOKUP($B$4:$B$30,'TOTAL POR UF'!$A$5:$X$31,24,0)</f>
        <v>405701.69599999994</v>
      </c>
      <c r="T21" s="768">
        <f>VLOOKUP($A$4:$A$31,'Evolução das Receitas'!$P$212:$V$239,7,0)</f>
        <v>410922.9</v>
      </c>
      <c r="U21" s="103">
        <f t="shared" si="8"/>
        <v>0.98729395709024714</v>
      </c>
      <c r="V21" s="109">
        <f>VLOOKUP($A$4:$A$29,'Anuid PF'!$A$5:$G$31,7,)</f>
        <v>14583</v>
      </c>
      <c r="W21" s="109">
        <f>VLOOKUP($A$4:$A$29,'Relatórios - SICCAU e IGEO'!$A$3:$E$29,5,)</f>
        <v>670</v>
      </c>
      <c r="X21" s="109">
        <f>VLOOKUP($A$4:$A$29,'Anuid PF'!$A$5:$B$31,2,)</f>
        <v>14181</v>
      </c>
      <c r="Y21" s="103">
        <f t="shared" si="9"/>
        <v>1.0283477892955364</v>
      </c>
      <c r="Z21" s="109">
        <f>VLOOKUP($A$4:$A$29,'Anuid PJ'!$A$5:$F$31,6,)</f>
        <v>2819</v>
      </c>
      <c r="AA21" s="496">
        <f>VLOOKUP($A$4:$A$29,'Relatórios - SICCAU e IGEO'!$A$3:$J$29,10,)</f>
        <v>235</v>
      </c>
      <c r="AB21" s="109">
        <f>VLOOKUP($A$4:$A$29,'Anuid PJ'!$A$5:$B$31,2,)</f>
        <v>2791</v>
      </c>
      <c r="AC21" s="103">
        <f t="shared" si="13"/>
        <v>1.0100322465066285</v>
      </c>
      <c r="AD21" s="109">
        <f>VLOOKUP($A$4:$A$29,RRT!$A$4:$D$30,4,)</f>
        <v>56658</v>
      </c>
      <c r="AE21" s="109">
        <f>VLOOKUP($A$4:$A$29,RRT!$A$4:$B$30,2,)</f>
        <v>74309</v>
      </c>
      <c r="AF21" s="498">
        <f t="shared" si="10"/>
        <v>3.8852088047726805</v>
      </c>
      <c r="AG21" s="498">
        <f>Tabela3[[#This Row],[Previsto - RRT]]/Tabela3[[#This Row],[Previsto PF]]</f>
        <v>5.2400394894577254</v>
      </c>
      <c r="AH21" s="109">
        <f>VLOOKUP(Tabela3[UF],'ADIMPLÊNCIA PF'!$A$4:H47,8,)</f>
        <v>14207</v>
      </c>
      <c r="AI21" s="109">
        <f>VLOOKUP(Tabela3[[#This Row],[UF]],'ADIMPLÊNCIA PF'!$A$4:$I$30,9,)</f>
        <v>9557</v>
      </c>
      <c r="AJ21" s="103">
        <f>Tabela3[[#This Row],[PF Qnt Pag.
Exec.]]/Tabela3[[#This Row],[PF
Qnt Pot Pag.
Exec.]]</f>
        <v>0.67269655803477157</v>
      </c>
      <c r="AK21" s="507">
        <f>VLOOKUP(Tabela3[[#This Row],[UF]],'ADIMPLÊNCIA PF'!$A$4:$C$30,3,)</f>
        <v>13769</v>
      </c>
      <c r="AL21" s="507">
        <f>VLOOKUP(Tabela3[[#This Row],[UF]],'ADIMPLÊNCIA PF'!$A$4:$D$30,4,)</f>
        <v>9552</v>
      </c>
      <c r="AM21" s="103">
        <f>Tabela3[[#This Row],[PF Qnt Pag.
Previsto]]/Tabela3[[#This Row],[PF
Qnt Pot Pag.
Previsto]]</f>
        <v>0.69373229718933838</v>
      </c>
      <c r="AN21" s="507">
        <f>VLOOKUP(Tabela3[[#This Row],[UF]],'ADIMPLÊNCIA PJ'!$A$4:$F$30,6,)</f>
        <v>1556</v>
      </c>
      <c r="AO21" s="103">
        <f>Tabela3[[#This Row],[PJ Pagantes
Exec.]]/Tabela3[[#This Row],[PJ Ativos]]</f>
        <v>0.55196878325647392</v>
      </c>
      <c r="AP21" s="507">
        <f>VLOOKUP(Tabela3[[#This Row],[UF]],'ADIMPLÊNCIA PJ'!$A$4:$C$30,3,)</f>
        <v>1303</v>
      </c>
      <c r="AQ21" s="103">
        <f>Tabela3[[#This Row],[PJ Pagante
Previsto]]/Tabela3[[#This Row],[Previsto PJ]]</f>
        <v>0.46685775707631672</v>
      </c>
      <c r="AR21" s="109">
        <f>VLOOKUP($A$4:$A$29,'PF - Gênero'!$A$2:$B$28,2,)</f>
        <v>4781</v>
      </c>
      <c r="AS21" s="109">
        <f>VLOOKUP($A$4:$A$29,'PF - Gênero'!$A$2:$C$28,3,)</f>
        <v>9802</v>
      </c>
      <c r="AT21" s="109">
        <f>VLOOKUP($A$4:$A$29,'Relatórios - SICCAU e IGEO'!$A$3:$F$29,6,)</f>
        <v>519</v>
      </c>
      <c r="AU21" s="109">
        <v>1120</v>
      </c>
      <c r="AV21" s="495">
        <f t="shared" si="11"/>
        <v>0.46339285714285716</v>
      </c>
      <c r="AW21" s="527">
        <f>'Comparativo YoY'!FN20</f>
        <v>2340335.5439999998</v>
      </c>
      <c r="AX21" s="527">
        <f>'Comparativo YoY'!FU20</f>
        <v>3168447.3600000003</v>
      </c>
      <c r="AY21" s="103">
        <f>Tabela3[[#This Row],[Receita
PF
2022]]/Tabela3[[#This Row],[Receita
PF
2021]]-1</f>
        <v>-0.2613620243323217</v>
      </c>
      <c r="AZ21" s="527">
        <f>+'Comparativo YoY'!FO20</f>
        <v>328237.16000000003</v>
      </c>
      <c r="BA21" s="527">
        <f>+'Comparativo YoY'!FV20</f>
        <v>749852.04800000007</v>
      </c>
      <c r="BB21" s="103">
        <f>Tabela3[[#This Row],[Receita
PF - Ex Ant
2022]]/Tabela3[[#This Row],[Receita
PF - Ex Ant
2021]]-1</f>
        <v>-0.56226410146445316</v>
      </c>
      <c r="BC21" s="527">
        <f>'Comparativo YoY'!FP20</f>
        <v>86609.24</v>
      </c>
      <c r="BD21" s="527">
        <f>'Comparativo YoY'!FW20</f>
        <v>371901.68</v>
      </c>
      <c r="BE21" s="103">
        <f>Tabela3[[#This Row],[Receita
PJ
2022]]/Tabela3[[#This Row],[Receita
PJ
2021]]-1</f>
        <v>-0.76711791137915808</v>
      </c>
      <c r="BF21" s="527">
        <f>'Comparativo YoY'!FQ20</f>
        <v>74849.576000000015</v>
      </c>
      <c r="BG21" s="530">
        <f>'Comparativo YoY'!FX20</f>
        <v>177562.03200000004</v>
      </c>
      <c r="BH21" s="103">
        <f>Tabela3[[#This Row],[Receita
PJ - Ex Ant
2022]]/Tabela3[[#This Row],[Receita
PJ - Ex Ant
2021]]-1</f>
        <v>-0.57845956617572392</v>
      </c>
      <c r="BI21" s="527">
        <f>'Comparativo YoY'!FR20</f>
        <v>1816723.8959999999</v>
      </c>
      <c r="BJ21" s="527">
        <f>'Comparativo YoY'!FY20</f>
        <v>4799290.6239999998</v>
      </c>
      <c r="BK21" s="103">
        <f>Tabela3[[#This Row],[Receita
RRT
2022]]/Tabela3[[#This Row],[Receita
RRT
2021]]-1</f>
        <v>-0.62145991182216842</v>
      </c>
      <c r="BL21" s="527">
        <f>'Comparativo YoY'!FS20</f>
        <v>156338.03000000003</v>
      </c>
      <c r="BM21" s="527">
        <f>'Comparativo YoY'!FZ20</f>
        <v>417560.14399999985</v>
      </c>
      <c r="BN21" s="103">
        <f>Tabela3[[#This Row],[Receita
Taxas
2022]]/Tabela3[[#This Row],[Receita
Taxas
2021]]-1</f>
        <v>-0.62559158902866918</v>
      </c>
      <c r="BO21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9684613.8879999984</v>
      </c>
      <c r="BP21" s="103">
        <f t="shared" si="14"/>
        <v>3.9274851883491557E-2</v>
      </c>
      <c r="BQ21" s="499">
        <f t="shared" si="12"/>
        <v>0.8325275467901837</v>
      </c>
      <c r="BR21" s="517">
        <f>Tabela3[[#This Row],[PF Ativos
Exec.]]+Tabela3[[#This Row],[PJ Ativos]]</f>
        <v>17402</v>
      </c>
      <c r="BT21" s="790" t="s">
        <v>92</v>
      </c>
      <c r="BU21" s="790" t="s">
        <v>13</v>
      </c>
      <c r="BV21" s="750">
        <v>3608937.6560000004</v>
      </c>
      <c r="BW21" s="486">
        <v>3699470.39</v>
      </c>
      <c r="BX21" s="122">
        <v>0.97552819067163832</v>
      </c>
      <c r="BY21" s="486">
        <v>642270.16800000006</v>
      </c>
      <c r="BZ21" s="486">
        <v>867607.55</v>
      </c>
      <c r="CA21" s="122">
        <v>0.74027729242328522</v>
      </c>
      <c r="CB21" s="486">
        <v>274513.35200000001</v>
      </c>
      <c r="CC21" s="486">
        <v>492458.63</v>
      </c>
      <c r="CD21" s="122">
        <v>0.55743434123593283</v>
      </c>
      <c r="CE21" s="486">
        <v>171166.39200000002</v>
      </c>
      <c r="CF21" s="486">
        <v>185014.2</v>
      </c>
      <c r="CG21" s="122">
        <v>0.92515272881757193</v>
      </c>
      <c r="CH21" s="486">
        <v>4962386.4000000004</v>
      </c>
      <c r="CI21" s="486">
        <v>6434187.1500000004</v>
      </c>
      <c r="CJ21" s="122">
        <v>0.7712530400984684</v>
      </c>
      <c r="CK21" s="486">
        <v>405701.69599999994</v>
      </c>
      <c r="CL21" s="486">
        <v>410922.9</v>
      </c>
      <c r="CM21" s="122">
        <v>0.98729395709024714</v>
      </c>
      <c r="CN21" s="347">
        <v>14583</v>
      </c>
      <c r="CO21" s="303">
        <v>670</v>
      </c>
      <c r="CP21" s="347">
        <v>14181</v>
      </c>
      <c r="CQ21" s="122">
        <v>1.0283477892955364</v>
      </c>
      <c r="CR21" s="347">
        <v>2819</v>
      </c>
      <c r="CS21" s="387">
        <v>235</v>
      </c>
      <c r="CT21" s="347">
        <v>2791</v>
      </c>
      <c r="CU21" s="122">
        <v>1.0100322465066285</v>
      </c>
      <c r="CV21" s="303">
        <v>56658</v>
      </c>
      <c r="CW21" s="347">
        <v>74309</v>
      </c>
      <c r="CX21" s="387">
        <v>3.8852088047726805</v>
      </c>
      <c r="CY21" s="387">
        <v>5.2400394894577254</v>
      </c>
      <c r="CZ21" s="347">
        <v>14207</v>
      </c>
      <c r="DA21" s="347">
        <v>9557</v>
      </c>
      <c r="DB21" s="122">
        <v>0.67269655803477157</v>
      </c>
      <c r="DC21" s="347">
        <v>13769</v>
      </c>
      <c r="DD21" s="347">
        <v>9552</v>
      </c>
      <c r="DE21" s="122">
        <v>0.69373229718933838</v>
      </c>
      <c r="DF21" s="347">
        <v>1556</v>
      </c>
      <c r="DG21" s="122">
        <v>0.55196878325647392</v>
      </c>
      <c r="DH21" s="303">
        <v>1303</v>
      </c>
      <c r="DI21" s="122">
        <v>0.46685775707631672</v>
      </c>
      <c r="DJ21" s="347">
        <v>4781</v>
      </c>
      <c r="DK21" s="347">
        <v>9802</v>
      </c>
      <c r="DL21" s="347">
        <v>519</v>
      </c>
      <c r="DM21" s="347">
        <v>1120</v>
      </c>
      <c r="DN21" s="122">
        <v>0.46339285714285716</v>
      </c>
      <c r="DO21" s="486">
        <v>2340335.5439999998</v>
      </c>
      <c r="DP21" s="486">
        <v>3168447.3600000003</v>
      </c>
      <c r="DQ21" s="122">
        <v>-0.2613620243323217</v>
      </c>
      <c r="DR21" s="486">
        <v>328237.16000000003</v>
      </c>
      <c r="DS21" s="486">
        <v>749852.04800000007</v>
      </c>
      <c r="DT21" s="122">
        <v>-0.56226410146445316</v>
      </c>
      <c r="DU21" s="486">
        <v>86609.24</v>
      </c>
      <c r="DV21" s="486">
        <v>371901.68</v>
      </c>
      <c r="DW21" s="122">
        <v>-0.76711791137915808</v>
      </c>
      <c r="DX21" s="486">
        <v>74849.576000000015</v>
      </c>
      <c r="DY21" s="486">
        <v>177562.03200000004</v>
      </c>
      <c r="DZ21" s="122">
        <v>-0.57845956617572392</v>
      </c>
      <c r="EA21" s="486">
        <v>1816723.8959999999</v>
      </c>
      <c r="EB21" s="486">
        <v>4799290.6239999998</v>
      </c>
      <c r="EC21" s="122">
        <v>-0.62145991182216842</v>
      </c>
      <c r="ED21" s="486">
        <v>156338.03000000003</v>
      </c>
      <c r="EE21" s="486">
        <v>417560.14399999985</v>
      </c>
      <c r="EF21" s="122">
        <v>-0.62559158902866918</v>
      </c>
      <c r="EG21" s="486">
        <v>9684613.8879999984</v>
      </c>
      <c r="EH21" s="122">
        <v>3.9274851883491557E-2</v>
      </c>
      <c r="EI21" s="122">
        <v>0.8325275467901837</v>
      </c>
      <c r="EJ21" s="303">
        <v>17402</v>
      </c>
    </row>
    <row r="22" spans="1:140">
      <c r="A22" s="490" t="s">
        <v>95</v>
      </c>
      <c r="B22" s="131" t="s">
        <v>18</v>
      </c>
      <c r="C22" s="105" t="s">
        <v>227</v>
      </c>
      <c r="D22" s="767">
        <f>VLOOKUP($B$4:$B$30,'TOTAL POR UF'!$A$5:$B$31,2,)</f>
        <v>4215944.1680000005</v>
      </c>
      <c r="E22" s="768">
        <f>VLOOKUP($A$4:$A$31,'Evolução das Receitas'!$P$212:$Q$239,2,0)</f>
        <v>4562590.3600000003</v>
      </c>
      <c r="F22" s="103">
        <f t="shared" si="3"/>
        <v>0.92402425713273983</v>
      </c>
      <c r="G22" s="767">
        <f>VLOOKUP($B$4:$B$30,'TOTAL POR UF'!$A$5:$C$31,3,)</f>
        <v>696022.32800000021</v>
      </c>
      <c r="H22" s="768">
        <f>VLOOKUP($A$4:$A$31,'Evolução das Receitas'!$P$212:$R$239,3,0)</f>
        <v>1162226.3400000001</v>
      </c>
      <c r="I22" s="103">
        <f t="shared" si="4"/>
        <v>0.59886986213029736</v>
      </c>
      <c r="J22" s="767">
        <f>VLOOKUP($B$4:$B$30,'TOTAL POR UF'!$A$5:$D$31,4,)</f>
        <v>262183.14400000003</v>
      </c>
      <c r="K22" s="768">
        <f>VLOOKUP($A$4:$A$31,'Evolução das Receitas'!$P$212:$S$239,4,)</f>
        <v>536205.69999999995</v>
      </c>
      <c r="L22" s="103">
        <f t="shared" si="5"/>
        <v>0.48896000919050292</v>
      </c>
      <c r="M22" s="767">
        <f>VLOOKUP($B$4:$B$30,'TOTAL POR UF'!$A$5:$E$31,5,)</f>
        <v>125599.36800000002</v>
      </c>
      <c r="N22" s="768">
        <f>VLOOKUP($A$4:$A$31,'Evolução das Receitas'!$P$212:$T$239,5,0)</f>
        <v>227054.9</v>
      </c>
      <c r="O22" s="103">
        <f t="shared" si="6"/>
        <v>0.55316739695994233</v>
      </c>
      <c r="P22" s="767">
        <f>VLOOKUP($B$4:$B$30,'TOTAL POR UF'!$A$5:$X$31,23,)</f>
        <v>4526065.392</v>
      </c>
      <c r="Q22" s="768">
        <f>VLOOKUP($A$4:$A$31,'Evolução das Receitas'!$P$212:$U$239,6,0)</f>
        <v>5685356.5199999996</v>
      </c>
      <c r="R22" s="103">
        <f t="shared" si="7"/>
        <v>0.79609174483221334</v>
      </c>
      <c r="S22" s="767">
        <f>VLOOKUP($B$4:$B$30,'TOTAL POR UF'!$A$5:$X$31,24,0)</f>
        <v>403807.38400000002</v>
      </c>
      <c r="T22" s="768">
        <f>VLOOKUP($A$4:$A$31,'Evolução das Receitas'!$P$212:$V$239,7,0)</f>
        <v>502437.18</v>
      </c>
      <c r="U22" s="103">
        <f t="shared" si="8"/>
        <v>0.8036972582323626</v>
      </c>
      <c r="V22" s="109">
        <f>VLOOKUP($A$4:$A$29,'Anuid PF'!$A$5:$G$31,7,)</f>
        <v>21441</v>
      </c>
      <c r="W22" s="109">
        <f>VLOOKUP($A$4:$A$29,'Relatórios - SICCAU e IGEO'!$A$3:$E$29,5,)</f>
        <v>532</v>
      </c>
      <c r="X22" s="109">
        <f>VLOOKUP($A$4:$A$29,'Anuid PF'!$A$5:$B$31,2,)</f>
        <v>21569</v>
      </c>
      <c r="Y22" s="495">
        <f t="shared" si="9"/>
        <v>0.9940655570494692</v>
      </c>
      <c r="Z22" s="109">
        <f>VLOOKUP($A$4:$A$29,'Anuid PJ'!$A$5:$F$31,6,)</f>
        <v>2983</v>
      </c>
      <c r="AA22" s="496">
        <f>VLOOKUP($A$4:$A$29,'Relatórios - SICCAU e IGEO'!$A$3:$J$29,10,)</f>
        <v>87</v>
      </c>
      <c r="AB22" s="109">
        <f>VLOOKUP($A$4:$A$29,'Anuid PJ'!$A$5:$B$31,2,)</f>
        <v>3226</v>
      </c>
      <c r="AC22" s="103">
        <f t="shared" si="13"/>
        <v>0.92467451952882829</v>
      </c>
      <c r="AD22" s="109">
        <f>VLOOKUP($A$4:$A$29,RRT!$A$4:$D$30,4,)</f>
        <v>51144</v>
      </c>
      <c r="AE22" s="109">
        <f>VLOOKUP($A$4:$A$29,RRT!$A$4:$B$30,2,)</f>
        <v>65385</v>
      </c>
      <c r="AF22" s="498">
        <f t="shared" si="10"/>
        <v>2.3853365048272002</v>
      </c>
      <c r="AG22" s="498">
        <f>Tabela3[[#This Row],[Previsto - RRT]]/Tabela3[[#This Row],[Previsto PF]]</f>
        <v>3.0314340025035933</v>
      </c>
      <c r="AH22" s="109">
        <f>VLOOKUP(Tabela3[UF],'ADIMPLÊNCIA PF'!$A$4:H48,8,)</f>
        <v>18194</v>
      </c>
      <c r="AI22" s="109">
        <f>VLOOKUP(Tabela3[[#This Row],[UF]],'ADIMPLÊNCIA PF'!$A$4:$I$30,9,)</f>
        <v>11518</v>
      </c>
      <c r="AJ22" s="103">
        <f>Tabela3[[#This Row],[PF Qnt Pag.
Exec.]]/Tabela3[[#This Row],[PF
Qnt Pot Pag.
Exec.]]</f>
        <v>0.6330658458832582</v>
      </c>
      <c r="AK22" s="507">
        <f>VLOOKUP(Tabela3[[#This Row],[UF]],'ADIMPLÊNCIA PF'!$A$4:$C$30,3,)</f>
        <v>18065</v>
      </c>
      <c r="AL22" s="507">
        <f>VLOOKUP(Tabela3[[#This Row],[UF]],'ADIMPLÊNCIA PF'!$A$4:$D$30,4,)</f>
        <v>12989</v>
      </c>
      <c r="AM22" s="103">
        <f>Tabela3[[#This Row],[PF Qnt Pag.
Previsto]]/Tabela3[[#This Row],[PF
Qnt Pot Pag.
Previsto]]</f>
        <v>0.71901466924993085</v>
      </c>
      <c r="AN22" s="507">
        <f>VLOOKUP(Tabela3[[#This Row],[UF]],'ADIMPLÊNCIA PJ'!$A$4:$F$30,6,)</f>
        <v>1293</v>
      </c>
      <c r="AO22" s="103">
        <f>Tabela3[[#This Row],[PJ Pagantes
Exec.]]/Tabela3[[#This Row],[PJ Ativos]]</f>
        <v>0.43345625209520616</v>
      </c>
      <c r="AP22" s="507">
        <f>VLOOKUP(Tabela3[[#This Row],[UF]],'ADIMPLÊNCIA PJ'!$A$4:$C$30,3,)</f>
        <v>1905</v>
      </c>
      <c r="AQ22" s="103">
        <f>Tabela3[[#This Row],[PJ Pagante
Previsto]]/Tabela3[[#This Row],[Previsto PJ]]</f>
        <v>0.59051456912585243</v>
      </c>
      <c r="AR22" s="109">
        <f>VLOOKUP($A$4:$A$29,'PF - Gênero'!$A$2:$B$28,2,)</f>
        <v>8693</v>
      </c>
      <c r="AS22" s="109">
        <f>VLOOKUP($A$4:$A$29,'PF - Gênero'!$A$2:$C$28,3,)</f>
        <v>12748</v>
      </c>
      <c r="AT22" s="109">
        <f>VLOOKUP($A$4:$A$29,'Relatórios - SICCAU e IGEO'!$A$3:$F$29,6,)</f>
        <v>433</v>
      </c>
      <c r="AU22" s="109">
        <v>515</v>
      </c>
      <c r="AV22" s="495">
        <f t="shared" si="11"/>
        <v>0.84077669902912622</v>
      </c>
      <c r="AW22" s="527">
        <f>'Comparativo YoY'!FN21</f>
        <v>4215944.1680000005</v>
      </c>
      <c r="AX22" s="527">
        <f>'Comparativo YoY'!FU21</f>
        <v>4105037.5360000003</v>
      </c>
      <c r="AY22" s="103">
        <f>Tabela3[[#This Row],[Receita
PF
2022]]/Tabela3[[#This Row],[Receita
PF
2021]]-1</f>
        <v>2.7017202894585202E-2</v>
      </c>
      <c r="AZ22" s="527">
        <f>+'Comparativo YoY'!FO21</f>
        <v>696022.32800000021</v>
      </c>
      <c r="BA22" s="527">
        <f>+'Comparativo YoY'!FV21</f>
        <v>1032855.12</v>
      </c>
      <c r="BB22" s="103">
        <f>Tabela3[[#This Row],[Receita
PF - Ex Ant
2022]]/Tabela3[[#This Row],[Receita
PF - Ex Ant
2021]]-1</f>
        <v>-0.32611814133234851</v>
      </c>
      <c r="BC22" s="527">
        <f>'Comparativo YoY'!FP21</f>
        <v>262183.14400000003</v>
      </c>
      <c r="BD22" s="527">
        <f>'Comparativo YoY'!FW21</f>
        <v>426834.424</v>
      </c>
      <c r="BE22" s="103">
        <f>Tabela3[[#This Row],[Receita
PJ
2022]]/Tabela3[[#This Row],[Receita
PJ
2021]]-1</f>
        <v>-0.38574976792406035</v>
      </c>
      <c r="BF22" s="527">
        <f>'Comparativo YoY'!FQ21</f>
        <v>125599.36800000002</v>
      </c>
      <c r="BG22" s="530">
        <f>'Comparativo YoY'!FX21</f>
        <v>147098.432</v>
      </c>
      <c r="BH22" s="103">
        <f>Tabela3[[#This Row],[Receita
PJ - Ex Ant
2022]]/Tabela3[[#This Row],[Receita
PJ - Ex Ant
2021]]-1</f>
        <v>-0.1461542703595915</v>
      </c>
      <c r="BI22" s="527">
        <f>'Comparativo YoY'!FR21</f>
        <v>4526065.392</v>
      </c>
      <c r="BJ22" s="527">
        <f>'Comparativo YoY'!FY21</f>
        <v>3887726.5280000004</v>
      </c>
      <c r="BK22" s="103">
        <f>Tabela3[[#This Row],[Receita
RRT
2022]]/Tabela3[[#This Row],[Receita
RRT
2021]]-1</f>
        <v>0.16419335552606018</v>
      </c>
      <c r="BL22" s="527">
        <f>'Comparativo YoY'!FS21</f>
        <v>403807.38400000002</v>
      </c>
      <c r="BM22" s="527">
        <f>'Comparativo YoY'!FZ21</f>
        <v>602947.32000000007</v>
      </c>
      <c r="BN22" s="103">
        <f>Tabela3[[#This Row],[Receita
Taxas
2022]]/Tabela3[[#This Row],[Receita
Taxas
2021]]-1</f>
        <v>-0.33027750417731361</v>
      </c>
      <c r="BO22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10202499.360000001</v>
      </c>
      <c r="BP22" s="103">
        <f t="shared" si="14"/>
        <v>2.6584097722499589E-3</v>
      </c>
      <c r="BQ22" s="499">
        <f t="shared" si="12"/>
        <v>0.80701529575364106</v>
      </c>
      <c r="BR22" s="517">
        <f>Tabela3[[#This Row],[PF Ativos
Exec.]]+Tabela3[[#This Row],[PJ Ativos]]</f>
        <v>24424</v>
      </c>
      <c r="BT22" s="790" t="s">
        <v>95</v>
      </c>
      <c r="BU22" s="790" t="s">
        <v>18</v>
      </c>
      <c r="BV22" s="750">
        <v>4215944.1680000005</v>
      </c>
      <c r="BW22" s="486">
        <v>4562590.3600000003</v>
      </c>
      <c r="BX22" s="122">
        <v>0.92402425713273983</v>
      </c>
      <c r="BY22" s="486">
        <v>696022.32800000021</v>
      </c>
      <c r="BZ22" s="486">
        <v>1162226.3400000001</v>
      </c>
      <c r="CA22" s="122">
        <v>0.59886986213029736</v>
      </c>
      <c r="CB22" s="486">
        <v>262183.14400000003</v>
      </c>
      <c r="CC22" s="486">
        <v>536205.69999999995</v>
      </c>
      <c r="CD22" s="122">
        <v>0.48896000919050292</v>
      </c>
      <c r="CE22" s="486">
        <v>125599.36800000002</v>
      </c>
      <c r="CF22" s="486">
        <v>227054.9</v>
      </c>
      <c r="CG22" s="122">
        <v>0.55316739695994233</v>
      </c>
      <c r="CH22" s="486">
        <v>4526065.392</v>
      </c>
      <c r="CI22" s="486">
        <v>5685356.5199999996</v>
      </c>
      <c r="CJ22" s="122">
        <v>0.79609174483221334</v>
      </c>
      <c r="CK22" s="486">
        <v>403807.38400000002</v>
      </c>
      <c r="CL22" s="486">
        <v>502437.18</v>
      </c>
      <c r="CM22" s="122">
        <v>0.8036972582323626</v>
      </c>
      <c r="CN22" s="347">
        <v>21441</v>
      </c>
      <c r="CO22" s="303">
        <v>532</v>
      </c>
      <c r="CP22" s="347">
        <v>21569</v>
      </c>
      <c r="CQ22" s="122">
        <v>0.9940655570494692</v>
      </c>
      <c r="CR22" s="347">
        <v>2983</v>
      </c>
      <c r="CS22" s="387">
        <v>87</v>
      </c>
      <c r="CT22" s="347">
        <v>3226</v>
      </c>
      <c r="CU22" s="122">
        <v>0.92467451952882829</v>
      </c>
      <c r="CV22" s="303">
        <v>51144</v>
      </c>
      <c r="CW22" s="347">
        <v>65385</v>
      </c>
      <c r="CX22" s="387">
        <v>2.3853365048272002</v>
      </c>
      <c r="CY22" s="387">
        <v>3.0314340025035933</v>
      </c>
      <c r="CZ22" s="347">
        <v>18194</v>
      </c>
      <c r="DA22" s="347">
        <v>11518</v>
      </c>
      <c r="DB22" s="122">
        <v>0.6330658458832582</v>
      </c>
      <c r="DC22" s="347">
        <v>18065</v>
      </c>
      <c r="DD22" s="347">
        <v>12989</v>
      </c>
      <c r="DE22" s="122">
        <v>0.71901466924993085</v>
      </c>
      <c r="DF22" s="347">
        <v>1293</v>
      </c>
      <c r="DG22" s="122">
        <v>0.43345625209520616</v>
      </c>
      <c r="DH22" s="303">
        <v>1905</v>
      </c>
      <c r="DI22" s="122">
        <v>0.59051456912585243</v>
      </c>
      <c r="DJ22" s="347">
        <v>8693</v>
      </c>
      <c r="DK22" s="347">
        <v>12748</v>
      </c>
      <c r="DL22" s="347">
        <v>433</v>
      </c>
      <c r="DM22" s="347">
        <v>515</v>
      </c>
      <c r="DN22" s="122">
        <v>0.84077669902912622</v>
      </c>
      <c r="DO22" s="486">
        <v>4215944.1680000005</v>
      </c>
      <c r="DP22" s="486">
        <v>4105037.5360000003</v>
      </c>
      <c r="DQ22" s="122">
        <v>2.7017202894585202E-2</v>
      </c>
      <c r="DR22" s="486">
        <v>696022.32800000021</v>
      </c>
      <c r="DS22" s="486">
        <v>1032855.12</v>
      </c>
      <c r="DT22" s="122">
        <v>-0.32611814133234851</v>
      </c>
      <c r="DU22" s="486">
        <v>262183.14400000003</v>
      </c>
      <c r="DV22" s="486">
        <v>426834.424</v>
      </c>
      <c r="DW22" s="122">
        <v>-0.38574976792406035</v>
      </c>
      <c r="DX22" s="486">
        <v>125599.36800000002</v>
      </c>
      <c r="DY22" s="486">
        <v>147098.432</v>
      </c>
      <c r="DZ22" s="122">
        <v>-0.1461542703595915</v>
      </c>
      <c r="EA22" s="486">
        <v>4526065.392</v>
      </c>
      <c r="EB22" s="486">
        <v>3887726.5280000004</v>
      </c>
      <c r="EC22" s="122">
        <v>0.16419335552606018</v>
      </c>
      <c r="ED22" s="486">
        <v>403807.38400000002</v>
      </c>
      <c r="EE22" s="486">
        <v>602947.32000000007</v>
      </c>
      <c r="EF22" s="122">
        <v>-0.33027750417731361</v>
      </c>
      <c r="EG22" s="486">
        <v>10202499.360000001</v>
      </c>
      <c r="EH22" s="122">
        <v>2.6584097722499589E-3</v>
      </c>
      <c r="EI22" s="122">
        <v>0.80701529575364106</v>
      </c>
      <c r="EJ22" s="303">
        <v>24424</v>
      </c>
    </row>
    <row r="23" spans="1:140">
      <c r="A23" s="490" t="s">
        <v>96</v>
      </c>
      <c r="B23" s="131" t="s">
        <v>20</v>
      </c>
      <c r="C23" s="105" t="s">
        <v>228</v>
      </c>
      <c r="D23" s="767">
        <f>VLOOKUP($B$4:$B$30,'TOTAL POR UF'!$A$5:$B$31,2,)</f>
        <v>613217.83200000005</v>
      </c>
      <c r="E23" s="768">
        <f>VLOOKUP($A$4:$A$31,'Evolução das Receitas'!$P$212:$Q$239,2,0)</f>
        <v>694746.1</v>
      </c>
      <c r="F23" s="103">
        <f t="shared" si="3"/>
        <v>0.88265026892558318</v>
      </c>
      <c r="G23" s="767">
        <f>VLOOKUP($B$4:$B$30,'TOTAL POR UF'!$A$5:$C$31,3,)</f>
        <v>133056.17600000001</v>
      </c>
      <c r="H23" s="768">
        <f>VLOOKUP($A$4:$A$31,'Evolução das Receitas'!$P$212:$R$239,3,0)</f>
        <v>193603.36</v>
      </c>
      <c r="I23" s="103">
        <f t="shared" si="4"/>
        <v>0.68726170868108905</v>
      </c>
      <c r="J23" s="767">
        <f>VLOOKUP($B$4:$B$30,'TOTAL POR UF'!$A$5:$D$31,4,)</f>
        <v>17642.52</v>
      </c>
      <c r="K23" s="768">
        <f>VLOOKUP($A$4:$A$31,'Evolução das Receitas'!$P$212:$S$239,4,)</f>
        <v>58238.9</v>
      </c>
      <c r="L23" s="103">
        <f t="shared" si="5"/>
        <v>0.30293360623226057</v>
      </c>
      <c r="M23" s="767">
        <f>VLOOKUP($B$4:$B$30,'TOTAL POR UF'!$A$5:$E$31,5,)</f>
        <v>11967.079999999998</v>
      </c>
      <c r="N23" s="768">
        <f>VLOOKUP($A$4:$A$31,'Evolução das Receitas'!$P$212:$T$239,5,0)</f>
        <v>45000</v>
      </c>
      <c r="O23" s="103">
        <f t="shared" si="6"/>
        <v>0.26593511111111107</v>
      </c>
      <c r="P23" s="767">
        <f>VLOOKUP($B$4:$B$30,'TOTAL POR UF'!$A$5:$X$31,23,)</f>
        <v>667481.01599999995</v>
      </c>
      <c r="Q23" s="768">
        <f>VLOOKUP($A$4:$A$31,'Evolução das Receitas'!$P$212:$U$239,6,0)</f>
        <v>918560.92999999993</v>
      </c>
      <c r="R23" s="103">
        <f t="shared" si="7"/>
        <v>0.72665948899002264</v>
      </c>
      <c r="S23" s="767">
        <f>VLOOKUP($B$4:$B$30,'TOTAL POR UF'!$A$5:$X$31,24,0)</f>
        <v>80350.207999999999</v>
      </c>
      <c r="T23" s="768">
        <f>VLOOKUP($A$4:$A$31,'Evolução das Receitas'!$P$212:$V$239,7,0)</f>
        <v>80784.91</v>
      </c>
      <c r="U23" s="103">
        <f t="shared" si="8"/>
        <v>0.99461901981446776</v>
      </c>
      <c r="V23" s="109">
        <f>VLOOKUP($A$4:$A$29,'Anuid PF'!$A$5:$G$31,7,)</f>
        <v>2789</v>
      </c>
      <c r="W23" s="109">
        <f>VLOOKUP($A$4:$A$29,'Relatórios - SICCAU e IGEO'!$A$3:$E$29,5,)</f>
        <v>123</v>
      </c>
      <c r="X23" s="109">
        <f>VLOOKUP($A$4:$A$29,'Anuid PF'!$A$5:$B$31,2,)</f>
        <v>2803</v>
      </c>
      <c r="Y23" s="495">
        <f t="shared" si="9"/>
        <v>0.99500535140920443</v>
      </c>
      <c r="Z23" s="109">
        <f>VLOOKUP($A$4:$A$29,'Anuid PJ'!$A$5:$F$31,6,)</f>
        <v>328</v>
      </c>
      <c r="AA23" s="496">
        <f>VLOOKUP($A$4:$A$29,'Relatórios - SICCAU e IGEO'!$A$3:$J$29,10,)</f>
        <v>16</v>
      </c>
      <c r="AB23" s="109">
        <f>VLOOKUP($A$4:$A$29,'Anuid PJ'!$A$5:$B$31,2,)</f>
        <v>316</v>
      </c>
      <c r="AC23" s="103">
        <f t="shared" si="13"/>
        <v>1.0379746835443038</v>
      </c>
      <c r="AD23" s="109">
        <f>VLOOKUP($A$4:$A$29,RRT!$A$4:$D$30,4,)</f>
        <v>7489</v>
      </c>
      <c r="AE23" s="109">
        <f>VLOOKUP($A$4:$A$29,RRT!$A$4:$B$30,2,)</f>
        <v>10564</v>
      </c>
      <c r="AF23" s="498">
        <f t="shared" si="10"/>
        <v>2.6851918250268914</v>
      </c>
      <c r="AG23" s="498">
        <f>Tabela3[[#This Row],[Previsto - RRT]]/Tabela3[[#This Row],[Previsto PF]]</f>
        <v>3.7688191223688903</v>
      </c>
      <c r="AH23" s="109">
        <f>VLOOKUP(Tabela3[UF],'ADIMPLÊNCIA PF'!$A$4:H49,8,)</f>
        <v>2728</v>
      </c>
      <c r="AI23" s="109">
        <f>VLOOKUP(Tabela3[[#This Row],[UF]],'ADIMPLÊNCIA PF'!$A$4:$I$30,9,)</f>
        <v>1592</v>
      </c>
      <c r="AJ23" s="103">
        <f>Tabela3[[#This Row],[PF Qnt Pag.
Exec.]]/Tabela3[[#This Row],[PF
Qnt Pot Pag.
Exec.]]</f>
        <v>0.58357771260997071</v>
      </c>
      <c r="AK23" s="507">
        <f>VLOOKUP(Tabela3[[#This Row],[UF]],'ADIMPLÊNCIA PF'!$A$4:$C$30,3,)</f>
        <v>2723</v>
      </c>
      <c r="AL23" s="507">
        <f>VLOOKUP(Tabela3[[#This Row],[UF]],'ADIMPLÊNCIA PF'!$A$4:$D$30,4,)</f>
        <v>1878</v>
      </c>
      <c r="AM23" s="103">
        <f>Tabela3[[#This Row],[PF Qnt Pag.
Previsto]]/Tabela3[[#This Row],[PF
Qnt Pot Pag.
Previsto]]</f>
        <v>0.68968049944913701</v>
      </c>
      <c r="AN23" s="507">
        <f>VLOOKUP(Tabela3[[#This Row],[UF]],'ADIMPLÊNCIA PJ'!$A$4:$F$30,6,)</f>
        <v>94</v>
      </c>
      <c r="AO23" s="103">
        <f>Tabela3[[#This Row],[PJ Pagantes
Exec.]]/Tabela3[[#This Row],[PJ Ativos]]</f>
        <v>0.28658536585365851</v>
      </c>
      <c r="AP23" s="507">
        <f>VLOOKUP(Tabela3[[#This Row],[UF]],'ADIMPLÊNCIA PJ'!$A$4:$C$30,3,)</f>
        <v>149</v>
      </c>
      <c r="AQ23" s="103">
        <f>Tabela3[[#This Row],[PJ Pagante
Previsto]]/Tabela3[[#This Row],[Previsto PJ]]</f>
        <v>0.47151898734177217</v>
      </c>
      <c r="AR23" s="109">
        <f>VLOOKUP($A$4:$A$29,'PF - Gênero'!$A$2:$B$28,2,)</f>
        <v>760</v>
      </c>
      <c r="AS23" s="109">
        <f>VLOOKUP($A$4:$A$29,'PF - Gênero'!$A$2:$C$28,3,)</f>
        <v>2029</v>
      </c>
      <c r="AT23" s="109">
        <f>VLOOKUP($A$4:$A$29,'Relatórios - SICCAU e IGEO'!$A$3:$F$29,6,)</f>
        <v>103</v>
      </c>
      <c r="AU23" s="109">
        <v>115</v>
      </c>
      <c r="AV23" s="495">
        <f t="shared" si="11"/>
        <v>0.89565217391304353</v>
      </c>
      <c r="AW23" s="527">
        <f>'Comparativo YoY'!FN22</f>
        <v>613217.83200000005</v>
      </c>
      <c r="AX23" s="527">
        <f>'Comparativo YoY'!FU22</f>
        <v>542284.45600000012</v>
      </c>
      <c r="AY23" s="103">
        <f>Tabela3[[#This Row],[Receita
PF
2022]]/Tabela3[[#This Row],[Receita
PF
2021]]-1</f>
        <v>0.13080473765229939</v>
      </c>
      <c r="AZ23" s="527">
        <f>+'Comparativo YoY'!FO22</f>
        <v>133056.17600000001</v>
      </c>
      <c r="BA23" s="527">
        <f>+'Comparativo YoY'!FV22</f>
        <v>187485.04800000001</v>
      </c>
      <c r="BB23" s="103">
        <f>Tabela3[[#This Row],[Receita
PF - Ex Ant
2022]]/Tabela3[[#This Row],[Receita
PF - Ex Ant
2021]]-1</f>
        <v>-0.29031046785128167</v>
      </c>
      <c r="BC23" s="527">
        <f>'Comparativo YoY'!FP22</f>
        <v>17642.52</v>
      </c>
      <c r="BD23" s="527">
        <f>'Comparativo YoY'!FW22</f>
        <v>24662.752000000004</v>
      </c>
      <c r="BE23" s="103">
        <f>Tabela3[[#This Row],[Receita
PJ
2022]]/Tabela3[[#This Row],[Receita
PJ
2021]]-1</f>
        <v>-0.28464917459333017</v>
      </c>
      <c r="BF23" s="527">
        <f>'Comparativo YoY'!FQ22</f>
        <v>11967.079999999998</v>
      </c>
      <c r="BG23" s="530">
        <f>'Comparativo YoY'!FX22</f>
        <v>14777.088000000002</v>
      </c>
      <c r="BH23" s="103">
        <f>Tabela3[[#This Row],[Receita
PJ - Ex Ant
2022]]/Tabela3[[#This Row],[Receita
PJ - Ex Ant
2021]]-1</f>
        <v>-0.19015979332328559</v>
      </c>
      <c r="BI23" s="527">
        <f>'Comparativo YoY'!FR22</f>
        <v>667481.01599999995</v>
      </c>
      <c r="BJ23" s="527">
        <f>'Comparativo YoY'!FY22</f>
        <v>624533.38400000008</v>
      </c>
      <c r="BK23" s="103">
        <f>Tabela3[[#This Row],[Receita
RRT
2022]]/Tabela3[[#This Row],[Receita
RRT
2021]]-1</f>
        <v>6.8767552064117998E-2</v>
      </c>
      <c r="BL23" s="527">
        <f>'Comparativo YoY'!FS22</f>
        <v>80350.207999999999</v>
      </c>
      <c r="BM23" s="527">
        <f>'Comparativo YoY'!FZ22</f>
        <v>88339.144</v>
      </c>
      <c r="BN23" s="103">
        <f>Tabela3[[#This Row],[Receita
Taxas
2022]]/Tabela3[[#This Row],[Receita
Taxas
2021]]-1</f>
        <v>-9.0434835999769314E-2</v>
      </c>
      <c r="BO23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1482081.8720000002</v>
      </c>
      <c r="BP23" s="103">
        <f t="shared" si="14"/>
        <v>2.8090863795410925E-2</v>
      </c>
      <c r="BQ23" s="499">
        <f t="shared" si="12"/>
        <v>0.76532656478551631</v>
      </c>
      <c r="BR23" s="517">
        <f>Tabela3[[#This Row],[PF Ativos
Exec.]]+Tabela3[[#This Row],[PJ Ativos]]</f>
        <v>3117</v>
      </c>
      <c r="BT23" s="790" t="s">
        <v>96</v>
      </c>
      <c r="BU23" s="790" t="s">
        <v>20</v>
      </c>
      <c r="BV23" s="750">
        <v>613217.83200000005</v>
      </c>
      <c r="BW23" s="486">
        <v>694746.1</v>
      </c>
      <c r="BX23" s="122">
        <v>0.88265026892558318</v>
      </c>
      <c r="BY23" s="486">
        <v>133056.17600000001</v>
      </c>
      <c r="BZ23" s="486">
        <v>193603.36</v>
      </c>
      <c r="CA23" s="122">
        <v>0.68726170868108905</v>
      </c>
      <c r="CB23" s="486">
        <v>17642.52</v>
      </c>
      <c r="CC23" s="486">
        <v>58238.9</v>
      </c>
      <c r="CD23" s="122">
        <v>0.30293360623226057</v>
      </c>
      <c r="CE23" s="486">
        <v>11967.079999999998</v>
      </c>
      <c r="CF23" s="486">
        <v>45000</v>
      </c>
      <c r="CG23" s="122">
        <v>0.26593511111111107</v>
      </c>
      <c r="CH23" s="486">
        <v>667481.01599999995</v>
      </c>
      <c r="CI23" s="486">
        <v>918560.92999999993</v>
      </c>
      <c r="CJ23" s="122">
        <v>0.72665948899002264</v>
      </c>
      <c r="CK23" s="486">
        <v>80350.207999999999</v>
      </c>
      <c r="CL23" s="486">
        <v>80784.91</v>
      </c>
      <c r="CM23" s="122">
        <v>0.99461901981446776</v>
      </c>
      <c r="CN23" s="347">
        <v>2789</v>
      </c>
      <c r="CO23" s="303">
        <v>123</v>
      </c>
      <c r="CP23" s="347">
        <v>2803</v>
      </c>
      <c r="CQ23" s="122">
        <v>0.99500535140920443</v>
      </c>
      <c r="CR23" s="347">
        <v>328</v>
      </c>
      <c r="CS23" s="387">
        <v>16</v>
      </c>
      <c r="CT23" s="347">
        <v>316</v>
      </c>
      <c r="CU23" s="122">
        <v>1.0379746835443038</v>
      </c>
      <c r="CV23" s="303">
        <v>7489</v>
      </c>
      <c r="CW23" s="347">
        <v>10564</v>
      </c>
      <c r="CX23" s="387">
        <v>2.6851918250268914</v>
      </c>
      <c r="CY23" s="387">
        <v>3.7688191223688903</v>
      </c>
      <c r="CZ23" s="347">
        <v>2728</v>
      </c>
      <c r="DA23" s="347">
        <v>1592</v>
      </c>
      <c r="DB23" s="122">
        <v>0.58357771260997071</v>
      </c>
      <c r="DC23" s="347">
        <v>2723</v>
      </c>
      <c r="DD23" s="347">
        <v>1878</v>
      </c>
      <c r="DE23" s="122">
        <v>0.68968049944913701</v>
      </c>
      <c r="DF23" s="347">
        <v>94</v>
      </c>
      <c r="DG23" s="122">
        <v>0.28658536585365851</v>
      </c>
      <c r="DH23" s="303">
        <v>149</v>
      </c>
      <c r="DI23" s="122">
        <v>0.47151898734177217</v>
      </c>
      <c r="DJ23" s="347">
        <v>760</v>
      </c>
      <c r="DK23" s="347">
        <v>2029</v>
      </c>
      <c r="DL23" s="347">
        <v>103</v>
      </c>
      <c r="DM23" s="347">
        <v>115</v>
      </c>
      <c r="DN23" s="122">
        <v>0.89565217391304353</v>
      </c>
      <c r="DO23" s="486">
        <v>613217.83200000005</v>
      </c>
      <c r="DP23" s="486">
        <v>542284.45600000012</v>
      </c>
      <c r="DQ23" s="122">
        <v>0.13080473765229939</v>
      </c>
      <c r="DR23" s="486">
        <v>133056.17600000001</v>
      </c>
      <c r="DS23" s="486">
        <v>187485.04800000001</v>
      </c>
      <c r="DT23" s="122">
        <v>-0.29031046785128167</v>
      </c>
      <c r="DU23" s="486">
        <v>17642.52</v>
      </c>
      <c r="DV23" s="486">
        <v>24662.752000000004</v>
      </c>
      <c r="DW23" s="122">
        <v>-0.28464917459333017</v>
      </c>
      <c r="DX23" s="486">
        <v>11967.079999999998</v>
      </c>
      <c r="DY23" s="486">
        <v>14777.088000000002</v>
      </c>
      <c r="DZ23" s="122">
        <v>-0.19015979332328559</v>
      </c>
      <c r="EA23" s="486">
        <v>667481.01599999995</v>
      </c>
      <c r="EB23" s="486">
        <v>624533.38400000008</v>
      </c>
      <c r="EC23" s="122">
        <v>6.8767552064117998E-2</v>
      </c>
      <c r="ED23" s="486">
        <v>80350.207999999999</v>
      </c>
      <c r="EE23" s="486">
        <v>88339.144</v>
      </c>
      <c r="EF23" s="122">
        <v>-9.0434835999769314E-2</v>
      </c>
      <c r="EG23" s="486">
        <v>1482081.8720000002</v>
      </c>
      <c r="EH23" s="122">
        <v>2.8090863795410925E-2</v>
      </c>
      <c r="EI23" s="122">
        <v>0.76532656478551631</v>
      </c>
      <c r="EJ23" s="303">
        <v>3117</v>
      </c>
    </row>
    <row r="24" spans="1:140">
      <c r="A24" s="490" t="s">
        <v>98</v>
      </c>
      <c r="B24" s="131" t="s">
        <v>21</v>
      </c>
      <c r="C24" s="105" t="s">
        <v>225</v>
      </c>
      <c r="D24" s="767">
        <f>VLOOKUP($B$4:$B$30,'TOTAL POR UF'!$A$5:$B$31,2,)</f>
        <v>318796.96000000002</v>
      </c>
      <c r="E24" s="768">
        <f>VLOOKUP($A$4:$A$31,'Evolução das Receitas'!$P$212:$Q$239,2,0)</f>
        <v>357610.5</v>
      </c>
      <c r="F24" s="103">
        <f t="shared" si="3"/>
        <v>0.89146420477027388</v>
      </c>
      <c r="G24" s="767">
        <f>VLOOKUP($B$4:$B$30,'TOTAL POR UF'!$A$5:$C$31,3,)</f>
        <v>95524.272000000026</v>
      </c>
      <c r="H24" s="768">
        <f>VLOOKUP($A$4:$A$31,'Evolução das Receitas'!$P$212:$R$239,3,0)</f>
        <v>76550.48</v>
      </c>
      <c r="I24" s="103">
        <f t="shared" si="4"/>
        <v>1.2478598697225678</v>
      </c>
      <c r="J24" s="767">
        <f>VLOOKUP($B$4:$B$30,'TOTAL POR UF'!$A$5:$D$31,4,)</f>
        <v>15997.368000000002</v>
      </c>
      <c r="K24" s="768">
        <f>VLOOKUP($A$4:$A$31,'Evolução das Receitas'!$P$212:$S$239,4,)</f>
        <v>34600.170000000006</v>
      </c>
      <c r="L24" s="103">
        <f t="shared" si="5"/>
        <v>0.46234940464165347</v>
      </c>
      <c r="M24" s="767">
        <f>VLOOKUP($B$4:$B$30,'TOTAL POR UF'!$A$5:$E$31,5,)</f>
        <v>21375.360000000001</v>
      </c>
      <c r="N24" s="768">
        <f>VLOOKUP($A$4:$A$31,'Evolução das Receitas'!$P$212:$T$239,5,0)</f>
        <v>19144.309999999998</v>
      </c>
      <c r="O24" s="103">
        <f t="shared" si="6"/>
        <v>1.116538543306079</v>
      </c>
      <c r="P24" s="767">
        <f>VLOOKUP($B$4:$B$30,'TOTAL POR UF'!$A$5:$X$31,23,)</f>
        <v>630595.15200000012</v>
      </c>
      <c r="Q24" s="768">
        <f>VLOOKUP($A$4:$A$31,'Evolução das Receitas'!$P$212:$U$239,6,0)</f>
        <v>955515.52</v>
      </c>
      <c r="R24" s="103">
        <f t="shared" si="7"/>
        <v>0.65995280955771407</v>
      </c>
      <c r="S24" s="767">
        <f>VLOOKUP($B$4:$B$30,'TOTAL POR UF'!$A$5:$X$31,24,0)</f>
        <v>54991.736000000012</v>
      </c>
      <c r="T24" s="768">
        <f>VLOOKUP($A$4:$A$31,'Evolução das Receitas'!$P$212:$V$239,7,0)</f>
        <v>60161.98</v>
      </c>
      <c r="U24" s="103">
        <f t="shared" si="8"/>
        <v>0.91406127258444636</v>
      </c>
      <c r="V24" s="109">
        <f>VLOOKUP($A$4:$A$29,'Anuid PF'!$A$5:$G$31,7,)</f>
        <v>1471</v>
      </c>
      <c r="W24" s="109">
        <f>VLOOKUP($A$4:$A$29,'Relatórios - SICCAU e IGEO'!$A$3:$E$29,5,)</f>
        <v>85</v>
      </c>
      <c r="X24" s="109">
        <f>VLOOKUP($A$4:$A$29,'Anuid PF'!$A$5:$B$31,2,)</f>
        <v>1461.8</v>
      </c>
      <c r="Y24" s="103">
        <f t="shared" si="9"/>
        <v>1.0062936106170475</v>
      </c>
      <c r="Z24" s="109">
        <f>VLOOKUP($A$4:$A$29,'Anuid PJ'!$A$5:$F$31,6,)</f>
        <v>246</v>
      </c>
      <c r="AA24" s="496">
        <f>VLOOKUP($A$4:$A$29,'Relatórios - SICCAU e IGEO'!$A$3:$J$29,10,)</f>
        <v>13</v>
      </c>
      <c r="AB24" s="109">
        <f>VLOOKUP($A$4:$A$29,'Anuid PJ'!$A$5:$B$31,2,)</f>
        <v>241</v>
      </c>
      <c r="AC24" s="103">
        <f t="shared" si="13"/>
        <v>1.0207468879668049</v>
      </c>
      <c r="AD24" s="109">
        <f>VLOOKUP($A$4:$A$29,RRT!$A$4:$D$30,4,)</f>
        <v>7167</v>
      </c>
      <c r="AE24" s="109">
        <f>VLOOKUP($A$4:$A$29,RRT!$A$4:$B$30,2,)</f>
        <v>11007</v>
      </c>
      <c r="AF24" s="498">
        <f t="shared" si="10"/>
        <v>4.8721957851801498</v>
      </c>
      <c r="AG24" s="498">
        <f>Tabela3[[#This Row],[Previsto - RRT]]/Tabela3[[#This Row],[Previsto PF]]</f>
        <v>7.5297578328088663</v>
      </c>
      <c r="AH24" s="109">
        <f>VLOOKUP(Tabela3[UF],'ADIMPLÊNCIA PF'!$A$4:H50,8,)</f>
        <v>1459</v>
      </c>
      <c r="AI24" s="109">
        <f>VLOOKUP(Tabela3[[#This Row],[UF]],'ADIMPLÊNCIA PF'!$A$4:$I$30,9,)</f>
        <v>929</v>
      </c>
      <c r="AJ24" s="103">
        <f>Tabela3[[#This Row],[PF Qnt Pag.
Exec.]]/Tabela3[[#This Row],[PF
Qnt Pot Pag.
Exec.]]</f>
        <v>0.63673749143248803</v>
      </c>
      <c r="AK24" s="507">
        <f>VLOOKUP(Tabela3[[#This Row],[UF]],'ADIMPLÊNCIA PF'!$A$4:$C$30,3,)</f>
        <v>1442.8</v>
      </c>
      <c r="AL24" s="507">
        <f>VLOOKUP(Tabela3[[#This Row],[UF]],'ADIMPLÊNCIA PF'!$A$4:$D$30,4,)</f>
        <v>1030</v>
      </c>
      <c r="AM24" s="103">
        <f>Tabela3[[#This Row],[PF Qnt Pag.
Previsto]]/Tabela3[[#This Row],[PF
Qnt Pot Pag.
Previsto]]</f>
        <v>0.71388965899639589</v>
      </c>
      <c r="AN24" s="507">
        <f>VLOOKUP(Tabela3[[#This Row],[UF]],'ADIMPLÊNCIA PJ'!$A$4:$F$30,6,)</f>
        <v>74</v>
      </c>
      <c r="AO24" s="103">
        <f>Tabela3[[#This Row],[PJ Pagantes
Exec.]]/Tabela3[[#This Row],[PJ Ativos]]</f>
        <v>0.30081300813008133</v>
      </c>
      <c r="AP24" s="507">
        <f>VLOOKUP(Tabela3[[#This Row],[UF]],'ADIMPLÊNCIA PJ'!$A$4:$C$30,3,)</f>
        <v>109</v>
      </c>
      <c r="AQ24" s="103">
        <f>Tabela3[[#This Row],[PJ Pagante
Previsto]]/Tabela3[[#This Row],[Previsto PJ]]</f>
        <v>0.45228215767634855</v>
      </c>
      <c r="AR24" s="109">
        <f>VLOOKUP($A$4:$A$29,'PF - Gênero'!$A$2:$B$28,2,)</f>
        <v>638</v>
      </c>
      <c r="AS24" s="109">
        <f>VLOOKUP($A$4:$A$29,'PF - Gênero'!$A$2:$C$28,3,)</f>
        <v>833</v>
      </c>
      <c r="AT24" s="109">
        <f>VLOOKUP($A$4:$A$29,'Relatórios - SICCAU e IGEO'!$A$3:$F$29,6,)</f>
        <v>95</v>
      </c>
      <c r="AU24" s="109">
        <v>81</v>
      </c>
      <c r="AV24" s="495">
        <f t="shared" si="11"/>
        <v>1.1728395061728396</v>
      </c>
      <c r="AW24" s="527">
        <f>'Comparativo YoY'!FN23</f>
        <v>2086419.4880000001</v>
      </c>
      <c r="AX24" s="527">
        <f>'Comparativo YoY'!FU23</f>
        <v>259160.39200000002</v>
      </c>
      <c r="AY24" s="103">
        <f>Tabela3[[#This Row],[Receita
PF
2022]]/Tabela3[[#This Row],[Receita
PF
2021]]-1</f>
        <v>7.0506881159525339</v>
      </c>
      <c r="AZ24" s="527">
        <f>+'Comparativo YoY'!FO23</f>
        <v>559744.42400000012</v>
      </c>
      <c r="BA24" s="527">
        <f>+'Comparativo YoY'!FV23</f>
        <v>73843.39999999998</v>
      </c>
      <c r="BB24" s="103">
        <f>Tabela3[[#This Row],[Receita
PF - Ex Ant
2022]]/Tabela3[[#This Row],[Receita
PF - Ex Ant
2021]]-1</f>
        <v>6.5801550849500465</v>
      </c>
      <c r="BC24" s="527">
        <f>'Comparativo YoY'!FP23</f>
        <v>228920.75200000001</v>
      </c>
      <c r="BD24" s="527">
        <f>'Comparativo YoY'!FW23</f>
        <v>19488.072</v>
      </c>
      <c r="BE24" s="103">
        <f>Tabela3[[#This Row],[Receita
PJ
2022]]/Tabela3[[#This Row],[Receita
PJ
2021]]-1</f>
        <v>10.746711116420341</v>
      </c>
      <c r="BF24" s="527">
        <f>'Comparativo YoY'!FQ23</f>
        <v>99961.304000000033</v>
      </c>
      <c r="BG24" s="530">
        <f>'Comparativo YoY'!FX23</f>
        <v>11396.088000000002</v>
      </c>
      <c r="BH24" s="103">
        <f>Tabela3[[#This Row],[Receita
PJ - Ex Ant
2022]]/Tabela3[[#This Row],[Receita
PJ - Ex Ant
2021]]-1</f>
        <v>7.7715454636713943</v>
      </c>
      <c r="BI24" s="527">
        <f>'Comparativo YoY'!FR23</f>
        <v>4604214.5999999996</v>
      </c>
      <c r="BJ24" s="527">
        <f>'Comparativo YoY'!FY23</f>
        <v>605838.12</v>
      </c>
      <c r="BK24" s="103">
        <f>Tabela3[[#This Row],[Receita
RRT
2022]]/Tabela3[[#This Row],[Receita
RRT
2021]]-1</f>
        <v>6.5997439712113195</v>
      </c>
      <c r="BL24" s="527">
        <f>'Comparativo YoY'!FS23</f>
        <v>348828.86400000006</v>
      </c>
      <c r="BM24" s="527">
        <f>'Comparativo YoY'!FZ23</f>
        <v>36706.439999999995</v>
      </c>
      <c r="BN24" s="103">
        <f>Tabela3[[#This Row],[Receita
Taxas
2022]]/Tabela3[[#This Row],[Receita
Taxas
2021]]-1</f>
        <v>8.5032060859075447</v>
      </c>
      <c r="BO24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1006432.5119999999</v>
      </c>
      <c r="BP24" s="103">
        <f t="shared" si="14"/>
        <v>0.13001203204373457</v>
      </c>
      <c r="BQ24" s="499">
        <f t="shared" si="12"/>
        <v>0.75638051125559458</v>
      </c>
      <c r="BR24" s="517">
        <f>Tabela3[[#This Row],[PF Ativos
Exec.]]+Tabela3[[#This Row],[PJ Ativos]]</f>
        <v>1717</v>
      </c>
      <c r="BT24" s="790" t="s">
        <v>98</v>
      </c>
      <c r="BU24" s="790" t="s">
        <v>21</v>
      </c>
      <c r="BV24" s="750">
        <v>318796.96000000002</v>
      </c>
      <c r="BW24" s="486">
        <v>357610.5</v>
      </c>
      <c r="BX24" s="122">
        <v>0.89146420477027388</v>
      </c>
      <c r="BY24" s="486">
        <v>95524.272000000026</v>
      </c>
      <c r="BZ24" s="486">
        <v>76550.48</v>
      </c>
      <c r="CA24" s="122">
        <v>1.2478598697225678</v>
      </c>
      <c r="CB24" s="486">
        <v>15997.368000000002</v>
      </c>
      <c r="CC24" s="486">
        <v>34600.170000000006</v>
      </c>
      <c r="CD24" s="122">
        <v>0.46234940464165347</v>
      </c>
      <c r="CE24" s="486">
        <v>21375.360000000001</v>
      </c>
      <c r="CF24" s="486">
        <v>19144.309999999998</v>
      </c>
      <c r="CG24" s="122">
        <v>1.116538543306079</v>
      </c>
      <c r="CH24" s="486">
        <v>630595.15200000012</v>
      </c>
      <c r="CI24" s="486">
        <v>955515.52</v>
      </c>
      <c r="CJ24" s="122">
        <v>0.65995280955771407</v>
      </c>
      <c r="CK24" s="486">
        <v>54991.736000000012</v>
      </c>
      <c r="CL24" s="486">
        <v>60161.98</v>
      </c>
      <c r="CM24" s="122">
        <v>0.91406127258444636</v>
      </c>
      <c r="CN24" s="347">
        <v>1471</v>
      </c>
      <c r="CO24" s="303">
        <v>85</v>
      </c>
      <c r="CP24" s="347">
        <v>1461.8</v>
      </c>
      <c r="CQ24" s="122">
        <v>1.0062936106170475</v>
      </c>
      <c r="CR24" s="347">
        <v>246</v>
      </c>
      <c r="CS24" s="387">
        <v>13</v>
      </c>
      <c r="CT24" s="347">
        <v>241</v>
      </c>
      <c r="CU24" s="122">
        <v>1.0207468879668049</v>
      </c>
      <c r="CV24" s="303">
        <v>7167</v>
      </c>
      <c r="CW24" s="347">
        <v>11007</v>
      </c>
      <c r="CX24" s="387">
        <v>4.8721957851801498</v>
      </c>
      <c r="CY24" s="387">
        <v>7.5297578328088663</v>
      </c>
      <c r="CZ24" s="347">
        <v>1459</v>
      </c>
      <c r="DA24" s="347">
        <v>929</v>
      </c>
      <c r="DB24" s="122">
        <v>0.63673749143248803</v>
      </c>
      <c r="DC24" s="347">
        <v>1442.8</v>
      </c>
      <c r="DD24" s="347">
        <v>1030</v>
      </c>
      <c r="DE24" s="122">
        <v>0.71388965899639589</v>
      </c>
      <c r="DF24" s="347">
        <v>74</v>
      </c>
      <c r="DG24" s="122">
        <v>0.30081300813008133</v>
      </c>
      <c r="DH24" s="303">
        <v>109</v>
      </c>
      <c r="DI24" s="122">
        <v>0.45228215767634855</v>
      </c>
      <c r="DJ24" s="347">
        <v>638</v>
      </c>
      <c r="DK24" s="347">
        <v>833</v>
      </c>
      <c r="DL24" s="347">
        <v>95</v>
      </c>
      <c r="DM24" s="347">
        <v>81</v>
      </c>
      <c r="DN24" s="122">
        <v>1.1728395061728396</v>
      </c>
      <c r="DO24" s="486">
        <v>2086419.4880000001</v>
      </c>
      <c r="DP24" s="486">
        <v>259160.39200000002</v>
      </c>
      <c r="DQ24" s="122">
        <v>7.0506881159525339</v>
      </c>
      <c r="DR24" s="486">
        <v>559744.42400000012</v>
      </c>
      <c r="DS24" s="486">
        <v>73843.39999999998</v>
      </c>
      <c r="DT24" s="122">
        <v>6.5801550849500465</v>
      </c>
      <c r="DU24" s="486">
        <v>228920.75200000001</v>
      </c>
      <c r="DV24" s="486">
        <v>19488.072</v>
      </c>
      <c r="DW24" s="122">
        <v>10.746711116420341</v>
      </c>
      <c r="DX24" s="486">
        <v>99961.304000000033</v>
      </c>
      <c r="DY24" s="486">
        <v>11396.088000000002</v>
      </c>
      <c r="DZ24" s="122">
        <v>7.7715454636713943</v>
      </c>
      <c r="EA24" s="486">
        <v>4604214.5999999996</v>
      </c>
      <c r="EB24" s="486">
        <v>605838.12</v>
      </c>
      <c r="EC24" s="122">
        <v>6.5997439712113195</v>
      </c>
      <c r="ED24" s="486">
        <v>348828.86400000006</v>
      </c>
      <c r="EE24" s="486">
        <v>36706.439999999995</v>
      </c>
      <c r="EF24" s="122">
        <v>8.5032060859075447</v>
      </c>
      <c r="EG24" s="486">
        <v>1006432.5119999999</v>
      </c>
      <c r="EH24" s="122">
        <v>0.13001203204373457</v>
      </c>
      <c r="EI24" s="122">
        <v>0.75638051125559458</v>
      </c>
      <c r="EJ24" s="303">
        <v>1717</v>
      </c>
    </row>
    <row r="25" spans="1:140">
      <c r="A25" s="490" t="s">
        <v>99</v>
      </c>
      <c r="B25" s="131" t="s">
        <v>22</v>
      </c>
      <c r="C25" s="105" t="s">
        <v>225</v>
      </c>
      <c r="D25" s="767">
        <f>VLOOKUP($B$4:$B$30,'TOTAL POR UF'!$A$5:$B$31,2,)</f>
        <v>52341.72</v>
      </c>
      <c r="E25" s="768">
        <f>VLOOKUP($A$4:$A$31,'Evolução das Receitas'!$P$212:$Q$239,2,0)</f>
        <v>60890.82</v>
      </c>
      <c r="F25" s="103">
        <f t="shared" si="3"/>
        <v>0.85959952583985566</v>
      </c>
      <c r="G25" s="767">
        <f>VLOOKUP($B$4:$B$30,'TOTAL POR UF'!$A$5:$C$31,3,)</f>
        <v>10485.544</v>
      </c>
      <c r="H25" s="768">
        <f>VLOOKUP($A$4:$A$31,'Evolução das Receitas'!$P$212:$R$239,3,0)</f>
        <v>16201.14</v>
      </c>
      <c r="I25" s="103">
        <f t="shared" si="4"/>
        <v>0.6472102580435698</v>
      </c>
      <c r="J25" s="767">
        <f>VLOOKUP($B$4:$B$30,'TOTAL POR UF'!$A$5:$D$31,4,)</f>
        <v>2350.1760000000004</v>
      </c>
      <c r="K25" s="768">
        <f>VLOOKUP($A$4:$A$31,'Evolução das Receitas'!$P$212:$S$239,4,)</f>
        <v>6861.2</v>
      </c>
      <c r="L25" s="103">
        <f t="shared" si="5"/>
        <v>0.34253133562642107</v>
      </c>
      <c r="M25" s="767">
        <f>VLOOKUP($B$4:$B$30,'TOTAL POR UF'!$A$5:$E$31,5,)</f>
        <v>1966.424</v>
      </c>
      <c r="N25" s="768">
        <f>VLOOKUP($A$4:$A$31,'Evolução das Receitas'!$P$212:$T$239,5,0)</f>
        <v>5896.87</v>
      </c>
      <c r="O25" s="103">
        <f t="shared" si="6"/>
        <v>0.33346911157953285</v>
      </c>
      <c r="P25" s="767">
        <f>VLOOKUP($B$4:$B$30,'TOTAL POR UF'!$A$5:$X$31,23,)</f>
        <v>114038.064</v>
      </c>
      <c r="Q25" s="768">
        <f>VLOOKUP($A$4:$A$31,'Evolução das Receitas'!$P$212:$U$239,6,0)</f>
        <v>119732.91</v>
      </c>
      <c r="R25" s="103">
        <f t="shared" si="7"/>
        <v>0.95243708684604755</v>
      </c>
      <c r="S25" s="767">
        <f>VLOOKUP($B$4:$B$30,'TOTAL POR UF'!$A$5:$X$31,24,0)</f>
        <v>5227.6720000000005</v>
      </c>
      <c r="T25" s="768">
        <f>VLOOKUP($A$4:$A$31,'Evolução das Receitas'!$P$212:$V$239,7,0)</f>
        <v>7156.77</v>
      </c>
      <c r="U25" s="103">
        <f t="shared" si="8"/>
        <v>0.7304513069443338</v>
      </c>
      <c r="V25" s="109">
        <f>VLOOKUP($A$4:$A$29,'Anuid PF'!$A$5:$G$31,7,)</f>
        <v>253</v>
      </c>
      <c r="W25" s="109">
        <f>VLOOKUP($A$4:$A$29,'Relatórios - SICCAU e IGEO'!$A$3:$E$29,5,)</f>
        <v>7</v>
      </c>
      <c r="X25" s="109">
        <f>VLOOKUP($A$4:$A$29,'Anuid PF'!$A$5:$B$31,2,)</f>
        <v>255</v>
      </c>
      <c r="Y25" s="103">
        <f t="shared" si="9"/>
        <v>0.99215686274509807</v>
      </c>
      <c r="Z25" s="109">
        <f>VLOOKUP($A$4:$A$29,'Anuid PJ'!$A$5:$F$31,6,)</f>
        <v>67</v>
      </c>
      <c r="AA25" s="496">
        <f>VLOOKUP($A$4:$A$29,'Relatórios - SICCAU e IGEO'!$A$3:$J$29,10,)</f>
        <v>4</v>
      </c>
      <c r="AB25" s="109">
        <f>VLOOKUP($A$4:$A$29,'Anuid PJ'!$A$5:$B$31,2,)</f>
        <v>64</v>
      </c>
      <c r="AC25" s="103">
        <f t="shared" si="13"/>
        <v>1.046875</v>
      </c>
      <c r="AD25" s="109">
        <f>VLOOKUP($A$4:$A$29,RRT!$A$4:$D$30,4,)</f>
        <v>1296</v>
      </c>
      <c r="AE25" s="109">
        <f>VLOOKUP($A$4:$A$29,RRT!$A$4:$B$30,2,)</f>
        <v>1377</v>
      </c>
      <c r="AF25" s="498">
        <f t="shared" si="10"/>
        <v>5.1225296442687744</v>
      </c>
      <c r="AG25" s="498">
        <f>Tabela3[[#This Row],[Previsto - RRT]]/Tabela3[[#This Row],[Previsto PF]]</f>
        <v>5.4</v>
      </c>
      <c r="AH25" s="109">
        <f>VLOOKUP(Tabela3[UF],'ADIMPLÊNCIA PF'!$A$4:H51,8,)</f>
        <v>245</v>
      </c>
      <c r="AI25" s="109">
        <f>VLOOKUP(Tabela3[[#This Row],[UF]],'ADIMPLÊNCIA PF'!$A$4:$I$30,9,)</f>
        <v>134</v>
      </c>
      <c r="AJ25" s="103">
        <f>Tabela3[[#This Row],[PF Qnt Pag.
Exec.]]/Tabela3[[#This Row],[PF
Qnt Pot Pag.
Exec.]]</f>
        <v>0.54693877551020409</v>
      </c>
      <c r="AK25" s="507">
        <f>VLOOKUP(Tabela3[[#This Row],[UF]],'ADIMPLÊNCIA PF'!$A$4:$C$30,3,)</f>
        <v>246</v>
      </c>
      <c r="AL25" s="507">
        <f>VLOOKUP(Tabela3[[#This Row],[UF]],'ADIMPLÊNCIA PF'!$A$4:$D$30,4,)</f>
        <v>166</v>
      </c>
      <c r="AM25" s="103">
        <f>Tabela3[[#This Row],[PF Qnt Pag.
Previsto]]/Tabela3[[#This Row],[PF
Qnt Pot Pag.
Previsto]]</f>
        <v>0.67479674796747968</v>
      </c>
      <c r="AN25" s="507">
        <f>VLOOKUP(Tabela3[[#This Row],[UF]],'ADIMPLÊNCIA PJ'!$A$4:$F$30,6,)</f>
        <v>15</v>
      </c>
      <c r="AO25" s="103">
        <f>Tabela3[[#This Row],[PJ Pagantes
Exec.]]/Tabela3[[#This Row],[PJ Ativos]]</f>
        <v>0.22388059701492538</v>
      </c>
      <c r="AP25" s="507">
        <f>VLOOKUP(Tabela3[[#This Row],[UF]],'ADIMPLÊNCIA PJ'!$A$4:$C$30,3,)</f>
        <v>25</v>
      </c>
      <c r="AQ25" s="103">
        <f>Tabela3[[#This Row],[PJ Pagante
Previsto]]/Tabela3[[#This Row],[Previsto PJ]]</f>
        <v>0.390625</v>
      </c>
      <c r="AR25" s="109">
        <f>VLOOKUP($A$4:$A$29,'PF - Gênero'!$A$2:$B$28,2,)</f>
        <v>97</v>
      </c>
      <c r="AS25" s="109">
        <f>VLOOKUP($A$4:$A$29,'PF - Gênero'!$A$2:$C$28,3,)</f>
        <v>156</v>
      </c>
      <c r="AT25" s="109">
        <f>VLOOKUP($A$4:$A$29,'Relatórios - SICCAU e IGEO'!$A$3:$F$29,6,)</f>
        <v>6</v>
      </c>
      <c r="AU25" s="109">
        <v>9</v>
      </c>
      <c r="AV25" s="495">
        <f t="shared" si="11"/>
        <v>0.66666666666666663</v>
      </c>
      <c r="AW25" s="527">
        <f>'Comparativo YoY'!FN24</f>
        <v>211257.05599999998</v>
      </c>
      <c r="AX25" s="527">
        <f>'Comparativo YoY'!FU24</f>
        <v>46641.024000000005</v>
      </c>
      <c r="AY25" s="103">
        <f>Tabela3[[#This Row],[Receita
PF
2022]]/Tabela3[[#This Row],[Receita
PF
2021]]-1</f>
        <v>3.5294257690397179</v>
      </c>
      <c r="AZ25" s="527">
        <f>+'Comparativo YoY'!FO24</f>
        <v>73268.84</v>
      </c>
      <c r="BA25" s="527">
        <f>+'Comparativo YoY'!FV24</f>
        <v>12742.648000000001</v>
      </c>
      <c r="BB25" s="103">
        <f>Tabela3[[#This Row],[Receita
PF - Ex Ant
2022]]/Tabela3[[#This Row],[Receita
PF - Ex Ant
2021]]-1</f>
        <v>4.749891231398685</v>
      </c>
      <c r="BC25" s="527">
        <f>'Comparativo YoY'!FP24</f>
        <v>13751.991999999998</v>
      </c>
      <c r="BD25" s="527">
        <f>'Comparativo YoY'!FW24</f>
        <v>5423.1440000000002</v>
      </c>
      <c r="BE25" s="103">
        <f>Tabela3[[#This Row],[Receita
PJ
2022]]/Tabela3[[#This Row],[Receita
PJ
2021]]-1</f>
        <v>1.535796947305843</v>
      </c>
      <c r="BF25" s="527">
        <f>'Comparativo YoY'!FQ24</f>
        <v>15595.536000000002</v>
      </c>
      <c r="BG25" s="530">
        <f>'Comparativo YoY'!FX24</f>
        <v>390.8</v>
      </c>
      <c r="BH25" s="103">
        <f>Tabela3[[#This Row],[Receita
PJ - Ex Ant
2022]]/Tabela3[[#This Row],[Receita
PJ - Ex Ant
2021]]-1</f>
        <v>38.906693961105425</v>
      </c>
      <c r="BI25" s="527">
        <f>'Comparativo YoY'!FR24</f>
        <v>492540.12</v>
      </c>
      <c r="BJ25" s="527">
        <f>'Comparativo YoY'!FY24</f>
        <v>90506.040000000008</v>
      </c>
      <c r="BK25" s="103">
        <f>Tabela3[[#This Row],[Receita
RRT
2022]]/Tabela3[[#This Row],[Receita
RRT
2021]]-1</f>
        <v>4.4420690597003247</v>
      </c>
      <c r="BL25" s="527">
        <f>'Comparativo YoY'!FS24</f>
        <v>44453.712000000007</v>
      </c>
      <c r="BM25" s="527">
        <f>'Comparativo YoY'!FZ24</f>
        <v>5743.9920000000002</v>
      </c>
      <c r="BN25" s="103">
        <f>Tabela3[[#This Row],[Receita
Taxas
2022]]/Tabela3[[#This Row],[Receita
Taxas
2021]]-1</f>
        <v>6.7391667676417386</v>
      </c>
      <c r="BO25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161447.64800000002</v>
      </c>
      <c r="BP25" s="103">
        <f t="shared" si="14"/>
        <v>0.1546132898758612</v>
      </c>
      <c r="BQ25" s="499">
        <f t="shared" si="12"/>
        <v>0.86006205323426899</v>
      </c>
      <c r="BR25" s="517">
        <f>Tabela3[[#This Row],[PF Ativos
Exec.]]+Tabela3[[#This Row],[PJ Ativos]]</f>
        <v>320</v>
      </c>
      <c r="BT25" s="790" t="s">
        <v>99</v>
      </c>
      <c r="BU25" s="790" t="s">
        <v>22</v>
      </c>
      <c r="BV25" s="750">
        <v>52341.72</v>
      </c>
      <c r="BW25" s="486">
        <v>60890.82</v>
      </c>
      <c r="BX25" s="122">
        <v>0.85959952583985566</v>
      </c>
      <c r="BY25" s="486">
        <v>10485.544</v>
      </c>
      <c r="BZ25" s="486">
        <v>16201.14</v>
      </c>
      <c r="CA25" s="122">
        <v>0.6472102580435698</v>
      </c>
      <c r="CB25" s="486">
        <v>2350.1760000000004</v>
      </c>
      <c r="CC25" s="486">
        <v>6861.2</v>
      </c>
      <c r="CD25" s="122">
        <v>0.34253133562642107</v>
      </c>
      <c r="CE25" s="486">
        <v>1966.424</v>
      </c>
      <c r="CF25" s="486">
        <v>5896.87</v>
      </c>
      <c r="CG25" s="122">
        <v>0.33346911157953285</v>
      </c>
      <c r="CH25" s="486">
        <v>114038.064</v>
      </c>
      <c r="CI25" s="486">
        <v>119732.91</v>
      </c>
      <c r="CJ25" s="122">
        <v>0.95243708684604755</v>
      </c>
      <c r="CK25" s="486">
        <v>5227.6720000000005</v>
      </c>
      <c r="CL25" s="486">
        <v>7156.77</v>
      </c>
      <c r="CM25" s="122">
        <v>0.7304513069443338</v>
      </c>
      <c r="CN25" s="347">
        <v>253</v>
      </c>
      <c r="CO25" s="303">
        <v>7</v>
      </c>
      <c r="CP25" s="347">
        <v>255</v>
      </c>
      <c r="CQ25" s="122">
        <v>0.99215686274509807</v>
      </c>
      <c r="CR25" s="347">
        <v>67</v>
      </c>
      <c r="CS25" s="387">
        <v>4</v>
      </c>
      <c r="CT25" s="347">
        <v>64</v>
      </c>
      <c r="CU25" s="122">
        <v>1.046875</v>
      </c>
      <c r="CV25" s="303">
        <v>1296</v>
      </c>
      <c r="CW25" s="347">
        <v>1377</v>
      </c>
      <c r="CX25" s="387">
        <v>5.1225296442687744</v>
      </c>
      <c r="CY25" s="387">
        <v>5.4</v>
      </c>
      <c r="CZ25" s="347">
        <v>245</v>
      </c>
      <c r="DA25" s="347">
        <v>134</v>
      </c>
      <c r="DB25" s="122">
        <v>0.54693877551020409</v>
      </c>
      <c r="DC25" s="347">
        <v>246</v>
      </c>
      <c r="DD25" s="347">
        <v>166</v>
      </c>
      <c r="DE25" s="122">
        <v>0.67479674796747968</v>
      </c>
      <c r="DF25" s="347">
        <v>15</v>
      </c>
      <c r="DG25" s="122">
        <v>0.22388059701492538</v>
      </c>
      <c r="DH25" s="303">
        <v>25</v>
      </c>
      <c r="DI25" s="122">
        <v>0.390625</v>
      </c>
      <c r="DJ25" s="347">
        <v>97</v>
      </c>
      <c r="DK25" s="347">
        <v>156</v>
      </c>
      <c r="DL25" s="347">
        <v>6</v>
      </c>
      <c r="DM25" s="347">
        <v>9</v>
      </c>
      <c r="DN25" s="122">
        <v>0.66666666666666663</v>
      </c>
      <c r="DO25" s="486">
        <v>211257.05599999998</v>
      </c>
      <c r="DP25" s="486">
        <v>46641.024000000005</v>
      </c>
      <c r="DQ25" s="122">
        <v>3.5294257690397179</v>
      </c>
      <c r="DR25" s="486">
        <v>73268.84</v>
      </c>
      <c r="DS25" s="486">
        <v>12742.648000000001</v>
      </c>
      <c r="DT25" s="122">
        <v>4.749891231398685</v>
      </c>
      <c r="DU25" s="486">
        <v>13751.991999999998</v>
      </c>
      <c r="DV25" s="486">
        <v>5423.1440000000002</v>
      </c>
      <c r="DW25" s="122">
        <v>1.535796947305843</v>
      </c>
      <c r="DX25" s="486">
        <v>15595.536000000002</v>
      </c>
      <c r="DY25" s="486">
        <v>390.8</v>
      </c>
      <c r="DZ25" s="122">
        <v>38.906693961105425</v>
      </c>
      <c r="EA25" s="486">
        <v>492540.12</v>
      </c>
      <c r="EB25" s="486">
        <v>90506.040000000008</v>
      </c>
      <c r="EC25" s="122">
        <v>4.4420690597003247</v>
      </c>
      <c r="ED25" s="486">
        <v>44453.712000000007</v>
      </c>
      <c r="EE25" s="486">
        <v>5743.9920000000002</v>
      </c>
      <c r="EF25" s="122">
        <v>6.7391667676417386</v>
      </c>
      <c r="EG25" s="486">
        <v>161447.64800000002</v>
      </c>
      <c r="EH25" s="122">
        <v>0.1546132898758612</v>
      </c>
      <c r="EI25" s="122">
        <v>0.86006205323426899</v>
      </c>
      <c r="EJ25" s="303">
        <v>320</v>
      </c>
    </row>
    <row r="26" spans="1:140">
      <c r="A26" s="490" t="s">
        <v>97</v>
      </c>
      <c r="B26" s="131" t="s">
        <v>19</v>
      </c>
      <c r="C26" s="105" t="s">
        <v>226</v>
      </c>
      <c r="D26" s="767">
        <f>VLOOKUP($B$4:$B$30,'TOTAL POR UF'!$A$5:$B$31,2,)</f>
        <v>4620902.7119999994</v>
      </c>
      <c r="E26" s="768">
        <f>VLOOKUP($A$4:$A$31,'Evolução das Receitas'!$P$212:$Q$239,2,0)</f>
        <v>4736160.08</v>
      </c>
      <c r="F26" s="103">
        <f t="shared" si="3"/>
        <v>0.97566438506022779</v>
      </c>
      <c r="G26" s="767">
        <f>VLOOKUP($B$4:$B$30,'TOTAL POR UF'!$A$5:$C$31,3,)</f>
        <v>911979.88800000004</v>
      </c>
      <c r="H26" s="768">
        <f>VLOOKUP($A$4:$A$31,'Evolução das Receitas'!$P$212:$R$239,3,0)</f>
        <v>1698548.27</v>
      </c>
      <c r="I26" s="103">
        <f t="shared" si="4"/>
        <v>0.53691726288120145</v>
      </c>
      <c r="J26" s="767">
        <f>VLOOKUP($B$4:$B$30,'TOTAL POR UF'!$A$5:$D$31,4,)</f>
        <v>313537.40000000002</v>
      </c>
      <c r="K26" s="768">
        <f>VLOOKUP($A$4:$A$31,'Evolução das Receitas'!$P$212:$S$239,4,)</f>
        <v>58238.9</v>
      </c>
      <c r="L26" s="103">
        <f t="shared" si="5"/>
        <v>5.3836422047806538</v>
      </c>
      <c r="M26" s="767">
        <f>VLOOKUP($B$4:$B$30,'TOTAL POR UF'!$A$5:$E$31,5,)</f>
        <v>174663.88800000001</v>
      </c>
      <c r="N26" s="768">
        <f>VLOOKUP($A$4:$A$31,'Evolução das Receitas'!$P$212:$T$239,5,0)</f>
        <v>45000</v>
      </c>
      <c r="O26" s="103">
        <f t="shared" si="6"/>
        <v>3.8814197333333333</v>
      </c>
      <c r="P26" s="767">
        <f>VLOOKUP($B$4:$B$30,'TOTAL POR UF'!$A$5:$X$31,23,)</f>
        <v>6428051.04</v>
      </c>
      <c r="Q26" s="768">
        <f>VLOOKUP($A$4:$A$31,'Evolução das Receitas'!$P$212:$U$239,6,0)</f>
        <v>8793716.6199999992</v>
      </c>
      <c r="R26" s="103">
        <f t="shared" si="7"/>
        <v>0.7309822817556294</v>
      </c>
      <c r="S26" s="767">
        <f>VLOOKUP($B$4:$B$30,'TOTAL POR UF'!$A$5:$X$31,24,0)</f>
        <v>497493.54400000005</v>
      </c>
      <c r="T26" s="768">
        <f>VLOOKUP($A$4:$A$31,'Evolução das Receitas'!$P$212:$V$239,7,0)</f>
        <v>530902.67000000004</v>
      </c>
      <c r="U26" s="103">
        <f t="shared" si="8"/>
        <v>0.93707109063889249</v>
      </c>
      <c r="V26" s="109">
        <f>VLOOKUP($A$4:$A$29,'Anuid PF'!$A$5:$G$31,7,)</f>
        <v>18080</v>
      </c>
      <c r="W26" s="109">
        <f>VLOOKUP($A$4:$A$29,'Relatórios - SICCAU e IGEO'!$A$3:$E$29,5,)</f>
        <v>644</v>
      </c>
      <c r="X26" s="109">
        <f>VLOOKUP($A$4:$A$29,'Anuid PF'!$A$5:$B$31,2,)</f>
        <v>18256</v>
      </c>
      <c r="Y26" s="103">
        <f t="shared" si="9"/>
        <v>0.9903593339176161</v>
      </c>
      <c r="Z26" s="109">
        <f>VLOOKUP($A$4:$A$29,'Anuid PJ'!$A$5:$F$31,6,)</f>
        <v>3292</v>
      </c>
      <c r="AA26" s="496">
        <f>VLOOKUP($A$4:$A$29,'Relatórios - SICCAU e IGEO'!$A$3:$J$29,10,)</f>
        <v>297</v>
      </c>
      <c r="AB26" s="109">
        <f>VLOOKUP($A$4:$A$29,'Anuid PJ'!$A$5:$B$31,2,)</f>
        <v>3413</v>
      </c>
      <c r="AC26" s="103">
        <f t="shared" si="13"/>
        <v>0.96454731907412838</v>
      </c>
      <c r="AD26" s="109">
        <f>VLOOKUP($A$4:$A$29,RRT!$A$4:$D$30,4,)</f>
        <v>73503</v>
      </c>
      <c r="AE26" s="109">
        <f>VLOOKUP($A$4:$A$29,RRT!$A$4:$B$30,2,)</f>
        <v>101133</v>
      </c>
      <c r="AF26" s="498">
        <f t="shared" si="10"/>
        <v>4.0654314159292033</v>
      </c>
      <c r="AG26" s="498">
        <f>Tabela3[[#This Row],[Previsto - RRT]]/Tabela3[[#This Row],[Previsto PF]]</f>
        <v>5.5397129710780018</v>
      </c>
      <c r="AH26" s="109">
        <f>VLOOKUP(Tabela3[UF],'ADIMPLÊNCIA PF'!$A$4:H52,8,)</f>
        <v>17237</v>
      </c>
      <c r="AI26" s="109">
        <f>VLOOKUP(Tabela3[[#This Row],[UF]],'ADIMPLÊNCIA PF'!$A$4:$I$30,9,)</f>
        <v>12096</v>
      </c>
      <c r="AJ26" s="103">
        <f>Tabela3[[#This Row],[PF Qnt Pag.
Exec.]]/Tabela3[[#This Row],[PF
Qnt Pot Pag.
Exec.]]</f>
        <v>0.70174624354586068</v>
      </c>
      <c r="AK26" s="507">
        <f>VLOOKUP(Tabela3[[#This Row],[UF]],'ADIMPLÊNCIA PF'!$A$4:$C$30,3,)</f>
        <v>17104</v>
      </c>
      <c r="AL26" s="507">
        <f>VLOOKUP(Tabela3[[#This Row],[UF]],'ADIMPLÊNCIA PF'!$A$4:$D$30,4,)</f>
        <v>13671</v>
      </c>
      <c r="AM26" s="103">
        <f>Tabela3[[#This Row],[PF Qnt Pag.
Previsto]]/Tabela3[[#This Row],[PF
Qnt Pot Pag.
Previsto]]</f>
        <v>0.79928671655753036</v>
      </c>
      <c r="AN26" s="507">
        <f>VLOOKUP(Tabela3[[#This Row],[UF]],'ADIMPLÊNCIA PJ'!$A$4:$F$30,6,)</f>
        <v>1725</v>
      </c>
      <c r="AO26" s="103">
        <f>Tabela3[[#This Row],[PJ Pagantes
Exec.]]/Tabela3[[#This Row],[PJ Ativos]]</f>
        <v>0.52399756986634261</v>
      </c>
      <c r="AP26" s="507">
        <f>VLOOKUP(Tabela3[[#This Row],[UF]],'ADIMPLÊNCIA PJ'!$A$4:$C$30,3,)</f>
        <v>2026</v>
      </c>
      <c r="AQ26" s="103">
        <f>Tabela3[[#This Row],[PJ Pagante
Previsto]]/Tabela3[[#This Row],[Previsto PJ]]</f>
        <v>0.59361265748608261</v>
      </c>
      <c r="AR26" s="109">
        <f>VLOOKUP($A$4:$A$29,'PF - Gênero'!$A$2:$B$28,2,)</f>
        <v>6074</v>
      </c>
      <c r="AS26" s="109">
        <f>VLOOKUP($A$4:$A$29,'PF - Gênero'!$A$2:$C$28,3,)</f>
        <v>12006</v>
      </c>
      <c r="AT26" s="109">
        <f>VLOOKUP($A$4:$A$29,'Relatórios - SICCAU e IGEO'!$A$3:$F$29,6,)</f>
        <v>593</v>
      </c>
      <c r="AU26" s="109">
        <v>952</v>
      </c>
      <c r="AV26" s="495">
        <f t="shared" si="11"/>
        <v>0.62289915966386555</v>
      </c>
      <c r="AW26" s="527">
        <f>'Comparativo YoY'!FN25</f>
        <v>2694364.8480000002</v>
      </c>
      <c r="AX26" s="527">
        <f>'Comparativo YoY'!FU25</f>
        <v>3812972.64</v>
      </c>
      <c r="AY26" s="103">
        <f>Tabela3[[#This Row],[Receita
PF
2022]]/Tabela3[[#This Row],[Receita
PF
2021]]-1</f>
        <v>-0.29336895320602141</v>
      </c>
      <c r="AZ26" s="527">
        <f>+'Comparativo YoY'!FO25</f>
        <v>384976.44000000012</v>
      </c>
      <c r="BA26" s="527">
        <f>+'Comparativo YoY'!FV25</f>
        <v>913623.92799999996</v>
      </c>
      <c r="BB26" s="103">
        <f>Tabela3[[#This Row],[Receita
PF - Ex Ant
2022]]/Tabela3[[#This Row],[Receita
PF - Ex Ant
2021]]-1</f>
        <v>-0.57862701687033735</v>
      </c>
      <c r="BC26" s="527">
        <f>'Comparativo YoY'!FP25</f>
        <v>89212.2</v>
      </c>
      <c r="BD26" s="527">
        <f>'Comparativo YoY'!FW25</f>
        <v>367169.76800000004</v>
      </c>
      <c r="BE26" s="103">
        <f>Tabela3[[#This Row],[Receita
PJ
2022]]/Tabela3[[#This Row],[Receita
PJ
2021]]-1</f>
        <v>-0.75702738140466952</v>
      </c>
      <c r="BF26" s="527">
        <f>'Comparativo YoY'!FQ25</f>
        <v>82448.832000000009</v>
      </c>
      <c r="BG26" s="530">
        <f>'Comparativo YoY'!FX25</f>
        <v>120971.60800000001</v>
      </c>
      <c r="BH26" s="103">
        <f>Tabela3[[#This Row],[Receita
PJ - Ex Ant
2022]]/Tabela3[[#This Row],[Receita
PJ - Ex Ant
2021]]-1</f>
        <v>-0.3184447709416246</v>
      </c>
      <c r="BI26" s="527">
        <f>'Comparativo YoY'!FR25</f>
        <v>2075929.5360000001</v>
      </c>
      <c r="BJ26" s="527">
        <f>'Comparativo YoY'!FY25</f>
        <v>5644247.2640000004</v>
      </c>
      <c r="BK26" s="103">
        <f>Tabela3[[#This Row],[Receita
RRT
2022]]/Tabela3[[#This Row],[Receita
RRT
2021]]-1</f>
        <v>-0.63220435978405076</v>
      </c>
      <c r="BL26" s="527">
        <f>'Comparativo YoY'!FS25</f>
        <v>164430.37600000005</v>
      </c>
      <c r="BM26" s="527">
        <f>'Comparativo YoY'!FZ25</f>
        <v>449741.05600000004</v>
      </c>
      <c r="BN26" s="103">
        <f>Tabela3[[#This Row],[Receita
Taxas
2022]]/Tabela3[[#This Row],[Receita
Taxas
2021]]-1</f>
        <v>-0.6343887803741004</v>
      </c>
      <c r="BO26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11308726.264</v>
      </c>
      <c r="BP26" s="103">
        <f t="shared" si="14"/>
        <v>0.14483525109402184</v>
      </c>
      <c r="BQ26" s="499">
        <f t="shared" si="12"/>
        <v>0.81617488817796313</v>
      </c>
      <c r="BR26" s="517">
        <f>Tabela3[[#This Row],[PF Ativos
Exec.]]+Tabela3[[#This Row],[PJ Ativos]]</f>
        <v>21372</v>
      </c>
      <c r="BT26" s="790" t="s">
        <v>97</v>
      </c>
      <c r="BU26" s="790" t="s">
        <v>19</v>
      </c>
      <c r="BV26" s="750">
        <v>4620902.7119999994</v>
      </c>
      <c r="BW26" s="486">
        <v>4736160.08</v>
      </c>
      <c r="BX26" s="122">
        <v>0.97566438506022779</v>
      </c>
      <c r="BY26" s="486">
        <v>911979.88800000004</v>
      </c>
      <c r="BZ26" s="486">
        <v>1698548.27</v>
      </c>
      <c r="CA26" s="122">
        <v>0.53691726288120145</v>
      </c>
      <c r="CB26" s="486">
        <v>313537.40000000002</v>
      </c>
      <c r="CC26" s="486">
        <v>58238.9</v>
      </c>
      <c r="CD26" s="122">
        <v>5.3836422047806538</v>
      </c>
      <c r="CE26" s="486">
        <v>174663.88800000001</v>
      </c>
      <c r="CF26" s="486">
        <v>45000</v>
      </c>
      <c r="CG26" s="122">
        <v>3.8814197333333333</v>
      </c>
      <c r="CH26" s="486">
        <v>6428051.04</v>
      </c>
      <c r="CI26" s="486">
        <v>8793716.6199999992</v>
      </c>
      <c r="CJ26" s="122">
        <v>0.7309822817556294</v>
      </c>
      <c r="CK26" s="486">
        <v>497493.54400000005</v>
      </c>
      <c r="CL26" s="486">
        <v>530902.67000000004</v>
      </c>
      <c r="CM26" s="122">
        <v>0.93707109063889249</v>
      </c>
      <c r="CN26" s="347">
        <v>18080</v>
      </c>
      <c r="CO26" s="303">
        <v>644</v>
      </c>
      <c r="CP26" s="347">
        <v>18256</v>
      </c>
      <c r="CQ26" s="122">
        <v>0.9903593339176161</v>
      </c>
      <c r="CR26" s="347">
        <v>3292</v>
      </c>
      <c r="CS26" s="387">
        <v>297</v>
      </c>
      <c r="CT26" s="347">
        <v>3413</v>
      </c>
      <c r="CU26" s="122">
        <v>0.96454731907412838</v>
      </c>
      <c r="CV26" s="303">
        <v>73503</v>
      </c>
      <c r="CW26" s="347">
        <v>101133</v>
      </c>
      <c r="CX26" s="387">
        <v>4.0654314159292033</v>
      </c>
      <c r="CY26" s="387">
        <v>5.5397129710780018</v>
      </c>
      <c r="CZ26" s="347">
        <v>17237</v>
      </c>
      <c r="DA26" s="347">
        <v>12096</v>
      </c>
      <c r="DB26" s="122">
        <v>0.70174624354586068</v>
      </c>
      <c r="DC26" s="347">
        <v>17104</v>
      </c>
      <c r="DD26" s="347">
        <v>13671</v>
      </c>
      <c r="DE26" s="122">
        <v>0.79928671655753036</v>
      </c>
      <c r="DF26" s="347">
        <v>1725</v>
      </c>
      <c r="DG26" s="122">
        <v>0.52399756986634261</v>
      </c>
      <c r="DH26" s="303">
        <v>2026</v>
      </c>
      <c r="DI26" s="122">
        <v>0.59361265748608261</v>
      </c>
      <c r="DJ26" s="347">
        <v>6074</v>
      </c>
      <c r="DK26" s="347">
        <v>12006</v>
      </c>
      <c r="DL26" s="347">
        <v>593</v>
      </c>
      <c r="DM26" s="347">
        <v>952</v>
      </c>
      <c r="DN26" s="122">
        <v>0.62289915966386555</v>
      </c>
      <c r="DO26" s="486">
        <v>2694364.8480000002</v>
      </c>
      <c r="DP26" s="486">
        <v>3812972.64</v>
      </c>
      <c r="DQ26" s="122">
        <v>-0.29336895320602141</v>
      </c>
      <c r="DR26" s="486">
        <v>384976.44000000012</v>
      </c>
      <c r="DS26" s="486">
        <v>913623.92799999996</v>
      </c>
      <c r="DT26" s="122">
        <v>-0.57862701687033735</v>
      </c>
      <c r="DU26" s="486">
        <v>89212.2</v>
      </c>
      <c r="DV26" s="486">
        <v>367169.76800000004</v>
      </c>
      <c r="DW26" s="122">
        <v>-0.75702738140466952</v>
      </c>
      <c r="DX26" s="486">
        <v>82448.832000000009</v>
      </c>
      <c r="DY26" s="486">
        <v>120971.60800000001</v>
      </c>
      <c r="DZ26" s="122">
        <v>-0.3184447709416246</v>
      </c>
      <c r="EA26" s="486">
        <v>2075929.5360000001</v>
      </c>
      <c r="EB26" s="486">
        <v>5644247.2640000004</v>
      </c>
      <c r="EC26" s="122">
        <v>-0.63220435978405076</v>
      </c>
      <c r="ED26" s="486">
        <v>164430.37600000005</v>
      </c>
      <c r="EE26" s="486">
        <v>449741.05600000004</v>
      </c>
      <c r="EF26" s="122">
        <v>-0.6343887803741004</v>
      </c>
      <c r="EG26" s="486">
        <v>11308726.264</v>
      </c>
      <c r="EH26" s="122">
        <v>0.14483525109402184</v>
      </c>
      <c r="EI26" s="122">
        <v>0.81617488817796313</v>
      </c>
      <c r="EJ26" s="303">
        <v>21372</v>
      </c>
    </row>
    <row r="27" spans="1:140">
      <c r="A27" s="490" t="s">
        <v>100</v>
      </c>
      <c r="B27" s="131" t="s">
        <v>23</v>
      </c>
      <c r="C27" s="105" t="s">
        <v>226</v>
      </c>
      <c r="D27" s="767">
        <f>VLOOKUP($B$4:$B$30,'TOTAL POR UF'!$A$5:$B$31,2,)</f>
        <v>3238796.0720000002</v>
      </c>
      <c r="E27" s="768">
        <f>VLOOKUP($A$4:$A$31,'Evolução das Receitas'!$P$212:$Q$239,2,0)</f>
        <v>3316553.47</v>
      </c>
      <c r="F27" s="103">
        <f t="shared" si="3"/>
        <v>0.97655475821410476</v>
      </c>
      <c r="G27" s="767">
        <f>VLOOKUP($B$4:$B$30,'TOTAL POR UF'!$A$5:$C$31,3,)</f>
        <v>790322.08800000011</v>
      </c>
      <c r="H27" s="768">
        <f>VLOOKUP($A$4:$A$31,'Evolução das Receitas'!$P$212:$R$239,3,0)</f>
        <v>700847.52</v>
      </c>
      <c r="I27" s="103">
        <f t="shared" si="4"/>
        <v>1.1276662404398607</v>
      </c>
      <c r="J27" s="767">
        <f>VLOOKUP($B$4:$B$30,'TOTAL POR UF'!$A$5:$D$31,4,)</f>
        <v>212343.61600000001</v>
      </c>
      <c r="K27" s="768">
        <f>VLOOKUP($A$4:$A$31,'Evolução das Receitas'!$P$212:$S$239,4,)</f>
        <v>341605.97</v>
      </c>
      <c r="L27" s="103">
        <f t="shared" si="5"/>
        <v>0.6216039374253326</v>
      </c>
      <c r="M27" s="767">
        <f>VLOOKUP($B$4:$B$30,'TOTAL POR UF'!$A$5:$E$31,5,)</f>
        <v>220887.296</v>
      </c>
      <c r="N27" s="768">
        <f>VLOOKUP($A$4:$A$31,'Evolução das Receitas'!$P$212:$T$239,5,0)</f>
        <v>196070.56</v>
      </c>
      <c r="O27" s="103">
        <f t="shared" si="6"/>
        <v>1.1265704346435284</v>
      </c>
      <c r="P27" s="767">
        <f>VLOOKUP($B$4:$B$30,'TOTAL POR UF'!$A$5:$X$31,23,)</f>
        <v>4162542.7920000004</v>
      </c>
      <c r="Q27" s="768">
        <f>VLOOKUP($A$4:$A$31,'Evolução das Receitas'!$P$212:$U$239,6,0)</f>
        <v>5391545.71</v>
      </c>
      <c r="R27" s="103">
        <f t="shared" si="7"/>
        <v>0.77204998638507327</v>
      </c>
      <c r="S27" s="767">
        <f>VLOOKUP($B$4:$B$30,'TOTAL POR UF'!$A$5:$X$31,24,0)</f>
        <v>433531.25600000011</v>
      </c>
      <c r="T27" s="768">
        <f>VLOOKUP($A$4:$A$31,'Evolução das Receitas'!$P$212:$V$239,7,0)</f>
        <v>320023.28728570876</v>
      </c>
      <c r="U27" s="103">
        <f t="shared" si="8"/>
        <v>1.354686590707239</v>
      </c>
      <c r="V27" s="109">
        <f>VLOOKUP($A$4:$A$29,'Anuid PF'!$A$5:$G$31,7,)</f>
        <v>11846</v>
      </c>
      <c r="W27" s="109">
        <f>VLOOKUP($A$4:$A$29,'Relatórios - SICCAU e IGEO'!$A$3:$E$29,5,)</f>
        <v>497</v>
      </c>
      <c r="X27" s="109">
        <f>VLOOKUP($A$4:$A$29,'Anuid PF'!$A$5:$B$31,2,)</f>
        <v>11865</v>
      </c>
      <c r="Y27" s="103">
        <f t="shared" si="9"/>
        <v>0.9983986514959966</v>
      </c>
      <c r="Z27" s="109">
        <f>VLOOKUP($A$4:$A$29,'Anuid PJ'!$A$5:$F$31,6,)</f>
        <v>2101</v>
      </c>
      <c r="AA27" s="496">
        <f>VLOOKUP($A$4:$A$29,'Relatórios - SICCAU e IGEO'!$A$3:$J$29,10,)</f>
        <v>195</v>
      </c>
      <c r="AB27" s="109">
        <f>VLOOKUP($A$4:$A$29,'Anuid PJ'!$A$5:$B$31,2,)</f>
        <v>2159</v>
      </c>
      <c r="AC27" s="103">
        <f t="shared" si="13"/>
        <v>0.97313571097730434</v>
      </c>
      <c r="AD27" s="109">
        <f>VLOOKUP($A$4:$A$29,RRT!$A$4:$D$30,4,)</f>
        <v>47797</v>
      </c>
      <c r="AE27" s="109">
        <f>VLOOKUP($A$4:$A$29,RRT!$A$4:$B$30,2,)</f>
        <v>62006</v>
      </c>
      <c r="AF27" s="498">
        <f t="shared" si="10"/>
        <v>4.0348640891440146</v>
      </c>
      <c r="AG27" s="498">
        <f>Tabela3[[#This Row],[Previsto - RRT]]/Tabela3[[#This Row],[Previsto PF]]</f>
        <v>5.2259587020648963</v>
      </c>
      <c r="AH27" s="109">
        <f>VLOOKUP(Tabela3[UF],'ADIMPLÊNCIA PF'!$A$4:H53,8,)</f>
        <v>11612</v>
      </c>
      <c r="AI27" s="109">
        <f>VLOOKUP(Tabela3[[#This Row],[UF]],'ADIMPLÊNCIA PF'!$A$4:$I$30,9,)</f>
        <v>8301</v>
      </c>
      <c r="AJ27" s="103">
        <f>Tabela3[[#This Row],[PF Qnt Pag.
Exec.]]/Tabela3[[#This Row],[PF
Qnt Pot Pag.
Exec.]]</f>
        <v>0.71486393386152258</v>
      </c>
      <c r="AK27" s="507">
        <f>VLOOKUP(Tabela3[[#This Row],[UF]],'ADIMPLÊNCIA PF'!$A$4:$C$30,3,)</f>
        <v>11577</v>
      </c>
      <c r="AL27" s="507">
        <f>VLOOKUP(Tabela3[[#This Row],[UF]],'ADIMPLÊNCIA PF'!$A$4:$D$30,4,)</f>
        <v>9084</v>
      </c>
      <c r="AM27" s="103">
        <f>Tabela3[[#This Row],[PF Qnt Pag.
Previsto]]/Tabela3[[#This Row],[PF
Qnt Pot Pag.
Previsto]]</f>
        <v>0.78465923814459704</v>
      </c>
      <c r="AN27" s="507">
        <f>VLOOKUP(Tabela3[[#This Row],[UF]],'ADIMPLÊNCIA PJ'!$A$4:$F$30,6,)</f>
        <v>1048</v>
      </c>
      <c r="AO27" s="103">
        <f>Tabela3[[#This Row],[PJ Pagantes
Exec.]]/Tabela3[[#This Row],[PJ Ativos]]</f>
        <v>0.49881009043312707</v>
      </c>
      <c r="AP27" s="507">
        <f>VLOOKUP(Tabela3[[#This Row],[UF]],'ADIMPLÊNCIA PJ'!$A$4:$C$30,3,)</f>
        <v>1224</v>
      </c>
      <c r="AQ27" s="103">
        <f>Tabela3[[#This Row],[PJ Pagante
Previsto]]/Tabela3[[#This Row],[Previsto PJ]]</f>
        <v>0.56692913385826771</v>
      </c>
      <c r="AR27" s="109">
        <f>VLOOKUP($A$4:$A$29,'PF - Gênero'!$A$2:$B$28,2,)</f>
        <v>3756</v>
      </c>
      <c r="AS27" s="109">
        <f>VLOOKUP($A$4:$A$29,'PF - Gênero'!$A$2:$C$28,3,)</f>
        <v>8090</v>
      </c>
      <c r="AT27" s="109">
        <f>VLOOKUP($A$4:$A$29,'Relatórios - SICCAU e IGEO'!$A$3:$F$29,6,)</f>
        <v>425</v>
      </c>
      <c r="AU27" s="109">
        <v>725</v>
      </c>
      <c r="AV27" s="495">
        <f t="shared" si="11"/>
        <v>0.58620689655172409</v>
      </c>
      <c r="AW27" s="527">
        <f>'Comparativo YoY'!FN26</f>
        <v>3238796.0720000002</v>
      </c>
      <c r="AX27" s="527">
        <f>'Comparativo YoY'!FU26</f>
        <v>2674745.0960000004</v>
      </c>
      <c r="AY27" s="103">
        <f>Tabela3[[#This Row],[Receita
PF
2022]]/Tabela3[[#This Row],[Receita
PF
2021]]-1</f>
        <v>0.21088027298134726</v>
      </c>
      <c r="AZ27" s="527">
        <f>+'Comparativo YoY'!FO26</f>
        <v>790322.08800000011</v>
      </c>
      <c r="BA27" s="527">
        <f>+'Comparativo YoY'!FV26</f>
        <v>570018.80799999996</v>
      </c>
      <c r="BB27" s="103">
        <f>Tabela3[[#This Row],[Receita
PF - Ex Ant
2022]]/Tabela3[[#This Row],[Receita
PF - Ex Ant
2021]]-1</f>
        <v>0.38648422983264119</v>
      </c>
      <c r="BC27" s="527">
        <f>'Comparativo YoY'!FP26</f>
        <v>212343.61600000001</v>
      </c>
      <c r="BD27" s="527">
        <f>'Comparativo YoY'!FW26</f>
        <v>241560.84000000003</v>
      </c>
      <c r="BE27" s="103">
        <f>Tabela3[[#This Row],[Receita
PJ
2022]]/Tabela3[[#This Row],[Receita
PJ
2021]]-1</f>
        <v>-0.1209518231514678</v>
      </c>
      <c r="BF27" s="527">
        <f>'Comparativo YoY'!FQ26</f>
        <v>220887.296</v>
      </c>
      <c r="BG27" s="530">
        <f>'Comparativo YoY'!FX26</f>
        <v>64965.552000000003</v>
      </c>
      <c r="BH27" s="103">
        <f>Tabela3[[#This Row],[Receita
PJ - Ex Ant
2022]]/Tabela3[[#This Row],[Receita
PJ - Ex Ant
2021]]-1</f>
        <v>2.400068023742798</v>
      </c>
      <c r="BI27" s="527">
        <f>'Comparativo YoY'!FR26</f>
        <v>4162542.7920000004</v>
      </c>
      <c r="BJ27" s="527">
        <f>'Comparativo YoY'!FY26</f>
        <v>3894331.9920000006</v>
      </c>
      <c r="BK27" s="103">
        <f>Tabela3[[#This Row],[Receita
RRT
2022]]/Tabela3[[#This Row],[Receita
RRT
2021]]-1</f>
        <v>6.8872094251588356E-2</v>
      </c>
      <c r="BL27" s="527">
        <f>'Comparativo YoY'!FS26</f>
        <v>433531.25600000005</v>
      </c>
      <c r="BM27" s="527">
        <f>'Comparativo YoY'!FZ26</f>
        <v>303518.3520000003</v>
      </c>
      <c r="BN27" s="103">
        <f>Tabela3[[#This Row],[Receita
Taxas
2022]]/Tabela3[[#This Row],[Receita
Taxas
2021]]-1</f>
        <v>0.42835269479849969</v>
      </c>
      <c r="BO27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7749140.6400000006</v>
      </c>
      <c r="BP27" s="103">
        <f t="shared" si="14"/>
        <v>0.16895840981923382</v>
      </c>
      <c r="BQ27" s="499">
        <f t="shared" si="12"/>
        <v>0.88231567189427917</v>
      </c>
      <c r="BR27" s="517">
        <f>Tabela3[[#This Row],[PF Ativos
Exec.]]+Tabela3[[#This Row],[PJ Ativos]]</f>
        <v>13947</v>
      </c>
      <c r="BT27" s="790" t="s">
        <v>100</v>
      </c>
      <c r="BU27" s="790" t="s">
        <v>23</v>
      </c>
      <c r="BV27" s="750">
        <v>3238796.0720000002</v>
      </c>
      <c r="BW27" s="486">
        <v>3316553.47</v>
      </c>
      <c r="BX27" s="122">
        <v>0.97655475821410476</v>
      </c>
      <c r="BY27" s="486">
        <v>790322.08800000011</v>
      </c>
      <c r="BZ27" s="486">
        <v>700847.52</v>
      </c>
      <c r="CA27" s="122">
        <v>1.1276662404398607</v>
      </c>
      <c r="CB27" s="486">
        <v>212343.61600000001</v>
      </c>
      <c r="CC27" s="486">
        <v>341605.97</v>
      </c>
      <c r="CD27" s="122">
        <v>0.6216039374253326</v>
      </c>
      <c r="CE27" s="486">
        <v>220887.296</v>
      </c>
      <c r="CF27" s="486">
        <v>196070.56</v>
      </c>
      <c r="CG27" s="122">
        <v>1.1265704346435284</v>
      </c>
      <c r="CH27" s="486">
        <v>4162542.7920000004</v>
      </c>
      <c r="CI27" s="486">
        <v>5391545.71</v>
      </c>
      <c r="CJ27" s="122">
        <v>0.77204998638507327</v>
      </c>
      <c r="CK27" s="486">
        <v>433531.25600000011</v>
      </c>
      <c r="CL27" s="486">
        <v>320023.28728570876</v>
      </c>
      <c r="CM27" s="122">
        <v>1.354686590707239</v>
      </c>
      <c r="CN27" s="347">
        <v>11846</v>
      </c>
      <c r="CO27" s="303">
        <v>497</v>
      </c>
      <c r="CP27" s="347">
        <v>11865</v>
      </c>
      <c r="CQ27" s="122">
        <v>0.9983986514959966</v>
      </c>
      <c r="CR27" s="347">
        <v>2101</v>
      </c>
      <c r="CS27" s="387">
        <v>195</v>
      </c>
      <c r="CT27" s="347">
        <v>2159</v>
      </c>
      <c r="CU27" s="122">
        <v>0.97313571097730434</v>
      </c>
      <c r="CV27" s="303">
        <v>47797</v>
      </c>
      <c r="CW27" s="347">
        <v>62006</v>
      </c>
      <c r="CX27" s="387">
        <v>4.0348640891440146</v>
      </c>
      <c r="CY27" s="387">
        <v>5.2259587020648963</v>
      </c>
      <c r="CZ27" s="347">
        <v>11612</v>
      </c>
      <c r="DA27" s="347">
        <v>8301</v>
      </c>
      <c r="DB27" s="122">
        <v>0.71486393386152258</v>
      </c>
      <c r="DC27" s="347">
        <v>11577</v>
      </c>
      <c r="DD27" s="347">
        <v>9084</v>
      </c>
      <c r="DE27" s="122">
        <v>0.78465923814459704</v>
      </c>
      <c r="DF27" s="347">
        <v>1048</v>
      </c>
      <c r="DG27" s="122">
        <v>0.49881009043312707</v>
      </c>
      <c r="DH27" s="303">
        <v>1224</v>
      </c>
      <c r="DI27" s="122">
        <v>0.56692913385826771</v>
      </c>
      <c r="DJ27" s="347">
        <v>3756</v>
      </c>
      <c r="DK27" s="347">
        <v>8090</v>
      </c>
      <c r="DL27" s="347">
        <v>425</v>
      </c>
      <c r="DM27" s="347">
        <v>725</v>
      </c>
      <c r="DN27" s="122">
        <v>0.58620689655172409</v>
      </c>
      <c r="DO27" s="486">
        <v>3238796.0720000002</v>
      </c>
      <c r="DP27" s="486">
        <v>2674745.0960000004</v>
      </c>
      <c r="DQ27" s="122">
        <v>0.21088027298134726</v>
      </c>
      <c r="DR27" s="486">
        <v>790322.08800000011</v>
      </c>
      <c r="DS27" s="486">
        <v>570018.80799999996</v>
      </c>
      <c r="DT27" s="122">
        <v>0.38648422983264119</v>
      </c>
      <c r="DU27" s="486">
        <v>212343.61600000001</v>
      </c>
      <c r="DV27" s="486">
        <v>241560.84000000003</v>
      </c>
      <c r="DW27" s="122">
        <v>-0.1209518231514678</v>
      </c>
      <c r="DX27" s="486">
        <v>220887.296</v>
      </c>
      <c r="DY27" s="486">
        <v>64965.552000000003</v>
      </c>
      <c r="DZ27" s="122">
        <v>2.400068023742798</v>
      </c>
      <c r="EA27" s="486">
        <v>4162542.7920000004</v>
      </c>
      <c r="EB27" s="486">
        <v>3894331.9920000006</v>
      </c>
      <c r="EC27" s="122">
        <v>6.8872094251588356E-2</v>
      </c>
      <c r="ED27" s="486">
        <v>433531.25600000005</v>
      </c>
      <c r="EE27" s="486">
        <v>303518.3520000003</v>
      </c>
      <c r="EF27" s="122">
        <v>0.42835269479849969</v>
      </c>
      <c r="EG27" s="486">
        <v>7749140.6400000006</v>
      </c>
      <c r="EH27" s="122">
        <v>0.16895840981923382</v>
      </c>
      <c r="EI27" s="122">
        <v>0.88231567189427917</v>
      </c>
      <c r="EJ27" s="303">
        <v>13947</v>
      </c>
    </row>
    <row r="28" spans="1:140">
      <c r="A28" s="490" t="s">
        <v>102</v>
      </c>
      <c r="B28" s="131" t="s">
        <v>24</v>
      </c>
      <c r="C28" s="105" t="s">
        <v>228</v>
      </c>
      <c r="D28" s="767">
        <f>VLOOKUP($B$4:$B$30,'TOTAL POR UF'!$A$5:$B$31,2,)</f>
        <v>373056.95200000005</v>
      </c>
      <c r="E28" s="768">
        <f>VLOOKUP($A$4:$A$31,'Evolução das Receitas'!$P$212:$Q$239,2,0)</f>
        <v>437802.01</v>
      </c>
      <c r="F28" s="103">
        <f t="shared" si="3"/>
        <v>0.8521133833990393</v>
      </c>
      <c r="G28" s="767">
        <f>VLOOKUP($B$4:$B$30,'TOTAL POR UF'!$A$5:$C$31,3,)</f>
        <v>104584.488</v>
      </c>
      <c r="H28" s="768">
        <f>VLOOKUP($A$4:$A$31,'Evolução das Receitas'!$P$212:$R$239,3,0)</f>
        <v>73005.62</v>
      </c>
      <c r="I28" s="103">
        <f t="shared" si="4"/>
        <v>1.4325539321493332</v>
      </c>
      <c r="J28" s="767">
        <f>VLOOKUP($B$4:$B$30,'TOTAL POR UF'!$A$5:$D$31,4,)</f>
        <v>13940.447999999999</v>
      </c>
      <c r="K28" s="768">
        <f>VLOOKUP($A$4:$A$31,'Evolução das Receitas'!$P$212:$S$239,4,)</f>
        <v>58238.9</v>
      </c>
      <c r="L28" s="103">
        <f t="shared" si="5"/>
        <v>0.23936660891603376</v>
      </c>
      <c r="M28" s="767">
        <f>VLOOKUP($B$4:$B$30,'TOTAL POR UF'!$A$5:$E$31,5,)</f>
        <v>14064.192000000003</v>
      </c>
      <c r="N28" s="768">
        <f>VLOOKUP($A$4:$A$31,'Evolução das Receitas'!$P$212:$T$239,5,0)</f>
        <v>45000</v>
      </c>
      <c r="O28" s="103">
        <f t="shared" si="6"/>
        <v>0.31253760000000008</v>
      </c>
      <c r="P28" s="767">
        <f>VLOOKUP($B$4:$B$30,'TOTAL POR UF'!$A$5:$X$31,23,)</f>
        <v>588319.29599999997</v>
      </c>
      <c r="Q28" s="768">
        <f>VLOOKUP($A$4:$A$31,'Evolução das Receitas'!$P$212:$U$239,6,0)</f>
        <v>648401.06000000006</v>
      </c>
      <c r="R28" s="103">
        <f t="shared" si="7"/>
        <v>0.9073385783792518</v>
      </c>
      <c r="S28" s="767">
        <f>VLOOKUP($B$4:$B$30,'TOTAL POR UF'!$A$5:$X$31,24,0)</f>
        <v>51082.696000000011</v>
      </c>
      <c r="T28" s="768">
        <f>VLOOKUP($A$4:$A$31,'Evolução das Receitas'!$P$212:$V$239,7,0)</f>
        <v>47526.63</v>
      </c>
      <c r="U28" s="103">
        <f t="shared" si="8"/>
        <v>1.0748225994563472</v>
      </c>
      <c r="V28" s="109">
        <f>VLOOKUP($A$4:$A$29,'Anuid PF'!$A$5:$G$31,7,)</f>
        <v>1659</v>
      </c>
      <c r="W28" s="109">
        <f>VLOOKUP($A$4:$A$29,'Relatórios - SICCAU e IGEO'!$A$3:$E$29,5,)</f>
        <v>96</v>
      </c>
      <c r="X28" s="109">
        <f>VLOOKUP($A$4:$A$29,'Anuid PF'!$A$5:$B$31,2,)</f>
        <v>1701</v>
      </c>
      <c r="Y28" s="495">
        <f t="shared" si="9"/>
        <v>0.97530864197530864</v>
      </c>
      <c r="Z28" s="109">
        <f>VLOOKUP($A$4:$A$29,'Anuid PJ'!$A$5:$F$31,6,)</f>
        <v>195</v>
      </c>
      <c r="AA28" s="496">
        <f>VLOOKUP($A$4:$A$29,'Relatórios - SICCAU e IGEO'!$A$3:$J$29,10,)</f>
        <v>15</v>
      </c>
      <c r="AB28" s="109">
        <f>VLOOKUP($A$4:$A$29,'Anuid PJ'!$A$5:$B$31,2,)</f>
        <v>201</v>
      </c>
      <c r="AC28" s="103">
        <f t="shared" si="13"/>
        <v>0.97014925373134331</v>
      </c>
      <c r="AD28" s="109">
        <f>VLOOKUP($A$4:$A$29,RRT!$A$4:$D$30,4,)</f>
        <v>6702</v>
      </c>
      <c r="AE28" s="109">
        <f>VLOOKUP($A$4:$A$29,RRT!$A$4:$B$30,2,)</f>
        <v>7457</v>
      </c>
      <c r="AF28" s="498">
        <f t="shared" si="10"/>
        <v>4.0397830018083178</v>
      </c>
      <c r="AG28" s="498">
        <f>Tabela3[[#This Row],[Previsto - RRT]]/Tabela3[[#This Row],[Previsto PF]]</f>
        <v>4.3838918283362727</v>
      </c>
      <c r="AH28" s="109">
        <f>VLOOKUP(Tabela3[UF],'ADIMPLÊNCIA PF'!$A$4:H54,8,)</f>
        <v>1631</v>
      </c>
      <c r="AI28" s="109">
        <f>VLOOKUP(Tabela3[[#This Row],[UF]],'ADIMPLÊNCIA PF'!$A$4:$I$30,9,)</f>
        <v>985</v>
      </c>
      <c r="AJ28" s="103">
        <f>Tabela3[[#This Row],[PF Qnt Pag.
Exec.]]/Tabela3[[#This Row],[PF
Qnt Pot Pag.
Exec.]]</f>
        <v>0.60392397302268552</v>
      </c>
      <c r="AK28" s="507">
        <f>VLOOKUP(Tabela3[[#This Row],[UF]],'ADIMPLÊNCIA PF'!$A$4:$C$30,3,)</f>
        <v>1667</v>
      </c>
      <c r="AL28" s="507">
        <f>VLOOKUP(Tabela3[[#This Row],[UF]],'ADIMPLÊNCIA PF'!$A$4:$D$30,4,)</f>
        <v>1194</v>
      </c>
      <c r="AM28" s="103">
        <f>Tabela3[[#This Row],[PF Qnt Pag.
Previsto]]/Tabela3[[#This Row],[PF
Qnt Pot Pag.
Previsto]]</f>
        <v>0.71625674865026989</v>
      </c>
      <c r="AN28" s="507">
        <f>VLOOKUP(Tabela3[[#This Row],[UF]],'ADIMPLÊNCIA PJ'!$A$4:$F$30,6,)</f>
        <v>93</v>
      </c>
      <c r="AO28" s="103">
        <f>Tabela3[[#This Row],[PJ Pagantes
Exec.]]/Tabela3[[#This Row],[PJ Ativos]]</f>
        <v>0.47692307692307695</v>
      </c>
      <c r="AP28" s="507">
        <f>VLOOKUP(Tabela3[[#This Row],[UF]],'ADIMPLÊNCIA PJ'!$A$4:$C$30,3,)</f>
        <v>122</v>
      </c>
      <c r="AQ28" s="103">
        <f>Tabela3[[#This Row],[PJ Pagante
Previsto]]/Tabela3[[#This Row],[Previsto PJ]]</f>
        <v>0.60696517412935325</v>
      </c>
      <c r="AR28" s="109">
        <f>VLOOKUP($A$4:$A$29,'PF - Gênero'!$A$2:$B$28,2,)</f>
        <v>635</v>
      </c>
      <c r="AS28" s="109">
        <f>VLOOKUP($A$4:$A$29,'PF - Gênero'!$A$2:$C$28,3,)</f>
        <v>1024</v>
      </c>
      <c r="AT28" s="109">
        <f>VLOOKUP($A$4:$A$29,'Relatórios - SICCAU e IGEO'!$A$3:$F$29,6,)</f>
        <v>100</v>
      </c>
      <c r="AU28" s="109">
        <v>103</v>
      </c>
      <c r="AV28" s="495">
        <f t="shared" si="11"/>
        <v>0.970873786407767</v>
      </c>
      <c r="AW28" s="527">
        <f>'Comparativo YoY'!FN27</f>
        <v>6743433.8560000006</v>
      </c>
      <c r="AX28" s="527">
        <f>'Comparativo YoY'!FU27</f>
        <v>339730.89599999995</v>
      </c>
      <c r="AY28" s="103">
        <f>Tabela3[[#This Row],[Receita
PF
2022]]/Tabela3[[#This Row],[Receita
PF
2021]]-1</f>
        <v>18.849339390080086</v>
      </c>
      <c r="AZ28" s="527">
        <f>+'Comparativo YoY'!FO27</f>
        <v>1983188.5999999996</v>
      </c>
      <c r="BA28" s="527">
        <f>+'Comparativo YoY'!FV27</f>
        <v>141962.75999999998</v>
      </c>
      <c r="BB28" s="103">
        <f>Tabela3[[#This Row],[Receita
PF - Ex Ant
2022]]/Tabela3[[#This Row],[Receita
PF - Ex Ant
2021]]-1</f>
        <v>12.96978052554064</v>
      </c>
      <c r="BC28" s="527">
        <f>'Comparativo YoY'!FP27</f>
        <v>582202.19200000004</v>
      </c>
      <c r="BD28" s="527">
        <f>'Comparativo YoY'!FW27</f>
        <v>20958.64</v>
      </c>
      <c r="BE28" s="103">
        <f>Tabela3[[#This Row],[Receita
PJ
2022]]/Tabela3[[#This Row],[Receita
PJ
2021]]-1</f>
        <v>26.778624567242915</v>
      </c>
      <c r="BF28" s="527">
        <f>'Comparativo YoY'!FQ27</f>
        <v>611816.19999999995</v>
      </c>
      <c r="BG28" s="530">
        <f>'Comparativo YoY'!FX27</f>
        <v>10046.512000000001</v>
      </c>
      <c r="BH28" s="103">
        <f>Tabela3[[#This Row],[Receita
PJ - Ex Ant
2022]]/Tabela3[[#This Row],[Receita
PJ - Ex Ant
2021]]-1</f>
        <v>59.898369503764087</v>
      </c>
      <c r="BI28" s="527">
        <f>'Comparativo YoY'!FR27</f>
        <v>16396714.608000001</v>
      </c>
      <c r="BJ28" s="527">
        <f>'Comparativo YoY'!FY27</f>
        <v>537346.41600000008</v>
      </c>
      <c r="BK28" s="103">
        <f>Tabela3[[#This Row],[Receita
RRT
2022]]/Tabela3[[#This Row],[Receita
RRT
2021]]-1</f>
        <v>29.514234616203336</v>
      </c>
      <c r="BL28" s="527">
        <f>'Comparativo YoY'!FS27</f>
        <v>1557509.4659999998</v>
      </c>
      <c r="BM28" s="527">
        <f>'Comparativo YoY'!FZ27</f>
        <v>56690.511999999995</v>
      </c>
      <c r="BN28" s="103">
        <f>Tabela3[[#This Row],[Receita
Taxas
2022]]/Tabela3[[#This Row],[Receita
Taxas
2021]]-1</f>
        <v>26.473900147523803</v>
      </c>
      <c r="BO28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1106735.736</v>
      </c>
      <c r="BP28" s="103">
        <f t="shared" si="14"/>
        <v>3.4617420178794989E-2</v>
      </c>
      <c r="BQ28" s="499">
        <f t="shared" si="12"/>
        <v>0.87409969945820765</v>
      </c>
      <c r="BR28" s="517">
        <f>Tabela3[[#This Row],[PF Ativos
Exec.]]+Tabela3[[#This Row],[PJ Ativos]]</f>
        <v>1854</v>
      </c>
      <c r="BT28" s="790" t="s">
        <v>102</v>
      </c>
      <c r="BU28" s="790" t="s">
        <v>24</v>
      </c>
      <c r="BV28" s="750">
        <v>373056.95200000005</v>
      </c>
      <c r="BW28" s="486">
        <v>437802.01</v>
      </c>
      <c r="BX28" s="122">
        <v>0.8521133833990393</v>
      </c>
      <c r="BY28" s="486">
        <v>104584.488</v>
      </c>
      <c r="BZ28" s="486">
        <v>73005.62</v>
      </c>
      <c r="CA28" s="122">
        <v>1.4325539321493332</v>
      </c>
      <c r="CB28" s="486">
        <v>13940.447999999999</v>
      </c>
      <c r="CC28" s="486">
        <v>58238.9</v>
      </c>
      <c r="CD28" s="122">
        <v>0.23936660891603376</v>
      </c>
      <c r="CE28" s="486">
        <v>14064.192000000003</v>
      </c>
      <c r="CF28" s="486">
        <v>45000</v>
      </c>
      <c r="CG28" s="122">
        <v>0.31253760000000008</v>
      </c>
      <c r="CH28" s="486">
        <v>588319.29599999997</v>
      </c>
      <c r="CI28" s="486">
        <v>648401.06000000006</v>
      </c>
      <c r="CJ28" s="122">
        <v>0.9073385783792518</v>
      </c>
      <c r="CK28" s="486">
        <v>51082.696000000011</v>
      </c>
      <c r="CL28" s="486">
        <v>47526.63</v>
      </c>
      <c r="CM28" s="122">
        <v>1.0748225994563472</v>
      </c>
      <c r="CN28" s="347">
        <v>1659</v>
      </c>
      <c r="CO28" s="303">
        <v>96</v>
      </c>
      <c r="CP28" s="347">
        <v>1701</v>
      </c>
      <c r="CQ28" s="122">
        <v>0.97530864197530864</v>
      </c>
      <c r="CR28" s="347">
        <v>195</v>
      </c>
      <c r="CS28" s="387">
        <v>15</v>
      </c>
      <c r="CT28" s="347">
        <v>201</v>
      </c>
      <c r="CU28" s="122">
        <v>0.97014925373134331</v>
      </c>
      <c r="CV28" s="303">
        <v>6702</v>
      </c>
      <c r="CW28" s="347">
        <v>7457</v>
      </c>
      <c r="CX28" s="387">
        <v>4.0397830018083178</v>
      </c>
      <c r="CY28" s="387">
        <v>4.3838918283362727</v>
      </c>
      <c r="CZ28" s="347">
        <v>1631</v>
      </c>
      <c r="DA28" s="347">
        <v>985</v>
      </c>
      <c r="DB28" s="122">
        <v>0.60392397302268552</v>
      </c>
      <c r="DC28" s="347">
        <v>1667</v>
      </c>
      <c r="DD28" s="347">
        <v>1194</v>
      </c>
      <c r="DE28" s="122">
        <v>0.71625674865026989</v>
      </c>
      <c r="DF28" s="347">
        <v>93</v>
      </c>
      <c r="DG28" s="122">
        <v>0.47692307692307695</v>
      </c>
      <c r="DH28" s="303">
        <v>122</v>
      </c>
      <c r="DI28" s="122">
        <v>0.60696517412935325</v>
      </c>
      <c r="DJ28" s="347">
        <v>635</v>
      </c>
      <c r="DK28" s="347">
        <v>1024</v>
      </c>
      <c r="DL28" s="347">
        <v>100</v>
      </c>
      <c r="DM28" s="347">
        <v>103</v>
      </c>
      <c r="DN28" s="122">
        <v>0.970873786407767</v>
      </c>
      <c r="DO28" s="486">
        <v>6743433.8560000006</v>
      </c>
      <c r="DP28" s="486">
        <v>339730.89599999995</v>
      </c>
      <c r="DQ28" s="122">
        <v>18.849339390080086</v>
      </c>
      <c r="DR28" s="486">
        <v>1983188.5999999996</v>
      </c>
      <c r="DS28" s="486">
        <v>141962.75999999998</v>
      </c>
      <c r="DT28" s="122">
        <v>12.96978052554064</v>
      </c>
      <c r="DU28" s="486">
        <v>582202.19200000004</v>
      </c>
      <c r="DV28" s="486">
        <v>20958.64</v>
      </c>
      <c r="DW28" s="122">
        <v>26.778624567242915</v>
      </c>
      <c r="DX28" s="486">
        <v>611816.19999999995</v>
      </c>
      <c r="DY28" s="486">
        <v>10046.512000000001</v>
      </c>
      <c r="DZ28" s="122">
        <v>59.898369503764087</v>
      </c>
      <c r="EA28" s="486">
        <v>16396714.608000001</v>
      </c>
      <c r="EB28" s="486">
        <v>537346.41600000008</v>
      </c>
      <c r="EC28" s="122">
        <v>29.514234616203336</v>
      </c>
      <c r="ED28" s="486">
        <v>1557509.4659999998</v>
      </c>
      <c r="EE28" s="486">
        <v>56690.511999999995</v>
      </c>
      <c r="EF28" s="122">
        <v>26.473900147523803</v>
      </c>
      <c r="EG28" s="486">
        <v>1106735.736</v>
      </c>
      <c r="EH28" s="122">
        <v>3.4617420178794989E-2</v>
      </c>
      <c r="EI28" s="122">
        <v>0.87409969945820765</v>
      </c>
      <c r="EJ28" s="303">
        <v>1854</v>
      </c>
    </row>
    <row r="29" spans="1:140">
      <c r="A29" s="490" t="s">
        <v>101</v>
      </c>
      <c r="B29" s="131" t="s">
        <v>25</v>
      </c>
      <c r="C29" s="105" t="s">
        <v>227</v>
      </c>
      <c r="D29" s="767">
        <f>VLOOKUP($B$4:$B$30,'TOTAL POR UF'!$A$5:$B$31,2,)</f>
        <v>15713904.039999999</v>
      </c>
      <c r="E29" s="768">
        <f>VLOOKUP($A$4:$A$31,'Evolução das Receitas'!$P$212:$Q$239,2,0)</f>
        <v>16795375.52</v>
      </c>
      <c r="F29" s="103">
        <f t="shared" si="3"/>
        <v>0.93560897291565881</v>
      </c>
      <c r="G29" s="767">
        <f>VLOOKUP($B$4:$B$30,'TOTAL POR UF'!$A$5:$C$31,3,)</f>
        <v>3383206.9999999995</v>
      </c>
      <c r="H29" s="768">
        <f>VLOOKUP($A$4:$A$31,'Evolução das Receitas'!$P$212:$R$239,3,0)</f>
        <v>4054515.912</v>
      </c>
      <c r="I29" s="103">
        <f t="shared" si="4"/>
        <v>0.83442933100517558</v>
      </c>
      <c r="J29" s="767">
        <f>VLOOKUP($B$4:$B$30,'TOTAL POR UF'!$A$5:$D$31,4,)</f>
        <v>844056.89599999995</v>
      </c>
      <c r="K29" s="768">
        <f>VLOOKUP($A$4:$A$31,'Evolução das Receitas'!$P$212:$S$239,4,)</f>
        <v>1218522.2080000001</v>
      </c>
      <c r="L29" s="103">
        <f t="shared" si="5"/>
        <v>0.69268897231292803</v>
      </c>
      <c r="M29" s="767">
        <f>VLOOKUP($B$4:$B$30,'TOTAL POR UF'!$A$5:$E$31,5,)</f>
        <v>847348</v>
      </c>
      <c r="N29" s="768">
        <f>VLOOKUP($A$4:$A$31,'Evolução das Receitas'!$P$212:$T$239,5,0)</f>
        <v>507349.61600000004</v>
      </c>
      <c r="O29" s="103">
        <f t="shared" si="6"/>
        <v>1.6701461344951525</v>
      </c>
      <c r="P29" s="767">
        <f>VLOOKUP($B$4:$B$30,'TOTAL POR UF'!$A$5:$X$31,23,)</f>
        <v>23228301.120000005</v>
      </c>
      <c r="Q29" s="768">
        <f>VLOOKUP($A$4:$A$31,'Evolução das Receitas'!$P$212:$U$239,6,0)</f>
        <v>31198029.792000003</v>
      </c>
      <c r="R29" s="103">
        <f t="shared" si="7"/>
        <v>0.74454384699499043</v>
      </c>
      <c r="S29" s="767">
        <f>VLOOKUP($B$4:$B$30,'TOTAL POR UF'!$A$5:$X$31,24,0)</f>
        <v>2248403.6339999996</v>
      </c>
      <c r="T29" s="768">
        <f>VLOOKUP($A$4:$A$31,'Evolução das Receitas'!$P$212:$V$239,7,0)</f>
        <v>2200201.1920000003</v>
      </c>
      <c r="U29" s="103">
        <f t="shared" si="8"/>
        <v>1.0219081973845232</v>
      </c>
      <c r="V29" s="109">
        <f>VLOOKUP($A$4:$A$29,'Anuid PF'!$A$5:$G$31,7,)</f>
        <v>66788</v>
      </c>
      <c r="W29" s="109">
        <f>VLOOKUP($A$4:$A$29,'Relatórios - SICCAU e IGEO'!$A$3:$E$29,5,)</f>
        <v>1776</v>
      </c>
      <c r="X29" s="109">
        <f>VLOOKUP($A$4:$A$29,'Anuid PF'!$A$5:$B$31,2,)</f>
        <v>67463</v>
      </c>
      <c r="Y29" s="495">
        <f t="shared" si="9"/>
        <v>0.98999451551220674</v>
      </c>
      <c r="Z29" s="109">
        <f>VLOOKUP($A$4:$A$29,'Anuid PJ'!$A$5:$F$31,6,)</f>
        <v>8410</v>
      </c>
      <c r="AA29" s="496">
        <f>VLOOKUP($A$4:$A$29,'Relatórios - SICCAU e IGEO'!$A$3:$J$29,10,)</f>
        <v>365</v>
      </c>
      <c r="AB29" s="109">
        <f>VLOOKUP($A$4:$A$29,'Anuid PJ'!$A$5:$B$31,2,)</f>
        <v>8228</v>
      </c>
      <c r="AC29" s="103">
        <f t="shared" si="13"/>
        <v>1.0221195916383081</v>
      </c>
      <c r="AD29" s="109">
        <f>VLOOKUP($A$4:$A$29,RRT!$A$4:$D$30,4,)</f>
        <v>265567</v>
      </c>
      <c r="AE29" s="109">
        <f>VLOOKUP($A$4:$A$29,RRT!$A$4:$B$30,2,)</f>
        <v>358796</v>
      </c>
      <c r="AF29" s="498">
        <f t="shared" si="10"/>
        <v>3.976268191890759</v>
      </c>
      <c r="AG29" s="498">
        <f>Tabela3[[#This Row],[Previsto - RRT]]/Tabela3[[#This Row],[Previsto PF]]</f>
        <v>5.3184115737515381</v>
      </c>
      <c r="AH29" s="109">
        <f>VLOOKUP(Tabela3[UF],'ADIMPLÊNCIA PF'!$A$4:H55,8,)</f>
        <v>62629</v>
      </c>
      <c r="AI29" s="109">
        <f>VLOOKUP(Tabela3[[#This Row],[UF]],'ADIMPLÊNCIA PF'!$A$4:$I$30,9,)</f>
        <v>40448</v>
      </c>
      <c r="AJ29" s="103">
        <f>Tabela3[[#This Row],[PF Qnt Pag.
Exec.]]/Tabela3[[#This Row],[PF
Qnt Pot Pag.
Exec.]]</f>
        <v>0.64583499656708554</v>
      </c>
      <c r="AK29" s="507">
        <f>VLOOKUP(Tabela3[[#This Row],[UF]],'ADIMPLÊNCIA PF'!$A$4:$C$30,3,)</f>
        <v>63084</v>
      </c>
      <c r="AL29" s="507">
        <f>VLOOKUP(Tabela3[[#This Row],[UF]],'ADIMPLÊNCIA PF'!$A$4:$D$30,4,)</f>
        <v>46118</v>
      </c>
      <c r="AM29" s="103">
        <f>Tabela3[[#This Row],[PF Qnt Pag.
Previsto]]/Tabela3[[#This Row],[PF
Qnt Pot Pag.
Previsto]]</f>
        <v>0.73105700336059853</v>
      </c>
      <c r="AN29" s="507">
        <f>VLOOKUP(Tabela3[[#This Row],[UF]],'ADIMPLÊNCIA PJ'!$A$4:$F$30,6,)</f>
        <v>4432</v>
      </c>
      <c r="AO29" s="103">
        <f>Tabela3[[#This Row],[PJ Pagantes
Exec.]]/Tabela3[[#This Row],[PJ Ativos]]</f>
        <v>0.52699167657550539</v>
      </c>
      <c r="AP29" s="507">
        <f>VLOOKUP(Tabela3[[#This Row],[UF]],'ADIMPLÊNCIA PJ'!$A$4:$C$30,3,)</f>
        <v>4832</v>
      </c>
      <c r="AQ29" s="103">
        <f>Tabela3[[#This Row],[PJ Pagante
Previsto]]/Tabela3[[#This Row],[Previsto PJ]]</f>
        <v>0.58726300437530388</v>
      </c>
      <c r="AR29" s="109">
        <f>VLOOKUP($A$4:$A$29,'PF - Gênero'!$A$2:$B$28,2,)</f>
        <v>24494</v>
      </c>
      <c r="AS29" s="109">
        <f>VLOOKUP($A$4:$A$29,'PF - Gênero'!$A$2:$C$28,3,)</f>
        <v>42294</v>
      </c>
      <c r="AT29" s="109">
        <f>VLOOKUP($A$4:$A$29,'Relatórios - SICCAU e IGEO'!$A$3:$F$29,6,)</f>
        <v>1375</v>
      </c>
      <c r="AU29" s="109">
        <v>2709</v>
      </c>
      <c r="AV29" s="495">
        <f t="shared" si="11"/>
        <v>0.50756736803248426</v>
      </c>
      <c r="AW29" s="527">
        <f>'Comparativo YoY'!FN28</f>
        <v>9343527.1360000018</v>
      </c>
      <c r="AX29" s="527">
        <f>'Comparativo YoY'!FU28</f>
        <v>14365482.448000001</v>
      </c>
      <c r="AY29" s="103">
        <f>Tabela3[[#This Row],[Receita
PF
2022]]/Tabela3[[#This Row],[Receita
PF
2021]]-1</f>
        <v>-0.34958486985580972</v>
      </c>
      <c r="AZ29" s="527">
        <f>+'Comparativo YoY'!FO28</f>
        <v>1504602.8880000005</v>
      </c>
      <c r="BA29" s="527">
        <f>+'Comparativo YoY'!FV28</f>
        <v>4118164.5599999996</v>
      </c>
      <c r="BB29" s="103">
        <f>Tabela3[[#This Row],[Receita
PF - Ex Ant
2022]]/Tabela3[[#This Row],[Receita
PF - Ex Ant
2021]]-1</f>
        <v>-0.63464235921645629</v>
      </c>
      <c r="BC29" s="527">
        <f>'Comparativo YoY'!FP28</f>
        <v>275795.15199999994</v>
      </c>
      <c r="BD29" s="527">
        <f>'Comparativo YoY'!FW28</f>
        <v>1193124.4480000001</v>
      </c>
      <c r="BE29" s="103">
        <f>Tabela3[[#This Row],[Receita
PJ
2022]]/Tabela3[[#This Row],[Receita
PJ
2021]]-1</f>
        <v>-0.76884628216083628</v>
      </c>
      <c r="BF29" s="527">
        <f>'Comparativo YoY'!FQ28</f>
        <v>249595.99200000003</v>
      </c>
      <c r="BG29" s="530">
        <f>'Comparativo YoY'!FX28</f>
        <v>589577.81600000011</v>
      </c>
      <c r="BH29" s="103">
        <f>Tabela3[[#This Row],[Receita
PJ - Ex Ant
2022]]/Tabela3[[#This Row],[Receita
PJ - Ex Ant
2021]]-1</f>
        <v>-0.57665301300956684</v>
      </c>
      <c r="BI29" s="527">
        <f>'Comparativo YoY'!FR28</f>
        <v>7419905.8079999993</v>
      </c>
      <c r="BJ29" s="527">
        <f>'Comparativo YoY'!FY28</f>
        <v>20298903.335999999</v>
      </c>
      <c r="BK29" s="103">
        <f>Tabela3[[#This Row],[Receita
RRT
2022]]/Tabela3[[#This Row],[Receita
RRT
2021]]-1</f>
        <v>-0.63446765151884654</v>
      </c>
      <c r="BL29" s="527">
        <f>'Comparativo YoY'!FS28</f>
        <v>741976.86400000018</v>
      </c>
      <c r="BM29" s="527">
        <f>'Comparativo YoY'!FZ28</f>
        <v>2356331.8820000021</v>
      </c>
      <c r="BN29" s="103">
        <f>Tabela3[[#This Row],[Receita
Taxas
2022]]/Tabela3[[#This Row],[Receita
Taxas
2021]]-1</f>
        <v>-0.68511359979977571</v>
      </c>
      <c r="BO29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42921584.489999995</v>
      </c>
      <c r="BP29" s="103">
        <f t="shared" si="14"/>
        <v>7.790104302367995E-2</v>
      </c>
      <c r="BQ29" s="499">
        <f t="shared" si="12"/>
        <v>0.82654849485331283</v>
      </c>
      <c r="BR29" s="517">
        <f>Tabela3[[#This Row],[PF Ativos
Exec.]]+Tabela3[[#This Row],[PJ Ativos]]</f>
        <v>75198</v>
      </c>
      <c r="BT29" s="790" t="s">
        <v>101</v>
      </c>
      <c r="BU29" s="790" t="s">
        <v>25</v>
      </c>
      <c r="BV29" s="750">
        <v>15713904.039999999</v>
      </c>
      <c r="BW29" s="486">
        <v>16795375.52</v>
      </c>
      <c r="BX29" s="122">
        <v>0.93560897291565881</v>
      </c>
      <c r="BY29" s="486">
        <v>3383206.9999999995</v>
      </c>
      <c r="BZ29" s="486">
        <v>4054515.912</v>
      </c>
      <c r="CA29" s="122">
        <v>0.83442933100517558</v>
      </c>
      <c r="CB29" s="486">
        <v>844056.89599999995</v>
      </c>
      <c r="CC29" s="486">
        <v>1218522.2080000001</v>
      </c>
      <c r="CD29" s="122">
        <v>0.69268897231292803</v>
      </c>
      <c r="CE29" s="486">
        <v>847348</v>
      </c>
      <c r="CF29" s="486">
        <v>507349.61600000004</v>
      </c>
      <c r="CG29" s="122">
        <v>1.6701461344951525</v>
      </c>
      <c r="CH29" s="486">
        <v>23228301.120000005</v>
      </c>
      <c r="CI29" s="486">
        <v>31198029.792000003</v>
      </c>
      <c r="CJ29" s="122">
        <v>0.74454384699499043</v>
      </c>
      <c r="CK29" s="486">
        <v>2248403.6339999996</v>
      </c>
      <c r="CL29" s="486">
        <v>2200201.1920000003</v>
      </c>
      <c r="CM29" s="122">
        <v>1.0219081973845232</v>
      </c>
      <c r="CN29" s="347">
        <v>66788</v>
      </c>
      <c r="CO29" s="303">
        <v>1776</v>
      </c>
      <c r="CP29" s="347">
        <v>67463</v>
      </c>
      <c r="CQ29" s="122">
        <v>0.98999451551220674</v>
      </c>
      <c r="CR29" s="347">
        <v>8410</v>
      </c>
      <c r="CS29" s="387">
        <v>365</v>
      </c>
      <c r="CT29" s="347">
        <v>8228</v>
      </c>
      <c r="CU29" s="122">
        <v>1.0221195916383081</v>
      </c>
      <c r="CV29" s="303">
        <v>265567</v>
      </c>
      <c r="CW29" s="347">
        <v>358796</v>
      </c>
      <c r="CX29" s="387">
        <v>3.976268191890759</v>
      </c>
      <c r="CY29" s="387">
        <v>5.3184115737515381</v>
      </c>
      <c r="CZ29" s="347">
        <v>62629</v>
      </c>
      <c r="DA29" s="347">
        <v>40448</v>
      </c>
      <c r="DB29" s="122">
        <v>0.64583499656708554</v>
      </c>
      <c r="DC29" s="347">
        <v>63084</v>
      </c>
      <c r="DD29" s="347">
        <v>46118</v>
      </c>
      <c r="DE29" s="122">
        <v>0.73105700336059853</v>
      </c>
      <c r="DF29" s="347">
        <v>4432</v>
      </c>
      <c r="DG29" s="122">
        <v>0.52699167657550539</v>
      </c>
      <c r="DH29" s="303">
        <v>4832</v>
      </c>
      <c r="DI29" s="122">
        <v>0.58726300437530388</v>
      </c>
      <c r="DJ29" s="347">
        <v>24494</v>
      </c>
      <c r="DK29" s="347">
        <v>42294</v>
      </c>
      <c r="DL29" s="347">
        <v>1375</v>
      </c>
      <c r="DM29" s="347">
        <v>2709</v>
      </c>
      <c r="DN29" s="122">
        <v>0.50756736803248426</v>
      </c>
      <c r="DO29" s="486">
        <v>9343527.1360000018</v>
      </c>
      <c r="DP29" s="486">
        <v>14365482.448000001</v>
      </c>
      <c r="DQ29" s="122">
        <v>-0.34958486985580972</v>
      </c>
      <c r="DR29" s="486">
        <v>1504602.8880000005</v>
      </c>
      <c r="DS29" s="486">
        <v>4118164.5599999996</v>
      </c>
      <c r="DT29" s="122">
        <v>-0.63464235921645629</v>
      </c>
      <c r="DU29" s="486">
        <v>275795.15199999994</v>
      </c>
      <c r="DV29" s="486">
        <v>1193124.4480000001</v>
      </c>
      <c r="DW29" s="122">
        <v>-0.76884628216083628</v>
      </c>
      <c r="DX29" s="486">
        <v>249595.99200000003</v>
      </c>
      <c r="DY29" s="486">
        <v>589577.81600000011</v>
      </c>
      <c r="DZ29" s="122">
        <v>-0.57665301300956684</v>
      </c>
      <c r="EA29" s="486">
        <v>7419905.8079999993</v>
      </c>
      <c r="EB29" s="486">
        <v>20298903.335999999</v>
      </c>
      <c r="EC29" s="122">
        <v>-0.63446765151884654</v>
      </c>
      <c r="ED29" s="486">
        <v>741976.86400000018</v>
      </c>
      <c r="EE29" s="486">
        <v>2356331.8820000021</v>
      </c>
      <c r="EF29" s="122">
        <v>-0.68511359979977571</v>
      </c>
      <c r="EG29" s="486">
        <v>42921584.489999995</v>
      </c>
      <c r="EH29" s="122">
        <v>7.790104302367995E-2</v>
      </c>
      <c r="EI29" s="122">
        <v>0.82654849485331283</v>
      </c>
      <c r="EJ29" s="303">
        <v>75198</v>
      </c>
    </row>
    <row r="30" spans="1:140">
      <c r="A30" s="491" t="s">
        <v>103</v>
      </c>
      <c r="B30" s="492" t="s">
        <v>26</v>
      </c>
      <c r="C30" s="493" t="s">
        <v>225</v>
      </c>
      <c r="D30" s="769">
        <f>VLOOKUP($B$4:$B$30,'TOTAL POR UF'!$A$5:$B$31,2,)</f>
        <v>196633.19999999998</v>
      </c>
      <c r="E30" s="770">
        <f>VLOOKUP($A$4:$A$31,'Evolução das Receitas'!$P$212:$Q$239,2,0)</f>
        <v>228245</v>
      </c>
      <c r="F30" s="494">
        <f t="shared" si="3"/>
        <v>0.8615005805165501</v>
      </c>
      <c r="G30" s="769">
        <f>VLOOKUP($B$4:$B$30,'TOTAL POR UF'!$A$5:$C$31,3,)</f>
        <v>38199.704000000012</v>
      </c>
      <c r="H30" s="770">
        <f>VLOOKUP($A$4:$A$31,'Evolução das Receitas'!$P$212:$R$239,3,0)</f>
        <v>50794.41</v>
      </c>
      <c r="I30" s="494">
        <f t="shared" si="4"/>
        <v>0.75204543177093719</v>
      </c>
      <c r="J30" s="769">
        <f>VLOOKUP($B$4:$B$30,'TOTAL POR UF'!$A$5:$D$31,4,)</f>
        <v>10895.152000000002</v>
      </c>
      <c r="K30" s="770">
        <f>VLOOKUP($A$4:$A$31,'Evolução das Receitas'!$P$212:$S$239,4,)</f>
        <v>58238.9</v>
      </c>
      <c r="L30" s="494">
        <f t="shared" si="5"/>
        <v>0.18707688503732045</v>
      </c>
      <c r="M30" s="769">
        <f>VLOOKUP($B$4:$B$30,'TOTAL POR UF'!$A$5:$E$31,5,)</f>
        <v>15569.232</v>
      </c>
      <c r="N30" s="770">
        <f>VLOOKUP($A$4:$A$31,'Evolução das Receitas'!$P$212:$T$239,5,0)</f>
        <v>45000</v>
      </c>
      <c r="O30" s="494">
        <f t="shared" si="6"/>
        <v>0.34598293333333335</v>
      </c>
      <c r="P30" s="767">
        <f>VLOOKUP($B$4:$B$30,'TOTAL POR UF'!$A$5:$X$31,23,)</f>
        <v>351383.68800000002</v>
      </c>
      <c r="Q30" s="770">
        <f>VLOOKUP($A$4:$A$31,'Evolução das Receitas'!$P$212:$U$239,6,0)</f>
        <v>499713.14999999997</v>
      </c>
      <c r="R30" s="494">
        <f t="shared" si="7"/>
        <v>0.70317078507940012</v>
      </c>
      <c r="S30" s="767">
        <f>VLOOKUP($B$4:$B$30,'TOTAL POR UF'!$A$5:$X$31,24,0)</f>
        <v>26745.144</v>
      </c>
      <c r="T30" s="770">
        <f>VLOOKUP($A$4:$A$31,'Evolução das Receitas'!$P$212:$V$239,7,0)</f>
        <v>36281.89</v>
      </c>
      <c r="U30" s="494">
        <f t="shared" si="8"/>
        <v>0.73714858845556286</v>
      </c>
      <c r="V30" s="109">
        <f>VLOOKUP($A$4:$A$31,'Anuid PF'!$A$5:$G$31,7,)</f>
        <v>933</v>
      </c>
      <c r="W30" s="500">
        <f>VLOOKUP($A$4:$A$31,'Relatórios - SICCAU e IGEO'!$A$3:$E$29,5,)</f>
        <v>64</v>
      </c>
      <c r="X30" s="500">
        <f>VLOOKUP($A$4:$A$31,'Anuid PF'!$A$5:$B$31,2,)</f>
        <v>923</v>
      </c>
      <c r="Y30" s="494">
        <f t="shared" si="9"/>
        <v>1.0108342361863489</v>
      </c>
      <c r="Z30" s="500">
        <f>VLOOKUP($A$4:$A$31,'Anuid PJ'!$A$5:$F$31,6,)</f>
        <v>234</v>
      </c>
      <c r="AA30" s="501">
        <f>VLOOKUP($A$4:$A$31,'Relatórios - SICCAU e IGEO'!$A$3:$J$29,10,)</f>
        <v>17</v>
      </c>
      <c r="AB30" s="500">
        <f>VLOOKUP($A$4:$A$31,'Anuid PJ'!$A$5:$B$31,2,)</f>
        <v>241</v>
      </c>
      <c r="AC30" s="494">
        <f t="shared" si="13"/>
        <v>0.97095435684647302</v>
      </c>
      <c r="AD30" s="500">
        <f>VLOOKUP($A$4:$A$31,RRT!$A$4:$D$30,4,)</f>
        <v>3990</v>
      </c>
      <c r="AE30" s="500">
        <f>VLOOKUP($A$1:$A$31,RRT!$A$4:$B$30,2,)</f>
        <v>5747</v>
      </c>
      <c r="AF30" s="502">
        <f t="shared" si="10"/>
        <v>4.276527331189711</v>
      </c>
      <c r="AG30" s="498">
        <f>Tabela3[[#This Row],[Previsto - RRT]]/Tabela3[[#This Row],[Previsto PF]]</f>
        <v>6.2264355362946908</v>
      </c>
      <c r="AH30" s="500">
        <f>VLOOKUP(Tabela3[UF],'ADIMPLÊNCIA PF'!$A$4:H56,8,)</f>
        <v>918</v>
      </c>
      <c r="AI30" s="500">
        <f>VLOOKUP(Tabela3[[#This Row],[UF]],'ADIMPLÊNCIA PF'!$A$4:$I$30,9,)</f>
        <v>551</v>
      </c>
      <c r="AJ30" s="103">
        <f>Tabela3[[#This Row],[PF Qnt Pag.
Exec.]]/Tabela3[[#This Row],[PF
Qnt Pot Pag.
Exec.]]</f>
        <v>0.60021786492374729</v>
      </c>
      <c r="AK30" s="515">
        <f>VLOOKUP(Tabela3[[#This Row],[UF]],'ADIMPLÊNCIA PF'!$A$4:$C$30,3,)</f>
        <v>904</v>
      </c>
      <c r="AL30" s="515">
        <f>VLOOKUP(Tabela3[[#This Row],[UF]],'ADIMPLÊNCIA PF'!$A$4:$D$30,4,)</f>
        <v>639</v>
      </c>
      <c r="AM30" s="103">
        <f>Tabela3[[#This Row],[PF Qnt Pag.
Previsto]]/Tabela3[[#This Row],[PF
Qnt Pot Pag.
Previsto]]</f>
        <v>0.70685840707964598</v>
      </c>
      <c r="AN30" s="515">
        <f>VLOOKUP(Tabela3[[#This Row],[UF]],'ADIMPLÊNCIA PJ'!$A$4:$F$30,6,)</f>
        <v>65</v>
      </c>
      <c r="AO30" s="103">
        <f>Tabela3[[#This Row],[PJ Pagantes
Exec.]]/Tabela3[[#This Row],[PJ Ativos]]</f>
        <v>0.27777777777777779</v>
      </c>
      <c r="AP30" s="515">
        <f>VLOOKUP(Tabela3[[#This Row],[UF]],'ADIMPLÊNCIA PJ'!$A$4:$C$30,3,)</f>
        <v>100</v>
      </c>
      <c r="AQ30" s="103">
        <f>Tabela3[[#This Row],[PJ Pagante
Previsto]]/Tabela3[[#This Row],[Previsto PJ]]</f>
        <v>0.41493775933609961</v>
      </c>
      <c r="AR30" s="500">
        <f>VLOOKUP($A$4:$A$31,'PF - Gênero'!$A$2:$B$28,2,)</f>
        <v>365</v>
      </c>
      <c r="AS30" s="500">
        <f>VLOOKUP($A$4:$A$31,'PF - Gênero'!$A$2:$C$28,3,)</f>
        <v>568</v>
      </c>
      <c r="AT30" s="500">
        <f>VLOOKUP($A$4:$A$31,'Relatórios - SICCAU e IGEO'!$A$3:$F$29,6,)</f>
        <v>68</v>
      </c>
      <c r="AU30" s="500">
        <v>80</v>
      </c>
      <c r="AV30" s="503">
        <f t="shared" si="11"/>
        <v>0.85</v>
      </c>
      <c r="AW30" s="527">
        <f>'Comparativo YoY'!FN29</f>
        <v>196633.19999999998</v>
      </c>
      <c r="AX30" s="527">
        <f>'Comparativo YoY'!FU29</f>
        <v>172196.05600000004</v>
      </c>
      <c r="AY30" s="103">
        <f>Tabela3[[#This Row],[Receita
PF
2022]]/Tabela3[[#This Row],[Receita
PF
2021]]-1</f>
        <v>0.14191465569919859</v>
      </c>
      <c r="AZ30" s="527">
        <f>+'Comparativo YoY'!FO29</f>
        <v>38199.704000000012</v>
      </c>
      <c r="BA30" s="527">
        <f>+'Comparativo YoY'!FV29</f>
        <v>55167.88</v>
      </c>
      <c r="BB30" s="103">
        <f>Tabela3[[#This Row],[Receita
PF - Ex Ant
2022]]/Tabela3[[#This Row],[Receita
PF - Ex Ant
2021]]-1</f>
        <v>-0.30757346484947379</v>
      </c>
      <c r="BC30" s="527">
        <f>'Comparativo YoY'!FP29</f>
        <v>10895.152000000002</v>
      </c>
      <c r="BD30" s="527">
        <f>'Comparativo YoY'!FW29</f>
        <v>15479.632</v>
      </c>
      <c r="BE30" s="103">
        <f>Tabela3[[#This Row],[Receita
PJ
2022]]/Tabela3[[#This Row],[Receita
PJ
2021]]-1</f>
        <v>-0.2961620793052443</v>
      </c>
      <c r="BF30" s="527">
        <f>'Comparativo YoY'!FQ29</f>
        <v>15569.232</v>
      </c>
      <c r="BG30" s="530">
        <f>'Comparativo YoY'!FX29</f>
        <v>10666.264000000003</v>
      </c>
      <c r="BH30" s="103">
        <f>Tabela3[[#This Row],[Receita
PJ - Ex Ant
2022]]/Tabela3[[#This Row],[Receita
PJ - Ex Ant
2021]]-1</f>
        <v>0.45967060256524639</v>
      </c>
      <c r="BI30" s="527">
        <f>'Comparativo YoY'!FR29</f>
        <v>351383.68800000002</v>
      </c>
      <c r="BJ30" s="527">
        <f>'Comparativo YoY'!FY29</f>
        <v>325596.13600000006</v>
      </c>
      <c r="BK30" s="103">
        <f>Tabela3[[#This Row],[Receita
RRT
2022]]/Tabela3[[#This Row],[Receita
RRT
2021]]-1</f>
        <v>7.9201038184310457E-2</v>
      </c>
      <c r="BL30" s="527">
        <f>'Comparativo YoY'!FS29</f>
        <v>26745.144</v>
      </c>
      <c r="BM30" s="527">
        <f>'Comparativo YoY'!FZ29</f>
        <v>24428.072000000015</v>
      </c>
      <c r="BN30" s="103">
        <f>Tabela3[[#This Row],[Receita
Taxas
2022]]/Tabela3[[#This Row],[Receita
Taxas
2021]]-1</f>
        <v>9.4852839798408306E-2</v>
      </c>
      <c r="BO30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603534.04000000015</v>
      </c>
      <c r="BP30" s="494">
        <f t="shared" si="14"/>
        <v>5.9469851940745277E-2</v>
      </c>
      <c r="BQ30" s="504">
        <f t="shared" si="12"/>
        <v>0.69633526879550622</v>
      </c>
      <c r="BR30" s="517">
        <f>Tabela3[[#This Row],[PF Ativos
Exec.]]+Tabela3[[#This Row],[PJ Ativos]]</f>
        <v>1167</v>
      </c>
      <c r="BT30" s="790" t="s">
        <v>103</v>
      </c>
      <c r="BU30" s="790" t="s">
        <v>26</v>
      </c>
      <c r="BV30" s="750">
        <v>196633.19999999998</v>
      </c>
      <c r="BW30" s="486">
        <v>228245</v>
      </c>
      <c r="BX30" s="122">
        <v>0.8615005805165501</v>
      </c>
      <c r="BY30" s="486">
        <v>38199.704000000012</v>
      </c>
      <c r="BZ30" s="486">
        <v>50794.41</v>
      </c>
      <c r="CA30" s="122">
        <v>0.75204543177093719</v>
      </c>
      <c r="CB30" s="486">
        <v>10895.152000000002</v>
      </c>
      <c r="CC30" s="486">
        <v>58238.9</v>
      </c>
      <c r="CD30" s="122">
        <v>0.18707688503732045</v>
      </c>
      <c r="CE30" s="486">
        <v>15569.232</v>
      </c>
      <c r="CF30" s="486">
        <v>45000</v>
      </c>
      <c r="CG30" s="122">
        <v>0.34598293333333335</v>
      </c>
      <c r="CH30" s="486">
        <v>351383.68800000002</v>
      </c>
      <c r="CI30" s="486">
        <v>499713.14999999997</v>
      </c>
      <c r="CJ30" s="122">
        <v>0.70317078507940012</v>
      </c>
      <c r="CK30" s="486">
        <v>26745.144</v>
      </c>
      <c r="CL30" s="486">
        <v>36281.89</v>
      </c>
      <c r="CM30" s="122">
        <v>0.73714858845556286</v>
      </c>
      <c r="CN30" s="347">
        <v>933</v>
      </c>
      <c r="CO30" s="303">
        <v>64</v>
      </c>
      <c r="CP30" s="347">
        <v>923</v>
      </c>
      <c r="CQ30" s="122">
        <v>1.0108342361863489</v>
      </c>
      <c r="CR30" s="347">
        <v>234</v>
      </c>
      <c r="CS30" s="387">
        <v>17</v>
      </c>
      <c r="CT30" s="347">
        <v>241</v>
      </c>
      <c r="CU30" s="122">
        <v>0.97095435684647302</v>
      </c>
      <c r="CV30" s="303">
        <v>3990</v>
      </c>
      <c r="CW30" s="347">
        <v>5747</v>
      </c>
      <c r="CX30" s="387">
        <v>4.276527331189711</v>
      </c>
      <c r="CY30" s="387">
        <v>6.2264355362946908</v>
      </c>
      <c r="CZ30" s="347">
        <v>918</v>
      </c>
      <c r="DA30" s="347">
        <v>551</v>
      </c>
      <c r="DB30" s="122">
        <v>0.60021786492374729</v>
      </c>
      <c r="DC30" s="347">
        <v>904</v>
      </c>
      <c r="DD30" s="347">
        <v>639</v>
      </c>
      <c r="DE30" s="122">
        <v>0.70685840707964598</v>
      </c>
      <c r="DF30" s="347">
        <v>65</v>
      </c>
      <c r="DG30" s="122">
        <v>0.27777777777777779</v>
      </c>
      <c r="DH30" s="303">
        <v>100</v>
      </c>
      <c r="DI30" s="122">
        <v>0.41493775933609961</v>
      </c>
      <c r="DJ30" s="347">
        <v>365</v>
      </c>
      <c r="DK30" s="347">
        <v>568</v>
      </c>
      <c r="DL30" s="347">
        <v>68</v>
      </c>
      <c r="DM30" s="347">
        <v>80</v>
      </c>
      <c r="DN30" s="122">
        <v>0.85</v>
      </c>
      <c r="DO30" s="486">
        <v>196633.19999999998</v>
      </c>
      <c r="DP30" s="486">
        <v>172196.05600000004</v>
      </c>
      <c r="DQ30" s="122">
        <v>0.14191465569919859</v>
      </c>
      <c r="DR30" s="486">
        <v>38199.704000000012</v>
      </c>
      <c r="DS30" s="486">
        <v>55167.88</v>
      </c>
      <c r="DT30" s="122">
        <v>-0.30757346484947379</v>
      </c>
      <c r="DU30" s="486">
        <v>10895.152000000002</v>
      </c>
      <c r="DV30" s="486">
        <v>15479.632</v>
      </c>
      <c r="DW30" s="122">
        <v>-0.2961620793052443</v>
      </c>
      <c r="DX30" s="486">
        <v>15569.232</v>
      </c>
      <c r="DY30" s="486">
        <v>10666.264000000003</v>
      </c>
      <c r="DZ30" s="122">
        <v>0.45967060256524639</v>
      </c>
      <c r="EA30" s="486">
        <v>351383.68800000002</v>
      </c>
      <c r="EB30" s="486">
        <v>325596.13600000006</v>
      </c>
      <c r="EC30" s="122">
        <v>7.9201038184310457E-2</v>
      </c>
      <c r="ED30" s="486">
        <v>26745.144</v>
      </c>
      <c r="EE30" s="486">
        <v>24428.072000000015</v>
      </c>
      <c r="EF30" s="122">
        <v>9.4852839798408306E-2</v>
      </c>
      <c r="EG30" s="486">
        <v>603534.04000000015</v>
      </c>
      <c r="EH30" s="122">
        <v>5.9469851940745277E-2</v>
      </c>
      <c r="EI30" s="122">
        <v>0.69633526879550622</v>
      </c>
      <c r="EJ30" s="303">
        <v>1167</v>
      </c>
    </row>
    <row r="31" spans="1:140">
      <c r="A31" s="490" t="s">
        <v>224</v>
      </c>
      <c r="B31" s="487" t="s">
        <v>303</v>
      </c>
      <c r="C31" s="105" t="s">
        <v>223</v>
      </c>
      <c r="D31" s="767">
        <f>'TOTAL POR UF'!B65</f>
        <v>12651720.517999999</v>
      </c>
      <c r="E31" s="769">
        <f>VLOOKUP($A$4:$A$31,'Evolução das Receitas'!$P$212:$Q$239,2,0)</f>
        <v>13589407.380000001</v>
      </c>
      <c r="F31" s="103">
        <f t="shared" si="3"/>
        <v>0.93099869363103882</v>
      </c>
      <c r="G31" s="767">
        <f>'TOTAL POR UF'!C65</f>
        <v>2738177.6740000001</v>
      </c>
      <c r="H31" s="767">
        <f>VLOOKUP($A$4:$A$31,'Evolução das Receitas'!$P$212:$R$239,3,0)</f>
        <v>3338414.43</v>
      </c>
      <c r="I31" s="103">
        <f t="shared" si="4"/>
        <v>0.82020304291579516</v>
      </c>
      <c r="J31" s="767">
        <f>'TOTAL POR UF'!D65</f>
        <v>685521.84999999986</v>
      </c>
      <c r="K31" s="767">
        <f>VLOOKUP($A$4:$A$31,'Evolução das Receitas'!$P$212:$S$239,4,)</f>
        <v>1186094.26</v>
      </c>
      <c r="L31" s="103">
        <f t="shared" si="5"/>
        <v>0.57796574279012181</v>
      </c>
      <c r="M31" s="767">
        <f>'TOTAL POR UF'!E65</f>
        <v>564953.40800000005</v>
      </c>
      <c r="N31" s="767">
        <f>VLOOKUP($A$4:$A$31,'Evolução das Receitas'!$P$212:$T$239,5,0)</f>
        <v>592289.79</v>
      </c>
      <c r="O31" s="103">
        <f t="shared" si="6"/>
        <v>0.95384627177179604</v>
      </c>
      <c r="P31" s="767">
        <f>'TOTAL POR UF'!W65</f>
        <v>16632785.092000002</v>
      </c>
      <c r="Q31" s="767">
        <f>VLOOKUP($A$4:$A$31,'Evolução das Receitas'!$P$212:$U$239,6,0)</f>
        <v>21638045.420000002</v>
      </c>
      <c r="R31" s="103">
        <f t="shared" si="7"/>
        <v>0.76868241882080313</v>
      </c>
      <c r="S31" s="767">
        <f>'TOTAL POR UF'!X65</f>
        <v>1599088.9460000002</v>
      </c>
      <c r="T31" s="767">
        <f>VLOOKUP($A$4:$A$31,'Evolução das Receitas'!$P$212:$V$239,7,0)</f>
        <v>1608349.5</v>
      </c>
      <c r="U31" s="103">
        <f t="shared" si="8"/>
        <v>0.99424220046700063</v>
      </c>
      <c r="V31" s="507">
        <f>'Anuid PF'!G34</f>
        <v>215705</v>
      </c>
      <c r="W31" s="507">
        <f>'Relatórios - SICCAU e IGEO'!E30</f>
        <v>8236</v>
      </c>
      <c r="X31" s="507">
        <f>'Anuid PF'!B34</f>
        <v>217280.8</v>
      </c>
      <c r="Y31" s="495">
        <f t="shared" si="9"/>
        <v>0.99274763347704909</v>
      </c>
      <c r="Z31" s="507">
        <f>'Anuid PJ'!F34</f>
        <v>30981</v>
      </c>
      <c r="AA31" s="508">
        <f>'Relatórios - SICCAU e IGEO'!J30</f>
        <v>1863</v>
      </c>
      <c r="AB31" s="507">
        <f>'Anuid PJ'!B34</f>
        <v>31610</v>
      </c>
      <c r="AC31" s="103">
        <f t="shared" si="13"/>
        <v>0.98010123378677638</v>
      </c>
      <c r="AD31" s="507">
        <f>RRT!D33</f>
        <v>758130</v>
      </c>
      <c r="AE31" s="507">
        <f>RRT!B33</f>
        <v>995758</v>
      </c>
      <c r="AF31" s="497">
        <f t="shared" si="10"/>
        <v>3.5146612271389164</v>
      </c>
      <c r="AG31" s="498">
        <f>Tabela3[[#This Row],[Previsto - RRT]]/Tabela3[[#This Row],[Previsto PF]]</f>
        <v>4.5828163372005264</v>
      </c>
      <c r="AH31" s="109">
        <f>SUBTOTAL(109,AH4:AH30)</f>
        <v>203634</v>
      </c>
      <c r="AI31" s="109">
        <f>SUBTOTAL(109,AI4:AI30)</f>
        <v>132630</v>
      </c>
      <c r="AJ31" s="103">
        <f>Tabela3[[#This Row],[PF Qnt Pag.
Exec.]]/Tabela3[[#This Row],[PF
Qnt Pot Pag.
Exec.]]</f>
        <v>0.65131559562744923</v>
      </c>
      <c r="AK31" s="507">
        <f>SUBTOTAL(109,AK4:AK30)</f>
        <v>203796.8</v>
      </c>
      <c r="AL31" s="507">
        <f>SUBTOTAL(109,AL4:AL30)</f>
        <v>150195</v>
      </c>
      <c r="AM31" s="103">
        <f>Tabela3[[#This Row],[PF Qnt Pag.
Previsto]]/Tabela3[[#This Row],[PF
Qnt Pot Pag.
Previsto]]</f>
        <v>0.73698409396025855</v>
      </c>
      <c r="AN31" s="507">
        <f>SUBTOTAL(109,AN4:AN30)</f>
        <v>14640</v>
      </c>
      <c r="AO31" s="103">
        <f>Tabela3[[#This Row],[PJ Pagantes
Exec.]]/Tabela3[[#This Row],[PJ Ativos]]</f>
        <v>0.47254769051999612</v>
      </c>
      <c r="AP31" s="507">
        <f>SUBTOTAL(109,AP4:AP30)</f>
        <v>17427</v>
      </c>
      <c r="AQ31" s="103">
        <f>Tabela3[[#This Row],[PJ Pagante
Previsto]]/Tabela3[[#This Row],[Previsto PJ]]</f>
        <v>0.55131287567225562</v>
      </c>
      <c r="AR31" s="507">
        <f>SUM(AR4:AR30)</f>
        <v>75981</v>
      </c>
      <c r="AS31" s="507">
        <f>SUM(AS4:AS30)</f>
        <v>139724</v>
      </c>
      <c r="AT31" s="507">
        <f t="shared" ref="AT31:AU31" si="15">SUM(AT4:AT30)</f>
        <v>6593</v>
      </c>
      <c r="AU31" s="507">
        <f t="shared" si="15"/>
        <v>10272</v>
      </c>
      <c r="AV31" s="495">
        <f t="shared" si="11"/>
        <v>0.64184190031152644</v>
      </c>
      <c r="AW31" s="527">
        <f>'Comparativo YoY'!FN31</f>
        <v>12651720.518000001</v>
      </c>
      <c r="AX31" s="527">
        <f>'Comparativo YoY'!FU31</f>
        <v>11180315.202</v>
      </c>
      <c r="AY31" s="103">
        <f>Tabela3[[#This Row],[Receita
PF
2022]]/Tabela3[[#This Row],[Receita
PF
2021]]-1</f>
        <v>0.13160678294085915</v>
      </c>
      <c r="AZ31" s="527">
        <f>+'Comparativo YoY'!FO31</f>
        <v>2738177.6740000001</v>
      </c>
      <c r="BA31" s="527">
        <f>+'Comparativo YoY'!FV31</f>
        <v>3078225.3859999999</v>
      </c>
      <c r="BB31" s="103">
        <f>Tabela3[[#This Row],[Receita
PF - Ex Ant
2022]]/Tabela3[[#This Row],[Receita
PF - Ex Ant
2021]]-1</f>
        <v>-0.11046875045166038</v>
      </c>
      <c r="BC31" s="527">
        <f>'Comparativo YoY'!FP31</f>
        <v>685521.85000000009</v>
      </c>
      <c r="BD31" s="527">
        <f>'Comparativo YoY'!FW31</f>
        <v>952668.64800000016</v>
      </c>
      <c r="BE31" s="103">
        <f>Tabela3[[#This Row],[Receita
PJ
2022]]/Tabela3[[#This Row],[Receita
PJ
2021]]-1</f>
        <v>-0.28041942868681458</v>
      </c>
      <c r="BF31" s="527">
        <f>'Comparativo YoY'!FQ31</f>
        <v>564953.40800000005</v>
      </c>
      <c r="BG31" s="530">
        <f>'Comparativo YoY'!FX31</f>
        <v>414771.02400000003</v>
      </c>
      <c r="BH31" s="103">
        <f>Tabela3[[#This Row],[Receita
PJ - Ex Ant
2022]]/Tabela3[[#This Row],[Receita
PJ - Ex Ant
2021]]-1</f>
        <v>0.36208504285487408</v>
      </c>
      <c r="BI31" s="527">
        <f>'Comparativo YoY'!FR31</f>
        <v>16632785.092000002</v>
      </c>
      <c r="BJ31" s="527">
        <f>'Comparativo YoY'!FY31</f>
        <v>14795912.668000001</v>
      </c>
      <c r="BK31" s="103">
        <f>Tabela3[[#This Row],[Receita
RRT
2022]]/Tabela3[[#This Row],[Receita
RRT
2021]]-1</f>
        <v>0.12414728751222714</v>
      </c>
      <c r="BL31" s="527">
        <f>'Comparativo YoY'!FS31</f>
        <v>1599088.9460000002</v>
      </c>
      <c r="BM31" s="527">
        <f>'Comparativo YoY'!FZ31</f>
        <v>1585563.6520000007</v>
      </c>
      <c r="BN31" s="103">
        <f>Tabela3[[#This Row],[Receita
Taxas
2022]]/Tabela3[[#This Row],[Receita
Taxas
2021]]-1</f>
        <v>8.5302750116269532E-3</v>
      </c>
      <c r="BO31" s="527">
        <f>Tabela3[[#This Row],[Receita
PF
2021]]+Tabela3[[#This Row],[Receita
PF - Ex Ant
2021]]+Tabela3[[#This Row],[Receita
PJ
2021]]+Tabela3[[#This Row],[Receita
PJ - Ex Ant
2021]]+Tabela3[[#This Row],[Receita
RRT
2021]]+Tabela3[[#This Row],[Receita
Taxas
2021]]</f>
        <v>32007456.580000006</v>
      </c>
      <c r="BP31" s="103">
        <f>((D31+J31+G31+M31+P31+S31)/BO31)-1</f>
        <v>8.9503859853396595E-2</v>
      </c>
      <c r="BQ31" s="499">
        <f t="shared" si="12"/>
        <v>0.83122969350268738</v>
      </c>
      <c r="BR31" s="517">
        <f>Tabela3[[#This Row],[PF Ativos
Exec.]]+Tabela3[[#This Row],[PJ Ativos]]</f>
        <v>246686</v>
      </c>
      <c r="BU31"/>
      <c r="BV31" s="754"/>
      <c r="BW31" s="128"/>
      <c r="BX31"/>
      <c r="BY31" s="128"/>
      <c r="BZ31" s="128"/>
      <c r="CA31"/>
      <c r="CB31" s="128"/>
      <c r="CC31" s="128"/>
      <c r="CD31"/>
      <c r="CE31" s="128"/>
      <c r="CF31" s="128"/>
      <c r="CG31"/>
      <c r="CH31" s="128"/>
      <c r="CI31" s="128"/>
      <c r="CJ31"/>
      <c r="CK31" s="128"/>
      <c r="CL31" s="128"/>
      <c r="CM31"/>
      <c r="CN31"/>
      <c r="CP31" s="392"/>
      <c r="CR31" s="415"/>
      <c r="CS31" s="347"/>
      <c r="CT31" s="392"/>
      <c r="CV31" s="516"/>
      <c r="CW31" s="123"/>
      <c r="CX31" s="348"/>
      <c r="CY31" s="348"/>
      <c r="CZ31" s="415"/>
      <c r="DA31" s="415"/>
      <c r="DC31" s="415"/>
      <c r="DD31" s="415"/>
      <c r="DE31" s="124"/>
      <c r="DF31" s="415"/>
      <c r="DG31" s="124"/>
      <c r="DH31" s="169"/>
      <c r="DJ31" s="169"/>
      <c r="DK31" s="169"/>
      <c r="DL31" s="401"/>
      <c r="DM31" s="401"/>
      <c r="DN31" s="124"/>
      <c r="DR31" s="759"/>
      <c r="DS31" s="759"/>
      <c r="DU31" s="759"/>
      <c r="DV31" s="759"/>
      <c r="DX31" s="759"/>
      <c r="DY31" s="759"/>
      <c r="EA31" s="759"/>
    </row>
    <row r="32" spans="1:140">
      <c r="D32" s="509">
        <f>'TOTAL POR UF'!B98-SUM(D4:D31)</f>
        <v>0</v>
      </c>
      <c r="E32" s="510">
        <f>SUM(E4:E31)-SUM('Evolução das Receitas'!Q212:Q239)</f>
        <v>0</v>
      </c>
      <c r="F32" s="509"/>
      <c r="G32" s="509">
        <f>'TOTAL POR UF'!C98-SUM(G4:G31)</f>
        <v>0</v>
      </c>
      <c r="H32" s="510">
        <f>SUM(H4:H31)-SUM('Evolução das Receitas'!R212:R239)</f>
        <v>0</v>
      </c>
      <c r="I32" s="509"/>
      <c r="J32" s="509">
        <f>'TOTAL POR UF'!D98-SUM(J4:J31)</f>
        <v>0</v>
      </c>
      <c r="K32" s="510">
        <f>SUM($K$4:$K$31)-SUM('Evolução das Receitas'!$S$212:$S$239)</f>
        <v>0</v>
      </c>
      <c r="L32" s="509"/>
      <c r="M32" s="509">
        <f>'TOTAL POR UF'!E98-SUM(M4:M31)</f>
        <v>0</v>
      </c>
      <c r="N32" s="510">
        <f>SUM(N4:N31)-SUM('Evolução das Receitas'!T212:T239)</f>
        <v>0</v>
      </c>
      <c r="O32" s="509"/>
      <c r="P32" s="509">
        <f>'TOTAL POR UF'!W98-SUM(P4:P31)</f>
        <v>0</v>
      </c>
      <c r="Q32" s="510">
        <f>SUM(Q4:Q31)-SUM('Evolução das Receitas'!U212:U239)</f>
        <v>0</v>
      </c>
      <c r="R32" s="509"/>
      <c r="S32" s="509">
        <f>'TOTAL POR UF'!X98-SUM(S4:S31)</f>
        <v>0</v>
      </c>
      <c r="T32" s="510">
        <f>SUM(T4:T31)-SUM('Evolução das Receitas'!V212:V239)</f>
        <v>0</v>
      </c>
      <c r="U32" s="510"/>
      <c r="V32" s="509">
        <f>V31-SUM(V4:V30)</f>
        <v>0</v>
      </c>
      <c r="W32" s="509">
        <f>W31-SUM(W4:W30)</f>
        <v>0</v>
      </c>
      <c r="X32" s="509">
        <f>X31-SUM(X4:X30)</f>
        <v>0</v>
      </c>
      <c r="Y32" s="509"/>
      <c r="Z32" s="509">
        <f>Z31-SUM(Z4:Z30)</f>
        <v>0</v>
      </c>
      <c r="AA32" s="509">
        <f>AA31-SUM(AA4:AA30)</f>
        <v>0</v>
      </c>
      <c r="AB32" s="509">
        <f>AB31-SUM(AB4:AB30)</f>
        <v>0</v>
      </c>
      <c r="AC32" s="509"/>
      <c r="AD32" s="509">
        <f>AD31-SUM(AD4:AD30)</f>
        <v>0</v>
      </c>
      <c r="AE32" s="509">
        <f>AE31-SUM(AE4:AE30)</f>
        <v>0</v>
      </c>
      <c r="AF32" s="509"/>
      <c r="AG32" s="509"/>
      <c r="AH32" s="509"/>
      <c r="AI32" s="509"/>
      <c r="AJ32" s="511"/>
      <c r="AK32" s="511"/>
      <c r="AL32" s="511"/>
      <c r="AM32" s="509"/>
      <c r="AN32" s="509"/>
      <c r="AO32" s="511"/>
      <c r="AP32" s="511"/>
      <c r="AQ32" s="509"/>
      <c r="AR32" s="509">
        <f>AR31-'PF - Gênero'!B29</f>
        <v>0</v>
      </c>
      <c r="AS32" s="509">
        <f>AS31-'PF - Gênero'!C29</f>
        <v>0</v>
      </c>
      <c r="AT32" s="509">
        <f>'Relatórios - SICCAU e IGEO'!F30-AT31</f>
        <v>0</v>
      </c>
      <c r="AU32" s="509">
        <f>10272-SUM(AU4:AU30)</f>
        <v>0</v>
      </c>
      <c r="BV32" s="751">
        <f>SUM(BV4:BV31)</f>
        <v>50606882.071999997</v>
      </c>
      <c r="BW32" s="759">
        <f>SUM(BW4:BW31)</f>
        <v>54356181.709999993</v>
      </c>
      <c r="BX32" s="124">
        <f>BV32/BW32</f>
        <v>0.93102349134817486</v>
      </c>
      <c r="BY32" s="759">
        <f t="shared" ref="BY32:BZ32" si="16">SUM(BY4:BY31)</f>
        <v>10952710.696</v>
      </c>
      <c r="BZ32" s="759">
        <f t="shared" si="16"/>
        <v>13422753.852</v>
      </c>
      <c r="CA32" s="124">
        <f>BY32/BZ32</f>
        <v>0.81598089458878353</v>
      </c>
      <c r="CB32" s="759">
        <f t="shared" ref="CB32:CC32" si="17">SUM(CB4:CB31)</f>
        <v>2742087.4000000004</v>
      </c>
      <c r="CC32" s="759">
        <f t="shared" si="17"/>
        <v>4402308.0980000002</v>
      </c>
      <c r="CD32" s="124">
        <f>CB32/CC32</f>
        <v>0.62287494172562574</v>
      </c>
      <c r="CE32" s="759">
        <f t="shared" ref="CE32:CF32" si="18">SUM(CE4:CE31)</f>
        <v>2259813.6320000002</v>
      </c>
      <c r="CF32" s="759">
        <f t="shared" si="18"/>
        <v>2207722.736</v>
      </c>
      <c r="CG32" s="124">
        <f>CE32/CF32</f>
        <v>1.023594854168318</v>
      </c>
      <c r="CH32" s="759">
        <f>SUM(CH4:CH31)</f>
        <v>66531140.368000001</v>
      </c>
      <c r="CI32" s="759">
        <f>SUM(CI4:CI31)</f>
        <v>86552258.552000016</v>
      </c>
      <c r="CJ32" s="124">
        <f>CH32/CI32</f>
        <v>0.76868173611008128</v>
      </c>
      <c r="CK32" s="759">
        <f>SUM(CK4:CK31)</f>
        <v>6488023.5940000014</v>
      </c>
      <c r="CL32" s="759">
        <f>SUM(CL4:CL31)</f>
        <v>6357107.669285709</v>
      </c>
      <c r="CM32" s="124">
        <f>CK32/CL32</f>
        <v>1.0205936302364063</v>
      </c>
      <c r="CN32" s="415">
        <f>SUM(CN4:CN31)</f>
        <v>215705</v>
      </c>
      <c r="CO32" s="303">
        <f>SUM(CO4:CO31)</f>
        <v>8236</v>
      </c>
      <c r="CP32" s="415">
        <f>SUM(CP4:CP31)</f>
        <v>217280.8</v>
      </c>
      <c r="CQ32" s="124">
        <f>CN32/CP32</f>
        <v>0.99274763347704909</v>
      </c>
      <c r="CR32" s="415">
        <f>SUM(CR4:CR31)</f>
        <v>30981</v>
      </c>
      <c r="CS32" s="347">
        <f>SUM(CS4:CS31)</f>
        <v>1863</v>
      </c>
      <c r="CT32" s="415">
        <f>SUM(CT4:CT31)</f>
        <v>31610</v>
      </c>
      <c r="CU32" s="124">
        <f>CR32/CT32</f>
        <v>0.98010123378677638</v>
      </c>
      <c r="CV32" s="516">
        <f>SUM(CV4:CV31)</f>
        <v>758130</v>
      </c>
      <c r="CW32" s="123">
        <f>SUM(CW4:CW31)</f>
        <v>995758</v>
      </c>
      <c r="CX32" s="512">
        <f>CV32/CN32</f>
        <v>3.5146612271389164</v>
      </c>
      <c r="CY32" s="512">
        <f>CW32/CP32</f>
        <v>4.5828163372005264</v>
      </c>
      <c r="CZ32" s="415">
        <f>SUM(CZ4:CZ30)</f>
        <v>203634</v>
      </c>
      <c r="DA32" s="415">
        <f>SUM(DA4:DA30)</f>
        <v>132630</v>
      </c>
      <c r="DB32" s="124">
        <f>DA32/CZ32</f>
        <v>0.65131559562744923</v>
      </c>
      <c r="DC32" s="415">
        <f>SUM(DC4:DC30)</f>
        <v>203796.8</v>
      </c>
      <c r="DD32" s="415">
        <f>SUM(DD4:DD31)</f>
        <v>150195</v>
      </c>
      <c r="DE32" s="124">
        <f>DD32/DC32</f>
        <v>0.73698409396025855</v>
      </c>
      <c r="DF32" s="415">
        <f>SUM(DF4:DF31)</f>
        <v>14640</v>
      </c>
      <c r="DG32" s="124">
        <f>DF32/CR32</f>
        <v>0.47254769051999612</v>
      </c>
      <c r="DH32" s="516">
        <f>SUM(DH4:DH30)</f>
        <v>17427</v>
      </c>
      <c r="DI32" s="124">
        <f>DH32/CT32</f>
        <v>0.55131287567225562</v>
      </c>
      <c r="DJ32" s="516">
        <f>SUM(DJ4:DJ31)</f>
        <v>75981</v>
      </c>
      <c r="DK32" s="516">
        <f>SUM(DK4:DK31)</f>
        <v>139724</v>
      </c>
      <c r="DL32" s="516">
        <f>SUM(DL4:DL31)</f>
        <v>6593</v>
      </c>
      <c r="DM32" s="415">
        <f>SUM(DM4:DM31)</f>
        <v>10272</v>
      </c>
      <c r="DN32" s="124">
        <f>DL32/DM32</f>
        <v>0.64184190031152644</v>
      </c>
      <c r="DO32" s="759">
        <f>SUM(DO4:DO31)</f>
        <v>50606882.072000004</v>
      </c>
      <c r="DP32" s="759">
        <f>SUM(DP4:DP31)</f>
        <v>44721260.808000006</v>
      </c>
      <c r="DQ32" s="124">
        <f>DO32/DP32-1</f>
        <v>0.13160678294085892</v>
      </c>
      <c r="DR32" s="759">
        <f>SUM(DR4:DR31)</f>
        <v>10952710.696</v>
      </c>
      <c r="DS32" s="759">
        <f>SUM(DS4:DS31)</f>
        <v>12312901.544000002</v>
      </c>
      <c r="DT32" s="124">
        <f>DR32/DS32-1</f>
        <v>-0.11046875045166049</v>
      </c>
      <c r="DU32" s="759">
        <f>SUM(DU4:DU31)</f>
        <v>2742087.3999999994</v>
      </c>
      <c r="DV32" s="759">
        <f>SUM(DV4:DV31)</f>
        <v>3810674.5920000002</v>
      </c>
      <c r="DW32" s="124">
        <f>DU32/DV32-1</f>
        <v>-0.28041942868681469</v>
      </c>
      <c r="DX32" s="759">
        <f>SUM(DX4:DX31)</f>
        <v>2259813.6319999998</v>
      </c>
      <c r="DY32" s="759">
        <f t="shared" ref="DY32" si="19">SUM(DY4:DY31)</f>
        <v>1659084.0960000001</v>
      </c>
      <c r="DZ32" s="124">
        <f>DX32/DY32-1</f>
        <v>0.36208504285487386</v>
      </c>
      <c r="EA32" s="759">
        <f>SUM(EA4:EA31)</f>
        <v>66531140.368000001</v>
      </c>
      <c r="EB32" s="759">
        <f>SUM(EB4:EB31)</f>
        <v>59183650.671999998</v>
      </c>
      <c r="EC32" s="124">
        <f>EA32/EB32-1</f>
        <v>0.12414728751222714</v>
      </c>
      <c r="ED32" s="759">
        <f>SUM(ED4:ED31)</f>
        <v>6488023.5940000005</v>
      </c>
      <c r="EE32" s="759">
        <f>SUM(EE4:EE31)</f>
        <v>6480126.2180000022</v>
      </c>
      <c r="EF32" s="124">
        <f>ED32/EE32-1</f>
        <v>1.2187071261144933E-3</v>
      </c>
      <c r="EG32" s="759">
        <f>SUM(EG4:EG31)</f>
        <v>128167697.93000001</v>
      </c>
      <c r="EH32" s="39">
        <f>(DO32+DR32+DU32+DX32+EA32+ED32)/EG32-1</f>
        <v>8.9047084533212972E-2</v>
      </c>
      <c r="EI32" s="39">
        <f>(DO32+DR32+DU32+DX32)/(BW32+BZ32+CC32+CF32+CI32+CL32)</f>
        <v>0.39786107105004515</v>
      </c>
      <c r="EJ32" s="516">
        <f>SUM(EJ4:EJ30)</f>
        <v>246686</v>
      </c>
    </row>
    <row r="33" spans="1:131" ht="15.75" thickBot="1">
      <c r="AW33" s="529">
        <f>SUM(AW4:AW30)</f>
        <v>50606882.072000004</v>
      </c>
      <c r="AX33" s="529">
        <f>SUM(AX4:AX30)</f>
        <v>44721260.808000006</v>
      </c>
      <c r="AY33" s="302">
        <f>AW33/AX33-1</f>
        <v>0.13160678294085892</v>
      </c>
      <c r="AZ33" s="529">
        <f>SUM(AZ4:AZ30)</f>
        <v>10952710.696</v>
      </c>
      <c r="BA33" s="529">
        <f>SUM(BA4:BA30)</f>
        <v>12312901.544000002</v>
      </c>
      <c r="BB33" s="302">
        <f>AZ33/BA33-1</f>
        <v>-0.11046875045166049</v>
      </c>
      <c r="BC33" s="529">
        <f>SUM(BC4:BC30)</f>
        <v>2742087.3999999994</v>
      </c>
      <c r="BD33" s="529">
        <f>SUM(BD4:BD30)</f>
        <v>3810674.5920000002</v>
      </c>
      <c r="BE33" s="302">
        <f>BC33/BD33-1</f>
        <v>-0.28041942868681469</v>
      </c>
      <c r="BF33" s="529">
        <f>SUM(BF4:BF30)</f>
        <v>2259813.6319999998</v>
      </c>
      <c r="BG33" s="529">
        <f>SUM(BG4:BG30)</f>
        <v>1659084.0960000001</v>
      </c>
      <c r="BH33" s="302">
        <f>BF33/BG33-1</f>
        <v>0.36208504285487386</v>
      </c>
      <c r="BI33" s="529">
        <f>SUM(BI4:BI30)</f>
        <v>66531140.368000001</v>
      </c>
      <c r="BJ33" s="529">
        <f>SUM(BJ4:BJ30)</f>
        <v>59183650.671999998</v>
      </c>
      <c r="BK33" s="302">
        <f>BI33/BJ33-1</f>
        <v>0.12414728751222714</v>
      </c>
      <c r="BL33" s="529">
        <f>SUM(BL4:BL30)</f>
        <v>6488023.5940000005</v>
      </c>
      <c r="BM33" s="529">
        <f>SUM(BM4:BM30)</f>
        <v>6480126.2180000022</v>
      </c>
      <c r="BN33" s="302">
        <f>BL33/BM33-1</f>
        <v>1.2187071261144933E-3</v>
      </c>
      <c r="BU33" s="117" t="s">
        <v>222</v>
      </c>
      <c r="BV33" s="750" t="s">
        <v>170</v>
      </c>
      <c r="EA33" s="759"/>
    </row>
    <row r="34" spans="1:131" ht="15.75" thickBot="1">
      <c r="A34" s="133"/>
      <c r="B34" s="102"/>
      <c r="C34" s="102"/>
      <c r="D34" s="101"/>
      <c r="E34" s="101"/>
      <c r="F34" s="101"/>
      <c r="G34" s="101"/>
      <c r="H34" s="101"/>
      <c r="I34" s="101"/>
      <c r="J34" s="101"/>
      <c r="K34" s="101"/>
      <c r="L34" s="101"/>
      <c r="M34" s="505"/>
      <c r="N34" s="505"/>
      <c r="O34" s="505"/>
      <c r="P34" s="505"/>
      <c r="Q34" s="505"/>
      <c r="AD34" s="506"/>
      <c r="AW34" s="529">
        <f>AW31</f>
        <v>12651720.518000001</v>
      </c>
      <c r="AX34" s="529">
        <f>AX31</f>
        <v>11180315.202</v>
      </c>
      <c r="AY34" s="302">
        <f>AW34/AX34-1</f>
        <v>0.13160678294085915</v>
      </c>
      <c r="AZ34" s="529">
        <f>AZ31</f>
        <v>2738177.6740000001</v>
      </c>
      <c r="BA34" s="529">
        <f>BA31</f>
        <v>3078225.3859999999</v>
      </c>
      <c r="BB34" s="302">
        <f>AZ34/BA34-1</f>
        <v>-0.11046875045166038</v>
      </c>
      <c r="BC34" s="529">
        <f>BC31</f>
        <v>685521.85000000009</v>
      </c>
      <c r="BD34" s="529">
        <f>BD31</f>
        <v>952668.64800000016</v>
      </c>
      <c r="BE34" s="302">
        <f>BC34/BD34-1</f>
        <v>-0.28041942868681458</v>
      </c>
      <c r="BF34" s="529">
        <f>BF31</f>
        <v>564953.40800000005</v>
      </c>
      <c r="BG34" s="529">
        <f>BG31</f>
        <v>414771.02400000003</v>
      </c>
      <c r="BH34" s="302">
        <f>BF34/BG34-1</f>
        <v>0.36208504285487408</v>
      </c>
      <c r="BI34" s="529">
        <f>BI31</f>
        <v>16632785.092000002</v>
      </c>
      <c r="BJ34" s="529">
        <f>BJ31</f>
        <v>14795912.668000001</v>
      </c>
      <c r="BK34" s="302">
        <f>BI34/BJ34-1</f>
        <v>0.12414728751222714</v>
      </c>
      <c r="BL34" s="529">
        <f>BL31</f>
        <v>1599088.9460000002</v>
      </c>
      <c r="BM34" s="529">
        <f>BM31</f>
        <v>1585563.6520000007</v>
      </c>
      <c r="BN34" s="302">
        <f>BL34/BM34-1</f>
        <v>8.5302750116269532E-3</v>
      </c>
      <c r="BS34" s="100" t="s">
        <v>458</v>
      </c>
      <c r="BT34" s="765">
        <f>BV32</f>
        <v>50606882.071999997</v>
      </c>
      <c r="BU34" s="146">
        <f>BT34/BV34</f>
        <v>0.36256371680301258</v>
      </c>
      <c r="BV34" s="764">
        <f>'TOTAL POR UF'!R32</f>
        <v>139580657.76200002</v>
      </c>
      <c r="BW34" s="760"/>
      <c r="BX34" s="149"/>
      <c r="EA34" s="759"/>
    </row>
    <row r="35" spans="1:131" ht="15.75" thickBot="1">
      <c r="A35" s="133"/>
      <c r="B35" s="98"/>
      <c r="C35" s="99"/>
      <c r="D35" s="98"/>
      <c r="E35" s="98"/>
      <c r="F35" s="98"/>
      <c r="G35" s="98"/>
      <c r="H35" s="98"/>
      <c r="I35" s="98"/>
      <c r="J35" s="98"/>
      <c r="K35" s="98"/>
      <c r="L35" s="98"/>
      <c r="M35" s="505"/>
      <c r="N35" s="505"/>
      <c r="O35" s="505"/>
      <c r="P35" s="505"/>
      <c r="Q35" s="505"/>
      <c r="BL35" s="531"/>
      <c r="BM35" s="531"/>
      <c r="BS35" s="97" t="s">
        <v>456</v>
      </c>
      <c r="BT35" s="766">
        <f>BW32</f>
        <v>54356181.709999993</v>
      </c>
      <c r="BU35" s="147"/>
      <c r="BV35" s="757"/>
      <c r="BW35" s="761" t="s">
        <v>171</v>
      </c>
      <c r="BX35" s="763">
        <f>E31</f>
        <v>13589407.380000001</v>
      </c>
      <c r="EA35" s="759"/>
    </row>
    <row r="36" spans="1:131">
      <c r="A36" s="106" t="s">
        <v>256</v>
      </c>
      <c r="B36" s="790" t="s">
        <v>443</v>
      </c>
      <c r="C36" s="790" t="s">
        <v>442</v>
      </c>
      <c r="E36" s="86"/>
      <c r="F36" s="86"/>
      <c r="G36" s="86"/>
      <c r="H36" s="86"/>
      <c r="I36" s="86"/>
      <c r="J36" s="86"/>
      <c r="K36" s="86"/>
      <c r="L36" s="86"/>
      <c r="M36" s="505"/>
      <c r="N36" s="505"/>
      <c r="O36" s="505"/>
      <c r="P36" s="505"/>
      <c r="Q36" s="505"/>
      <c r="BL36" s="531"/>
      <c r="BM36" s="531"/>
      <c r="BS36" s="97" t="s">
        <v>457</v>
      </c>
      <c r="BT36" s="148">
        <f>BX32</f>
        <v>0.93102349134817486</v>
      </c>
      <c r="BU36" s="146"/>
      <c r="BV36" s="756"/>
      <c r="BW36" s="762" t="s">
        <v>308</v>
      </c>
      <c r="BX36" s="150">
        <f>D31/BX35</f>
        <v>0.93099869363103882</v>
      </c>
      <c r="EA36" s="759"/>
    </row>
    <row r="37" spans="1:131" ht="15.75" thickBot="1">
      <c r="A37" s="322" t="s">
        <v>83</v>
      </c>
      <c r="B37" s="169">
        <v>6772</v>
      </c>
      <c r="C37" s="799">
        <v>1684099.824</v>
      </c>
      <c r="E37" s="86"/>
      <c r="F37" s="86"/>
      <c r="G37" s="86"/>
      <c r="H37" s="86"/>
      <c r="I37" s="86"/>
      <c r="J37" s="86"/>
      <c r="K37" s="86"/>
      <c r="L37" s="86"/>
      <c r="M37" s="505"/>
      <c r="N37" s="505"/>
      <c r="O37" s="505"/>
      <c r="P37" s="505"/>
      <c r="Q37" s="505"/>
      <c r="BS37" s="116" t="s">
        <v>459</v>
      </c>
      <c r="BT37" s="765">
        <f>BY32</f>
        <v>10952710.696</v>
      </c>
      <c r="BU37" s="146">
        <f>BT37/BV37</f>
        <v>7.8468685214792055E-2</v>
      </c>
      <c r="BV37" s="764">
        <f>BV34</f>
        <v>139580657.76200002</v>
      </c>
      <c r="BW37" s="760"/>
      <c r="BX37" s="149"/>
      <c r="EA37" s="759"/>
    </row>
    <row r="38" spans="1:131" ht="15.75" thickBot="1">
      <c r="A38" s="322" t="s">
        <v>85</v>
      </c>
      <c r="B38" s="169">
        <v>5405</v>
      </c>
      <c r="C38" s="799">
        <v>1257495.4879999999</v>
      </c>
      <c r="E38" s="86"/>
      <c r="F38" s="86"/>
      <c r="G38" s="86"/>
      <c r="H38" s="86"/>
      <c r="I38" s="86"/>
      <c r="J38" s="86"/>
      <c r="K38" s="86"/>
      <c r="L38" s="86"/>
      <c r="M38" s="505"/>
      <c r="N38" s="505"/>
      <c r="O38" s="505"/>
      <c r="P38" s="505"/>
      <c r="Q38" s="505"/>
      <c r="BS38" s="116" t="s">
        <v>460</v>
      </c>
      <c r="BT38" s="766">
        <f>BZ32</f>
        <v>13422753.852</v>
      </c>
      <c r="BU38" s="147"/>
      <c r="BV38" s="757"/>
      <c r="BW38" s="761" t="s">
        <v>171</v>
      </c>
      <c r="BX38" s="763">
        <f>H31</f>
        <v>3338414.43</v>
      </c>
      <c r="EA38" s="759"/>
    </row>
    <row r="39" spans="1:131">
      <c r="A39" s="322" t="s">
        <v>88</v>
      </c>
      <c r="B39" s="169">
        <v>3640</v>
      </c>
      <c r="C39" s="799">
        <v>748928.61599999992</v>
      </c>
      <c r="E39" s="86"/>
      <c r="F39" s="86"/>
      <c r="G39" s="86"/>
      <c r="H39" s="86"/>
      <c r="I39" s="86"/>
      <c r="J39" s="86"/>
      <c r="K39" s="86"/>
      <c r="L39" s="86"/>
      <c r="M39" s="505"/>
      <c r="N39" s="505"/>
      <c r="O39" s="505"/>
      <c r="P39" s="505"/>
      <c r="Q39" s="505"/>
      <c r="BS39" s="116" t="s">
        <v>461</v>
      </c>
      <c r="BT39" s="148">
        <f>CA32</f>
        <v>0.81598089458878353</v>
      </c>
      <c r="BU39" s="146"/>
      <c r="BV39" s="756"/>
      <c r="BW39" s="762" t="s">
        <v>310</v>
      </c>
      <c r="BX39" s="150">
        <f>G31/BX38</f>
        <v>0.82020304291579516</v>
      </c>
      <c r="EA39" s="759"/>
    </row>
    <row r="40" spans="1:131" ht="15.75" thickBot="1">
      <c r="A40" s="322" t="s">
        <v>87</v>
      </c>
      <c r="B40" s="169">
        <v>3639</v>
      </c>
      <c r="C40" s="799">
        <v>903004.57600000012</v>
      </c>
      <c r="E40" s="86"/>
      <c r="F40" s="86"/>
      <c r="G40" s="86"/>
      <c r="H40" s="86"/>
      <c r="I40" s="86"/>
      <c r="J40" s="86"/>
      <c r="K40" s="86"/>
      <c r="L40" s="86"/>
      <c r="M40" s="505"/>
      <c r="N40" s="505"/>
      <c r="O40" s="505"/>
      <c r="P40" s="505"/>
      <c r="Q40" s="505"/>
      <c r="BS40" s="111" t="s">
        <v>470</v>
      </c>
      <c r="BT40" s="765">
        <f>CB32</f>
        <v>2742087.4000000004</v>
      </c>
      <c r="BU40" s="146">
        <f>BT40/BV40</f>
        <v>1.9645181817924608E-2</v>
      </c>
      <c r="BV40" s="764">
        <f>BV34</f>
        <v>139580657.76200002</v>
      </c>
      <c r="BW40" s="760"/>
      <c r="BX40" s="149"/>
      <c r="EA40" s="759"/>
    </row>
    <row r="41" spans="1:131" ht="15.75" thickBot="1">
      <c r="A41" s="322" t="s">
        <v>257</v>
      </c>
      <c r="B41" s="169">
        <v>19456</v>
      </c>
      <c r="C41" s="799">
        <v>4593528.5039999997</v>
      </c>
      <c r="E41" s="86"/>
      <c r="F41" s="86"/>
      <c r="G41" s="86"/>
      <c r="H41" s="86"/>
      <c r="I41" s="86"/>
      <c r="J41" s="86"/>
      <c r="K41" s="86"/>
      <c r="L41" s="86"/>
      <c r="M41" s="505"/>
      <c r="N41" s="505"/>
      <c r="O41" s="505"/>
      <c r="P41" s="505"/>
      <c r="Q41" s="505"/>
      <c r="BS41" s="111" t="s">
        <v>462</v>
      </c>
      <c r="BT41" s="766">
        <f>CC32</f>
        <v>4402308.0980000002</v>
      </c>
      <c r="BU41" s="147"/>
      <c r="BV41" s="757"/>
      <c r="BW41" s="761" t="s">
        <v>171</v>
      </c>
      <c r="BX41" s="763">
        <f>K31</f>
        <v>1186094.26</v>
      </c>
      <c r="EA41" s="759"/>
    </row>
    <row r="42" spans="1:131">
      <c r="A42"/>
      <c r="B42"/>
      <c r="C42"/>
      <c r="E42" s="86"/>
      <c r="F42" s="86"/>
      <c r="G42" s="86"/>
      <c r="H42" s="86"/>
      <c r="I42" s="86"/>
      <c r="J42" s="86"/>
      <c r="K42" s="86"/>
      <c r="L42" s="86"/>
      <c r="M42" s="505"/>
      <c r="N42" s="505"/>
      <c r="O42" s="505"/>
      <c r="P42" s="505"/>
      <c r="Q42" s="505"/>
      <c r="BS42" s="91" t="s">
        <v>463</v>
      </c>
      <c r="BT42" s="148">
        <f>CD32</f>
        <v>0.62287494172562574</v>
      </c>
      <c r="BU42" s="146"/>
      <c r="BV42" s="756"/>
      <c r="BW42" s="762" t="s">
        <v>311</v>
      </c>
      <c r="BX42" s="150">
        <f>J31/BX41</f>
        <v>0.57796574279012181</v>
      </c>
      <c r="EA42" s="759"/>
    </row>
    <row r="43" spans="1:131" ht="15.75" thickBot="1">
      <c r="A43"/>
      <c r="B43"/>
      <c r="C43"/>
      <c r="E43" s="86"/>
      <c r="F43" s="86"/>
      <c r="G43" s="86"/>
      <c r="H43" s="86"/>
      <c r="I43" s="86"/>
      <c r="J43" s="86"/>
      <c r="K43" s="86"/>
      <c r="L43" s="86"/>
      <c r="M43" s="505"/>
      <c r="N43" s="505"/>
      <c r="O43" s="505"/>
      <c r="P43" s="505"/>
      <c r="Q43" s="505"/>
      <c r="BS43" s="116" t="s">
        <v>471</v>
      </c>
      <c r="BT43" s="765">
        <f>CE32</f>
        <v>2259813.6320000002</v>
      </c>
      <c r="BU43" s="146">
        <f>BT43/BV43</f>
        <v>1.6190019937097764E-2</v>
      </c>
      <c r="BV43" s="764">
        <f>BV34</f>
        <v>139580657.76200002</v>
      </c>
      <c r="BW43" s="760"/>
      <c r="BX43" s="149"/>
      <c r="EA43" s="759"/>
    </row>
    <row r="44" spans="1:131" ht="15.75" thickBot="1">
      <c r="A44"/>
      <c r="B44"/>
      <c r="C44"/>
      <c r="E44" s="86"/>
      <c r="F44" s="86"/>
      <c r="G44" s="86"/>
      <c r="H44" s="86"/>
      <c r="I44" s="86"/>
      <c r="J44" s="86"/>
      <c r="K44" s="86"/>
      <c r="L44" s="86"/>
      <c r="M44" s="505"/>
      <c r="N44" s="505"/>
      <c r="O44" s="505"/>
      <c r="P44" s="505"/>
      <c r="Q44" s="505"/>
      <c r="BS44" s="116" t="s">
        <v>464</v>
      </c>
      <c r="BT44" s="766">
        <f>CF32</f>
        <v>2207722.736</v>
      </c>
      <c r="BU44" s="147"/>
      <c r="BV44" s="757"/>
      <c r="BW44" s="761" t="s">
        <v>171</v>
      </c>
      <c r="BX44" s="763">
        <f>N31</f>
        <v>592289.79</v>
      </c>
      <c r="EA44" s="759"/>
    </row>
    <row r="45" spans="1:131">
      <c r="A45"/>
      <c r="B45"/>
      <c r="C45"/>
      <c r="E45" s="86"/>
      <c r="F45" s="86"/>
      <c r="G45" s="86"/>
      <c r="H45" s="86"/>
      <c r="I45" s="86"/>
      <c r="J45" s="86"/>
      <c r="K45" s="86"/>
      <c r="L45" s="86"/>
      <c r="M45" s="505"/>
      <c r="N45" s="505"/>
      <c r="O45" s="505"/>
      <c r="P45" s="505"/>
      <c r="Q45" s="505"/>
      <c r="BS45" s="116" t="s">
        <v>465</v>
      </c>
      <c r="BT45" s="148">
        <f>CG32</f>
        <v>1.023594854168318</v>
      </c>
      <c r="BU45" s="146"/>
      <c r="BV45" s="756"/>
      <c r="BW45" s="762" t="s">
        <v>312</v>
      </c>
      <c r="BX45" s="150">
        <f>M31/BX44</f>
        <v>0.95384627177179604</v>
      </c>
    </row>
    <row r="46" spans="1:131" ht="15.75" thickBot="1">
      <c r="A46"/>
      <c r="B46"/>
      <c r="C46"/>
      <c r="E46" s="86"/>
      <c r="F46" s="86"/>
      <c r="G46" s="86"/>
      <c r="H46" s="86"/>
      <c r="I46" s="86"/>
      <c r="J46" s="86"/>
      <c r="K46" s="86"/>
      <c r="L46" s="86"/>
      <c r="M46" s="505"/>
      <c r="N46" s="505"/>
      <c r="O46" s="505"/>
      <c r="P46" s="505"/>
      <c r="Q46" s="505"/>
      <c r="BS46" s="96" t="s">
        <v>472</v>
      </c>
      <c r="BT46" s="765">
        <f>CH32</f>
        <v>66531140.368000001</v>
      </c>
      <c r="BU46" s="146">
        <f>BT46/BV46</f>
        <v>0.47665014218118046</v>
      </c>
      <c r="BV46" s="764">
        <f>BV34</f>
        <v>139580657.76200002</v>
      </c>
      <c r="BW46" s="760"/>
      <c r="BX46" s="149"/>
      <c r="EA46" s="759"/>
    </row>
    <row r="47" spans="1:131" ht="15.75" thickBot="1">
      <c r="A47"/>
      <c r="B47"/>
      <c r="C47"/>
      <c r="E47" s="86"/>
      <c r="F47" s="86"/>
      <c r="G47" s="86"/>
      <c r="H47" s="86"/>
      <c r="I47" s="86"/>
      <c r="J47" s="86"/>
      <c r="K47" s="86"/>
      <c r="L47" s="86"/>
      <c r="M47" s="505"/>
      <c r="N47" s="505"/>
      <c r="O47" s="505"/>
      <c r="P47" s="505"/>
      <c r="Q47" s="505"/>
      <c r="BS47" s="96" t="s">
        <v>466</v>
      </c>
      <c r="BT47" s="766">
        <f>CI32</f>
        <v>86552258.552000016</v>
      </c>
      <c r="BU47" s="147"/>
      <c r="BV47" s="757"/>
      <c r="BW47" s="761" t="s">
        <v>171</v>
      </c>
      <c r="BX47" s="763">
        <f>Q31</f>
        <v>21638045.420000002</v>
      </c>
    </row>
    <row r="48" spans="1:131">
      <c r="A48"/>
      <c r="B48"/>
      <c r="C48"/>
      <c r="E48" s="86"/>
      <c r="F48" s="86"/>
      <c r="G48" s="86"/>
      <c r="H48" s="86"/>
      <c r="I48" s="86"/>
      <c r="J48" s="86"/>
      <c r="K48" s="86"/>
      <c r="L48" s="86"/>
      <c r="M48" s="505"/>
      <c r="N48" s="505"/>
      <c r="O48" s="505"/>
      <c r="P48" s="505"/>
      <c r="Q48" s="505"/>
      <c r="BS48" s="96" t="s">
        <v>467</v>
      </c>
      <c r="BT48" s="148">
        <f>CJ32</f>
        <v>0.76868173611008128</v>
      </c>
      <c r="BU48" s="146"/>
      <c r="BV48" s="756"/>
      <c r="BW48" s="762" t="s">
        <v>313</v>
      </c>
      <c r="BX48" s="150">
        <f>P31/BX47</f>
        <v>0.76868241882080313</v>
      </c>
    </row>
    <row r="49" spans="1:76" ht="15.75" thickBot="1">
      <c r="A49"/>
      <c r="B49"/>
      <c r="C49"/>
      <c r="E49" s="86"/>
      <c r="F49" s="86"/>
      <c r="G49" s="86"/>
      <c r="H49" s="86"/>
      <c r="I49" s="86"/>
      <c r="J49" s="86"/>
      <c r="K49" s="86"/>
      <c r="L49" s="86"/>
      <c r="M49" s="505"/>
      <c r="N49" s="505"/>
      <c r="O49" s="505"/>
      <c r="P49" s="505"/>
      <c r="Q49" s="505"/>
      <c r="BS49" s="112" t="s">
        <v>473</v>
      </c>
      <c r="BT49" s="765">
        <f>CK32</f>
        <v>6488023.5940000014</v>
      </c>
      <c r="BU49" s="146">
        <f>BT49/BV49</f>
        <v>4.6482254045992363E-2</v>
      </c>
      <c r="BV49" s="764">
        <f>BV34</f>
        <v>139580657.76200002</v>
      </c>
      <c r="BW49" s="760"/>
      <c r="BX49" s="149"/>
    </row>
    <row r="50" spans="1:76" ht="15.75" thickBot="1">
      <c r="A50"/>
      <c r="B50"/>
      <c r="C50"/>
      <c r="E50" s="86"/>
      <c r="F50" s="86"/>
      <c r="G50" s="86"/>
      <c r="H50" s="86"/>
      <c r="I50" s="86"/>
      <c r="J50" s="86"/>
      <c r="K50" s="86"/>
      <c r="L50" s="86"/>
      <c r="M50" s="505"/>
      <c r="N50" s="505"/>
      <c r="O50" s="505"/>
      <c r="P50" s="505"/>
      <c r="Q50" s="505"/>
      <c r="BS50" s="112" t="s">
        <v>468</v>
      </c>
      <c r="BT50" s="766">
        <f>CL32</f>
        <v>6357107.669285709</v>
      </c>
      <c r="BU50" s="147"/>
      <c r="BV50" s="757"/>
      <c r="BW50" s="761" t="s">
        <v>171</v>
      </c>
      <c r="BX50" s="763">
        <f>T31</f>
        <v>1608349.5</v>
      </c>
    </row>
    <row r="51" spans="1:76" ht="15.75" thickBot="1">
      <c r="A51"/>
      <c r="B51"/>
      <c r="C51"/>
      <c r="E51" s="88"/>
      <c r="F51" s="88"/>
      <c r="G51" s="88"/>
      <c r="H51" s="88"/>
      <c r="I51" s="88"/>
      <c r="J51" s="88"/>
      <c r="K51" s="88"/>
      <c r="L51" s="88"/>
      <c r="M51" s="505"/>
      <c r="N51" s="505"/>
      <c r="O51" s="505"/>
      <c r="P51" s="505"/>
      <c r="Q51" s="505"/>
      <c r="BS51" s="113" t="s">
        <v>469</v>
      </c>
      <c r="BT51" s="148">
        <f>CM32</f>
        <v>1.0205936302364063</v>
      </c>
      <c r="BU51" s="146"/>
      <c r="BV51" s="755"/>
      <c r="BW51" s="762" t="s">
        <v>314</v>
      </c>
      <c r="BX51" s="150">
        <f>S31/BX50</f>
        <v>0.99424220046700063</v>
      </c>
    </row>
    <row r="52" spans="1:76">
      <c r="A52"/>
      <c r="B52"/>
      <c r="C52"/>
      <c r="E52" s="86"/>
      <c r="F52" s="86"/>
      <c r="G52" s="86"/>
      <c r="H52" s="86"/>
      <c r="I52" s="86"/>
      <c r="J52" s="86"/>
      <c r="K52" s="86"/>
      <c r="L52" s="86"/>
      <c r="M52" s="505"/>
      <c r="N52" s="505"/>
      <c r="O52" s="505"/>
      <c r="P52" s="505"/>
      <c r="Q52" s="505"/>
      <c r="BS52" s="95" t="s">
        <v>474</v>
      </c>
      <c r="BT52" s="40">
        <f>CN32</f>
        <v>215705</v>
      </c>
      <c r="BU52" s="124"/>
      <c r="BX52" s="125"/>
    </row>
    <row r="53" spans="1:76">
      <c r="A53"/>
      <c r="B53"/>
      <c r="C53"/>
      <c r="E53" s="86"/>
      <c r="F53" s="86"/>
      <c r="G53" s="86"/>
      <c r="H53" s="86"/>
      <c r="I53" s="86"/>
      <c r="J53" s="86"/>
      <c r="K53" s="86"/>
      <c r="L53" s="86"/>
      <c r="M53" s="505"/>
      <c r="N53" s="505"/>
      <c r="O53" s="505"/>
      <c r="P53" s="505"/>
      <c r="Q53" s="505"/>
      <c r="BS53" s="94" t="s">
        <v>475</v>
      </c>
      <c r="BT53" s="40">
        <f>CO32</f>
        <v>8236</v>
      </c>
      <c r="BU53" s="1030" t="s">
        <v>309</v>
      </c>
      <c r="BV53" s="1030"/>
      <c r="BW53" s="1031" t="s">
        <v>171</v>
      </c>
      <c r="BX53" s="1031"/>
    </row>
    <row r="54" spans="1:76">
      <c r="A54"/>
      <c r="B54"/>
      <c r="C54"/>
      <c r="E54" s="86"/>
      <c r="F54" s="86"/>
      <c r="G54" s="86"/>
      <c r="H54" s="86"/>
      <c r="I54" s="86"/>
      <c r="J54" s="86"/>
      <c r="K54" s="86"/>
      <c r="L54" s="86"/>
      <c r="M54" s="505"/>
      <c r="N54" s="505"/>
      <c r="O54" s="505"/>
      <c r="P54" s="505"/>
      <c r="Q54" s="505"/>
      <c r="BS54" s="94" t="s">
        <v>220</v>
      </c>
      <c r="BT54" s="40">
        <f>CP32</f>
        <v>217280.8</v>
      </c>
      <c r="BU54" s="124"/>
    </row>
    <row r="55" spans="1:76">
      <c r="A55"/>
      <c r="B55"/>
      <c r="C55"/>
      <c r="E55" s="86"/>
      <c r="F55" s="86"/>
      <c r="G55" s="86"/>
      <c r="H55" s="86"/>
      <c r="I55" s="86"/>
      <c r="J55" s="86"/>
      <c r="K55" s="86"/>
      <c r="L55" s="86"/>
      <c r="M55" s="505"/>
      <c r="N55" s="505"/>
      <c r="O55" s="505"/>
      <c r="P55" s="505"/>
      <c r="Q55" s="505"/>
      <c r="BS55" s="94" t="s">
        <v>396</v>
      </c>
      <c r="BT55" s="39">
        <f>CQ32</f>
        <v>0.99274763347704909</v>
      </c>
      <c r="BU55" s="124"/>
    </row>
    <row r="56" spans="1:76">
      <c r="A56"/>
      <c r="B56"/>
      <c r="C56"/>
      <c r="E56" s="86"/>
      <c r="F56" s="86"/>
      <c r="G56" s="86"/>
      <c r="H56" s="86"/>
      <c r="I56" s="86"/>
      <c r="J56" s="86"/>
      <c r="K56" s="86"/>
      <c r="L56" s="86"/>
      <c r="M56" s="505"/>
      <c r="N56" s="505"/>
      <c r="O56" s="505"/>
      <c r="P56" s="505"/>
      <c r="Q56" s="505"/>
      <c r="BS56" s="94" t="s">
        <v>221</v>
      </c>
      <c r="BT56" s="40">
        <f>CR32</f>
        <v>30981</v>
      </c>
      <c r="BU56" s="124"/>
    </row>
    <row r="57" spans="1:76">
      <c r="A57"/>
      <c r="B57"/>
      <c r="C57"/>
      <c r="E57" s="86"/>
      <c r="F57" s="86"/>
      <c r="G57" s="86"/>
      <c r="H57" s="86"/>
      <c r="I57" s="86"/>
      <c r="J57" s="86"/>
      <c r="K57" s="86"/>
      <c r="L57" s="86"/>
      <c r="M57" s="505"/>
      <c r="N57" s="505"/>
      <c r="O57" s="505"/>
      <c r="P57" s="505"/>
      <c r="Q57" s="505"/>
      <c r="BS57" s="94" t="s">
        <v>421</v>
      </c>
      <c r="BT57" s="40">
        <f>CS32</f>
        <v>1863</v>
      </c>
      <c r="BU57" s="124"/>
    </row>
    <row r="58" spans="1:76">
      <c r="A58"/>
      <c r="B58"/>
      <c r="C58"/>
      <c r="E58" s="86"/>
      <c r="F58" s="86"/>
      <c r="G58" s="86"/>
      <c r="H58" s="86"/>
      <c r="I58" s="86"/>
      <c r="J58" s="86"/>
      <c r="K58" s="86"/>
      <c r="L58" s="86"/>
      <c r="M58" s="505"/>
      <c r="N58" s="505"/>
      <c r="O58" s="505"/>
      <c r="P58" s="505"/>
      <c r="Q58" s="505"/>
      <c r="BS58" s="94" t="s">
        <v>219</v>
      </c>
      <c r="BT58" s="40">
        <f>CT32</f>
        <v>31610</v>
      </c>
      <c r="BU58" s="124"/>
    </row>
    <row r="59" spans="1:76" ht="15.75" thickBot="1">
      <c r="A59"/>
      <c r="B59"/>
      <c r="C59"/>
      <c r="E59" s="86"/>
      <c r="F59" s="86"/>
      <c r="G59" s="86"/>
      <c r="H59" s="86"/>
      <c r="I59" s="86"/>
      <c r="J59" s="86"/>
      <c r="K59" s="86"/>
      <c r="L59" s="86"/>
      <c r="M59" s="505"/>
      <c r="N59" s="505"/>
      <c r="O59" s="505"/>
      <c r="P59" s="505"/>
      <c r="Q59" s="505"/>
      <c r="BS59" s="94" t="s">
        <v>397</v>
      </c>
      <c r="BT59" s="39">
        <f>CU32</f>
        <v>0.98010123378677638</v>
      </c>
      <c r="BU59" s="124"/>
    </row>
    <row r="60" spans="1:76">
      <c r="A60"/>
      <c r="B60"/>
      <c r="C60"/>
      <c r="E60" s="86"/>
      <c r="F60" s="86"/>
      <c r="G60" s="86"/>
      <c r="H60" s="86"/>
      <c r="I60" s="86"/>
      <c r="J60" s="86"/>
      <c r="K60" s="86"/>
      <c r="L60" s="86"/>
      <c r="M60" s="505"/>
      <c r="N60" s="505"/>
      <c r="O60" s="505"/>
      <c r="P60" s="505"/>
      <c r="Q60" s="505"/>
      <c r="BS60" s="92" t="s">
        <v>422</v>
      </c>
      <c r="BT60" s="40">
        <f>CV32</f>
        <v>758130</v>
      </c>
      <c r="BU60" s="124"/>
    </row>
    <row r="61" spans="1:76">
      <c r="A61"/>
      <c r="B61"/>
      <c r="C61"/>
      <c r="E61" s="88"/>
      <c r="F61" s="88"/>
      <c r="G61" s="88"/>
      <c r="H61" s="88"/>
      <c r="I61" s="88"/>
      <c r="J61" s="88"/>
      <c r="K61" s="88"/>
      <c r="L61" s="88"/>
      <c r="M61" s="505"/>
      <c r="N61" s="505"/>
      <c r="O61" s="505"/>
      <c r="P61" s="505"/>
      <c r="Q61" s="505"/>
      <c r="BS61" s="96" t="s">
        <v>262</v>
      </c>
      <c r="BT61" s="40">
        <f>CW32</f>
        <v>995758</v>
      </c>
      <c r="BU61" s="124"/>
    </row>
    <row r="62" spans="1:76">
      <c r="A62"/>
      <c r="B62"/>
      <c r="C62"/>
      <c r="E62" s="86"/>
      <c r="F62" s="86"/>
      <c r="G62" s="86"/>
      <c r="H62" s="86"/>
      <c r="I62" s="86"/>
      <c r="J62" s="86"/>
      <c r="K62" s="86"/>
      <c r="L62" s="86"/>
      <c r="M62" s="505"/>
      <c r="N62" s="505"/>
      <c r="O62" s="505"/>
      <c r="P62" s="505"/>
      <c r="Q62" s="505"/>
      <c r="BS62" s="91" t="s">
        <v>238</v>
      </c>
      <c r="BT62" s="93">
        <f>CX32</f>
        <v>3.5146612271389164</v>
      </c>
      <c r="BU62" s="124"/>
    </row>
    <row r="63" spans="1:76" ht="15.75" thickBot="1">
      <c r="A63"/>
      <c r="B63"/>
      <c r="C63"/>
      <c r="E63" s="86"/>
      <c r="F63" s="86"/>
      <c r="G63" s="86"/>
      <c r="H63" s="86"/>
      <c r="I63" s="86"/>
      <c r="J63" s="86"/>
      <c r="K63" s="86"/>
      <c r="L63" s="86"/>
      <c r="M63" s="505"/>
      <c r="N63" s="505"/>
      <c r="O63" s="505"/>
      <c r="P63" s="505"/>
      <c r="Q63" s="505"/>
      <c r="BS63" s="90" t="s">
        <v>237</v>
      </c>
      <c r="BT63" s="93">
        <f>CY32</f>
        <v>4.5828163372005264</v>
      </c>
      <c r="BU63" s="124"/>
    </row>
    <row r="64" spans="1:76">
      <c r="A64"/>
      <c r="B64"/>
      <c r="C64"/>
      <c r="E64" s="86"/>
      <c r="F64" s="86"/>
      <c r="G64" s="86"/>
      <c r="H64" s="86"/>
      <c r="I64" s="86"/>
      <c r="J64" s="86"/>
      <c r="K64" s="86"/>
      <c r="L64" s="86"/>
      <c r="M64" s="505"/>
      <c r="N64" s="505"/>
      <c r="O64" s="505"/>
      <c r="P64" s="505"/>
      <c r="Q64" s="505"/>
      <c r="BS64" s="94" t="s">
        <v>510</v>
      </c>
      <c r="BT64" s="40">
        <f>CZ32</f>
        <v>203634</v>
      </c>
      <c r="BU64" s="124"/>
    </row>
    <row r="65" spans="1:73">
      <c r="A65"/>
      <c r="B65"/>
      <c r="C65"/>
      <c r="E65" s="86"/>
      <c r="F65" s="86"/>
      <c r="G65" s="86"/>
      <c r="H65" s="86"/>
      <c r="I65" s="86"/>
      <c r="J65" s="86"/>
      <c r="K65" s="86"/>
      <c r="L65" s="86"/>
      <c r="M65" s="505"/>
      <c r="N65" s="505"/>
      <c r="O65" s="505"/>
      <c r="P65" s="505"/>
      <c r="Q65" s="505"/>
      <c r="BS65" s="94" t="s">
        <v>511</v>
      </c>
      <c r="BT65" s="40">
        <f>DA32</f>
        <v>132630</v>
      </c>
      <c r="BU65" s="124"/>
    </row>
    <row r="66" spans="1:73">
      <c r="A66" s="133"/>
      <c r="B66" s="86"/>
      <c r="C66" s="87"/>
      <c r="D66" s="86"/>
      <c r="E66" s="86"/>
      <c r="F66" s="86"/>
      <c r="G66" s="86"/>
      <c r="H66" s="86"/>
      <c r="I66" s="86"/>
      <c r="J66" s="86"/>
      <c r="K66" s="86"/>
      <c r="L66" s="86"/>
      <c r="M66" s="505"/>
      <c r="N66" s="505"/>
      <c r="O66" s="505"/>
      <c r="P66" s="505"/>
      <c r="Q66" s="505"/>
      <c r="BS66" s="94" t="s">
        <v>504</v>
      </c>
      <c r="BT66" s="39">
        <f>BT65/BT64</f>
        <v>0.65131559562744923</v>
      </c>
      <c r="BU66" s="124"/>
    </row>
    <row r="67" spans="1:73">
      <c r="A67" s="106" t="s">
        <v>256</v>
      </c>
      <c r="B67" t="s">
        <v>539</v>
      </c>
      <c r="C67"/>
      <c r="E67" s="86"/>
      <c r="F67" s="86"/>
      <c r="G67" s="86"/>
      <c r="H67" s="86"/>
      <c r="I67" s="86"/>
      <c r="J67" s="86"/>
      <c r="K67" s="86"/>
      <c r="L67" s="86"/>
      <c r="M67" s="505"/>
      <c r="N67" s="505"/>
      <c r="O67" s="505"/>
      <c r="P67" s="505"/>
      <c r="Q67" s="505"/>
      <c r="BS67" s="94" t="s">
        <v>509</v>
      </c>
      <c r="BT67" s="40">
        <f>DC32</f>
        <v>203796.8</v>
      </c>
      <c r="BU67" s="124"/>
    </row>
    <row r="68" spans="1:73">
      <c r="A68" s="322" t="s">
        <v>77</v>
      </c>
      <c r="B68" s="301">
        <v>904</v>
      </c>
      <c r="C68"/>
      <c r="E68" s="86"/>
      <c r="F68" s="86"/>
      <c r="G68" s="86"/>
      <c r="H68" s="86"/>
      <c r="I68" s="86"/>
      <c r="J68" s="86"/>
      <c r="K68" s="86"/>
      <c r="L68" s="86"/>
      <c r="M68" s="505"/>
      <c r="N68" s="505"/>
      <c r="O68" s="505"/>
      <c r="P68" s="505"/>
      <c r="Q68" s="505"/>
      <c r="BS68" s="94" t="s">
        <v>512</v>
      </c>
      <c r="BT68" s="40">
        <f>DD32</f>
        <v>150195</v>
      </c>
      <c r="BU68" s="124"/>
    </row>
    <row r="69" spans="1:73" ht="15.75" thickBot="1">
      <c r="A69" s="322" t="s">
        <v>78</v>
      </c>
      <c r="B69" s="301">
        <v>2403</v>
      </c>
      <c r="C69"/>
      <c r="E69" s="88"/>
      <c r="F69" s="88"/>
      <c r="G69" s="88"/>
      <c r="H69" s="88"/>
      <c r="I69" s="88"/>
      <c r="J69" s="88"/>
      <c r="K69" s="88"/>
      <c r="L69" s="88"/>
      <c r="M69" s="505"/>
      <c r="N69" s="505"/>
      <c r="O69" s="505"/>
      <c r="P69" s="505"/>
      <c r="Q69" s="505"/>
      <c r="BS69" s="94" t="s">
        <v>503</v>
      </c>
      <c r="BT69" s="40">
        <f>DE32</f>
        <v>0.73698409396025855</v>
      </c>
      <c r="BU69" s="124"/>
    </row>
    <row r="70" spans="1:73">
      <c r="A70" s="322" t="s">
        <v>80</v>
      </c>
      <c r="B70" s="301">
        <v>2661</v>
      </c>
      <c r="C70"/>
      <c r="E70" s="86"/>
      <c r="F70" s="86"/>
      <c r="G70" s="86"/>
      <c r="H70" s="86"/>
      <c r="I70" s="86"/>
      <c r="J70" s="86"/>
      <c r="K70" s="86"/>
      <c r="L70" s="86"/>
      <c r="M70" s="505"/>
      <c r="N70" s="505"/>
      <c r="O70" s="505"/>
      <c r="P70" s="505"/>
      <c r="Q70" s="505"/>
      <c r="BS70" s="100" t="s">
        <v>513</v>
      </c>
      <c r="BT70" s="40">
        <f>DF32</f>
        <v>14640</v>
      </c>
      <c r="BU70" s="124"/>
    </row>
    <row r="71" spans="1:73">
      <c r="A71" s="322" t="s">
        <v>79</v>
      </c>
      <c r="B71" s="301">
        <v>1222</v>
      </c>
      <c r="C71"/>
      <c r="E71" s="86"/>
      <c r="F71" s="86"/>
      <c r="G71" s="86"/>
      <c r="H71" s="86"/>
      <c r="I71" s="86"/>
      <c r="J71" s="86"/>
      <c r="K71" s="86"/>
      <c r="L71" s="86"/>
      <c r="M71" s="505"/>
      <c r="N71" s="505"/>
      <c r="O71" s="505"/>
      <c r="P71" s="505"/>
      <c r="Q71" s="505"/>
      <c r="BS71" s="97" t="s">
        <v>505</v>
      </c>
      <c r="BT71" s="40">
        <f>DG32</f>
        <v>0.47254769051999612</v>
      </c>
      <c r="BU71" s="124"/>
    </row>
    <row r="72" spans="1:73" ht="15.75" thickBot="1">
      <c r="A72" s="322" t="s">
        <v>81</v>
      </c>
      <c r="B72" s="301">
        <v>8512</v>
      </c>
      <c r="C72"/>
      <c r="E72" s="86"/>
      <c r="F72" s="86"/>
      <c r="G72" s="87"/>
      <c r="H72" s="87"/>
      <c r="I72" s="87"/>
      <c r="J72" s="86"/>
      <c r="K72" s="86"/>
      <c r="L72" s="86"/>
      <c r="BS72" s="110" t="s">
        <v>514</v>
      </c>
      <c r="BT72" s="40">
        <f>DH32</f>
        <v>17427</v>
      </c>
    </row>
    <row r="73" spans="1:73">
      <c r="A73" s="322" t="s">
        <v>82</v>
      </c>
      <c r="B73" s="301">
        <v>5227</v>
      </c>
      <c r="C73"/>
      <c r="E73" s="86"/>
      <c r="F73" s="86"/>
      <c r="G73" s="87"/>
      <c r="H73" s="87"/>
      <c r="I73" s="87"/>
      <c r="J73" s="86"/>
      <c r="K73" s="86"/>
      <c r="L73" s="86"/>
      <c r="BS73" s="114" t="s">
        <v>506</v>
      </c>
      <c r="BT73" s="35">
        <f>DI32</f>
        <v>0.55131287567225562</v>
      </c>
    </row>
    <row r="74" spans="1:73">
      <c r="A74" s="322" t="s">
        <v>83</v>
      </c>
      <c r="B74" s="301">
        <v>7605</v>
      </c>
      <c r="C74"/>
      <c r="E74" s="88"/>
      <c r="F74" s="88"/>
      <c r="G74" s="89"/>
      <c r="H74" s="89"/>
      <c r="I74" s="89"/>
      <c r="J74" s="88"/>
      <c r="K74" s="88"/>
      <c r="L74" s="88"/>
      <c r="BS74" s="114" t="s">
        <v>218</v>
      </c>
      <c r="BT74" s="40">
        <f>DJ32</f>
        <v>75981</v>
      </c>
    </row>
    <row r="75" spans="1:73">
      <c r="A75" s="322" t="s">
        <v>84</v>
      </c>
      <c r="B75" s="301">
        <v>4629</v>
      </c>
      <c r="C75"/>
      <c r="E75" s="86"/>
      <c r="F75" s="86"/>
      <c r="G75" s="87"/>
      <c r="H75" s="87"/>
      <c r="I75" s="87"/>
      <c r="J75" s="86"/>
      <c r="K75" s="86"/>
      <c r="L75" s="86"/>
      <c r="BS75" s="114" t="s">
        <v>217</v>
      </c>
      <c r="BT75" s="40">
        <f>DK32</f>
        <v>139724</v>
      </c>
    </row>
    <row r="76" spans="1:73">
      <c r="A76" s="322" t="s">
        <v>85</v>
      </c>
      <c r="B76" s="301">
        <v>6178</v>
      </c>
      <c r="C76"/>
      <c r="E76" s="86"/>
      <c r="F76" s="86"/>
      <c r="G76" s="87"/>
      <c r="H76" s="87"/>
      <c r="I76" s="87"/>
      <c r="J76" s="86"/>
      <c r="K76" s="86"/>
      <c r="L76" s="86"/>
      <c r="BS76" s="114" t="s">
        <v>216</v>
      </c>
      <c r="BT76" s="40">
        <f>DL32</f>
        <v>6593</v>
      </c>
    </row>
    <row r="77" spans="1:73">
      <c r="A77" s="322" t="s">
        <v>86</v>
      </c>
      <c r="B77" s="301">
        <v>2581</v>
      </c>
      <c r="C77"/>
      <c r="E77" s="86"/>
      <c r="F77" s="86"/>
      <c r="G77" s="87"/>
      <c r="H77" s="87"/>
      <c r="I77" s="87"/>
      <c r="J77" s="86"/>
      <c r="K77" s="86"/>
      <c r="L77" s="86"/>
      <c r="BS77" s="114" t="s">
        <v>215</v>
      </c>
      <c r="BT77" s="40">
        <f>DM32</f>
        <v>10272</v>
      </c>
    </row>
    <row r="78" spans="1:73">
      <c r="A78" s="322" t="s">
        <v>89</v>
      </c>
      <c r="B78" s="301">
        <v>19912</v>
      </c>
      <c r="C78"/>
      <c r="E78" s="86"/>
      <c r="F78" s="86"/>
      <c r="G78" s="87"/>
      <c r="H78" s="87"/>
      <c r="I78" s="87"/>
      <c r="J78" s="86"/>
      <c r="K78" s="86"/>
      <c r="L78" s="86"/>
      <c r="BS78" s="114" t="s">
        <v>398</v>
      </c>
      <c r="BT78" s="35">
        <f>DN32</f>
        <v>0.64184190031152644</v>
      </c>
    </row>
    <row r="79" spans="1:73">
      <c r="A79" s="322" t="s">
        <v>88</v>
      </c>
      <c r="B79" s="301">
        <v>4338</v>
      </c>
      <c r="C79"/>
      <c r="E79" s="86"/>
      <c r="F79" s="86"/>
      <c r="G79" s="87"/>
      <c r="H79" s="87"/>
      <c r="I79" s="87"/>
      <c r="J79" s="86"/>
      <c r="K79" s="86"/>
      <c r="L79" s="86"/>
      <c r="BS79" s="114" t="s">
        <v>444</v>
      </c>
      <c r="BT79" s="128">
        <f>DO32</f>
        <v>50606882.072000004</v>
      </c>
    </row>
    <row r="80" spans="1:73">
      <c r="A80" s="322" t="s">
        <v>87</v>
      </c>
      <c r="B80" s="301">
        <v>4349</v>
      </c>
      <c r="C80"/>
      <c r="E80" s="86"/>
      <c r="F80" s="86"/>
      <c r="G80" s="87"/>
      <c r="H80" s="87"/>
      <c r="I80" s="87"/>
      <c r="J80" s="86"/>
      <c r="K80" s="86"/>
      <c r="L80" s="86"/>
      <c r="BS80" s="114" t="s">
        <v>446</v>
      </c>
      <c r="BT80" s="128">
        <f>DP32</f>
        <v>44721260.808000006</v>
      </c>
    </row>
    <row r="81" spans="1:84">
      <c r="A81" s="322" t="s">
        <v>90</v>
      </c>
      <c r="B81" s="301">
        <v>3789</v>
      </c>
      <c r="C81"/>
      <c r="E81" s="86"/>
      <c r="F81" s="86"/>
      <c r="G81" s="87"/>
      <c r="H81" s="87"/>
      <c r="I81" s="87"/>
      <c r="J81" s="86"/>
      <c r="K81" s="86"/>
      <c r="L81" s="86"/>
      <c r="BS81" s="114" t="s">
        <v>445</v>
      </c>
      <c r="BT81" s="39">
        <f>DQ32</f>
        <v>0.13160678294085892</v>
      </c>
      <c r="BV81" s="759">
        <f>(BT34+BT37+BT40+BT43+BT46+BT49)</f>
        <v>139580657.76199999</v>
      </c>
      <c r="BW81" s="759">
        <f>BT83</f>
        <v>3810674.5920000002</v>
      </c>
    </row>
    <row r="82" spans="1:84">
      <c r="A82" s="322" t="s">
        <v>91</v>
      </c>
      <c r="B82" s="301">
        <v>3708</v>
      </c>
      <c r="C82"/>
      <c r="E82" s="86"/>
      <c r="F82" s="86"/>
      <c r="G82" s="87"/>
      <c r="H82" s="87"/>
      <c r="I82" s="87"/>
      <c r="J82" s="86"/>
      <c r="K82" s="86"/>
      <c r="L82" s="86"/>
      <c r="BS82" s="114" t="s">
        <v>447</v>
      </c>
      <c r="BT82" s="128">
        <f>DU32</f>
        <v>2742087.3999999994</v>
      </c>
      <c r="BV82" s="759">
        <f>BT80</f>
        <v>44721260.808000006</v>
      </c>
      <c r="BW82" s="759">
        <f>BT85</f>
        <v>66531140.368000001</v>
      </c>
    </row>
    <row r="83" spans="1:84">
      <c r="A83" s="322" t="s">
        <v>93</v>
      </c>
      <c r="B83" s="301">
        <v>6224</v>
      </c>
      <c r="C83"/>
      <c r="E83" s="86"/>
      <c r="F83" s="86"/>
      <c r="G83" s="87"/>
      <c r="H83" s="87"/>
      <c r="I83" s="87"/>
      <c r="J83" s="86"/>
      <c r="K83" s="86"/>
      <c r="L83" s="86"/>
      <c r="BS83" s="114" t="s">
        <v>448</v>
      </c>
      <c r="BT83" s="128">
        <f>DV32</f>
        <v>3810674.5920000002</v>
      </c>
      <c r="BV83" s="124">
        <f>BV81/BV82-1</f>
        <v>2.1211252822512323</v>
      </c>
      <c r="BW83" s="759">
        <f>BW81/BW82-1</f>
        <v>-0.94272344392532237</v>
      </c>
    </row>
    <row r="84" spans="1:84">
      <c r="A84" s="322" t="s">
        <v>94</v>
      </c>
      <c r="B84" s="301">
        <v>1926</v>
      </c>
      <c r="C84"/>
      <c r="E84" s="86"/>
      <c r="F84" s="86"/>
      <c r="G84" s="87"/>
      <c r="H84" s="87"/>
      <c r="I84" s="87"/>
      <c r="J84" s="86"/>
      <c r="K84" s="86"/>
      <c r="L84" s="86"/>
      <c r="BS84" s="114" t="s">
        <v>449</v>
      </c>
      <c r="BT84" s="39">
        <f>DW32</f>
        <v>-0.28041942868681469</v>
      </c>
    </row>
    <row r="85" spans="1:84">
      <c r="A85" s="322" t="s">
        <v>92</v>
      </c>
      <c r="B85" s="301">
        <v>17402</v>
      </c>
      <c r="C85"/>
      <c r="E85" s="86"/>
      <c r="F85" s="86"/>
      <c r="G85" s="87"/>
      <c r="H85" s="87"/>
      <c r="I85" s="87"/>
      <c r="J85" s="86"/>
      <c r="K85" s="86"/>
      <c r="L85" s="86"/>
      <c r="BS85" s="114" t="s">
        <v>450</v>
      </c>
      <c r="BT85" s="128">
        <f>EA32</f>
        <v>66531140.368000001</v>
      </c>
    </row>
    <row r="86" spans="1:84">
      <c r="A86" s="322" t="s">
        <v>95</v>
      </c>
      <c r="B86" s="301">
        <v>24424</v>
      </c>
      <c r="C86"/>
      <c r="E86" s="86"/>
      <c r="F86" s="86"/>
      <c r="G86" s="87"/>
      <c r="H86" s="87"/>
      <c r="I86" s="87"/>
      <c r="J86" s="86"/>
      <c r="K86" s="86"/>
      <c r="L86" s="86"/>
      <c r="BS86" s="114" t="s">
        <v>451</v>
      </c>
      <c r="BT86" s="128">
        <f>EB32</f>
        <v>59183650.671999998</v>
      </c>
    </row>
    <row r="87" spans="1:84">
      <c r="A87" s="322" t="s">
        <v>96</v>
      </c>
      <c r="B87" s="301">
        <v>3117</v>
      </c>
      <c r="C87"/>
      <c r="E87" s="86"/>
      <c r="F87" s="86"/>
      <c r="G87" s="87"/>
      <c r="H87" s="87"/>
      <c r="I87" s="87"/>
      <c r="J87" s="86"/>
      <c r="K87" s="86"/>
      <c r="L87" s="86"/>
      <c r="BS87" s="114" t="s">
        <v>453</v>
      </c>
      <c r="BT87" s="35">
        <f>EC32</f>
        <v>0.12414728751222714</v>
      </c>
    </row>
    <row r="88" spans="1:84">
      <c r="A88" s="322" t="s">
        <v>98</v>
      </c>
      <c r="B88" s="301">
        <v>1717</v>
      </c>
      <c r="C88"/>
      <c r="E88" s="86"/>
      <c r="F88" s="86"/>
      <c r="G88" s="87"/>
      <c r="H88" s="87"/>
      <c r="I88" s="87"/>
      <c r="J88" s="86"/>
      <c r="K88" s="86"/>
      <c r="L88" s="86"/>
      <c r="BS88" s="114" t="s">
        <v>454</v>
      </c>
      <c r="BT88" s="759">
        <f>ED32</f>
        <v>6488023.5940000005</v>
      </c>
      <c r="BU88"/>
      <c r="BV88" s="747"/>
      <c r="BW88" s="128"/>
      <c r="BX88"/>
      <c r="BY88" s="128"/>
      <c r="BZ88" s="128"/>
      <c r="CA88"/>
      <c r="CB88" s="128"/>
      <c r="CC88" s="128"/>
      <c r="CD88"/>
      <c r="CE88" s="128"/>
      <c r="CF88" s="128"/>
    </row>
    <row r="89" spans="1:84">
      <c r="A89" s="322" t="s">
        <v>99</v>
      </c>
      <c r="B89" s="301">
        <v>320</v>
      </c>
      <c r="C89"/>
      <c r="E89" s="86"/>
      <c r="F89" s="86"/>
      <c r="G89" s="87"/>
      <c r="H89" s="87"/>
      <c r="I89" s="87"/>
      <c r="J89" s="86"/>
      <c r="K89" s="86"/>
      <c r="L89" s="86"/>
      <c r="BS89" s="114" t="s">
        <v>455</v>
      </c>
      <c r="BT89" s="759">
        <f>EE32</f>
        <v>6480126.2180000022</v>
      </c>
      <c r="BU89"/>
      <c r="BV89" s="747"/>
      <c r="BW89" s="128"/>
      <c r="BX89"/>
      <c r="BY89" s="128"/>
      <c r="BZ89" s="128"/>
      <c r="CA89"/>
      <c r="CB89" s="128"/>
      <c r="CC89" s="128"/>
      <c r="CD89"/>
      <c r="CE89" s="128"/>
      <c r="CF89" s="128"/>
    </row>
    <row r="90" spans="1:84">
      <c r="A90" s="322" t="s">
        <v>97</v>
      </c>
      <c r="B90" s="301">
        <v>21372</v>
      </c>
      <c r="C90"/>
      <c r="E90" s="86"/>
      <c r="F90" s="86"/>
      <c r="G90" s="87"/>
      <c r="H90" s="87"/>
      <c r="I90" s="87"/>
      <c r="J90" s="86"/>
      <c r="K90" s="86"/>
      <c r="L90" s="86"/>
      <c r="BS90" s="114" t="s">
        <v>452</v>
      </c>
      <c r="BT90" s="124">
        <f>EF32</f>
        <v>1.2187071261144933E-3</v>
      </c>
      <c r="BU90"/>
      <c r="BV90" s="747"/>
      <c r="BW90" s="128"/>
      <c r="BX90"/>
      <c r="BY90" s="128"/>
      <c r="BZ90" s="128"/>
      <c r="CA90"/>
      <c r="CB90" s="128"/>
      <c r="CC90" s="128"/>
      <c r="CD90"/>
      <c r="CE90" s="128"/>
      <c r="CF90" s="128"/>
    </row>
    <row r="91" spans="1:84">
      <c r="A91" s="322" t="s">
        <v>100</v>
      </c>
      <c r="B91" s="301">
        <v>13947</v>
      </c>
      <c r="C91"/>
      <c r="E91" s="86"/>
      <c r="F91" s="86"/>
      <c r="G91" s="87"/>
      <c r="H91" s="87"/>
      <c r="I91" s="87"/>
      <c r="J91" s="86"/>
      <c r="K91" s="86"/>
      <c r="L91" s="86"/>
      <c r="BS91" s="114" t="s">
        <v>374</v>
      </c>
      <c r="BT91" s="128">
        <f>EG32</f>
        <v>128167697.93000001</v>
      </c>
      <c r="BU91"/>
      <c r="BV91" s="747"/>
      <c r="BW91" s="128"/>
      <c r="BX91"/>
      <c r="BY91" s="128"/>
      <c r="BZ91" s="128"/>
      <c r="CA91"/>
      <c r="CB91" s="128"/>
      <c r="CC91" s="128"/>
      <c r="CD91"/>
      <c r="CE91" s="128"/>
      <c r="CF91" s="128"/>
    </row>
    <row r="92" spans="1:84">
      <c r="A92" s="322" t="s">
        <v>102</v>
      </c>
      <c r="B92" s="301">
        <v>1854</v>
      </c>
      <c r="C92"/>
      <c r="E92" s="88"/>
      <c r="F92" s="88"/>
      <c r="G92" s="89"/>
      <c r="H92" s="89"/>
      <c r="I92" s="89"/>
      <c r="J92" s="88"/>
      <c r="K92" s="88"/>
      <c r="L92" s="88"/>
      <c r="BS92" s="114" t="s">
        <v>399</v>
      </c>
      <c r="BT92" s="35">
        <f>EH32</f>
        <v>8.9047084533212972E-2</v>
      </c>
      <c r="BU92"/>
      <c r="BV92" s="747"/>
      <c r="BW92" s="128"/>
      <c r="BX92"/>
      <c r="BY92" s="128"/>
      <c r="BZ92" s="128"/>
      <c r="CA92"/>
      <c r="CB92" s="128"/>
      <c r="CC92" s="128"/>
      <c r="CD92"/>
      <c r="CE92" s="128"/>
      <c r="CF92" s="128"/>
    </row>
    <row r="93" spans="1:84">
      <c r="A93" s="322" t="s">
        <v>101</v>
      </c>
      <c r="B93" s="301">
        <v>75198</v>
      </c>
      <c r="C93"/>
      <c r="E93" s="86"/>
      <c r="F93" s="86"/>
      <c r="G93" s="87"/>
      <c r="H93" s="87"/>
      <c r="I93" s="87"/>
      <c r="J93" s="86"/>
      <c r="K93" s="86"/>
      <c r="L93" s="86"/>
      <c r="BS93" s="114" t="s">
        <v>525</v>
      </c>
      <c r="BT93" s="35">
        <f>EI32</f>
        <v>0.39786107105004515</v>
      </c>
      <c r="BU93"/>
      <c r="BV93" s="747"/>
      <c r="BW93" s="128"/>
      <c r="BX93"/>
      <c r="BY93" s="128"/>
      <c r="BZ93" s="128"/>
      <c r="CA93"/>
      <c r="CB93" s="128"/>
      <c r="CC93" s="128"/>
      <c r="CD93"/>
      <c r="CE93" s="128"/>
      <c r="CF93" s="128"/>
    </row>
    <row r="94" spans="1:84">
      <c r="A94" s="322" t="s">
        <v>103</v>
      </c>
      <c r="B94" s="301">
        <v>1167</v>
      </c>
      <c r="C94"/>
      <c r="E94" s="86"/>
      <c r="F94" s="86"/>
      <c r="G94" s="87"/>
      <c r="H94" s="87"/>
      <c r="I94" s="87"/>
      <c r="J94" s="86"/>
      <c r="K94" s="86"/>
      <c r="L94" s="86"/>
      <c r="BS94" s="114" t="s">
        <v>527</v>
      </c>
      <c r="BT94" s="128">
        <f>BV32+BY32+CB32+CE32+CH32+CK32</f>
        <v>139580657.76199999</v>
      </c>
      <c r="BU94"/>
      <c r="BV94" s="747"/>
      <c r="BW94" s="128"/>
      <c r="BX94"/>
      <c r="BY94" s="128"/>
      <c r="BZ94" s="128"/>
      <c r="CA94"/>
      <c r="CB94" s="128"/>
      <c r="CC94" s="128"/>
      <c r="CD94"/>
      <c r="CE94" s="128"/>
      <c r="CF94" s="128"/>
    </row>
    <row r="95" spans="1:84">
      <c r="A95" s="322" t="s">
        <v>257</v>
      </c>
      <c r="B95" s="301">
        <v>246686</v>
      </c>
      <c r="C95"/>
      <c r="E95" s="86"/>
      <c r="F95" s="86"/>
      <c r="G95" s="87"/>
      <c r="H95" s="87"/>
      <c r="I95" s="87"/>
      <c r="J95" s="86"/>
      <c r="K95" s="86"/>
      <c r="L95" s="86"/>
      <c r="BS95" s="114" t="s">
        <v>528</v>
      </c>
      <c r="BT95" s="128">
        <f>BW32+BZ32+CC32+CF32+CI32+CL32</f>
        <v>167298332.61728573</v>
      </c>
      <c r="BU95"/>
      <c r="BV95" s="747"/>
      <c r="BW95" s="128"/>
      <c r="BX95"/>
      <c r="BY95" s="128"/>
      <c r="BZ95" s="128"/>
      <c r="CA95"/>
      <c r="CB95" s="128"/>
      <c r="CC95" s="128"/>
      <c r="CD95"/>
      <c r="CE95" s="128"/>
      <c r="CF95" s="128"/>
    </row>
    <row r="96" spans="1:84">
      <c r="A96"/>
      <c r="B96"/>
      <c r="C96"/>
      <c r="E96" s="88"/>
      <c r="F96" s="88"/>
      <c r="G96" s="89"/>
      <c r="H96" s="89"/>
      <c r="I96" s="89"/>
      <c r="J96" s="88"/>
      <c r="K96" s="88"/>
      <c r="L96" s="88"/>
      <c r="BS96" s="114" t="s">
        <v>529</v>
      </c>
      <c r="BT96" s="39">
        <f>BT94/BT95</f>
        <v>0.83432187026816862</v>
      </c>
      <c r="BU96"/>
      <c r="BV96" s="747"/>
      <c r="BW96" s="128"/>
      <c r="BX96"/>
      <c r="BY96" s="128"/>
      <c r="BZ96" s="128"/>
      <c r="CA96"/>
      <c r="CB96" s="128"/>
      <c r="CC96" s="128"/>
      <c r="CD96"/>
      <c r="CE96" s="128"/>
      <c r="CF96" s="128"/>
    </row>
    <row r="97" spans="1:84">
      <c r="A97" s="86"/>
      <c r="B97" s="86"/>
      <c r="C97" s="87"/>
      <c r="D97" s="86"/>
      <c r="E97" s="86"/>
      <c r="F97" s="86"/>
      <c r="G97" s="87"/>
      <c r="H97" s="87"/>
      <c r="I97" s="87"/>
      <c r="J97" s="86"/>
      <c r="K97" s="86"/>
      <c r="L97" s="86"/>
      <c r="BS97" s="114" t="s">
        <v>530</v>
      </c>
      <c r="BT97" s="128">
        <f>D31+G31+J31+M31+P31+S31</f>
        <v>34872247.488000005</v>
      </c>
      <c r="BU97"/>
      <c r="BV97" s="747"/>
      <c r="BW97" s="128"/>
      <c r="BX97"/>
      <c r="BY97" s="128"/>
      <c r="BZ97" s="128"/>
      <c r="CA97"/>
      <c r="CB97" s="128"/>
      <c r="CC97" s="128"/>
      <c r="CD97"/>
      <c r="CE97" s="128"/>
      <c r="CF97" s="128"/>
    </row>
    <row r="98" spans="1:84" hidden="1">
      <c r="A98" s="554"/>
      <c r="B98" s="555"/>
      <c r="C98" s="556"/>
      <c r="D98" s="86"/>
      <c r="E98" s="86"/>
      <c r="F98" s="86"/>
      <c r="G98" s="87"/>
      <c r="H98" s="87"/>
      <c r="I98" s="87"/>
      <c r="J98" s="86"/>
      <c r="K98" s="86"/>
      <c r="L98" s="86"/>
      <c r="BS98" s="114" t="s">
        <v>531</v>
      </c>
      <c r="BT98" s="128">
        <f>E31+H31+K31+N31+Q31+T31</f>
        <v>41952600.780000001</v>
      </c>
      <c r="BU98"/>
      <c r="BV98" s="747"/>
      <c r="BW98" s="128"/>
      <c r="BX98"/>
      <c r="BY98" s="128"/>
      <c r="BZ98" s="128"/>
      <c r="CA98"/>
      <c r="CB98" s="128"/>
      <c r="CC98" s="128"/>
      <c r="CD98"/>
      <c r="CE98" s="128"/>
      <c r="CF98" s="128"/>
    </row>
    <row r="99" spans="1:84" hidden="1">
      <c r="A99" s="557"/>
      <c r="B99" s="558"/>
      <c r="C99" s="559"/>
      <c r="D99" s="86"/>
      <c r="E99" s="86"/>
      <c r="F99" s="86"/>
      <c r="G99" s="87"/>
      <c r="H99" s="87"/>
      <c r="I99" s="87"/>
      <c r="J99" s="86"/>
      <c r="K99" s="86"/>
      <c r="L99" s="86"/>
      <c r="BS99" s="114" t="s">
        <v>532</v>
      </c>
      <c r="BT99" s="39">
        <f>BT97/BT98</f>
        <v>0.83122969350268738</v>
      </c>
      <c r="BU99"/>
      <c r="BV99" s="747"/>
      <c r="BW99" s="128"/>
      <c r="BX99"/>
      <c r="BY99" s="128"/>
      <c r="BZ99" s="128"/>
      <c r="CA99"/>
      <c r="CB99" s="128"/>
      <c r="CC99" s="128"/>
      <c r="CD99"/>
      <c r="CE99" s="128"/>
      <c r="CF99" s="128"/>
    </row>
    <row r="100" spans="1:84" hidden="1">
      <c r="A100" s="557"/>
      <c r="B100" s="558"/>
      <c r="C100" s="559"/>
      <c r="D100" s="86"/>
      <c r="E100" s="86"/>
      <c r="F100" s="86"/>
      <c r="G100" s="87"/>
      <c r="H100" s="87"/>
      <c r="I100" s="87"/>
      <c r="J100" s="86"/>
      <c r="K100" s="86"/>
      <c r="L100" s="86"/>
      <c r="BU100"/>
      <c r="BV100" s="747"/>
      <c r="BW100" s="128"/>
      <c r="BX100"/>
      <c r="BY100" s="128"/>
      <c r="BZ100" s="128"/>
      <c r="CA100"/>
      <c r="CB100" s="128"/>
      <c r="CC100" s="128"/>
      <c r="CD100"/>
      <c r="CE100" s="128"/>
      <c r="CF100" s="128"/>
    </row>
    <row r="101" spans="1:84" hidden="1">
      <c r="A101" s="557"/>
      <c r="B101" s="558"/>
      <c r="C101" s="559"/>
      <c r="D101" s="86"/>
      <c r="E101" s="86"/>
      <c r="F101" s="86"/>
      <c r="G101" s="87"/>
      <c r="H101" s="87"/>
      <c r="I101" s="87"/>
      <c r="J101" s="86"/>
      <c r="K101" s="86"/>
      <c r="L101" s="86"/>
      <c r="BU101"/>
      <c r="BV101" s="747"/>
      <c r="BW101" s="128"/>
      <c r="BX101"/>
      <c r="BY101" s="128"/>
      <c r="BZ101" s="128"/>
      <c r="CA101"/>
      <c r="CB101" s="128"/>
      <c r="CC101" s="128"/>
      <c r="CD101"/>
      <c r="CE101" s="128"/>
      <c r="CF101" s="128"/>
    </row>
    <row r="102" spans="1:84" hidden="1">
      <c r="A102" s="557"/>
      <c r="B102" s="558"/>
      <c r="C102" s="559"/>
      <c r="D102" s="86"/>
      <c r="E102" s="86"/>
      <c r="F102" s="86"/>
      <c r="G102" s="87"/>
      <c r="H102" s="87"/>
      <c r="I102" s="87"/>
      <c r="J102" s="86"/>
      <c r="K102" s="86"/>
      <c r="L102" s="86"/>
      <c r="BU102"/>
      <c r="BV102" s="747"/>
      <c r="BW102" s="128"/>
      <c r="BX102"/>
      <c r="BY102" s="128"/>
      <c r="BZ102" s="128"/>
      <c r="CA102"/>
      <c r="CB102" s="128"/>
      <c r="CC102" s="128"/>
      <c r="CD102"/>
      <c r="CE102" s="128"/>
      <c r="CF102" s="128"/>
    </row>
    <row r="103" spans="1:84" hidden="1">
      <c r="A103" s="557"/>
      <c r="B103" s="558"/>
      <c r="C103" s="559"/>
      <c r="D103" s="86"/>
      <c r="E103" s="86"/>
      <c r="F103" s="86"/>
      <c r="G103" s="87"/>
      <c r="H103" s="87"/>
      <c r="I103" s="87"/>
      <c r="J103" s="86"/>
      <c r="K103" s="86"/>
      <c r="L103" s="86"/>
      <c r="BU103"/>
      <c r="BV103" s="747"/>
      <c r="BW103" s="128"/>
      <c r="BX103"/>
      <c r="BY103" s="128"/>
      <c r="BZ103" s="128"/>
      <c r="CA103"/>
      <c r="CB103" s="128"/>
      <c r="CC103" s="128"/>
      <c r="CD103"/>
      <c r="CE103" s="128"/>
      <c r="CF103" s="128"/>
    </row>
    <row r="104" spans="1:84" hidden="1">
      <c r="A104" s="557"/>
      <c r="B104" s="558"/>
      <c r="C104" s="559"/>
      <c r="D104" s="86"/>
      <c r="E104" s="86"/>
      <c r="F104" s="86"/>
      <c r="G104" s="87"/>
      <c r="H104" s="87"/>
      <c r="I104" s="87"/>
      <c r="J104" s="86"/>
      <c r="K104" s="86"/>
      <c r="L104" s="86"/>
      <c r="BU104"/>
      <c r="BV104" s="747"/>
      <c r="BW104" s="128"/>
      <c r="BX104"/>
      <c r="BY104" s="128"/>
      <c r="BZ104" s="128"/>
      <c r="CA104"/>
      <c r="CB104" s="128"/>
      <c r="CC104" s="128"/>
      <c r="CD104"/>
      <c r="CE104" s="128"/>
      <c r="CF104" s="128"/>
    </row>
    <row r="105" spans="1:84" hidden="1">
      <c r="A105" s="557"/>
      <c r="B105" s="558"/>
      <c r="C105" s="559"/>
      <c r="D105" s="85"/>
      <c r="E105" s="85"/>
      <c r="F105" s="85"/>
      <c r="G105" s="84"/>
      <c r="H105" s="84"/>
      <c r="I105" s="84"/>
      <c r="J105" s="69"/>
      <c r="K105" s="69"/>
      <c r="L105" s="69"/>
      <c r="BU105"/>
      <c r="BV105" s="747"/>
      <c r="BW105" s="128"/>
      <c r="BX105"/>
      <c r="BY105" s="128"/>
      <c r="BZ105" s="128"/>
      <c r="CA105"/>
      <c r="CB105" s="128"/>
      <c r="CC105" s="128"/>
      <c r="CD105"/>
      <c r="CE105" s="128"/>
      <c r="CF105" s="128"/>
    </row>
    <row r="106" spans="1:84" hidden="1">
      <c r="A106" s="557"/>
      <c r="B106" s="558"/>
      <c r="C106" s="559"/>
      <c r="D106" s="69"/>
      <c r="E106" s="69"/>
      <c r="F106" s="69"/>
      <c r="G106" s="69"/>
      <c r="H106" s="69"/>
      <c r="I106" s="69"/>
      <c r="J106" s="69"/>
      <c r="K106" s="69"/>
      <c r="L106" s="69"/>
      <c r="BU106"/>
      <c r="BV106" s="747"/>
      <c r="BW106" s="128"/>
      <c r="BX106"/>
      <c r="BY106" s="128"/>
      <c r="BZ106" s="128"/>
      <c r="CA106"/>
      <c r="CB106" s="128"/>
      <c r="CC106" s="128"/>
      <c r="CD106"/>
      <c r="CE106" s="128"/>
      <c r="CF106" s="128"/>
    </row>
    <row r="107" spans="1:84" hidden="1">
      <c r="A107" s="557"/>
      <c r="B107" s="558"/>
      <c r="C107" s="559"/>
      <c r="D107" s="69"/>
      <c r="E107" s="69"/>
      <c r="F107" s="69"/>
      <c r="G107" s="69"/>
      <c r="H107" s="69"/>
      <c r="I107" s="69"/>
      <c r="J107" s="69"/>
      <c r="K107" s="69"/>
      <c r="L107" s="69"/>
      <c r="BU107"/>
      <c r="BV107" s="747"/>
      <c r="BW107" s="128"/>
      <c r="BX107"/>
      <c r="BY107" s="128"/>
      <c r="BZ107" s="128"/>
      <c r="CA107"/>
      <c r="CB107" s="128"/>
      <c r="CC107" s="128"/>
      <c r="CD107"/>
      <c r="CE107" s="128"/>
      <c r="CF107" s="128"/>
    </row>
    <row r="108" spans="1:84" hidden="1">
      <c r="A108" s="557"/>
      <c r="B108" s="558"/>
      <c r="C108" s="559"/>
      <c r="D108" s="69"/>
      <c r="E108" s="69"/>
      <c r="F108" s="69"/>
      <c r="G108" s="69"/>
      <c r="H108" s="69"/>
      <c r="I108" s="69"/>
      <c r="J108" s="69"/>
      <c r="K108" s="69"/>
      <c r="L108" s="69"/>
      <c r="BU108"/>
      <c r="BV108" s="747"/>
      <c r="BW108" s="128"/>
      <c r="BX108"/>
      <c r="BY108" s="128"/>
      <c r="BZ108" s="128"/>
      <c r="CA108"/>
      <c r="CB108" s="128"/>
      <c r="CC108" s="128"/>
      <c r="CD108"/>
      <c r="CE108" s="128"/>
      <c r="CF108" s="128"/>
    </row>
    <row r="109" spans="1:84" hidden="1">
      <c r="A109" s="557"/>
      <c r="B109" s="558"/>
      <c r="C109" s="559"/>
      <c r="D109" s="69"/>
      <c r="E109" s="69"/>
      <c r="F109" s="69"/>
      <c r="G109" s="69"/>
      <c r="H109" s="69"/>
      <c r="I109" s="69"/>
      <c r="J109" s="69"/>
      <c r="K109" s="69"/>
      <c r="L109" s="69"/>
      <c r="BU109"/>
      <c r="BV109" s="747"/>
      <c r="BW109" s="128"/>
      <c r="BX109"/>
      <c r="BY109" s="128"/>
      <c r="BZ109" s="128"/>
      <c r="CA109"/>
      <c r="CB109" s="128"/>
      <c r="CC109" s="128"/>
      <c r="CD109"/>
      <c r="CE109" s="128"/>
      <c r="CF109" s="128"/>
    </row>
    <row r="110" spans="1:84" hidden="1">
      <c r="A110" s="557"/>
      <c r="B110" s="558"/>
      <c r="C110" s="559"/>
      <c r="D110" s="69"/>
      <c r="E110" s="69"/>
      <c r="F110" s="69"/>
      <c r="G110" s="69"/>
      <c r="H110" s="69"/>
      <c r="I110" s="69"/>
      <c r="J110" s="69"/>
      <c r="K110" s="69"/>
      <c r="L110" s="69"/>
      <c r="BU110"/>
      <c r="BV110" s="747"/>
      <c r="BW110" s="128"/>
      <c r="BX110"/>
      <c r="BY110" s="128"/>
      <c r="BZ110" s="128"/>
      <c r="CA110"/>
      <c r="CB110" s="128"/>
      <c r="CC110" s="128"/>
      <c r="CD110"/>
      <c r="CE110" s="128"/>
      <c r="CF110" s="128"/>
    </row>
    <row r="111" spans="1:84" hidden="1">
      <c r="A111" s="557"/>
      <c r="B111" s="558"/>
      <c r="C111" s="559"/>
      <c r="D111" s="69"/>
      <c r="E111" s="69"/>
      <c r="F111" s="69"/>
      <c r="G111" s="69"/>
      <c r="H111" s="69"/>
      <c r="I111" s="69"/>
      <c r="J111" s="69"/>
      <c r="K111" s="69"/>
      <c r="L111" s="69"/>
      <c r="BU111"/>
      <c r="BV111" s="747"/>
      <c r="BW111" s="128"/>
      <c r="BX111"/>
      <c r="BY111" s="128"/>
      <c r="BZ111" s="128"/>
      <c r="CA111"/>
      <c r="CB111" s="128"/>
      <c r="CC111" s="128"/>
      <c r="CD111"/>
      <c r="CE111" s="128"/>
      <c r="CF111" s="128"/>
    </row>
    <row r="112" spans="1:84" hidden="1">
      <c r="A112" s="557"/>
      <c r="B112" s="558"/>
      <c r="C112" s="559"/>
      <c r="D112" s="69"/>
      <c r="E112" s="69"/>
      <c r="F112" s="69"/>
      <c r="G112" s="69"/>
      <c r="H112" s="69"/>
      <c r="I112" s="69"/>
      <c r="J112" s="69"/>
      <c r="K112" s="69"/>
      <c r="L112" s="69"/>
      <c r="BU112"/>
      <c r="BV112" s="747"/>
      <c r="BW112" s="128"/>
      <c r="BX112"/>
      <c r="BY112" s="128"/>
      <c r="BZ112" s="128"/>
      <c r="CA112"/>
      <c r="CB112" s="128"/>
      <c r="CC112" s="128"/>
      <c r="CD112"/>
      <c r="CE112" s="128"/>
      <c r="CF112" s="128"/>
    </row>
    <row r="113" spans="1:84" hidden="1">
      <c r="A113" s="557"/>
      <c r="B113" s="558"/>
      <c r="C113" s="559"/>
      <c r="D113" s="69"/>
      <c r="E113" s="69"/>
      <c r="F113" s="69"/>
      <c r="G113" s="69"/>
      <c r="H113" s="69"/>
      <c r="I113" s="69"/>
      <c r="J113" s="69"/>
      <c r="K113" s="69"/>
      <c r="L113" s="69"/>
      <c r="BU113"/>
      <c r="BV113" s="747"/>
      <c r="BW113" s="128"/>
      <c r="BX113"/>
      <c r="BY113" s="128"/>
      <c r="BZ113" s="128"/>
      <c r="CA113"/>
      <c r="CB113" s="128"/>
      <c r="CC113" s="128"/>
      <c r="CD113"/>
      <c r="CE113" s="128"/>
      <c r="CF113" s="128"/>
    </row>
    <row r="114" spans="1:84" hidden="1">
      <c r="A114" s="557"/>
      <c r="B114" s="558"/>
      <c r="C114" s="559"/>
      <c r="D114" s="69"/>
      <c r="E114" s="69"/>
      <c r="F114" s="69"/>
      <c r="G114" s="69"/>
      <c r="H114" s="69"/>
      <c r="I114" s="69"/>
      <c r="J114" s="69"/>
      <c r="K114" s="69"/>
      <c r="L114" s="69"/>
      <c r="BU114"/>
      <c r="BV114" s="747"/>
      <c r="BW114" s="128"/>
      <c r="BX114"/>
      <c r="BY114" s="128"/>
      <c r="BZ114" s="128"/>
      <c r="CA114"/>
      <c r="CB114" s="128"/>
      <c r="CC114" s="128"/>
      <c r="CD114"/>
      <c r="CE114" s="128"/>
      <c r="CF114" s="128"/>
    </row>
    <row r="115" spans="1:84" hidden="1">
      <c r="A115" s="560"/>
      <c r="B115" s="561"/>
      <c r="C115" s="562"/>
      <c r="D115" s="69"/>
      <c r="E115" s="69"/>
      <c r="F115" s="69"/>
      <c r="G115" s="69"/>
      <c r="H115" s="69"/>
      <c r="I115" s="69"/>
      <c r="J115" s="69"/>
      <c r="K115" s="69"/>
      <c r="L115" s="69"/>
      <c r="BU115"/>
      <c r="BV115" s="747"/>
      <c r="BW115" s="128"/>
      <c r="BX115"/>
      <c r="BY115" s="128"/>
      <c r="BZ115" s="128"/>
      <c r="CA115"/>
      <c r="CB115" s="128"/>
      <c r="CC115" s="128"/>
      <c r="CD115"/>
      <c r="CE115" s="128"/>
      <c r="CF115" s="128"/>
    </row>
    <row r="116" spans="1:84" hidden="1">
      <c r="A116"/>
      <c r="B116"/>
      <c r="C116"/>
      <c r="D116" s="69"/>
      <c r="E116" s="69"/>
      <c r="F116" s="69"/>
      <c r="G116" s="69"/>
      <c r="H116" s="69"/>
      <c r="I116" s="69"/>
      <c r="J116" s="69"/>
      <c r="K116" s="69"/>
      <c r="L116" s="69"/>
      <c r="BU116"/>
      <c r="BV116" s="747"/>
      <c r="BW116" s="128"/>
      <c r="BX116"/>
      <c r="BY116" s="128"/>
      <c r="BZ116" s="128"/>
      <c r="CA116"/>
      <c r="CB116" s="128"/>
      <c r="CC116" s="128"/>
      <c r="CD116"/>
      <c r="CE116" s="128"/>
      <c r="CF116" s="128"/>
    </row>
    <row r="117" spans="1:84" hidden="1">
      <c r="A117"/>
      <c r="B117"/>
      <c r="C117"/>
      <c r="D117" s="69"/>
      <c r="E117" s="69"/>
      <c r="F117" s="69"/>
      <c r="G117" s="69"/>
      <c r="H117" s="69"/>
      <c r="I117" s="69"/>
      <c r="J117" s="69"/>
      <c r="K117" s="69"/>
      <c r="L117" s="69"/>
      <c r="BU117"/>
      <c r="BV117" s="747"/>
      <c r="BW117" s="128"/>
      <c r="BX117"/>
      <c r="BY117" s="128"/>
      <c r="BZ117" s="128"/>
      <c r="CA117"/>
      <c r="CB117" s="128"/>
      <c r="CC117" s="128"/>
      <c r="CD117"/>
      <c r="CE117" s="128"/>
      <c r="CF117" s="128"/>
    </row>
    <row r="118" spans="1:84" hidden="1">
      <c r="A118"/>
      <c r="B118"/>
      <c r="C118"/>
      <c r="D118" s="69"/>
      <c r="E118" s="69"/>
      <c r="F118" s="69"/>
      <c r="G118" s="69"/>
      <c r="H118" s="69"/>
      <c r="I118" s="69"/>
      <c r="J118" s="69"/>
      <c r="K118" s="69"/>
      <c r="L118" s="69"/>
    </row>
    <row r="119" spans="1:84" hidden="1">
      <c r="A119"/>
      <c r="B119"/>
      <c r="C119"/>
      <c r="D119" s="69"/>
      <c r="E119" s="69"/>
      <c r="F119" s="69"/>
      <c r="G119" s="69"/>
      <c r="H119" s="69"/>
      <c r="I119" s="69"/>
      <c r="J119" s="69"/>
      <c r="K119" s="69"/>
      <c r="L119" s="69"/>
    </row>
    <row r="120" spans="1:84" hidden="1">
      <c r="A120"/>
      <c r="B120"/>
      <c r="C120"/>
      <c r="D120" s="69"/>
      <c r="E120" s="69"/>
      <c r="F120" s="69"/>
      <c r="G120" s="69"/>
      <c r="H120" s="69"/>
      <c r="I120" s="69"/>
      <c r="J120" s="69"/>
      <c r="K120" s="69"/>
      <c r="L120" s="69"/>
    </row>
    <row r="121" spans="1:84" hidden="1">
      <c r="A121"/>
      <c r="B121"/>
      <c r="C121"/>
    </row>
    <row r="122" spans="1:84" hidden="1">
      <c r="A122"/>
      <c r="B122"/>
      <c r="C122"/>
    </row>
    <row r="123" spans="1:84" hidden="1">
      <c r="A123"/>
      <c r="B123"/>
      <c r="C123"/>
    </row>
    <row r="124" spans="1:84" hidden="1">
      <c r="A124"/>
      <c r="B124"/>
      <c r="C124"/>
    </row>
    <row r="125" spans="1:84" hidden="1">
      <c r="A125"/>
      <c r="B125"/>
      <c r="C125"/>
    </row>
    <row r="126" spans="1:84" hidden="1">
      <c r="A126"/>
      <c r="B126"/>
      <c r="C126"/>
    </row>
    <row r="127" spans="1:84" hidden="1">
      <c r="A127"/>
      <c r="B127"/>
      <c r="C127"/>
    </row>
    <row r="128" spans="1:84" hidden="1"/>
    <row r="129" spans="1:3" hidden="1">
      <c r="A129" s="554"/>
      <c r="B129" s="555"/>
      <c r="C129" s="556"/>
    </row>
    <row r="130" spans="1:3" hidden="1">
      <c r="A130" s="557"/>
      <c r="B130" s="558"/>
      <c r="C130" s="559"/>
    </row>
    <row r="131" spans="1:3" hidden="1">
      <c r="A131" s="557"/>
      <c r="B131" s="558"/>
      <c r="C131" s="559"/>
    </row>
    <row r="132" spans="1:3" hidden="1">
      <c r="A132" s="557"/>
      <c r="B132" s="558"/>
      <c r="C132" s="559"/>
    </row>
    <row r="133" spans="1:3" hidden="1">
      <c r="A133" s="557"/>
      <c r="B133" s="558"/>
      <c r="C133" s="559"/>
    </row>
    <row r="134" spans="1:3" hidden="1">
      <c r="A134" s="557"/>
      <c r="B134" s="558"/>
      <c r="C134" s="559"/>
    </row>
    <row r="135" spans="1:3" hidden="1">
      <c r="A135" s="557"/>
      <c r="B135" s="558"/>
      <c r="C135" s="559"/>
    </row>
    <row r="136" spans="1:3" hidden="1">
      <c r="A136" s="557"/>
      <c r="B136" s="558"/>
      <c r="C136" s="559"/>
    </row>
    <row r="137" spans="1:3" hidden="1">
      <c r="A137" s="557"/>
      <c r="B137" s="558"/>
      <c r="C137" s="559"/>
    </row>
    <row r="138" spans="1:3" hidden="1">
      <c r="A138" s="557"/>
      <c r="B138" s="558"/>
      <c r="C138" s="559"/>
    </row>
    <row r="139" spans="1:3" hidden="1">
      <c r="A139" s="557"/>
      <c r="B139" s="558"/>
      <c r="C139" s="559"/>
    </row>
    <row r="140" spans="1:3" hidden="1">
      <c r="A140" s="557"/>
      <c r="B140" s="558"/>
      <c r="C140" s="559"/>
    </row>
    <row r="141" spans="1:3" hidden="1">
      <c r="A141" s="557"/>
      <c r="B141" s="558"/>
      <c r="C141" s="559"/>
    </row>
    <row r="142" spans="1:3" hidden="1">
      <c r="A142" s="557"/>
      <c r="B142" s="558"/>
      <c r="C142" s="559"/>
    </row>
    <row r="143" spans="1:3" hidden="1">
      <c r="A143" s="557"/>
      <c r="B143" s="558"/>
      <c r="C143" s="559"/>
    </row>
    <row r="144" spans="1:3" hidden="1">
      <c r="A144" s="557"/>
      <c r="B144" s="558"/>
      <c r="C144" s="559"/>
    </row>
    <row r="145" spans="1:3" hidden="1">
      <c r="A145" s="557"/>
      <c r="B145" s="558"/>
      <c r="C145" s="559"/>
    </row>
    <row r="146" spans="1:3" hidden="1">
      <c r="A146" s="560"/>
      <c r="B146" s="561"/>
      <c r="C146" s="562"/>
    </row>
    <row r="147" spans="1:3">
      <c r="A147"/>
    </row>
    <row r="148" spans="1:3">
      <c r="A148" s="106" t="s">
        <v>256</v>
      </c>
      <c r="B148" s="790" t="s">
        <v>610</v>
      </c>
      <c r="C148" s="790" t="s">
        <v>617</v>
      </c>
    </row>
    <row r="149" spans="1:3">
      <c r="A149" s="322" t="s">
        <v>83</v>
      </c>
      <c r="B149" s="745">
        <v>13599</v>
      </c>
      <c r="C149" s="745">
        <v>7605</v>
      </c>
    </row>
    <row r="150" spans="1:3">
      <c r="A150" s="322" t="s">
        <v>85</v>
      </c>
      <c r="B150" s="745">
        <v>25310</v>
      </c>
      <c r="C150" s="745">
        <v>6178</v>
      </c>
    </row>
    <row r="151" spans="1:3">
      <c r="A151" s="322" t="s">
        <v>88</v>
      </c>
      <c r="B151" s="745">
        <v>16284</v>
      </c>
      <c r="C151" s="745">
        <v>4338</v>
      </c>
    </row>
    <row r="152" spans="1:3">
      <c r="A152" s="322" t="s">
        <v>87</v>
      </c>
      <c r="B152" s="745">
        <v>25520</v>
      </c>
      <c r="C152" s="745">
        <v>4349</v>
      </c>
    </row>
    <row r="153" spans="1:3">
      <c r="A153" s="322" t="s">
        <v>257</v>
      </c>
      <c r="B153" s="745">
        <v>80713</v>
      </c>
      <c r="C153" s="745">
        <v>22470</v>
      </c>
    </row>
    <row r="154" spans="1:3">
      <c r="A154"/>
      <c r="B154"/>
      <c r="C154"/>
    </row>
    <row r="155" spans="1:3">
      <c r="A155"/>
      <c r="B155"/>
      <c r="C155"/>
    </row>
    <row r="156" spans="1:3">
      <c r="A156"/>
      <c r="B156"/>
      <c r="C156"/>
    </row>
    <row r="157" spans="1:3">
      <c r="A157"/>
      <c r="B157"/>
      <c r="C157"/>
    </row>
    <row r="158" spans="1:3">
      <c r="A158"/>
      <c r="B158"/>
      <c r="C158"/>
    </row>
    <row r="159" spans="1:3">
      <c r="A159"/>
      <c r="B159"/>
      <c r="C159"/>
    </row>
    <row r="160" spans="1:3">
      <c r="A160"/>
      <c r="B160"/>
      <c r="C160"/>
    </row>
    <row r="161" spans="1:3">
      <c r="A161"/>
      <c r="B161"/>
      <c r="C161"/>
    </row>
    <row r="162" spans="1:3">
      <c r="A162"/>
      <c r="B162"/>
      <c r="C162"/>
    </row>
    <row r="163" spans="1:3">
      <c r="A163"/>
      <c r="B163"/>
      <c r="C163"/>
    </row>
    <row r="164" spans="1:3">
      <c r="A164"/>
      <c r="B164"/>
      <c r="C164"/>
    </row>
    <row r="165" spans="1:3">
      <c r="A165"/>
      <c r="B165"/>
      <c r="C165"/>
    </row>
    <row r="166" spans="1:3">
      <c r="A166"/>
      <c r="B166"/>
      <c r="C166"/>
    </row>
    <row r="167" spans="1:3">
      <c r="A167"/>
      <c r="B167"/>
      <c r="C167"/>
    </row>
    <row r="168" spans="1:3">
      <c r="A168"/>
      <c r="B168"/>
      <c r="C168"/>
    </row>
    <row r="169" spans="1:3">
      <c r="A169"/>
      <c r="B169"/>
      <c r="C169"/>
    </row>
    <row r="170" spans="1:3">
      <c r="A170"/>
      <c r="B170"/>
      <c r="C170"/>
    </row>
    <row r="171" spans="1:3">
      <c r="A171"/>
      <c r="B171"/>
      <c r="C171"/>
    </row>
    <row r="172" spans="1:3">
      <c r="A172"/>
      <c r="B172"/>
      <c r="C172"/>
    </row>
    <row r="173" spans="1:3">
      <c r="A173"/>
      <c r="B173"/>
      <c r="C173"/>
    </row>
    <row r="174" spans="1:3">
      <c r="A174"/>
      <c r="B174"/>
      <c r="C174"/>
    </row>
    <row r="175" spans="1:3">
      <c r="A175"/>
      <c r="B175"/>
      <c r="C175"/>
    </row>
    <row r="176" spans="1:3">
      <c r="A176"/>
      <c r="B176"/>
      <c r="C176"/>
    </row>
    <row r="177" spans="1:3">
      <c r="A177"/>
      <c r="B177"/>
      <c r="C177"/>
    </row>
  </sheetData>
  <mergeCells count="23">
    <mergeCell ref="BU53:BV53"/>
    <mergeCell ref="BW53:BX53"/>
    <mergeCell ref="AT1:AV2"/>
    <mergeCell ref="AD2:AG2"/>
    <mergeCell ref="AN2:AQ2"/>
    <mergeCell ref="AW1:BQ1"/>
    <mergeCell ref="AW2:AY2"/>
    <mergeCell ref="BC2:BE2"/>
    <mergeCell ref="BI2:BK2"/>
    <mergeCell ref="BL2:BN2"/>
    <mergeCell ref="AZ2:BB2"/>
    <mergeCell ref="BF2:BH2"/>
    <mergeCell ref="D2:I2"/>
    <mergeCell ref="D1:U1"/>
    <mergeCell ref="P2:R2"/>
    <mergeCell ref="S2:U2"/>
    <mergeCell ref="AR1:AS2"/>
    <mergeCell ref="J2:O2"/>
    <mergeCell ref="Z2:AC2"/>
    <mergeCell ref="V2:Y2"/>
    <mergeCell ref="V1:AG1"/>
    <mergeCell ref="AH2:AM2"/>
    <mergeCell ref="AH1:AQ1"/>
  </mergeCells>
  <phoneticPr fontId="68" type="noConversion"/>
  <conditionalFormatting sqref="Y4:Y31">
    <cfRule type="cellIs" dxfId="7" priority="13" operator="lessThan">
      <formula>0.969999999999</formula>
    </cfRule>
    <cfRule type="cellIs" dxfId="6" priority="14" operator="between">
      <formula>0.97</formula>
      <formula>0.999999999998</formula>
    </cfRule>
    <cfRule type="cellIs" dxfId="5" priority="15" operator="greaterThan">
      <formula>0.999999999999</formula>
    </cfRule>
  </conditionalFormatting>
  <conditionalFormatting sqref="AC4:AC31">
    <cfRule type="cellIs" dxfId="4" priority="8" operator="greaterThan">
      <formula>0.999</formula>
    </cfRule>
    <cfRule type="cellIs" dxfId="3" priority="9" operator="lessThan">
      <formula>0.95</formula>
    </cfRule>
  </conditionalFormatting>
  <conditionalFormatting sqref="AV4:AV31">
    <cfRule type="cellIs" dxfId="2" priority="2" operator="lessThan">
      <formula>0.8</formula>
    </cfRule>
    <cfRule type="cellIs" dxfId="1" priority="3" operator="greaterThan">
      <formula>0.8</formula>
    </cfRule>
  </conditionalFormatting>
  <conditionalFormatting sqref="BV32:CN32 CT32:EJ32 CP32:CR32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7"/>
  <drawing r:id="rId8"/>
  <tableParts count="1">
    <tablePart r:id="rId9"/>
  </tableParts>
  <extLst>
    <ext xmlns:x14="http://schemas.microsoft.com/office/spreadsheetml/2009/9/main" uri="{A8765BA9-456A-4dab-B4F3-ACF838C121DE}">
      <x14:slicerList>
        <x14:slicer r:id="rId10"/>
      </x14:slicerList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>
    <pageSetUpPr fitToPage="1"/>
  </sheetPr>
  <dimension ref="A1:XFC37"/>
  <sheetViews>
    <sheetView showGridLines="0" showRowColHeaders="0" tabSelected="1" zoomScale="96" zoomScaleNormal="96" workbookViewId="0">
      <selection sqref="A1:AC1"/>
    </sheetView>
  </sheetViews>
  <sheetFormatPr defaultColWidth="0" defaultRowHeight="0" customHeight="1" zeroHeight="1"/>
  <cols>
    <col min="1" max="27" width="9.140625" style="145" customWidth="1"/>
    <col min="28" max="28" width="9" style="145" customWidth="1"/>
    <col min="29" max="29" width="20.140625" style="145" customWidth="1"/>
    <col min="30" max="16383" width="9.140625" style="145" hidden="1"/>
    <col min="16384" max="16384" width="4.42578125" style="145" hidden="1" customWidth="1"/>
  </cols>
  <sheetData>
    <row r="1" spans="1:29" ht="60" customHeight="1">
      <c r="A1" s="1034" t="s">
        <v>377</v>
      </c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4">
    <pageSetUpPr fitToPage="1"/>
  </sheetPr>
  <dimension ref="A1:XFC37"/>
  <sheetViews>
    <sheetView showGridLines="0" showRowColHeaders="0" view="pageBreakPreview" zoomScale="96" zoomScaleNormal="85" zoomScaleSheetLayoutView="96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6"/>
      <c r="B1" s="1036"/>
      <c r="C1" s="1036"/>
      <c r="D1" s="1036"/>
      <c r="E1" s="1036"/>
      <c r="F1" s="1036"/>
      <c r="G1" s="1036"/>
      <c r="H1" s="1036"/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6"/>
      <c r="T1" s="1036"/>
      <c r="U1" s="1036"/>
      <c r="V1" s="1036"/>
      <c r="W1" s="1036"/>
      <c r="X1" s="1036"/>
      <c r="Y1" s="1036"/>
      <c r="Z1" s="1036"/>
      <c r="AA1" s="1036"/>
      <c r="AB1" s="1036"/>
      <c r="AC1" s="1036"/>
    </row>
    <row r="2" spans="1:29" ht="15">
      <c r="A2" s="1036"/>
      <c r="B2" s="1036"/>
      <c r="C2" s="1036"/>
      <c r="D2" s="1036"/>
      <c r="E2" s="1036"/>
      <c r="F2" s="1036"/>
      <c r="G2" s="1036"/>
      <c r="H2" s="1036"/>
      <c r="I2" s="1036"/>
      <c r="J2" s="1036"/>
      <c r="K2" s="1036"/>
      <c r="L2" s="1036"/>
      <c r="M2" s="1036"/>
      <c r="N2" s="1036"/>
      <c r="O2" s="1036"/>
      <c r="P2" s="1036"/>
      <c r="Q2" s="1036"/>
      <c r="R2" s="1036"/>
      <c r="S2" s="1036"/>
      <c r="T2" s="1036"/>
      <c r="U2" s="1036"/>
      <c r="V2" s="1036"/>
      <c r="W2" s="1036"/>
      <c r="X2" s="1036"/>
      <c r="Y2" s="1036"/>
      <c r="Z2" s="1036"/>
      <c r="AA2" s="1036"/>
      <c r="AB2" s="1036"/>
      <c r="AC2" s="1036"/>
    </row>
    <row r="3" spans="1:29" ht="15">
      <c r="A3" s="1036"/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  <c r="M3" s="1036"/>
      <c r="N3" s="1036"/>
      <c r="O3" s="1036"/>
      <c r="P3" s="1036"/>
      <c r="Q3" s="1036"/>
      <c r="R3" s="1036"/>
      <c r="S3" s="1036"/>
      <c r="T3" s="1036"/>
      <c r="U3" s="1036"/>
      <c r="V3" s="1036"/>
      <c r="W3" s="1036"/>
      <c r="X3" s="1036"/>
      <c r="Y3" s="1036"/>
      <c r="Z3" s="1036"/>
      <c r="AA3" s="1036"/>
      <c r="AB3" s="1036"/>
      <c r="AC3" s="1036"/>
    </row>
    <row r="4" spans="1:29" ht="15">
      <c r="A4" s="1036"/>
      <c r="B4" s="1036"/>
      <c r="C4" s="1036"/>
      <c r="D4" s="1036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</row>
    <row r="5" spans="1:29" ht="15">
      <c r="A5" s="1036"/>
      <c r="B5" s="1036"/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36"/>
      <c r="O5" s="1036"/>
      <c r="P5" s="1036"/>
      <c r="Q5" s="1036"/>
      <c r="R5" s="1036"/>
      <c r="S5" s="1036"/>
      <c r="T5" s="1036"/>
      <c r="U5" s="1036"/>
      <c r="V5" s="1036"/>
      <c r="W5" s="1036"/>
      <c r="X5" s="1036"/>
      <c r="Y5" s="1036"/>
      <c r="Z5" s="1036"/>
      <c r="AA5" s="1036"/>
      <c r="AB5" s="1036"/>
      <c r="AC5" s="1036"/>
    </row>
    <row r="6" spans="1:29" ht="15">
      <c r="A6" s="1036"/>
      <c r="B6" s="1036"/>
      <c r="C6" s="1036"/>
      <c r="D6" s="1036"/>
      <c r="E6" s="1036"/>
      <c r="F6" s="1036"/>
      <c r="G6" s="1036"/>
      <c r="H6" s="1036"/>
      <c r="I6" s="1036"/>
      <c r="J6" s="1036"/>
      <c r="K6" s="1036"/>
      <c r="L6" s="1036"/>
      <c r="M6" s="1036"/>
      <c r="N6" s="1036"/>
      <c r="O6" s="1036"/>
      <c r="P6" s="1036"/>
      <c r="Q6" s="1036"/>
      <c r="R6" s="1036"/>
      <c r="S6" s="1036"/>
      <c r="T6" s="1036"/>
      <c r="U6" s="1036"/>
      <c r="V6" s="1036"/>
      <c r="W6" s="1036"/>
      <c r="X6" s="1036"/>
      <c r="Y6" s="1036"/>
      <c r="Z6" s="1036"/>
      <c r="AA6" s="1036"/>
      <c r="AB6" s="1036"/>
      <c r="AC6" s="1036"/>
    </row>
    <row r="7" spans="1:29" ht="15">
      <c r="A7" s="1036"/>
      <c r="B7" s="1036"/>
      <c r="C7" s="1036"/>
      <c r="D7" s="1036"/>
      <c r="E7" s="1036"/>
      <c r="F7" s="1036"/>
      <c r="G7" s="1036"/>
      <c r="H7" s="1036"/>
      <c r="I7" s="1036"/>
      <c r="J7" s="1036"/>
      <c r="K7" s="1036"/>
      <c r="L7" s="1036"/>
      <c r="M7" s="1036"/>
      <c r="N7" s="1036"/>
      <c r="O7" s="1036"/>
      <c r="P7" s="1036"/>
      <c r="Q7" s="1036"/>
      <c r="R7" s="1036"/>
      <c r="S7" s="1036"/>
      <c r="T7" s="1036"/>
      <c r="U7" s="1036"/>
      <c r="V7" s="1036"/>
      <c r="W7" s="1036"/>
      <c r="X7" s="1036"/>
      <c r="Y7" s="1036"/>
      <c r="Z7" s="1036"/>
      <c r="AA7" s="1036"/>
      <c r="AB7" s="1036"/>
      <c r="AC7" s="1036"/>
    </row>
    <row r="8" spans="1:29" ht="15">
      <c r="A8" s="1036"/>
      <c r="B8" s="1036"/>
      <c r="C8" s="1036"/>
      <c r="D8" s="1036"/>
      <c r="E8" s="1036"/>
      <c r="F8" s="1036"/>
      <c r="G8" s="1036"/>
      <c r="H8" s="1036"/>
      <c r="I8" s="1036"/>
      <c r="J8" s="1036"/>
      <c r="K8" s="1036"/>
      <c r="L8" s="1036"/>
      <c r="M8" s="1036"/>
      <c r="N8" s="1036"/>
      <c r="O8" s="1036"/>
      <c r="P8" s="1036"/>
      <c r="Q8" s="1036"/>
      <c r="R8" s="1036"/>
      <c r="S8" s="1036"/>
      <c r="T8" s="1036"/>
      <c r="U8" s="1036"/>
      <c r="V8" s="1036"/>
      <c r="W8" s="1036"/>
      <c r="X8" s="1036"/>
      <c r="Y8" s="1036"/>
      <c r="Z8" s="1036"/>
      <c r="AA8" s="1036"/>
      <c r="AB8" s="1036"/>
      <c r="AC8" s="1036"/>
    </row>
    <row r="9" spans="1:29" ht="15">
      <c r="A9" s="1036"/>
      <c r="B9" s="1036"/>
      <c r="C9" s="1036"/>
      <c r="D9" s="1036"/>
      <c r="E9" s="1036"/>
      <c r="F9" s="1036"/>
      <c r="G9" s="1036"/>
      <c r="H9" s="1036"/>
      <c r="I9" s="1036"/>
      <c r="J9" s="1036"/>
      <c r="K9" s="1036"/>
      <c r="L9" s="1036"/>
      <c r="M9" s="1036"/>
      <c r="N9" s="1036"/>
      <c r="O9" s="1036"/>
      <c r="P9" s="1036"/>
      <c r="Q9" s="1036"/>
      <c r="R9" s="1036"/>
      <c r="S9" s="1036"/>
      <c r="T9" s="1036"/>
      <c r="U9" s="1036"/>
      <c r="V9" s="1036"/>
      <c r="W9" s="1036"/>
      <c r="X9" s="1036"/>
      <c r="Y9" s="1036"/>
      <c r="Z9" s="1036"/>
      <c r="AA9" s="1036"/>
      <c r="AB9" s="1036"/>
      <c r="AC9" s="1036"/>
    </row>
    <row r="10" spans="1:29" ht="15">
      <c r="A10" s="1036"/>
      <c r="B10" s="1036"/>
      <c r="C10" s="1036"/>
      <c r="D10" s="1036"/>
      <c r="E10" s="1036"/>
      <c r="F10" s="1036"/>
      <c r="G10" s="1036"/>
      <c r="H10" s="1036"/>
      <c r="I10" s="1036"/>
      <c r="J10" s="1036"/>
      <c r="K10" s="1036"/>
      <c r="L10" s="1036"/>
      <c r="M10" s="1036"/>
      <c r="N10" s="1036"/>
      <c r="O10" s="1036"/>
      <c r="P10" s="1036"/>
      <c r="Q10" s="1036"/>
      <c r="R10" s="1036"/>
      <c r="S10" s="1036"/>
      <c r="T10" s="1036"/>
      <c r="U10" s="1036"/>
      <c r="V10" s="1036"/>
      <c r="W10" s="1036"/>
      <c r="X10" s="1036"/>
      <c r="Y10" s="1036"/>
      <c r="Z10" s="1036"/>
      <c r="AA10" s="1036"/>
      <c r="AB10" s="1036"/>
      <c r="AC10" s="1036"/>
    </row>
    <row r="11" spans="1:29" ht="15">
      <c r="A11" s="1036"/>
      <c r="B11" s="1036"/>
      <c r="C11" s="1036"/>
      <c r="D11" s="1036"/>
      <c r="E11" s="1036"/>
      <c r="F11" s="1036"/>
      <c r="G11" s="1036"/>
      <c r="H11" s="1036"/>
      <c r="I11" s="1036"/>
      <c r="J11" s="1036"/>
      <c r="K11" s="1036"/>
      <c r="L11" s="1036"/>
      <c r="M11" s="1036"/>
      <c r="N11" s="1036"/>
      <c r="O11" s="1036"/>
      <c r="P11" s="1036"/>
      <c r="Q11" s="1036"/>
      <c r="R11" s="1036"/>
      <c r="S11" s="1036"/>
      <c r="T11" s="1036"/>
      <c r="U11" s="1036"/>
      <c r="V11" s="1036"/>
      <c r="W11" s="1036"/>
      <c r="X11" s="1036"/>
      <c r="Y11" s="1036"/>
      <c r="Z11" s="1036"/>
      <c r="AA11" s="1036"/>
      <c r="AB11" s="1036"/>
      <c r="AC11" s="1036"/>
    </row>
    <row r="12" spans="1:29" ht="15">
      <c r="A12" s="1036"/>
      <c r="B12" s="1036"/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</row>
    <row r="13" spans="1:29" ht="15">
      <c r="A13" s="1036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</row>
    <row r="14" spans="1:29" ht="15">
      <c r="A14" s="1036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</row>
    <row r="15" spans="1:29" ht="15">
      <c r="A15" s="1036"/>
      <c r="B15" s="1036"/>
      <c r="C15" s="1036"/>
      <c r="D15" s="1036"/>
      <c r="E15" s="1036"/>
      <c r="F15" s="1036"/>
      <c r="G15" s="1036"/>
      <c r="H15" s="1036"/>
      <c r="I15" s="1036"/>
      <c r="J15" s="1036"/>
      <c r="K15" s="1036"/>
      <c r="L15" s="1036"/>
      <c r="M15" s="1036"/>
      <c r="N15" s="1036"/>
      <c r="O15" s="1036"/>
      <c r="P15" s="1036"/>
      <c r="Q15" s="1036"/>
      <c r="R15" s="1036"/>
      <c r="S15" s="1036"/>
      <c r="T15" s="1036"/>
      <c r="U15" s="1036"/>
      <c r="V15" s="1036"/>
      <c r="W15" s="1036"/>
      <c r="X15" s="1036"/>
      <c r="Y15" s="1036"/>
      <c r="Z15" s="1036"/>
      <c r="AA15" s="1036"/>
      <c r="AB15" s="1036"/>
      <c r="AC15" s="1036"/>
    </row>
    <row r="16" spans="1:29" ht="15">
      <c r="A16" s="1036"/>
      <c r="B16" s="1036"/>
      <c r="C16" s="1036"/>
      <c r="D16" s="1036"/>
      <c r="E16" s="1036"/>
      <c r="F16" s="1036"/>
      <c r="G16" s="1036"/>
      <c r="H16" s="1036"/>
      <c r="I16" s="1036"/>
      <c r="J16" s="1036"/>
      <c r="K16" s="1036"/>
      <c r="L16" s="1036"/>
      <c r="M16" s="1036"/>
      <c r="N16" s="1036"/>
      <c r="O16" s="1036"/>
      <c r="P16" s="1036"/>
      <c r="Q16" s="1036"/>
      <c r="R16" s="1036"/>
      <c r="S16" s="1036"/>
      <c r="T16" s="1036"/>
      <c r="U16" s="1036"/>
      <c r="V16" s="1036"/>
      <c r="W16" s="1036"/>
      <c r="X16" s="1036"/>
      <c r="Y16" s="1036"/>
      <c r="Z16" s="1036"/>
      <c r="AA16" s="1036"/>
      <c r="AB16" s="1036"/>
      <c r="AC16" s="1036"/>
    </row>
    <row r="17" spans="1:29" ht="15">
      <c r="A17" s="1036"/>
      <c r="B17" s="1036"/>
      <c r="C17" s="1036"/>
      <c r="D17" s="1036"/>
      <c r="E17" s="1036"/>
      <c r="F17" s="1036"/>
      <c r="G17" s="1036"/>
      <c r="H17" s="1036"/>
      <c r="I17" s="1036"/>
      <c r="J17" s="1036"/>
      <c r="K17" s="1036"/>
      <c r="L17" s="1036"/>
      <c r="M17" s="1036"/>
      <c r="N17" s="1036"/>
      <c r="O17" s="1036"/>
      <c r="P17" s="1036"/>
      <c r="Q17" s="1036"/>
      <c r="R17" s="1036"/>
      <c r="S17" s="1036"/>
      <c r="T17" s="1036"/>
      <c r="U17" s="1036"/>
      <c r="V17" s="1036"/>
      <c r="W17" s="1036"/>
      <c r="X17" s="1036"/>
      <c r="Y17" s="1036"/>
      <c r="Z17" s="1036"/>
      <c r="AA17" s="1036"/>
      <c r="AB17" s="1036"/>
      <c r="AC17" s="1036"/>
    </row>
    <row r="18" spans="1:29" ht="15.75" customHeight="1">
      <c r="A18" s="1036"/>
      <c r="B18" s="1036"/>
      <c r="C18" s="1036"/>
      <c r="D18" s="1036"/>
      <c r="E18" s="1036"/>
      <c r="F18" s="1036"/>
      <c r="G18" s="1036"/>
      <c r="H18" s="1036"/>
      <c r="I18" s="1036"/>
      <c r="J18" s="1036"/>
      <c r="K18" s="1036"/>
      <c r="L18" s="1036"/>
      <c r="M18" s="1036"/>
      <c r="N18" s="1036"/>
      <c r="O18" s="1036"/>
      <c r="P18" s="1036"/>
      <c r="Q18" s="1036"/>
      <c r="R18" s="1036"/>
      <c r="S18" s="1036"/>
      <c r="T18" s="1036"/>
      <c r="U18" s="1036"/>
      <c r="V18" s="1036"/>
      <c r="W18" s="1036"/>
      <c r="X18" s="1036"/>
      <c r="Y18" s="1036"/>
      <c r="Z18" s="1036"/>
      <c r="AA18" s="1036"/>
      <c r="AB18" s="1036"/>
      <c r="AC18" s="1036"/>
    </row>
    <row r="19" spans="1:29" ht="15">
      <c r="A19" s="1036"/>
      <c r="B19" s="1036"/>
      <c r="C19" s="1036"/>
      <c r="D19" s="1036"/>
      <c r="E19" s="1036"/>
      <c r="F19" s="1036"/>
      <c r="G19" s="1036"/>
      <c r="H19" s="1036"/>
      <c r="I19" s="1036"/>
      <c r="J19" s="1036"/>
      <c r="K19" s="1036"/>
      <c r="L19" s="1036"/>
      <c r="M19" s="1036"/>
      <c r="N19" s="1036"/>
      <c r="O19" s="1036"/>
      <c r="P19" s="1036"/>
      <c r="Q19" s="1036"/>
      <c r="R19" s="1036"/>
      <c r="S19" s="1036"/>
      <c r="T19" s="1036"/>
      <c r="U19" s="1036"/>
      <c r="V19" s="1036"/>
      <c r="W19" s="1036"/>
      <c r="X19" s="1036"/>
      <c r="Y19" s="1036"/>
      <c r="Z19" s="1036"/>
      <c r="AA19" s="1036"/>
      <c r="AB19" s="1036"/>
      <c r="AC19" s="1036"/>
    </row>
    <row r="20" spans="1:29" ht="15">
      <c r="A20" s="1036"/>
      <c r="B20" s="1036"/>
      <c r="C20" s="1036"/>
      <c r="D20" s="1036"/>
      <c r="E20" s="1036"/>
      <c r="F20" s="1036"/>
      <c r="G20" s="1036"/>
      <c r="H20" s="1036"/>
      <c r="I20" s="1036"/>
      <c r="J20" s="1036"/>
      <c r="K20" s="1036"/>
      <c r="L20" s="1036"/>
      <c r="M20" s="1036"/>
      <c r="N20" s="1036"/>
      <c r="O20" s="1036"/>
      <c r="P20" s="1036"/>
      <c r="Q20" s="1036"/>
      <c r="R20" s="1036"/>
      <c r="S20" s="1036"/>
      <c r="T20" s="1036"/>
      <c r="U20" s="1036"/>
      <c r="V20" s="1036"/>
      <c r="W20" s="1036"/>
      <c r="X20" s="1036"/>
      <c r="Y20" s="1036"/>
      <c r="Z20" s="1036"/>
      <c r="AA20" s="1036"/>
      <c r="AB20" s="1036"/>
      <c r="AC20" s="1036"/>
    </row>
    <row r="21" spans="1:29" ht="15">
      <c r="A21" s="1036"/>
      <c r="B21" s="1036"/>
      <c r="C21" s="1036"/>
      <c r="D21" s="1036"/>
      <c r="E21" s="1036"/>
      <c r="F21" s="1036"/>
      <c r="G21" s="1036"/>
      <c r="H21" s="1036"/>
      <c r="I21" s="1036"/>
      <c r="J21" s="1036"/>
      <c r="K21" s="1036"/>
      <c r="L21" s="1036"/>
      <c r="M21" s="1036"/>
      <c r="N21" s="1036"/>
      <c r="O21" s="1036"/>
      <c r="P21" s="1036"/>
      <c r="Q21" s="1036"/>
      <c r="R21" s="1036"/>
      <c r="S21" s="1036"/>
      <c r="T21" s="1036"/>
      <c r="U21" s="1036"/>
      <c r="V21" s="1036"/>
      <c r="W21" s="1036"/>
      <c r="X21" s="1036"/>
      <c r="Y21" s="1036"/>
      <c r="Z21" s="1036"/>
      <c r="AA21" s="1036"/>
      <c r="AB21" s="1036"/>
      <c r="AC21" s="1036"/>
    </row>
    <row r="22" spans="1:29" ht="15">
      <c r="A22" s="1036"/>
      <c r="B22" s="1036"/>
      <c r="C22" s="1036"/>
      <c r="D22" s="1036"/>
      <c r="E22" s="1036"/>
      <c r="F22" s="1036"/>
      <c r="G22" s="1036"/>
      <c r="H22" s="1036"/>
      <c r="I22" s="1036"/>
      <c r="J22" s="1036"/>
      <c r="K22" s="1036"/>
      <c r="L22" s="1036"/>
      <c r="M22" s="1036"/>
      <c r="N22" s="1036"/>
      <c r="O22" s="1036"/>
      <c r="P22" s="1036"/>
      <c r="Q22" s="1036"/>
      <c r="R22" s="1036"/>
      <c r="S22" s="1036"/>
      <c r="T22" s="1036"/>
      <c r="U22" s="1036"/>
      <c r="V22" s="1036"/>
      <c r="W22" s="1036"/>
      <c r="X22" s="1036"/>
      <c r="Y22" s="1036"/>
      <c r="Z22" s="1036"/>
      <c r="AA22" s="1036"/>
      <c r="AB22" s="1036"/>
      <c r="AC22" s="1036"/>
    </row>
    <row r="23" spans="1:29" ht="15">
      <c r="A23" s="1036"/>
      <c r="B23" s="1036"/>
      <c r="C23" s="1036"/>
      <c r="D23" s="1036"/>
      <c r="E23" s="1036"/>
      <c r="F23" s="1036"/>
      <c r="G23" s="1036"/>
      <c r="H23" s="1036"/>
      <c r="I23" s="1036"/>
      <c r="J23" s="1036"/>
      <c r="K23" s="1036"/>
      <c r="L23" s="1036"/>
      <c r="M23" s="1036"/>
      <c r="N23" s="1036"/>
      <c r="O23" s="1036"/>
      <c r="P23" s="1036"/>
      <c r="Q23" s="1036"/>
      <c r="R23" s="1036"/>
      <c r="S23" s="1036"/>
      <c r="T23" s="1036"/>
      <c r="U23" s="1036"/>
      <c r="V23" s="1036"/>
      <c r="W23" s="1036"/>
      <c r="X23" s="1036"/>
      <c r="Y23" s="1036"/>
      <c r="Z23" s="1036"/>
      <c r="AA23" s="1036"/>
      <c r="AB23" s="1036"/>
      <c r="AC23" s="1036"/>
    </row>
    <row r="24" spans="1:29" ht="15">
      <c r="A24" s="1036"/>
      <c r="B24" s="1036"/>
      <c r="C24" s="1036"/>
      <c r="D24" s="1036"/>
      <c r="E24" s="1036"/>
      <c r="F24" s="1036"/>
      <c r="G24" s="1036"/>
      <c r="H24" s="1036"/>
      <c r="I24" s="1036"/>
      <c r="J24" s="1036"/>
      <c r="K24" s="1036"/>
      <c r="L24" s="1036"/>
      <c r="M24" s="1036"/>
      <c r="N24" s="1036"/>
      <c r="O24" s="1036"/>
      <c r="P24" s="1036"/>
      <c r="Q24" s="1036"/>
      <c r="R24" s="1036"/>
      <c r="S24" s="1036"/>
      <c r="T24" s="1036"/>
      <c r="U24" s="1036"/>
      <c r="V24" s="1036"/>
      <c r="W24" s="1036"/>
      <c r="X24" s="1036"/>
      <c r="Y24" s="1036"/>
      <c r="Z24" s="1036"/>
      <c r="AA24" s="1036"/>
      <c r="AB24" s="1036"/>
      <c r="AC24" s="1036"/>
    </row>
    <row r="25" spans="1:29" ht="15">
      <c r="A25" s="1036"/>
      <c r="B25" s="1036"/>
      <c r="C25" s="1036"/>
      <c r="D25" s="1036"/>
      <c r="E25" s="1036"/>
      <c r="F25" s="1036"/>
      <c r="G25" s="1036"/>
      <c r="H25" s="1036"/>
      <c r="I25" s="1036"/>
      <c r="J25" s="1036"/>
      <c r="K25" s="1036"/>
      <c r="L25" s="1036"/>
      <c r="M25" s="1036"/>
      <c r="N25" s="1036"/>
      <c r="O25" s="1036"/>
      <c r="P25" s="1036"/>
      <c r="Q25" s="1036"/>
      <c r="R25" s="1036"/>
      <c r="S25" s="1036"/>
      <c r="T25" s="1036"/>
      <c r="U25" s="1036"/>
      <c r="V25" s="1036"/>
      <c r="W25" s="1036"/>
      <c r="X25" s="1036"/>
      <c r="Y25" s="1036"/>
      <c r="Z25" s="1036"/>
      <c r="AA25" s="1036"/>
      <c r="AB25" s="1036"/>
      <c r="AC25" s="1036"/>
    </row>
    <row r="26" spans="1:29" ht="15">
      <c r="A26" s="1036"/>
      <c r="B26" s="1036"/>
      <c r="C26" s="1036"/>
      <c r="D26" s="1036"/>
      <c r="E26" s="1036"/>
      <c r="F26" s="1036"/>
      <c r="G26" s="1036"/>
      <c r="H26" s="1036"/>
      <c r="I26" s="1036"/>
      <c r="J26" s="1036"/>
      <c r="K26" s="1036"/>
      <c r="L26" s="1036"/>
      <c r="M26" s="1036"/>
      <c r="N26" s="1036"/>
      <c r="O26" s="1036"/>
      <c r="P26" s="1036"/>
      <c r="Q26" s="1036"/>
      <c r="R26" s="1036"/>
      <c r="S26" s="1036"/>
      <c r="T26" s="1036"/>
      <c r="U26" s="1036"/>
      <c r="V26" s="1036"/>
      <c r="W26" s="1036"/>
      <c r="X26" s="1036"/>
      <c r="Y26" s="1036"/>
      <c r="Z26" s="1036"/>
      <c r="AA26" s="1036"/>
      <c r="AB26" s="1036"/>
      <c r="AC26" s="1036"/>
    </row>
    <row r="27" spans="1:29" ht="15">
      <c r="A27" s="1036"/>
      <c r="B27" s="1036"/>
      <c r="C27" s="1036"/>
      <c r="D27" s="1036"/>
      <c r="E27" s="1036"/>
      <c r="F27" s="1036"/>
      <c r="G27" s="1036"/>
      <c r="H27" s="1036"/>
      <c r="I27" s="1036"/>
      <c r="J27" s="1036"/>
      <c r="K27" s="1036"/>
      <c r="L27" s="1036"/>
      <c r="M27" s="1036"/>
      <c r="N27" s="1036"/>
      <c r="O27" s="1036"/>
      <c r="P27" s="1036"/>
      <c r="Q27" s="1036"/>
      <c r="R27" s="1036"/>
      <c r="S27" s="1036"/>
      <c r="T27" s="1036"/>
      <c r="U27" s="1036"/>
      <c r="V27" s="1036"/>
      <c r="W27" s="1036"/>
      <c r="X27" s="1036"/>
      <c r="Y27" s="1036"/>
      <c r="Z27" s="1036"/>
      <c r="AA27" s="1036"/>
      <c r="AB27" s="1036"/>
      <c r="AC27" s="1036"/>
    </row>
    <row r="28" spans="1:29" ht="15">
      <c r="A28" s="1036"/>
      <c r="B28" s="1036"/>
      <c r="C28" s="1036"/>
      <c r="D28" s="1036"/>
      <c r="E28" s="1036"/>
      <c r="F28" s="1036"/>
      <c r="G28" s="1036"/>
      <c r="H28" s="1036"/>
      <c r="I28" s="1036"/>
      <c r="J28" s="1036"/>
      <c r="K28" s="1036"/>
      <c r="L28" s="1036"/>
      <c r="M28" s="1036"/>
      <c r="N28" s="1036"/>
      <c r="O28" s="1036"/>
      <c r="P28" s="1036"/>
      <c r="Q28" s="1036"/>
      <c r="R28" s="1036"/>
      <c r="S28" s="1036"/>
      <c r="T28" s="1036"/>
      <c r="U28" s="1036"/>
      <c r="V28" s="1036"/>
      <c r="W28" s="1036"/>
      <c r="X28" s="1036"/>
      <c r="Y28" s="1036"/>
      <c r="Z28" s="1036"/>
      <c r="AA28" s="1036"/>
      <c r="AB28" s="1036"/>
      <c r="AC28" s="1036"/>
    </row>
    <row r="29" spans="1:29" ht="15">
      <c r="A29" s="1036"/>
      <c r="B29" s="1036"/>
      <c r="C29" s="1036"/>
      <c r="D29" s="1036"/>
      <c r="E29" s="1036"/>
      <c r="F29" s="1036"/>
      <c r="G29" s="1036"/>
      <c r="H29" s="1036"/>
      <c r="I29" s="1036"/>
      <c r="J29" s="1036"/>
      <c r="K29" s="1036"/>
      <c r="L29" s="1036"/>
      <c r="M29" s="1036"/>
      <c r="N29" s="1036"/>
      <c r="O29" s="1036"/>
      <c r="P29" s="1036"/>
      <c r="Q29" s="1036"/>
      <c r="R29" s="1036"/>
      <c r="S29" s="1036"/>
      <c r="T29" s="1036"/>
      <c r="U29" s="1036"/>
      <c r="V29" s="1036"/>
      <c r="W29" s="1036"/>
      <c r="X29" s="1036"/>
      <c r="Y29" s="1036"/>
      <c r="Z29" s="1036"/>
      <c r="AA29" s="1036"/>
      <c r="AB29" s="1036"/>
      <c r="AC29" s="1036"/>
    </row>
    <row r="30" spans="1:29" ht="15">
      <c r="A30" s="1036"/>
      <c r="B30" s="1036"/>
      <c r="C30" s="1036"/>
      <c r="D30" s="1036"/>
      <c r="E30" s="1036"/>
      <c r="F30" s="1036"/>
      <c r="G30" s="1036"/>
      <c r="H30" s="1036"/>
      <c r="I30" s="1036"/>
      <c r="J30" s="1036"/>
      <c r="K30" s="1036"/>
      <c r="L30" s="1036"/>
      <c r="M30" s="1036"/>
      <c r="N30" s="1036"/>
      <c r="O30" s="1036"/>
      <c r="P30" s="1036"/>
      <c r="Q30" s="1036"/>
      <c r="R30" s="1036"/>
      <c r="S30" s="1036"/>
      <c r="T30" s="1036"/>
      <c r="U30" s="1036"/>
      <c r="V30" s="1036"/>
      <c r="W30" s="1036"/>
      <c r="X30" s="1036"/>
      <c r="Y30" s="1036"/>
      <c r="Z30" s="1036"/>
      <c r="AA30" s="1036"/>
      <c r="AB30" s="1036"/>
      <c r="AC30" s="1036"/>
    </row>
    <row r="31" spans="1:29" ht="15">
      <c r="A31" s="1036"/>
      <c r="B31" s="1036"/>
      <c r="C31" s="1036"/>
      <c r="D31" s="1036"/>
      <c r="E31" s="1036"/>
      <c r="F31" s="1036"/>
      <c r="G31" s="1036"/>
      <c r="H31" s="1036"/>
      <c r="I31" s="1036"/>
      <c r="J31" s="1036"/>
      <c r="K31" s="1036"/>
      <c r="L31" s="1036"/>
      <c r="M31" s="1036"/>
      <c r="N31" s="1036"/>
      <c r="O31" s="1036"/>
      <c r="P31" s="1036"/>
      <c r="Q31" s="1036"/>
      <c r="R31" s="1036"/>
      <c r="S31" s="1036"/>
      <c r="T31" s="1036"/>
      <c r="U31" s="1036"/>
      <c r="V31" s="1036"/>
      <c r="W31" s="1036"/>
      <c r="X31" s="1036"/>
      <c r="Y31" s="1036"/>
      <c r="Z31" s="1036"/>
      <c r="AA31" s="1036"/>
      <c r="AB31" s="1036"/>
      <c r="AC31" s="1036"/>
    </row>
    <row r="32" spans="1:29" ht="15">
      <c r="A32" s="1036"/>
      <c r="B32" s="1036"/>
      <c r="C32" s="1036"/>
      <c r="D32" s="1036"/>
      <c r="E32" s="1036"/>
      <c r="F32" s="1036"/>
      <c r="G32" s="1036"/>
      <c r="H32" s="1036"/>
      <c r="I32" s="1036"/>
      <c r="J32" s="1036"/>
      <c r="K32" s="1036"/>
      <c r="L32" s="1036"/>
      <c r="M32" s="1036"/>
      <c r="N32" s="1036"/>
      <c r="O32" s="1036"/>
      <c r="P32" s="1036"/>
      <c r="Q32" s="1036"/>
      <c r="R32" s="1036"/>
      <c r="S32" s="1036"/>
      <c r="T32" s="1036"/>
      <c r="U32" s="1036"/>
      <c r="V32" s="1036"/>
      <c r="W32" s="1036"/>
      <c r="X32" s="1036"/>
      <c r="Y32" s="1036"/>
      <c r="Z32" s="1036"/>
      <c r="AA32" s="1036"/>
      <c r="AB32" s="1036"/>
      <c r="AC32" s="1036"/>
    </row>
    <row r="33" spans="1:29" ht="15">
      <c r="A33" s="1036"/>
      <c r="B33" s="1036"/>
      <c r="C33" s="1036"/>
      <c r="D33" s="1036"/>
      <c r="E33" s="1036"/>
      <c r="F33" s="1036"/>
      <c r="G33" s="1036"/>
      <c r="H33" s="1036"/>
      <c r="I33" s="1036"/>
      <c r="J33" s="1036"/>
      <c r="K33" s="1036"/>
      <c r="L33" s="1036"/>
      <c r="M33" s="1036"/>
      <c r="N33" s="1036"/>
      <c r="O33" s="1036"/>
      <c r="P33" s="1036"/>
      <c r="Q33" s="1036"/>
      <c r="R33" s="1036"/>
      <c r="S33" s="1036"/>
      <c r="T33" s="1036"/>
      <c r="U33" s="1036"/>
      <c r="V33" s="1036"/>
      <c r="W33" s="1036"/>
      <c r="X33" s="1036"/>
      <c r="Y33" s="1036"/>
      <c r="Z33" s="1036"/>
      <c r="AA33" s="1036"/>
      <c r="AB33" s="1036"/>
      <c r="AC33" s="1036"/>
    </row>
    <row r="34" spans="1:29" ht="15">
      <c r="A34" s="1036"/>
      <c r="B34" s="1036"/>
      <c r="C34" s="1036"/>
      <c r="D34" s="1036"/>
      <c r="E34" s="1036"/>
      <c r="F34" s="1036"/>
      <c r="G34" s="1036"/>
      <c r="H34" s="1036"/>
      <c r="I34" s="1036"/>
      <c r="J34" s="1036"/>
      <c r="K34" s="1036"/>
      <c r="L34" s="1036"/>
      <c r="M34" s="1036"/>
      <c r="N34" s="1036"/>
      <c r="O34" s="1036"/>
      <c r="P34" s="1036"/>
      <c r="Q34" s="1036"/>
      <c r="R34" s="1036"/>
      <c r="S34" s="1036"/>
      <c r="T34" s="1036"/>
      <c r="U34" s="1036"/>
      <c r="V34" s="1036"/>
      <c r="W34" s="1036"/>
      <c r="X34" s="1036"/>
      <c r="Y34" s="1036"/>
      <c r="Z34" s="1036"/>
      <c r="AA34" s="1036"/>
      <c r="AB34" s="1036"/>
      <c r="AC34" s="1036"/>
    </row>
    <row r="35" spans="1:29" ht="15">
      <c r="A35" s="1036"/>
      <c r="B35" s="1036"/>
      <c r="C35" s="1036"/>
      <c r="D35" s="1036"/>
      <c r="E35" s="1036"/>
      <c r="F35" s="1036"/>
      <c r="G35" s="1036"/>
      <c r="H35" s="1036"/>
      <c r="I35" s="1036"/>
      <c r="J35" s="1036"/>
      <c r="K35" s="1036"/>
      <c r="L35" s="1036"/>
      <c r="M35" s="1036"/>
      <c r="N35" s="1036"/>
      <c r="O35" s="1036"/>
      <c r="P35" s="1036"/>
      <c r="Q35" s="1036"/>
      <c r="R35" s="1036"/>
      <c r="S35" s="1036"/>
      <c r="T35" s="1036"/>
      <c r="U35" s="1036"/>
      <c r="V35" s="1036"/>
      <c r="W35" s="1036"/>
      <c r="X35" s="1036"/>
      <c r="Y35" s="1036"/>
      <c r="Z35" s="1036"/>
      <c r="AA35" s="1036"/>
      <c r="AB35" s="1036"/>
      <c r="AC35" s="1036"/>
    </row>
    <row r="36" spans="1:29" ht="15">
      <c r="A36" s="1036"/>
      <c r="B36" s="1036"/>
      <c r="C36" s="1036"/>
      <c r="D36" s="1036"/>
      <c r="E36" s="1036"/>
      <c r="F36" s="1036"/>
      <c r="G36" s="1036"/>
      <c r="H36" s="1036"/>
      <c r="I36" s="1036"/>
      <c r="J36" s="1036"/>
      <c r="K36" s="1036"/>
      <c r="L36" s="1036"/>
      <c r="M36" s="1036"/>
      <c r="N36" s="1036"/>
      <c r="O36" s="1036"/>
      <c r="P36" s="1036"/>
      <c r="Q36" s="1036"/>
      <c r="R36" s="1036"/>
      <c r="S36" s="1036"/>
      <c r="T36" s="1036"/>
      <c r="U36" s="1036"/>
      <c r="V36" s="1036"/>
      <c r="W36" s="1036"/>
      <c r="X36" s="1036"/>
      <c r="Y36" s="1036"/>
      <c r="Z36" s="1036"/>
      <c r="AA36" s="1036"/>
      <c r="AB36" s="1036"/>
      <c r="AC36" s="1036"/>
    </row>
    <row r="37" spans="1:29" ht="54.75" customHeight="1">
      <c r="A37" s="1036"/>
      <c r="B37" s="1036"/>
      <c r="C37" s="1036"/>
      <c r="D37" s="1036"/>
      <c r="E37" s="1036"/>
      <c r="F37" s="1036"/>
      <c r="G37" s="1036"/>
      <c r="H37" s="1036"/>
      <c r="I37" s="1036"/>
      <c r="J37" s="1036"/>
      <c r="K37" s="1036"/>
      <c r="L37" s="1036"/>
      <c r="M37" s="1036"/>
      <c r="N37" s="1036"/>
      <c r="O37" s="1036"/>
      <c r="P37" s="1036"/>
      <c r="Q37" s="1036"/>
      <c r="R37" s="1036"/>
      <c r="S37" s="1036"/>
      <c r="T37" s="1036"/>
      <c r="U37" s="1036"/>
      <c r="V37" s="1036"/>
      <c r="W37" s="1036"/>
      <c r="X37" s="1036"/>
      <c r="Y37" s="1036"/>
      <c r="Z37" s="1036"/>
      <c r="AA37" s="1036"/>
      <c r="AB37" s="1036"/>
      <c r="AC37" s="1036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45">
    <pageSetUpPr fitToPage="1"/>
  </sheetPr>
  <dimension ref="A1:XFC37"/>
  <sheetViews>
    <sheetView showRowColHeaders="0" view="pageBreakPreview" zoomScale="96" zoomScaleNormal="85" zoomScaleSheetLayoutView="96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3">
    <pageSetUpPr fitToPage="1"/>
  </sheetPr>
  <dimension ref="A1:XFC37"/>
  <sheetViews>
    <sheetView showRowColHeaders="0" zoomScale="96" zoomScaleNormal="96" zoomScaleSheetLayoutView="86" workbookViewId="0">
      <selection sqref="A1:AC1"/>
    </sheetView>
  </sheetViews>
  <sheetFormatPr defaultColWidth="0" defaultRowHeight="0" customHeight="1" zeroHeight="1"/>
  <cols>
    <col min="1" max="27" width="9.140625" style="145" customWidth="1"/>
    <col min="28" max="28" width="9" style="145" customWidth="1"/>
    <col min="29" max="29" width="20.140625" style="145" customWidth="1"/>
    <col min="30" max="16383" width="9.140625" style="145" hidden="1"/>
    <col min="16384" max="16384" width="4.42578125" style="14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6">
    <pageSetUpPr fitToPage="1"/>
  </sheetPr>
  <dimension ref="A1:XFC37"/>
  <sheetViews>
    <sheetView showGridLines="0" showRowColHeaders="0" view="pageBreakPreview" zoomScale="96" zoomScaleNormal="85" zoomScaleSheetLayoutView="96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47">
    <pageSetUpPr fitToPage="1"/>
  </sheetPr>
  <dimension ref="A1:XFC37"/>
  <sheetViews>
    <sheetView showGridLines="0" showRowColHeaders="0" zoomScale="96" zoomScaleNormal="96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8">
    <pageSetUpPr fitToPage="1"/>
  </sheetPr>
  <dimension ref="A1:XFC37"/>
  <sheetViews>
    <sheetView showGridLines="0" showRowColHeaders="0" view="pageBreakPreview" zoomScale="96" zoomScaleNormal="85" zoomScaleSheetLayoutView="96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4" t="s">
        <v>543</v>
      </c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pageSetUpPr fitToPage="1"/>
  </sheetPr>
  <dimension ref="A2:Z103"/>
  <sheetViews>
    <sheetView topLeftCell="G65" zoomScale="70" zoomScaleNormal="70" workbookViewId="0">
      <selection activeCell="EF33" sqref="EF33"/>
    </sheetView>
  </sheetViews>
  <sheetFormatPr defaultRowHeight="15"/>
  <cols>
    <col min="1" max="1" width="21" style="370" customWidth="1"/>
    <col min="2" max="12" width="21" style="357" customWidth="1"/>
    <col min="13" max="13" width="14.42578125" style="357" customWidth="1"/>
    <col min="14" max="15" width="19.42578125" style="357" customWidth="1"/>
    <col min="16" max="16" width="18.28515625" style="357" customWidth="1"/>
    <col min="17" max="17" width="18.7109375" style="357" customWidth="1"/>
    <col min="18" max="18" width="21" style="357" customWidth="1"/>
    <col min="19" max="20" width="15.85546875" style="357" bestFit="1" customWidth="1"/>
    <col min="21" max="22" width="14.42578125" style="357" bestFit="1" customWidth="1"/>
    <col min="23" max="23" width="16.42578125" style="357" bestFit="1" customWidth="1"/>
    <col min="24" max="24" width="14.42578125" style="357" bestFit="1" customWidth="1"/>
    <col min="25" max="25" width="15.85546875" style="357" bestFit="1" customWidth="1"/>
    <col min="26" max="16384" width="9.140625" style="357"/>
  </cols>
  <sheetData>
    <row r="2" spans="1:26" ht="46.5">
      <c r="A2" s="837" t="s">
        <v>57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</row>
    <row r="3" spans="1:26" ht="35.1" customHeight="1">
      <c r="A3" s="835" t="s">
        <v>33</v>
      </c>
      <c r="B3" s="833" t="s">
        <v>27</v>
      </c>
      <c r="C3" s="834"/>
      <c r="D3" s="833" t="s">
        <v>29</v>
      </c>
      <c r="E3" s="834"/>
      <c r="F3" s="835" t="s">
        <v>28</v>
      </c>
      <c r="G3" s="835" t="s">
        <v>36</v>
      </c>
      <c r="H3" s="835" t="s">
        <v>30</v>
      </c>
      <c r="I3" s="835" t="s">
        <v>31</v>
      </c>
      <c r="J3" s="835" t="s">
        <v>41</v>
      </c>
      <c r="K3" s="835" t="s">
        <v>35</v>
      </c>
      <c r="L3" s="835" t="s">
        <v>40</v>
      </c>
      <c r="M3" s="835" t="s">
        <v>42</v>
      </c>
      <c r="N3" s="835" t="s">
        <v>45</v>
      </c>
      <c r="O3" s="835" t="s">
        <v>279</v>
      </c>
      <c r="P3" s="833" t="s">
        <v>49</v>
      </c>
      <c r="Q3" s="834"/>
      <c r="R3" s="835" t="s">
        <v>34</v>
      </c>
    </row>
    <row r="4" spans="1:26" ht="35.1" customHeight="1">
      <c r="A4" s="836"/>
      <c r="B4" s="361" t="s">
        <v>43</v>
      </c>
      <c r="C4" s="361" t="s">
        <v>44</v>
      </c>
      <c r="D4" s="361" t="s">
        <v>43</v>
      </c>
      <c r="E4" s="361" t="s">
        <v>44</v>
      </c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362" t="s">
        <v>50</v>
      </c>
      <c r="Q4" s="362" t="s">
        <v>51</v>
      </c>
      <c r="R4" s="836"/>
      <c r="S4" s="372" t="s">
        <v>173</v>
      </c>
      <c r="T4" s="372" t="s">
        <v>291</v>
      </c>
      <c r="U4" s="372" t="s">
        <v>174</v>
      </c>
      <c r="V4" s="372" t="s">
        <v>292</v>
      </c>
      <c r="W4" s="372" t="s">
        <v>28</v>
      </c>
      <c r="X4" s="372" t="s">
        <v>175</v>
      </c>
      <c r="Y4" s="726"/>
    </row>
    <row r="5" spans="1:26">
      <c r="A5" s="2" t="s">
        <v>77</v>
      </c>
      <c r="B5" s="16">
        <f t="shared" ref="B5:Q20" si="0">B75*0.8</f>
        <v>22564.648000000001</v>
      </c>
      <c r="C5" s="16">
        <f t="shared" si="0"/>
        <v>10044.896000000001</v>
      </c>
      <c r="D5" s="16">
        <f t="shared" si="0"/>
        <v>328.00800000000004</v>
      </c>
      <c r="E5" s="16">
        <f t="shared" si="0"/>
        <v>872.06399999999996</v>
      </c>
      <c r="F5" s="16">
        <f t="shared" si="0"/>
        <v>22259.712</v>
      </c>
      <c r="G5" s="16">
        <f t="shared" si="0"/>
        <v>1130.376</v>
      </c>
      <c r="H5" s="16">
        <f t="shared" si="0"/>
        <v>989.01600000000008</v>
      </c>
      <c r="I5" s="16">
        <f t="shared" si="0"/>
        <v>0</v>
      </c>
      <c r="J5" s="16">
        <f t="shared" si="0"/>
        <v>2359.1759999999999</v>
      </c>
      <c r="K5" s="16">
        <f t="shared" si="0"/>
        <v>956.47199999999998</v>
      </c>
      <c r="L5" s="16">
        <f t="shared" si="0"/>
        <v>0</v>
      </c>
      <c r="M5" s="16">
        <f t="shared" si="0"/>
        <v>0</v>
      </c>
      <c r="N5" s="16">
        <f t="shared" si="0"/>
        <v>25.36</v>
      </c>
      <c r="O5" s="16">
        <f t="shared" si="0"/>
        <v>0</v>
      </c>
      <c r="P5" s="16">
        <f t="shared" si="0"/>
        <v>0</v>
      </c>
      <c r="Q5" s="16">
        <f t="shared" si="0"/>
        <v>0</v>
      </c>
      <c r="R5" s="8">
        <f t="shared" ref="R5:R31" si="1">SUM(B5:Q5)</f>
        <v>61529.728000000003</v>
      </c>
      <c r="S5" s="363">
        <f>B5</f>
        <v>22564.648000000001</v>
      </c>
      <c r="T5" s="363">
        <f>C5</f>
        <v>10044.896000000001</v>
      </c>
      <c r="U5" s="363">
        <f>D5</f>
        <v>328.00800000000004</v>
      </c>
      <c r="V5" s="363">
        <f>E5</f>
        <v>872.06399999999996</v>
      </c>
      <c r="W5" s="363">
        <f>F5+G5</f>
        <v>23390.088</v>
      </c>
      <c r="X5" s="363">
        <f>SUM(H5:Q5)</f>
        <v>4330.0239999999994</v>
      </c>
      <c r="Y5" s="363"/>
      <c r="Z5" s="390"/>
    </row>
    <row r="6" spans="1:26">
      <c r="A6" s="2" t="s">
        <v>78</v>
      </c>
      <c r="B6" s="16">
        <f t="shared" ref="B6:Q6" si="2">B76*0.8</f>
        <v>82566.872000000003</v>
      </c>
      <c r="C6" s="16">
        <f t="shared" si="2"/>
        <v>16746.151999999998</v>
      </c>
      <c r="D6" s="16">
        <f t="shared" si="2"/>
        <v>527.52800000000002</v>
      </c>
      <c r="E6" s="16">
        <f t="shared" si="2"/>
        <v>192.60000000000002</v>
      </c>
      <c r="F6" s="16">
        <f t="shared" si="2"/>
        <v>73474.44</v>
      </c>
      <c r="G6" s="16">
        <f t="shared" si="2"/>
        <v>2347.7040000000002</v>
      </c>
      <c r="H6" s="16">
        <f t="shared" si="2"/>
        <v>1709.0240000000003</v>
      </c>
      <c r="I6" s="16">
        <f t="shared" si="2"/>
        <v>0</v>
      </c>
      <c r="J6" s="16">
        <f t="shared" si="2"/>
        <v>3330.4320000000002</v>
      </c>
      <c r="K6" s="16">
        <f t="shared" si="2"/>
        <v>521.71199999999999</v>
      </c>
      <c r="L6" s="16">
        <f t="shared" si="2"/>
        <v>0</v>
      </c>
      <c r="M6" s="16">
        <f t="shared" si="2"/>
        <v>0</v>
      </c>
      <c r="N6" s="16">
        <f t="shared" si="2"/>
        <v>50.72</v>
      </c>
      <c r="O6" s="16">
        <f t="shared" si="0"/>
        <v>0</v>
      </c>
      <c r="P6" s="16">
        <f t="shared" si="2"/>
        <v>0</v>
      </c>
      <c r="Q6" s="16">
        <f t="shared" si="2"/>
        <v>0</v>
      </c>
      <c r="R6" s="8">
        <f t="shared" si="1"/>
        <v>181467.18400000001</v>
      </c>
      <c r="S6" s="363">
        <f t="shared" ref="S6:V31" si="3">B6</f>
        <v>82566.872000000003</v>
      </c>
      <c r="T6" s="363">
        <f t="shared" si="3"/>
        <v>16746.151999999998</v>
      </c>
      <c r="U6" s="363">
        <f t="shared" si="3"/>
        <v>527.52800000000002</v>
      </c>
      <c r="V6" s="363">
        <f t="shared" si="3"/>
        <v>192.60000000000002</v>
      </c>
      <c r="W6" s="363">
        <f t="shared" ref="W6:W31" si="4">F6+G6</f>
        <v>75822.144</v>
      </c>
      <c r="X6" s="363">
        <f t="shared" ref="X6:X31" si="5">SUM(H6:Q6)</f>
        <v>5611.8879999999999</v>
      </c>
      <c r="Y6" s="363"/>
      <c r="Z6" s="390"/>
    </row>
    <row r="7" spans="1:26">
      <c r="A7" s="2" t="s">
        <v>79</v>
      </c>
      <c r="B7" s="16">
        <f t="shared" ref="B7:Q7" si="6">B77*0.8</f>
        <v>26225.296000000002</v>
      </c>
      <c r="C7" s="16">
        <f t="shared" si="6"/>
        <v>7545.5920000000006</v>
      </c>
      <c r="D7" s="16">
        <f t="shared" si="6"/>
        <v>1677.5439999999999</v>
      </c>
      <c r="E7" s="16">
        <f t="shared" si="6"/>
        <v>1891.232</v>
      </c>
      <c r="F7" s="16">
        <f t="shared" si="6"/>
        <v>30867.96</v>
      </c>
      <c r="G7" s="16">
        <f t="shared" si="6"/>
        <v>2869.4160000000002</v>
      </c>
      <c r="H7" s="16">
        <f t="shared" si="6"/>
        <v>800.08</v>
      </c>
      <c r="I7" s="16">
        <f t="shared" si="6"/>
        <v>769.00800000000004</v>
      </c>
      <c r="J7" s="16">
        <f t="shared" si="6"/>
        <v>2012.5360000000001</v>
      </c>
      <c r="K7" s="16">
        <f t="shared" si="6"/>
        <v>695.61599999999999</v>
      </c>
      <c r="L7" s="16">
        <f t="shared" si="6"/>
        <v>0</v>
      </c>
      <c r="M7" s="16">
        <f t="shared" si="6"/>
        <v>0</v>
      </c>
      <c r="N7" s="16">
        <f t="shared" si="6"/>
        <v>126.80000000000001</v>
      </c>
      <c r="O7" s="16">
        <f t="shared" si="0"/>
        <v>0</v>
      </c>
      <c r="P7" s="16">
        <f t="shared" si="6"/>
        <v>0</v>
      </c>
      <c r="Q7" s="16">
        <f t="shared" si="6"/>
        <v>0</v>
      </c>
      <c r="R7" s="8">
        <f t="shared" si="1"/>
        <v>75481.080000000016</v>
      </c>
      <c r="S7" s="363">
        <f t="shared" si="3"/>
        <v>26225.296000000002</v>
      </c>
      <c r="T7" s="363">
        <f t="shared" si="3"/>
        <v>7545.5920000000006</v>
      </c>
      <c r="U7" s="363">
        <f t="shared" si="3"/>
        <v>1677.5439999999999</v>
      </c>
      <c r="V7" s="363">
        <f t="shared" si="3"/>
        <v>1891.232</v>
      </c>
      <c r="W7" s="363">
        <f t="shared" si="4"/>
        <v>33737.375999999997</v>
      </c>
      <c r="X7" s="363">
        <f t="shared" si="5"/>
        <v>4404.04</v>
      </c>
      <c r="Y7" s="363"/>
      <c r="Z7" s="390"/>
    </row>
    <row r="8" spans="1:26">
      <c r="A8" s="2" t="s">
        <v>80</v>
      </c>
      <c r="B8" s="16">
        <f t="shared" ref="B8:N8" si="7">B78*0.8</f>
        <v>73756.728000000003</v>
      </c>
      <c r="C8" s="16">
        <f t="shared" si="7"/>
        <v>16104.976000000002</v>
      </c>
      <c r="D8" s="16">
        <f t="shared" si="7"/>
        <v>1870.0160000000001</v>
      </c>
      <c r="E8" s="16">
        <f t="shared" si="7"/>
        <v>3016.5200000000004</v>
      </c>
      <c r="F8" s="16">
        <f t="shared" si="7"/>
        <v>64953.144</v>
      </c>
      <c r="G8" s="16">
        <f t="shared" si="7"/>
        <v>1652.0880000000002</v>
      </c>
      <c r="H8" s="16">
        <f t="shared" si="7"/>
        <v>1804.4480000000001</v>
      </c>
      <c r="I8" s="16">
        <f t="shared" si="7"/>
        <v>0</v>
      </c>
      <c r="J8" s="16">
        <f t="shared" si="7"/>
        <v>3889.288</v>
      </c>
      <c r="K8" s="16">
        <f t="shared" si="7"/>
        <v>86.951999999999998</v>
      </c>
      <c r="L8" s="16">
        <f t="shared" si="7"/>
        <v>0</v>
      </c>
      <c r="M8" s="16">
        <f t="shared" si="7"/>
        <v>1091.6959999999999</v>
      </c>
      <c r="N8" s="16">
        <f t="shared" si="7"/>
        <v>126.80000000000001</v>
      </c>
      <c r="O8" s="16">
        <f t="shared" si="0"/>
        <v>0</v>
      </c>
      <c r="P8" s="16">
        <f>P78</f>
        <v>0</v>
      </c>
      <c r="Q8" s="16">
        <f>Q78</f>
        <v>0</v>
      </c>
      <c r="R8" s="8">
        <f t="shared" si="1"/>
        <v>168352.65599999999</v>
      </c>
      <c r="S8" s="363">
        <f t="shared" si="3"/>
        <v>73756.728000000003</v>
      </c>
      <c r="T8" s="363">
        <f t="shared" si="3"/>
        <v>16104.976000000002</v>
      </c>
      <c r="U8" s="363">
        <f t="shared" si="3"/>
        <v>1870.0160000000001</v>
      </c>
      <c r="V8" s="363">
        <f t="shared" si="3"/>
        <v>3016.5200000000004</v>
      </c>
      <c r="W8" s="363">
        <f t="shared" si="4"/>
        <v>66605.232000000004</v>
      </c>
      <c r="X8" s="363">
        <f t="shared" si="5"/>
        <v>6999.1840000000002</v>
      </c>
      <c r="Y8" s="363"/>
      <c r="Z8" s="390"/>
    </row>
    <row r="9" spans="1:26">
      <c r="A9" s="2" t="s">
        <v>81</v>
      </c>
      <c r="B9" s="16">
        <f t="shared" ref="B9:N9" si="8">B79*0.8</f>
        <v>293871.56800000003</v>
      </c>
      <c r="C9" s="16">
        <f t="shared" si="8"/>
        <v>45949.256000000001</v>
      </c>
      <c r="D9" s="16">
        <f t="shared" si="8"/>
        <v>4164.4160000000002</v>
      </c>
      <c r="E9" s="16">
        <f t="shared" si="8"/>
        <v>7230.344000000001</v>
      </c>
      <c r="F9" s="16">
        <f t="shared" si="8"/>
        <v>218423.42400000003</v>
      </c>
      <c r="G9" s="16">
        <f t="shared" si="8"/>
        <v>4782.3599999999997</v>
      </c>
      <c r="H9" s="16">
        <f t="shared" si="8"/>
        <v>7308.4720000000007</v>
      </c>
      <c r="I9" s="16">
        <f t="shared" si="8"/>
        <v>0</v>
      </c>
      <c r="J9" s="16">
        <f t="shared" si="8"/>
        <v>11065.632000000001</v>
      </c>
      <c r="K9" s="16">
        <f t="shared" si="8"/>
        <v>86.951999999999998</v>
      </c>
      <c r="L9" s="16">
        <f t="shared" si="8"/>
        <v>0</v>
      </c>
      <c r="M9" s="16">
        <f t="shared" si="8"/>
        <v>0</v>
      </c>
      <c r="N9" s="16">
        <f t="shared" si="8"/>
        <v>532.56000000000006</v>
      </c>
      <c r="O9" s="16">
        <f t="shared" si="0"/>
        <v>0</v>
      </c>
      <c r="P9" s="16">
        <f t="shared" ref="P9:Q21" si="9">P79*0.8</f>
        <v>72.816000000000003</v>
      </c>
      <c r="Q9" s="16">
        <f t="shared" si="9"/>
        <v>728.22400000000005</v>
      </c>
      <c r="R9" s="8">
        <f t="shared" si="1"/>
        <v>594216.02400000009</v>
      </c>
      <c r="S9" s="363">
        <f t="shared" si="3"/>
        <v>293871.56800000003</v>
      </c>
      <c r="T9" s="363">
        <f t="shared" si="3"/>
        <v>45949.256000000001</v>
      </c>
      <c r="U9" s="363">
        <f t="shared" si="3"/>
        <v>4164.4160000000002</v>
      </c>
      <c r="V9" s="363">
        <f t="shared" si="3"/>
        <v>7230.344000000001</v>
      </c>
      <c r="W9" s="363">
        <f t="shared" si="4"/>
        <v>223205.78400000001</v>
      </c>
      <c r="X9" s="363">
        <f t="shared" si="5"/>
        <v>19794.656000000003</v>
      </c>
      <c r="Y9" s="363"/>
      <c r="Z9" s="390"/>
    </row>
    <row r="10" spans="1:26">
      <c r="A10" s="2" t="s">
        <v>82</v>
      </c>
      <c r="B10" s="16">
        <f t="shared" ref="B10:N10" si="10">B80*0.8</f>
        <v>175314.88</v>
      </c>
      <c r="C10" s="16">
        <f t="shared" si="10"/>
        <v>30811.256000000001</v>
      </c>
      <c r="D10" s="16">
        <f t="shared" si="10"/>
        <v>2607.2000000000003</v>
      </c>
      <c r="E10" s="16">
        <f t="shared" si="10"/>
        <v>10533.128000000001</v>
      </c>
      <c r="F10" s="16">
        <f t="shared" si="10"/>
        <v>114776.64</v>
      </c>
      <c r="G10" s="16">
        <f t="shared" si="10"/>
        <v>4173.6959999999999</v>
      </c>
      <c r="H10" s="16">
        <f t="shared" si="10"/>
        <v>4805.2719999999999</v>
      </c>
      <c r="I10" s="16">
        <f t="shared" si="10"/>
        <v>991.87199999999996</v>
      </c>
      <c r="J10" s="16">
        <f t="shared" si="10"/>
        <v>8979.9840000000004</v>
      </c>
      <c r="K10" s="16">
        <f t="shared" si="10"/>
        <v>1043.424</v>
      </c>
      <c r="L10" s="16">
        <f t="shared" si="10"/>
        <v>0</v>
      </c>
      <c r="M10" s="16">
        <f t="shared" si="10"/>
        <v>0</v>
      </c>
      <c r="N10" s="16">
        <f t="shared" si="10"/>
        <v>278.95999999999998</v>
      </c>
      <c r="O10" s="16">
        <f t="shared" si="0"/>
        <v>0</v>
      </c>
      <c r="P10" s="16">
        <f t="shared" si="9"/>
        <v>44.768000000000001</v>
      </c>
      <c r="Q10" s="16">
        <f t="shared" si="9"/>
        <v>1830.4480000000001</v>
      </c>
      <c r="R10" s="8">
        <f t="shared" si="1"/>
        <v>356191.52799999993</v>
      </c>
      <c r="S10" s="363">
        <f t="shared" si="3"/>
        <v>175314.88</v>
      </c>
      <c r="T10" s="363">
        <f t="shared" si="3"/>
        <v>30811.256000000001</v>
      </c>
      <c r="U10" s="363">
        <f t="shared" si="3"/>
        <v>2607.2000000000003</v>
      </c>
      <c r="V10" s="363">
        <f t="shared" si="3"/>
        <v>10533.128000000001</v>
      </c>
      <c r="W10" s="363">
        <f t="shared" si="4"/>
        <v>118950.336</v>
      </c>
      <c r="X10" s="363">
        <f t="shared" si="5"/>
        <v>17974.727999999999</v>
      </c>
      <c r="Y10" s="363"/>
      <c r="Z10" s="390"/>
    </row>
    <row r="11" spans="1:26">
      <c r="A11" s="2" t="s">
        <v>83</v>
      </c>
      <c r="B11" s="16">
        <f t="shared" ref="B11:N11" si="11">B81*0.8</f>
        <v>264620.72000000003</v>
      </c>
      <c r="C11" s="16">
        <f t="shared" si="11"/>
        <v>38141.248</v>
      </c>
      <c r="D11" s="16">
        <f t="shared" si="11"/>
        <v>4580.3599999999997</v>
      </c>
      <c r="E11" s="16">
        <f t="shared" si="11"/>
        <v>3325.056</v>
      </c>
      <c r="F11" s="16">
        <f t="shared" si="11"/>
        <v>139731.864</v>
      </c>
      <c r="G11" s="16">
        <f t="shared" si="11"/>
        <v>5391.0240000000003</v>
      </c>
      <c r="H11" s="16">
        <f t="shared" si="11"/>
        <v>4140.7440000000006</v>
      </c>
      <c r="I11" s="16">
        <f t="shared" si="11"/>
        <v>0</v>
      </c>
      <c r="J11" s="16">
        <f t="shared" si="11"/>
        <v>8547.5679999999993</v>
      </c>
      <c r="K11" s="16">
        <f t="shared" si="11"/>
        <v>521.71199999999999</v>
      </c>
      <c r="L11" s="16">
        <f t="shared" si="11"/>
        <v>173.904</v>
      </c>
      <c r="M11" s="16">
        <f t="shared" si="11"/>
        <v>1673.4720000000002</v>
      </c>
      <c r="N11" s="16">
        <f t="shared" si="11"/>
        <v>532.56000000000006</v>
      </c>
      <c r="O11" s="16">
        <f t="shared" si="0"/>
        <v>0</v>
      </c>
      <c r="P11" s="16">
        <f t="shared" si="9"/>
        <v>0</v>
      </c>
      <c r="Q11" s="16">
        <f t="shared" si="9"/>
        <v>0</v>
      </c>
      <c r="R11" s="8">
        <f t="shared" si="1"/>
        <v>471380.23200000002</v>
      </c>
      <c r="S11" s="363">
        <f t="shared" si="3"/>
        <v>264620.72000000003</v>
      </c>
      <c r="T11" s="363">
        <f t="shared" si="3"/>
        <v>38141.248</v>
      </c>
      <c r="U11" s="363">
        <f t="shared" si="3"/>
        <v>4580.3599999999997</v>
      </c>
      <c r="V11" s="363">
        <f t="shared" si="3"/>
        <v>3325.056</v>
      </c>
      <c r="W11" s="363">
        <f t="shared" si="4"/>
        <v>145122.88800000001</v>
      </c>
      <c r="X11" s="363">
        <f t="shared" si="5"/>
        <v>15589.96</v>
      </c>
      <c r="Y11" s="363"/>
      <c r="Z11" s="390"/>
    </row>
    <row r="12" spans="1:26">
      <c r="A12" s="2" t="s">
        <v>84</v>
      </c>
      <c r="B12" s="16">
        <f t="shared" ref="B12:N12" si="12">B82*0.8</f>
        <v>280274.56800000003</v>
      </c>
      <c r="C12" s="16">
        <f t="shared" si="12"/>
        <v>28355.552000000003</v>
      </c>
      <c r="D12" s="16">
        <f t="shared" si="12"/>
        <v>6242.4160000000011</v>
      </c>
      <c r="E12" s="16">
        <f t="shared" si="12"/>
        <v>5766.424</v>
      </c>
      <c r="F12" s="16">
        <f t="shared" si="12"/>
        <v>138601.48799999998</v>
      </c>
      <c r="G12" s="16">
        <f t="shared" si="12"/>
        <v>7477.8720000000003</v>
      </c>
      <c r="H12" s="16">
        <f t="shared" si="12"/>
        <v>3482.6959999999999</v>
      </c>
      <c r="I12" s="16">
        <f t="shared" si="12"/>
        <v>0</v>
      </c>
      <c r="J12" s="16">
        <f t="shared" si="12"/>
        <v>7165.9920000000002</v>
      </c>
      <c r="K12" s="16">
        <f t="shared" si="12"/>
        <v>3130.2720000000004</v>
      </c>
      <c r="L12" s="16">
        <f t="shared" si="12"/>
        <v>0</v>
      </c>
      <c r="M12" s="16">
        <f t="shared" si="12"/>
        <v>0</v>
      </c>
      <c r="N12" s="16">
        <f t="shared" si="12"/>
        <v>253.60000000000002</v>
      </c>
      <c r="O12" s="16">
        <f t="shared" si="0"/>
        <v>0</v>
      </c>
      <c r="P12" s="16">
        <f t="shared" si="9"/>
        <v>0</v>
      </c>
      <c r="Q12" s="16">
        <f t="shared" si="9"/>
        <v>0</v>
      </c>
      <c r="R12" s="8">
        <f t="shared" si="1"/>
        <v>480750.88000000006</v>
      </c>
      <c r="S12" s="363">
        <f t="shared" si="3"/>
        <v>280274.56800000003</v>
      </c>
      <c r="T12" s="363">
        <f t="shared" si="3"/>
        <v>28355.552000000003</v>
      </c>
      <c r="U12" s="363">
        <f t="shared" si="3"/>
        <v>6242.4160000000011</v>
      </c>
      <c r="V12" s="363">
        <f t="shared" si="3"/>
        <v>5766.424</v>
      </c>
      <c r="W12" s="363">
        <f t="shared" si="4"/>
        <v>146079.35999999999</v>
      </c>
      <c r="X12" s="363">
        <f t="shared" si="5"/>
        <v>14032.560000000001</v>
      </c>
      <c r="Y12" s="363"/>
      <c r="Z12" s="390"/>
    </row>
    <row r="13" spans="1:26">
      <c r="A13" s="2" t="s">
        <v>85</v>
      </c>
      <c r="B13" s="16">
        <f t="shared" ref="B13:N13" si="13">B83*0.8</f>
        <v>209140.17600000001</v>
      </c>
      <c r="C13" s="16">
        <f t="shared" si="13"/>
        <v>39958.480000000003</v>
      </c>
      <c r="D13" s="16">
        <f t="shared" si="13"/>
        <v>4145.7920000000004</v>
      </c>
      <c r="E13" s="16">
        <f t="shared" si="13"/>
        <v>10226.040000000001</v>
      </c>
      <c r="F13" s="16">
        <f t="shared" si="13"/>
        <v>297462.79200000002</v>
      </c>
      <c r="G13" s="16">
        <f t="shared" si="13"/>
        <v>3565.0320000000002</v>
      </c>
      <c r="H13" s="16">
        <f t="shared" si="13"/>
        <v>7928.1039999999994</v>
      </c>
      <c r="I13" s="16">
        <f t="shared" si="13"/>
        <v>260.85599999999999</v>
      </c>
      <c r="J13" s="16">
        <f t="shared" si="13"/>
        <v>9192.616</v>
      </c>
      <c r="K13" s="16">
        <f t="shared" si="13"/>
        <v>695.61599999999999</v>
      </c>
      <c r="L13" s="16">
        <f t="shared" si="13"/>
        <v>0</v>
      </c>
      <c r="M13" s="16">
        <f t="shared" si="13"/>
        <v>0</v>
      </c>
      <c r="N13" s="16">
        <f t="shared" si="13"/>
        <v>608.64</v>
      </c>
      <c r="O13" s="16">
        <f t="shared" si="0"/>
        <v>0</v>
      </c>
      <c r="P13" s="16">
        <f t="shared" si="9"/>
        <v>0</v>
      </c>
      <c r="Q13" s="16">
        <f t="shared" si="9"/>
        <v>0</v>
      </c>
      <c r="R13" s="8">
        <f t="shared" si="1"/>
        <v>583184.1440000002</v>
      </c>
      <c r="S13" s="363">
        <f t="shared" si="3"/>
        <v>209140.17600000001</v>
      </c>
      <c r="T13" s="363">
        <f t="shared" si="3"/>
        <v>39958.480000000003</v>
      </c>
      <c r="U13" s="363">
        <f t="shared" si="3"/>
        <v>4145.7920000000004</v>
      </c>
      <c r="V13" s="363">
        <f t="shared" si="3"/>
        <v>10226.040000000001</v>
      </c>
      <c r="W13" s="363">
        <f t="shared" si="4"/>
        <v>301027.82400000002</v>
      </c>
      <c r="X13" s="363">
        <f t="shared" si="5"/>
        <v>18685.832000000002</v>
      </c>
      <c r="Y13" s="363"/>
      <c r="Z13" s="390"/>
    </row>
    <row r="14" spans="1:26">
      <c r="A14" s="2" t="s">
        <v>86</v>
      </c>
      <c r="B14" s="16">
        <f t="shared" ref="B14:N14" si="14">B84*0.8</f>
        <v>74720.056000000011</v>
      </c>
      <c r="C14" s="16">
        <f t="shared" si="14"/>
        <v>12652.992</v>
      </c>
      <c r="D14" s="16">
        <f t="shared" si="14"/>
        <v>1724.6080000000002</v>
      </c>
      <c r="E14" s="16">
        <f t="shared" si="14"/>
        <v>1578.44</v>
      </c>
      <c r="F14" s="16">
        <f t="shared" si="14"/>
        <v>61040.304000000004</v>
      </c>
      <c r="G14" s="16">
        <f t="shared" si="14"/>
        <v>1825.992</v>
      </c>
      <c r="H14" s="16">
        <f t="shared" si="14"/>
        <v>1361.7760000000001</v>
      </c>
      <c r="I14" s="16">
        <f t="shared" si="14"/>
        <v>0</v>
      </c>
      <c r="J14" s="16">
        <f t="shared" si="14"/>
        <v>2966.1680000000001</v>
      </c>
      <c r="K14" s="16">
        <f t="shared" si="14"/>
        <v>260.85599999999999</v>
      </c>
      <c r="L14" s="16">
        <f t="shared" si="14"/>
        <v>0</v>
      </c>
      <c r="M14" s="16">
        <f t="shared" si="14"/>
        <v>0</v>
      </c>
      <c r="N14" s="16">
        <f t="shared" si="14"/>
        <v>126.80000000000001</v>
      </c>
      <c r="O14" s="16">
        <f t="shared" si="0"/>
        <v>0</v>
      </c>
      <c r="P14" s="16">
        <f t="shared" si="9"/>
        <v>0</v>
      </c>
      <c r="Q14" s="16">
        <f t="shared" si="9"/>
        <v>0</v>
      </c>
      <c r="R14" s="8">
        <f t="shared" si="1"/>
        <v>158257.99200000003</v>
      </c>
      <c r="S14" s="363">
        <f t="shared" si="3"/>
        <v>74720.056000000011</v>
      </c>
      <c r="T14" s="363">
        <f t="shared" si="3"/>
        <v>12652.992</v>
      </c>
      <c r="U14" s="363">
        <f t="shared" si="3"/>
        <v>1724.6080000000002</v>
      </c>
      <c r="V14" s="363">
        <f t="shared" si="3"/>
        <v>1578.44</v>
      </c>
      <c r="W14" s="363">
        <f t="shared" si="4"/>
        <v>62866.296000000002</v>
      </c>
      <c r="X14" s="363">
        <f t="shared" si="5"/>
        <v>4715.6000000000004</v>
      </c>
      <c r="Y14" s="363"/>
      <c r="Z14" s="390"/>
    </row>
    <row r="15" spans="1:26">
      <c r="A15" s="2" t="s">
        <v>87</v>
      </c>
      <c r="B15" s="16">
        <f t="shared" ref="B15:N15" si="15">B85*0.8</f>
        <v>145075.552</v>
      </c>
      <c r="C15" s="16">
        <f t="shared" si="15"/>
        <v>24922.904000000002</v>
      </c>
      <c r="D15" s="16">
        <f t="shared" si="15"/>
        <v>3964.9040000000005</v>
      </c>
      <c r="E15" s="16">
        <f t="shared" si="15"/>
        <v>3148.9680000000003</v>
      </c>
      <c r="F15" s="16">
        <f t="shared" si="15"/>
        <v>274681.36800000002</v>
      </c>
      <c r="G15" s="16">
        <f t="shared" si="15"/>
        <v>4086.7440000000006</v>
      </c>
      <c r="H15" s="16">
        <f t="shared" si="15"/>
        <v>3205.6800000000003</v>
      </c>
      <c r="I15" s="16">
        <f t="shared" si="15"/>
        <v>2546.4960000000001</v>
      </c>
      <c r="J15" s="16">
        <f t="shared" si="15"/>
        <v>5304.4480000000003</v>
      </c>
      <c r="K15" s="16">
        <f t="shared" si="15"/>
        <v>608.6640000000001</v>
      </c>
      <c r="L15" s="16">
        <f t="shared" si="15"/>
        <v>0</v>
      </c>
      <c r="M15" s="16">
        <f t="shared" si="15"/>
        <v>0</v>
      </c>
      <c r="N15" s="16">
        <f t="shared" si="15"/>
        <v>278.95999999999998</v>
      </c>
      <c r="O15" s="16">
        <f t="shared" si="0"/>
        <v>0</v>
      </c>
      <c r="P15" s="16">
        <f t="shared" si="9"/>
        <v>0</v>
      </c>
      <c r="Q15" s="16">
        <f t="shared" si="9"/>
        <v>0</v>
      </c>
      <c r="R15" s="8">
        <f t="shared" si="1"/>
        <v>467824.68799999997</v>
      </c>
      <c r="S15" s="363">
        <f t="shared" si="3"/>
        <v>145075.552</v>
      </c>
      <c r="T15" s="363">
        <f t="shared" si="3"/>
        <v>24922.904000000002</v>
      </c>
      <c r="U15" s="363">
        <f t="shared" si="3"/>
        <v>3964.9040000000005</v>
      </c>
      <c r="V15" s="363">
        <f t="shared" si="3"/>
        <v>3148.9680000000003</v>
      </c>
      <c r="W15" s="363">
        <f t="shared" si="4"/>
        <v>278768.11200000002</v>
      </c>
      <c r="X15" s="363">
        <f t="shared" si="5"/>
        <v>11944.248</v>
      </c>
      <c r="Y15" s="363"/>
      <c r="Z15" s="390"/>
    </row>
    <row r="16" spans="1:26">
      <c r="A16" s="2" t="s">
        <v>88</v>
      </c>
      <c r="B16" s="16">
        <f t="shared" ref="B16:N16" si="16">B86*0.8</f>
        <v>107597.416</v>
      </c>
      <c r="C16" s="16">
        <f t="shared" si="16"/>
        <v>33284.455999999998</v>
      </c>
      <c r="D16" s="16">
        <f t="shared" si="16"/>
        <v>2732.3040000000001</v>
      </c>
      <c r="E16" s="16">
        <f t="shared" si="16"/>
        <v>2647.9279999999999</v>
      </c>
      <c r="F16" s="16">
        <f t="shared" si="16"/>
        <v>187816.32000000001</v>
      </c>
      <c r="G16" s="16">
        <f t="shared" si="16"/>
        <v>3159.1440000000002</v>
      </c>
      <c r="H16" s="16">
        <f t="shared" si="16"/>
        <v>5018.72</v>
      </c>
      <c r="I16" s="16">
        <f t="shared" si="16"/>
        <v>337.62400000000002</v>
      </c>
      <c r="J16" s="16">
        <f t="shared" si="16"/>
        <v>6316.32</v>
      </c>
      <c r="K16" s="16">
        <f t="shared" si="16"/>
        <v>956.47199999999998</v>
      </c>
      <c r="L16" s="16">
        <f t="shared" si="16"/>
        <v>0</v>
      </c>
      <c r="M16" s="16">
        <f t="shared" si="16"/>
        <v>0</v>
      </c>
      <c r="N16" s="16">
        <f t="shared" si="16"/>
        <v>228.24</v>
      </c>
      <c r="O16" s="16">
        <f t="shared" si="0"/>
        <v>0</v>
      </c>
      <c r="P16" s="16">
        <f t="shared" si="9"/>
        <v>61.768000000000001</v>
      </c>
      <c r="Q16" s="16">
        <f t="shared" si="9"/>
        <v>0</v>
      </c>
      <c r="R16" s="8">
        <f t="shared" si="1"/>
        <v>350156.71199999994</v>
      </c>
      <c r="S16" s="363">
        <f t="shared" si="3"/>
        <v>107597.416</v>
      </c>
      <c r="T16" s="363">
        <f t="shared" si="3"/>
        <v>33284.455999999998</v>
      </c>
      <c r="U16" s="363">
        <f t="shared" si="3"/>
        <v>2732.3040000000001</v>
      </c>
      <c r="V16" s="363">
        <f t="shared" si="3"/>
        <v>2647.9279999999999</v>
      </c>
      <c r="W16" s="363">
        <f t="shared" si="4"/>
        <v>190975.46400000001</v>
      </c>
      <c r="X16" s="363">
        <f t="shared" si="5"/>
        <v>12919.144</v>
      </c>
      <c r="Y16" s="363"/>
      <c r="Z16" s="390"/>
    </row>
    <row r="17" spans="1:26">
      <c r="A17" s="2" t="s">
        <v>89</v>
      </c>
      <c r="B17" s="16">
        <f t="shared" ref="B17:N17" si="17">B87*0.8</f>
        <v>956672.93599999999</v>
      </c>
      <c r="C17" s="16">
        <f t="shared" si="17"/>
        <v>172165.44</v>
      </c>
      <c r="D17" s="16">
        <f t="shared" si="17"/>
        <v>14554.6</v>
      </c>
      <c r="E17" s="16">
        <f t="shared" si="17"/>
        <v>24738.736000000001</v>
      </c>
      <c r="F17" s="16">
        <f t="shared" si="17"/>
        <v>489600.72800000006</v>
      </c>
      <c r="G17" s="16">
        <f t="shared" si="17"/>
        <v>11999.376</v>
      </c>
      <c r="H17" s="16">
        <f t="shared" si="17"/>
        <v>25656.344000000001</v>
      </c>
      <c r="I17" s="16">
        <f t="shared" si="17"/>
        <v>0</v>
      </c>
      <c r="J17" s="16">
        <f t="shared" si="17"/>
        <v>39640.288</v>
      </c>
      <c r="K17" s="16">
        <f t="shared" si="17"/>
        <v>2173.8000000000002</v>
      </c>
      <c r="L17" s="16">
        <f t="shared" si="17"/>
        <v>0</v>
      </c>
      <c r="M17" s="16">
        <f t="shared" si="17"/>
        <v>0</v>
      </c>
      <c r="N17" s="16">
        <f t="shared" si="17"/>
        <v>1065.1200000000001</v>
      </c>
      <c r="O17" s="16">
        <f t="shared" si="0"/>
        <v>0</v>
      </c>
      <c r="P17" s="16">
        <f t="shared" si="9"/>
        <v>0</v>
      </c>
      <c r="Q17" s="16">
        <f t="shared" si="9"/>
        <v>0</v>
      </c>
      <c r="R17" s="8">
        <f t="shared" si="1"/>
        <v>1738267.3680000002</v>
      </c>
      <c r="S17" s="363">
        <f t="shared" si="3"/>
        <v>956672.93599999999</v>
      </c>
      <c r="T17" s="363">
        <f t="shared" si="3"/>
        <v>172165.44</v>
      </c>
      <c r="U17" s="363">
        <f t="shared" si="3"/>
        <v>14554.6</v>
      </c>
      <c r="V17" s="363">
        <f t="shared" si="3"/>
        <v>24738.736000000001</v>
      </c>
      <c r="W17" s="363">
        <f t="shared" si="4"/>
        <v>501600.10400000005</v>
      </c>
      <c r="X17" s="363">
        <f t="shared" si="5"/>
        <v>68535.551999999996</v>
      </c>
      <c r="Y17" s="363"/>
      <c r="Z17" s="390"/>
    </row>
    <row r="18" spans="1:26">
      <c r="A18" s="2" t="s">
        <v>90</v>
      </c>
      <c r="B18" s="16">
        <f t="shared" ref="B18:N18" si="18">B88*0.8</f>
        <v>97399.831999999995</v>
      </c>
      <c r="C18" s="16">
        <f t="shared" si="18"/>
        <v>23358.616000000002</v>
      </c>
      <c r="D18" s="16">
        <f t="shared" si="18"/>
        <v>2289.3200000000002</v>
      </c>
      <c r="E18" s="16">
        <f t="shared" si="18"/>
        <v>2591.4960000000001</v>
      </c>
      <c r="F18" s="16">
        <f t="shared" si="18"/>
        <v>91659.847999999998</v>
      </c>
      <c r="G18" s="16">
        <f t="shared" si="18"/>
        <v>4086.7440000000006</v>
      </c>
      <c r="H18" s="16">
        <f t="shared" si="18"/>
        <v>2914.6000000000004</v>
      </c>
      <c r="I18" s="16">
        <f t="shared" si="18"/>
        <v>0</v>
      </c>
      <c r="J18" s="16">
        <f t="shared" si="18"/>
        <v>5467.7839999999997</v>
      </c>
      <c r="K18" s="16">
        <f t="shared" si="18"/>
        <v>782.5680000000001</v>
      </c>
      <c r="L18" s="16">
        <f t="shared" si="18"/>
        <v>173.904</v>
      </c>
      <c r="M18" s="16">
        <f t="shared" si="18"/>
        <v>0</v>
      </c>
      <c r="N18" s="16">
        <f t="shared" si="18"/>
        <v>304.32</v>
      </c>
      <c r="O18" s="16">
        <f t="shared" si="0"/>
        <v>0</v>
      </c>
      <c r="P18" s="16">
        <f t="shared" si="9"/>
        <v>0</v>
      </c>
      <c r="Q18" s="16">
        <f t="shared" si="9"/>
        <v>0</v>
      </c>
      <c r="R18" s="8">
        <f t="shared" si="1"/>
        <v>231029.03200000006</v>
      </c>
      <c r="S18" s="363">
        <f t="shared" si="3"/>
        <v>97399.831999999995</v>
      </c>
      <c r="T18" s="363">
        <f t="shared" si="3"/>
        <v>23358.616000000002</v>
      </c>
      <c r="U18" s="363">
        <f t="shared" si="3"/>
        <v>2289.3200000000002</v>
      </c>
      <c r="V18" s="363">
        <f t="shared" si="3"/>
        <v>2591.4960000000001</v>
      </c>
      <c r="W18" s="363">
        <f t="shared" si="4"/>
        <v>95746.592000000004</v>
      </c>
      <c r="X18" s="363">
        <f t="shared" si="5"/>
        <v>9643.1759999999995</v>
      </c>
      <c r="Y18" s="363"/>
      <c r="Z18" s="390"/>
    </row>
    <row r="19" spans="1:26">
      <c r="A19" s="2" t="s">
        <v>91</v>
      </c>
      <c r="B19" s="16">
        <f t="shared" ref="B19:N19" si="19">B89*0.8</f>
        <v>120666.03200000001</v>
      </c>
      <c r="C19" s="16">
        <f t="shared" si="19"/>
        <v>39497.448000000004</v>
      </c>
      <c r="D19" s="16">
        <f t="shared" si="19"/>
        <v>796.36000000000013</v>
      </c>
      <c r="E19" s="16">
        <f t="shared" si="19"/>
        <v>7264.4320000000007</v>
      </c>
      <c r="F19" s="16">
        <f t="shared" si="19"/>
        <v>98255.760000000009</v>
      </c>
      <c r="G19" s="16">
        <f t="shared" si="19"/>
        <v>5738.8320000000003</v>
      </c>
      <c r="H19" s="16">
        <f t="shared" si="19"/>
        <v>7380.6559999999999</v>
      </c>
      <c r="I19" s="16">
        <f t="shared" si="19"/>
        <v>0</v>
      </c>
      <c r="J19" s="16">
        <f t="shared" si="19"/>
        <v>10478.992</v>
      </c>
      <c r="K19" s="16">
        <f t="shared" si="19"/>
        <v>260.85599999999999</v>
      </c>
      <c r="L19" s="16">
        <f t="shared" si="19"/>
        <v>0</v>
      </c>
      <c r="M19" s="16">
        <f t="shared" si="19"/>
        <v>0</v>
      </c>
      <c r="N19" s="16">
        <f t="shared" si="19"/>
        <v>152.16</v>
      </c>
      <c r="O19" s="16">
        <f t="shared" si="0"/>
        <v>0</v>
      </c>
      <c r="P19" s="16">
        <f t="shared" si="9"/>
        <v>41.951999999999998</v>
      </c>
      <c r="Q19" s="16">
        <f t="shared" si="9"/>
        <v>859.11200000000008</v>
      </c>
      <c r="R19" s="8">
        <f t="shared" si="1"/>
        <v>291392.59200000006</v>
      </c>
      <c r="S19" s="363">
        <f t="shared" si="3"/>
        <v>120666.03200000001</v>
      </c>
      <c r="T19" s="363">
        <f t="shared" si="3"/>
        <v>39497.448000000004</v>
      </c>
      <c r="U19" s="363">
        <f t="shared" si="3"/>
        <v>796.36000000000013</v>
      </c>
      <c r="V19" s="363">
        <f t="shared" si="3"/>
        <v>7264.4320000000007</v>
      </c>
      <c r="W19" s="363">
        <f t="shared" si="4"/>
        <v>103994.592</v>
      </c>
      <c r="X19" s="363">
        <f t="shared" si="5"/>
        <v>19173.728000000003</v>
      </c>
      <c r="Y19" s="363"/>
      <c r="Z19" s="390"/>
    </row>
    <row r="20" spans="1:26">
      <c r="A20" s="2" t="s">
        <v>92</v>
      </c>
      <c r="B20" s="16">
        <f t="shared" ref="B20:N20" si="20">B90*0.8</f>
        <v>735945.85600000003</v>
      </c>
      <c r="C20" s="16">
        <f t="shared" si="20"/>
        <v>113339.23200000002</v>
      </c>
      <c r="D20" s="16">
        <f t="shared" si="20"/>
        <v>19388.28</v>
      </c>
      <c r="E20" s="16">
        <f t="shared" si="20"/>
        <v>27291.896000000004</v>
      </c>
      <c r="F20" s="16">
        <f t="shared" si="20"/>
        <v>612489.88800000004</v>
      </c>
      <c r="G20" s="16">
        <f t="shared" si="20"/>
        <v>9999.4800000000014</v>
      </c>
      <c r="H20" s="16">
        <f t="shared" si="20"/>
        <v>15889.407999999999</v>
      </c>
      <c r="I20" s="16">
        <f t="shared" si="20"/>
        <v>4131.4639999999999</v>
      </c>
      <c r="J20" s="16">
        <f t="shared" si="20"/>
        <v>28683.944000000003</v>
      </c>
      <c r="K20" s="16">
        <f t="shared" si="20"/>
        <v>1912.944</v>
      </c>
      <c r="L20" s="16">
        <f t="shared" si="20"/>
        <v>173.904</v>
      </c>
      <c r="M20" s="16">
        <f t="shared" si="20"/>
        <v>0</v>
      </c>
      <c r="N20" s="16">
        <f t="shared" si="20"/>
        <v>862.24</v>
      </c>
      <c r="O20" s="16">
        <f t="shared" si="0"/>
        <v>0</v>
      </c>
      <c r="P20" s="16">
        <f t="shared" si="9"/>
        <v>0</v>
      </c>
      <c r="Q20" s="16">
        <f t="shared" si="9"/>
        <v>0</v>
      </c>
      <c r="R20" s="8">
        <f t="shared" si="1"/>
        <v>1570108.5359999998</v>
      </c>
      <c r="S20" s="363">
        <f t="shared" si="3"/>
        <v>735945.85600000003</v>
      </c>
      <c r="T20" s="363">
        <f t="shared" si="3"/>
        <v>113339.23200000002</v>
      </c>
      <c r="U20" s="363">
        <f t="shared" si="3"/>
        <v>19388.28</v>
      </c>
      <c r="V20" s="363">
        <f t="shared" si="3"/>
        <v>27291.896000000004</v>
      </c>
      <c r="W20" s="363">
        <f t="shared" si="4"/>
        <v>622489.36800000002</v>
      </c>
      <c r="X20" s="363">
        <f t="shared" si="5"/>
        <v>51653.90400000001</v>
      </c>
      <c r="Y20" s="363"/>
      <c r="Z20" s="390"/>
    </row>
    <row r="21" spans="1:26">
      <c r="A21" s="2" t="s">
        <v>93</v>
      </c>
      <c r="B21" s="16">
        <f t="shared" ref="B21:O31" si="21">B91*0.8</f>
        <v>209542.08799999999</v>
      </c>
      <c r="C21" s="16">
        <f t="shared" si="21"/>
        <v>34278.944000000003</v>
      </c>
      <c r="D21" s="16">
        <f t="shared" si="21"/>
        <v>4309.8160000000007</v>
      </c>
      <c r="E21" s="16">
        <f t="shared" si="21"/>
        <v>4657.3919999999998</v>
      </c>
      <c r="F21" s="16">
        <f t="shared" si="21"/>
        <v>165730.51200000002</v>
      </c>
      <c r="G21" s="16">
        <f t="shared" si="21"/>
        <v>8695.2000000000007</v>
      </c>
      <c r="H21" s="16">
        <f t="shared" si="21"/>
        <v>3870.7919999999999</v>
      </c>
      <c r="I21" s="16">
        <f t="shared" si="21"/>
        <v>966.096</v>
      </c>
      <c r="J21" s="16">
        <f t="shared" si="21"/>
        <v>7883.7759999999998</v>
      </c>
      <c r="K21" s="16">
        <f t="shared" si="21"/>
        <v>869.5200000000001</v>
      </c>
      <c r="L21" s="16">
        <f t="shared" si="21"/>
        <v>0</v>
      </c>
      <c r="M21" s="16">
        <f t="shared" si="21"/>
        <v>0</v>
      </c>
      <c r="N21" s="16">
        <f t="shared" si="21"/>
        <v>253.60000000000002</v>
      </c>
      <c r="O21" s="16">
        <f t="shared" si="21"/>
        <v>0</v>
      </c>
      <c r="P21" s="16">
        <f t="shared" si="9"/>
        <v>0</v>
      </c>
      <c r="Q21" s="16">
        <f t="shared" si="9"/>
        <v>0</v>
      </c>
      <c r="R21" s="8">
        <f t="shared" si="1"/>
        <v>441057.73600000003</v>
      </c>
      <c r="S21" s="363">
        <f t="shared" si="3"/>
        <v>209542.08799999999</v>
      </c>
      <c r="T21" s="363">
        <f t="shared" si="3"/>
        <v>34278.944000000003</v>
      </c>
      <c r="U21" s="363">
        <f t="shared" si="3"/>
        <v>4309.8160000000007</v>
      </c>
      <c r="V21" s="363">
        <f t="shared" si="3"/>
        <v>4657.3919999999998</v>
      </c>
      <c r="W21" s="363">
        <f t="shared" si="4"/>
        <v>174425.71200000003</v>
      </c>
      <c r="X21" s="363">
        <f t="shared" si="5"/>
        <v>13843.784000000001</v>
      </c>
      <c r="Y21" s="363"/>
      <c r="Z21" s="390"/>
    </row>
    <row r="22" spans="1:26">
      <c r="A22" s="2" t="s">
        <v>94</v>
      </c>
      <c r="B22" s="16">
        <f t="shared" ref="B22:N22" si="22">B92*0.8</f>
        <v>60187.552000000003</v>
      </c>
      <c r="C22" s="16">
        <f t="shared" si="22"/>
        <v>8351.5679999999993</v>
      </c>
      <c r="D22" s="16">
        <f t="shared" si="22"/>
        <v>733.80000000000007</v>
      </c>
      <c r="E22" s="16">
        <f t="shared" si="22"/>
        <v>2142.8240000000001</v>
      </c>
      <c r="F22" s="16">
        <f t="shared" si="22"/>
        <v>44085.464000000007</v>
      </c>
      <c r="G22" s="16">
        <f t="shared" si="22"/>
        <v>2260.752</v>
      </c>
      <c r="H22" s="16">
        <f t="shared" si="22"/>
        <v>1207.76</v>
      </c>
      <c r="I22" s="16">
        <f t="shared" si="22"/>
        <v>0</v>
      </c>
      <c r="J22" s="16">
        <f t="shared" si="22"/>
        <v>2119.4240000000004</v>
      </c>
      <c r="K22" s="16">
        <f t="shared" si="22"/>
        <v>782.5680000000001</v>
      </c>
      <c r="L22" s="16">
        <f t="shared" si="22"/>
        <v>0</v>
      </c>
      <c r="M22" s="16">
        <f t="shared" si="22"/>
        <v>0</v>
      </c>
      <c r="N22" s="16">
        <f t="shared" si="22"/>
        <v>50.72</v>
      </c>
      <c r="O22" s="16">
        <f t="shared" si="21"/>
        <v>0</v>
      </c>
      <c r="P22" s="16">
        <f>P92</f>
        <v>0</v>
      </c>
      <c r="Q22" s="16">
        <f>Q92</f>
        <v>0</v>
      </c>
      <c r="R22" s="8">
        <f t="shared" si="1"/>
        <v>121922.43199999999</v>
      </c>
      <c r="S22" s="363">
        <f t="shared" si="3"/>
        <v>60187.552000000003</v>
      </c>
      <c r="T22" s="363">
        <f t="shared" si="3"/>
        <v>8351.5679999999993</v>
      </c>
      <c r="U22" s="363">
        <f t="shared" si="3"/>
        <v>733.80000000000007</v>
      </c>
      <c r="V22" s="363">
        <f t="shared" si="3"/>
        <v>2142.8240000000001</v>
      </c>
      <c r="W22" s="363">
        <f t="shared" si="4"/>
        <v>46346.216000000008</v>
      </c>
      <c r="X22" s="363">
        <f t="shared" si="5"/>
        <v>4160.4720000000007</v>
      </c>
      <c r="Y22" s="363"/>
      <c r="Z22" s="390"/>
    </row>
    <row r="23" spans="1:26">
      <c r="A23" s="2" t="s">
        <v>95</v>
      </c>
      <c r="B23" s="16">
        <f t="shared" ref="B23:N23" si="23">B93*0.8</f>
        <v>797805.18400000001</v>
      </c>
      <c r="C23" s="16">
        <f t="shared" si="23"/>
        <v>104439.77600000001</v>
      </c>
      <c r="D23" s="16">
        <f t="shared" si="23"/>
        <v>20595.528000000002</v>
      </c>
      <c r="E23" s="16">
        <f t="shared" si="23"/>
        <v>17732.088</v>
      </c>
      <c r="F23" s="16">
        <f t="shared" si="23"/>
        <v>514469.20800000004</v>
      </c>
      <c r="G23" s="16">
        <f t="shared" si="23"/>
        <v>11564.616000000002</v>
      </c>
      <c r="H23" s="16">
        <f t="shared" si="23"/>
        <v>14718.335999999999</v>
      </c>
      <c r="I23" s="16">
        <f t="shared" si="23"/>
        <v>8484.1600000000017</v>
      </c>
      <c r="J23" s="16">
        <f t="shared" si="23"/>
        <v>24422.144</v>
      </c>
      <c r="K23" s="16">
        <f t="shared" si="23"/>
        <v>1391.232</v>
      </c>
      <c r="L23" s="16">
        <f t="shared" si="23"/>
        <v>347.80799999999999</v>
      </c>
      <c r="M23" s="16">
        <f t="shared" si="23"/>
        <v>0</v>
      </c>
      <c r="N23" s="16">
        <f t="shared" si="23"/>
        <v>1572.3200000000002</v>
      </c>
      <c r="O23" s="16">
        <f t="shared" si="21"/>
        <v>0</v>
      </c>
      <c r="P23" s="16">
        <f t="shared" ref="P23:Q28" si="24">P93*0.8</f>
        <v>0</v>
      </c>
      <c r="Q23" s="16">
        <f t="shared" si="24"/>
        <v>0</v>
      </c>
      <c r="R23" s="8">
        <f t="shared" si="1"/>
        <v>1517542.3999999999</v>
      </c>
      <c r="S23" s="363">
        <f t="shared" si="3"/>
        <v>797805.18400000001</v>
      </c>
      <c r="T23" s="363">
        <f t="shared" si="3"/>
        <v>104439.77600000001</v>
      </c>
      <c r="U23" s="363">
        <f t="shared" si="3"/>
        <v>20595.528000000002</v>
      </c>
      <c r="V23" s="363">
        <f t="shared" si="3"/>
        <v>17732.088</v>
      </c>
      <c r="W23" s="363">
        <f t="shared" si="4"/>
        <v>526033.82400000002</v>
      </c>
      <c r="X23" s="363">
        <f t="shared" si="5"/>
        <v>50936</v>
      </c>
      <c r="Y23" s="363"/>
      <c r="Z23" s="390"/>
    </row>
    <row r="24" spans="1:26">
      <c r="A24" s="2" t="s">
        <v>96</v>
      </c>
      <c r="B24" s="16">
        <f t="shared" ref="B24:N24" si="25">B94*0.8</f>
        <v>94694.432000000001</v>
      </c>
      <c r="C24" s="16">
        <f t="shared" si="25"/>
        <v>22676.648000000001</v>
      </c>
      <c r="D24" s="16">
        <f t="shared" si="25"/>
        <v>1065.2</v>
      </c>
      <c r="E24" s="16">
        <f t="shared" si="25"/>
        <v>1899.5919999999999</v>
      </c>
      <c r="F24" s="16">
        <f t="shared" si="25"/>
        <v>72691.872000000003</v>
      </c>
      <c r="G24" s="16">
        <f t="shared" si="25"/>
        <v>2173.8000000000002</v>
      </c>
      <c r="H24" s="16">
        <f t="shared" si="25"/>
        <v>3265.4400000000005</v>
      </c>
      <c r="I24" s="16">
        <f t="shared" si="25"/>
        <v>1014.4639999999999</v>
      </c>
      <c r="J24" s="16">
        <f t="shared" si="25"/>
        <v>4966.2640000000001</v>
      </c>
      <c r="K24" s="16">
        <f t="shared" si="25"/>
        <v>0</v>
      </c>
      <c r="L24" s="16">
        <f t="shared" si="25"/>
        <v>0</v>
      </c>
      <c r="M24" s="16">
        <f t="shared" si="25"/>
        <v>0</v>
      </c>
      <c r="N24" s="16">
        <f t="shared" si="25"/>
        <v>126.80000000000001</v>
      </c>
      <c r="O24" s="16">
        <f t="shared" si="21"/>
        <v>0</v>
      </c>
      <c r="P24" s="16">
        <f t="shared" si="24"/>
        <v>0</v>
      </c>
      <c r="Q24" s="16">
        <f t="shared" si="24"/>
        <v>0</v>
      </c>
      <c r="R24" s="8">
        <f t="shared" si="1"/>
        <v>204574.51199999999</v>
      </c>
      <c r="S24" s="363">
        <f t="shared" si="3"/>
        <v>94694.432000000001</v>
      </c>
      <c r="T24" s="363">
        <f t="shared" si="3"/>
        <v>22676.648000000001</v>
      </c>
      <c r="U24" s="363">
        <f t="shared" si="3"/>
        <v>1065.2</v>
      </c>
      <c r="V24" s="363">
        <f t="shared" si="3"/>
        <v>1899.5919999999999</v>
      </c>
      <c r="W24" s="363">
        <f t="shared" si="4"/>
        <v>74865.672000000006</v>
      </c>
      <c r="X24" s="363">
        <f t="shared" si="5"/>
        <v>9372.9680000000008</v>
      </c>
      <c r="Y24" s="363"/>
      <c r="Z24" s="390"/>
    </row>
    <row r="25" spans="1:26">
      <c r="A25" s="2" t="s">
        <v>97</v>
      </c>
      <c r="B25" s="16">
        <f t="shared" ref="B25:N25" si="26">B95*0.8</f>
        <v>714152.4</v>
      </c>
      <c r="C25" s="16">
        <f t="shared" si="26"/>
        <v>137496.39199999999</v>
      </c>
      <c r="D25" s="16">
        <f t="shared" si="26"/>
        <v>11733.416000000001</v>
      </c>
      <c r="E25" s="16">
        <f t="shared" si="26"/>
        <v>30845.4</v>
      </c>
      <c r="F25" s="16">
        <f t="shared" si="26"/>
        <v>758830.10400000005</v>
      </c>
      <c r="G25" s="16">
        <f t="shared" si="26"/>
        <v>10955.952000000001</v>
      </c>
      <c r="H25" s="16">
        <f t="shared" si="26"/>
        <v>21908.152000000002</v>
      </c>
      <c r="I25" s="16">
        <f t="shared" si="26"/>
        <v>2993.2960000000003</v>
      </c>
      <c r="J25" s="16">
        <f t="shared" si="26"/>
        <v>34569.159999999996</v>
      </c>
      <c r="K25" s="16">
        <f t="shared" si="26"/>
        <v>1391.232</v>
      </c>
      <c r="L25" s="16">
        <f t="shared" si="26"/>
        <v>173.904</v>
      </c>
      <c r="M25" s="16">
        <f t="shared" si="26"/>
        <v>280.23200000000003</v>
      </c>
      <c r="N25" s="16">
        <f t="shared" si="26"/>
        <v>1115.8399999999999</v>
      </c>
      <c r="O25" s="16">
        <f t="shared" si="21"/>
        <v>0</v>
      </c>
      <c r="P25" s="16">
        <f t="shared" si="24"/>
        <v>0</v>
      </c>
      <c r="Q25" s="16">
        <f t="shared" si="24"/>
        <v>0</v>
      </c>
      <c r="R25" s="8">
        <f t="shared" si="1"/>
        <v>1726445.4800000004</v>
      </c>
      <c r="S25" s="363">
        <f t="shared" si="3"/>
        <v>714152.4</v>
      </c>
      <c r="T25" s="363">
        <f t="shared" si="3"/>
        <v>137496.39199999999</v>
      </c>
      <c r="U25" s="363">
        <f t="shared" si="3"/>
        <v>11733.416000000001</v>
      </c>
      <c r="V25" s="363">
        <f t="shared" si="3"/>
        <v>30845.4</v>
      </c>
      <c r="W25" s="363">
        <f t="shared" si="4"/>
        <v>769786.0560000001</v>
      </c>
      <c r="X25" s="363">
        <f t="shared" si="5"/>
        <v>62431.815999999999</v>
      </c>
      <c r="Y25" s="363"/>
      <c r="Z25" s="390"/>
    </row>
    <row r="26" spans="1:26">
      <c r="A26" s="2" t="s">
        <v>98</v>
      </c>
      <c r="B26" s="16">
        <f t="shared" ref="B26:N26" si="27">B96*0.8</f>
        <v>51722.112000000001</v>
      </c>
      <c r="C26" s="16">
        <f t="shared" si="27"/>
        <v>10167.608</v>
      </c>
      <c r="D26" s="16">
        <f t="shared" si="27"/>
        <v>561.34399999999994</v>
      </c>
      <c r="E26" s="16">
        <f t="shared" si="27"/>
        <v>2007.9360000000001</v>
      </c>
      <c r="F26" s="16">
        <f t="shared" si="27"/>
        <v>70865.88</v>
      </c>
      <c r="G26" s="16">
        <f t="shared" si="27"/>
        <v>1999.896</v>
      </c>
      <c r="H26" s="16">
        <f t="shared" si="27"/>
        <v>1283.008</v>
      </c>
      <c r="I26" s="16">
        <f t="shared" si="27"/>
        <v>0</v>
      </c>
      <c r="J26" s="16">
        <f t="shared" si="27"/>
        <v>2554.2880000000005</v>
      </c>
      <c r="K26" s="16">
        <f t="shared" si="27"/>
        <v>521.71199999999999</v>
      </c>
      <c r="L26" s="16">
        <f t="shared" si="27"/>
        <v>0</v>
      </c>
      <c r="M26" s="16">
        <f t="shared" si="27"/>
        <v>0</v>
      </c>
      <c r="N26" s="16">
        <f t="shared" si="27"/>
        <v>126.80000000000001</v>
      </c>
      <c r="O26" s="16">
        <f t="shared" si="21"/>
        <v>0</v>
      </c>
      <c r="P26" s="16">
        <f>P96</f>
        <v>24.9</v>
      </c>
      <c r="Q26" s="16">
        <f>Q96</f>
        <v>498.38</v>
      </c>
      <c r="R26" s="8">
        <f t="shared" si="1"/>
        <v>142333.864</v>
      </c>
      <c r="S26" s="363">
        <f t="shared" si="3"/>
        <v>51722.112000000001</v>
      </c>
      <c r="T26" s="363">
        <f t="shared" si="3"/>
        <v>10167.608</v>
      </c>
      <c r="U26" s="363">
        <f t="shared" si="3"/>
        <v>561.34399999999994</v>
      </c>
      <c r="V26" s="363">
        <f t="shared" si="3"/>
        <v>2007.9360000000001</v>
      </c>
      <c r="W26" s="363">
        <f t="shared" si="4"/>
        <v>72865.775999999998</v>
      </c>
      <c r="X26" s="363">
        <f t="shared" si="5"/>
        <v>5009.0879999999997</v>
      </c>
      <c r="Y26" s="363"/>
      <c r="Z26" s="390"/>
    </row>
    <row r="27" spans="1:26">
      <c r="A27" s="2" t="s">
        <v>99</v>
      </c>
      <c r="B27" s="16">
        <f t="shared" ref="B27:N27" si="28">B97*0.8</f>
        <v>8702.5360000000001</v>
      </c>
      <c r="C27" s="16">
        <f t="shared" si="28"/>
        <v>2528.1360000000004</v>
      </c>
      <c r="D27" s="16">
        <f t="shared" si="28"/>
        <v>223.18400000000003</v>
      </c>
      <c r="E27" s="16">
        <f t="shared" si="28"/>
        <v>950.84799999999996</v>
      </c>
      <c r="F27" s="16">
        <f t="shared" si="28"/>
        <v>11825.472000000002</v>
      </c>
      <c r="G27" s="16">
        <f t="shared" si="28"/>
        <v>869.5200000000001</v>
      </c>
      <c r="H27" s="16">
        <f t="shared" si="28"/>
        <v>223.23200000000003</v>
      </c>
      <c r="I27" s="16">
        <f t="shared" si="28"/>
        <v>0</v>
      </c>
      <c r="J27" s="16">
        <f t="shared" si="28"/>
        <v>738.46400000000006</v>
      </c>
      <c r="K27" s="16">
        <f t="shared" si="28"/>
        <v>0</v>
      </c>
      <c r="L27" s="16">
        <f t="shared" si="28"/>
        <v>0</v>
      </c>
      <c r="M27" s="16">
        <f t="shared" si="28"/>
        <v>0</v>
      </c>
      <c r="N27" s="16">
        <f t="shared" si="28"/>
        <v>25.36</v>
      </c>
      <c r="O27" s="16">
        <f t="shared" si="21"/>
        <v>0</v>
      </c>
      <c r="P27" s="16">
        <f t="shared" si="24"/>
        <v>0</v>
      </c>
      <c r="Q27" s="16">
        <f t="shared" si="24"/>
        <v>0</v>
      </c>
      <c r="R27" s="8">
        <f t="shared" si="1"/>
        <v>26086.752</v>
      </c>
      <c r="S27" s="363">
        <f t="shared" si="3"/>
        <v>8702.5360000000001</v>
      </c>
      <c r="T27" s="363">
        <f t="shared" si="3"/>
        <v>2528.1360000000004</v>
      </c>
      <c r="U27" s="363">
        <f t="shared" si="3"/>
        <v>223.18400000000003</v>
      </c>
      <c r="V27" s="363">
        <f t="shared" si="3"/>
        <v>950.84799999999996</v>
      </c>
      <c r="W27" s="363">
        <f t="shared" si="4"/>
        <v>12694.992000000002</v>
      </c>
      <c r="X27" s="363">
        <f t="shared" si="5"/>
        <v>987.05600000000015</v>
      </c>
      <c r="Y27" s="363"/>
      <c r="Z27" s="390"/>
    </row>
    <row r="28" spans="1:26">
      <c r="A28" s="2" t="s">
        <v>100</v>
      </c>
      <c r="B28" s="16">
        <f t="shared" ref="B28:N28" si="29">B98*0.8</f>
        <v>516115.12800000003</v>
      </c>
      <c r="C28" s="16">
        <f t="shared" si="29"/>
        <v>90482.296000000002</v>
      </c>
      <c r="D28" s="16">
        <f t="shared" si="29"/>
        <v>13354.128000000001</v>
      </c>
      <c r="E28" s="16">
        <f t="shared" si="29"/>
        <v>30945.256000000001</v>
      </c>
      <c r="F28" s="16">
        <f t="shared" si="29"/>
        <v>551188.728</v>
      </c>
      <c r="G28" s="16">
        <f t="shared" si="29"/>
        <v>6086.64</v>
      </c>
      <c r="H28" s="16">
        <f t="shared" si="29"/>
        <v>16131.672</v>
      </c>
      <c r="I28" s="16">
        <f t="shared" si="29"/>
        <v>0</v>
      </c>
      <c r="J28" s="16">
        <f t="shared" si="29"/>
        <v>24822.560000000001</v>
      </c>
      <c r="K28" s="16">
        <f t="shared" si="29"/>
        <v>869.5200000000001</v>
      </c>
      <c r="L28" s="16">
        <f t="shared" si="29"/>
        <v>173.904</v>
      </c>
      <c r="M28" s="16">
        <f t="shared" si="29"/>
        <v>0</v>
      </c>
      <c r="N28" s="16">
        <f t="shared" si="29"/>
        <v>989.04</v>
      </c>
      <c r="O28" s="16">
        <f t="shared" si="21"/>
        <v>0</v>
      </c>
      <c r="P28" s="16">
        <f t="shared" si="24"/>
        <v>0</v>
      </c>
      <c r="Q28" s="16">
        <f t="shared" si="24"/>
        <v>0</v>
      </c>
      <c r="R28" s="8">
        <f t="shared" si="1"/>
        <v>1251158.8720000002</v>
      </c>
      <c r="S28" s="363">
        <f t="shared" si="3"/>
        <v>516115.12800000003</v>
      </c>
      <c r="T28" s="363">
        <f t="shared" si="3"/>
        <v>90482.296000000002</v>
      </c>
      <c r="U28" s="363">
        <f t="shared" si="3"/>
        <v>13354.128000000001</v>
      </c>
      <c r="V28" s="363">
        <f t="shared" si="3"/>
        <v>30945.256000000001</v>
      </c>
      <c r="W28" s="363">
        <f t="shared" si="4"/>
        <v>557275.36800000002</v>
      </c>
      <c r="X28" s="363">
        <f t="shared" si="5"/>
        <v>42986.696000000004</v>
      </c>
      <c r="Y28" s="363"/>
      <c r="Z28" s="390"/>
    </row>
    <row r="29" spans="1:26">
      <c r="A29" s="2" t="s">
        <v>101</v>
      </c>
      <c r="B29" s="16">
        <f t="shared" ref="B29:N29" si="30">B99*0.8</f>
        <v>2762173.6880000001</v>
      </c>
      <c r="C29" s="16">
        <f t="shared" si="30"/>
        <v>520882.19200000004</v>
      </c>
      <c r="D29" s="16">
        <f t="shared" si="30"/>
        <v>56169.768000000011</v>
      </c>
      <c r="E29" s="16">
        <f t="shared" si="30"/>
        <v>93335.216000000015</v>
      </c>
      <c r="F29" s="16">
        <f t="shared" si="30"/>
        <v>2816114.4240000001</v>
      </c>
      <c r="G29" s="16">
        <f t="shared" si="30"/>
        <v>37998.023999999998</v>
      </c>
      <c r="H29" s="16">
        <f t="shared" si="30"/>
        <v>109941.45600000001</v>
      </c>
      <c r="I29" s="16">
        <f t="shared" si="30"/>
        <v>3135.0320000000002</v>
      </c>
      <c r="J29" s="16">
        <f t="shared" si="30"/>
        <v>125262.50400000002</v>
      </c>
      <c r="K29" s="16">
        <f t="shared" si="30"/>
        <v>7912.6320000000014</v>
      </c>
      <c r="L29" s="16">
        <f t="shared" si="30"/>
        <v>1565.1360000000002</v>
      </c>
      <c r="M29" s="16">
        <f t="shared" si="30"/>
        <v>0</v>
      </c>
      <c r="N29" s="16">
        <f t="shared" si="30"/>
        <v>5655.2800000000007</v>
      </c>
      <c r="O29" s="16">
        <f t="shared" si="21"/>
        <v>0</v>
      </c>
      <c r="P29" s="16">
        <f>P99</f>
        <v>1170.42</v>
      </c>
      <c r="Q29" s="16">
        <f>Q99</f>
        <v>22594.22</v>
      </c>
      <c r="R29" s="8">
        <f t="shared" si="1"/>
        <v>6563909.9920000006</v>
      </c>
      <c r="S29" s="363">
        <f t="shared" si="3"/>
        <v>2762173.6880000001</v>
      </c>
      <c r="T29" s="363">
        <f t="shared" si="3"/>
        <v>520882.19200000004</v>
      </c>
      <c r="U29" s="363">
        <f t="shared" si="3"/>
        <v>56169.768000000011</v>
      </c>
      <c r="V29" s="363">
        <f t="shared" si="3"/>
        <v>93335.216000000015</v>
      </c>
      <c r="W29" s="363">
        <f t="shared" si="4"/>
        <v>2854112.4480000003</v>
      </c>
      <c r="X29" s="363">
        <f t="shared" si="5"/>
        <v>277236.68000000005</v>
      </c>
      <c r="Y29" s="363"/>
      <c r="Z29" s="390"/>
    </row>
    <row r="30" spans="1:26">
      <c r="A30" s="2" t="s">
        <v>102</v>
      </c>
      <c r="B30" s="16">
        <f t="shared" ref="B30:N30" si="31">B100*0.8</f>
        <v>55323.19200000001</v>
      </c>
      <c r="C30" s="16">
        <f t="shared" si="31"/>
        <v>15698.032000000001</v>
      </c>
      <c r="D30" s="16">
        <f t="shared" si="31"/>
        <v>923.16800000000012</v>
      </c>
      <c r="E30" s="16">
        <f t="shared" si="31"/>
        <v>1025</v>
      </c>
      <c r="F30" s="16">
        <f t="shared" si="31"/>
        <v>81995.736000000004</v>
      </c>
      <c r="G30" s="16">
        <f t="shared" si="31"/>
        <v>1999.896</v>
      </c>
      <c r="H30" s="16">
        <f t="shared" si="31"/>
        <v>2362.3119999999999</v>
      </c>
      <c r="I30" s="16">
        <f t="shared" si="31"/>
        <v>0</v>
      </c>
      <c r="J30" s="16">
        <f t="shared" si="31"/>
        <v>3394.1040000000003</v>
      </c>
      <c r="K30" s="16">
        <f t="shared" si="31"/>
        <v>0</v>
      </c>
      <c r="L30" s="16">
        <f t="shared" si="31"/>
        <v>0</v>
      </c>
      <c r="M30" s="16">
        <f t="shared" si="31"/>
        <v>0</v>
      </c>
      <c r="N30" s="16">
        <f t="shared" si="31"/>
        <v>177.52</v>
      </c>
      <c r="O30" s="16">
        <f t="shared" si="21"/>
        <v>0</v>
      </c>
      <c r="P30" s="16">
        <f>P100*0.8</f>
        <v>0</v>
      </c>
      <c r="Q30" s="16">
        <f>Q100*0.8</f>
        <v>314.59200000000004</v>
      </c>
      <c r="R30" s="8">
        <f t="shared" si="1"/>
        <v>163213.55200000003</v>
      </c>
      <c r="S30" s="363">
        <f t="shared" si="3"/>
        <v>55323.19200000001</v>
      </c>
      <c r="T30" s="363">
        <f t="shared" si="3"/>
        <v>15698.032000000001</v>
      </c>
      <c r="U30" s="363">
        <f t="shared" si="3"/>
        <v>923.16800000000012</v>
      </c>
      <c r="V30" s="363">
        <f t="shared" si="3"/>
        <v>1025</v>
      </c>
      <c r="W30" s="363">
        <f t="shared" si="4"/>
        <v>83995.631999999998</v>
      </c>
      <c r="X30" s="363">
        <f t="shared" si="5"/>
        <v>6248.5280000000002</v>
      </c>
      <c r="Y30" s="363"/>
      <c r="Z30" s="390"/>
    </row>
    <row r="31" spans="1:26">
      <c r="A31" s="2" t="s">
        <v>103</v>
      </c>
      <c r="B31" s="16">
        <f t="shared" ref="B31:N31" si="32">B101*0.8</f>
        <v>31904.368000000002</v>
      </c>
      <c r="C31" s="16">
        <f t="shared" si="32"/>
        <v>6929.0880000000006</v>
      </c>
      <c r="D31" s="16">
        <f t="shared" si="32"/>
        <v>20.288</v>
      </c>
      <c r="E31" s="16">
        <f t="shared" si="32"/>
        <v>1280.7040000000002</v>
      </c>
      <c r="F31" s="16">
        <f t="shared" si="32"/>
        <v>39737.064000000006</v>
      </c>
      <c r="G31" s="16">
        <f t="shared" si="32"/>
        <v>1391.232</v>
      </c>
      <c r="H31" s="16">
        <f t="shared" si="32"/>
        <v>1764.1360000000002</v>
      </c>
      <c r="I31" s="16">
        <f t="shared" si="32"/>
        <v>0</v>
      </c>
      <c r="J31" s="16">
        <f t="shared" si="32"/>
        <v>1845.8880000000001</v>
      </c>
      <c r="K31" s="16">
        <f t="shared" si="32"/>
        <v>347.80799999999999</v>
      </c>
      <c r="L31" s="16">
        <f t="shared" si="32"/>
        <v>0</v>
      </c>
      <c r="M31" s="16">
        <f t="shared" si="32"/>
        <v>0</v>
      </c>
      <c r="N31" s="16">
        <f t="shared" si="32"/>
        <v>25.36</v>
      </c>
      <c r="O31" s="16">
        <f t="shared" si="21"/>
        <v>0</v>
      </c>
      <c r="P31" s="16">
        <f>P101*0.8</f>
        <v>0</v>
      </c>
      <c r="Q31" s="16">
        <f>Q101*0.8</f>
        <v>0</v>
      </c>
      <c r="R31" s="8">
        <f t="shared" si="1"/>
        <v>85245.936000000031</v>
      </c>
      <c r="S31" s="363">
        <f t="shared" si="3"/>
        <v>31904.368000000002</v>
      </c>
      <c r="T31" s="363">
        <f t="shared" si="3"/>
        <v>6929.0880000000006</v>
      </c>
      <c r="U31" s="363">
        <f t="shared" si="3"/>
        <v>20.288</v>
      </c>
      <c r="V31" s="363">
        <f t="shared" si="3"/>
        <v>1280.7040000000002</v>
      </c>
      <c r="W31" s="363">
        <f t="shared" si="4"/>
        <v>41128.296000000002</v>
      </c>
      <c r="X31" s="363">
        <f t="shared" si="5"/>
        <v>3983.1920000000005</v>
      </c>
      <c r="Y31" s="363"/>
      <c r="Z31" s="390"/>
    </row>
    <row r="32" spans="1:26">
      <c r="A32" s="4" t="s">
        <v>37</v>
      </c>
      <c r="B32" s="5">
        <f t="shared" ref="B32:X32" si="33">SUM(B5:B31)</f>
        <v>8968735.8160000015</v>
      </c>
      <c r="C32" s="5">
        <f t="shared" si="33"/>
        <v>1606809.176</v>
      </c>
      <c r="D32" s="5">
        <f t="shared" si="33"/>
        <v>181283.29600000003</v>
      </c>
      <c r="E32" s="5">
        <f t="shared" si="33"/>
        <v>299137.56000000006</v>
      </c>
      <c r="F32" s="5">
        <f t="shared" si="33"/>
        <v>8043630.1440000003</v>
      </c>
      <c r="G32" s="5">
        <f t="shared" si="33"/>
        <v>160281.40799999997</v>
      </c>
      <c r="H32" s="5">
        <f t="shared" si="33"/>
        <v>271071.33600000001</v>
      </c>
      <c r="I32" s="5">
        <f t="shared" si="33"/>
        <v>25630.368000000002</v>
      </c>
      <c r="J32" s="5">
        <f t="shared" si="33"/>
        <v>387979.74400000001</v>
      </c>
      <c r="K32" s="5">
        <f t="shared" si="33"/>
        <v>28781.112000000001</v>
      </c>
      <c r="L32" s="5">
        <f t="shared" si="33"/>
        <v>2782.4639999999999</v>
      </c>
      <c r="M32" s="5">
        <f t="shared" si="33"/>
        <v>3045.4</v>
      </c>
      <c r="N32" s="5">
        <f t="shared" si="33"/>
        <v>15672.480000000001</v>
      </c>
      <c r="O32" s="5">
        <f t="shared" si="33"/>
        <v>0</v>
      </c>
      <c r="P32" s="5">
        <f t="shared" si="33"/>
        <v>1416.624</v>
      </c>
      <c r="Q32" s="5">
        <f t="shared" si="33"/>
        <v>26824.976000000002</v>
      </c>
      <c r="R32" s="5">
        <f t="shared" si="33"/>
        <v>20023081.904000003</v>
      </c>
      <c r="S32" s="363">
        <f t="shared" si="33"/>
        <v>8968735.8160000015</v>
      </c>
      <c r="T32" s="363">
        <f t="shared" si="33"/>
        <v>1606809.176</v>
      </c>
      <c r="U32" s="363">
        <f t="shared" si="33"/>
        <v>181283.29600000003</v>
      </c>
      <c r="V32" s="363">
        <f t="shared" si="33"/>
        <v>299137.56000000006</v>
      </c>
      <c r="W32" s="363">
        <f t="shared" si="33"/>
        <v>8203911.5520000001</v>
      </c>
      <c r="X32" s="363">
        <f t="shared" si="33"/>
        <v>763204.50400000007</v>
      </c>
      <c r="Y32" s="363"/>
      <c r="Z32" s="390"/>
    </row>
    <row r="33" spans="1:26">
      <c r="A33" s="351" t="s">
        <v>48</v>
      </c>
      <c r="B33" s="352"/>
      <c r="C33" s="353"/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3"/>
      <c r="Q33" s="353"/>
      <c r="R33" s="352"/>
      <c r="Y33" s="363"/>
    </row>
    <row r="34" spans="1:26">
      <c r="A34" s="364"/>
      <c r="B34" s="364"/>
      <c r="C34" s="365"/>
      <c r="D34" s="365"/>
      <c r="E34" s="365"/>
      <c r="F34" s="365"/>
      <c r="G34" s="365"/>
      <c r="H34" s="365"/>
      <c r="I34" s="365"/>
      <c r="J34" s="365"/>
      <c r="K34" s="365"/>
      <c r="L34" s="365"/>
      <c r="M34" s="365"/>
      <c r="N34" s="365"/>
      <c r="O34" s="365"/>
      <c r="P34" s="365"/>
      <c r="Q34" s="365"/>
      <c r="R34" s="366"/>
    </row>
    <row r="35" spans="1:26">
      <c r="A35" s="358"/>
      <c r="B35" s="358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60"/>
    </row>
    <row r="36" spans="1:26">
      <c r="A36" s="367"/>
      <c r="B36" s="367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9"/>
    </row>
    <row r="37" spans="1:26" ht="46.5">
      <c r="A37" s="837" t="s">
        <v>58</v>
      </c>
      <c r="B37" s="838"/>
      <c r="C37" s="838"/>
      <c r="D37" s="838"/>
      <c r="E37" s="838"/>
      <c r="F37" s="838"/>
      <c r="G37" s="838"/>
      <c r="H37" s="838"/>
      <c r="I37" s="838"/>
      <c r="J37" s="838"/>
      <c r="K37" s="838"/>
      <c r="L37" s="838"/>
      <c r="M37" s="838"/>
      <c r="N37" s="838"/>
      <c r="O37" s="838"/>
      <c r="P37" s="838"/>
      <c r="Q37" s="838"/>
      <c r="R37" s="839"/>
    </row>
    <row r="38" spans="1:26" ht="35.1" customHeight="1">
      <c r="A38" s="835" t="s">
        <v>33</v>
      </c>
      <c r="B38" s="833" t="s">
        <v>27</v>
      </c>
      <c r="C38" s="834"/>
      <c r="D38" s="833" t="s">
        <v>29</v>
      </c>
      <c r="E38" s="834"/>
      <c r="F38" s="835" t="s">
        <v>28</v>
      </c>
      <c r="G38" s="835" t="s">
        <v>36</v>
      </c>
      <c r="H38" s="835" t="s">
        <v>30</v>
      </c>
      <c r="I38" s="835" t="s">
        <v>31</v>
      </c>
      <c r="J38" s="835" t="s">
        <v>41</v>
      </c>
      <c r="K38" s="835" t="s">
        <v>35</v>
      </c>
      <c r="L38" s="835" t="s">
        <v>40</v>
      </c>
      <c r="M38" s="835" t="s">
        <v>42</v>
      </c>
      <c r="N38" s="835" t="s">
        <v>45</v>
      </c>
      <c r="O38" s="835" t="s">
        <v>279</v>
      </c>
      <c r="P38" s="833" t="s">
        <v>49</v>
      </c>
      <c r="Q38" s="834"/>
      <c r="R38" s="835" t="s">
        <v>34</v>
      </c>
    </row>
    <row r="39" spans="1:26" ht="35.1" customHeight="1">
      <c r="A39" s="836"/>
      <c r="B39" s="361" t="s">
        <v>43</v>
      </c>
      <c r="C39" s="361" t="s">
        <v>44</v>
      </c>
      <c r="D39" s="361" t="s">
        <v>43</v>
      </c>
      <c r="E39" s="361" t="s">
        <v>44</v>
      </c>
      <c r="F39" s="836"/>
      <c r="G39" s="836"/>
      <c r="H39" s="836"/>
      <c r="I39" s="836"/>
      <c r="J39" s="836"/>
      <c r="K39" s="836"/>
      <c r="L39" s="836"/>
      <c r="M39" s="836"/>
      <c r="N39" s="836"/>
      <c r="O39" s="836"/>
      <c r="P39" s="362" t="s">
        <v>50</v>
      </c>
      <c r="Q39" s="362" t="s">
        <v>51</v>
      </c>
      <c r="R39" s="836"/>
      <c r="S39" s="372" t="s">
        <v>173</v>
      </c>
      <c r="T39" s="372" t="s">
        <v>291</v>
      </c>
      <c r="U39" s="372" t="s">
        <v>174</v>
      </c>
      <c r="V39" s="372" t="s">
        <v>292</v>
      </c>
      <c r="W39" s="372" t="s">
        <v>28</v>
      </c>
      <c r="X39" s="372" t="s">
        <v>175</v>
      </c>
      <c r="Y39" s="726"/>
    </row>
    <row r="40" spans="1:26">
      <c r="A40" s="2" t="s">
        <v>77</v>
      </c>
      <c r="B40" s="16">
        <f t="shared" ref="B40:Q55" si="34">B75*0.2</f>
        <v>5641.1620000000003</v>
      </c>
      <c r="C40" s="16">
        <f t="shared" si="34"/>
        <v>2511.2240000000002</v>
      </c>
      <c r="D40" s="16">
        <f t="shared" si="34"/>
        <v>82.00200000000001</v>
      </c>
      <c r="E40" s="16">
        <f t="shared" si="34"/>
        <v>218.01599999999999</v>
      </c>
      <c r="F40" s="16">
        <f t="shared" si="34"/>
        <v>5564.9279999999999</v>
      </c>
      <c r="G40" s="16">
        <f t="shared" si="34"/>
        <v>282.59399999999999</v>
      </c>
      <c r="H40" s="16">
        <f t="shared" si="34"/>
        <v>247.25400000000002</v>
      </c>
      <c r="I40" s="16">
        <f t="shared" si="34"/>
        <v>0</v>
      </c>
      <c r="J40" s="16">
        <f t="shared" si="34"/>
        <v>589.79399999999998</v>
      </c>
      <c r="K40" s="16">
        <f t="shared" si="34"/>
        <v>239.11799999999999</v>
      </c>
      <c r="L40" s="16">
        <f t="shared" si="34"/>
        <v>0</v>
      </c>
      <c r="M40" s="16">
        <f t="shared" si="34"/>
        <v>0</v>
      </c>
      <c r="N40" s="16">
        <f t="shared" si="34"/>
        <v>6.34</v>
      </c>
      <c r="O40" s="16">
        <f t="shared" si="34"/>
        <v>0</v>
      </c>
      <c r="P40" s="16">
        <f t="shared" si="34"/>
        <v>0</v>
      </c>
      <c r="Q40" s="16">
        <f t="shared" si="34"/>
        <v>0</v>
      </c>
      <c r="R40" s="8">
        <f t="shared" ref="R40:R66" si="35">SUM(B40:Q40)</f>
        <v>15382.432000000001</v>
      </c>
      <c r="S40" s="363">
        <f>B40</f>
        <v>5641.1620000000003</v>
      </c>
      <c r="T40" s="363">
        <f>C40</f>
        <v>2511.2240000000002</v>
      </c>
      <c r="U40" s="363">
        <f>D40</f>
        <v>82.00200000000001</v>
      </c>
      <c r="V40" s="363">
        <f>E40</f>
        <v>218.01599999999999</v>
      </c>
      <c r="W40" s="363">
        <f>F40+G40</f>
        <v>5847.5219999999999</v>
      </c>
      <c r="X40" s="363">
        <f>SUM(H40:Q40)</f>
        <v>1082.5059999999999</v>
      </c>
      <c r="Z40" s="390"/>
    </row>
    <row r="41" spans="1:26">
      <c r="A41" s="2" t="s">
        <v>78</v>
      </c>
      <c r="B41" s="16">
        <f t="shared" ref="B41:Q41" si="36">B76*0.2</f>
        <v>20641.718000000001</v>
      </c>
      <c r="C41" s="16">
        <f t="shared" si="36"/>
        <v>4186.5379999999996</v>
      </c>
      <c r="D41" s="16">
        <f t="shared" si="36"/>
        <v>131.88200000000001</v>
      </c>
      <c r="E41" s="16">
        <f t="shared" si="36"/>
        <v>48.150000000000006</v>
      </c>
      <c r="F41" s="16">
        <f t="shared" si="36"/>
        <v>18368.61</v>
      </c>
      <c r="G41" s="16">
        <f t="shared" si="36"/>
        <v>586.92600000000004</v>
      </c>
      <c r="H41" s="16">
        <f t="shared" si="36"/>
        <v>427.25600000000009</v>
      </c>
      <c r="I41" s="16">
        <f t="shared" si="36"/>
        <v>0</v>
      </c>
      <c r="J41" s="16">
        <f t="shared" si="36"/>
        <v>832.60800000000006</v>
      </c>
      <c r="K41" s="16">
        <f t="shared" si="36"/>
        <v>130.428</v>
      </c>
      <c r="L41" s="16">
        <f t="shared" si="36"/>
        <v>0</v>
      </c>
      <c r="M41" s="16">
        <f t="shared" si="36"/>
        <v>0</v>
      </c>
      <c r="N41" s="16">
        <f t="shared" si="36"/>
        <v>12.68</v>
      </c>
      <c r="O41" s="16">
        <f t="shared" si="34"/>
        <v>0</v>
      </c>
      <c r="P41" s="16">
        <f t="shared" si="36"/>
        <v>0</v>
      </c>
      <c r="Q41" s="16">
        <f t="shared" si="36"/>
        <v>0</v>
      </c>
      <c r="R41" s="8">
        <f t="shared" si="35"/>
        <v>45366.796000000002</v>
      </c>
      <c r="S41" s="363">
        <f t="shared" ref="S41:V66" si="37">B41</f>
        <v>20641.718000000001</v>
      </c>
      <c r="T41" s="363">
        <f t="shared" si="37"/>
        <v>4186.5379999999996</v>
      </c>
      <c r="U41" s="363">
        <f t="shared" si="37"/>
        <v>131.88200000000001</v>
      </c>
      <c r="V41" s="363">
        <f t="shared" si="37"/>
        <v>48.150000000000006</v>
      </c>
      <c r="W41" s="363">
        <f t="shared" ref="W41:W66" si="38">F41+G41</f>
        <v>18955.536</v>
      </c>
      <c r="X41" s="363">
        <f t="shared" ref="X41:X66" si="39">SUM(H41:Q41)</f>
        <v>1402.972</v>
      </c>
      <c r="Z41" s="390"/>
    </row>
    <row r="42" spans="1:26">
      <c r="A42" s="2" t="s">
        <v>79</v>
      </c>
      <c r="B42" s="16">
        <f t="shared" ref="B42:Q42" si="40">B77*0.2</f>
        <v>6556.3240000000005</v>
      </c>
      <c r="C42" s="16">
        <f t="shared" si="40"/>
        <v>1886.3980000000001</v>
      </c>
      <c r="D42" s="16">
        <f t="shared" si="40"/>
        <v>419.38599999999997</v>
      </c>
      <c r="E42" s="16">
        <f t="shared" si="40"/>
        <v>472.80799999999999</v>
      </c>
      <c r="F42" s="16">
        <f t="shared" si="40"/>
        <v>7716.99</v>
      </c>
      <c r="G42" s="16">
        <f t="shared" si="40"/>
        <v>717.35400000000004</v>
      </c>
      <c r="H42" s="16">
        <f t="shared" si="40"/>
        <v>200.02</v>
      </c>
      <c r="I42" s="16">
        <f t="shared" si="40"/>
        <v>192.25200000000001</v>
      </c>
      <c r="J42" s="16">
        <f t="shared" si="40"/>
        <v>503.13400000000001</v>
      </c>
      <c r="K42" s="16">
        <f t="shared" si="40"/>
        <v>173.904</v>
      </c>
      <c r="L42" s="16">
        <f t="shared" si="40"/>
        <v>0</v>
      </c>
      <c r="M42" s="16">
        <f t="shared" si="40"/>
        <v>0</v>
      </c>
      <c r="N42" s="16">
        <f t="shared" si="40"/>
        <v>31.700000000000003</v>
      </c>
      <c r="O42" s="16">
        <f t="shared" si="34"/>
        <v>0</v>
      </c>
      <c r="P42" s="16">
        <f t="shared" si="40"/>
        <v>0</v>
      </c>
      <c r="Q42" s="16">
        <f t="shared" si="40"/>
        <v>0</v>
      </c>
      <c r="R42" s="8">
        <f t="shared" si="35"/>
        <v>18870.270000000004</v>
      </c>
      <c r="S42" s="363">
        <f t="shared" si="37"/>
        <v>6556.3240000000005</v>
      </c>
      <c r="T42" s="363">
        <f t="shared" si="37"/>
        <v>1886.3980000000001</v>
      </c>
      <c r="U42" s="363">
        <f t="shared" si="37"/>
        <v>419.38599999999997</v>
      </c>
      <c r="V42" s="363">
        <f t="shared" si="37"/>
        <v>472.80799999999999</v>
      </c>
      <c r="W42" s="363">
        <f t="shared" si="38"/>
        <v>8434.3439999999991</v>
      </c>
      <c r="X42" s="363">
        <f t="shared" si="39"/>
        <v>1101.01</v>
      </c>
      <c r="Z42" s="390"/>
    </row>
    <row r="43" spans="1:26">
      <c r="A43" s="2" t="s">
        <v>80</v>
      </c>
      <c r="B43" s="16">
        <f t="shared" ref="B43:N43" si="41">B78*0.2</f>
        <v>18439.182000000001</v>
      </c>
      <c r="C43" s="16">
        <f t="shared" si="41"/>
        <v>4026.2440000000006</v>
      </c>
      <c r="D43" s="16">
        <f t="shared" si="41"/>
        <v>467.50400000000002</v>
      </c>
      <c r="E43" s="16">
        <f t="shared" si="41"/>
        <v>754.13000000000011</v>
      </c>
      <c r="F43" s="16">
        <f t="shared" si="41"/>
        <v>16238.286</v>
      </c>
      <c r="G43" s="16">
        <f t="shared" si="41"/>
        <v>413.02200000000005</v>
      </c>
      <c r="H43" s="16">
        <f t="shared" si="41"/>
        <v>451.11200000000002</v>
      </c>
      <c r="I43" s="16">
        <f t="shared" si="41"/>
        <v>0</v>
      </c>
      <c r="J43" s="16">
        <f t="shared" si="41"/>
        <v>972.322</v>
      </c>
      <c r="K43" s="16">
        <f t="shared" si="41"/>
        <v>21.738</v>
      </c>
      <c r="L43" s="16">
        <f t="shared" si="41"/>
        <v>0</v>
      </c>
      <c r="M43" s="16">
        <f t="shared" si="41"/>
        <v>272.92399999999998</v>
      </c>
      <c r="N43" s="16">
        <f t="shared" si="41"/>
        <v>31.700000000000003</v>
      </c>
      <c r="O43" s="16">
        <f t="shared" si="34"/>
        <v>0</v>
      </c>
      <c r="P43" s="16">
        <v>0</v>
      </c>
      <c r="Q43" s="16">
        <v>0</v>
      </c>
      <c r="R43" s="8">
        <f t="shared" si="35"/>
        <v>42088.163999999997</v>
      </c>
      <c r="S43" s="363">
        <f t="shared" si="37"/>
        <v>18439.182000000001</v>
      </c>
      <c r="T43" s="363">
        <f t="shared" si="37"/>
        <v>4026.2440000000006</v>
      </c>
      <c r="U43" s="363">
        <f t="shared" si="37"/>
        <v>467.50400000000002</v>
      </c>
      <c r="V43" s="363">
        <f t="shared" si="37"/>
        <v>754.13000000000011</v>
      </c>
      <c r="W43" s="363">
        <f t="shared" si="38"/>
        <v>16651.308000000001</v>
      </c>
      <c r="X43" s="363">
        <f t="shared" si="39"/>
        <v>1749.796</v>
      </c>
      <c r="Z43" s="390"/>
    </row>
    <row r="44" spans="1:26">
      <c r="A44" s="2" t="s">
        <v>81</v>
      </c>
      <c r="B44" s="16">
        <f t="shared" ref="B44:N44" si="42">B79*0.2</f>
        <v>73467.892000000007</v>
      </c>
      <c r="C44" s="16">
        <f t="shared" si="42"/>
        <v>11487.314</v>
      </c>
      <c r="D44" s="16">
        <f t="shared" si="42"/>
        <v>1041.104</v>
      </c>
      <c r="E44" s="16">
        <f t="shared" si="42"/>
        <v>1807.5860000000002</v>
      </c>
      <c r="F44" s="16">
        <f t="shared" si="42"/>
        <v>54605.856000000007</v>
      </c>
      <c r="G44" s="16">
        <f t="shared" si="42"/>
        <v>1195.5899999999999</v>
      </c>
      <c r="H44" s="16">
        <f t="shared" si="42"/>
        <v>1827.1180000000002</v>
      </c>
      <c r="I44" s="16">
        <f t="shared" si="42"/>
        <v>0</v>
      </c>
      <c r="J44" s="16">
        <f t="shared" si="42"/>
        <v>2766.4080000000004</v>
      </c>
      <c r="K44" s="16">
        <f t="shared" si="42"/>
        <v>21.738</v>
      </c>
      <c r="L44" s="16">
        <f t="shared" si="42"/>
        <v>0</v>
      </c>
      <c r="M44" s="16">
        <f t="shared" si="42"/>
        <v>0</v>
      </c>
      <c r="N44" s="16">
        <f t="shared" si="42"/>
        <v>133.14000000000001</v>
      </c>
      <c r="O44" s="16">
        <f t="shared" si="34"/>
        <v>0</v>
      </c>
      <c r="P44" s="16">
        <f t="shared" ref="P44:Q56" si="43">P79*0.2</f>
        <v>18.204000000000001</v>
      </c>
      <c r="Q44" s="16">
        <f t="shared" si="43"/>
        <v>182.05600000000001</v>
      </c>
      <c r="R44" s="8">
        <f t="shared" si="35"/>
        <v>148554.00600000002</v>
      </c>
      <c r="S44" s="363">
        <f t="shared" si="37"/>
        <v>73467.892000000007</v>
      </c>
      <c r="T44" s="363">
        <f t="shared" si="37"/>
        <v>11487.314</v>
      </c>
      <c r="U44" s="363">
        <f t="shared" si="37"/>
        <v>1041.104</v>
      </c>
      <c r="V44" s="363">
        <f t="shared" si="37"/>
        <v>1807.5860000000002</v>
      </c>
      <c r="W44" s="363">
        <f t="shared" si="38"/>
        <v>55801.446000000004</v>
      </c>
      <c r="X44" s="363">
        <f t="shared" si="39"/>
        <v>4948.6640000000007</v>
      </c>
      <c r="Z44" s="390"/>
    </row>
    <row r="45" spans="1:26">
      <c r="A45" s="2" t="s">
        <v>82</v>
      </c>
      <c r="B45" s="16">
        <f t="shared" ref="B45:N45" si="44">B80*0.2</f>
        <v>43828.72</v>
      </c>
      <c r="C45" s="16">
        <f t="shared" si="44"/>
        <v>7702.8140000000003</v>
      </c>
      <c r="D45" s="16">
        <f t="shared" si="44"/>
        <v>651.80000000000007</v>
      </c>
      <c r="E45" s="16">
        <f t="shared" si="44"/>
        <v>2633.2820000000002</v>
      </c>
      <c r="F45" s="16">
        <f t="shared" si="44"/>
        <v>28694.16</v>
      </c>
      <c r="G45" s="16">
        <f t="shared" si="44"/>
        <v>1043.424</v>
      </c>
      <c r="H45" s="16">
        <f t="shared" si="44"/>
        <v>1201.318</v>
      </c>
      <c r="I45" s="16">
        <f t="shared" si="44"/>
        <v>247.96799999999999</v>
      </c>
      <c r="J45" s="16">
        <f t="shared" si="44"/>
        <v>2244.9960000000001</v>
      </c>
      <c r="K45" s="16">
        <f t="shared" si="44"/>
        <v>260.85599999999999</v>
      </c>
      <c r="L45" s="16">
        <f t="shared" si="44"/>
        <v>0</v>
      </c>
      <c r="M45" s="16">
        <f t="shared" si="44"/>
        <v>0</v>
      </c>
      <c r="N45" s="16">
        <f t="shared" si="44"/>
        <v>69.739999999999995</v>
      </c>
      <c r="O45" s="16">
        <f t="shared" si="34"/>
        <v>0</v>
      </c>
      <c r="P45" s="16">
        <f t="shared" si="43"/>
        <v>11.192</v>
      </c>
      <c r="Q45" s="16">
        <f t="shared" si="43"/>
        <v>457.61200000000002</v>
      </c>
      <c r="R45" s="8">
        <f t="shared" si="35"/>
        <v>89047.881999999983</v>
      </c>
      <c r="S45" s="363">
        <f t="shared" si="37"/>
        <v>43828.72</v>
      </c>
      <c r="T45" s="363">
        <f t="shared" si="37"/>
        <v>7702.8140000000003</v>
      </c>
      <c r="U45" s="363">
        <f t="shared" si="37"/>
        <v>651.80000000000007</v>
      </c>
      <c r="V45" s="363">
        <f t="shared" si="37"/>
        <v>2633.2820000000002</v>
      </c>
      <c r="W45" s="363">
        <f t="shared" si="38"/>
        <v>29737.583999999999</v>
      </c>
      <c r="X45" s="363">
        <f t="shared" si="39"/>
        <v>4493.6819999999998</v>
      </c>
      <c r="Z45" s="390"/>
    </row>
    <row r="46" spans="1:26">
      <c r="A46" s="2" t="s">
        <v>83</v>
      </c>
      <c r="B46" s="16">
        <f t="shared" ref="B46:N46" si="45">B81*0.2</f>
        <v>66155.180000000008</v>
      </c>
      <c r="C46" s="16">
        <f t="shared" si="45"/>
        <v>9535.3119999999999</v>
      </c>
      <c r="D46" s="16">
        <f t="shared" si="45"/>
        <v>1145.0899999999999</v>
      </c>
      <c r="E46" s="16">
        <f t="shared" si="45"/>
        <v>831.26400000000001</v>
      </c>
      <c r="F46" s="16">
        <f t="shared" si="45"/>
        <v>34932.966</v>
      </c>
      <c r="G46" s="16">
        <f t="shared" si="45"/>
        <v>1347.7560000000001</v>
      </c>
      <c r="H46" s="16">
        <f t="shared" si="45"/>
        <v>1035.1860000000001</v>
      </c>
      <c r="I46" s="16">
        <f t="shared" si="45"/>
        <v>0</v>
      </c>
      <c r="J46" s="16">
        <f t="shared" si="45"/>
        <v>2136.8919999999998</v>
      </c>
      <c r="K46" s="16">
        <f t="shared" si="45"/>
        <v>130.428</v>
      </c>
      <c r="L46" s="16">
        <f t="shared" si="45"/>
        <v>43.475999999999999</v>
      </c>
      <c r="M46" s="16">
        <f t="shared" si="45"/>
        <v>418.36800000000005</v>
      </c>
      <c r="N46" s="16">
        <f t="shared" si="45"/>
        <v>133.14000000000001</v>
      </c>
      <c r="O46" s="16">
        <f t="shared" si="34"/>
        <v>0</v>
      </c>
      <c r="P46" s="16">
        <f t="shared" si="43"/>
        <v>0</v>
      </c>
      <c r="Q46" s="16">
        <f t="shared" si="43"/>
        <v>0</v>
      </c>
      <c r="R46" s="8">
        <f t="shared" si="35"/>
        <v>117845.058</v>
      </c>
      <c r="S46" s="363">
        <f t="shared" si="37"/>
        <v>66155.180000000008</v>
      </c>
      <c r="T46" s="363">
        <f t="shared" si="37"/>
        <v>9535.3119999999999</v>
      </c>
      <c r="U46" s="363">
        <f t="shared" si="37"/>
        <v>1145.0899999999999</v>
      </c>
      <c r="V46" s="363">
        <f t="shared" si="37"/>
        <v>831.26400000000001</v>
      </c>
      <c r="W46" s="363">
        <f t="shared" si="38"/>
        <v>36280.722000000002</v>
      </c>
      <c r="X46" s="363">
        <f t="shared" si="39"/>
        <v>3897.49</v>
      </c>
      <c r="Z46" s="390"/>
    </row>
    <row r="47" spans="1:26">
      <c r="A47" s="2" t="s">
        <v>84</v>
      </c>
      <c r="B47" s="16">
        <f t="shared" ref="B47:N47" si="46">B82*0.2</f>
        <v>70068.642000000007</v>
      </c>
      <c r="C47" s="16">
        <f t="shared" si="46"/>
        <v>7088.8880000000008</v>
      </c>
      <c r="D47" s="16">
        <f t="shared" si="46"/>
        <v>1560.6040000000003</v>
      </c>
      <c r="E47" s="16">
        <f t="shared" si="46"/>
        <v>1441.606</v>
      </c>
      <c r="F47" s="16">
        <f t="shared" si="46"/>
        <v>34650.371999999996</v>
      </c>
      <c r="G47" s="16">
        <f t="shared" si="46"/>
        <v>1869.4680000000001</v>
      </c>
      <c r="H47" s="16">
        <f t="shared" si="46"/>
        <v>870.67399999999998</v>
      </c>
      <c r="I47" s="16">
        <f t="shared" si="46"/>
        <v>0</v>
      </c>
      <c r="J47" s="16">
        <f t="shared" si="46"/>
        <v>1791.498</v>
      </c>
      <c r="K47" s="16">
        <f t="shared" si="46"/>
        <v>782.5680000000001</v>
      </c>
      <c r="L47" s="16">
        <f t="shared" si="46"/>
        <v>0</v>
      </c>
      <c r="M47" s="16">
        <f t="shared" si="46"/>
        <v>0</v>
      </c>
      <c r="N47" s="16">
        <f t="shared" si="46"/>
        <v>63.400000000000006</v>
      </c>
      <c r="O47" s="16">
        <f t="shared" si="34"/>
        <v>0</v>
      </c>
      <c r="P47" s="16">
        <f t="shared" si="43"/>
        <v>0</v>
      </c>
      <c r="Q47" s="16">
        <f t="shared" si="43"/>
        <v>0</v>
      </c>
      <c r="R47" s="8">
        <f t="shared" si="35"/>
        <v>120187.72000000002</v>
      </c>
      <c r="S47" s="363">
        <f t="shared" si="37"/>
        <v>70068.642000000007</v>
      </c>
      <c r="T47" s="363">
        <f t="shared" si="37"/>
        <v>7088.8880000000008</v>
      </c>
      <c r="U47" s="363">
        <f t="shared" si="37"/>
        <v>1560.6040000000003</v>
      </c>
      <c r="V47" s="363">
        <f t="shared" si="37"/>
        <v>1441.606</v>
      </c>
      <c r="W47" s="363">
        <f t="shared" si="38"/>
        <v>36519.839999999997</v>
      </c>
      <c r="X47" s="363">
        <f t="shared" si="39"/>
        <v>3508.1400000000003</v>
      </c>
      <c r="Z47" s="390"/>
    </row>
    <row r="48" spans="1:26">
      <c r="A48" s="2" t="s">
        <v>85</v>
      </c>
      <c r="B48" s="16">
        <f t="shared" ref="B48:N48" si="47">B83*0.2</f>
        <v>52285.044000000002</v>
      </c>
      <c r="C48" s="16">
        <f t="shared" si="47"/>
        <v>9989.6200000000008</v>
      </c>
      <c r="D48" s="16">
        <f t="shared" si="47"/>
        <v>1036.4480000000001</v>
      </c>
      <c r="E48" s="16">
        <f t="shared" si="47"/>
        <v>2556.5100000000002</v>
      </c>
      <c r="F48" s="16">
        <f t="shared" si="47"/>
        <v>74365.698000000004</v>
      </c>
      <c r="G48" s="16">
        <f t="shared" si="47"/>
        <v>891.25800000000004</v>
      </c>
      <c r="H48" s="16">
        <f t="shared" si="47"/>
        <v>1982.0259999999998</v>
      </c>
      <c r="I48" s="16">
        <f t="shared" si="47"/>
        <v>65.213999999999999</v>
      </c>
      <c r="J48" s="16">
        <f t="shared" si="47"/>
        <v>2298.154</v>
      </c>
      <c r="K48" s="16">
        <f t="shared" si="47"/>
        <v>173.904</v>
      </c>
      <c r="L48" s="16">
        <f t="shared" si="47"/>
        <v>0</v>
      </c>
      <c r="M48" s="16">
        <f t="shared" si="47"/>
        <v>0</v>
      </c>
      <c r="N48" s="16">
        <f t="shared" si="47"/>
        <v>152.16</v>
      </c>
      <c r="O48" s="16">
        <f t="shared" si="34"/>
        <v>0</v>
      </c>
      <c r="P48" s="16">
        <f t="shared" si="43"/>
        <v>0</v>
      </c>
      <c r="Q48" s="16">
        <f t="shared" si="43"/>
        <v>0</v>
      </c>
      <c r="R48" s="8">
        <f t="shared" si="35"/>
        <v>145796.03600000005</v>
      </c>
      <c r="S48" s="363">
        <f t="shared" si="37"/>
        <v>52285.044000000002</v>
      </c>
      <c r="T48" s="363">
        <f t="shared" si="37"/>
        <v>9989.6200000000008</v>
      </c>
      <c r="U48" s="363">
        <f t="shared" si="37"/>
        <v>1036.4480000000001</v>
      </c>
      <c r="V48" s="363">
        <f t="shared" si="37"/>
        <v>2556.5100000000002</v>
      </c>
      <c r="W48" s="363">
        <f t="shared" si="38"/>
        <v>75256.956000000006</v>
      </c>
      <c r="X48" s="363">
        <f t="shared" si="39"/>
        <v>4671.4580000000005</v>
      </c>
      <c r="Z48" s="390"/>
    </row>
    <row r="49" spans="1:26">
      <c r="A49" s="2" t="s">
        <v>86</v>
      </c>
      <c r="B49" s="16">
        <f t="shared" ref="B49:N49" si="48">B84*0.2</f>
        <v>18680.014000000003</v>
      </c>
      <c r="C49" s="16">
        <f t="shared" si="48"/>
        <v>3163.248</v>
      </c>
      <c r="D49" s="16">
        <f t="shared" si="48"/>
        <v>431.15200000000004</v>
      </c>
      <c r="E49" s="16">
        <f t="shared" si="48"/>
        <v>394.61</v>
      </c>
      <c r="F49" s="16">
        <f t="shared" si="48"/>
        <v>15260.076000000001</v>
      </c>
      <c r="G49" s="16">
        <f t="shared" si="48"/>
        <v>456.49799999999999</v>
      </c>
      <c r="H49" s="16">
        <f t="shared" si="48"/>
        <v>340.44400000000002</v>
      </c>
      <c r="I49" s="16">
        <f t="shared" si="48"/>
        <v>0</v>
      </c>
      <c r="J49" s="16">
        <f t="shared" si="48"/>
        <v>741.54200000000003</v>
      </c>
      <c r="K49" s="16">
        <f t="shared" si="48"/>
        <v>65.213999999999999</v>
      </c>
      <c r="L49" s="16">
        <f t="shared" si="48"/>
        <v>0</v>
      </c>
      <c r="M49" s="16">
        <f t="shared" si="48"/>
        <v>0</v>
      </c>
      <c r="N49" s="16">
        <f t="shared" si="48"/>
        <v>31.700000000000003</v>
      </c>
      <c r="O49" s="16">
        <f t="shared" si="34"/>
        <v>0</v>
      </c>
      <c r="P49" s="16">
        <f t="shared" si="43"/>
        <v>0</v>
      </c>
      <c r="Q49" s="16">
        <f t="shared" si="43"/>
        <v>0</v>
      </c>
      <c r="R49" s="8">
        <f t="shared" si="35"/>
        <v>39564.498000000007</v>
      </c>
      <c r="S49" s="363">
        <f t="shared" si="37"/>
        <v>18680.014000000003</v>
      </c>
      <c r="T49" s="363">
        <f t="shared" si="37"/>
        <v>3163.248</v>
      </c>
      <c r="U49" s="363">
        <f t="shared" si="37"/>
        <v>431.15200000000004</v>
      </c>
      <c r="V49" s="363">
        <f t="shared" si="37"/>
        <v>394.61</v>
      </c>
      <c r="W49" s="363">
        <f t="shared" si="38"/>
        <v>15716.574000000001</v>
      </c>
      <c r="X49" s="363">
        <f t="shared" si="39"/>
        <v>1178.9000000000001</v>
      </c>
      <c r="Z49" s="390"/>
    </row>
    <row r="50" spans="1:26">
      <c r="A50" s="2" t="s">
        <v>87</v>
      </c>
      <c r="B50" s="16">
        <f t="shared" ref="B50:N50" si="49">B85*0.2</f>
        <v>36268.887999999999</v>
      </c>
      <c r="C50" s="16">
        <f t="shared" si="49"/>
        <v>6230.7260000000006</v>
      </c>
      <c r="D50" s="16">
        <f t="shared" si="49"/>
        <v>991.22600000000011</v>
      </c>
      <c r="E50" s="16">
        <f t="shared" si="49"/>
        <v>787.24200000000008</v>
      </c>
      <c r="F50" s="16">
        <f t="shared" si="49"/>
        <v>68670.342000000004</v>
      </c>
      <c r="G50" s="16">
        <f t="shared" si="49"/>
        <v>1021.6860000000001</v>
      </c>
      <c r="H50" s="16">
        <f t="shared" si="49"/>
        <v>801.42000000000007</v>
      </c>
      <c r="I50" s="16">
        <f t="shared" si="49"/>
        <v>636.62400000000002</v>
      </c>
      <c r="J50" s="16">
        <f t="shared" si="49"/>
        <v>1326.1120000000001</v>
      </c>
      <c r="K50" s="16">
        <f t="shared" si="49"/>
        <v>152.16600000000003</v>
      </c>
      <c r="L50" s="16">
        <f t="shared" si="49"/>
        <v>0</v>
      </c>
      <c r="M50" s="16">
        <f t="shared" si="49"/>
        <v>0</v>
      </c>
      <c r="N50" s="16">
        <f t="shared" si="49"/>
        <v>69.739999999999995</v>
      </c>
      <c r="O50" s="16">
        <f t="shared" si="34"/>
        <v>0</v>
      </c>
      <c r="P50" s="16">
        <f t="shared" si="43"/>
        <v>0</v>
      </c>
      <c r="Q50" s="16">
        <f t="shared" si="43"/>
        <v>0</v>
      </c>
      <c r="R50" s="8">
        <f t="shared" si="35"/>
        <v>116956.17199999999</v>
      </c>
      <c r="S50" s="363">
        <f t="shared" si="37"/>
        <v>36268.887999999999</v>
      </c>
      <c r="T50" s="363">
        <f t="shared" si="37"/>
        <v>6230.7260000000006</v>
      </c>
      <c r="U50" s="363">
        <f t="shared" si="37"/>
        <v>991.22600000000011</v>
      </c>
      <c r="V50" s="363">
        <f t="shared" si="37"/>
        <v>787.24200000000008</v>
      </c>
      <c r="W50" s="363">
        <f t="shared" si="38"/>
        <v>69692.028000000006</v>
      </c>
      <c r="X50" s="363">
        <f t="shared" si="39"/>
        <v>2986.0619999999999</v>
      </c>
      <c r="Z50" s="390"/>
    </row>
    <row r="51" spans="1:26">
      <c r="A51" s="2" t="s">
        <v>88</v>
      </c>
      <c r="B51" s="16">
        <f t="shared" ref="B51:N51" si="50">B86*0.2</f>
        <v>26899.353999999999</v>
      </c>
      <c r="C51" s="16">
        <f t="shared" si="50"/>
        <v>8321.1139999999996</v>
      </c>
      <c r="D51" s="16">
        <f t="shared" si="50"/>
        <v>683.07600000000002</v>
      </c>
      <c r="E51" s="16">
        <f t="shared" si="50"/>
        <v>661.98199999999997</v>
      </c>
      <c r="F51" s="16">
        <f t="shared" si="50"/>
        <v>46954.080000000002</v>
      </c>
      <c r="G51" s="16">
        <f t="shared" si="50"/>
        <v>789.78600000000006</v>
      </c>
      <c r="H51" s="16">
        <f t="shared" si="50"/>
        <v>1254.68</v>
      </c>
      <c r="I51" s="16">
        <f t="shared" si="50"/>
        <v>84.406000000000006</v>
      </c>
      <c r="J51" s="16">
        <f t="shared" si="50"/>
        <v>1579.08</v>
      </c>
      <c r="K51" s="16">
        <f t="shared" si="50"/>
        <v>239.11799999999999</v>
      </c>
      <c r="L51" s="16">
        <f t="shared" si="50"/>
        <v>0</v>
      </c>
      <c r="M51" s="16">
        <f t="shared" si="50"/>
        <v>0</v>
      </c>
      <c r="N51" s="16">
        <f t="shared" si="50"/>
        <v>57.06</v>
      </c>
      <c r="O51" s="16">
        <f t="shared" si="34"/>
        <v>0</v>
      </c>
      <c r="P51" s="16">
        <f t="shared" si="43"/>
        <v>15.442</v>
      </c>
      <c r="Q51" s="16">
        <f t="shared" si="43"/>
        <v>0</v>
      </c>
      <c r="R51" s="8">
        <f t="shared" si="35"/>
        <v>87539.177999999985</v>
      </c>
      <c r="S51" s="363">
        <f t="shared" si="37"/>
        <v>26899.353999999999</v>
      </c>
      <c r="T51" s="363">
        <f t="shared" si="37"/>
        <v>8321.1139999999996</v>
      </c>
      <c r="U51" s="363">
        <f t="shared" si="37"/>
        <v>683.07600000000002</v>
      </c>
      <c r="V51" s="363">
        <f t="shared" si="37"/>
        <v>661.98199999999997</v>
      </c>
      <c r="W51" s="363">
        <f t="shared" si="38"/>
        <v>47743.866000000002</v>
      </c>
      <c r="X51" s="363">
        <f t="shared" si="39"/>
        <v>3229.7860000000001</v>
      </c>
      <c r="Z51" s="390"/>
    </row>
    <row r="52" spans="1:26">
      <c r="A52" s="2" t="s">
        <v>89</v>
      </c>
      <c r="B52" s="16">
        <f t="shared" ref="B52:N52" si="51">B87*0.2</f>
        <v>239168.234</v>
      </c>
      <c r="C52" s="16">
        <f t="shared" si="51"/>
        <v>43041.36</v>
      </c>
      <c r="D52" s="16">
        <f t="shared" si="51"/>
        <v>3638.65</v>
      </c>
      <c r="E52" s="16">
        <f t="shared" si="51"/>
        <v>6184.6840000000002</v>
      </c>
      <c r="F52" s="16">
        <f t="shared" si="51"/>
        <v>122400.18200000002</v>
      </c>
      <c r="G52" s="16">
        <f t="shared" si="51"/>
        <v>2999.8440000000001</v>
      </c>
      <c r="H52" s="16">
        <f t="shared" si="51"/>
        <v>6414.0860000000002</v>
      </c>
      <c r="I52" s="16">
        <f t="shared" si="51"/>
        <v>0</v>
      </c>
      <c r="J52" s="16">
        <f t="shared" si="51"/>
        <v>9910.0720000000001</v>
      </c>
      <c r="K52" s="16">
        <f t="shared" si="51"/>
        <v>543.45000000000005</v>
      </c>
      <c r="L52" s="16">
        <f t="shared" si="51"/>
        <v>0</v>
      </c>
      <c r="M52" s="16">
        <f t="shared" si="51"/>
        <v>0</v>
      </c>
      <c r="N52" s="16">
        <f t="shared" si="51"/>
        <v>266.28000000000003</v>
      </c>
      <c r="O52" s="16">
        <f t="shared" si="34"/>
        <v>0</v>
      </c>
      <c r="P52" s="16">
        <f t="shared" si="43"/>
        <v>0</v>
      </c>
      <c r="Q52" s="16">
        <f t="shared" si="43"/>
        <v>0</v>
      </c>
      <c r="R52" s="8">
        <f t="shared" si="35"/>
        <v>434566.84200000006</v>
      </c>
      <c r="S52" s="363">
        <f t="shared" si="37"/>
        <v>239168.234</v>
      </c>
      <c r="T52" s="363">
        <f t="shared" si="37"/>
        <v>43041.36</v>
      </c>
      <c r="U52" s="363">
        <f t="shared" si="37"/>
        <v>3638.65</v>
      </c>
      <c r="V52" s="363">
        <f t="shared" si="37"/>
        <v>6184.6840000000002</v>
      </c>
      <c r="W52" s="363">
        <f t="shared" si="38"/>
        <v>125400.02600000001</v>
      </c>
      <c r="X52" s="363">
        <f t="shared" si="39"/>
        <v>17133.887999999999</v>
      </c>
      <c r="Z52" s="390"/>
    </row>
    <row r="53" spans="1:26">
      <c r="A53" s="2" t="s">
        <v>90</v>
      </c>
      <c r="B53" s="16">
        <f t="shared" ref="B53:N53" si="52">B88*0.2</f>
        <v>24349.957999999999</v>
      </c>
      <c r="C53" s="16">
        <f t="shared" si="52"/>
        <v>5839.6540000000005</v>
      </c>
      <c r="D53" s="16">
        <f t="shared" si="52"/>
        <v>572.33000000000004</v>
      </c>
      <c r="E53" s="16">
        <f t="shared" si="52"/>
        <v>647.87400000000002</v>
      </c>
      <c r="F53" s="16">
        <f t="shared" si="52"/>
        <v>22914.962</v>
      </c>
      <c r="G53" s="16">
        <f t="shared" si="52"/>
        <v>1021.6860000000001</v>
      </c>
      <c r="H53" s="16">
        <f t="shared" si="52"/>
        <v>728.65000000000009</v>
      </c>
      <c r="I53" s="16">
        <f t="shared" si="52"/>
        <v>0</v>
      </c>
      <c r="J53" s="16">
        <f t="shared" si="52"/>
        <v>1366.9459999999999</v>
      </c>
      <c r="K53" s="16">
        <f t="shared" si="52"/>
        <v>195.64200000000002</v>
      </c>
      <c r="L53" s="16">
        <f t="shared" si="52"/>
        <v>43.475999999999999</v>
      </c>
      <c r="M53" s="16">
        <f t="shared" si="52"/>
        <v>0</v>
      </c>
      <c r="N53" s="16">
        <f t="shared" si="52"/>
        <v>76.08</v>
      </c>
      <c r="O53" s="16">
        <f t="shared" si="34"/>
        <v>0</v>
      </c>
      <c r="P53" s="16">
        <f t="shared" si="43"/>
        <v>0</v>
      </c>
      <c r="Q53" s="16">
        <f t="shared" si="43"/>
        <v>0</v>
      </c>
      <c r="R53" s="8">
        <f t="shared" si="35"/>
        <v>57757.258000000016</v>
      </c>
      <c r="S53" s="363">
        <f t="shared" si="37"/>
        <v>24349.957999999999</v>
      </c>
      <c r="T53" s="363">
        <f t="shared" si="37"/>
        <v>5839.6540000000005</v>
      </c>
      <c r="U53" s="363">
        <f t="shared" si="37"/>
        <v>572.33000000000004</v>
      </c>
      <c r="V53" s="363">
        <f t="shared" si="37"/>
        <v>647.87400000000002</v>
      </c>
      <c r="W53" s="363">
        <f t="shared" si="38"/>
        <v>23936.648000000001</v>
      </c>
      <c r="X53" s="363">
        <f t="shared" si="39"/>
        <v>2410.7939999999999</v>
      </c>
      <c r="Z53" s="390"/>
    </row>
    <row r="54" spans="1:26">
      <c r="A54" s="2" t="s">
        <v>91</v>
      </c>
      <c r="B54" s="16">
        <f t="shared" ref="B54:N54" si="53">B89*0.2</f>
        <v>30166.508000000002</v>
      </c>
      <c r="C54" s="16">
        <f t="shared" si="53"/>
        <v>9874.362000000001</v>
      </c>
      <c r="D54" s="16">
        <f t="shared" si="53"/>
        <v>199.09000000000003</v>
      </c>
      <c r="E54" s="16">
        <f t="shared" si="53"/>
        <v>1816.1080000000002</v>
      </c>
      <c r="F54" s="16">
        <f t="shared" si="53"/>
        <v>24563.940000000002</v>
      </c>
      <c r="G54" s="16">
        <f t="shared" si="53"/>
        <v>1434.7080000000001</v>
      </c>
      <c r="H54" s="16">
        <f t="shared" si="53"/>
        <v>1845.164</v>
      </c>
      <c r="I54" s="16">
        <f t="shared" si="53"/>
        <v>0</v>
      </c>
      <c r="J54" s="16">
        <f t="shared" si="53"/>
        <v>2619.748</v>
      </c>
      <c r="K54" s="16">
        <f t="shared" si="53"/>
        <v>65.213999999999999</v>
      </c>
      <c r="L54" s="16">
        <f t="shared" si="53"/>
        <v>0</v>
      </c>
      <c r="M54" s="16">
        <f t="shared" si="53"/>
        <v>0</v>
      </c>
      <c r="N54" s="16">
        <f t="shared" si="53"/>
        <v>38.04</v>
      </c>
      <c r="O54" s="16">
        <f t="shared" si="34"/>
        <v>0</v>
      </c>
      <c r="P54" s="16">
        <f t="shared" si="43"/>
        <v>10.488</v>
      </c>
      <c r="Q54" s="16">
        <f t="shared" si="43"/>
        <v>214.77800000000002</v>
      </c>
      <c r="R54" s="8">
        <f t="shared" si="35"/>
        <v>72848.148000000016</v>
      </c>
      <c r="S54" s="363">
        <f t="shared" si="37"/>
        <v>30166.508000000002</v>
      </c>
      <c r="T54" s="363">
        <f t="shared" si="37"/>
        <v>9874.362000000001</v>
      </c>
      <c r="U54" s="363">
        <f t="shared" si="37"/>
        <v>199.09000000000003</v>
      </c>
      <c r="V54" s="363">
        <f t="shared" si="37"/>
        <v>1816.1080000000002</v>
      </c>
      <c r="W54" s="363">
        <f t="shared" si="38"/>
        <v>25998.648000000001</v>
      </c>
      <c r="X54" s="363">
        <f t="shared" si="39"/>
        <v>4793.4320000000007</v>
      </c>
      <c r="Z54" s="390"/>
    </row>
    <row r="55" spans="1:26">
      <c r="A55" s="2" t="s">
        <v>92</v>
      </c>
      <c r="B55" s="16">
        <f t="shared" ref="B55:N55" si="54">B90*0.2</f>
        <v>183986.46400000001</v>
      </c>
      <c r="C55" s="16">
        <f t="shared" si="54"/>
        <v>28334.808000000005</v>
      </c>
      <c r="D55" s="16">
        <f t="shared" si="54"/>
        <v>4847.07</v>
      </c>
      <c r="E55" s="16">
        <f t="shared" si="54"/>
        <v>6822.9740000000011</v>
      </c>
      <c r="F55" s="16">
        <f t="shared" si="54"/>
        <v>153122.47200000001</v>
      </c>
      <c r="G55" s="16">
        <f t="shared" si="54"/>
        <v>2499.8700000000003</v>
      </c>
      <c r="H55" s="16">
        <f t="shared" si="54"/>
        <v>3972.3519999999999</v>
      </c>
      <c r="I55" s="16">
        <f t="shared" si="54"/>
        <v>1032.866</v>
      </c>
      <c r="J55" s="16">
        <f t="shared" si="54"/>
        <v>7170.9860000000008</v>
      </c>
      <c r="K55" s="16">
        <f t="shared" si="54"/>
        <v>478.23599999999999</v>
      </c>
      <c r="L55" s="16">
        <f t="shared" si="54"/>
        <v>43.475999999999999</v>
      </c>
      <c r="M55" s="16">
        <f t="shared" si="54"/>
        <v>0</v>
      </c>
      <c r="N55" s="16">
        <f t="shared" si="54"/>
        <v>215.56</v>
      </c>
      <c r="O55" s="16">
        <f t="shared" si="34"/>
        <v>0</v>
      </c>
      <c r="P55" s="16">
        <f t="shared" si="43"/>
        <v>0</v>
      </c>
      <c r="Q55" s="16">
        <f t="shared" si="43"/>
        <v>0</v>
      </c>
      <c r="R55" s="8">
        <f t="shared" si="35"/>
        <v>392527.13399999996</v>
      </c>
      <c r="S55" s="363">
        <f t="shared" si="37"/>
        <v>183986.46400000001</v>
      </c>
      <c r="T55" s="363">
        <f t="shared" si="37"/>
        <v>28334.808000000005</v>
      </c>
      <c r="U55" s="363">
        <f t="shared" si="37"/>
        <v>4847.07</v>
      </c>
      <c r="V55" s="363">
        <f t="shared" si="37"/>
        <v>6822.9740000000011</v>
      </c>
      <c r="W55" s="363">
        <f t="shared" si="38"/>
        <v>155622.342</v>
      </c>
      <c r="X55" s="363">
        <f t="shared" si="39"/>
        <v>12913.476000000002</v>
      </c>
      <c r="Z55" s="390"/>
    </row>
    <row r="56" spans="1:26">
      <c r="A56" s="2" t="s">
        <v>93</v>
      </c>
      <c r="B56" s="16">
        <f t="shared" ref="B56:O66" si="55">B91*0.2</f>
        <v>52385.521999999997</v>
      </c>
      <c r="C56" s="16">
        <f t="shared" si="55"/>
        <v>8569.7360000000008</v>
      </c>
      <c r="D56" s="16">
        <f t="shared" si="55"/>
        <v>1077.4540000000002</v>
      </c>
      <c r="E56" s="16">
        <f t="shared" si="55"/>
        <v>1164.348</v>
      </c>
      <c r="F56" s="16">
        <f t="shared" si="55"/>
        <v>41432.628000000004</v>
      </c>
      <c r="G56" s="16">
        <f t="shared" si="55"/>
        <v>2173.8000000000002</v>
      </c>
      <c r="H56" s="16">
        <f t="shared" si="55"/>
        <v>967.69799999999998</v>
      </c>
      <c r="I56" s="16">
        <f t="shared" si="55"/>
        <v>241.524</v>
      </c>
      <c r="J56" s="16">
        <f t="shared" si="55"/>
        <v>1970.944</v>
      </c>
      <c r="K56" s="16">
        <f t="shared" si="55"/>
        <v>217.38000000000002</v>
      </c>
      <c r="L56" s="16">
        <f t="shared" si="55"/>
        <v>0</v>
      </c>
      <c r="M56" s="16">
        <f t="shared" si="55"/>
        <v>0</v>
      </c>
      <c r="N56" s="16">
        <f t="shared" si="55"/>
        <v>63.400000000000006</v>
      </c>
      <c r="O56" s="16">
        <f t="shared" si="55"/>
        <v>0</v>
      </c>
      <c r="P56" s="16">
        <f t="shared" si="43"/>
        <v>0</v>
      </c>
      <c r="Q56" s="16">
        <f t="shared" si="43"/>
        <v>0</v>
      </c>
      <c r="R56" s="8">
        <f t="shared" si="35"/>
        <v>110264.43400000001</v>
      </c>
      <c r="S56" s="363">
        <f t="shared" si="37"/>
        <v>52385.521999999997</v>
      </c>
      <c r="T56" s="363">
        <f t="shared" si="37"/>
        <v>8569.7360000000008</v>
      </c>
      <c r="U56" s="363">
        <f t="shared" si="37"/>
        <v>1077.4540000000002</v>
      </c>
      <c r="V56" s="363">
        <f t="shared" si="37"/>
        <v>1164.348</v>
      </c>
      <c r="W56" s="363">
        <f t="shared" si="38"/>
        <v>43606.428000000007</v>
      </c>
      <c r="X56" s="363">
        <f t="shared" si="39"/>
        <v>3460.9460000000004</v>
      </c>
      <c r="Z56" s="390"/>
    </row>
    <row r="57" spans="1:26">
      <c r="A57" s="2" t="s">
        <v>94</v>
      </c>
      <c r="B57" s="16">
        <f t="shared" ref="B57:N57" si="56">B92*0.2</f>
        <v>15046.888000000001</v>
      </c>
      <c r="C57" s="16">
        <f t="shared" si="56"/>
        <v>2087.8919999999998</v>
      </c>
      <c r="D57" s="16">
        <f t="shared" si="56"/>
        <v>183.45000000000002</v>
      </c>
      <c r="E57" s="16">
        <f t="shared" si="56"/>
        <v>535.70600000000002</v>
      </c>
      <c r="F57" s="16">
        <f t="shared" si="56"/>
        <v>11021.366000000002</v>
      </c>
      <c r="G57" s="16">
        <f t="shared" si="56"/>
        <v>565.18799999999999</v>
      </c>
      <c r="H57" s="16">
        <f t="shared" si="56"/>
        <v>301.94</v>
      </c>
      <c r="I57" s="16">
        <f t="shared" si="56"/>
        <v>0</v>
      </c>
      <c r="J57" s="16">
        <f t="shared" si="56"/>
        <v>529.85600000000011</v>
      </c>
      <c r="K57" s="16">
        <f t="shared" si="56"/>
        <v>195.64200000000002</v>
      </c>
      <c r="L57" s="16">
        <f t="shared" si="56"/>
        <v>0</v>
      </c>
      <c r="M57" s="16">
        <f t="shared" si="56"/>
        <v>0</v>
      </c>
      <c r="N57" s="16">
        <f t="shared" si="56"/>
        <v>12.68</v>
      </c>
      <c r="O57" s="16">
        <f t="shared" si="55"/>
        <v>0</v>
      </c>
      <c r="P57" s="16">
        <v>0</v>
      </c>
      <c r="Q57" s="16">
        <v>0</v>
      </c>
      <c r="R57" s="8">
        <f t="shared" si="35"/>
        <v>30480.607999999997</v>
      </c>
      <c r="S57" s="363">
        <f t="shared" si="37"/>
        <v>15046.888000000001</v>
      </c>
      <c r="T57" s="363">
        <f t="shared" si="37"/>
        <v>2087.8919999999998</v>
      </c>
      <c r="U57" s="363">
        <f t="shared" si="37"/>
        <v>183.45000000000002</v>
      </c>
      <c r="V57" s="363">
        <f t="shared" si="37"/>
        <v>535.70600000000002</v>
      </c>
      <c r="W57" s="363">
        <f t="shared" si="38"/>
        <v>11586.554000000002</v>
      </c>
      <c r="X57" s="363">
        <f t="shared" si="39"/>
        <v>1040.1180000000002</v>
      </c>
      <c r="Z57" s="390"/>
    </row>
    <row r="58" spans="1:26">
      <c r="A58" s="2" t="s">
        <v>95</v>
      </c>
      <c r="B58" s="16">
        <f t="shared" ref="B58:N58" si="57">B93*0.2</f>
        <v>199451.296</v>
      </c>
      <c r="C58" s="16">
        <f t="shared" si="57"/>
        <v>26109.944000000003</v>
      </c>
      <c r="D58" s="16">
        <f t="shared" si="57"/>
        <v>5148.8820000000005</v>
      </c>
      <c r="E58" s="16">
        <f t="shared" si="57"/>
        <v>4433.0219999999999</v>
      </c>
      <c r="F58" s="16">
        <f t="shared" si="57"/>
        <v>128617.30200000001</v>
      </c>
      <c r="G58" s="16">
        <f t="shared" si="57"/>
        <v>2891.1540000000005</v>
      </c>
      <c r="H58" s="16">
        <f t="shared" si="57"/>
        <v>3679.5839999999998</v>
      </c>
      <c r="I58" s="16">
        <f t="shared" si="57"/>
        <v>2121.0400000000004</v>
      </c>
      <c r="J58" s="16">
        <f t="shared" si="57"/>
        <v>6105.5360000000001</v>
      </c>
      <c r="K58" s="16">
        <f t="shared" si="57"/>
        <v>347.80799999999999</v>
      </c>
      <c r="L58" s="16">
        <f t="shared" si="57"/>
        <v>86.951999999999998</v>
      </c>
      <c r="M58" s="16">
        <f t="shared" si="57"/>
        <v>0</v>
      </c>
      <c r="N58" s="16">
        <f t="shared" si="57"/>
        <v>393.08000000000004</v>
      </c>
      <c r="O58" s="16">
        <f t="shared" si="55"/>
        <v>0</v>
      </c>
      <c r="P58" s="16">
        <f t="shared" ref="P58:Q63" si="58">P93*0.2</f>
        <v>0</v>
      </c>
      <c r="Q58" s="16">
        <f t="shared" si="58"/>
        <v>0</v>
      </c>
      <c r="R58" s="8">
        <f t="shared" si="35"/>
        <v>379385.59999999998</v>
      </c>
      <c r="S58" s="363">
        <f t="shared" si="37"/>
        <v>199451.296</v>
      </c>
      <c r="T58" s="363">
        <f t="shared" si="37"/>
        <v>26109.944000000003</v>
      </c>
      <c r="U58" s="363">
        <f t="shared" si="37"/>
        <v>5148.8820000000005</v>
      </c>
      <c r="V58" s="363">
        <f t="shared" si="37"/>
        <v>4433.0219999999999</v>
      </c>
      <c r="W58" s="363">
        <f t="shared" si="38"/>
        <v>131508.45600000001</v>
      </c>
      <c r="X58" s="363">
        <f t="shared" si="39"/>
        <v>12734</v>
      </c>
      <c r="Z58" s="390"/>
    </row>
    <row r="59" spans="1:26">
      <c r="A59" s="2" t="s">
        <v>96</v>
      </c>
      <c r="B59" s="16">
        <f t="shared" ref="B59:N59" si="59">B94*0.2</f>
        <v>23673.608</v>
      </c>
      <c r="C59" s="16">
        <f t="shared" si="59"/>
        <v>5669.1620000000003</v>
      </c>
      <c r="D59" s="16">
        <f t="shared" si="59"/>
        <v>266.3</v>
      </c>
      <c r="E59" s="16">
        <f t="shared" si="59"/>
        <v>474.89799999999997</v>
      </c>
      <c r="F59" s="16">
        <f t="shared" si="59"/>
        <v>18172.968000000001</v>
      </c>
      <c r="G59" s="16">
        <f t="shared" si="59"/>
        <v>543.45000000000005</v>
      </c>
      <c r="H59" s="16">
        <f t="shared" si="59"/>
        <v>816.36000000000013</v>
      </c>
      <c r="I59" s="16">
        <f t="shared" si="59"/>
        <v>253.61599999999999</v>
      </c>
      <c r="J59" s="16">
        <f t="shared" si="59"/>
        <v>1241.566</v>
      </c>
      <c r="K59" s="16">
        <f t="shared" si="59"/>
        <v>0</v>
      </c>
      <c r="L59" s="16">
        <f t="shared" si="59"/>
        <v>0</v>
      </c>
      <c r="M59" s="16">
        <f t="shared" si="59"/>
        <v>0</v>
      </c>
      <c r="N59" s="16">
        <f t="shared" si="59"/>
        <v>31.700000000000003</v>
      </c>
      <c r="O59" s="16">
        <f t="shared" si="55"/>
        <v>0</v>
      </c>
      <c r="P59" s="16">
        <f t="shared" si="58"/>
        <v>0</v>
      </c>
      <c r="Q59" s="16">
        <f t="shared" si="58"/>
        <v>0</v>
      </c>
      <c r="R59" s="8">
        <f t="shared" si="35"/>
        <v>51143.627999999997</v>
      </c>
      <c r="S59" s="363">
        <f t="shared" si="37"/>
        <v>23673.608</v>
      </c>
      <c r="T59" s="363">
        <f t="shared" si="37"/>
        <v>5669.1620000000003</v>
      </c>
      <c r="U59" s="363">
        <f t="shared" si="37"/>
        <v>266.3</v>
      </c>
      <c r="V59" s="363">
        <f t="shared" si="37"/>
        <v>474.89799999999997</v>
      </c>
      <c r="W59" s="363">
        <f t="shared" si="38"/>
        <v>18716.418000000001</v>
      </c>
      <c r="X59" s="363">
        <f t="shared" si="39"/>
        <v>2343.2420000000002</v>
      </c>
      <c r="Z59" s="390"/>
    </row>
    <row r="60" spans="1:26">
      <c r="A60" s="2" t="s">
        <v>97</v>
      </c>
      <c r="B60" s="16">
        <f t="shared" ref="B60:N60" si="60">B95*0.2</f>
        <v>178538.1</v>
      </c>
      <c r="C60" s="16">
        <f t="shared" si="60"/>
        <v>34374.097999999998</v>
      </c>
      <c r="D60" s="16">
        <f t="shared" si="60"/>
        <v>2933.3540000000003</v>
      </c>
      <c r="E60" s="16">
        <f t="shared" si="60"/>
        <v>7711.35</v>
      </c>
      <c r="F60" s="16">
        <f t="shared" si="60"/>
        <v>189707.52600000001</v>
      </c>
      <c r="G60" s="16">
        <f t="shared" si="60"/>
        <v>2738.9880000000003</v>
      </c>
      <c r="H60" s="16">
        <f t="shared" si="60"/>
        <v>5477.0380000000005</v>
      </c>
      <c r="I60" s="16">
        <f t="shared" si="60"/>
        <v>748.32400000000007</v>
      </c>
      <c r="J60" s="16">
        <f t="shared" si="60"/>
        <v>8642.2899999999991</v>
      </c>
      <c r="K60" s="16">
        <f t="shared" si="60"/>
        <v>347.80799999999999</v>
      </c>
      <c r="L60" s="16">
        <f t="shared" si="60"/>
        <v>43.475999999999999</v>
      </c>
      <c r="M60" s="16">
        <f t="shared" si="60"/>
        <v>70.058000000000007</v>
      </c>
      <c r="N60" s="16">
        <f t="shared" si="60"/>
        <v>278.95999999999998</v>
      </c>
      <c r="O60" s="16">
        <f t="shared" si="55"/>
        <v>0</v>
      </c>
      <c r="P60" s="16">
        <f t="shared" si="58"/>
        <v>0</v>
      </c>
      <c r="Q60" s="16">
        <f t="shared" si="58"/>
        <v>0</v>
      </c>
      <c r="R60" s="8">
        <f t="shared" si="35"/>
        <v>431611.37000000011</v>
      </c>
      <c r="S60" s="363">
        <f t="shared" si="37"/>
        <v>178538.1</v>
      </c>
      <c r="T60" s="363">
        <f t="shared" si="37"/>
        <v>34374.097999999998</v>
      </c>
      <c r="U60" s="363">
        <f t="shared" si="37"/>
        <v>2933.3540000000003</v>
      </c>
      <c r="V60" s="363">
        <f t="shared" si="37"/>
        <v>7711.35</v>
      </c>
      <c r="W60" s="363">
        <f t="shared" si="38"/>
        <v>192446.51400000002</v>
      </c>
      <c r="X60" s="363">
        <f t="shared" si="39"/>
        <v>15607.954</v>
      </c>
      <c r="Z60" s="390"/>
    </row>
    <row r="61" spans="1:26">
      <c r="A61" s="2" t="s">
        <v>98</v>
      </c>
      <c r="B61" s="16">
        <f t="shared" ref="B61:N61" si="61">B96*0.2</f>
        <v>12930.528</v>
      </c>
      <c r="C61" s="16">
        <f t="shared" si="61"/>
        <v>2541.902</v>
      </c>
      <c r="D61" s="16">
        <f t="shared" si="61"/>
        <v>140.33599999999998</v>
      </c>
      <c r="E61" s="16">
        <f t="shared" si="61"/>
        <v>501.98400000000004</v>
      </c>
      <c r="F61" s="16">
        <f t="shared" si="61"/>
        <v>17716.47</v>
      </c>
      <c r="G61" s="16">
        <f t="shared" si="61"/>
        <v>499.97399999999999</v>
      </c>
      <c r="H61" s="16">
        <f t="shared" si="61"/>
        <v>320.75200000000001</v>
      </c>
      <c r="I61" s="16">
        <f t="shared" si="61"/>
        <v>0</v>
      </c>
      <c r="J61" s="16">
        <f t="shared" si="61"/>
        <v>638.57200000000012</v>
      </c>
      <c r="K61" s="16">
        <f t="shared" si="61"/>
        <v>130.428</v>
      </c>
      <c r="L61" s="16">
        <f t="shared" si="61"/>
        <v>0</v>
      </c>
      <c r="M61" s="16">
        <f t="shared" si="61"/>
        <v>0</v>
      </c>
      <c r="N61" s="16">
        <f t="shared" si="61"/>
        <v>31.700000000000003</v>
      </c>
      <c r="O61" s="16">
        <f t="shared" si="55"/>
        <v>0</v>
      </c>
      <c r="P61" s="16">
        <v>0</v>
      </c>
      <c r="Q61" s="16">
        <v>0</v>
      </c>
      <c r="R61" s="8">
        <f t="shared" si="35"/>
        <v>35452.646000000001</v>
      </c>
      <c r="S61" s="363">
        <f t="shared" si="37"/>
        <v>12930.528</v>
      </c>
      <c r="T61" s="363">
        <f t="shared" si="37"/>
        <v>2541.902</v>
      </c>
      <c r="U61" s="363">
        <f t="shared" si="37"/>
        <v>140.33599999999998</v>
      </c>
      <c r="V61" s="363">
        <f t="shared" si="37"/>
        <v>501.98400000000004</v>
      </c>
      <c r="W61" s="363">
        <f t="shared" si="38"/>
        <v>18216.444</v>
      </c>
      <c r="X61" s="363">
        <f t="shared" si="39"/>
        <v>1121.452</v>
      </c>
      <c r="Z61" s="390"/>
    </row>
    <row r="62" spans="1:26">
      <c r="A62" s="2" t="s">
        <v>99</v>
      </c>
      <c r="B62" s="16">
        <f t="shared" ref="B62:N62" si="62">B97*0.2</f>
        <v>2175.634</v>
      </c>
      <c r="C62" s="16">
        <f t="shared" si="62"/>
        <v>632.03400000000011</v>
      </c>
      <c r="D62" s="16">
        <f t="shared" si="62"/>
        <v>55.796000000000006</v>
      </c>
      <c r="E62" s="16">
        <f t="shared" si="62"/>
        <v>237.71199999999999</v>
      </c>
      <c r="F62" s="16">
        <f t="shared" si="62"/>
        <v>2956.3680000000004</v>
      </c>
      <c r="G62" s="16">
        <f t="shared" si="62"/>
        <v>217.38000000000002</v>
      </c>
      <c r="H62" s="16">
        <f t="shared" si="62"/>
        <v>55.808000000000007</v>
      </c>
      <c r="I62" s="16">
        <f t="shared" si="62"/>
        <v>0</v>
      </c>
      <c r="J62" s="16">
        <f t="shared" si="62"/>
        <v>184.61600000000001</v>
      </c>
      <c r="K62" s="16">
        <f t="shared" si="62"/>
        <v>0</v>
      </c>
      <c r="L62" s="16">
        <f t="shared" si="62"/>
        <v>0</v>
      </c>
      <c r="M62" s="16">
        <f t="shared" si="62"/>
        <v>0</v>
      </c>
      <c r="N62" s="16">
        <f t="shared" si="62"/>
        <v>6.34</v>
      </c>
      <c r="O62" s="16">
        <f t="shared" si="55"/>
        <v>0</v>
      </c>
      <c r="P62" s="16">
        <f t="shared" si="58"/>
        <v>0</v>
      </c>
      <c r="Q62" s="16">
        <f t="shared" si="58"/>
        <v>0</v>
      </c>
      <c r="R62" s="8">
        <f t="shared" si="35"/>
        <v>6521.6880000000001</v>
      </c>
      <c r="S62" s="363">
        <f t="shared" si="37"/>
        <v>2175.634</v>
      </c>
      <c r="T62" s="363">
        <f t="shared" si="37"/>
        <v>632.03400000000011</v>
      </c>
      <c r="U62" s="363">
        <f t="shared" si="37"/>
        <v>55.796000000000006</v>
      </c>
      <c r="V62" s="363">
        <f t="shared" si="37"/>
        <v>237.71199999999999</v>
      </c>
      <c r="W62" s="363">
        <f t="shared" si="38"/>
        <v>3173.7480000000005</v>
      </c>
      <c r="X62" s="363">
        <f t="shared" si="39"/>
        <v>246.76400000000004</v>
      </c>
      <c r="Z62" s="390"/>
    </row>
    <row r="63" spans="1:26">
      <c r="A63" s="2" t="s">
        <v>100</v>
      </c>
      <c r="B63" s="16">
        <f t="shared" ref="B63:N63" si="63">B98*0.2</f>
        <v>129028.78200000001</v>
      </c>
      <c r="C63" s="16">
        <f t="shared" si="63"/>
        <v>22620.574000000001</v>
      </c>
      <c r="D63" s="16">
        <f t="shared" si="63"/>
        <v>3338.5320000000002</v>
      </c>
      <c r="E63" s="16">
        <f t="shared" si="63"/>
        <v>7736.3140000000003</v>
      </c>
      <c r="F63" s="16">
        <f t="shared" si="63"/>
        <v>137797.182</v>
      </c>
      <c r="G63" s="16">
        <f t="shared" si="63"/>
        <v>1521.66</v>
      </c>
      <c r="H63" s="16">
        <f t="shared" si="63"/>
        <v>4032.9180000000001</v>
      </c>
      <c r="I63" s="16">
        <f t="shared" si="63"/>
        <v>0</v>
      </c>
      <c r="J63" s="16">
        <f t="shared" si="63"/>
        <v>6205.64</v>
      </c>
      <c r="K63" s="16">
        <f t="shared" si="63"/>
        <v>217.38000000000002</v>
      </c>
      <c r="L63" s="16">
        <f t="shared" si="63"/>
        <v>43.475999999999999</v>
      </c>
      <c r="M63" s="16">
        <f t="shared" si="63"/>
        <v>0</v>
      </c>
      <c r="N63" s="16">
        <f t="shared" si="63"/>
        <v>247.26</v>
      </c>
      <c r="O63" s="16">
        <f t="shared" si="55"/>
        <v>0</v>
      </c>
      <c r="P63" s="16">
        <f t="shared" si="58"/>
        <v>0</v>
      </c>
      <c r="Q63" s="16">
        <f t="shared" si="58"/>
        <v>0</v>
      </c>
      <c r="R63" s="8">
        <f t="shared" si="35"/>
        <v>312789.71800000005</v>
      </c>
      <c r="S63" s="363">
        <f t="shared" si="37"/>
        <v>129028.78200000001</v>
      </c>
      <c r="T63" s="363">
        <f t="shared" si="37"/>
        <v>22620.574000000001</v>
      </c>
      <c r="U63" s="363">
        <f t="shared" si="37"/>
        <v>3338.5320000000002</v>
      </c>
      <c r="V63" s="363">
        <f t="shared" si="37"/>
        <v>7736.3140000000003</v>
      </c>
      <c r="W63" s="363">
        <f t="shared" si="38"/>
        <v>139318.842</v>
      </c>
      <c r="X63" s="363">
        <f t="shared" si="39"/>
        <v>10746.674000000001</v>
      </c>
      <c r="Z63" s="390"/>
    </row>
    <row r="64" spans="1:26">
      <c r="A64" s="2" t="s">
        <v>101</v>
      </c>
      <c r="B64" s="16">
        <f t="shared" ref="B64:N64" si="64">B99*0.2</f>
        <v>690543.42200000002</v>
      </c>
      <c r="C64" s="16">
        <f t="shared" si="64"/>
        <v>130220.54800000001</v>
      </c>
      <c r="D64" s="16">
        <f t="shared" si="64"/>
        <v>14042.442000000003</v>
      </c>
      <c r="E64" s="16">
        <f t="shared" si="64"/>
        <v>23333.804000000004</v>
      </c>
      <c r="F64" s="16">
        <f t="shared" si="64"/>
        <v>704028.60600000003</v>
      </c>
      <c r="G64" s="16">
        <f t="shared" si="64"/>
        <v>9499.5059999999994</v>
      </c>
      <c r="H64" s="16">
        <f t="shared" si="64"/>
        <v>27485.364000000001</v>
      </c>
      <c r="I64" s="16">
        <f t="shared" si="64"/>
        <v>783.75800000000004</v>
      </c>
      <c r="J64" s="16">
        <f t="shared" si="64"/>
        <v>31315.626000000004</v>
      </c>
      <c r="K64" s="16">
        <f t="shared" si="64"/>
        <v>1978.1580000000004</v>
      </c>
      <c r="L64" s="16">
        <f t="shared" si="64"/>
        <v>391.28400000000005</v>
      </c>
      <c r="M64" s="16">
        <f t="shared" si="64"/>
        <v>0</v>
      </c>
      <c r="N64" s="16">
        <f t="shared" si="64"/>
        <v>1413.8200000000002</v>
      </c>
      <c r="O64" s="16">
        <f t="shared" si="55"/>
        <v>0</v>
      </c>
      <c r="P64" s="16">
        <v>0</v>
      </c>
      <c r="Q64" s="16">
        <v>0</v>
      </c>
      <c r="R64" s="8">
        <f t="shared" si="35"/>
        <v>1635036.3380000002</v>
      </c>
      <c r="S64" s="363">
        <f t="shared" si="37"/>
        <v>690543.42200000002</v>
      </c>
      <c r="T64" s="363">
        <f t="shared" si="37"/>
        <v>130220.54800000001</v>
      </c>
      <c r="U64" s="363">
        <f t="shared" si="37"/>
        <v>14042.442000000003</v>
      </c>
      <c r="V64" s="363">
        <f t="shared" si="37"/>
        <v>23333.804000000004</v>
      </c>
      <c r="W64" s="363">
        <f t="shared" si="38"/>
        <v>713528.11200000008</v>
      </c>
      <c r="X64" s="363">
        <f t="shared" si="39"/>
        <v>63368.010000000009</v>
      </c>
      <c r="Z64" s="390"/>
    </row>
    <row r="65" spans="1:26">
      <c r="A65" s="2" t="s">
        <v>102</v>
      </c>
      <c r="B65" s="16">
        <f t="shared" ref="B65:N65" si="65">B100*0.2</f>
        <v>13830.798000000003</v>
      </c>
      <c r="C65" s="16">
        <f t="shared" si="65"/>
        <v>3924.5080000000003</v>
      </c>
      <c r="D65" s="16">
        <f t="shared" si="65"/>
        <v>230.79200000000003</v>
      </c>
      <c r="E65" s="16">
        <f t="shared" si="65"/>
        <v>256.25</v>
      </c>
      <c r="F65" s="16">
        <f t="shared" si="65"/>
        <v>20498.934000000001</v>
      </c>
      <c r="G65" s="16">
        <f t="shared" si="65"/>
        <v>499.97399999999999</v>
      </c>
      <c r="H65" s="16">
        <f t="shared" si="65"/>
        <v>590.57799999999997</v>
      </c>
      <c r="I65" s="16">
        <f t="shared" si="65"/>
        <v>0</v>
      </c>
      <c r="J65" s="16">
        <f t="shared" si="65"/>
        <v>848.52600000000007</v>
      </c>
      <c r="K65" s="16">
        <f t="shared" si="65"/>
        <v>0</v>
      </c>
      <c r="L65" s="16">
        <f t="shared" si="65"/>
        <v>0</v>
      </c>
      <c r="M65" s="16">
        <f t="shared" si="65"/>
        <v>0</v>
      </c>
      <c r="N65" s="16">
        <f t="shared" si="65"/>
        <v>44.38</v>
      </c>
      <c r="O65" s="16">
        <f t="shared" si="55"/>
        <v>0</v>
      </c>
      <c r="P65" s="16">
        <f>P100*0.2</f>
        <v>0</v>
      </c>
      <c r="Q65" s="16">
        <f>Q100*0.2</f>
        <v>78.64800000000001</v>
      </c>
      <c r="R65" s="8">
        <f t="shared" si="35"/>
        <v>40803.388000000006</v>
      </c>
      <c r="S65" s="363">
        <f t="shared" si="37"/>
        <v>13830.798000000003</v>
      </c>
      <c r="T65" s="363">
        <f t="shared" si="37"/>
        <v>3924.5080000000003</v>
      </c>
      <c r="U65" s="363">
        <f t="shared" si="37"/>
        <v>230.79200000000003</v>
      </c>
      <c r="V65" s="363">
        <f t="shared" si="37"/>
        <v>256.25</v>
      </c>
      <c r="W65" s="363">
        <f t="shared" si="38"/>
        <v>20998.907999999999</v>
      </c>
      <c r="X65" s="363">
        <f t="shared" si="39"/>
        <v>1562.1320000000001</v>
      </c>
      <c r="Z65" s="390"/>
    </row>
    <row r="66" spans="1:26">
      <c r="A66" s="2" t="s">
        <v>103</v>
      </c>
      <c r="B66" s="16">
        <f t="shared" ref="B66:N66" si="66">B101*0.2</f>
        <v>7976.0920000000006</v>
      </c>
      <c r="C66" s="16">
        <f t="shared" si="66"/>
        <v>1732.2720000000002</v>
      </c>
      <c r="D66" s="16">
        <f t="shared" si="66"/>
        <v>5.0720000000000001</v>
      </c>
      <c r="E66" s="16">
        <f t="shared" si="66"/>
        <v>320.17600000000004</v>
      </c>
      <c r="F66" s="16">
        <f t="shared" si="66"/>
        <v>9934.2660000000014</v>
      </c>
      <c r="G66" s="16">
        <f t="shared" si="66"/>
        <v>347.80799999999999</v>
      </c>
      <c r="H66" s="16">
        <f t="shared" si="66"/>
        <v>441.03400000000005</v>
      </c>
      <c r="I66" s="16">
        <f t="shared" si="66"/>
        <v>0</v>
      </c>
      <c r="J66" s="16">
        <f t="shared" si="66"/>
        <v>461.47200000000004</v>
      </c>
      <c r="K66" s="16">
        <f t="shared" si="66"/>
        <v>86.951999999999998</v>
      </c>
      <c r="L66" s="16">
        <f t="shared" si="66"/>
        <v>0</v>
      </c>
      <c r="M66" s="16">
        <f t="shared" si="66"/>
        <v>0</v>
      </c>
      <c r="N66" s="16">
        <f t="shared" si="66"/>
        <v>6.34</v>
      </c>
      <c r="O66" s="16">
        <f t="shared" si="55"/>
        <v>0</v>
      </c>
      <c r="P66" s="16">
        <f>P101*0.2</f>
        <v>0</v>
      </c>
      <c r="Q66" s="16">
        <f>Q101*0.2</f>
        <v>0</v>
      </c>
      <c r="R66" s="8">
        <f t="shared" si="35"/>
        <v>21311.484000000008</v>
      </c>
      <c r="S66" s="363">
        <f t="shared" si="37"/>
        <v>7976.0920000000006</v>
      </c>
      <c r="T66" s="363">
        <f t="shared" si="37"/>
        <v>1732.2720000000002</v>
      </c>
      <c r="U66" s="363">
        <f t="shared" si="37"/>
        <v>5.0720000000000001</v>
      </c>
      <c r="V66" s="363">
        <f t="shared" si="37"/>
        <v>320.17600000000004</v>
      </c>
      <c r="W66" s="363">
        <f t="shared" si="38"/>
        <v>10282.074000000001</v>
      </c>
      <c r="X66" s="363">
        <f t="shared" si="39"/>
        <v>995.79800000000012</v>
      </c>
      <c r="Z66" s="390"/>
    </row>
    <row r="67" spans="1:26">
      <c r="A67" s="6" t="s">
        <v>37</v>
      </c>
      <c r="B67" s="7">
        <f t="shared" ref="B67:X67" si="67">SUM(B40:B66)</f>
        <v>2242183.9540000004</v>
      </c>
      <c r="C67" s="7">
        <f t="shared" si="67"/>
        <v>401702.29399999999</v>
      </c>
      <c r="D67" s="7">
        <f t="shared" si="67"/>
        <v>45320.824000000008</v>
      </c>
      <c r="E67" s="7">
        <f t="shared" si="67"/>
        <v>74784.390000000014</v>
      </c>
      <c r="F67" s="7">
        <f t="shared" si="67"/>
        <v>2010907.5360000001</v>
      </c>
      <c r="G67" s="7">
        <f t="shared" si="67"/>
        <v>40070.351999999992</v>
      </c>
      <c r="H67" s="7">
        <f t="shared" si="67"/>
        <v>67767.834000000003</v>
      </c>
      <c r="I67" s="7">
        <f t="shared" si="67"/>
        <v>6407.5920000000006</v>
      </c>
      <c r="J67" s="7">
        <f t="shared" si="67"/>
        <v>96994.936000000002</v>
      </c>
      <c r="K67" s="7">
        <f t="shared" si="67"/>
        <v>7195.2780000000002</v>
      </c>
      <c r="L67" s="7">
        <f t="shared" si="67"/>
        <v>695.61599999999999</v>
      </c>
      <c r="M67" s="7">
        <f t="shared" si="67"/>
        <v>761.35</v>
      </c>
      <c r="N67" s="7">
        <f t="shared" si="67"/>
        <v>3918.1200000000003</v>
      </c>
      <c r="O67" s="7">
        <f t="shared" si="67"/>
        <v>0</v>
      </c>
      <c r="P67" s="7">
        <f t="shared" si="67"/>
        <v>55.326000000000001</v>
      </c>
      <c r="Q67" s="7">
        <f t="shared" si="67"/>
        <v>933.09400000000005</v>
      </c>
      <c r="R67" s="9">
        <f t="shared" si="67"/>
        <v>4999698.4960000012</v>
      </c>
      <c r="S67" s="363">
        <f t="shared" si="67"/>
        <v>2242183.9540000004</v>
      </c>
      <c r="T67" s="363">
        <f t="shared" si="67"/>
        <v>401702.29399999999</v>
      </c>
      <c r="U67" s="363">
        <f t="shared" si="67"/>
        <v>45320.824000000008</v>
      </c>
      <c r="V67" s="363">
        <f t="shared" si="67"/>
        <v>74784.390000000014</v>
      </c>
      <c r="W67" s="363">
        <f t="shared" si="67"/>
        <v>2050977.888</v>
      </c>
      <c r="X67" s="363">
        <f t="shared" si="67"/>
        <v>184729.14600000004</v>
      </c>
      <c r="Z67" s="390"/>
    </row>
    <row r="68" spans="1:26">
      <c r="A68" s="351" t="s">
        <v>47</v>
      </c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6"/>
    </row>
    <row r="69" spans="1:26">
      <c r="A69" s="358"/>
      <c r="B69" s="358"/>
      <c r="C69" s="359"/>
      <c r="D69" s="359"/>
      <c r="E69" s="359"/>
      <c r="F69" s="359"/>
      <c r="G69" s="359"/>
      <c r="H69" s="359"/>
      <c r="I69" s="359"/>
      <c r="J69" s="359"/>
      <c r="K69" s="359"/>
      <c r="R69" s="360"/>
    </row>
    <row r="70" spans="1:26">
      <c r="A70" s="357"/>
      <c r="L70" s="253"/>
      <c r="M70" s="253"/>
      <c r="N70" s="253"/>
      <c r="O70" s="253"/>
      <c r="P70" s="253"/>
      <c r="Q70" s="253"/>
    </row>
    <row r="71" spans="1:26">
      <c r="A71" s="357"/>
    </row>
    <row r="72" spans="1:26" ht="46.5">
      <c r="A72" s="837" t="s">
        <v>46</v>
      </c>
      <c r="B72" s="838"/>
      <c r="C72" s="838"/>
      <c r="D72" s="838"/>
      <c r="E72" s="838"/>
      <c r="F72" s="838"/>
      <c r="G72" s="838"/>
      <c r="H72" s="838"/>
      <c r="I72" s="838"/>
      <c r="J72" s="838"/>
      <c r="K72" s="838"/>
      <c r="L72" s="838"/>
      <c r="M72" s="838"/>
      <c r="N72" s="838"/>
      <c r="O72" s="838"/>
      <c r="P72" s="838"/>
      <c r="Q72" s="838"/>
      <c r="R72" s="839"/>
    </row>
    <row r="73" spans="1:26" ht="35.1" customHeight="1">
      <c r="A73" s="835" t="s">
        <v>33</v>
      </c>
      <c r="B73" s="833" t="s">
        <v>27</v>
      </c>
      <c r="C73" s="834"/>
      <c r="D73" s="833" t="s">
        <v>29</v>
      </c>
      <c r="E73" s="834"/>
      <c r="F73" s="835" t="s">
        <v>28</v>
      </c>
      <c r="G73" s="835" t="s">
        <v>36</v>
      </c>
      <c r="H73" s="835" t="s">
        <v>30</v>
      </c>
      <c r="I73" s="835" t="s">
        <v>31</v>
      </c>
      <c r="J73" s="835" t="s">
        <v>41</v>
      </c>
      <c r="K73" s="835" t="s">
        <v>35</v>
      </c>
      <c r="L73" s="835" t="s">
        <v>40</v>
      </c>
      <c r="M73" s="835" t="s">
        <v>42</v>
      </c>
      <c r="N73" s="835" t="s">
        <v>45</v>
      </c>
      <c r="O73" s="835" t="s">
        <v>279</v>
      </c>
      <c r="P73" s="833" t="s">
        <v>49</v>
      </c>
      <c r="Q73" s="834"/>
      <c r="R73" s="835" t="s">
        <v>34</v>
      </c>
    </row>
    <row r="74" spans="1:26" ht="35.1" customHeight="1">
      <c r="A74" s="836"/>
      <c r="B74" s="361" t="s">
        <v>43</v>
      </c>
      <c r="C74" s="361" t="s">
        <v>44</v>
      </c>
      <c r="D74" s="361" t="s">
        <v>43</v>
      </c>
      <c r="E74" s="361" t="s">
        <v>44</v>
      </c>
      <c r="F74" s="836"/>
      <c r="G74" s="836"/>
      <c r="H74" s="836"/>
      <c r="I74" s="836"/>
      <c r="J74" s="836"/>
      <c r="K74" s="836"/>
      <c r="L74" s="836"/>
      <c r="M74" s="836"/>
      <c r="N74" s="836"/>
      <c r="O74" s="836"/>
      <c r="P74" s="362" t="s">
        <v>50</v>
      </c>
      <c r="Q74" s="362" t="s">
        <v>51</v>
      </c>
      <c r="R74" s="836"/>
      <c r="S74" s="372" t="s">
        <v>173</v>
      </c>
      <c r="T74" s="372" t="s">
        <v>291</v>
      </c>
      <c r="U74" s="372" t="s">
        <v>174</v>
      </c>
      <c r="V74" s="372" t="s">
        <v>292</v>
      </c>
      <c r="W74" s="372" t="s">
        <v>28</v>
      </c>
      <c r="X74" s="372" t="s">
        <v>175</v>
      </c>
      <c r="Y74" s="726"/>
    </row>
    <row r="75" spans="1:26">
      <c r="A75" s="2" t="s">
        <v>77</v>
      </c>
      <c r="B75" s="16">
        <v>28205.81</v>
      </c>
      <c r="C75" s="16">
        <v>12556.12</v>
      </c>
      <c r="D75" s="16">
        <v>410.01</v>
      </c>
      <c r="E75" s="16">
        <v>1090.08</v>
      </c>
      <c r="F75" s="16">
        <v>27824.639999999999</v>
      </c>
      <c r="G75" s="16">
        <v>1412.97</v>
      </c>
      <c r="H75" s="16">
        <v>1236.27</v>
      </c>
      <c r="I75" s="16"/>
      <c r="J75" s="16">
        <v>2948.97</v>
      </c>
      <c r="K75" s="16">
        <v>1195.5899999999999</v>
      </c>
      <c r="L75" s="16"/>
      <c r="M75" s="16"/>
      <c r="N75" s="16">
        <v>31.7</v>
      </c>
      <c r="O75" s="16"/>
      <c r="P75" s="16"/>
      <c r="Q75" s="16"/>
      <c r="R75" s="8">
        <f t="shared" ref="R75:R101" si="68">SUM(B75:Q75)</f>
        <v>76912.160000000003</v>
      </c>
      <c r="S75" s="363">
        <f>B75</f>
        <v>28205.81</v>
      </c>
      <c r="T75" s="363">
        <f>C75</f>
        <v>12556.12</v>
      </c>
      <c r="U75" s="363">
        <f>D75</f>
        <v>410.01</v>
      </c>
      <c r="V75" s="363">
        <f>E75</f>
        <v>1090.08</v>
      </c>
      <c r="W75" s="363">
        <f>F75+G75</f>
        <v>29237.61</v>
      </c>
      <c r="X75" s="363">
        <f>SUM(H75:Q75)</f>
        <v>5412.53</v>
      </c>
      <c r="Z75" s="390"/>
    </row>
    <row r="76" spans="1:26">
      <c r="A76" s="2" t="s">
        <v>78</v>
      </c>
      <c r="B76" s="16">
        <v>103208.59</v>
      </c>
      <c r="C76" s="16">
        <v>20932.689999999999</v>
      </c>
      <c r="D76" s="16">
        <v>659.41</v>
      </c>
      <c r="E76" s="16">
        <v>240.75</v>
      </c>
      <c r="F76" s="16">
        <v>91843.05</v>
      </c>
      <c r="G76" s="16">
        <v>2934.63</v>
      </c>
      <c r="H76" s="16">
        <v>2136.2800000000002</v>
      </c>
      <c r="I76" s="16"/>
      <c r="J76" s="16">
        <v>4163.04</v>
      </c>
      <c r="K76" s="16">
        <v>652.14</v>
      </c>
      <c r="L76" s="16"/>
      <c r="M76" s="16"/>
      <c r="N76" s="16">
        <v>63.4</v>
      </c>
      <c r="O76" s="16"/>
      <c r="P76" s="16"/>
      <c r="Q76" s="16"/>
      <c r="R76" s="8">
        <f t="shared" si="68"/>
        <v>226833.98</v>
      </c>
      <c r="S76" s="363">
        <f t="shared" ref="S76:V101" si="69">B76</f>
        <v>103208.59</v>
      </c>
      <c r="T76" s="363">
        <f t="shared" si="69"/>
        <v>20932.689999999999</v>
      </c>
      <c r="U76" s="363">
        <f t="shared" si="69"/>
        <v>659.41</v>
      </c>
      <c r="V76" s="363">
        <f t="shared" si="69"/>
        <v>240.75</v>
      </c>
      <c r="W76" s="363">
        <f t="shared" ref="W76:W101" si="70">F76+G76</f>
        <v>94777.680000000008</v>
      </c>
      <c r="X76" s="363">
        <f t="shared" ref="X76:X101" si="71">SUM(H76:Q76)</f>
        <v>7014.86</v>
      </c>
      <c r="Z76" s="390"/>
    </row>
    <row r="77" spans="1:26">
      <c r="A77" s="2" t="s">
        <v>79</v>
      </c>
      <c r="B77" s="16">
        <v>32781.620000000003</v>
      </c>
      <c r="C77" s="16">
        <v>9431.99</v>
      </c>
      <c r="D77" s="16">
        <v>2096.9299999999998</v>
      </c>
      <c r="E77" s="16">
        <v>2364.04</v>
      </c>
      <c r="F77" s="16">
        <v>38584.949999999997</v>
      </c>
      <c r="G77" s="16">
        <v>3586.77</v>
      </c>
      <c r="H77" s="16">
        <v>1000.1</v>
      </c>
      <c r="I77" s="16">
        <v>961.26</v>
      </c>
      <c r="J77" s="16">
        <v>2515.67</v>
      </c>
      <c r="K77" s="16">
        <v>869.52</v>
      </c>
      <c r="L77" s="16"/>
      <c r="M77" s="16"/>
      <c r="N77" s="16">
        <v>158.5</v>
      </c>
      <c r="O77" s="16"/>
      <c r="P77" s="16"/>
      <c r="Q77" s="16"/>
      <c r="R77" s="8">
        <f t="shared" si="68"/>
        <v>94351.35</v>
      </c>
      <c r="S77" s="363">
        <f t="shared" si="69"/>
        <v>32781.620000000003</v>
      </c>
      <c r="T77" s="363">
        <f t="shared" si="69"/>
        <v>9431.99</v>
      </c>
      <c r="U77" s="363">
        <f t="shared" si="69"/>
        <v>2096.9299999999998</v>
      </c>
      <c r="V77" s="363">
        <f t="shared" si="69"/>
        <v>2364.04</v>
      </c>
      <c r="W77" s="363">
        <f t="shared" si="70"/>
        <v>42171.719999999994</v>
      </c>
      <c r="X77" s="363">
        <f t="shared" si="71"/>
        <v>5505.0500000000011</v>
      </c>
      <c r="Z77" s="390"/>
    </row>
    <row r="78" spans="1:26">
      <c r="A78" s="2" t="s">
        <v>80</v>
      </c>
      <c r="B78" s="16">
        <v>92195.91</v>
      </c>
      <c r="C78" s="16">
        <v>20131.22</v>
      </c>
      <c r="D78" s="16">
        <v>2337.52</v>
      </c>
      <c r="E78" s="16">
        <v>3770.65</v>
      </c>
      <c r="F78" s="16">
        <v>81191.429999999993</v>
      </c>
      <c r="G78" s="16">
        <v>2065.11</v>
      </c>
      <c r="H78" s="16">
        <v>2255.56</v>
      </c>
      <c r="I78" s="16"/>
      <c r="J78" s="16">
        <v>4861.6099999999997</v>
      </c>
      <c r="K78" s="16">
        <v>108.69</v>
      </c>
      <c r="L78" s="16"/>
      <c r="M78" s="16">
        <v>1364.62</v>
      </c>
      <c r="N78" s="16">
        <v>158.5</v>
      </c>
      <c r="O78" s="16"/>
      <c r="P78" s="16"/>
      <c r="Q78" s="16"/>
      <c r="R78" s="8">
        <f t="shared" si="68"/>
        <v>210440.81999999995</v>
      </c>
      <c r="S78" s="363">
        <f t="shared" si="69"/>
        <v>92195.91</v>
      </c>
      <c r="T78" s="363">
        <f t="shared" si="69"/>
        <v>20131.22</v>
      </c>
      <c r="U78" s="363">
        <f t="shared" si="69"/>
        <v>2337.52</v>
      </c>
      <c r="V78" s="363">
        <f t="shared" si="69"/>
        <v>3770.65</v>
      </c>
      <c r="W78" s="363">
        <f t="shared" si="70"/>
        <v>83256.539999999994</v>
      </c>
      <c r="X78" s="363">
        <f t="shared" si="71"/>
        <v>8748.98</v>
      </c>
      <c r="Z78" s="390"/>
    </row>
    <row r="79" spans="1:26">
      <c r="A79" s="2" t="s">
        <v>81</v>
      </c>
      <c r="B79" s="16">
        <v>367339.46</v>
      </c>
      <c r="C79" s="16">
        <v>57436.57</v>
      </c>
      <c r="D79" s="16">
        <v>5205.5200000000004</v>
      </c>
      <c r="E79" s="16">
        <v>9037.93</v>
      </c>
      <c r="F79" s="16">
        <v>273029.28000000003</v>
      </c>
      <c r="G79" s="16">
        <v>5977.95</v>
      </c>
      <c r="H79" s="16">
        <v>9135.59</v>
      </c>
      <c r="I79" s="16"/>
      <c r="J79" s="16">
        <v>13832.04</v>
      </c>
      <c r="K79" s="16">
        <v>108.69</v>
      </c>
      <c r="L79" s="16"/>
      <c r="M79" s="16"/>
      <c r="N79" s="16">
        <v>665.7</v>
      </c>
      <c r="O79" s="16"/>
      <c r="P79" s="16">
        <v>91.02</v>
      </c>
      <c r="Q79" s="16">
        <v>910.28</v>
      </c>
      <c r="R79" s="8">
        <f t="shared" si="68"/>
        <v>742770.02999999991</v>
      </c>
      <c r="S79" s="363">
        <f t="shared" si="69"/>
        <v>367339.46</v>
      </c>
      <c r="T79" s="363">
        <f t="shared" si="69"/>
        <v>57436.57</v>
      </c>
      <c r="U79" s="363">
        <f t="shared" si="69"/>
        <v>5205.5200000000004</v>
      </c>
      <c r="V79" s="363">
        <f t="shared" si="69"/>
        <v>9037.93</v>
      </c>
      <c r="W79" s="363">
        <f t="shared" si="70"/>
        <v>279007.23000000004</v>
      </c>
      <c r="X79" s="363">
        <f t="shared" si="71"/>
        <v>24743.32</v>
      </c>
      <c r="Z79" s="390"/>
    </row>
    <row r="80" spans="1:26">
      <c r="A80" s="2" t="s">
        <v>82</v>
      </c>
      <c r="B80" s="16">
        <v>219143.6</v>
      </c>
      <c r="C80" s="16">
        <v>38514.07</v>
      </c>
      <c r="D80" s="16">
        <v>3259</v>
      </c>
      <c r="E80" s="16">
        <v>13166.41</v>
      </c>
      <c r="F80" s="16">
        <v>143470.79999999999</v>
      </c>
      <c r="G80" s="16">
        <v>5217.12</v>
      </c>
      <c r="H80" s="16">
        <v>6006.59</v>
      </c>
      <c r="I80" s="16">
        <v>1239.8399999999999</v>
      </c>
      <c r="J80" s="16">
        <v>11224.98</v>
      </c>
      <c r="K80" s="16">
        <v>1304.28</v>
      </c>
      <c r="L80" s="16"/>
      <c r="M80" s="16"/>
      <c r="N80" s="16">
        <v>348.7</v>
      </c>
      <c r="O80" s="16"/>
      <c r="P80" s="16">
        <v>55.96</v>
      </c>
      <c r="Q80" s="16">
        <v>2288.06</v>
      </c>
      <c r="R80" s="8">
        <f t="shared" si="68"/>
        <v>445239.41000000009</v>
      </c>
      <c r="S80" s="363">
        <f t="shared" si="69"/>
        <v>219143.6</v>
      </c>
      <c r="T80" s="363">
        <f t="shared" si="69"/>
        <v>38514.07</v>
      </c>
      <c r="U80" s="363">
        <f t="shared" si="69"/>
        <v>3259</v>
      </c>
      <c r="V80" s="363">
        <f t="shared" si="69"/>
        <v>13166.41</v>
      </c>
      <c r="W80" s="363">
        <f t="shared" si="70"/>
        <v>148687.91999999998</v>
      </c>
      <c r="X80" s="363">
        <f t="shared" si="71"/>
        <v>22468.41</v>
      </c>
      <c r="Z80" s="390"/>
    </row>
    <row r="81" spans="1:26">
      <c r="A81" s="2" t="s">
        <v>83</v>
      </c>
      <c r="B81" s="16">
        <v>330775.90000000002</v>
      </c>
      <c r="C81" s="16">
        <v>47676.56</v>
      </c>
      <c r="D81" s="16">
        <v>5725.45</v>
      </c>
      <c r="E81" s="16">
        <v>4156.32</v>
      </c>
      <c r="F81" s="16">
        <v>174664.83</v>
      </c>
      <c r="G81" s="16">
        <v>6738.78</v>
      </c>
      <c r="H81" s="16">
        <v>5175.93</v>
      </c>
      <c r="I81" s="16"/>
      <c r="J81" s="16">
        <v>10684.46</v>
      </c>
      <c r="K81" s="16">
        <v>652.14</v>
      </c>
      <c r="L81" s="16">
        <v>217.38</v>
      </c>
      <c r="M81" s="16">
        <v>2091.84</v>
      </c>
      <c r="N81" s="16">
        <v>665.7</v>
      </c>
      <c r="O81" s="16"/>
      <c r="P81" s="16"/>
      <c r="Q81" s="16"/>
      <c r="R81" s="8">
        <f t="shared" si="68"/>
        <v>589225.29</v>
      </c>
      <c r="S81" s="363">
        <f t="shared" si="69"/>
        <v>330775.90000000002</v>
      </c>
      <c r="T81" s="363">
        <f t="shared" si="69"/>
        <v>47676.56</v>
      </c>
      <c r="U81" s="363">
        <f t="shared" si="69"/>
        <v>5725.45</v>
      </c>
      <c r="V81" s="363">
        <f t="shared" si="69"/>
        <v>4156.32</v>
      </c>
      <c r="W81" s="363">
        <f t="shared" si="70"/>
        <v>181403.61</v>
      </c>
      <c r="X81" s="363">
        <f t="shared" si="71"/>
        <v>19487.45</v>
      </c>
      <c r="Z81" s="390"/>
    </row>
    <row r="82" spans="1:26">
      <c r="A82" s="2" t="s">
        <v>84</v>
      </c>
      <c r="B82" s="16">
        <v>350343.21</v>
      </c>
      <c r="C82" s="16">
        <v>35444.44</v>
      </c>
      <c r="D82" s="16">
        <v>7803.02</v>
      </c>
      <c r="E82" s="16">
        <v>7208.03</v>
      </c>
      <c r="F82" s="16">
        <v>173251.86</v>
      </c>
      <c r="G82" s="16">
        <v>9347.34</v>
      </c>
      <c r="H82" s="16">
        <v>4353.37</v>
      </c>
      <c r="I82" s="16"/>
      <c r="J82" s="16">
        <v>8957.49</v>
      </c>
      <c r="K82" s="16">
        <v>3912.84</v>
      </c>
      <c r="L82" s="16"/>
      <c r="M82" s="16"/>
      <c r="N82" s="16">
        <v>317</v>
      </c>
      <c r="O82" s="16"/>
      <c r="P82" s="16"/>
      <c r="Q82" s="16"/>
      <c r="R82" s="8">
        <f t="shared" si="68"/>
        <v>600938.6</v>
      </c>
      <c r="S82" s="363">
        <f t="shared" si="69"/>
        <v>350343.21</v>
      </c>
      <c r="T82" s="363">
        <f t="shared" si="69"/>
        <v>35444.44</v>
      </c>
      <c r="U82" s="363">
        <f t="shared" si="69"/>
        <v>7803.02</v>
      </c>
      <c r="V82" s="363">
        <f t="shared" si="69"/>
        <v>7208.03</v>
      </c>
      <c r="W82" s="363">
        <f t="shared" si="70"/>
        <v>182599.19999999998</v>
      </c>
      <c r="X82" s="363">
        <f t="shared" si="71"/>
        <v>17540.7</v>
      </c>
      <c r="Z82" s="390"/>
    </row>
    <row r="83" spans="1:26">
      <c r="A83" s="2" t="s">
        <v>85</v>
      </c>
      <c r="B83" s="16">
        <v>261425.22</v>
      </c>
      <c r="C83" s="16">
        <v>49948.1</v>
      </c>
      <c r="D83" s="16">
        <v>5182.24</v>
      </c>
      <c r="E83" s="16">
        <v>12782.55</v>
      </c>
      <c r="F83" s="16">
        <v>371828.49</v>
      </c>
      <c r="G83" s="16">
        <v>4456.29</v>
      </c>
      <c r="H83" s="16">
        <v>9910.1299999999992</v>
      </c>
      <c r="I83" s="16">
        <v>326.07</v>
      </c>
      <c r="J83" s="16">
        <v>11490.77</v>
      </c>
      <c r="K83" s="16">
        <v>869.52</v>
      </c>
      <c r="L83" s="16"/>
      <c r="M83" s="16"/>
      <c r="N83" s="16">
        <v>760.8</v>
      </c>
      <c r="O83" s="16"/>
      <c r="P83" s="16"/>
      <c r="Q83" s="16"/>
      <c r="R83" s="8">
        <f t="shared" si="68"/>
        <v>728980.18</v>
      </c>
      <c r="S83" s="363">
        <f t="shared" si="69"/>
        <v>261425.22</v>
      </c>
      <c r="T83" s="363">
        <f t="shared" si="69"/>
        <v>49948.1</v>
      </c>
      <c r="U83" s="363">
        <f t="shared" si="69"/>
        <v>5182.24</v>
      </c>
      <c r="V83" s="363">
        <f t="shared" si="69"/>
        <v>12782.55</v>
      </c>
      <c r="W83" s="363">
        <f t="shared" si="70"/>
        <v>376284.77999999997</v>
      </c>
      <c r="X83" s="363">
        <f t="shared" si="71"/>
        <v>23357.29</v>
      </c>
      <c r="Z83" s="390"/>
    </row>
    <row r="84" spans="1:26">
      <c r="A84" s="2" t="s">
        <v>86</v>
      </c>
      <c r="B84" s="16">
        <v>93400.07</v>
      </c>
      <c r="C84" s="16">
        <v>15816.24</v>
      </c>
      <c r="D84" s="16">
        <v>2155.7600000000002</v>
      </c>
      <c r="E84" s="16">
        <v>1973.05</v>
      </c>
      <c r="F84" s="16">
        <v>76300.38</v>
      </c>
      <c r="G84" s="16">
        <v>2282.4899999999998</v>
      </c>
      <c r="H84" s="16">
        <v>1702.22</v>
      </c>
      <c r="I84" s="16"/>
      <c r="J84" s="16">
        <v>3707.71</v>
      </c>
      <c r="K84" s="16">
        <v>326.07</v>
      </c>
      <c r="L84" s="16"/>
      <c r="M84" s="16"/>
      <c r="N84" s="16">
        <v>158.5</v>
      </c>
      <c r="O84" s="16"/>
      <c r="P84" s="16"/>
      <c r="Q84" s="16"/>
      <c r="R84" s="8">
        <f t="shared" si="68"/>
        <v>197822.49</v>
      </c>
      <c r="S84" s="363">
        <f t="shared" si="69"/>
        <v>93400.07</v>
      </c>
      <c r="T84" s="363">
        <f t="shared" si="69"/>
        <v>15816.24</v>
      </c>
      <c r="U84" s="363">
        <f t="shared" si="69"/>
        <v>2155.7600000000002</v>
      </c>
      <c r="V84" s="363">
        <f t="shared" si="69"/>
        <v>1973.05</v>
      </c>
      <c r="W84" s="363">
        <f t="shared" si="70"/>
        <v>78582.87000000001</v>
      </c>
      <c r="X84" s="363">
        <f t="shared" si="71"/>
        <v>5894.5</v>
      </c>
      <c r="Z84" s="390"/>
    </row>
    <row r="85" spans="1:26">
      <c r="A85" s="2" t="s">
        <v>87</v>
      </c>
      <c r="B85" s="16">
        <v>181344.44</v>
      </c>
      <c r="C85" s="16">
        <v>31153.63</v>
      </c>
      <c r="D85" s="16">
        <v>4956.13</v>
      </c>
      <c r="E85" s="16">
        <v>3936.21</v>
      </c>
      <c r="F85" s="16">
        <v>343351.71</v>
      </c>
      <c r="G85" s="16">
        <v>5108.43</v>
      </c>
      <c r="H85" s="16">
        <v>4007.1</v>
      </c>
      <c r="I85" s="16">
        <v>3183.12</v>
      </c>
      <c r="J85" s="16">
        <v>6630.56</v>
      </c>
      <c r="K85" s="16">
        <v>760.83</v>
      </c>
      <c r="L85" s="16"/>
      <c r="M85" s="16"/>
      <c r="N85" s="16">
        <v>348.7</v>
      </c>
      <c r="O85" s="16"/>
      <c r="P85" s="16"/>
      <c r="Q85" s="16"/>
      <c r="R85" s="8">
        <f t="shared" si="68"/>
        <v>584780.86</v>
      </c>
      <c r="S85" s="363">
        <f t="shared" si="69"/>
        <v>181344.44</v>
      </c>
      <c r="T85" s="363">
        <f t="shared" si="69"/>
        <v>31153.63</v>
      </c>
      <c r="U85" s="363">
        <f t="shared" si="69"/>
        <v>4956.13</v>
      </c>
      <c r="V85" s="363">
        <f t="shared" si="69"/>
        <v>3936.21</v>
      </c>
      <c r="W85" s="363">
        <f t="shared" si="70"/>
        <v>348460.14</v>
      </c>
      <c r="X85" s="363">
        <f t="shared" si="71"/>
        <v>14930.31</v>
      </c>
      <c r="Z85" s="390"/>
    </row>
    <row r="86" spans="1:26">
      <c r="A86" s="2" t="s">
        <v>88</v>
      </c>
      <c r="B86" s="16">
        <v>134496.76999999999</v>
      </c>
      <c r="C86" s="16">
        <v>41605.57</v>
      </c>
      <c r="D86" s="16">
        <v>3415.38</v>
      </c>
      <c r="E86" s="16">
        <v>3309.91</v>
      </c>
      <c r="F86" s="16">
        <v>234770.4</v>
      </c>
      <c r="G86" s="16">
        <v>3948.93</v>
      </c>
      <c r="H86" s="16">
        <v>6273.4</v>
      </c>
      <c r="I86" s="16">
        <v>422.03</v>
      </c>
      <c r="J86" s="16">
        <v>7895.4</v>
      </c>
      <c r="K86" s="16">
        <v>1195.5899999999999</v>
      </c>
      <c r="L86" s="16"/>
      <c r="M86" s="16"/>
      <c r="N86" s="16">
        <v>285.3</v>
      </c>
      <c r="O86" s="16"/>
      <c r="P86" s="16">
        <v>77.209999999999994</v>
      </c>
      <c r="Q86" s="16"/>
      <c r="R86" s="8">
        <f t="shared" si="68"/>
        <v>437695.89000000013</v>
      </c>
      <c r="S86" s="363">
        <f t="shared" si="69"/>
        <v>134496.76999999999</v>
      </c>
      <c r="T86" s="363">
        <f t="shared" si="69"/>
        <v>41605.57</v>
      </c>
      <c r="U86" s="363">
        <f t="shared" si="69"/>
        <v>3415.38</v>
      </c>
      <c r="V86" s="363">
        <f t="shared" si="69"/>
        <v>3309.91</v>
      </c>
      <c r="W86" s="363">
        <f t="shared" si="70"/>
        <v>238719.33</v>
      </c>
      <c r="X86" s="363">
        <f t="shared" si="71"/>
        <v>16148.929999999997</v>
      </c>
      <c r="Z86" s="390"/>
    </row>
    <row r="87" spans="1:26">
      <c r="A87" s="2" t="s">
        <v>89</v>
      </c>
      <c r="B87" s="16">
        <v>1195841.17</v>
      </c>
      <c r="C87" s="16">
        <v>215206.8</v>
      </c>
      <c r="D87" s="16">
        <v>18193.25</v>
      </c>
      <c r="E87" s="16">
        <v>30923.42</v>
      </c>
      <c r="F87" s="16">
        <v>612000.91</v>
      </c>
      <c r="G87" s="16">
        <v>14999.22</v>
      </c>
      <c r="H87" s="16">
        <v>32070.43</v>
      </c>
      <c r="I87" s="16"/>
      <c r="J87" s="16">
        <v>49550.36</v>
      </c>
      <c r="K87" s="16">
        <v>2717.25</v>
      </c>
      <c r="L87" s="16"/>
      <c r="M87" s="16"/>
      <c r="N87" s="16">
        <v>1331.4</v>
      </c>
      <c r="O87" s="16"/>
      <c r="P87" s="16"/>
      <c r="Q87" s="16"/>
      <c r="R87" s="8">
        <f t="shared" si="68"/>
        <v>2172834.2099999995</v>
      </c>
      <c r="S87" s="363">
        <f t="shared" si="69"/>
        <v>1195841.17</v>
      </c>
      <c r="T87" s="363">
        <f t="shared" si="69"/>
        <v>215206.8</v>
      </c>
      <c r="U87" s="363">
        <f t="shared" si="69"/>
        <v>18193.25</v>
      </c>
      <c r="V87" s="363">
        <f t="shared" si="69"/>
        <v>30923.42</v>
      </c>
      <c r="W87" s="363">
        <f t="shared" si="70"/>
        <v>627000.13</v>
      </c>
      <c r="X87" s="363">
        <f t="shared" si="71"/>
        <v>85669.440000000002</v>
      </c>
      <c r="Z87" s="390"/>
    </row>
    <row r="88" spans="1:26">
      <c r="A88" s="2" t="s">
        <v>90</v>
      </c>
      <c r="B88" s="16">
        <v>121749.79</v>
      </c>
      <c r="C88" s="16">
        <v>29198.27</v>
      </c>
      <c r="D88" s="16">
        <v>2861.65</v>
      </c>
      <c r="E88" s="16">
        <v>3239.37</v>
      </c>
      <c r="F88" s="16">
        <v>114574.81</v>
      </c>
      <c r="G88" s="16">
        <v>5108.43</v>
      </c>
      <c r="H88" s="16">
        <v>3643.25</v>
      </c>
      <c r="I88" s="16"/>
      <c r="J88" s="16">
        <v>6834.73</v>
      </c>
      <c r="K88" s="16">
        <v>978.21</v>
      </c>
      <c r="L88" s="16">
        <v>217.38</v>
      </c>
      <c r="M88" s="16"/>
      <c r="N88" s="16">
        <v>380.4</v>
      </c>
      <c r="O88" s="16"/>
      <c r="P88" s="16"/>
      <c r="Q88" s="16"/>
      <c r="R88" s="8">
        <f t="shared" si="68"/>
        <v>288786.29000000004</v>
      </c>
      <c r="S88" s="363">
        <f t="shared" si="69"/>
        <v>121749.79</v>
      </c>
      <c r="T88" s="363">
        <f t="shared" si="69"/>
        <v>29198.27</v>
      </c>
      <c r="U88" s="363">
        <f t="shared" si="69"/>
        <v>2861.65</v>
      </c>
      <c r="V88" s="363">
        <f t="shared" si="69"/>
        <v>3239.37</v>
      </c>
      <c r="W88" s="363">
        <f t="shared" si="70"/>
        <v>119683.23999999999</v>
      </c>
      <c r="X88" s="363">
        <f t="shared" si="71"/>
        <v>12053.969999999998</v>
      </c>
      <c r="Z88" s="390"/>
    </row>
    <row r="89" spans="1:26">
      <c r="A89" s="2" t="s">
        <v>91</v>
      </c>
      <c r="B89" s="16">
        <v>150832.54</v>
      </c>
      <c r="C89" s="16">
        <v>49371.81</v>
      </c>
      <c r="D89" s="16">
        <v>995.45</v>
      </c>
      <c r="E89" s="16">
        <v>9080.5400000000009</v>
      </c>
      <c r="F89" s="16">
        <v>122819.7</v>
      </c>
      <c r="G89" s="16">
        <v>7173.54</v>
      </c>
      <c r="H89" s="16">
        <v>9225.82</v>
      </c>
      <c r="I89" s="16"/>
      <c r="J89" s="16">
        <v>13098.74</v>
      </c>
      <c r="K89" s="16">
        <v>326.07</v>
      </c>
      <c r="L89" s="16"/>
      <c r="M89" s="16"/>
      <c r="N89" s="16">
        <v>190.2</v>
      </c>
      <c r="O89" s="16"/>
      <c r="P89" s="16">
        <v>52.44</v>
      </c>
      <c r="Q89" s="16">
        <v>1073.8900000000001</v>
      </c>
      <c r="R89" s="8">
        <f t="shared" si="68"/>
        <v>364240.74000000005</v>
      </c>
      <c r="S89" s="363">
        <f t="shared" si="69"/>
        <v>150832.54</v>
      </c>
      <c r="T89" s="363">
        <f t="shared" si="69"/>
        <v>49371.81</v>
      </c>
      <c r="U89" s="363">
        <f t="shared" si="69"/>
        <v>995.45</v>
      </c>
      <c r="V89" s="363">
        <f t="shared" si="69"/>
        <v>9080.5400000000009</v>
      </c>
      <c r="W89" s="363">
        <f t="shared" si="70"/>
        <v>129993.23999999999</v>
      </c>
      <c r="X89" s="363">
        <f t="shared" si="71"/>
        <v>23967.159999999996</v>
      </c>
      <c r="Z89" s="390"/>
    </row>
    <row r="90" spans="1:26">
      <c r="A90" s="2" t="s">
        <v>92</v>
      </c>
      <c r="B90" s="16">
        <v>919932.32</v>
      </c>
      <c r="C90" s="16">
        <v>141674.04</v>
      </c>
      <c r="D90" s="16">
        <v>24235.35</v>
      </c>
      <c r="E90" s="16">
        <v>34114.870000000003</v>
      </c>
      <c r="F90" s="16">
        <v>765612.36</v>
      </c>
      <c r="G90" s="16">
        <v>12499.35</v>
      </c>
      <c r="H90" s="16">
        <v>19861.759999999998</v>
      </c>
      <c r="I90" s="16">
        <v>5164.33</v>
      </c>
      <c r="J90" s="16">
        <v>35854.93</v>
      </c>
      <c r="K90" s="16">
        <v>2391.1799999999998</v>
      </c>
      <c r="L90" s="16">
        <v>217.38</v>
      </c>
      <c r="M90" s="16"/>
      <c r="N90" s="16">
        <v>1077.8</v>
      </c>
      <c r="O90" s="16"/>
      <c r="P90" s="16"/>
      <c r="Q90" s="16"/>
      <c r="R90" s="8">
        <f t="shared" si="68"/>
        <v>1962635.67</v>
      </c>
      <c r="S90" s="363">
        <f t="shared" si="69"/>
        <v>919932.32</v>
      </c>
      <c r="T90" s="363">
        <f t="shared" si="69"/>
        <v>141674.04</v>
      </c>
      <c r="U90" s="363">
        <f t="shared" si="69"/>
        <v>24235.35</v>
      </c>
      <c r="V90" s="363">
        <f t="shared" si="69"/>
        <v>34114.870000000003</v>
      </c>
      <c r="W90" s="363">
        <f t="shared" si="70"/>
        <v>778111.71</v>
      </c>
      <c r="X90" s="363">
        <f t="shared" si="71"/>
        <v>64567.38</v>
      </c>
      <c r="Z90" s="390"/>
    </row>
    <row r="91" spans="1:26">
      <c r="A91" s="2" t="s">
        <v>93</v>
      </c>
      <c r="B91" s="16">
        <v>261927.61</v>
      </c>
      <c r="C91" s="16">
        <v>42848.68</v>
      </c>
      <c r="D91" s="16">
        <v>5387.27</v>
      </c>
      <c r="E91" s="16">
        <v>5821.74</v>
      </c>
      <c r="F91" s="16">
        <v>207163.14</v>
      </c>
      <c r="G91" s="16">
        <v>10869</v>
      </c>
      <c r="H91" s="16">
        <v>4838.49</v>
      </c>
      <c r="I91" s="16">
        <v>1207.6199999999999</v>
      </c>
      <c r="J91" s="16">
        <v>9854.7199999999993</v>
      </c>
      <c r="K91" s="16">
        <v>1086.9000000000001</v>
      </c>
      <c r="L91" s="16"/>
      <c r="M91" s="16"/>
      <c r="N91" s="16">
        <v>317</v>
      </c>
      <c r="O91" s="16"/>
      <c r="P91" s="16"/>
      <c r="Q91" s="16"/>
      <c r="R91" s="8">
        <f t="shared" si="68"/>
        <v>551322.16999999993</v>
      </c>
      <c r="S91" s="363">
        <f t="shared" si="69"/>
        <v>261927.61</v>
      </c>
      <c r="T91" s="363">
        <f t="shared" si="69"/>
        <v>42848.68</v>
      </c>
      <c r="U91" s="363">
        <f t="shared" si="69"/>
        <v>5387.27</v>
      </c>
      <c r="V91" s="363">
        <f t="shared" si="69"/>
        <v>5821.74</v>
      </c>
      <c r="W91" s="363">
        <f t="shared" si="70"/>
        <v>218032.14</v>
      </c>
      <c r="X91" s="363">
        <f t="shared" si="71"/>
        <v>17304.73</v>
      </c>
      <c r="Z91" s="390"/>
    </row>
    <row r="92" spans="1:26">
      <c r="A92" s="2" t="s">
        <v>94</v>
      </c>
      <c r="B92" s="16">
        <v>75234.44</v>
      </c>
      <c r="C92" s="16">
        <v>10439.459999999999</v>
      </c>
      <c r="D92" s="16">
        <v>917.25</v>
      </c>
      <c r="E92" s="16">
        <v>2678.53</v>
      </c>
      <c r="F92" s="16">
        <v>55106.83</v>
      </c>
      <c r="G92" s="16">
        <v>2825.94</v>
      </c>
      <c r="H92" s="16">
        <v>1509.7</v>
      </c>
      <c r="I92" s="16"/>
      <c r="J92" s="16">
        <v>2649.28</v>
      </c>
      <c r="K92" s="16">
        <v>978.21</v>
      </c>
      <c r="L92" s="16"/>
      <c r="M92" s="16"/>
      <c r="N92" s="16">
        <v>63.4</v>
      </c>
      <c r="O92" s="16"/>
      <c r="P92" s="16"/>
      <c r="Q92" s="16"/>
      <c r="R92" s="8">
        <f t="shared" si="68"/>
        <v>152403.04</v>
      </c>
      <c r="S92" s="363">
        <f t="shared" si="69"/>
        <v>75234.44</v>
      </c>
      <c r="T92" s="363">
        <f t="shared" si="69"/>
        <v>10439.459999999999</v>
      </c>
      <c r="U92" s="363">
        <f t="shared" si="69"/>
        <v>917.25</v>
      </c>
      <c r="V92" s="363">
        <f t="shared" si="69"/>
        <v>2678.53</v>
      </c>
      <c r="W92" s="363">
        <f t="shared" si="70"/>
        <v>57932.770000000004</v>
      </c>
      <c r="X92" s="363">
        <f t="shared" si="71"/>
        <v>5200.59</v>
      </c>
      <c r="Z92" s="390"/>
    </row>
    <row r="93" spans="1:26">
      <c r="A93" s="2" t="s">
        <v>95</v>
      </c>
      <c r="B93" s="16">
        <v>997256.48</v>
      </c>
      <c r="C93" s="16">
        <v>130549.72</v>
      </c>
      <c r="D93" s="16">
        <v>25744.41</v>
      </c>
      <c r="E93" s="16">
        <v>22165.11</v>
      </c>
      <c r="F93" s="16">
        <v>643086.51</v>
      </c>
      <c r="G93" s="16">
        <v>14455.77</v>
      </c>
      <c r="H93" s="16">
        <v>18397.919999999998</v>
      </c>
      <c r="I93" s="16">
        <v>10605.2</v>
      </c>
      <c r="J93" s="16">
        <v>30527.68</v>
      </c>
      <c r="K93" s="16">
        <v>1739.04</v>
      </c>
      <c r="L93" s="16">
        <v>434.76</v>
      </c>
      <c r="M93" s="16"/>
      <c r="N93" s="16">
        <v>1965.4</v>
      </c>
      <c r="O93" s="16"/>
      <c r="P93" s="16"/>
      <c r="Q93" s="16"/>
      <c r="R93" s="8">
        <f t="shared" si="68"/>
        <v>1896927.9999999998</v>
      </c>
      <c r="S93" s="363">
        <f t="shared" si="69"/>
        <v>997256.48</v>
      </c>
      <c r="T93" s="363">
        <f t="shared" si="69"/>
        <v>130549.72</v>
      </c>
      <c r="U93" s="363">
        <f t="shared" si="69"/>
        <v>25744.41</v>
      </c>
      <c r="V93" s="363">
        <f t="shared" si="69"/>
        <v>22165.11</v>
      </c>
      <c r="W93" s="363">
        <f t="shared" si="70"/>
        <v>657542.28</v>
      </c>
      <c r="X93" s="363">
        <f t="shared" si="71"/>
        <v>63670.000000000007</v>
      </c>
      <c r="Z93" s="390"/>
    </row>
    <row r="94" spans="1:26">
      <c r="A94" s="2" t="s">
        <v>96</v>
      </c>
      <c r="B94" s="16">
        <v>118368.04</v>
      </c>
      <c r="C94" s="16">
        <v>28345.81</v>
      </c>
      <c r="D94" s="16">
        <v>1331.5</v>
      </c>
      <c r="E94" s="16">
        <v>2374.4899999999998</v>
      </c>
      <c r="F94" s="16">
        <v>90864.84</v>
      </c>
      <c r="G94" s="16">
        <v>2717.25</v>
      </c>
      <c r="H94" s="16">
        <v>4081.8</v>
      </c>
      <c r="I94" s="16">
        <v>1268.08</v>
      </c>
      <c r="J94" s="16">
        <v>6207.83</v>
      </c>
      <c r="K94" s="16"/>
      <c r="L94" s="16"/>
      <c r="M94" s="16"/>
      <c r="N94" s="16">
        <v>158.5</v>
      </c>
      <c r="O94" s="16"/>
      <c r="P94" s="16"/>
      <c r="Q94" s="16"/>
      <c r="R94" s="8">
        <f t="shared" si="68"/>
        <v>255718.13999999996</v>
      </c>
      <c r="S94" s="363">
        <f t="shared" si="69"/>
        <v>118368.04</v>
      </c>
      <c r="T94" s="363">
        <f t="shared" si="69"/>
        <v>28345.81</v>
      </c>
      <c r="U94" s="363">
        <f t="shared" si="69"/>
        <v>1331.5</v>
      </c>
      <c r="V94" s="363">
        <f t="shared" si="69"/>
        <v>2374.4899999999998</v>
      </c>
      <c r="W94" s="363">
        <f t="shared" si="70"/>
        <v>93582.09</v>
      </c>
      <c r="X94" s="363">
        <f t="shared" si="71"/>
        <v>11716.21</v>
      </c>
      <c r="Z94" s="390"/>
    </row>
    <row r="95" spans="1:26">
      <c r="A95" s="2" t="s">
        <v>97</v>
      </c>
      <c r="B95" s="16">
        <v>892690.5</v>
      </c>
      <c r="C95" s="16">
        <v>171870.49</v>
      </c>
      <c r="D95" s="16">
        <v>14666.77</v>
      </c>
      <c r="E95" s="16">
        <v>38556.75</v>
      </c>
      <c r="F95" s="16">
        <v>948537.63</v>
      </c>
      <c r="G95" s="16">
        <v>13694.94</v>
      </c>
      <c r="H95" s="16">
        <v>27385.19</v>
      </c>
      <c r="I95" s="16">
        <v>3741.62</v>
      </c>
      <c r="J95" s="16">
        <v>43211.45</v>
      </c>
      <c r="K95" s="16">
        <v>1739.04</v>
      </c>
      <c r="L95" s="16">
        <v>217.38</v>
      </c>
      <c r="M95" s="16">
        <v>350.29</v>
      </c>
      <c r="N95" s="16">
        <v>1394.8</v>
      </c>
      <c r="O95" s="16"/>
      <c r="P95" s="16"/>
      <c r="Q95" s="16"/>
      <c r="R95" s="8">
        <f t="shared" si="68"/>
        <v>2158056.85</v>
      </c>
      <c r="S95" s="363">
        <f t="shared" si="69"/>
        <v>892690.5</v>
      </c>
      <c r="T95" s="363">
        <f t="shared" si="69"/>
        <v>171870.49</v>
      </c>
      <c r="U95" s="363">
        <f t="shared" si="69"/>
        <v>14666.77</v>
      </c>
      <c r="V95" s="363">
        <f t="shared" si="69"/>
        <v>38556.75</v>
      </c>
      <c r="W95" s="363">
        <f t="shared" si="70"/>
        <v>962232.57</v>
      </c>
      <c r="X95" s="363">
        <f t="shared" si="71"/>
        <v>78039.76999999999</v>
      </c>
      <c r="Z95" s="390"/>
    </row>
    <row r="96" spans="1:26">
      <c r="A96" s="2" t="s">
        <v>98</v>
      </c>
      <c r="B96" s="16">
        <v>64652.639999999999</v>
      </c>
      <c r="C96" s="16">
        <v>12709.51</v>
      </c>
      <c r="D96" s="16">
        <v>701.68</v>
      </c>
      <c r="E96" s="16">
        <v>2509.92</v>
      </c>
      <c r="F96" s="16">
        <v>88582.35</v>
      </c>
      <c r="G96" s="16">
        <v>2499.87</v>
      </c>
      <c r="H96" s="16">
        <v>1603.76</v>
      </c>
      <c r="I96" s="16"/>
      <c r="J96" s="16">
        <v>3192.86</v>
      </c>
      <c r="K96" s="16">
        <v>652.14</v>
      </c>
      <c r="L96" s="16"/>
      <c r="M96" s="16"/>
      <c r="N96" s="16">
        <v>158.5</v>
      </c>
      <c r="O96" s="16"/>
      <c r="P96" s="16">
        <v>24.9</v>
      </c>
      <c r="Q96" s="16">
        <v>498.38</v>
      </c>
      <c r="R96" s="8">
        <f t="shared" si="68"/>
        <v>177786.50999999998</v>
      </c>
      <c r="S96" s="363">
        <f t="shared" si="69"/>
        <v>64652.639999999999</v>
      </c>
      <c r="T96" s="363">
        <f t="shared" si="69"/>
        <v>12709.51</v>
      </c>
      <c r="U96" s="363">
        <f t="shared" si="69"/>
        <v>701.68</v>
      </c>
      <c r="V96" s="363">
        <f t="shared" si="69"/>
        <v>2509.92</v>
      </c>
      <c r="W96" s="363">
        <f t="shared" si="70"/>
        <v>91082.22</v>
      </c>
      <c r="X96" s="363">
        <f t="shared" si="71"/>
        <v>6130.54</v>
      </c>
      <c r="Z96" s="390"/>
    </row>
    <row r="97" spans="1:26">
      <c r="A97" s="2" t="s">
        <v>99</v>
      </c>
      <c r="B97" s="16">
        <v>10878.17</v>
      </c>
      <c r="C97" s="16">
        <v>3160.17</v>
      </c>
      <c r="D97" s="16">
        <v>278.98</v>
      </c>
      <c r="E97" s="16">
        <v>1188.56</v>
      </c>
      <c r="F97" s="16">
        <v>14781.84</v>
      </c>
      <c r="G97" s="16">
        <v>1086.9000000000001</v>
      </c>
      <c r="H97" s="16">
        <v>279.04000000000002</v>
      </c>
      <c r="I97" s="16"/>
      <c r="J97" s="16">
        <v>923.08</v>
      </c>
      <c r="K97" s="16"/>
      <c r="L97" s="16"/>
      <c r="M97" s="16"/>
      <c r="N97" s="16">
        <v>31.7</v>
      </c>
      <c r="O97" s="16"/>
      <c r="P97" s="16"/>
      <c r="Q97" s="16"/>
      <c r="R97" s="8">
        <f t="shared" si="68"/>
        <v>32608.440000000006</v>
      </c>
      <c r="S97" s="363">
        <f t="shared" si="69"/>
        <v>10878.17</v>
      </c>
      <c r="T97" s="363">
        <f t="shared" si="69"/>
        <v>3160.17</v>
      </c>
      <c r="U97" s="363">
        <f t="shared" si="69"/>
        <v>278.98</v>
      </c>
      <c r="V97" s="363">
        <f t="shared" si="69"/>
        <v>1188.56</v>
      </c>
      <c r="W97" s="363">
        <f t="shared" si="70"/>
        <v>15868.74</v>
      </c>
      <c r="X97" s="363">
        <f t="shared" si="71"/>
        <v>1233.8200000000002</v>
      </c>
      <c r="Z97" s="390"/>
    </row>
    <row r="98" spans="1:26">
      <c r="A98" s="2" t="s">
        <v>100</v>
      </c>
      <c r="B98" s="16">
        <v>645143.91</v>
      </c>
      <c r="C98" s="16">
        <v>113102.87</v>
      </c>
      <c r="D98" s="16">
        <v>16692.66</v>
      </c>
      <c r="E98" s="16">
        <v>38681.57</v>
      </c>
      <c r="F98" s="16">
        <v>688985.91</v>
      </c>
      <c r="G98" s="16">
        <v>7608.3</v>
      </c>
      <c r="H98" s="16">
        <v>20164.59</v>
      </c>
      <c r="I98" s="16"/>
      <c r="J98" s="16">
        <v>31028.2</v>
      </c>
      <c r="K98" s="16">
        <v>1086.9000000000001</v>
      </c>
      <c r="L98" s="16">
        <v>217.38</v>
      </c>
      <c r="M98" s="16"/>
      <c r="N98" s="16">
        <v>1236.3</v>
      </c>
      <c r="O98" s="16"/>
      <c r="P98" s="16"/>
      <c r="Q98" s="16"/>
      <c r="R98" s="8">
        <f t="shared" si="68"/>
        <v>1563948.5899999999</v>
      </c>
      <c r="S98" s="363">
        <f t="shared" si="69"/>
        <v>645143.91</v>
      </c>
      <c r="T98" s="363">
        <f t="shared" si="69"/>
        <v>113102.87</v>
      </c>
      <c r="U98" s="363">
        <f t="shared" si="69"/>
        <v>16692.66</v>
      </c>
      <c r="V98" s="363">
        <f t="shared" si="69"/>
        <v>38681.57</v>
      </c>
      <c r="W98" s="363">
        <f t="shared" si="70"/>
        <v>696594.21000000008</v>
      </c>
      <c r="X98" s="363">
        <f t="shared" si="71"/>
        <v>53733.37</v>
      </c>
      <c r="Z98" s="390"/>
    </row>
    <row r="99" spans="1:26">
      <c r="A99" s="2" t="s">
        <v>101</v>
      </c>
      <c r="B99" s="16">
        <v>3452717.11</v>
      </c>
      <c r="C99" s="16">
        <v>651102.74</v>
      </c>
      <c r="D99" s="16">
        <v>70212.210000000006</v>
      </c>
      <c r="E99" s="16">
        <v>116669.02</v>
      </c>
      <c r="F99" s="16">
        <v>3520143.03</v>
      </c>
      <c r="G99" s="16">
        <v>47497.53</v>
      </c>
      <c r="H99" s="16">
        <v>137426.82</v>
      </c>
      <c r="I99" s="16">
        <v>3918.79</v>
      </c>
      <c r="J99" s="16">
        <v>156578.13</v>
      </c>
      <c r="K99" s="16">
        <v>9890.7900000000009</v>
      </c>
      <c r="L99" s="16">
        <v>1956.42</v>
      </c>
      <c r="M99" s="16"/>
      <c r="N99" s="16">
        <v>7069.1</v>
      </c>
      <c r="O99" s="16"/>
      <c r="P99" s="16">
        <v>1170.42</v>
      </c>
      <c r="Q99" s="16">
        <v>22594.22</v>
      </c>
      <c r="R99" s="8">
        <f t="shared" si="68"/>
        <v>8198946.3299999991</v>
      </c>
      <c r="S99" s="363">
        <f t="shared" si="69"/>
        <v>3452717.11</v>
      </c>
      <c r="T99" s="363">
        <f t="shared" si="69"/>
        <v>651102.74</v>
      </c>
      <c r="U99" s="363">
        <f t="shared" si="69"/>
        <v>70212.210000000006</v>
      </c>
      <c r="V99" s="363">
        <f t="shared" si="69"/>
        <v>116669.02</v>
      </c>
      <c r="W99" s="363">
        <f t="shared" si="70"/>
        <v>3567640.5599999996</v>
      </c>
      <c r="X99" s="363">
        <f t="shared" si="71"/>
        <v>340604.68999999994</v>
      </c>
      <c r="Z99" s="390"/>
    </row>
    <row r="100" spans="1:26">
      <c r="A100" s="2" t="s">
        <v>102</v>
      </c>
      <c r="B100" s="16">
        <v>69153.990000000005</v>
      </c>
      <c r="C100" s="16">
        <v>19622.54</v>
      </c>
      <c r="D100" s="16">
        <v>1153.96</v>
      </c>
      <c r="E100" s="16">
        <v>1281.25</v>
      </c>
      <c r="F100" s="16">
        <v>102494.67</v>
      </c>
      <c r="G100" s="16">
        <v>2499.87</v>
      </c>
      <c r="H100" s="16">
        <v>2952.89</v>
      </c>
      <c r="I100" s="16"/>
      <c r="J100" s="16">
        <v>4242.63</v>
      </c>
      <c r="K100" s="16"/>
      <c r="L100" s="16"/>
      <c r="M100" s="16"/>
      <c r="N100" s="16">
        <v>221.9</v>
      </c>
      <c r="O100" s="16"/>
      <c r="P100" s="16"/>
      <c r="Q100" s="16">
        <v>393.24</v>
      </c>
      <c r="R100" s="8">
        <f t="shared" si="68"/>
        <v>204016.94</v>
      </c>
      <c r="S100" s="363">
        <f t="shared" si="69"/>
        <v>69153.990000000005</v>
      </c>
      <c r="T100" s="363">
        <f t="shared" si="69"/>
        <v>19622.54</v>
      </c>
      <c r="U100" s="363">
        <f t="shared" si="69"/>
        <v>1153.96</v>
      </c>
      <c r="V100" s="363">
        <f t="shared" si="69"/>
        <v>1281.25</v>
      </c>
      <c r="W100" s="363">
        <f t="shared" si="70"/>
        <v>104994.54</v>
      </c>
      <c r="X100" s="363">
        <f t="shared" si="71"/>
        <v>7810.66</v>
      </c>
      <c r="Z100" s="390"/>
    </row>
    <row r="101" spans="1:26">
      <c r="A101" s="2" t="s">
        <v>103</v>
      </c>
      <c r="B101" s="16">
        <v>39880.46</v>
      </c>
      <c r="C101" s="16">
        <v>8661.36</v>
      </c>
      <c r="D101" s="16">
        <v>25.36</v>
      </c>
      <c r="E101" s="16">
        <v>1600.88</v>
      </c>
      <c r="F101" s="16">
        <v>49671.33</v>
      </c>
      <c r="G101" s="16">
        <v>1739.04</v>
      </c>
      <c r="H101" s="16">
        <v>2205.17</v>
      </c>
      <c r="I101" s="16"/>
      <c r="J101" s="16">
        <v>2307.36</v>
      </c>
      <c r="K101" s="16">
        <v>434.76</v>
      </c>
      <c r="L101" s="16"/>
      <c r="M101" s="16"/>
      <c r="N101" s="16">
        <v>31.7</v>
      </c>
      <c r="O101" s="16"/>
      <c r="P101" s="16"/>
      <c r="Q101" s="16"/>
      <c r="R101" s="8">
        <f t="shared" si="68"/>
        <v>106557.41999999998</v>
      </c>
      <c r="S101" s="363">
        <f t="shared" si="69"/>
        <v>39880.46</v>
      </c>
      <c r="T101" s="363">
        <f t="shared" si="69"/>
        <v>8661.36</v>
      </c>
      <c r="U101" s="363">
        <f t="shared" si="69"/>
        <v>25.36</v>
      </c>
      <c r="V101" s="363">
        <f t="shared" si="69"/>
        <v>1600.88</v>
      </c>
      <c r="W101" s="363">
        <f t="shared" si="70"/>
        <v>51410.37</v>
      </c>
      <c r="X101" s="363">
        <f t="shared" si="71"/>
        <v>4978.9900000000007</v>
      </c>
      <c r="Z101" s="390"/>
    </row>
    <row r="102" spans="1:26">
      <c r="A102" s="6" t="s">
        <v>37</v>
      </c>
      <c r="B102" s="5">
        <f t="shared" ref="B102:X102" si="72">SUM(B75:B101)</f>
        <v>11210919.770000001</v>
      </c>
      <c r="C102" s="5">
        <f t="shared" si="72"/>
        <v>2008511.4700000002</v>
      </c>
      <c r="D102" s="5">
        <f t="shared" si="72"/>
        <v>226604.11999999997</v>
      </c>
      <c r="E102" s="5">
        <f t="shared" si="72"/>
        <v>373921.94999999995</v>
      </c>
      <c r="F102" s="5">
        <f t="shared" si="72"/>
        <v>10054537.68</v>
      </c>
      <c r="G102" s="5">
        <f t="shared" si="72"/>
        <v>200351.75999999998</v>
      </c>
      <c r="H102" s="5">
        <f t="shared" si="72"/>
        <v>338839.17</v>
      </c>
      <c r="I102" s="5">
        <f t="shared" si="72"/>
        <v>32037.960000000003</v>
      </c>
      <c r="J102" s="5">
        <f t="shared" si="72"/>
        <v>484974.68</v>
      </c>
      <c r="K102" s="5">
        <f t="shared" si="72"/>
        <v>35976.390000000007</v>
      </c>
      <c r="L102" s="5">
        <f t="shared" si="72"/>
        <v>3478.0800000000004</v>
      </c>
      <c r="M102" s="5">
        <f t="shared" si="72"/>
        <v>3806.75</v>
      </c>
      <c r="N102" s="5">
        <f t="shared" si="72"/>
        <v>19590.600000000002</v>
      </c>
      <c r="O102" s="5">
        <f t="shared" si="72"/>
        <v>0</v>
      </c>
      <c r="P102" s="5">
        <f t="shared" si="72"/>
        <v>1471.95</v>
      </c>
      <c r="Q102" s="5">
        <f t="shared" si="72"/>
        <v>27758.070000000003</v>
      </c>
      <c r="R102" s="5">
        <f t="shared" si="72"/>
        <v>25022780.399999999</v>
      </c>
      <c r="S102" s="363">
        <f t="shared" si="72"/>
        <v>11210919.770000001</v>
      </c>
      <c r="T102" s="363">
        <f t="shared" si="72"/>
        <v>2008511.4700000002</v>
      </c>
      <c r="U102" s="363">
        <f t="shared" si="72"/>
        <v>226604.11999999997</v>
      </c>
      <c r="V102" s="363">
        <f t="shared" si="72"/>
        <v>373921.94999999995</v>
      </c>
      <c r="W102" s="363">
        <f t="shared" si="72"/>
        <v>10254889.439999999</v>
      </c>
      <c r="X102" s="363">
        <f t="shared" si="72"/>
        <v>947933.64999999991</v>
      </c>
      <c r="Z102" s="390"/>
    </row>
    <row r="103" spans="1:26">
      <c r="R103" s="363"/>
    </row>
  </sheetData>
  <mergeCells count="48">
    <mergeCell ref="B73:C73"/>
    <mergeCell ref="A72:R72"/>
    <mergeCell ref="N73:N74"/>
    <mergeCell ref="D73:E73"/>
    <mergeCell ref="F73:F74"/>
    <mergeCell ref="G73:G74"/>
    <mergeCell ref="H73:H74"/>
    <mergeCell ref="I73:I74"/>
    <mergeCell ref="P73:Q73"/>
    <mergeCell ref="A73:A74"/>
    <mergeCell ref="R73:R74"/>
    <mergeCell ref="O73:O74"/>
    <mergeCell ref="J73:J74"/>
    <mergeCell ref="K73:K74"/>
    <mergeCell ref="L73:L74"/>
    <mergeCell ref="M73:M74"/>
    <mergeCell ref="A2:R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P3:Q3"/>
    <mergeCell ref="R3:R4"/>
    <mergeCell ref="O3:O4"/>
    <mergeCell ref="A37:R37"/>
    <mergeCell ref="A38:A39"/>
    <mergeCell ref="B38:C38"/>
    <mergeCell ref="D38:E38"/>
    <mergeCell ref="F38:F39"/>
    <mergeCell ref="G38:G39"/>
    <mergeCell ref="H38:H39"/>
    <mergeCell ref="I38:I39"/>
    <mergeCell ref="J38:J39"/>
    <mergeCell ref="P38:Q38"/>
    <mergeCell ref="R38:R39"/>
    <mergeCell ref="K38:K39"/>
    <mergeCell ref="L38:L39"/>
    <mergeCell ref="M38:M39"/>
    <mergeCell ref="N38:N39"/>
    <mergeCell ref="O38:O39"/>
  </mergeCells>
  <pageMargins left="0.511811024" right="0.511811024" top="0.78740157499999996" bottom="0.78740157499999996" header="0.31496062000000002" footer="0.31496062000000002"/>
  <pageSetup paperSize="9" scale="15" orientation="landscape" r:id="rId1"/>
  <ignoredErrors>
    <ignoredError sqref="X103:X104" formulaRange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4">
    <pageSetUpPr fitToPage="1"/>
  </sheetPr>
  <dimension ref="A1:XFC37"/>
  <sheetViews>
    <sheetView showGridLines="0" showRowColHeaders="0" zoomScale="96" zoomScaleNormal="96" zoomScaleSheetLayoutView="40" workbookViewId="0">
      <selection sqref="A1:AC1"/>
    </sheetView>
  </sheetViews>
  <sheetFormatPr defaultColWidth="0" defaultRowHeight="0" customHeight="1" zeroHeight="1"/>
  <cols>
    <col min="1" max="27" width="9.140625" style="145" customWidth="1"/>
    <col min="28" max="28" width="9" style="145" customWidth="1"/>
    <col min="29" max="29" width="20.140625" style="145" customWidth="1"/>
    <col min="30" max="16383" width="9.140625" style="145" hidden="1"/>
    <col min="16384" max="16384" width="4.42578125" style="14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6">
    <pageSetUpPr fitToPage="1"/>
  </sheetPr>
  <dimension ref="A1:XFC37"/>
  <sheetViews>
    <sheetView showGridLines="0" showRowColHeaders="0" zoomScale="96" zoomScaleNormal="96" zoomScaleSheetLayoutView="84" workbookViewId="0">
      <selection sqref="A1:AC1"/>
    </sheetView>
  </sheetViews>
  <sheetFormatPr defaultColWidth="0" defaultRowHeight="0" customHeight="1" zeroHeight="1"/>
  <cols>
    <col min="1" max="27" width="9.140625" style="145" customWidth="1"/>
    <col min="28" max="28" width="9" style="145" customWidth="1"/>
    <col min="29" max="29" width="20.140625" style="145" customWidth="1"/>
    <col min="30" max="16383" width="9.140625" style="145" hidden="1"/>
    <col min="16384" max="16384" width="4.42578125" style="14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0">
    <pageSetUpPr fitToPage="1"/>
  </sheetPr>
  <dimension ref="A1:XFC37"/>
  <sheetViews>
    <sheetView showGridLines="0" showRowColHeaders="0" zoomScale="96" zoomScaleNormal="96" zoomScaleSheetLayoutView="70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1">
    <pageSetUpPr fitToPage="1"/>
  </sheetPr>
  <dimension ref="A1:XFC37"/>
  <sheetViews>
    <sheetView showGridLines="0" showRowColHeaders="0" zoomScale="96" zoomScaleNormal="96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2">
    <pageSetUpPr fitToPage="1"/>
  </sheetPr>
  <dimension ref="A1:XFC37"/>
  <sheetViews>
    <sheetView showGridLines="0" showRowColHeaders="0" zoomScale="96" zoomScaleNormal="96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3">
    <pageSetUpPr fitToPage="1"/>
  </sheetPr>
  <dimension ref="A1:XFC37"/>
  <sheetViews>
    <sheetView showGridLines="0" showRowColHeaders="0" zoomScale="96" zoomScaleNormal="96" zoomScaleSheetLayoutView="59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4">
    <pageSetUpPr fitToPage="1"/>
  </sheetPr>
  <dimension ref="A1:XFC37"/>
  <sheetViews>
    <sheetView showGridLines="0" showRowColHeaders="0" zoomScale="96" zoomScaleNormal="96" zoomScaleSheetLayoutView="80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7"/>
      <c r="B1" s="1037"/>
      <c r="C1" s="1037"/>
      <c r="D1" s="1037"/>
      <c r="E1" s="1037"/>
      <c r="F1" s="1037"/>
      <c r="G1" s="1037"/>
      <c r="H1" s="1037"/>
      <c r="I1" s="1037"/>
      <c r="J1" s="1037"/>
      <c r="K1" s="1037"/>
      <c r="L1" s="1037"/>
      <c r="M1" s="1037"/>
      <c r="N1" s="1037"/>
      <c r="O1" s="1037"/>
      <c r="P1" s="1037"/>
      <c r="Q1" s="1037"/>
      <c r="R1" s="1037"/>
      <c r="S1" s="1037"/>
      <c r="T1" s="1037"/>
      <c r="U1" s="1037"/>
      <c r="V1" s="1037"/>
      <c r="W1" s="1037"/>
      <c r="X1" s="1037"/>
      <c r="Y1" s="1037"/>
      <c r="Z1" s="1037"/>
      <c r="AA1" s="1037"/>
      <c r="AB1" s="1037"/>
      <c r="AC1" s="1037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5">
    <tabColor theme="9" tint="0.79998168889431442"/>
    <pageSetUpPr fitToPage="1"/>
  </sheetPr>
  <dimension ref="A1:XFC37"/>
  <sheetViews>
    <sheetView showGridLines="0" showRowColHeaders="0" zoomScale="96" zoomScaleNormal="96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6">
    <tabColor theme="9" tint="0.59999389629810485"/>
    <pageSetUpPr fitToPage="1"/>
  </sheetPr>
  <dimension ref="A1:XFC37"/>
  <sheetViews>
    <sheetView showGridLines="0" showRowColHeaders="0" zoomScale="96" zoomScaleNormal="96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7">
    <tabColor theme="9" tint="0.59999389629810485"/>
    <pageSetUpPr fitToPage="1"/>
  </sheetPr>
  <dimension ref="A1:XFC37"/>
  <sheetViews>
    <sheetView showGridLines="0" showRowColHeaders="0" zoomScale="96" zoomScaleNormal="96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pageSetUpPr fitToPage="1"/>
  </sheetPr>
  <dimension ref="A2:Z103"/>
  <sheetViews>
    <sheetView topLeftCell="A73" zoomScale="70" zoomScaleNormal="70" workbookViewId="0">
      <selection activeCell="EF33" sqref="EF33"/>
    </sheetView>
  </sheetViews>
  <sheetFormatPr defaultRowHeight="15"/>
  <cols>
    <col min="1" max="1" width="20.7109375" style="370" customWidth="1"/>
    <col min="2" max="12" width="20.7109375" style="357" customWidth="1"/>
    <col min="13" max="13" width="14.5703125" style="357" customWidth="1"/>
    <col min="14" max="14" width="20.7109375" style="357" customWidth="1"/>
    <col min="15" max="15" width="19.28515625" style="357" customWidth="1"/>
    <col min="16" max="16" width="19.140625" style="357" customWidth="1"/>
    <col min="17" max="17" width="18.85546875" style="357" customWidth="1"/>
    <col min="18" max="18" width="20.7109375" style="357" customWidth="1"/>
    <col min="19" max="24" width="15.7109375" style="357" customWidth="1"/>
    <col min="25" max="25" width="18" style="357" bestFit="1" customWidth="1"/>
    <col min="26" max="26" width="19.28515625" style="357" customWidth="1"/>
    <col min="27" max="16384" width="9.140625" style="357"/>
  </cols>
  <sheetData>
    <row r="2" spans="1:26" ht="46.5">
      <c r="A2" s="837" t="s">
        <v>60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</row>
    <row r="3" spans="1:26" s="372" customFormat="1" ht="35.1" customHeight="1">
      <c r="A3" s="835" t="s">
        <v>33</v>
      </c>
      <c r="B3" s="833" t="s">
        <v>27</v>
      </c>
      <c r="C3" s="834"/>
      <c r="D3" s="833" t="s">
        <v>29</v>
      </c>
      <c r="E3" s="834"/>
      <c r="F3" s="835" t="s">
        <v>28</v>
      </c>
      <c r="G3" s="835" t="s">
        <v>36</v>
      </c>
      <c r="H3" s="835" t="s">
        <v>30</v>
      </c>
      <c r="I3" s="835" t="s">
        <v>31</v>
      </c>
      <c r="J3" s="835" t="s">
        <v>41</v>
      </c>
      <c r="K3" s="835" t="s">
        <v>35</v>
      </c>
      <c r="L3" s="835" t="s">
        <v>40</v>
      </c>
      <c r="M3" s="835" t="s">
        <v>42</v>
      </c>
      <c r="N3" s="835" t="s">
        <v>45</v>
      </c>
      <c r="O3" s="835" t="s">
        <v>279</v>
      </c>
      <c r="P3" s="833" t="s">
        <v>49</v>
      </c>
      <c r="Q3" s="834"/>
      <c r="R3" s="835" t="s">
        <v>34</v>
      </c>
    </row>
    <row r="4" spans="1:26" s="372" customFormat="1" ht="35.1" customHeight="1">
      <c r="A4" s="836"/>
      <c r="B4" s="361" t="s">
        <v>43</v>
      </c>
      <c r="C4" s="361" t="s">
        <v>44</v>
      </c>
      <c r="D4" s="361" t="s">
        <v>43</v>
      </c>
      <c r="E4" s="361" t="s">
        <v>44</v>
      </c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362" t="s">
        <v>50</v>
      </c>
      <c r="Q4" s="362" t="s">
        <v>51</v>
      </c>
      <c r="R4" s="836"/>
      <c r="S4" s="372" t="s">
        <v>173</v>
      </c>
      <c r="T4" s="372" t="s">
        <v>291</v>
      </c>
      <c r="U4" s="372" t="s">
        <v>174</v>
      </c>
      <c r="V4" s="372" t="s">
        <v>292</v>
      </c>
      <c r="W4" s="372" t="s">
        <v>28</v>
      </c>
      <c r="X4" s="372" t="s">
        <v>175</v>
      </c>
      <c r="Y4" s="726"/>
    </row>
    <row r="5" spans="1:26">
      <c r="A5" s="2" t="s">
        <v>77</v>
      </c>
      <c r="B5" s="16">
        <f t="shared" ref="B5:Q20" si="0">B75*0.8</f>
        <v>14084.392000000002</v>
      </c>
      <c r="C5" s="16">
        <f t="shared" si="0"/>
        <v>7100.2000000000007</v>
      </c>
      <c r="D5" s="16">
        <f t="shared" si="0"/>
        <v>721.12</v>
      </c>
      <c r="E5" s="16">
        <f t="shared" si="0"/>
        <v>873.6</v>
      </c>
      <c r="F5" s="16">
        <f t="shared" si="0"/>
        <v>16520.88</v>
      </c>
      <c r="G5" s="16">
        <f t="shared" si="0"/>
        <v>521.71199999999999</v>
      </c>
      <c r="H5" s="16">
        <f t="shared" si="0"/>
        <v>784.00800000000004</v>
      </c>
      <c r="I5" s="16">
        <f t="shared" si="0"/>
        <v>0</v>
      </c>
      <c r="J5" s="16">
        <f t="shared" si="0"/>
        <v>1730.9840000000002</v>
      </c>
      <c r="K5" s="16">
        <f t="shared" si="0"/>
        <v>347.80799999999999</v>
      </c>
      <c r="L5" s="16">
        <f t="shared" si="0"/>
        <v>0</v>
      </c>
      <c r="M5" s="16">
        <f t="shared" si="0"/>
        <v>0</v>
      </c>
      <c r="N5" s="16">
        <f t="shared" si="0"/>
        <v>50.72</v>
      </c>
      <c r="O5" s="16">
        <f t="shared" si="0"/>
        <v>0</v>
      </c>
      <c r="P5" s="16">
        <f t="shared" si="0"/>
        <v>0</v>
      </c>
      <c r="Q5" s="16">
        <f t="shared" si="0"/>
        <v>0</v>
      </c>
      <c r="R5" s="8">
        <f t="shared" ref="R5:R31" si="1">SUM(B5:Q5)</f>
        <v>42735.423999999999</v>
      </c>
      <c r="S5" s="363">
        <f>B5</f>
        <v>14084.392000000002</v>
      </c>
      <c r="T5" s="363">
        <f>C5</f>
        <v>7100.2000000000007</v>
      </c>
      <c r="U5" s="363">
        <f>D5</f>
        <v>721.12</v>
      </c>
      <c r="V5" s="363">
        <f>E5</f>
        <v>873.6</v>
      </c>
      <c r="W5" s="363">
        <f>F5+G5</f>
        <v>17042.592000000001</v>
      </c>
      <c r="X5" s="363">
        <f>SUM(H5:Q5)</f>
        <v>2913.52</v>
      </c>
      <c r="Y5" s="10" t="b">
        <f>SUM(S5:X5)=R5</f>
        <v>1</v>
      </c>
      <c r="Z5" s="363"/>
    </row>
    <row r="6" spans="1:26">
      <c r="A6" s="2" t="s">
        <v>78</v>
      </c>
      <c r="B6" s="16">
        <f t="shared" ref="B6:Q6" si="2">B76*0.8</f>
        <v>47907.144</v>
      </c>
      <c r="C6" s="16">
        <f t="shared" si="2"/>
        <v>12631.696</v>
      </c>
      <c r="D6" s="16">
        <f t="shared" si="2"/>
        <v>793.83199999999999</v>
      </c>
      <c r="E6" s="16">
        <f t="shared" si="2"/>
        <v>561.85600000000011</v>
      </c>
      <c r="F6" s="16">
        <f t="shared" si="2"/>
        <v>73387.487999999998</v>
      </c>
      <c r="G6" s="16">
        <f t="shared" si="2"/>
        <v>1043.4240000000002</v>
      </c>
      <c r="H6" s="16">
        <f t="shared" si="2"/>
        <v>2376.8880000000004</v>
      </c>
      <c r="I6" s="16">
        <f t="shared" si="2"/>
        <v>0</v>
      </c>
      <c r="J6" s="16">
        <f t="shared" si="2"/>
        <v>2700.616</v>
      </c>
      <c r="K6" s="16">
        <f t="shared" si="2"/>
        <v>0</v>
      </c>
      <c r="L6" s="16">
        <f t="shared" si="2"/>
        <v>0</v>
      </c>
      <c r="M6" s="16">
        <f t="shared" si="2"/>
        <v>0</v>
      </c>
      <c r="N6" s="16">
        <f t="shared" si="2"/>
        <v>101.44</v>
      </c>
      <c r="O6" s="16">
        <f t="shared" si="0"/>
        <v>0</v>
      </c>
      <c r="P6" s="16">
        <f t="shared" si="2"/>
        <v>0</v>
      </c>
      <c r="Q6" s="16">
        <f t="shared" si="2"/>
        <v>0</v>
      </c>
      <c r="R6" s="8">
        <f t="shared" si="1"/>
        <v>141504.38400000002</v>
      </c>
      <c r="S6" s="363">
        <f t="shared" ref="S6:V31" si="3">B6</f>
        <v>47907.144</v>
      </c>
      <c r="T6" s="363">
        <f t="shared" si="3"/>
        <v>12631.696</v>
      </c>
      <c r="U6" s="363">
        <f t="shared" si="3"/>
        <v>793.83199999999999</v>
      </c>
      <c r="V6" s="363">
        <f t="shared" si="3"/>
        <v>561.85600000000011</v>
      </c>
      <c r="W6" s="363">
        <f t="shared" ref="W6:W31" si="4">F6+G6</f>
        <v>74430.911999999997</v>
      </c>
      <c r="X6" s="363">
        <f t="shared" ref="X6:X31" si="5">SUM(H6:Q6)</f>
        <v>5178.9440000000004</v>
      </c>
      <c r="Y6" s="10" t="b">
        <f t="shared" ref="Y6:Y32" si="6">SUM(S6:X6)=R6</f>
        <v>1</v>
      </c>
      <c r="Z6" s="363"/>
    </row>
    <row r="7" spans="1:26">
      <c r="A7" s="2" t="s">
        <v>79</v>
      </c>
      <c r="B7" s="16">
        <f t="shared" ref="B7:Q7" si="7">B77*0.8</f>
        <v>16615.04</v>
      </c>
      <c r="C7" s="16">
        <f t="shared" si="7"/>
        <v>7248.344000000001</v>
      </c>
      <c r="D7" s="16">
        <f t="shared" si="7"/>
        <v>1971.4560000000001</v>
      </c>
      <c r="E7" s="16">
        <f t="shared" si="7"/>
        <v>1698.8320000000001</v>
      </c>
      <c r="F7" s="16">
        <f t="shared" si="7"/>
        <v>24583.152000000002</v>
      </c>
      <c r="G7" s="16">
        <f t="shared" si="7"/>
        <v>2347.7040000000002</v>
      </c>
      <c r="H7" s="16">
        <f t="shared" si="7"/>
        <v>1020.008</v>
      </c>
      <c r="I7" s="16">
        <f t="shared" si="7"/>
        <v>521.71199999999999</v>
      </c>
      <c r="J7" s="16">
        <f t="shared" si="7"/>
        <v>1993.4080000000004</v>
      </c>
      <c r="K7" s="16">
        <f t="shared" si="7"/>
        <v>695.61599999999999</v>
      </c>
      <c r="L7" s="16">
        <f t="shared" si="7"/>
        <v>0</v>
      </c>
      <c r="M7" s="16">
        <f t="shared" si="7"/>
        <v>0</v>
      </c>
      <c r="N7" s="16">
        <f t="shared" si="7"/>
        <v>50.72</v>
      </c>
      <c r="O7" s="16">
        <f t="shared" si="0"/>
        <v>0</v>
      </c>
      <c r="P7" s="16">
        <f t="shared" si="7"/>
        <v>0</v>
      </c>
      <c r="Q7" s="16">
        <f t="shared" si="7"/>
        <v>0</v>
      </c>
      <c r="R7" s="8">
        <f t="shared" si="1"/>
        <v>58745.992000000013</v>
      </c>
      <c r="S7" s="363">
        <f t="shared" si="3"/>
        <v>16615.04</v>
      </c>
      <c r="T7" s="363">
        <f t="shared" si="3"/>
        <v>7248.344000000001</v>
      </c>
      <c r="U7" s="363">
        <f t="shared" si="3"/>
        <v>1971.4560000000001</v>
      </c>
      <c r="V7" s="363">
        <f t="shared" si="3"/>
        <v>1698.8320000000001</v>
      </c>
      <c r="W7" s="363">
        <f t="shared" si="4"/>
        <v>26930.856000000003</v>
      </c>
      <c r="X7" s="363">
        <f t="shared" si="5"/>
        <v>4281.4640000000009</v>
      </c>
      <c r="Y7" s="10" t="b">
        <f t="shared" si="6"/>
        <v>1</v>
      </c>
      <c r="Z7" s="363"/>
    </row>
    <row r="8" spans="1:26">
      <c r="A8" s="2" t="s">
        <v>80</v>
      </c>
      <c r="B8" s="16">
        <f t="shared" ref="B8:N8" si="8">B78*0.8</f>
        <v>50320.072</v>
      </c>
      <c r="C8" s="16">
        <f t="shared" si="8"/>
        <v>12948.568000000001</v>
      </c>
      <c r="D8" s="16">
        <f t="shared" si="8"/>
        <v>1935.9520000000002</v>
      </c>
      <c r="E8" s="16">
        <f t="shared" si="8"/>
        <v>1550.9840000000002</v>
      </c>
      <c r="F8" s="16">
        <f t="shared" si="8"/>
        <v>56431.847999999998</v>
      </c>
      <c r="G8" s="16">
        <f t="shared" si="8"/>
        <v>1304.2800000000002</v>
      </c>
      <c r="H8" s="16">
        <f t="shared" si="8"/>
        <v>1680.1200000000001</v>
      </c>
      <c r="I8" s="16">
        <f t="shared" si="8"/>
        <v>0</v>
      </c>
      <c r="J8" s="16">
        <f t="shared" si="8"/>
        <v>3075.5519999999997</v>
      </c>
      <c r="K8" s="16">
        <f t="shared" si="8"/>
        <v>173.904</v>
      </c>
      <c r="L8" s="16">
        <f t="shared" si="8"/>
        <v>0</v>
      </c>
      <c r="M8" s="16">
        <f t="shared" si="8"/>
        <v>609.51200000000006</v>
      </c>
      <c r="N8" s="16">
        <f t="shared" si="8"/>
        <v>50.72</v>
      </c>
      <c r="O8" s="16">
        <f t="shared" si="0"/>
        <v>0</v>
      </c>
      <c r="P8" s="16">
        <f>P78</f>
        <v>0</v>
      </c>
      <c r="Q8" s="16">
        <f>Q78</f>
        <v>0</v>
      </c>
      <c r="R8" s="8">
        <f t="shared" si="1"/>
        <v>130081.51199999999</v>
      </c>
      <c r="S8" s="363">
        <f t="shared" si="3"/>
        <v>50320.072</v>
      </c>
      <c r="T8" s="363">
        <f t="shared" si="3"/>
        <v>12948.568000000001</v>
      </c>
      <c r="U8" s="363">
        <f t="shared" si="3"/>
        <v>1935.9520000000002</v>
      </c>
      <c r="V8" s="363">
        <f t="shared" si="3"/>
        <v>1550.9840000000002</v>
      </c>
      <c r="W8" s="363">
        <f t="shared" si="4"/>
        <v>57736.127999999997</v>
      </c>
      <c r="X8" s="363">
        <f t="shared" si="5"/>
        <v>5589.8079999999991</v>
      </c>
      <c r="Y8" s="10" t="b">
        <f t="shared" si="6"/>
        <v>1</v>
      </c>
      <c r="Z8" s="363"/>
    </row>
    <row r="9" spans="1:26">
      <c r="A9" s="2" t="s">
        <v>81</v>
      </c>
      <c r="B9" s="16">
        <f t="shared" ref="B9:N9" si="9">B79*0.8</f>
        <v>129599.92800000001</v>
      </c>
      <c r="C9" s="16">
        <f t="shared" si="9"/>
        <v>40568.336000000003</v>
      </c>
      <c r="D9" s="16">
        <f t="shared" si="9"/>
        <v>5298.9360000000006</v>
      </c>
      <c r="E9" s="16">
        <f t="shared" si="9"/>
        <v>9397.8559999999998</v>
      </c>
      <c r="F9" s="16">
        <f t="shared" si="9"/>
        <v>176338.65600000002</v>
      </c>
      <c r="G9" s="16">
        <f t="shared" si="9"/>
        <v>3651.9840000000004</v>
      </c>
      <c r="H9" s="16">
        <f t="shared" si="9"/>
        <v>8465.9519999999993</v>
      </c>
      <c r="I9" s="16">
        <f t="shared" si="9"/>
        <v>0</v>
      </c>
      <c r="J9" s="16">
        <f t="shared" si="9"/>
        <v>11026.016000000001</v>
      </c>
      <c r="K9" s="16">
        <f t="shared" si="9"/>
        <v>869.5200000000001</v>
      </c>
      <c r="L9" s="16">
        <f t="shared" si="9"/>
        <v>0</v>
      </c>
      <c r="M9" s="16">
        <f t="shared" si="9"/>
        <v>0</v>
      </c>
      <c r="N9" s="16">
        <f t="shared" si="9"/>
        <v>456.48</v>
      </c>
      <c r="O9" s="16">
        <f t="shared" si="0"/>
        <v>0</v>
      </c>
      <c r="P9" s="16">
        <f t="shared" ref="P9:Q21" si="10">P79*0.8</f>
        <v>0</v>
      </c>
      <c r="Q9" s="16">
        <f t="shared" si="10"/>
        <v>0</v>
      </c>
      <c r="R9" s="8">
        <f t="shared" si="1"/>
        <v>385673.66400000005</v>
      </c>
      <c r="S9" s="363">
        <f t="shared" si="3"/>
        <v>129599.92800000001</v>
      </c>
      <c r="T9" s="363">
        <f t="shared" si="3"/>
        <v>40568.336000000003</v>
      </c>
      <c r="U9" s="363">
        <f t="shared" si="3"/>
        <v>5298.9360000000006</v>
      </c>
      <c r="V9" s="363">
        <f t="shared" si="3"/>
        <v>9397.8559999999998</v>
      </c>
      <c r="W9" s="363">
        <f t="shared" si="4"/>
        <v>179990.64</v>
      </c>
      <c r="X9" s="363">
        <f t="shared" si="5"/>
        <v>20817.968000000001</v>
      </c>
      <c r="Y9" s="10" t="b">
        <f t="shared" si="6"/>
        <v>1</v>
      </c>
      <c r="Z9" s="363"/>
    </row>
    <row r="10" spans="1:26">
      <c r="A10" s="2" t="s">
        <v>82</v>
      </c>
      <c r="B10" s="16">
        <f t="shared" ref="B10:N10" si="11">B80*0.8</f>
        <v>68408.384000000005</v>
      </c>
      <c r="C10" s="16">
        <f t="shared" si="11"/>
        <v>16564.416000000001</v>
      </c>
      <c r="D10" s="16">
        <f t="shared" si="11"/>
        <v>963.75200000000007</v>
      </c>
      <c r="E10" s="16">
        <f t="shared" si="11"/>
        <v>3322.4160000000006</v>
      </c>
      <c r="F10" s="16">
        <f t="shared" si="11"/>
        <v>99299.184000000008</v>
      </c>
      <c r="G10" s="16">
        <f t="shared" si="11"/>
        <v>2173.8000000000002</v>
      </c>
      <c r="H10" s="16">
        <f t="shared" si="11"/>
        <v>3034.3119999999999</v>
      </c>
      <c r="I10" s="16">
        <f t="shared" si="11"/>
        <v>0</v>
      </c>
      <c r="J10" s="16">
        <f t="shared" si="11"/>
        <v>4403.16</v>
      </c>
      <c r="K10" s="16">
        <f t="shared" si="11"/>
        <v>1043.424</v>
      </c>
      <c r="L10" s="16">
        <f t="shared" si="11"/>
        <v>173.904</v>
      </c>
      <c r="M10" s="16">
        <f t="shared" si="11"/>
        <v>355.06400000000002</v>
      </c>
      <c r="N10" s="16">
        <f t="shared" si="11"/>
        <v>126.80000000000001</v>
      </c>
      <c r="O10" s="16">
        <f t="shared" si="0"/>
        <v>0</v>
      </c>
      <c r="P10" s="16">
        <f t="shared" si="10"/>
        <v>0</v>
      </c>
      <c r="Q10" s="16">
        <f t="shared" si="10"/>
        <v>0</v>
      </c>
      <c r="R10" s="8">
        <f t="shared" si="1"/>
        <v>199868.61600000001</v>
      </c>
      <c r="S10" s="363">
        <f t="shared" si="3"/>
        <v>68408.384000000005</v>
      </c>
      <c r="T10" s="363">
        <f t="shared" si="3"/>
        <v>16564.416000000001</v>
      </c>
      <c r="U10" s="363">
        <f t="shared" si="3"/>
        <v>963.75200000000007</v>
      </c>
      <c r="V10" s="363">
        <f t="shared" si="3"/>
        <v>3322.4160000000006</v>
      </c>
      <c r="W10" s="363">
        <f t="shared" si="4"/>
        <v>101472.98400000001</v>
      </c>
      <c r="X10" s="363">
        <f t="shared" si="5"/>
        <v>9136.6640000000007</v>
      </c>
      <c r="Y10" s="10" t="b">
        <f t="shared" si="6"/>
        <v>1</v>
      </c>
      <c r="Z10" s="363"/>
    </row>
    <row r="11" spans="1:26">
      <c r="A11" s="2" t="s">
        <v>83</v>
      </c>
      <c r="B11" s="16">
        <f t="shared" ref="B11:N11" si="12">B81*0.8</f>
        <v>126403.64</v>
      </c>
      <c r="C11" s="16">
        <f t="shared" si="12"/>
        <v>30164.248</v>
      </c>
      <c r="D11" s="16">
        <f t="shared" si="12"/>
        <v>2867.56</v>
      </c>
      <c r="E11" s="16">
        <f t="shared" si="12"/>
        <v>3417.1040000000003</v>
      </c>
      <c r="F11" s="16">
        <f t="shared" si="12"/>
        <v>122863.17600000001</v>
      </c>
      <c r="G11" s="16">
        <f t="shared" si="12"/>
        <v>6608.3520000000008</v>
      </c>
      <c r="H11" s="16">
        <f t="shared" si="12"/>
        <v>4430.4400000000005</v>
      </c>
      <c r="I11" s="16">
        <f t="shared" si="12"/>
        <v>0</v>
      </c>
      <c r="J11" s="16">
        <f t="shared" si="12"/>
        <v>7065.6640000000007</v>
      </c>
      <c r="K11" s="16">
        <f t="shared" si="12"/>
        <v>782.5680000000001</v>
      </c>
      <c r="L11" s="16">
        <f t="shared" si="12"/>
        <v>173.904</v>
      </c>
      <c r="M11" s="16">
        <f t="shared" si="12"/>
        <v>836.7360000000001</v>
      </c>
      <c r="N11" s="16">
        <f t="shared" si="12"/>
        <v>405.76</v>
      </c>
      <c r="O11" s="16">
        <f t="shared" si="0"/>
        <v>0</v>
      </c>
      <c r="P11" s="16">
        <f t="shared" si="10"/>
        <v>0</v>
      </c>
      <c r="Q11" s="16">
        <f t="shared" si="10"/>
        <v>0</v>
      </c>
      <c r="R11" s="8">
        <f t="shared" si="1"/>
        <v>306019.152</v>
      </c>
      <c r="S11" s="363">
        <f t="shared" si="3"/>
        <v>126403.64</v>
      </c>
      <c r="T11" s="363">
        <f t="shared" si="3"/>
        <v>30164.248</v>
      </c>
      <c r="U11" s="363">
        <f t="shared" si="3"/>
        <v>2867.56</v>
      </c>
      <c r="V11" s="363">
        <f t="shared" si="3"/>
        <v>3417.1040000000003</v>
      </c>
      <c r="W11" s="363">
        <f t="shared" si="4"/>
        <v>129471.52800000001</v>
      </c>
      <c r="X11" s="363">
        <f t="shared" si="5"/>
        <v>13695.072000000002</v>
      </c>
      <c r="Y11" s="10" t="b">
        <f t="shared" si="6"/>
        <v>1</v>
      </c>
      <c r="Z11" s="363"/>
    </row>
    <row r="12" spans="1:26">
      <c r="A12" s="2" t="s">
        <v>84</v>
      </c>
      <c r="B12" s="16">
        <f t="shared" ref="B12:N12" si="13">B82*0.8</f>
        <v>111690.144</v>
      </c>
      <c r="C12" s="16">
        <f t="shared" si="13"/>
        <v>16189.800000000001</v>
      </c>
      <c r="D12" s="16">
        <f t="shared" si="13"/>
        <v>2253.8080000000004</v>
      </c>
      <c r="E12" s="16">
        <f t="shared" si="13"/>
        <v>3926.288</v>
      </c>
      <c r="F12" s="16">
        <f t="shared" si="13"/>
        <v>114515.78400000001</v>
      </c>
      <c r="G12" s="16">
        <f t="shared" si="13"/>
        <v>4608.4560000000001</v>
      </c>
      <c r="H12" s="16">
        <f t="shared" si="13"/>
        <v>2380.6320000000001</v>
      </c>
      <c r="I12" s="16">
        <f t="shared" si="13"/>
        <v>260.85599999999999</v>
      </c>
      <c r="J12" s="16">
        <f t="shared" si="13"/>
        <v>4155.3919999999998</v>
      </c>
      <c r="K12" s="16">
        <f t="shared" si="13"/>
        <v>347.80799999999999</v>
      </c>
      <c r="L12" s="16">
        <f t="shared" si="13"/>
        <v>173.904</v>
      </c>
      <c r="M12" s="16">
        <f t="shared" si="13"/>
        <v>0</v>
      </c>
      <c r="N12" s="16">
        <f t="shared" si="13"/>
        <v>126.80000000000001</v>
      </c>
      <c r="O12" s="16">
        <f t="shared" si="0"/>
        <v>0</v>
      </c>
      <c r="P12" s="16">
        <f t="shared" si="10"/>
        <v>0</v>
      </c>
      <c r="Q12" s="16">
        <f t="shared" si="10"/>
        <v>0</v>
      </c>
      <c r="R12" s="8">
        <f t="shared" si="1"/>
        <v>260629.67200000002</v>
      </c>
      <c r="S12" s="363">
        <f t="shared" si="3"/>
        <v>111690.144</v>
      </c>
      <c r="T12" s="363">
        <f t="shared" si="3"/>
        <v>16189.800000000001</v>
      </c>
      <c r="U12" s="363">
        <f t="shared" si="3"/>
        <v>2253.8080000000004</v>
      </c>
      <c r="V12" s="363">
        <f t="shared" si="3"/>
        <v>3926.288</v>
      </c>
      <c r="W12" s="363">
        <f t="shared" si="4"/>
        <v>119124.24000000002</v>
      </c>
      <c r="X12" s="363">
        <f t="shared" si="5"/>
        <v>7445.3920000000007</v>
      </c>
      <c r="Y12" s="10" t="b">
        <f t="shared" si="6"/>
        <v>1</v>
      </c>
      <c r="Z12" s="363"/>
    </row>
    <row r="13" spans="1:26">
      <c r="A13" s="2" t="s">
        <v>85</v>
      </c>
      <c r="B13" s="16">
        <f t="shared" ref="B13:N13" si="14">B83*0.8</f>
        <v>114349.36000000002</v>
      </c>
      <c r="C13" s="16">
        <f t="shared" si="14"/>
        <v>29428.112000000001</v>
      </c>
      <c r="D13" s="16">
        <f t="shared" si="14"/>
        <v>4380.8320000000003</v>
      </c>
      <c r="E13" s="16">
        <f t="shared" si="14"/>
        <v>4824.1040000000003</v>
      </c>
      <c r="F13" s="16">
        <f t="shared" si="14"/>
        <v>228422.90400000001</v>
      </c>
      <c r="G13" s="16">
        <f t="shared" si="14"/>
        <v>2956.3680000000004</v>
      </c>
      <c r="H13" s="16">
        <f t="shared" si="14"/>
        <v>5128.4559999999992</v>
      </c>
      <c r="I13" s="16">
        <f t="shared" si="14"/>
        <v>235.08000000000004</v>
      </c>
      <c r="J13" s="16">
        <f t="shared" si="14"/>
        <v>6381.3680000000004</v>
      </c>
      <c r="K13" s="16">
        <f t="shared" si="14"/>
        <v>260.85599999999999</v>
      </c>
      <c r="L13" s="16">
        <f t="shared" si="14"/>
        <v>0</v>
      </c>
      <c r="M13" s="16">
        <f t="shared" si="14"/>
        <v>0</v>
      </c>
      <c r="N13" s="16">
        <f t="shared" si="14"/>
        <v>101.44</v>
      </c>
      <c r="O13" s="16">
        <f t="shared" si="0"/>
        <v>0</v>
      </c>
      <c r="P13" s="16">
        <f t="shared" si="10"/>
        <v>0</v>
      </c>
      <c r="Q13" s="16">
        <f t="shared" si="10"/>
        <v>0</v>
      </c>
      <c r="R13" s="8">
        <f t="shared" si="1"/>
        <v>396468.88000000012</v>
      </c>
      <c r="S13" s="363">
        <f t="shared" si="3"/>
        <v>114349.36000000002</v>
      </c>
      <c r="T13" s="363">
        <f t="shared" si="3"/>
        <v>29428.112000000001</v>
      </c>
      <c r="U13" s="363">
        <f t="shared" si="3"/>
        <v>4380.8320000000003</v>
      </c>
      <c r="V13" s="363">
        <f t="shared" si="3"/>
        <v>4824.1040000000003</v>
      </c>
      <c r="W13" s="363">
        <f t="shared" si="4"/>
        <v>231379.272</v>
      </c>
      <c r="X13" s="363">
        <f t="shared" si="5"/>
        <v>12107.199999999999</v>
      </c>
      <c r="Y13" s="10" t="b">
        <f t="shared" si="6"/>
        <v>1</v>
      </c>
      <c r="Z13" s="363"/>
    </row>
    <row r="14" spans="1:26">
      <c r="A14" s="2" t="s">
        <v>86</v>
      </c>
      <c r="B14" s="16">
        <f t="shared" ref="B14:N14" si="15">B84*0.8</f>
        <v>37325.224000000002</v>
      </c>
      <c r="C14" s="16">
        <f t="shared" si="15"/>
        <v>7447.44</v>
      </c>
      <c r="D14" s="16">
        <f t="shared" si="15"/>
        <v>676.31200000000001</v>
      </c>
      <c r="E14" s="16">
        <f t="shared" si="15"/>
        <v>283.84000000000003</v>
      </c>
      <c r="F14" s="16">
        <f t="shared" si="15"/>
        <v>53649.383999999998</v>
      </c>
      <c r="G14" s="16">
        <f t="shared" si="15"/>
        <v>956.47200000000021</v>
      </c>
      <c r="H14" s="16">
        <f t="shared" si="15"/>
        <v>771.51199999999994</v>
      </c>
      <c r="I14" s="16">
        <f t="shared" si="15"/>
        <v>0</v>
      </c>
      <c r="J14" s="16">
        <f t="shared" si="15"/>
        <v>1656.2400000000002</v>
      </c>
      <c r="K14" s="16">
        <f t="shared" si="15"/>
        <v>521.71199999999999</v>
      </c>
      <c r="L14" s="16">
        <f t="shared" si="15"/>
        <v>0</v>
      </c>
      <c r="M14" s="16">
        <f t="shared" si="15"/>
        <v>0</v>
      </c>
      <c r="N14" s="16">
        <f t="shared" si="15"/>
        <v>0</v>
      </c>
      <c r="O14" s="16">
        <f t="shared" si="0"/>
        <v>0</v>
      </c>
      <c r="P14" s="16">
        <f t="shared" si="10"/>
        <v>0</v>
      </c>
      <c r="Q14" s="16">
        <f t="shared" si="10"/>
        <v>0</v>
      </c>
      <c r="R14" s="8">
        <f t="shared" si="1"/>
        <v>103288.136</v>
      </c>
      <c r="S14" s="363">
        <f t="shared" si="3"/>
        <v>37325.224000000002</v>
      </c>
      <c r="T14" s="363">
        <f t="shared" si="3"/>
        <v>7447.44</v>
      </c>
      <c r="U14" s="363">
        <f t="shared" si="3"/>
        <v>676.31200000000001</v>
      </c>
      <c r="V14" s="363">
        <f t="shared" si="3"/>
        <v>283.84000000000003</v>
      </c>
      <c r="W14" s="363">
        <f t="shared" si="4"/>
        <v>54605.856</v>
      </c>
      <c r="X14" s="363">
        <f t="shared" si="5"/>
        <v>2949.4640000000004</v>
      </c>
      <c r="Y14" s="10" t="b">
        <f t="shared" si="6"/>
        <v>1</v>
      </c>
      <c r="Z14" s="363"/>
    </row>
    <row r="15" spans="1:26">
      <c r="A15" s="2" t="s">
        <v>87</v>
      </c>
      <c r="B15" s="16">
        <f t="shared" ref="B15:N15" si="16">B85*0.8</f>
        <v>114961.88799999999</v>
      </c>
      <c r="C15" s="16">
        <f t="shared" si="16"/>
        <v>15448.992000000002</v>
      </c>
      <c r="D15" s="16">
        <f t="shared" si="16"/>
        <v>2723.848</v>
      </c>
      <c r="E15" s="16">
        <f t="shared" si="16"/>
        <v>6540.2720000000008</v>
      </c>
      <c r="F15" s="16">
        <f t="shared" si="16"/>
        <v>235639.92000000004</v>
      </c>
      <c r="G15" s="16">
        <f t="shared" si="16"/>
        <v>1999.896</v>
      </c>
      <c r="H15" s="16">
        <f t="shared" si="16"/>
        <v>3033.1440000000002</v>
      </c>
      <c r="I15" s="16">
        <f t="shared" si="16"/>
        <v>2332.152</v>
      </c>
      <c r="J15" s="16">
        <f t="shared" si="16"/>
        <v>4278.9279999999999</v>
      </c>
      <c r="K15" s="16">
        <f t="shared" si="16"/>
        <v>434.76000000000005</v>
      </c>
      <c r="L15" s="16">
        <f t="shared" si="16"/>
        <v>0</v>
      </c>
      <c r="M15" s="16">
        <f t="shared" si="16"/>
        <v>0</v>
      </c>
      <c r="N15" s="16">
        <f t="shared" si="16"/>
        <v>177.52</v>
      </c>
      <c r="O15" s="16">
        <f t="shared" si="0"/>
        <v>0</v>
      </c>
      <c r="P15" s="16">
        <f t="shared" si="10"/>
        <v>0</v>
      </c>
      <c r="Q15" s="16">
        <f t="shared" si="10"/>
        <v>0</v>
      </c>
      <c r="R15" s="8">
        <f t="shared" si="1"/>
        <v>387571.32000000012</v>
      </c>
      <c r="S15" s="363">
        <f t="shared" si="3"/>
        <v>114961.88799999999</v>
      </c>
      <c r="T15" s="363">
        <f t="shared" si="3"/>
        <v>15448.992000000002</v>
      </c>
      <c r="U15" s="363">
        <f t="shared" si="3"/>
        <v>2723.848</v>
      </c>
      <c r="V15" s="363">
        <f t="shared" si="3"/>
        <v>6540.2720000000008</v>
      </c>
      <c r="W15" s="363">
        <f t="shared" si="4"/>
        <v>237639.81600000005</v>
      </c>
      <c r="X15" s="363">
        <f t="shared" si="5"/>
        <v>10256.504000000001</v>
      </c>
      <c r="Y15" s="10" t="b">
        <f t="shared" si="6"/>
        <v>1</v>
      </c>
      <c r="Z15" s="363"/>
    </row>
    <row r="16" spans="1:26">
      <c r="A16" s="2" t="s">
        <v>88</v>
      </c>
      <c r="B16" s="16">
        <f t="shared" ref="B16:N16" si="17">B86*0.8</f>
        <v>57951.280000000006</v>
      </c>
      <c r="C16" s="16">
        <f t="shared" si="17"/>
        <v>22258.296000000002</v>
      </c>
      <c r="D16" s="16">
        <f t="shared" si="17"/>
        <v>2475.3200000000002</v>
      </c>
      <c r="E16" s="16">
        <f t="shared" si="17"/>
        <v>9229.344000000001</v>
      </c>
      <c r="F16" s="16">
        <f t="shared" si="17"/>
        <v>136253.78400000001</v>
      </c>
      <c r="G16" s="16">
        <f t="shared" si="17"/>
        <v>1878.5760000000002</v>
      </c>
      <c r="H16" s="16">
        <f t="shared" si="17"/>
        <v>5750.3360000000002</v>
      </c>
      <c r="I16" s="16">
        <f t="shared" si="17"/>
        <v>1501.04</v>
      </c>
      <c r="J16" s="16">
        <f t="shared" si="17"/>
        <v>5499.2960000000003</v>
      </c>
      <c r="K16" s="16">
        <f t="shared" si="17"/>
        <v>956.47199999999998</v>
      </c>
      <c r="L16" s="16">
        <f t="shared" si="17"/>
        <v>173.904</v>
      </c>
      <c r="M16" s="16">
        <f t="shared" si="17"/>
        <v>0</v>
      </c>
      <c r="N16" s="16">
        <f t="shared" si="17"/>
        <v>126.80000000000001</v>
      </c>
      <c r="O16" s="16">
        <f t="shared" si="0"/>
        <v>0</v>
      </c>
      <c r="P16" s="16">
        <f t="shared" si="10"/>
        <v>17</v>
      </c>
      <c r="Q16" s="16">
        <f t="shared" si="10"/>
        <v>0</v>
      </c>
      <c r="R16" s="8">
        <f t="shared" si="1"/>
        <v>244071.44800000006</v>
      </c>
      <c r="S16" s="363">
        <f t="shared" si="3"/>
        <v>57951.280000000006</v>
      </c>
      <c r="T16" s="363">
        <f t="shared" si="3"/>
        <v>22258.296000000002</v>
      </c>
      <c r="U16" s="363">
        <f t="shared" si="3"/>
        <v>2475.3200000000002</v>
      </c>
      <c r="V16" s="363">
        <f t="shared" si="3"/>
        <v>9229.344000000001</v>
      </c>
      <c r="W16" s="363">
        <f t="shared" si="4"/>
        <v>138132.36000000002</v>
      </c>
      <c r="X16" s="363">
        <f t="shared" si="5"/>
        <v>14024.848</v>
      </c>
      <c r="Y16" s="10" t="b">
        <f t="shared" si="6"/>
        <v>1</v>
      </c>
      <c r="Z16" s="363"/>
    </row>
    <row r="17" spans="1:26">
      <c r="A17" s="2" t="s">
        <v>89</v>
      </c>
      <c r="B17" s="16">
        <f t="shared" ref="B17:N17" si="18">B87*0.8</f>
        <v>418721.93599999999</v>
      </c>
      <c r="C17" s="16">
        <f t="shared" si="18"/>
        <v>115499.8</v>
      </c>
      <c r="D17" s="16">
        <f t="shared" si="18"/>
        <v>6416.4800000000005</v>
      </c>
      <c r="E17" s="16">
        <f t="shared" si="18"/>
        <v>17481.655999999999</v>
      </c>
      <c r="F17" s="16">
        <f t="shared" si="18"/>
        <v>429716.78399999999</v>
      </c>
      <c r="G17" s="16">
        <f t="shared" si="18"/>
        <v>20259.815999999999</v>
      </c>
      <c r="H17" s="16">
        <f t="shared" si="18"/>
        <v>20620.008000000002</v>
      </c>
      <c r="I17" s="16">
        <f t="shared" si="18"/>
        <v>0</v>
      </c>
      <c r="J17" s="16">
        <f t="shared" si="18"/>
        <v>28043.744000000002</v>
      </c>
      <c r="K17" s="16">
        <f t="shared" si="18"/>
        <v>1999.896</v>
      </c>
      <c r="L17" s="16">
        <f t="shared" si="18"/>
        <v>173.904</v>
      </c>
      <c r="M17" s="16">
        <f t="shared" si="18"/>
        <v>0</v>
      </c>
      <c r="N17" s="16">
        <f t="shared" si="18"/>
        <v>1014.4000000000001</v>
      </c>
      <c r="O17" s="16">
        <f t="shared" si="0"/>
        <v>0</v>
      </c>
      <c r="P17" s="16">
        <f t="shared" si="10"/>
        <v>0</v>
      </c>
      <c r="Q17" s="16">
        <f t="shared" si="10"/>
        <v>0</v>
      </c>
      <c r="R17" s="8">
        <f t="shared" si="1"/>
        <v>1059948.4239999999</v>
      </c>
      <c r="S17" s="363">
        <f t="shared" si="3"/>
        <v>418721.93599999999</v>
      </c>
      <c r="T17" s="363">
        <f t="shared" si="3"/>
        <v>115499.8</v>
      </c>
      <c r="U17" s="363">
        <f t="shared" si="3"/>
        <v>6416.4800000000005</v>
      </c>
      <c r="V17" s="363">
        <f t="shared" si="3"/>
        <v>17481.655999999999</v>
      </c>
      <c r="W17" s="363">
        <f t="shared" si="4"/>
        <v>449976.6</v>
      </c>
      <c r="X17" s="363">
        <f t="shared" si="5"/>
        <v>51851.952000000012</v>
      </c>
      <c r="Y17" s="10" t="b">
        <f t="shared" si="6"/>
        <v>1</v>
      </c>
      <c r="Z17" s="363"/>
    </row>
    <row r="18" spans="1:26">
      <c r="A18" s="2" t="s">
        <v>90</v>
      </c>
      <c r="B18" s="16">
        <f t="shared" ref="B18:N18" si="19">B88*0.8</f>
        <v>55695.296000000002</v>
      </c>
      <c r="C18" s="16">
        <f t="shared" si="19"/>
        <v>16920.727999999999</v>
      </c>
      <c r="D18" s="16">
        <f t="shared" si="19"/>
        <v>2294.4</v>
      </c>
      <c r="E18" s="16">
        <f t="shared" si="19"/>
        <v>2613.4639999999999</v>
      </c>
      <c r="F18" s="16">
        <f t="shared" si="19"/>
        <v>84604.296000000002</v>
      </c>
      <c r="G18" s="16">
        <f t="shared" si="19"/>
        <v>3982.4</v>
      </c>
      <c r="H18" s="16">
        <f t="shared" si="19"/>
        <v>2846.12</v>
      </c>
      <c r="I18" s="16">
        <f t="shared" si="19"/>
        <v>0</v>
      </c>
      <c r="J18" s="16">
        <f t="shared" si="19"/>
        <v>4110.0559999999996</v>
      </c>
      <c r="K18" s="16">
        <f t="shared" si="19"/>
        <v>608.6640000000001</v>
      </c>
      <c r="L18" s="16">
        <f t="shared" si="19"/>
        <v>0</v>
      </c>
      <c r="M18" s="16">
        <f t="shared" si="19"/>
        <v>0</v>
      </c>
      <c r="N18" s="16">
        <f t="shared" si="19"/>
        <v>126.80000000000001</v>
      </c>
      <c r="O18" s="16">
        <f t="shared" si="0"/>
        <v>0</v>
      </c>
      <c r="P18" s="16">
        <f t="shared" si="10"/>
        <v>0</v>
      </c>
      <c r="Q18" s="16">
        <f t="shared" si="10"/>
        <v>0</v>
      </c>
      <c r="R18" s="8">
        <f t="shared" si="1"/>
        <v>173802.22399999999</v>
      </c>
      <c r="S18" s="363">
        <f t="shared" si="3"/>
        <v>55695.296000000002</v>
      </c>
      <c r="T18" s="363">
        <f t="shared" si="3"/>
        <v>16920.727999999999</v>
      </c>
      <c r="U18" s="363">
        <f t="shared" si="3"/>
        <v>2294.4</v>
      </c>
      <c r="V18" s="363">
        <f t="shared" si="3"/>
        <v>2613.4639999999999</v>
      </c>
      <c r="W18" s="363">
        <f t="shared" si="4"/>
        <v>88586.695999999996</v>
      </c>
      <c r="X18" s="363">
        <f t="shared" si="5"/>
        <v>7691.6399999999994</v>
      </c>
      <c r="Y18" s="10" t="b">
        <f t="shared" si="6"/>
        <v>1</v>
      </c>
      <c r="Z18" s="363"/>
    </row>
    <row r="19" spans="1:26">
      <c r="A19" s="2" t="s">
        <v>91</v>
      </c>
      <c r="B19" s="16">
        <f t="shared" ref="B19:N19" si="20">B89*0.8</f>
        <v>59901.488000000005</v>
      </c>
      <c r="C19" s="16">
        <f t="shared" si="20"/>
        <v>23121.4</v>
      </c>
      <c r="D19" s="16">
        <f t="shared" si="20"/>
        <v>524.13599999999997</v>
      </c>
      <c r="E19" s="16">
        <f t="shared" si="20"/>
        <v>2089.8880000000004</v>
      </c>
      <c r="F19" s="16">
        <f t="shared" si="20"/>
        <v>78430.704000000012</v>
      </c>
      <c r="G19" s="16">
        <f t="shared" si="20"/>
        <v>3304.1760000000004</v>
      </c>
      <c r="H19" s="16">
        <f t="shared" si="20"/>
        <v>3034.6320000000001</v>
      </c>
      <c r="I19" s="16">
        <f t="shared" si="20"/>
        <v>0</v>
      </c>
      <c r="J19" s="16">
        <f t="shared" si="20"/>
        <v>5295.9040000000014</v>
      </c>
      <c r="K19" s="16">
        <f t="shared" si="20"/>
        <v>86.951999999999998</v>
      </c>
      <c r="L19" s="16">
        <f t="shared" si="20"/>
        <v>347.80799999999999</v>
      </c>
      <c r="M19" s="16">
        <f t="shared" si="20"/>
        <v>0</v>
      </c>
      <c r="N19" s="16">
        <f t="shared" si="20"/>
        <v>202.88</v>
      </c>
      <c r="O19" s="16">
        <f t="shared" si="0"/>
        <v>0</v>
      </c>
      <c r="P19" s="16">
        <f t="shared" si="10"/>
        <v>0</v>
      </c>
      <c r="Q19" s="16">
        <f t="shared" si="10"/>
        <v>0</v>
      </c>
      <c r="R19" s="8">
        <f t="shared" si="1"/>
        <v>176339.96800000005</v>
      </c>
      <c r="S19" s="363">
        <f t="shared" si="3"/>
        <v>59901.488000000005</v>
      </c>
      <c r="T19" s="363">
        <f t="shared" si="3"/>
        <v>23121.4</v>
      </c>
      <c r="U19" s="363">
        <f t="shared" si="3"/>
        <v>524.13599999999997</v>
      </c>
      <c r="V19" s="363">
        <f t="shared" si="3"/>
        <v>2089.8880000000004</v>
      </c>
      <c r="W19" s="363">
        <f t="shared" si="4"/>
        <v>81734.880000000019</v>
      </c>
      <c r="X19" s="363">
        <f t="shared" si="5"/>
        <v>8968.1760000000013</v>
      </c>
      <c r="Y19" s="10" t="b">
        <f t="shared" si="6"/>
        <v>1</v>
      </c>
      <c r="Z19" s="363"/>
    </row>
    <row r="20" spans="1:26">
      <c r="A20" s="2" t="s">
        <v>92</v>
      </c>
      <c r="B20" s="16">
        <f t="shared" ref="B20:N20" si="21">B90*0.8</f>
        <v>270465.48800000001</v>
      </c>
      <c r="C20" s="16">
        <f t="shared" si="21"/>
        <v>70059.26400000001</v>
      </c>
      <c r="D20" s="16">
        <f t="shared" si="21"/>
        <v>9982.3520000000008</v>
      </c>
      <c r="E20" s="16">
        <f t="shared" si="21"/>
        <v>12931.567999999999</v>
      </c>
      <c r="F20" s="16">
        <f t="shared" si="21"/>
        <v>527363.88</v>
      </c>
      <c r="G20" s="16">
        <f t="shared" si="21"/>
        <v>8260.44</v>
      </c>
      <c r="H20" s="16">
        <f t="shared" si="21"/>
        <v>9565.8720000000012</v>
      </c>
      <c r="I20" s="16">
        <f t="shared" si="21"/>
        <v>4028.7440000000006</v>
      </c>
      <c r="J20" s="16">
        <f t="shared" si="21"/>
        <v>16865.464000000004</v>
      </c>
      <c r="K20" s="16">
        <f t="shared" si="21"/>
        <v>3391.1280000000002</v>
      </c>
      <c r="L20" s="16">
        <f t="shared" si="21"/>
        <v>0</v>
      </c>
      <c r="M20" s="16">
        <f t="shared" si="21"/>
        <v>0</v>
      </c>
      <c r="N20" s="16">
        <f t="shared" si="21"/>
        <v>735.44</v>
      </c>
      <c r="O20" s="16">
        <f t="shared" si="0"/>
        <v>0</v>
      </c>
      <c r="P20" s="16">
        <f t="shared" si="10"/>
        <v>0</v>
      </c>
      <c r="Q20" s="16">
        <f t="shared" si="10"/>
        <v>0</v>
      </c>
      <c r="R20" s="8">
        <f t="shared" si="1"/>
        <v>933649.6399999999</v>
      </c>
      <c r="S20" s="363">
        <f t="shared" si="3"/>
        <v>270465.48800000001</v>
      </c>
      <c r="T20" s="363">
        <f t="shared" si="3"/>
        <v>70059.26400000001</v>
      </c>
      <c r="U20" s="363">
        <f t="shared" si="3"/>
        <v>9982.3520000000008</v>
      </c>
      <c r="V20" s="363">
        <f t="shared" si="3"/>
        <v>12931.567999999999</v>
      </c>
      <c r="W20" s="363">
        <f t="shared" si="4"/>
        <v>535624.31999999995</v>
      </c>
      <c r="X20" s="363">
        <f t="shared" si="5"/>
        <v>34586.648000000008</v>
      </c>
      <c r="Y20" s="10" t="b">
        <f t="shared" si="6"/>
        <v>1</v>
      </c>
      <c r="Z20" s="363"/>
    </row>
    <row r="21" spans="1:26">
      <c r="A21" s="2" t="s">
        <v>93</v>
      </c>
      <c r="B21" s="16">
        <f t="shared" ref="B21:O31" si="22">B91*0.8</f>
        <v>110916.8</v>
      </c>
      <c r="C21" s="16">
        <f t="shared" si="22"/>
        <v>30799.648000000001</v>
      </c>
      <c r="D21" s="16">
        <f t="shared" si="22"/>
        <v>1626.5360000000001</v>
      </c>
      <c r="E21" s="16">
        <f t="shared" si="22"/>
        <v>5188.6400000000003</v>
      </c>
      <c r="F21" s="16">
        <f t="shared" si="22"/>
        <v>146514.12</v>
      </c>
      <c r="G21" s="16">
        <f t="shared" si="22"/>
        <v>5564.9279999999999</v>
      </c>
      <c r="H21" s="16">
        <f t="shared" si="22"/>
        <v>3684.9520000000007</v>
      </c>
      <c r="I21" s="16">
        <f t="shared" si="22"/>
        <v>2236.944</v>
      </c>
      <c r="J21" s="16">
        <f t="shared" si="22"/>
        <v>7367.9679999999998</v>
      </c>
      <c r="K21" s="16">
        <f t="shared" si="22"/>
        <v>521.71199999999999</v>
      </c>
      <c r="L21" s="16">
        <f t="shared" si="22"/>
        <v>0</v>
      </c>
      <c r="M21" s="16">
        <f t="shared" si="22"/>
        <v>0</v>
      </c>
      <c r="N21" s="16">
        <f t="shared" si="22"/>
        <v>126.80000000000001</v>
      </c>
      <c r="O21" s="16">
        <f t="shared" si="22"/>
        <v>0</v>
      </c>
      <c r="P21" s="16">
        <f t="shared" si="10"/>
        <v>0</v>
      </c>
      <c r="Q21" s="16">
        <f t="shared" si="10"/>
        <v>0</v>
      </c>
      <c r="R21" s="8">
        <f t="shared" si="1"/>
        <v>314549.04800000001</v>
      </c>
      <c r="S21" s="363">
        <f t="shared" si="3"/>
        <v>110916.8</v>
      </c>
      <c r="T21" s="363">
        <f t="shared" si="3"/>
        <v>30799.648000000001</v>
      </c>
      <c r="U21" s="363">
        <f t="shared" si="3"/>
        <v>1626.5360000000001</v>
      </c>
      <c r="V21" s="363">
        <f t="shared" si="3"/>
        <v>5188.6400000000003</v>
      </c>
      <c r="W21" s="363">
        <f t="shared" si="4"/>
        <v>152079.04800000001</v>
      </c>
      <c r="X21" s="363">
        <f t="shared" si="5"/>
        <v>13938.376</v>
      </c>
      <c r="Y21" s="10" t="b">
        <f t="shared" si="6"/>
        <v>1</v>
      </c>
      <c r="Z21" s="363"/>
    </row>
    <row r="22" spans="1:26">
      <c r="A22" s="2" t="s">
        <v>94</v>
      </c>
      <c r="B22" s="16">
        <f t="shared" ref="B22:N22" si="23">B92*0.8</f>
        <v>26192.664000000004</v>
      </c>
      <c r="C22" s="16">
        <f t="shared" si="23"/>
        <v>5110.7839999999997</v>
      </c>
      <c r="D22" s="16">
        <f t="shared" si="23"/>
        <v>1165.8</v>
      </c>
      <c r="E22" s="16">
        <f t="shared" si="23"/>
        <v>1410.2240000000002</v>
      </c>
      <c r="F22" s="16">
        <f t="shared" si="23"/>
        <v>41128.296000000002</v>
      </c>
      <c r="G22" s="16">
        <f t="shared" si="23"/>
        <v>1999.896</v>
      </c>
      <c r="H22" s="16">
        <f t="shared" si="23"/>
        <v>757.8</v>
      </c>
      <c r="I22" s="16">
        <f t="shared" si="23"/>
        <v>0</v>
      </c>
      <c r="J22" s="16">
        <f t="shared" si="23"/>
        <v>1370.9680000000001</v>
      </c>
      <c r="K22" s="16">
        <f t="shared" si="23"/>
        <v>0</v>
      </c>
      <c r="L22" s="16">
        <f t="shared" si="23"/>
        <v>0</v>
      </c>
      <c r="M22" s="16">
        <f t="shared" si="23"/>
        <v>0</v>
      </c>
      <c r="N22" s="16">
        <f t="shared" si="23"/>
        <v>0</v>
      </c>
      <c r="O22" s="16">
        <f t="shared" si="22"/>
        <v>0</v>
      </c>
      <c r="P22" s="16">
        <f>P92</f>
        <v>0</v>
      </c>
      <c r="Q22" s="16">
        <f>Q92</f>
        <v>0</v>
      </c>
      <c r="R22" s="8">
        <f t="shared" si="1"/>
        <v>79136.432000000001</v>
      </c>
      <c r="S22" s="363">
        <f t="shared" si="3"/>
        <v>26192.664000000004</v>
      </c>
      <c r="T22" s="363">
        <f t="shared" si="3"/>
        <v>5110.7839999999997</v>
      </c>
      <c r="U22" s="363">
        <f t="shared" si="3"/>
        <v>1165.8</v>
      </c>
      <c r="V22" s="363">
        <f t="shared" si="3"/>
        <v>1410.2240000000002</v>
      </c>
      <c r="W22" s="363">
        <f t="shared" si="4"/>
        <v>43128.192000000003</v>
      </c>
      <c r="X22" s="363">
        <f t="shared" si="5"/>
        <v>2128.768</v>
      </c>
      <c r="Y22" s="10" t="b">
        <f t="shared" si="6"/>
        <v>1</v>
      </c>
      <c r="Z22" s="363"/>
    </row>
    <row r="23" spans="1:26">
      <c r="A23" s="2" t="s">
        <v>95</v>
      </c>
      <c r="B23" s="16">
        <f t="shared" ref="B23:N23" si="24">B93*0.8</f>
        <v>338587.45600000001</v>
      </c>
      <c r="C23" s="16">
        <f t="shared" si="24"/>
        <v>72213.2</v>
      </c>
      <c r="D23" s="16">
        <f t="shared" si="24"/>
        <v>11487.216</v>
      </c>
      <c r="E23" s="16">
        <f t="shared" si="24"/>
        <v>7708.4720000000007</v>
      </c>
      <c r="F23" s="16">
        <f t="shared" si="24"/>
        <v>444211.99200000003</v>
      </c>
      <c r="G23" s="16">
        <f t="shared" si="24"/>
        <v>15303.552</v>
      </c>
      <c r="H23" s="16">
        <f t="shared" si="24"/>
        <v>10406.168</v>
      </c>
      <c r="I23" s="16">
        <f t="shared" si="24"/>
        <v>615.88</v>
      </c>
      <c r="J23" s="16">
        <f t="shared" si="24"/>
        <v>16880.376</v>
      </c>
      <c r="K23" s="16">
        <f t="shared" si="24"/>
        <v>1739.0400000000002</v>
      </c>
      <c r="L23" s="16">
        <f t="shared" si="24"/>
        <v>347.80799999999999</v>
      </c>
      <c r="M23" s="16">
        <f t="shared" si="24"/>
        <v>0</v>
      </c>
      <c r="N23" s="16">
        <f t="shared" si="24"/>
        <v>862.24</v>
      </c>
      <c r="O23" s="16">
        <f t="shared" si="22"/>
        <v>0</v>
      </c>
      <c r="P23" s="16">
        <f t="shared" ref="P23:Q28" si="25">P93*0.8</f>
        <v>0</v>
      </c>
      <c r="Q23" s="16">
        <f t="shared" si="25"/>
        <v>0</v>
      </c>
      <c r="R23" s="8">
        <f t="shared" si="1"/>
        <v>920363.40000000014</v>
      </c>
      <c r="S23" s="363">
        <f t="shared" si="3"/>
        <v>338587.45600000001</v>
      </c>
      <c r="T23" s="363">
        <f t="shared" si="3"/>
        <v>72213.2</v>
      </c>
      <c r="U23" s="363">
        <f t="shared" si="3"/>
        <v>11487.216</v>
      </c>
      <c r="V23" s="363">
        <f t="shared" si="3"/>
        <v>7708.4720000000007</v>
      </c>
      <c r="W23" s="363">
        <f t="shared" si="4"/>
        <v>459515.54400000005</v>
      </c>
      <c r="X23" s="363">
        <f t="shared" si="5"/>
        <v>30851.512000000002</v>
      </c>
      <c r="Y23" s="10" t="b">
        <f t="shared" si="6"/>
        <v>1</v>
      </c>
      <c r="Z23" s="363"/>
    </row>
    <row r="24" spans="1:26">
      <c r="A24" s="2" t="s">
        <v>96</v>
      </c>
      <c r="B24" s="16">
        <f t="shared" ref="B24:N24" si="26">B94*0.8</f>
        <v>57831.776000000005</v>
      </c>
      <c r="C24" s="16">
        <f t="shared" si="26"/>
        <v>17679.295999999998</v>
      </c>
      <c r="D24" s="16">
        <f t="shared" si="26"/>
        <v>202.89600000000002</v>
      </c>
      <c r="E24" s="16">
        <f t="shared" si="26"/>
        <v>475.01600000000002</v>
      </c>
      <c r="F24" s="16">
        <f t="shared" si="26"/>
        <v>69648.552000000011</v>
      </c>
      <c r="G24" s="16">
        <f t="shared" si="26"/>
        <v>2173.8000000000002</v>
      </c>
      <c r="H24" s="16">
        <f t="shared" si="26"/>
        <v>3286.12</v>
      </c>
      <c r="I24" s="16">
        <f t="shared" si="26"/>
        <v>5575.0800000000008</v>
      </c>
      <c r="J24" s="16">
        <f t="shared" si="26"/>
        <v>3743.2719999999995</v>
      </c>
      <c r="K24" s="16">
        <f t="shared" si="26"/>
        <v>260.85599999999999</v>
      </c>
      <c r="L24" s="16">
        <f t="shared" si="26"/>
        <v>0</v>
      </c>
      <c r="M24" s="16">
        <f t="shared" si="26"/>
        <v>0</v>
      </c>
      <c r="N24" s="16">
        <f t="shared" si="26"/>
        <v>126.80000000000001</v>
      </c>
      <c r="O24" s="16">
        <f t="shared" si="22"/>
        <v>0</v>
      </c>
      <c r="P24" s="16">
        <f t="shared" si="25"/>
        <v>0</v>
      </c>
      <c r="Q24" s="16">
        <f t="shared" si="25"/>
        <v>0</v>
      </c>
      <c r="R24" s="8">
        <f t="shared" si="1"/>
        <v>161003.46399999998</v>
      </c>
      <c r="S24" s="363">
        <f t="shared" si="3"/>
        <v>57831.776000000005</v>
      </c>
      <c r="T24" s="363">
        <f t="shared" si="3"/>
        <v>17679.295999999998</v>
      </c>
      <c r="U24" s="363">
        <f t="shared" si="3"/>
        <v>202.89600000000002</v>
      </c>
      <c r="V24" s="363">
        <f t="shared" si="3"/>
        <v>475.01600000000002</v>
      </c>
      <c r="W24" s="363">
        <f t="shared" si="4"/>
        <v>71822.352000000014</v>
      </c>
      <c r="X24" s="363">
        <f t="shared" si="5"/>
        <v>12992.127999999999</v>
      </c>
      <c r="Y24" s="10" t="b">
        <f t="shared" si="6"/>
        <v>1</v>
      </c>
      <c r="Z24" s="363"/>
    </row>
    <row r="25" spans="1:26">
      <c r="A25" s="2" t="s">
        <v>97</v>
      </c>
      <c r="B25" s="16">
        <f t="shared" ref="B25:N25" si="27">B95*0.8</f>
        <v>349032.26400000002</v>
      </c>
      <c r="C25" s="16">
        <f t="shared" si="27"/>
        <v>81205</v>
      </c>
      <c r="D25" s="16">
        <f t="shared" si="27"/>
        <v>9877.4720000000016</v>
      </c>
      <c r="E25" s="16">
        <f t="shared" si="27"/>
        <v>17939.935999999998</v>
      </c>
      <c r="F25" s="16">
        <f t="shared" si="27"/>
        <v>656487.60000000009</v>
      </c>
      <c r="G25" s="16">
        <f t="shared" si="27"/>
        <v>12173.279999999999</v>
      </c>
      <c r="H25" s="16">
        <f t="shared" si="27"/>
        <v>14818.72</v>
      </c>
      <c r="I25" s="16">
        <f t="shared" si="27"/>
        <v>985.62400000000002</v>
      </c>
      <c r="J25" s="16">
        <f t="shared" si="27"/>
        <v>20682.480000000003</v>
      </c>
      <c r="K25" s="16">
        <f t="shared" si="27"/>
        <v>2608.56</v>
      </c>
      <c r="L25" s="16">
        <f t="shared" si="27"/>
        <v>347.80799999999999</v>
      </c>
      <c r="M25" s="16">
        <f t="shared" si="27"/>
        <v>280.23200000000003</v>
      </c>
      <c r="N25" s="16">
        <f t="shared" si="27"/>
        <v>735.44</v>
      </c>
      <c r="O25" s="16">
        <f t="shared" si="22"/>
        <v>0</v>
      </c>
      <c r="P25" s="16">
        <f t="shared" si="25"/>
        <v>0</v>
      </c>
      <c r="Q25" s="16">
        <f t="shared" si="25"/>
        <v>0</v>
      </c>
      <c r="R25" s="8">
        <f t="shared" si="1"/>
        <v>1167174.4160000002</v>
      </c>
      <c r="S25" s="363">
        <f t="shared" si="3"/>
        <v>349032.26400000002</v>
      </c>
      <c r="T25" s="363">
        <f t="shared" si="3"/>
        <v>81205</v>
      </c>
      <c r="U25" s="363">
        <f t="shared" si="3"/>
        <v>9877.4720000000016</v>
      </c>
      <c r="V25" s="363">
        <f t="shared" si="3"/>
        <v>17939.935999999998</v>
      </c>
      <c r="W25" s="363">
        <f t="shared" si="4"/>
        <v>668660.88000000012</v>
      </c>
      <c r="X25" s="363">
        <f t="shared" si="5"/>
        <v>40458.864000000001</v>
      </c>
      <c r="Y25" s="10" t="b">
        <f t="shared" si="6"/>
        <v>1</v>
      </c>
      <c r="Z25" s="363"/>
    </row>
    <row r="26" spans="1:26">
      <c r="A26" s="2" t="s">
        <v>98</v>
      </c>
      <c r="B26" s="16">
        <f t="shared" ref="B26:N26" si="28">B96*0.8</f>
        <v>28183.608000000004</v>
      </c>
      <c r="C26" s="16">
        <f t="shared" si="28"/>
        <v>15040.512000000001</v>
      </c>
      <c r="D26" s="16">
        <f t="shared" si="28"/>
        <v>557.95200000000011</v>
      </c>
      <c r="E26" s="16">
        <f t="shared" si="28"/>
        <v>1973.9840000000002</v>
      </c>
      <c r="F26" s="16">
        <f t="shared" si="28"/>
        <v>69735.504000000001</v>
      </c>
      <c r="G26" s="16">
        <f t="shared" si="28"/>
        <v>1825.9920000000002</v>
      </c>
      <c r="H26" s="16">
        <f t="shared" si="28"/>
        <v>1464.5360000000003</v>
      </c>
      <c r="I26" s="16">
        <f t="shared" si="28"/>
        <v>0</v>
      </c>
      <c r="J26" s="16">
        <f t="shared" si="28"/>
        <v>3513.6559999999999</v>
      </c>
      <c r="K26" s="16">
        <f t="shared" si="28"/>
        <v>173.904</v>
      </c>
      <c r="L26" s="16">
        <f t="shared" si="28"/>
        <v>0</v>
      </c>
      <c r="M26" s="16">
        <f t="shared" si="28"/>
        <v>0</v>
      </c>
      <c r="N26" s="16">
        <f t="shared" si="28"/>
        <v>25.36</v>
      </c>
      <c r="O26" s="16">
        <f t="shared" si="22"/>
        <v>0</v>
      </c>
      <c r="P26" s="16">
        <f t="shared" si="25"/>
        <v>0</v>
      </c>
      <c r="Q26" s="16">
        <f t="shared" si="25"/>
        <v>0</v>
      </c>
      <c r="R26" s="8">
        <f t="shared" si="1"/>
        <v>122495.008</v>
      </c>
      <c r="S26" s="363">
        <f t="shared" si="3"/>
        <v>28183.608000000004</v>
      </c>
      <c r="T26" s="363">
        <f t="shared" si="3"/>
        <v>15040.512000000001</v>
      </c>
      <c r="U26" s="363">
        <f t="shared" si="3"/>
        <v>557.95200000000011</v>
      </c>
      <c r="V26" s="363">
        <f t="shared" si="3"/>
        <v>1973.9840000000002</v>
      </c>
      <c r="W26" s="363">
        <f t="shared" si="4"/>
        <v>71561.495999999999</v>
      </c>
      <c r="X26" s="363">
        <f t="shared" si="5"/>
        <v>5177.4559999999992</v>
      </c>
      <c r="Y26" s="10" t="b">
        <f t="shared" si="6"/>
        <v>1</v>
      </c>
      <c r="Z26" s="363"/>
    </row>
    <row r="27" spans="1:26">
      <c r="A27" s="2" t="s">
        <v>99</v>
      </c>
      <c r="B27" s="16">
        <f t="shared" ref="B27:N27" si="29">B97*0.8</f>
        <v>4868.6959999999999</v>
      </c>
      <c r="C27" s="16">
        <f t="shared" si="29"/>
        <v>201.72800000000001</v>
      </c>
      <c r="D27" s="16">
        <f t="shared" si="29"/>
        <v>20.288</v>
      </c>
      <c r="E27" s="16">
        <f t="shared" si="29"/>
        <v>0</v>
      </c>
      <c r="F27" s="16">
        <f t="shared" si="29"/>
        <v>12173.28</v>
      </c>
      <c r="G27" s="16">
        <f t="shared" si="29"/>
        <v>86.951999999999998</v>
      </c>
      <c r="H27" s="16">
        <f t="shared" si="29"/>
        <v>13.719999999999999</v>
      </c>
      <c r="I27" s="16">
        <f t="shared" si="29"/>
        <v>0</v>
      </c>
      <c r="J27" s="16">
        <f t="shared" si="29"/>
        <v>43.088000000000001</v>
      </c>
      <c r="K27" s="16">
        <f t="shared" si="29"/>
        <v>347.80799999999999</v>
      </c>
      <c r="L27" s="16">
        <f t="shared" si="29"/>
        <v>0</v>
      </c>
      <c r="M27" s="16">
        <f t="shared" si="29"/>
        <v>0</v>
      </c>
      <c r="N27" s="16">
        <f t="shared" si="29"/>
        <v>25.36</v>
      </c>
      <c r="O27" s="16">
        <f t="shared" si="22"/>
        <v>0</v>
      </c>
      <c r="P27" s="16">
        <f t="shared" si="25"/>
        <v>0</v>
      </c>
      <c r="Q27" s="16">
        <f t="shared" si="25"/>
        <v>0</v>
      </c>
      <c r="R27" s="8">
        <f t="shared" si="1"/>
        <v>17780.920000000002</v>
      </c>
      <c r="S27" s="363">
        <f t="shared" si="3"/>
        <v>4868.6959999999999</v>
      </c>
      <c r="T27" s="363">
        <f t="shared" si="3"/>
        <v>201.72800000000001</v>
      </c>
      <c r="U27" s="363">
        <f t="shared" si="3"/>
        <v>20.288</v>
      </c>
      <c r="V27" s="363">
        <f t="shared" si="3"/>
        <v>0</v>
      </c>
      <c r="W27" s="363">
        <f t="shared" si="4"/>
        <v>12260.232</v>
      </c>
      <c r="X27" s="363">
        <f t="shared" si="5"/>
        <v>429.976</v>
      </c>
      <c r="Y27" s="10" t="b">
        <f t="shared" si="6"/>
        <v>1</v>
      </c>
      <c r="Z27" s="363"/>
    </row>
    <row r="28" spans="1:26">
      <c r="A28" s="2" t="s">
        <v>100</v>
      </c>
      <c r="B28" s="16">
        <f t="shared" ref="B28:N28" si="30">B98*0.8</f>
        <v>262753.00800000003</v>
      </c>
      <c r="C28" s="16">
        <f t="shared" si="30"/>
        <v>58745.464000000007</v>
      </c>
      <c r="D28" s="16">
        <f t="shared" si="30"/>
        <v>9168.2880000000005</v>
      </c>
      <c r="E28" s="16">
        <f t="shared" si="30"/>
        <v>22138.063999999998</v>
      </c>
      <c r="F28" s="16">
        <f t="shared" si="30"/>
        <v>436585.99200000003</v>
      </c>
      <c r="G28" s="16">
        <f t="shared" si="30"/>
        <v>4173.6960000000008</v>
      </c>
      <c r="H28" s="16">
        <f t="shared" si="30"/>
        <v>11625.744000000001</v>
      </c>
      <c r="I28" s="16">
        <f t="shared" si="30"/>
        <v>1014.4639999999999</v>
      </c>
      <c r="J28" s="16">
        <f t="shared" si="30"/>
        <v>17161.672000000002</v>
      </c>
      <c r="K28" s="16">
        <f t="shared" si="30"/>
        <v>1825.992</v>
      </c>
      <c r="L28" s="16">
        <f t="shared" si="30"/>
        <v>173.904</v>
      </c>
      <c r="M28" s="16">
        <f t="shared" si="30"/>
        <v>2028.9279999999999</v>
      </c>
      <c r="N28" s="16">
        <f t="shared" si="30"/>
        <v>710.08</v>
      </c>
      <c r="O28" s="16">
        <f t="shared" si="22"/>
        <v>0</v>
      </c>
      <c r="P28" s="16">
        <f t="shared" si="25"/>
        <v>0</v>
      </c>
      <c r="Q28" s="16">
        <f t="shared" si="25"/>
        <v>0</v>
      </c>
      <c r="R28" s="8">
        <f t="shared" si="1"/>
        <v>828105.29599999997</v>
      </c>
      <c r="S28" s="363">
        <f t="shared" si="3"/>
        <v>262753.00800000003</v>
      </c>
      <c r="T28" s="363">
        <f t="shared" si="3"/>
        <v>58745.464000000007</v>
      </c>
      <c r="U28" s="363">
        <f t="shared" si="3"/>
        <v>9168.2880000000005</v>
      </c>
      <c r="V28" s="363">
        <f t="shared" si="3"/>
        <v>22138.063999999998</v>
      </c>
      <c r="W28" s="363">
        <f t="shared" si="4"/>
        <v>440759.68800000002</v>
      </c>
      <c r="X28" s="363">
        <f t="shared" si="5"/>
        <v>34540.784</v>
      </c>
      <c r="Y28" s="10" t="b">
        <f t="shared" si="6"/>
        <v>1</v>
      </c>
      <c r="Z28" s="363"/>
    </row>
    <row r="29" spans="1:26">
      <c r="A29" s="2" t="s">
        <v>101</v>
      </c>
      <c r="B29" s="16">
        <f t="shared" ref="B29:N29" si="31">B99*0.8</f>
        <v>1289127.952</v>
      </c>
      <c r="C29" s="16">
        <f t="shared" si="31"/>
        <v>345118.984</v>
      </c>
      <c r="D29" s="16">
        <f t="shared" si="31"/>
        <v>29190.528000000006</v>
      </c>
      <c r="E29" s="16">
        <f t="shared" si="31"/>
        <v>56751.528000000006</v>
      </c>
      <c r="F29" s="16">
        <f t="shared" si="31"/>
        <v>2405787.9360000002</v>
      </c>
      <c r="G29" s="16">
        <f t="shared" si="31"/>
        <v>28433.304000000004</v>
      </c>
      <c r="H29" s="16">
        <f t="shared" si="31"/>
        <v>86698.296000000002</v>
      </c>
      <c r="I29" s="16">
        <f t="shared" si="31"/>
        <v>5353.5360000000001</v>
      </c>
      <c r="J29" s="16">
        <f t="shared" si="31"/>
        <v>85277.936000000002</v>
      </c>
      <c r="K29" s="16">
        <f t="shared" si="31"/>
        <v>4869.3120000000008</v>
      </c>
      <c r="L29" s="16">
        <f t="shared" si="31"/>
        <v>173.904</v>
      </c>
      <c r="M29" s="16">
        <f t="shared" si="31"/>
        <v>0</v>
      </c>
      <c r="N29" s="16">
        <f t="shared" si="31"/>
        <v>3727.92</v>
      </c>
      <c r="O29" s="16">
        <f t="shared" si="22"/>
        <v>0</v>
      </c>
      <c r="P29" s="16">
        <f>P99</f>
        <v>0</v>
      </c>
      <c r="Q29" s="16">
        <f>Q99</f>
        <v>0</v>
      </c>
      <c r="R29" s="8">
        <f t="shared" si="1"/>
        <v>4340511.1359999999</v>
      </c>
      <c r="S29" s="363">
        <f t="shared" si="3"/>
        <v>1289127.952</v>
      </c>
      <c r="T29" s="363">
        <f t="shared" si="3"/>
        <v>345118.984</v>
      </c>
      <c r="U29" s="363">
        <f t="shared" si="3"/>
        <v>29190.528000000006</v>
      </c>
      <c r="V29" s="363">
        <f t="shared" si="3"/>
        <v>56751.528000000006</v>
      </c>
      <c r="W29" s="363">
        <f t="shared" si="4"/>
        <v>2434221.2400000002</v>
      </c>
      <c r="X29" s="363">
        <f t="shared" si="5"/>
        <v>186100.90400000001</v>
      </c>
      <c r="Y29" s="10" t="b">
        <f t="shared" si="6"/>
        <v>1</v>
      </c>
      <c r="Z29" s="363"/>
    </row>
    <row r="30" spans="1:26">
      <c r="A30" s="2" t="s">
        <v>102</v>
      </c>
      <c r="B30" s="16">
        <f t="shared" ref="B30:N30" si="32">B100*0.8</f>
        <v>32430.576000000001</v>
      </c>
      <c r="C30" s="16">
        <f t="shared" si="32"/>
        <v>10193.976000000001</v>
      </c>
      <c r="D30" s="16">
        <f t="shared" si="32"/>
        <v>913.024</v>
      </c>
      <c r="E30" s="16">
        <f t="shared" si="32"/>
        <v>1194.6479999999999</v>
      </c>
      <c r="F30" s="16">
        <f t="shared" si="32"/>
        <v>63561.912000000004</v>
      </c>
      <c r="G30" s="16">
        <f t="shared" si="32"/>
        <v>956.47200000000021</v>
      </c>
      <c r="H30" s="16">
        <f t="shared" si="32"/>
        <v>1574.328</v>
      </c>
      <c r="I30" s="16">
        <f t="shared" si="32"/>
        <v>0</v>
      </c>
      <c r="J30" s="16">
        <f t="shared" si="32"/>
        <v>2317.904</v>
      </c>
      <c r="K30" s="16">
        <f t="shared" si="32"/>
        <v>173.904</v>
      </c>
      <c r="L30" s="16">
        <f t="shared" si="32"/>
        <v>0</v>
      </c>
      <c r="M30" s="16">
        <f t="shared" si="32"/>
        <v>0</v>
      </c>
      <c r="N30" s="16">
        <f t="shared" si="32"/>
        <v>101.44</v>
      </c>
      <c r="O30" s="16">
        <f t="shared" si="22"/>
        <v>0</v>
      </c>
      <c r="P30" s="16">
        <f>P100*0.8</f>
        <v>0</v>
      </c>
      <c r="Q30" s="16">
        <f>Q100*0.8</f>
        <v>0</v>
      </c>
      <c r="R30" s="8">
        <f t="shared" si="1"/>
        <v>113418.18399999998</v>
      </c>
      <c r="S30" s="363">
        <f t="shared" si="3"/>
        <v>32430.576000000001</v>
      </c>
      <c r="T30" s="363">
        <f t="shared" si="3"/>
        <v>10193.976000000001</v>
      </c>
      <c r="U30" s="363">
        <f t="shared" si="3"/>
        <v>913.024</v>
      </c>
      <c r="V30" s="363">
        <f t="shared" si="3"/>
        <v>1194.6479999999999</v>
      </c>
      <c r="W30" s="363">
        <f t="shared" si="4"/>
        <v>64518.384000000005</v>
      </c>
      <c r="X30" s="363">
        <f t="shared" si="5"/>
        <v>4167.576</v>
      </c>
      <c r="Y30" s="10" t="b">
        <f t="shared" si="6"/>
        <v>1</v>
      </c>
      <c r="Z30" s="363"/>
    </row>
    <row r="31" spans="1:26">
      <c r="A31" s="2" t="s">
        <v>103</v>
      </c>
      <c r="B31" s="16">
        <f t="shared" ref="B31:N31" si="33">B101*0.8</f>
        <v>21321.328000000001</v>
      </c>
      <c r="C31" s="16">
        <f t="shared" si="33"/>
        <v>5162.6480000000001</v>
      </c>
      <c r="D31" s="16">
        <f t="shared" si="33"/>
        <v>963.75200000000007</v>
      </c>
      <c r="E31" s="16">
        <f t="shared" si="33"/>
        <v>2451.0240000000003</v>
      </c>
      <c r="F31" s="16">
        <f t="shared" si="33"/>
        <v>39737.064000000006</v>
      </c>
      <c r="G31" s="16">
        <f t="shared" si="33"/>
        <v>1565.1360000000002</v>
      </c>
      <c r="H31" s="16">
        <f t="shared" si="33"/>
        <v>886.71199999999999</v>
      </c>
      <c r="I31" s="16">
        <f t="shared" si="33"/>
        <v>0</v>
      </c>
      <c r="J31" s="16">
        <f t="shared" si="33"/>
        <v>1640.5520000000001</v>
      </c>
      <c r="K31" s="16">
        <f t="shared" si="33"/>
        <v>86.951999999999998</v>
      </c>
      <c r="L31" s="16">
        <f t="shared" si="33"/>
        <v>0</v>
      </c>
      <c r="M31" s="16">
        <f t="shared" si="33"/>
        <v>0</v>
      </c>
      <c r="N31" s="16">
        <f t="shared" si="33"/>
        <v>50.72</v>
      </c>
      <c r="O31" s="16">
        <f t="shared" si="22"/>
        <v>0</v>
      </c>
      <c r="P31" s="16">
        <f>P101*0.8</f>
        <v>0</v>
      </c>
      <c r="Q31" s="16">
        <f>Q101*0.8</f>
        <v>0</v>
      </c>
      <c r="R31" s="8">
        <f t="shared" si="1"/>
        <v>73865.888000000006</v>
      </c>
      <c r="S31" s="363">
        <f t="shared" si="3"/>
        <v>21321.328000000001</v>
      </c>
      <c r="T31" s="363">
        <f t="shared" si="3"/>
        <v>5162.6480000000001</v>
      </c>
      <c r="U31" s="363">
        <f t="shared" si="3"/>
        <v>963.75200000000007</v>
      </c>
      <c r="V31" s="363">
        <f t="shared" si="3"/>
        <v>2451.0240000000003</v>
      </c>
      <c r="W31" s="363">
        <f t="shared" si="4"/>
        <v>41302.200000000004</v>
      </c>
      <c r="X31" s="363">
        <f t="shared" si="5"/>
        <v>2664.9360000000001</v>
      </c>
      <c r="Y31" s="10" t="b">
        <f t="shared" si="6"/>
        <v>1</v>
      </c>
      <c r="Z31" s="363"/>
    </row>
    <row r="32" spans="1:26">
      <c r="A32" s="4" t="s">
        <v>37</v>
      </c>
      <c r="B32" s="5">
        <f t="shared" ref="B32:X32" si="34">SUM(B5:B31)</f>
        <v>4215646.8319999995</v>
      </c>
      <c r="C32" s="5">
        <f t="shared" si="34"/>
        <v>1085070.8800000001</v>
      </c>
      <c r="D32" s="5">
        <f t="shared" si="34"/>
        <v>111453.84800000001</v>
      </c>
      <c r="E32" s="5">
        <f t="shared" si="34"/>
        <v>197974.60799999998</v>
      </c>
      <c r="F32" s="5">
        <f t="shared" si="34"/>
        <v>6843594.0720000006</v>
      </c>
      <c r="G32" s="5">
        <f t="shared" si="34"/>
        <v>140114.864</v>
      </c>
      <c r="H32" s="5">
        <f t="shared" si="34"/>
        <v>210139.53600000005</v>
      </c>
      <c r="I32" s="5">
        <f t="shared" si="34"/>
        <v>24661.112000000001</v>
      </c>
      <c r="J32" s="5">
        <f t="shared" si="34"/>
        <v>268281.66399999999</v>
      </c>
      <c r="K32" s="5">
        <f t="shared" si="34"/>
        <v>25129.128000000001</v>
      </c>
      <c r="L32" s="5">
        <f t="shared" si="34"/>
        <v>2260.752</v>
      </c>
      <c r="M32" s="5">
        <f t="shared" si="34"/>
        <v>4110.4719999999998</v>
      </c>
      <c r="N32" s="5">
        <f t="shared" si="34"/>
        <v>10346.880000000001</v>
      </c>
      <c r="O32" s="5">
        <f>SUM(O5:O31)</f>
        <v>0</v>
      </c>
      <c r="P32" s="5">
        <f t="shared" si="34"/>
        <v>17</v>
      </c>
      <c r="Q32" s="5">
        <f t="shared" si="34"/>
        <v>0</v>
      </c>
      <c r="R32" s="5">
        <f t="shared" si="34"/>
        <v>13138801.648</v>
      </c>
      <c r="S32" s="363">
        <f t="shared" si="34"/>
        <v>4215646.8319999995</v>
      </c>
      <c r="T32" s="363">
        <f t="shared" si="34"/>
        <v>1085070.8800000001</v>
      </c>
      <c r="U32" s="363">
        <f t="shared" si="34"/>
        <v>111453.84800000001</v>
      </c>
      <c r="V32" s="363">
        <f t="shared" si="34"/>
        <v>197974.60799999998</v>
      </c>
      <c r="W32" s="363">
        <f t="shared" si="34"/>
        <v>6983708.9359999998</v>
      </c>
      <c r="X32" s="363">
        <f t="shared" si="34"/>
        <v>544946.54400000011</v>
      </c>
      <c r="Y32" s="10" t="b">
        <f t="shared" si="6"/>
        <v>1</v>
      </c>
      <c r="Z32" s="363"/>
    </row>
    <row r="33" spans="1:26">
      <c r="A33" s="351" t="s">
        <v>48</v>
      </c>
      <c r="B33" s="352"/>
      <c r="C33" s="353"/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3"/>
      <c r="Q33" s="353"/>
      <c r="R33" s="352"/>
      <c r="Z33" s="363"/>
    </row>
    <row r="34" spans="1:26">
      <c r="A34" s="364"/>
      <c r="B34" s="364"/>
      <c r="C34" s="365"/>
      <c r="D34" s="365"/>
      <c r="E34" s="365"/>
      <c r="F34" s="365"/>
      <c r="G34" s="365"/>
      <c r="H34" s="365"/>
      <c r="I34" s="365"/>
      <c r="J34" s="365"/>
      <c r="K34" s="365"/>
      <c r="L34" s="365"/>
      <c r="M34" s="365"/>
      <c r="N34" s="365"/>
      <c r="O34" s="365"/>
      <c r="P34" s="365"/>
      <c r="Q34" s="365"/>
      <c r="R34" s="366"/>
    </row>
    <row r="35" spans="1:26">
      <c r="A35" s="358"/>
      <c r="B35" s="358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60"/>
    </row>
    <row r="36" spans="1:26">
      <c r="A36" s="367"/>
      <c r="B36" s="367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9"/>
    </row>
    <row r="37" spans="1:26" ht="46.5">
      <c r="A37" s="837" t="s">
        <v>59</v>
      </c>
      <c r="B37" s="838"/>
      <c r="C37" s="838"/>
      <c r="D37" s="838"/>
      <c r="E37" s="838"/>
      <c r="F37" s="838"/>
      <c r="G37" s="838"/>
      <c r="H37" s="838"/>
      <c r="I37" s="838"/>
      <c r="J37" s="838"/>
      <c r="K37" s="838"/>
      <c r="L37" s="838"/>
      <c r="M37" s="838"/>
      <c r="N37" s="838"/>
      <c r="O37" s="838"/>
      <c r="P37" s="838"/>
      <c r="Q37" s="838"/>
      <c r="R37" s="839"/>
    </row>
    <row r="38" spans="1:26" s="372" customFormat="1" ht="35.1" customHeight="1">
      <c r="A38" s="835" t="s">
        <v>33</v>
      </c>
      <c r="B38" s="833" t="s">
        <v>27</v>
      </c>
      <c r="C38" s="834"/>
      <c r="D38" s="833" t="s">
        <v>29</v>
      </c>
      <c r="E38" s="834"/>
      <c r="F38" s="835" t="s">
        <v>28</v>
      </c>
      <c r="G38" s="835" t="s">
        <v>36</v>
      </c>
      <c r="H38" s="835" t="s">
        <v>30</v>
      </c>
      <c r="I38" s="835" t="s">
        <v>31</v>
      </c>
      <c r="J38" s="835" t="s">
        <v>41</v>
      </c>
      <c r="K38" s="835" t="s">
        <v>35</v>
      </c>
      <c r="L38" s="835" t="s">
        <v>40</v>
      </c>
      <c r="M38" s="835" t="s">
        <v>42</v>
      </c>
      <c r="N38" s="835" t="s">
        <v>45</v>
      </c>
      <c r="O38" s="835" t="s">
        <v>279</v>
      </c>
      <c r="P38" s="833" t="s">
        <v>49</v>
      </c>
      <c r="Q38" s="834"/>
      <c r="R38" s="835" t="s">
        <v>34</v>
      </c>
      <c r="S38" s="357"/>
      <c r="T38" s="357"/>
      <c r="U38" s="357"/>
      <c r="V38" s="357"/>
      <c r="W38" s="357"/>
      <c r="X38" s="357"/>
      <c r="Y38" s="357"/>
    </row>
    <row r="39" spans="1:26" s="372" customFormat="1" ht="35.1" customHeight="1">
      <c r="A39" s="836"/>
      <c r="B39" s="361" t="s">
        <v>43</v>
      </c>
      <c r="C39" s="361" t="s">
        <v>44</v>
      </c>
      <c r="D39" s="361" t="s">
        <v>43</v>
      </c>
      <c r="E39" s="361" t="s">
        <v>44</v>
      </c>
      <c r="F39" s="836"/>
      <c r="G39" s="836"/>
      <c r="H39" s="836"/>
      <c r="I39" s="836"/>
      <c r="J39" s="836"/>
      <c r="K39" s="836"/>
      <c r="L39" s="836"/>
      <c r="M39" s="836"/>
      <c r="N39" s="836"/>
      <c r="O39" s="836"/>
      <c r="P39" s="362" t="s">
        <v>50</v>
      </c>
      <c r="Q39" s="362" t="s">
        <v>51</v>
      </c>
      <c r="R39" s="836"/>
      <c r="S39" s="372" t="s">
        <v>173</v>
      </c>
      <c r="T39" s="372" t="s">
        <v>291</v>
      </c>
      <c r="U39" s="372" t="s">
        <v>174</v>
      </c>
      <c r="V39" s="372" t="s">
        <v>292</v>
      </c>
      <c r="W39" s="372" t="s">
        <v>28</v>
      </c>
      <c r="X39" s="372" t="s">
        <v>175</v>
      </c>
      <c r="Y39" s="726"/>
    </row>
    <row r="40" spans="1:26">
      <c r="A40" s="2" t="s">
        <v>77</v>
      </c>
      <c r="B40" s="16">
        <f t="shared" ref="B40:Q55" si="35">B75*0.2</f>
        <v>3521.0980000000004</v>
      </c>
      <c r="C40" s="16">
        <f t="shared" si="35"/>
        <v>1775.0500000000002</v>
      </c>
      <c r="D40" s="16">
        <f t="shared" si="35"/>
        <v>180.28</v>
      </c>
      <c r="E40" s="16">
        <f t="shared" si="35"/>
        <v>218.4</v>
      </c>
      <c r="F40" s="16">
        <f t="shared" si="35"/>
        <v>4130.22</v>
      </c>
      <c r="G40" s="16">
        <f t="shared" si="35"/>
        <v>130.428</v>
      </c>
      <c r="H40" s="16">
        <f t="shared" si="35"/>
        <v>196.00200000000001</v>
      </c>
      <c r="I40" s="16">
        <f t="shared" si="35"/>
        <v>0</v>
      </c>
      <c r="J40" s="16">
        <f t="shared" si="35"/>
        <v>432.74600000000004</v>
      </c>
      <c r="K40" s="16">
        <f t="shared" si="35"/>
        <v>86.951999999999998</v>
      </c>
      <c r="L40" s="16">
        <f t="shared" si="35"/>
        <v>0</v>
      </c>
      <c r="M40" s="16">
        <f t="shared" si="35"/>
        <v>0</v>
      </c>
      <c r="N40" s="16">
        <f t="shared" si="35"/>
        <v>12.68</v>
      </c>
      <c r="O40" s="16">
        <f t="shared" si="35"/>
        <v>0</v>
      </c>
      <c r="P40" s="16">
        <f t="shared" si="35"/>
        <v>0</v>
      </c>
      <c r="Q40" s="16">
        <f t="shared" si="35"/>
        <v>0</v>
      </c>
      <c r="R40" s="8">
        <f t="shared" ref="R40:R66" si="36">SUM(B40:Q40)</f>
        <v>10683.856</v>
      </c>
      <c r="S40" s="363">
        <f>B40</f>
        <v>3521.0980000000004</v>
      </c>
      <c r="T40" s="363">
        <f>C40</f>
        <v>1775.0500000000002</v>
      </c>
      <c r="U40" s="363">
        <f>D40</f>
        <v>180.28</v>
      </c>
      <c r="V40" s="363">
        <f>E40</f>
        <v>218.4</v>
      </c>
      <c r="W40" s="363">
        <f>F40+G40</f>
        <v>4260.6480000000001</v>
      </c>
      <c r="X40" s="363">
        <f>SUM(H40:Q40)</f>
        <v>728.38</v>
      </c>
      <c r="Y40" s="10" t="b">
        <f>SUM(S40:X40)=R40</f>
        <v>1</v>
      </c>
    </row>
    <row r="41" spans="1:26">
      <c r="A41" s="2" t="s">
        <v>78</v>
      </c>
      <c r="B41" s="16">
        <f t="shared" ref="B41:Q41" si="37">B76*0.2</f>
        <v>11976.786</v>
      </c>
      <c r="C41" s="16">
        <f t="shared" si="37"/>
        <v>3157.924</v>
      </c>
      <c r="D41" s="16">
        <f t="shared" si="37"/>
        <v>198.458</v>
      </c>
      <c r="E41" s="16">
        <f t="shared" si="37"/>
        <v>140.46400000000003</v>
      </c>
      <c r="F41" s="16">
        <f t="shared" si="37"/>
        <v>18346.871999999999</v>
      </c>
      <c r="G41" s="16">
        <f t="shared" si="37"/>
        <v>260.85600000000005</v>
      </c>
      <c r="H41" s="16">
        <f t="shared" si="37"/>
        <v>594.22200000000009</v>
      </c>
      <c r="I41" s="16">
        <f t="shared" si="37"/>
        <v>0</v>
      </c>
      <c r="J41" s="16">
        <f t="shared" si="37"/>
        <v>675.154</v>
      </c>
      <c r="K41" s="16">
        <f t="shared" si="37"/>
        <v>0</v>
      </c>
      <c r="L41" s="16">
        <f t="shared" si="37"/>
        <v>0</v>
      </c>
      <c r="M41" s="16">
        <f t="shared" si="37"/>
        <v>0</v>
      </c>
      <c r="N41" s="16">
        <f t="shared" si="37"/>
        <v>25.36</v>
      </c>
      <c r="O41" s="16">
        <f t="shared" si="35"/>
        <v>0</v>
      </c>
      <c r="P41" s="16">
        <f t="shared" si="37"/>
        <v>0</v>
      </c>
      <c r="Q41" s="16">
        <f t="shared" si="37"/>
        <v>0</v>
      </c>
      <c r="R41" s="8">
        <f t="shared" si="36"/>
        <v>35376.096000000005</v>
      </c>
      <c r="S41" s="363">
        <f t="shared" ref="S41:V66" si="38">B41</f>
        <v>11976.786</v>
      </c>
      <c r="T41" s="363">
        <f t="shared" si="38"/>
        <v>3157.924</v>
      </c>
      <c r="U41" s="363">
        <f t="shared" si="38"/>
        <v>198.458</v>
      </c>
      <c r="V41" s="363">
        <f t="shared" si="38"/>
        <v>140.46400000000003</v>
      </c>
      <c r="W41" s="363">
        <f t="shared" ref="W41:W66" si="39">F41+G41</f>
        <v>18607.727999999999</v>
      </c>
      <c r="X41" s="363">
        <f t="shared" ref="X41:X66" si="40">SUM(H41:Q41)</f>
        <v>1294.7360000000001</v>
      </c>
      <c r="Y41" s="10" t="b">
        <f t="shared" ref="Y41:Y67" si="41">SUM(S41:X41)=R41</f>
        <v>1</v>
      </c>
    </row>
    <row r="42" spans="1:26">
      <c r="A42" s="2" t="s">
        <v>79</v>
      </c>
      <c r="B42" s="16">
        <f t="shared" ref="B42:Q42" si="42">B77*0.2</f>
        <v>4153.76</v>
      </c>
      <c r="C42" s="16">
        <f t="shared" si="42"/>
        <v>1812.0860000000002</v>
      </c>
      <c r="D42" s="16">
        <f t="shared" si="42"/>
        <v>492.86400000000003</v>
      </c>
      <c r="E42" s="16">
        <f t="shared" si="42"/>
        <v>424.70800000000003</v>
      </c>
      <c r="F42" s="16">
        <f t="shared" si="42"/>
        <v>6145.7880000000005</v>
      </c>
      <c r="G42" s="16">
        <f t="shared" si="42"/>
        <v>586.92600000000004</v>
      </c>
      <c r="H42" s="16">
        <f t="shared" si="42"/>
        <v>255.00200000000001</v>
      </c>
      <c r="I42" s="16">
        <f t="shared" si="42"/>
        <v>130.428</v>
      </c>
      <c r="J42" s="16">
        <f t="shared" si="42"/>
        <v>498.35200000000009</v>
      </c>
      <c r="K42" s="16">
        <f t="shared" si="42"/>
        <v>173.904</v>
      </c>
      <c r="L42" s="16">
        <f t="shared" si="42"/>
        <v>0</v>
      </c>
      <c r="M42" s="16">
        <f t="shared" si="42"/>
        <v>0</v>
      </c>
      <c r="N42" s="16">
        <f t="shared" si="42"/>
        <v>12.68</v>
      </c>
      <c r="O42" s="16">
        <f t="shared" si="35"/>
        <v>0</v>
      </c>
      <c r="P42" s="16">
        <f t="shared" si="42"/>
        <v>0</v>
      </c>
      <c r="Q42" s="16">
        <f t="shared" si="42"/>
        <v>0</v>
      </c>
      <c r="R42" s="8">
        <f t="shared" si="36"/>
        <v>14686.498000000003</v>
      </c>
      <c r="S42" s="363">
        <f t="shared" si="38"/>
        <v>4153.76</v>
      </c>
      <c r="T42" s="363">
        <f t="shared" si="38"/>
        <v>1812.0860000000002</v>
      </c>
      <c r="U42" s="363">
        <f t="shared" si="38"/>
        <v>492.86400000000003</v>
      </c>
      <c r="V42" s="363">
        <f t="shared" si="38"/>
        <v>424.70800000000003</v>
      </c>
      <c r="W42" s="363">
        <f t="shared" si="39"/>
        <v>6732.7140000000009</v>
      </c>
      <c r="X42" s="363">
        <f t="shared" si="40"/>
        <v>1070.3660000000002</v>
      </c>
      <c r="Y42" s="10" t="b">
        <f t="shared" si="41"/>
        <v>1</v>
      </c>
    </row>
    <row r="43" spans="1:26">
      <c r="A43" s="2" t="s">
        <v>80</v>
      </c>
      <c r="B43" s="16">
        <f t="shared" ref="B43:N43" si="43">B78*0.2</f>
        <v>12580.018</v>
      </c>
      <c r="C43" s="16">
        <f t="shared" si="43"/>
        <v>3237.1420000000003</v>
      </c>
      <c r="D43" s="16">
        <f t="shared" si="43"/>
        <v>483.98800000000006</v>
      </c>
      <c r="E43" s="16">
        <f t="shared" si="43"/>
        <v>387.74600000000004</v>
      </c>
      <c r="F43" s="16">
        <f t="shared" si="43"/>
        <v>14107.962</v>
      </c>
      <c r="G43" s="16">
        <f t="shared" si="43"/>
        <v>326.07000000000005</v>
      </c>
      <c r="H43" s="16">
        <f t="shared" si="43"/>
        <v>420.03000000000003</v>
      </c>
      <c r="I43" s="16">
        <f t="shared" si="43"/>
        <v>0</v>
      </c>
      <c r="J43" s="16">
        <f t="shared" si="43"/>
        <v>768.88799999999992</v>
      </c>
      <c r="K43" s="16">
        <f t="shared" si="43"/>
        <v>43.475999999999999</v>
      </c>
      <c r="L43" s="16">
        <f t="shared" si="43"/>
        <v>0</v>
      </c>
      <c r="M43" s="16">
        <f t="shared" si="43"/>
        <v>152.37800000000001</v>
      </c>
      <c r="N43" s="16">
        <f t="shared" si="43"/>
        <v>12.68</v>
      </c>
      <c r="O43" s="16">
        <f t="shared" si="35"/>
        <v>0</v>
      </c>
      <c r="P43" s="16">
        <v>0</v>
      </c>
      <c r="Q43" s="16">
        <v>0</v>
      </c>
      <c r="R43" s="8">
        <f t="shared" si="36"/>
        <v>32520.377999999997</v>
      </c>
      <c r="S43" s="363">
        <f t="shared" si="38"/>
        <v>12580.018</v>
      </c>
      <c r="T43" s="363">
        <f t="shared" si="38"/>
        <v>3237.1420000000003</v>
      </c>
      <c r="U43" s="363">
        <f t="shared" si="38"/>
        <v>483.98800000000006</v>
      </c>
      <c r="V43" s="363">
        <f t="shared" si="38"/>
        <v>387.74600000000004</v>
      </c>
      <c r="W43" s="363">
        <f t="shared" si="39"/>
        <v>14434.031999999999</v>
      </c>
      <c r="X43" s="363">
        <f t="shared" si="40"/>
        <v>1397.4519999999998</v>
      </c>
      <c r="Y43" s="10" t="b">
        <f t="shared" si="41"/>
        <v>1</v>
      </c>
    </row>
    <row r="44" spans="1:26">
      <c r="A44" s="2" t="s">
        <v>81</v>
      </c>
      <c r="B44" s="16">
        <f t="shared" ref="B44:N44" si="44">B79*0.2</f>
        <v>32399.982000000004</v>
      </c>
      <c r="C44" s="16">
        <f t="shared" si="44"/>
        <v>10142.084000000001</v>
      </c>
      <c r="D44" s="16">
        <f t="shared" si="44"/>
        <v>1324.7340000000002</v>
      </c>
      <c r="E44" s="16">
        <f t="shared" si="44"/>
        <v>2349.4639999999999</v>
      </c>
      <c r="F44" s="16">
        <f t="shared" si="44"/>
        <v>44084.664000000004</v>
      </c>
      <c r="G44" s="16">
        <f t="shared" si="44"/>
        <v>912.99600000000009</v>
      </c>
      <c r="H44" s="16">
        <f t="shared" si="44"/>
        <v>2116.4879999999998</v>
      </c>
      <c r="I44" s="16">
        <f t="shared" si="44"/>
        <v>0</v>
      </c>
      <c r="J44" s="16">
        <f t="shared" si="44"/>
        <v>2756.5040000000004</v>
      </c>
      <c r="K44" s="16">
        <f t="shared" si="44"/>
        <v>217.38000000000002</v>
      </c>
      <c r="L44" s="16">
        <f t="shared" si="44"/>
        <v>0</v>
      </c>
      <c r="M44" s="16">
        <f t="shared" si="44"/>
        <v>0</v>
      </c>
      <c r="N44" s="16">
        <f t="shared" si="44"/>
        <v>114.12</v>
      </c>
      <c r="O44" s="16">
        <f t="shared" si="35"/>
        <v>0</v>
      </c>
      <c r="P44" s="16">
        <f t="shared" ref="P44:Q56" si="45">P79*0.2</f>
        <v>0</v>
      </c>
      <c r="Q44" s="16">
        <f t="shared" si="45"/>
        <v>0</v>
      </c>
      <c r="R44" s="8">
        <f t="shared" si="36"/>
        <v>96418.416000000012</v>
      </c>
      <c r="S44" s="363">
        <f t="shared" si="38"/>
        <v>32399.982000000004</v>
      </c>
      <c r="T44" s="363">
        <f t="shared" si="38"/>
        <v>10142.084000000001</v>
      </c>
      <c r="U44" s="363">
        <f t="shared" si="38"/>
        <v>1324.7340000000002</v>
      </c>
      <c r="V44" s="363">
        <f t="shared" si="38"/>
        <v>2349.4639999999999</v>
      </c>
      <c r="W44" s="363">
        <f t="shared" si="39"/>
        <v>44997.66</v>
      </c>
      <c r="X44" s="363">
        <f t="shared" si="40"/>
        <v>5204.4920000000002</v>
      </c>
      <c r="Y44" s="10" t="b">
        <f t="shared" si="41"/>
        <v>1</v>
      </c>
    </row>
    <row r="45" spans="1:26">
      <c r="A45" s="2" t="s">
        <v>82</v>
      </c>
      <c r="B45" s="16">
        <f t="shared" ref="B45:N45" si="46">B80*0.2</f>
        <v>17102.096000000001</v>
      </c>
      <c r="C45" s="16">
        <f t="shared" si="46"/>
        <v>4141.1040000000003</v>
      </c>
      <c r="D45" s="16">
        <f t="shared" si="46"/>
        <v>240.93800000000002</v>
      </c>
      <c r="E45" s="16">
        <f t="shared" si="46"/>
        <v>830.60400000000016</v>
      </c>
      <c r="F45" s="16">
        <f t="shared" si="46"/>
        <v>24824.796000000002</v>
      </c>
      <c r="G45" s="16">
        <f t="shared" si="46"/>
        <v>543.45000000000005</v>
      </c>
      <c r="H45" s="16">
        <f t="shared" si="46"/>
        <v>758.57799999999997</v>
      </c>
      <c r="I45" s="16">
        <f t="shared" si="46"/>
        <v>0</v>
      </c>
      <c r="J45" s="16">
        <f t="shared" si="46"/>
        <v>1100.79</v>
      </c>
      <c r="K45" s="16">
        <f t="shared" si="46"/>
        <v>260.85599999999999</v>
      </c>
      <c r="L45" s="16">
        <f t="shared" si="46"/>
        <v>43.475999999999999</v>
      </c>
      <c r="M45" s="16">
        <f t="shared" si="46"/>
        <v>88.766000000000005</v>
      </c>
      <c r="N45" s="16">
        <f t="shared" si="46"/>
        <v>31.700000000000003</v>
      </c>
      <c r="O45" s="16">
        <f t="shared" si="35"/>
        <v>0</v>
      </c>
      <c r="P45" s="16">
        <f t="shared" si="45"/>
        <v>0</v>
      </c>
      <c r="Q45" s="16">
        <f t="shared" si="45"/>
        <v>0</v>
      </c>
      <c r="R45" s="8">
        <f t="shared" si="36"/>
        <v>49967.154000000002</v>
      </c>
      <c r="S45" s="363">
        <f t="shared" si="38"/>
        <v>17102.096000000001</v>
      </c>
      <c r="T45" s="363">
        <f t="shared" si="38"/>
        <v>4141.1040000000003</v>
      </c>
      <c r="U45" s="363">
        <f t="shared" si="38"/>
        <v>240.93800000000002</v>
      </c>
      <c r="V45" s="363">
        <f t="shared" si="38"/>
        <v>830.60400000000016</v>
      </c>
      <c r="W45" s="363">
        <f t="shared" si="39"/>
        <v>25368.246000000003</v>
      </c>
      <c r="X45" s="363">
        <f t="shared" si="40"/>
        <v>2284.1660000000002</v>
      </c>
      <c r="Y45" s="10" t="b">
        <f t="shared" si="41"/>
        <v>1</v>
      </c>
    </row>
    <row r="46" spans="1:26">
      <c r="A46" s="2" t="s">
        <v>83</v>
      </c>
      <c r="B46" s="16">
        <f t="shared" ref="B46:N46" si="47">B81*0.2</f>
        <v>31600.91</v>
      </c>
      <c r="C46" s="16">
        <f t="shared" si="47"/>
        <v>7541.0619999999999</v>
      </c>
      <c r="D46" s="16">
        <f t="shared" si="47"/>
        <v>716.89</v>
      </c>
      <c r="E46" s="16">
        <f t="shared" si="47"/>
        <v>854.27600000000007</v>
      </c>
      <c r="F46" s="16">
        <f t="shared" si="47"/>
        <v>30715.794000000002</v>
      </c>
      <c r="G46" s="16">
        <f t="shared" si="47"/>
        <v>1652.0880000000002</v>
      </c>
      <c r="H46" s="16">
        <f t="shared" si="47"/>
        <v>1107.6100000000001</v>
      </c>
      <c r="I46" s="16">
        <f t="shared" si="47"/>
        <v>0</v>
      </c>
      <c r="J46" s="16">
        <f t="shared" si="47"/>
        <v>1766.4160000000002</v>
      </c>
      <c r="K46" s="16">
        <f t="shared" si="47"/>
        <v>195.64200000000002</v>
      </c>
      <c r="L46" s="16">
        <f t="shared" si="47"/>
        <v>43.475999999999999</v>
      </c>
      <c r="M46" s="16">
        <f t="shared" si="47"/>
        <v>209.18400000000003</v>
      </c>
      <c r="N46" s="16">
        <f t="shared" si="47"/>
        <v>101.44</v>
      </c>
      <c r="O46" s="16">
        <f t="shared" si="35"/>
        <v>0</v>
      </c>
      <c r="P46" s="16">
        <f t="shared" si="45"/>
        <v>0</v>
      </c>
      <c r="Q46" s="16">
        <f t="shared" si="45"/>
        <v>0</v>
      </c>
      <c r="R46" s="8">
        <f t="shared" si="36"/>
        <v>76504.788</v>
      </c>
      <c r="S46" s="363">
        <f t="shared" si="38"/>
        <v>31600.91</v>
      </c>
      <c r="T46" s="363">
        <f t="shared" si="38"/>
        <v>7541.0619999999999</v>
      </c>
      <c r="U46" s="363">
        <f t="shared" si="38"/>
        <v>716.89</v>
      </c>
      <c r="V46" s="363">
        <f t="shared" si="38"/>
        <v>854.27600000000007</v>
      </c>
      <c r="W46" s="363">
        <f t="shared" si="39"/>
        <v>32367.882000000001</v>
      </c>
      <c r="X46" s="363">
        <f t="shared" si="40"/>
        <v>3423.7680000000005</v>
      </c>
      <c r="Y46" s="10" t="b">
        <f t="shared" si="41"/>
        <v>1</v>
      </c>
    </row>
    <row r="47" spans="1:26">
      <c r="A47" s="2" t="s">
        <v>84</v>
      </c>
      <c r="B47" s="16">
        <f t="shared" ref="B47:N47" si="48">B82*0.2</f>
        <v>27922.536</v>
      </c>
      <c r="C47" s="16">
        <f t="shared" si="48"/>
        <v>4047.4500000000003</v>
      </c>
      <c r="D47" s="16">
        <f t="shared" si="48"/>
        <v>563.45200000000011</v>
      </c>
      <c r="E47" s="16">
        <f t="shared" si="48"/>
        <v>981.572</v>
      </c>
      <c r="F47" s="16">
        <f t="shared" si="48"/>
        <v>28628.946000000004</v>
      </c>
      <c r="G47" s="16">
        <f t="shared" si="48"/>
        <v>1152.114</v>
      </c>
      <c r="H47" s="16">
        <f t="shared" si="48"/>
        <v>595.15800000000002</v>
      </c>
      <c r="I47" s="16">
        <f t="shared" si="48"/>
        <v>65.213999999999999</v>
      </c>
      <c r="J47" s="16">
        <f t="shared" si="48"/>
        <v>1038.848</v>
      </c>
      <c r="K47" s="16">
        <f t="shared" si="48"/>
        <v>86.951999999999998</v>
      </c>
      <c r="L47" s="16">
        <f t="shared" si="48"/>
        <v>43.475999999999999</v>
      </c>
      <c r="M47" s="16">
        <f t="shared" si="48"/>
        <v>0</v>
      </c>
      <c r="N47" s="16">
        <f t="shared" si="48"/>
        <v>31.700000000000003</v>
      </c>
      <c r="O47" s="16">
        <f t="shared" si="35"/>
        <v>0</v>
      </c>
      <c r="P47" s="16">
        <f t="shared" si="45"/>
        <v>0</v>
      </c>
      <c r="Q47" s="16">
        <f t="shared" si="45"/>
        <v>0</v>
      </c>
      <c r="R47" s="8">
        <f t="shared" si="36"/>
        <v>65157.418000000005</v>
      </c>
      <c r="S47" s="363">
        <f t="shared" si="38"/>
        <v>27922.536</v>
      </c>
      <c r="T47" s="363">
        <f t="shared" si="38"/>
        <v>4047.4500000000003</v>
      </c>
      <c r="U47" s="363">
        <f t="shared" si="38"/>
        <v>563.45200000000011</v>
      </c>
      <c r="V47" s="363">
        <f t="shared" si="38"/>
        <v>981.572</v>
      </c>
      <c r="W47" s="363">
        <f t="shared" si="39"/>
        <v>29781.060000000005</v>
      </c>
      <c r="X47" s="363">
        <f t="shared" si="40"/>
        <v>1861.3480000000002</v>
      </c>
      <c r="Y47" s="10" t="b">
        <f t="shared" si="41"/>
        <v>1</v>
      </c>
    </row>
    <row r="48" spans="1:26">
      <c r="A48" s="2" t="s">
        <v>85</v>
      </c>
      <c r="B48" s="16">
        <f t="shared" ref="B48:N48" si="49">B83*0.2</f>
        <v>28587.340000000004</v>
      </c>
      <c r="C48" s="16">
        <f t="shared" si="49"/>
        <v>7357.0280000000002</v>
      </c>
      <c r="D48" s="16">
        <f t="shared" si="49"/>
        <v>1095.2080000000001</v>
      </c>
      <c r="E48" s="16">
        <f t="shared" si="49"/>
        <v>1206.0260000000001</v>
      </c>
      <c r="F48" s="16">
        <f t="shared" si="49"/>
        <v>57105.726000000002</v>
      </c>
      <c r="G48" s="16">
        <f t="shared" si="49"/>
        <v>739.0920000000001</v>
      </c>
      <c r="H48" s="16">
        <f t="shared" si="49"/>
        <v>1282.1139999999998</v>
      </c>
      <c r="I48" s="16">
        <f t="shared" si="49"/>
        <v>58.77000000000001</v>
      </c>
      <c r="J48" s="16">
        <f t="shared" si="49"/>
        <v>1595.3420000000001</v>
      </c>
      <c r="K48" s="16">
        <f t="shared" si="49"/>
        <v>65.213999999999999</v>
      </c>
      <c r="L48" s="16">
        <f t="shared" si="49"/>
        <v>0</v>
      </c>
      <c r="M48" s="16">
        <f t="shared" si="49"/>
        <v>0</v>
      </c>
      <c r="N48" s="16">
        <f t="shared" si="49"/>
        <v>25.36</v>
      </c>
      <c r="O48" s="16">
        <f t="shared" si="35"/>
        <v>0</v>
      </c>
      <c r="P48" s="16">
        <f t="shared" si="45"/>
        <v>0</v>
      </c>
      <c r="Q48" s="16">
        <f t="shared" si="45"/>
        <v>0</v>
      </c>
      <c r="R48" s="8">
        <f t="shared" si="36"/>
        <v>99117.22000000003</v>
      </c>
      <c r="S48" s="363">
        <f t="shared" si="38"/>
        <v>28587.340000000004</v>
      </c>
      <c r="T48" s="363">
        <f t="shared" si="38"/>
        <v>7357.0280000000002</v>
      </c>
      <c r="U48" s="363">
        <f t="shared" si="38"/>
        <v>1095.2080000000001</v>
      </c>
      <c r="V48" s="363">
        <f t="shared" si="38"/>
        <v>1206.0260000000001</v>
      </c>
      <c r="W48" s="363">
        <f t="shared" si="39"/>
        <v>57844.817999999999</v>
      </c>
      <c r="X48" s="363">
        <f t="shared" si="40"/>
        <v>3026.7999999999997</v>
      </c>
      <c r="Y48" s="10" t="b">
        <f t="shared" si="41"/>
        <v>1</v>
      </c>
    </row>
    <row r="49" spans="1:25">
      <c r="A49" s="2" t="s">
        <v>86</v>
      </c>
      <c r="B49" s="16">
        <f t="shared" ref="B49:N49" si="50">B84*0.2</f>
        <v>9331.3060000000005</v>
      </c>
      <c r="C49" s="16">
        <f t="shared" si="50"/>
        <v>1861.86</v>
      </c>
      <c r="D49" s="16">
        <f t="shared" si="50"/>
        <v>169.078</v>
      </c>
      <c r="E49" s="16">
        <f t="shared" si="50"/>
        <v>70.960000000000008</v>
      </c>
      <c r="F49" s="16">
        <f t="shared" si="50"/>
        <v>13412.346</v>
      </c>
      <c r="G49" s="16">
        <f t="shared" si="50"/>
        <v>239.11800000000005</v>
      </c>
      <c r="H49" s="16">
        <f t="shared" si="50"/>
        <v>192.87799999999999</v>
      </c>
      <c r="I49" s="16">
        <f t="shared" si="50"/>
        <v>0</v>
      </c>
      <c r="J49" s="16">
        <f t="shared" si="50"/>
        <v>414.06000000000006</v>
      </c>
      <c r="K49" s="16">
        <f t="shared" si="50"/>
        <v>130.428</v>
      </c>
      <c r="L49" s="16">
        <f t="shared" si="50"/>
        <v>0</v>
      </c>
      <c r="M49" s="16">
        <f t="shared" si="50"/>
        <v>0</v>
      </c>
      <c r="N49" s="16">
        <f t="shared" si="50"/>
        <v>0</v>
      </c>
      <c r="O49" s="16">
        <f t="shared" si="35"/>
        <v>0</v>
      </c>
      <c r="P49" s="16">
        <f t="shared" si="45"/>
        <v>0</v>
      </c>
      <c r="Q49" s="16">
        <f t="shared" si="45"/>
        <v>0</v>
      </c>
      <c r="R49" s="8">
        <f t="shared" si="36"/>
        <v>25822.034</v>
      </c>
      <c r="S49" s="363">
        <f t="shared" si="38"/>
        <v>9331.3060000000005</v>
      </c>
      <c r="T49" s="363">
        <f t="shared" si="38"/>
        <v>1861.86</v>
      </c>
      <c r="U49" s="363">
        <f t="shared" si="38"/>
        <v>169.078</v>
      </c>
      <c r="V49" s="363">
        <f t="shared" si="38"/>
        <v>70.960000000000008</v>
      </c>
      <c r="W49" s="363">
        <f t="shared" si="39"/>
        <v>13651.464</v>
      </c>
      <c r="X49" s="363">
        <f t="shared" si="40"/>
        <v>737.3660000000001</v>
      </c>
      <c r="Y49" s="10" t="b">
        <f t="shared" si="41"/>
        <v>1</v>
      </c>
    </row>
    <row r="50" spans="1:25">
      <c r="A50" s="2" t="s">
        <v>87</v>
      </c>
      <c r="B50" s="16">
        <f t="shared" ref="B50:N50" si="51">B85*0.2</f>
        <v>28740.471999999998</v>
      </c>
      <c r="C50" s="16">
        <f t="shared" si="51"/>
        <v>3862.2480000000005</v>
      </c>
      <c r="D50" s="16">
        <f t="shared" si="51"/>
        <v>680.96199999999999</v>
      </c>
      <c r="E50" s="16">
        <f t="shared" si="51"/>
        <v>1635.0680000000002</v>
      </c>
      <c r="F50" s="16">
        <f t="shared" si="51"/>
        <v>58909.98000000001</v>
      </c>
      <c r="G50" s="16">
        <f t="shared" si="51"/>
        <v>499.97399999999999</v>
      </c>
      <c r="H50" s="16">
        <f t="shared" si="51"/>
        <v>758.28600000000006</v>
      </c>
      <c r="I50" s="16">
        <f t="shared" si="51"/>
        <v>583.03800000000001</v>
      </c>
      <c r="J50" s="16">
        <f t="shared" si="51"/>
        <v>1069.732</v>
      </c>
      <c r="K50" s="16">
        <f t="shared" si="51"/>
        <v>108.69000000000001</v>
      </c>
      <c r="L50" s="16">
        <f t="shared" si="51"/>
        <v>0</v>
      </c>
      <c r="M50" s="16">
        <f t="shared" si="51"/>
        <v>0</v>
      </c>
      <c r="N50" s="16">
        <f t="shared" si="51"/>
        <v>44.38</v>
      </c>
      <c r="O50" s="16">
        <f t="shared" si="35"/>
        <v>0</v>
      </c>
      <c r="P50" s="16">
        <f t="shared" si="45"/>
        <v>0</v>
      </c>
      <c r="Q50" s="16">
        <f t="shared" si="45"/>
        <v>0</v>
      </c>
      <c r="R50" s="8">
        <f t="shared" si="36"/>
        <v>96892.830000000031</v>
      </c>
      <c r="S50" s="363">
        <f t="shared" si="38"/>
        <v>28740.471999999998</v>
      </c>
      <c r="T50" s="363">
        <f t="shared" si="38"/>
        <v>3862.2480000000005</v>
      </c>
      <c r="U50" s="363">
        <f t="shared" si="38"/>
        <v>680.96199999999999</v>
      </c>
      <c r="V50" s="363">
        <f t="shared" si="38"/>
        <v>1635.0680000000002</v>
      </c>
      <c r="W50" s="363">
        <f t="shared" si="39"/>
        <v>59409.954000000012</v>
      </c>
      <c r="X50" s="363">
        <f t="shared" si="40"/>
        <v>2564.1260000000002</v>
      </c>
      <c r="Y50" s="10" t="b">
        <f t="shared" si="41"/>
        <v>1</v>
      </c>
    </row>
    <row r="51" spans="1:25">
      <c r="A51" s="2" t="s">
        <v>88</v>
      </c>
      <c r="B51" s="16">
        <f t="shared" ref="B51:N51" si="52">B86*0.2</f>
        <v>14487.820000000002</v>
      </c>
      <c r="C51" s="16">
        <f t="shared" si="52"/>
        <v>5564.5740000000005</v>
      </c>
      <c r="D51" s="16">
        <f t="shared" si="52"/>
        <v>618.83000000000004</v>
      </c>
      <c r="E51" s="16">
        <f t="shared" si="52"/>
        <v>2307.3360000000002</v>
      </c>
      <c r="F51" s="16">
        <f t="shared" si="52"/>
        <v>34063.446000000004</v>
      </c>
      <c r="G51" s="16">
        <f t="shared" si="52"/>
        <v>469.64400000000006</v>
      </c>
      <c r="H51" s="16">
        <f t="shared" si="52"/>
        <v>1437.5840000000001</v>
      </c>
      <c r="I51" s="16">
        <f t="shared" si="52"/>
        <v>375.26</v>
      </c>
      <c r="J51" s="16">
        <f t="shared" si="52"/>
        <v>1374.8240000000001</v>
      </c>
      <c r="K51" s="16">
        <f t="shared" si="52"/>
        <v>239.11799999999999</v>
      </c>
      <c r="L51" s="16">
        <f t="shared" si="52"/>
        <v>43.475999999999999</v>
      </c>
      <c r="M51" s="16">
        <f t="shared" si="52"/>
        <v>0</v>
      </c>
      <c r="N51" s="16">
        <f t="shared" si="52"/>
        <v>31.700000000000003</v>
      </c>
      <c r="O51" s="16">
        <f t="shared" si="35"/>
        <v>0</v>
      </c>
      <c r="P51" s="16">
        <f t="shared" si="45"/>
        <v>4.25</v>
      </c>
      <c r="Q51" s="16">
        <f t="shared" si="45"/>
        <v>0</v>
      </c>
      <c r="R51" s="8">
        <f t="shared" si="36"/>
        <v>61017.862000000016</v>
      </c>
      <c r="S51" s="363">
        <f t="shared" si="38"/>
        <v>14487.820000000002</v>
      </c>
      <c r="T51" s="363">
        <f t="shared" si="38"/>
        <v>5564.5740000000005</v>
      </c>
      <c r="U51" s="363">
        <f t="shared" si="38"/>
        <v>618.83000000000004</v>
      </c>
      <c r="V51" s="363">
        <f t="shared" si="38"/>
        <v>2307.3360000000002</v>
      </c>
      <c r="W51" s="363">
        <f t="shared" si="39"/>
        <v>34533.090000000004</v>
      </c>
      <c r="X51" s="363">
        <f t="shared" si="40"/>
        <v>3506.212</v>
      </c>
      <c r="Y51" s="10" t="b">
        <f t="shared" si="41"/>
        <v>1</v>
      </c>
    </row>
    <row r="52" spans="1:25">
      <c r="A52" s="2" t="s">
        <v>89</v>
      </c>
      <c r="B52" s="16">
        <f t="shared" ref="B52:N52" si="53">B87*0.2</f>
        <v>104680.484</v>
      </c>
      <c r="C52" s="16">
        <f t="shared" si="53"/>
        <v>28874.95</v>
      </c>
      <c r="D52" s="16">
        <f t="shared" si="53"/>
        <v>1604.1200000000001</v>
      </c>
      <c r="E52" s="16">
        <f t="shared" si="53"/>
        <v>4370.4139999999998</v>
      </c>
      <c r="F52" s="16">
        <f t="shared" si="53"/>
        <v>107429.196</v>
      </c>
      <c r="G52" s="16">
        <f t="shared" si="53"/>
        <v>5064.9539999999997</v>
      </c>
      <c r="H52" s="16">
        <f t="shared" si="53"/>
        <v>5155.0020000000004</v>
      </c>
      <c r="I52" s="16">
        <f t="shared" si="53"/>
        <v>0</v>
      </c>
      <c r="J52" s="16">
        <f t="shared" si="53"/>
        <v>7010.9360000000006</v>
      </c>
      <c r="K52" s="16">
        <f t="shared" si="53"/>
        <v>499.97399999999999</v>
      </c>
      <c r="L52" s="16">
        <f t="shared" si="53"/>
        <v>43.475999999999999</v>
      </c>
      <c r="M52" s="16">
        <f t="shared" si="53"/>
        <v>0</v>
      </c>
      <c r="N52" s="16">
        <f t="shared" si="53"/>
        <v>253.60000000000002</v>
      </c>
      <c r="O52" s="16">
        <f t="shared" si="35"/>
        <v>0</v>
      </c>
      <c r="P52" s="16">
        <f t="shared" si="45"/>
        <v>0</v>
      </c>
      <c r="Q52" s="16">
        <f t="shared" si="45"/>
        <v>0</v>
      </c>
      <c r="R52" s="8">
        <f t="shared" si="36"/>
        <v>264987.10599999997</v>
      </c>
      <c r="S52" s="363">
        <f t="shared" si="38"/>
        <v>104680.484</v>
      </c>
      <c r="T52" s="363">
        <f t="shared" si="38"/>
        <v>28874.95</v>
      </c>
      <c r="U52" s="363">
        <f t="shared" si="38"/>
        <v>1604.1200000000001</v>
      </c>
      <c r="V52" s="363">
        <f t="shared" si="38"/>
        <v>4370.4139999999998</v>
      </c>
      <c r="W52" s="363">
        <f t="shared" si="39"/>
        <v>112494.15</v>
      </c>
      <c r="X52" s="363">
        <f t="shared" si="40"/>
        <v>12962.988000000003</v>
      </c>
      <c r="Y52" s="10" t="b">
        <f t="shared" si="41"/>
        <v>1</v>
      </c>
    </row>
    <row r="53" spans="1:25">
      <c r="A53" s="2" t="s">
        <v>90</v>
      </c>
      <c r="B53" s="16">
        <f t="shared" ref="B53:N53" si="54">B88*0.2</f>
        <v>13923.824000000001</v>
      </c>
      <c r="C53" s="16">
        <f t="shared" si="54"/>
        <v>4230.1819999999998</v>
      </c>
      <c r="D53" s="16">
        <f t="shared" si="54"/>
        <v>573.6</v>
      </c>
      <c r="E53" s="16">
        <f t="shared" si="54"/>
        <v>653.36599999999999</v>
      </c>
      <c r="F53" s="16">
        <f t="shared" si="54"/>
        <v>21151.074000000001</v>
      </c>
      <c r="G53" s="16">
        <f t="shared" si="54"/>
        <v>995.6</v>
      </c>
      <c r="H53" s="16">
        <f t="shared" si="54"/>
        <v>711.53</v>
      </c>
      <c r="I53" s="16">
        <f t="shared" si="54"/>
        <v>0</v>
      </c>
      <c r="J53" s="16">
        <f t="shared" si="54"/>
        <v>1027.5139999999999</v>
      </c>
      <c r="K53" s="16">
        <f t="shared" si="54"/>
        <v>152.16600000000003</v>
      </c>
      <c r="L53" s="16">
        <f t="shared" si="54"/>
        <v>0</v>
      </c>
      <c r="M53" s="16">
        <f t="shared" si="54"/>
        <v>0</v>
      </c>
      <c r="N53" s="16">
        <f t="shared" si="54"/>
        <v>31.700000000000003</v>
      </c>
      <c r="O53" s="16">
        <f t="shared" si="35"/>
        <v>0</v>
      </c>
      <c r="P53" s="16">
        <f t="shared" si="45"/>
        <v>0</v>
      </c>
      <c r="Q53" s="16">
        <f t="shared" si="45"/>
        <v>0</v>
      </c>
      <c r="R53" s="8">
        <f t="shared" si="36"/>
        <v>43450.555999999997</v>
      </c>
      <c r="S53" s="363">
        <f t="shared" si="38"/>
        <v>13923.824000000001</v>
      </c>
      <c r="T53" s="363">
        <f t="shared" si="38"/>
        <v>4230.1819999999998</v>
      </c>
      <c r="U53" s="363">
        <f t="shared" si="38"/>
        <v>573.6</v>
      </c>
      <c r="V53" s="363">
        <f t="shared" si="38"/>
        <v>653.36599999999999</v>
      </c>
      <c r="W53" s="363">
        <f t="shared" si="39"/>
        <v>22146.673999999999</v>
      </c>
      <c r="X53" s="363">
        <f t="shared" si="40"/>
        <v>1922.9099999999999</v>
      </c>
      <c r="Y53" s="10" t="b">
        <f t="shared" si="41"/>
        <v>1</v>
      </c>
    </row>
    <row r="54" spans="1:25">
      <c r="A54" s="2" t="s">
        <v>91</v>
      </c>
      <c r="B54" s="16">
        <f t="shared" ref="B54:N54" si="55">B89*0.2</f>
        <v>14975.372000000001</v>
      </c>
      <c r="C54" s="16">
        <f t="shared" si="55"/>
        <v>5780.35</v>
      </c>
      <c r="D54" s="16">
        <f t="shared" si="55"/>
        <v>131.03399999999999</v>
      </c>
      <c r="E54" s="16">
        <f t="shared" si="55"/>
        <v>522.47200000000009</v>
      </c>
      <c r="F54" s="16">
        <f t="shared" si="55"/>
        <v>19607.676000000003</v>
      </c>
      <c r="G54" s="16">
        <f t="shared" si="55"/>
        <v>826.0440000000001</v>
      </c>
      <c r="H54" s="16">
        <f t="shared" si="55"/>
        <v>758.65800000000002</v>
      </c>
      <c r="I54" s="16">
        <f t="shared" si="55"/>
        <v>0</v>
      </c>
      <c r="J54" s="16">
        <f t="shared" si="55"/>
        <v>1323.9760000000003</v>
      </c>
      <c r="K54" s="16">
        <f t="shared" si="55"/>
        <v>21.738</v>
      </c>
      <c r="L54" s="16">
        <f t="shared" si="55"/>
        <v>86.951999999999998</v>
      </c>
      <c r="M54" s="16">
        <f t="shared" si="55"/>
        <v>0</v>
      </c>
      <c r="N54" s="16">
        <f t="shared" si="55"/>
        <v>50.72</v>
      </c>
      <c r="O54" s="16">
        <f t="shared" si="35"/>
        <v>0</v>
      </c>
      <c r="P54" s="16">
        <f t="shared" si="45"/>
        <v>0</v>
      </c>
      <c r="Q54" s="16">
        <f t="shared" si="45"/>
        <v>0</v>
      </c>
      <c r="R54" s="8">
        <f t="shared" si="36"/>
        <v>44084.992000000013</v>
      </c>
      <c r="S54" s="363">
        <f t="shared" si="38"/>
        <v>14975.372000000001</v>
      </c>
      <c r="T54" s="363">
        <f t="shared" si="38"/>
        <v>5780.35</v>
      </c>
      <c r="U54" s="363">
        <f t="shared" si="38"/>
        <v>131.03399999999999</v>
      </c>
      <c r="V54" s="363">
        <f t="shared" si="38"/>
        <v>522.47200000000009</v>
      </c>
      <c r="W54" s="363">
        <f t="shared" si="39"/>
        <v>20433.720000000005</v>
      </c>
      <c r="X54" s="363">
        <f t="shared" si="40"/>
        <v>2242.0440000000003</v>
      </c>
      <c r="Y54" s="10" t="b">
        <f t="shared" si="41"/>
        <v>1</v>
      </c>
    </row>
    <row r="55" spans="1:25">
      <c r="A55" s="2" t="s">
        <v>92</v>
      </c>
      <c r="B55" s="16">
        <f t="shared" ref="B55:N55" si="56">B90*0.2</f>
        <v>67616.372000000003</v>
      </c>
      <c r="C55" s="16">
        <f t="shared" si="56"/>
        <v>17514.816000000003</v>
      </c>
      <c r="D55" s="16">
        <f t="shared" si="56"/>
        <v>2495.5880000000002</v>
      </c>
      <c r="E55" s="16">
        <f t="shared" si="56"/>
        <v>3232.8919999999998</v>
      </c>
      <c r="F55" s="16">
        <f t="shared" si="56"/>
        <v>131840.97</v>
      </c>
      <c r="G55" s="16">
        <f t="shared" si="56"/>
        <v>2065.11</v>
      </c>
      <c r="H55" s="16">
        <f t="shared" si="56"/>
        <v>2391.4680000000003</v>
      </c>
      <c r="I55" s="16">
        <f t="shared" si="56"/>
        <v>1007.1860000000001</v>
      </c>
      <c r="J55" s="16">
        <f t="shared" si="56"/>
        <v>4216.3660000000009</v>
      </c>
      <c r="K55" s="16">
        <f t="shared" si="56"/>
        <v>847.78200000000004</v>
      </c>
      <c r="L55" s="16">
        <f t="shared" si="56"/>
        <v>0</v>
      </c>
      <c r="M55" s="16">
        <f t="shared" si="56"/>
        <v>0</v>
      </c>
      <c r="N55" s="16">
        <f t="shared" si="56"/>
        <v>183.86</v>
      </c>
      <c r="O55" s="16">
        <f t="shared" si="35"/>
        <v>0</v>
      </c>
      <c r="P55" s="16">
        <f t="shared" si="45"/>
        <v>0</v>
      </c>
      <c r="Q55" s="16">
        <f t="shared" si="45"/>
        <v>0</v>
      </c>
      <c r="R55" s="8">
        <f t="shared" si="36"/>
        <v>233412.40999999997</v>
      </c>
      <c r="S55" s="363">
        <f t="shared" si="38"/>
        <v>67616.372000000003</v>
      </c>
      <c r="T55" s="363">
        <f t="shared" si="38"/>
        <v>17514.816000000003</v>
      </c>
      <c r="U55" s="363">
        <f t="shared" si="38"/>
        <v>2495.5880000000002</v>
      </c>
      <c r="V55" s="363">
        <f t="shared" si="38"/>
        <v>3232.8919999999998</v>
      </c>
      <c r="W55" s="363">
        <f t="shared" si="39"/>
        <v>133906.07999999999</v>
      </c>
      <c r="X55" s="363">
        <f t="shared" si="40"/>
        <v>8646.6620000000021</v>
      </c>
      <c r="Y55" s="10" t="b">
        <f t="shared" si="41"/>
        <v>1</v>
      </c>
    </row>
    <row r="56" spans="1:25">
      <c r="A56" s="2" t="s">
        <v>93</v>
      </c>
      <c r="B56" s="16">
        <f t="shared" ref="B56:O66" si="57">B91*0.2</f>
        <v>27729.200000000001</v>
      </c>
      <c r="C56" s="16">
        <f t="shared" si="57"/>
        <v>7699.9120000000003</v>
      </c>
      <c r="D56" s="16">
        <f t="shared" si="57"/>
        <v>406.63400000000001</v>
      </c>
      <c r="E56" s="16">
        <f t="shared" si="57"/>
        <v>1297.1600000000001</v>
      </c>
      <c r="F56" s="16">
        <f t="shared" si="57"/>
        <v>36628.53</v>
      </c>
      <c r="G56" s="16">
        <f t="shared" si="57"/>
        <v>1391.232</v>
      </c>
      <c r="H56" s="16">
        <f t="shared" si="57"/>
        <v>921.23800000000017</v>
      </c>
      <c r="I56" s="16">
        <f t="shared" si="57"/>
        <v>559.23599999999999</v>
      </c>
      <c r="J56" s="16">
        <f t="shared" si="57"/>
        <v>1841.992</v>
      </c>
      <c r="K56" s="16">
        <f t="shared" si="57"/>
        <v>130.428</v>
      </c>
      <c r="L56" s="16">
        <f t="shared" si="57"/>
        <v>0</v>
      </c>
      <c r="M56" s="16">
        <f t="shared" si="57"/>
        <v>0</v>
      </c>
      <c r="N56" s="16">
        <f t="shared" si="57"/>
        <v>31.700000000000003</v>
      </c>
      <c r="O56" s="16">
        <f t="shared" si="57"/>
        <v>0</v>
      </c>
      <c r="P56" s="16">
        <f t="shared" si="45"/>
        <v>0</v>
      </c>
      <c r="Q56" s="16">
        <f t="shared" si="45"/>
        <v>0</v>
      </c>
      <c r="R56" s="8">
        <f t="shared" si="36"/>
        <v>78637.262000000002</v>
      </c>
      <c r="S56" s="363">
        <f t="shared" si="38"/>
        <v>27729.200000000001</v>
      </c>
      <c r="T56" s="363">
        <f t="shared" si="38"/>
        <v>7699.9120000000003</v>
      </c>
      <c r="U56" s="363">
        <f t="shared" si="38"/>
        <v>406.63400000000001</v>
      </c>
      <c r="V56" s="363">
        <f t="shared" si="38"/>
        <v>1297.1600000000001</v>
      </c>
      <c r="W56" s="363">
        <f t="shared" si="39"/>
        <v>38019.762000000002</v>
      </c>
      <c r="X56" s="363">
        <f t="shared" si="40"/>
        <v>3484.5940000000001</v>
      </c>
      <c r="Y56" s="10" t="b">
        <f t="shared" si="41"/>
        <v>1</v>
      </c>
    </row>
    <row r="57" spans="1:25">
      <c r="A57" s="2" t="s">
        <v>94</v>
      </c>
      <c r="B57" s="16">
        <f t="shared" ref="B57:N57" si="58">B92*0.2</f>
        <v>6548.1660000000011</v>
      </c>
      <c r="C57" s="16">
        <f t="shared" si="58"/>
        <v>1277.6959999999999</v>
      </c>
      <c r="D57" s="16">
        <f t="shared" si="58"/>
        <v>291.45</v>
      </c>
      <c r="E57" s="16">
        <f t="shared" si="58"/>
        <v>352.55600000000004</v>
      </c>
      <c r="F57" s="16">
        <f t="shared" si="58"/>
        <v>10282.074000000001</v>
      </c>
      <c r="G57" s="16">
        <f t="shared" si="58"/>
        <v>499.97399999999999</v>
      </c>
      <c r="H57" s="16">
        <f t="shared" si="58"/>
        <v>189.45</v>
      </c>
      <c r="I57" s="16">
        <f t="shared" si="58"/>
        <v>0</v>
      </c>
      <c r="J57" s="16">
        <f t="shared" si="58"/>
        <v>342.74200000000002</v>
      </c>
      <c r="K57" s="16">
        <f t="shared" si="58"/>
        <v>0</v>
      </c>
      <c r="L57" s="16">
        <f t="shared" si="58"/>
        <v>0</v>
      </c>
      <c r="M57" s="16">
        <f t="shared" si="58"/>
        <v>0</v>
      </c>
      <c r="N57" s="16">
        <f t="shared" si="58"/>
        <v>0</v>
      </c>
      <c r="O57" s="16">
        <f t="shared" si="57"/>
        <v>0</v>
      </c>
      <c r="P57" s="16">
        <v>0</v>
      </c>
      <c r="Q57" s="16">
        <v>0</v>
      </c>
      <c r="R57" s="8">
        <f t="shared" si="36"/>
        <v>19784.108</v>
      </c>
      <c r="S57" s="363">
        <f t="shared" si="38"/>
        <v>6548.1660000000011</v>
      </c>
      <c r="T57" s="363">
        <f t="shared" si="38"/>
        <v>1277.6959999999999</v>
      </c>
      <c r="U57" s="363">
        <f t="shared" si="38"/>
        <v>291.45</v>
      </c>
      <c r="V57" s="363">
        <f t="shared" si="38"/>
        <v>352.55600000000004</v>
      </c>
      <c r="W57" s="363">
        <f t="shared" si="39"/>
        <v>10782.048000000001</v>
      </c>
      <c r="X57" s="363">
        <f t="shared" si="40"/>
        <v>532.19200000000001</v>
      </c>
      <c r="Y57" s="10" t="b">
        <f t="shared" si="41"/>
        <v>1</v>
      </c>
    </row>
    <row r="58" spans="1:25">
      <c r="A58" s="2" t="s">
        <v>95</v>
      </c>
      <c r="B58" s="16">
        <f t="shared" ref="B58:N58" si="59">B93*0.2</f>
        <v>84646.864000000001</v>
      </c>
      <c r="C58" s="16">
        <f t="shared" si="59"/>
        <v>18053.3</v>
      </c>
      <c r="D58" s="16">
        <f t="shared" si="59"/>
        <v>2871.8040000000001</v>
      </c>
      <c r="E58" s="16">
        <f t="shared" si="59"/>
        <v>1927.1180000000002</v>
      </c>
      <c r="F58" s="16">
        <f t="shared" si="59"/>
        <v>111052.99800000001</v>
      </c>
      <c r="G58" s="16">
        <f t="shared" si="59"/>
        <v>3825.8879999999999</v>
      </c>
      <c r="H58" s="16">
        <f t="shared" si="59"/>
        <v>2601.5419999999999</v>
      </c>
      <c r="I58" s="16">
        <f t="shared" si="59"/>
        <v>153.97</v>
      </c>
      <c r="J58" s="16">
        <f t="shared" si="59"/>
        <v>4220.0940000000001</v>
      </c>
      <c r="K58" s="16">
        <f t="shared" si="59"/>
        <v>434.76000000000005</v>
      </c>
      <c r="L58" s="16">
        <f t="shared" si="59"/>
        <v>86.951999999999998</v>
      </c>
      <c r="M58" s="16">
        <f t="shared" si="59"/>
        <v>0</v>
      </c>
      <c r="N58" s="16">
        <f t="shared" si="59"/>
        <v>215.56</v>
      </c>
      <c r="O58" s="16">
        <f t="shared" si="57"/>
        <v>0</v>
      </c>
      <c r="P58" s="16">
        <f t="shared" ref="P58:Q63" si="60">P93*0.2</f>
        <v>0</v>
      </c>
      <c r="Q58" s="16">
        <f t="shared" si="60"/>
        <v>0</v>
      </c>
      <c r="R58" s="8">
        <f t="shared" si="36"/>
        <v>230090.85000000003</v>
      </c>
      <c r="S58" s="363">
        <f t="shared" si="38"/>
        <v>84646.864000000001</v>
      </c>
      <c r="T58" s="363">
        <f t="shared" si="38"/>
        <v>18053.3</v>
      </c>
      <c r="U58" s="363">
        <f t="shared" si="38"/>
        <v>2871.8040000000001</v>
      </c>
      <c r="V58" s="363">
        <f t="shared" si="38"/>
        <v>1927.1180000000002</v>
      </c>
      <c r="W58" s="363">
        <f t="shared" si="39"/>
        <v>114878.88600000001</v>
      </c>
      <c r="X58" s="363">
        <f t="shared" si="40"/>
        <v>7712.8780000000006</v>
      </c>
      <c r="Y58" s="10" t="b">
        <f t="shared" si="41"/>
        <v>1</v>
      </c>
    </row>
    <row r="59" spans="1:25">
      <c r="A59" s="2" t="s">
        <v>96</v>
      </c>
      <c r="B59" s="16">
        <f t="shared" ref="B59:N59" si="61">B94*0.2</f>
        <v>14457.944000000001</v>
      </c>
      <c r="C59" s="16">
        <f t="shared" si="61"/>
        <v>4419.8239999999996</v>
      </c>
      <c r="D59" s="16">
        <f t="shared" si="61"/>
        <v>50.724000000000004</v>
      </c>
      <c r="E59" s="16">
        <f t="shared" si="61"/>
        <v>118.754</v>
      </c>
      <c r="F59" s="16">
        <f t="shared" si="61"/>
        <v>17412.138000000003</v>
      </c>
      <c r="G59" s="16">
        <f t="shared" si="61"/>
        <v>543.45000000000005</v>
      </c>
      <c r="H59" s="16">
        <f t="shared" si="61"/>
        <v>821.53</v>
      </c>
      <c r="I59" s="16">
        <f t="shared" si="61"/>
        <v>1393.7700000000002</v>
      </c>
      <c r="J59" s="16">
        <f t="shared" si="61"/>
        <v>935.81799999999987</v>
      </c>
      <c r="K59" s="16">
        <f t="shared" si="61"/>
        <v>65.213999999999999</v>
      </c>
      <c r="L59" s="16">
        <f t="shared" si="61"/>
        <v>0</v>
      </c>
      <c r="M59" s="16">
        <f t="shared" si="61"/>
        <v>0</v>
      </c>
      <c r="N59" s="16">
        <f t="shared" si="61"/>
        <v>31.700000000000003</v>
      </c>
      <c r="O59" s="16">
        <f t="shared" si="57"/>
        <v>0</v>
      </c>
      <c r="P59" s="16">
        <f t="shared" si="60"/>
        <v>0</v>
      </c>
      <c r="Q59" s="16">
        <f t="shared" si="60"/>
        <v>0</v>
      </c>
      <c r="R59" s="8">
        <f t="shared" si="36"/>
        <v>40250.865999999995</v>
      </c>
      <c r="S59" s="363">
        <f t="shared" si="38"/>
        <v>14457.944000000001</v>
      </c>
      <c r="T59" s="363">
        <f t="shared" si="38"/>
        <v>4419.8239999999996</v>
      </c>
      <c r="U59" s="363">
        <f t="shared" si="38"/>
        <v>50.724000000000004</v>
      </c>
      <c r="V59" s="363">
        <f t="shared" si="38"/>
        <v>118.754</v>
      </c>
      <c r="W59" s="363">
        <f t="shared" si="39"/>
        <v>17955.588000000003</v>
      </c>
      <c r="X59" s="363">
        <f t="shared" si="40"/>
        <v>3248.0319999999997</v>
      </c>
      <c r="Y59" s="10" t="b">
        <f t="shared" si="41"/>
        <v>1</v>
      </c>
    </row>
    <row r="60" spans="1:25">
      <c r="A60" s="2" t="s">
        <v>97</v>
      </c>
      <c r="B60" s="16">
        <f t="shared" ref="B60:N60" si="62">B95*0.2</f>
        <v>87258.066000000006</v>
      </c>
      <c r="C60" s="16">
        <f t="shared" si="62"/>
        <v>20301.25</v>
      </c>
      <c r="D60" s="16">
        <f t="shared" si="62"/>
        <v>2469.3680000000004</v>
      </c>
      <c r="E60" s="16">
        <f t="shared" si="62"/>
        <v>4484.9839999999995</v>
      </c>
      <c r="F60" s="16">
        <f t="shared" si="62"/>
        <v>164121.90000000002</v>
      </c>
      <c r="G60" s="16">
        <f t="shared" si="62"/>
        <v>3043.3199999999997</v>
      </c>
      <c r="H60" s="16">
        <f t="shared" si="62"/>
        <v>3704.68</v>
      </c>
      <c r="I60" s="16">
        <f t="shared" si="62"/>
        <v>246.40600000000001</v>
      </c>
      <c r="J60" s="16">
        <f t="shared" si="62"/>
        <v>5170.6200000000008</v>
      </c>
      <c r="K60" s="16">
        <f t="shared" si="62"/>
        <v>652.14</v>
      </c>
      <c r="L60" s="16">
        <f t="shared" si="62"/>
        <v>86.951999999999998</v>
      </c>
      <c r="M60" s="16">
        <f t="shared" si="62"/>
        <v>70.058000000000007</v>
      </c>
      <c r="N60" s="16">
        <f t="shared" si="62"/>
        <v>183.86</v>
      </c>
      <c r="O60" s="16">
        <f t="shared" si="57"/>
        <v>0</v>
      </c>
      <c r="P60" s="16">
        <f t="shared" si="60"/>
        <v>0</v>
      </c>
      <c r="Q60" s="16">
        <f t="shared" si="60"/>
        <v>0</v>
      </c>
      <c r="R60" s="8">
        <f t="shared" si="36"/>
        <v>291793.60400000005</v>
      </c>
      <c r="S60" s="363">
        <f t="shared" si="38"/>
        <v>87258.066000000006</v>
      </c>
      <c r="T60" s="363">
        <f t="shared" si="38"/>
        <v>20301.25</v>
      </c>
      <c r="U60" s="363">
        <f t="shared" si="38"/>
        <v>2469.3680000000004</v>
      </c>
      <c r="V60" s="363">
        <f t="shared" si="38"/>
        <v>4484.9839999999995</v>
      </c>
      <c r="W60" s="363">
        <f t="shared" si="39"/>
        <v>167165.22000000003</v>
      </c>
      <c r="X60" s="363">
        <f t="shared" si="40"/>
        <v>10114.716</v>
      </c>
      <c r="Y60" s="10" t="b">
        <f t="shared" si="41"/>
        <v>1</v>
      </c>
    </row>
    <row r="61" spans="1:25">
      <c r="A61" s="2" t="s">
        <v>98</v>
      </c>
      <c r="B61" s="16">
        <f t="shared" ref="B61:N61" si="63">B96*0.2</f>
        <v>7045.902000000001</v>
      </c>
      <c r="C61" s="16">
        <f t="shared" si="63"/>
        <v>3760.1280000000002</v>
      </c>
      <c r="D61" s="16">
        <f t="shared" si="63"/>
        <v>139.48800000000003</v>
      </c>
      <c r="E61" s="16">
        <f t="shared" si="63"/>
        <v>493.49600000000004</v>
      </c>
      <c r="F61" s="16">
        <f t="shared" si="63"/>
        <v>17433.876</v>
      </c>
      <c r="G61" s="16">
        <f t="shared" si="63"/>
        <v>456.49800000000005</v>
      </c>
      <c r="H61" s="16">
        <f t="shared" si="63"/>
        <v>366.13400000000007</v>
      </c>
      <c r="I61" s="16">
        <f t="shared" si="63"/>
        <v>0</v>
      </c>
      <c r="J61" s="16">
        <f t="shared" si="63"/>
        <v>878.41399999999999</v>
      </c>
      <c r="K61" s="16">
        <f t="shared" si="63"/>
        <v>43.475999999999999</v>
      </c>
      <c r="L61" s="16">
        <f t="shared" si="63"/>
        <v>0</v>
      </c>
      <c r="M61" s="16">
        <f t="shared" si="63"/>
        <v>0</v>
      </c>
      <c r="N61" s="16">
        <f t="shared" si="63"/>
        <v>6.34</v>
      </c>
      <c r="O61" s="16">
        <f t="shared" si="57"/>
        <v>0</v>
      </c>
      <c r="P61" s="16">
        <f t="shared" si="60"/>
        <v>0</v>
      </c>
      <c r="Q61" s="16">
        <f t="shared" si="60"/>
        <v>0</v>
      </c>
      <c r="R61" s="8">
        <f t="shared" si="36"/>
        <v>30623.752</v>
      </c>
      <c r="S61" s="363">
        <f t="shared" si="38"/>
        <v>7045.902000000001</v>
      </c>
      <c r="T61" s="363">
        <f t="shared" si="38"/>
        <v>3760.1280000000002</v>
      </c>
      <c r="U61" s="363">
        <f t="shared" si="38"/>
        <v>139.48800000000003</v>
      </c>
      <c r="V61" s="363">
        <f t="shared" si="38"/>
        <v>493.49600000000004</v>
      </c>
      <c r="W61" s="363">
        <f t="shared" si="39"/>
        <v>17890.374</v>
      </c>
      <c r="X61" s="363">
        <f t="shared" si="40"/>
        <v>1294.3639999999998</v>
      </c>
      <c r="Y61" s="10" t="b">
        <f t="shared" si="41"/>
        <v>1</v>
      </c>
    </row>
    <row r="62" spans="1:25">
      <c r="A62" s="2" t="s">
        <v>99</v>
      </c>
      <c r="B62" s="16">
        <f t="shared" ref="B62:N62" si="64">B97*0.2</f>
        <v>1217.174</v>
      </c>
      <c r="C62" s="16">
        <f t="shared" si="64"/>
        <v>50.432000000000002</v>
      </c>
      <c r="D62" s="16">
        <f t="shared" si="64"/>
        <v>5.0720000000000001</v>
      </c>
      <c r="E62" s="16">
        <f t="shared" si="64"/>
        <v>0</v>
      </c>
      <c r="F62" s="16">
        <f t="shared" si="64"/>
        <v>3043.32</v>
      </c>
      <c r="G62" s="16">
        <f t="shared" si="64"/>
        <v>21.738</v>
      </c>
      <c r="H62" s="16">
        <f t="shared" si="64"/>
        <v>3.4299999999999997</v>
      </c>
      <c r="I62" s="16">
        <f t="shared" si="64"/>
        <v>0</v>
      </c>
      <c r="J62" s="16">
        <f t="shared" si="64"/>
        <v>10.772</v>
      </c>
      <c r="K62" s="16">
        <f t="shared" si="64"/>
        <v>86.951999999999998</v>
      </c>
      <c r="L62" s="16">
        <f t="shared" si="64"/>
        <v>0</v>
      </c>
      <c r="M62" s="16">
        <f t="shared" si="64"/>
        <v>0</v>
      </c>
      <c r="N62" s="16">
        <f t="shared" si="64"/>
        <v>6.34</v>
      </c>
      <c r="O62" s="16">
        <f t="shared" si="57"/>
        <v>0</v>
      </c>
      <c r="P62" s="16">
        <f t="shared" si="60"/>
        <v>0</v>
      </c>
      <c r="Q62" s="16">
        <f t="shared" si="60"/>
        <v>0</v>
      </c>
      <c r="R62" s="8">
        <f t="shared" si="36"/>
        <v>4445.2300000000005</v>
      </c>
      <c r="S62" s="363">
        <f t="shared" si="38"/>
        <v>1217.174</v>
      </c>
      <c r="T62" s="363">
        <f t="shared" si="38"/>
        <v>50.432000000000002</v>
      </c>
      <c r="U62" s="363">
        <f t="shared" si="38"/>
        <v>5.0720000000000001</v>
      </c>
      <c r="V62" s="363">
        <f t="shared" si="38"/>
        <v>0</v>
      </c>
      <c r="W62" s="363">
        <f t="shared" si="39"/>
        <v>3065.058</v>
      </c>
      <c r="X62" s="363">
        <f t="shared" si="40"/>
        <v>107.494</v>
      </c>
      <c r="Y62" s="10" t="b">
        <f t="shared" si="41"/>
        <v>1</v>
      </c>
    </row>
    <row r="63" spans="1:25">
      <c r="A63" s="2" t="s">
        <v>100</v>
      </c>
      <c r="B63" s="16">
        <f t="shared" ref="B63:N63" si="65">B98*0.2</f>
        <v>65688.252000000008</v>
      </c>
      <c r="C63" s="16">
        <f t="shared" si="65"/>
        <v>14686.366000000002</v>
      </c>
      <c r="D63" s="16">
        <f t="shared" si="65"/>
        <v>2292.0720000000001</v>
      </c>
      <c r="E63" s="16">
        <f t="shared" si="65"/>
        <v>5534.5159999999996</v>
      </c>
      <c r="F63" s="16">
        <f t="shared" si="65"/>
        <v>109146.49800000001</v>
      </c>
      <c r="G63" s="16">
        <f t="shared" si="65"/>
        <v>1043.4240000000002</v>
      </c>
      <c r="H63" s="16">
        <f t="shared" si="65"/>
        <v>2906.4360000000001</v>
      </c>
      <c r="I63" s="16">
        <f t="shared" si="65"/>
        <v>253.61599999999999</v>
      </c>
      <c r="J63" s="16">
        <f t="shared" si="65"/>
        <v>4290.4180000000006</v>
      </c>
      <c r="K63" s="16">
        <f t="shared" si="65"/>
        <v>456.49799999999999</v>
      </c>
      <c r="L63" s="16">
        <f t="shared" si="65"/>
        <v>43.475999999999999</v>
      </c>
      <c r="M63" s="16">
        <f t="shared" si="65"/>
        <v>507.23199999999997</v>
      </c>
      <c r="N63" s="16">
        <f t="shared" si="65"/>
        <v>177.52</v>
      </c>
      <c r="O63" s="16">
        <f t="shared" si="57"/>
        <v>0</v>
      </c>
      <c r="P63" s="16">
        <f t="shared" si="60"/>
        <v>0</v>
      </c>
      <c r="Q63" s="16">
        <f t="shared" si="60"/>
        <v>0</v>
      </c>
      <c r="R63" s="8">
        <f t="shared" si="36"/>
        <v>207026.32399999999</v>
      </c>
      <c r="S63" s="363">
        <f t="shared" si="38"/>
        <v>65688.252000000008</v>
      </c>
      <c r="T63" s="363">
        <f t="shared" si="38"/>
        <v>14686.366000000002</v>
      </c>
      <c r="U63" s="363">
        <f t="shared" si="38"/>
        <v>2292.0720000000001</v>
      </c>
      <c r="V63" s="363">
        <f t="shared" si="38"/>
        <v>5534.5159999999996</v>
      </c>
      <c r="W63" s="363">
        <f t="shared" si="39"/>
        <v>110189.92200000001</v>
      </c>
      <c r="X63" s="363">
        <f t="shared" si="40"/>
        <v>8635.1959999999999</v>
      </c>
      <c r="Y63" s="10" t="b">
        <f t="shared" si="41"/>
        <v>1</v>
      </c>
    </row>
    <row r="64" spans="1:25">
      <c r="A64" s="2" t="s">
        <v>101</v>
      </c>
      <c r="B64" s="16">
        <f t="shared" ref="B64:N64" si="66">B99*0.2</f>
        <v>322281.98800000001</v>
      </c>
      <c r="C64" s="16">
        <f t="shared" si="66"/>
        <v>86279.745999999999</v>
      </c>
      <c r="D64" s="16">
        <f t="shared" si="66"/>
        <v>7297.6320000000014</v>
      </c>
      <c r="E64" s="16">
        <f t="shared" si="66"/>
        <v>14187.882000000001</v>
      </c>
      <c r="F64" s="16">
        <f t="shared" si="66"/>
        <v>601446.98400000005</v>
      </c>
      <c r="G64" s="16">
        <f t="shared" si="66"/>
        <v>7108.3260000000009</v>
      </c>
      <c r="H64" s="16">
        <f t="shared" si="66"/>
        <v>21674.574000000001</v>
      </c>
      <c r="I64" s="16">
        <f t="shared" si="66"/>
        <v>1338.384</v>
      </c>
      <c r="J64" s="16">
        <f t="shared" si="66"/>
        <v>21319.484</v>
      </c>
      <c r="K64" s="16">
        <f t="shared" si="66"/>
        <v>1217.3280000000002</v>
      </c>
      <c r="L64" s="16">
        <f t="shared" si="66"/>
        <v>43.475999999999999</v>
      </c>
      <c r="M64" s="16">
        <f t="shared" si="66"/>
        <v>0</v>
      </c>
      <c r="N64" s="16">
        <f t="shared" si="66"/>
        <v>931.98</v>
      </c>
      <c r="O64" s="16">
        <f t="shared" si="57"/>
        <v>0</v>
      </c>
      <c r="P64" s="16">
        <v>0</v>
      </c>
      <c r="Q64" s="16">
        <v>0</v>
      </c>
      <c r="R64" s="8">
        <f t="shared" si="36"/>
        <v>1085127.784</v>
      </c>
      <c r="S64" s="363">
        <f t="shared" si="38"/>
        <v>322281.98800000001</v>
      </c>
      <c r="T64" s="363">
        <f t="shared" si="38"/>
        <v>86279.745999999999</v>
      </c>
      <c r="U64" s="363">
        <f t="shared" si="38"/>
        <v>7297.6320000000014</v>
      </c>
      <c r="V64" s="363">
        <f t="shared" si="38"/>
        <v>14187.882000000001</v>
      </c>
      <c r="W64" s="363">
        <f t="shared" si="39"/>
        <v>608555.31000000006</v>
      </c>
      <c r="X64" s="363">
        <f t="shared" si="40"/>
        <v>46525.226000000002</v>
      </c>
      <c r="Y64" s="10" t="b">
        <f t="shared" si="41"/>
        <v>1</v>
      </c>
    </row>
    <row r="65" spans="1:25">
      <c r="A65" s="2" t="s">
        <v>102</v>
      </c>
      <c r="B65" s="16">
        <f t="shared" ref="B65:N65" si="67">B100*0.2</f>
        <v>8107.6440000000002</v>
      </c>
      <c r="C65" s="16">
        <f t="shared" si="67"/>
        <v>2548.4940000000001</v>
      </c>
      <c r="D65" s="16">
        <f t="shared" si="67"/>
        <v>228.256</v>
      </c>
      <c r="E65" s="16">
        <f t="shared" si="67"/>
        <v>298.66199999999998</v>
      </c>
      <c r="F65" s="16">
        <f t="shared" si="67"/>
        <v>15890.478000000001</v>
      </c>
      <c r="G65" s="16">
        <f t="shared" si="67"/>
        <v>239.11800000000005</v>
      </c>
      <c r="H65" s="16">
        <f t="shared" si="67"/>
        <v>393.58199999999999</v>
      </c>
      <c r="I65" s="16">
        <f t="shared" si="67"/>
        <v>0</v>
      </c>
      <c r="J65" s="16">
        <f t="shared" si="67"/>
        <v>579.476</v>
      </c>
      <c r="K65" s="16">
        <f t="shared" si="67"/>
        <v>43.475999999999999</v>
      </c>
      <c r="L65" s="16">
        <f t="shared" si="67"/>
        <v>0</v>
      </c>
      <c r="M65" s="16">
        <f t="shared" si="67"/>
        <v>0</v>
      </c>
      <c r="N65" s="16">
        <f t="shared" si="67"/>
        <v>25.36</v>
      </c>
      <c r="O65" s="16">
        <f t="shared" si="57"/>
        <v>0</v>
      </c>
      <c r="P65" s="16">
        <f>P100*0.2</f>
        <v>0</v>
      </c>
      <c r="Q65" s="16">
        <f>Q100*0.2</f>
        <v>0</v>
      </c>
      <c r="R65" s="8">
        <f t="shared" si="36"/>
        <v>28354.545999999995</v>
      </c>
      <c r="S65" s="363">
        <f t="shared" si="38"/>
        <v>8107.6440000000002</v>
      </c>
      <c r="T65" s="363">
        <f t="shared" si="38"/>
        <v>2548.4940000000001</v>
      </c>
      <c r="U65" s="363">
        <f t="shared" si="38"/>
        <v>228.256</v>
      </c>
      <c r="V65" s="363">
        <f t="shared" si="38"/>
        <v>298.66199999999998</v>
      </c>
      <c r="W65" s="363">
        <f t="shared" si="39"/>
        <v>16129.596000000001</v>
      </c>
      <c r="X65" s="363">
        <f t="shared" si="40"/>
        <v>1041.894</v>
      </c>
      <c r="Y65" s="10" t="b">
        <f t="shared" si="41"/>
        <v>1</v>
      </c>
    </row>
    <row r="66" spans="1:25">
      <c r="A66" s="2" t="s">
        <v>103</v>
      </c>
      <c r="B66" s="16">
        <f t="shared" ref="B66:N66" si="68">B101*0.2</f>
        <v>5330.3320000000003</v>
      </c>
      <c r="C66" s="16">
        <f t="shared" si="68"/>
        <v>1290.662</v>
      </c>
      <c r="D66" s="16">
        <f t="shared" si="68"/>
        <v>240.93800000000002</v>
      </c>
      <c r="E66" s="16">
        <f t="shared" si="68"/>
        <v>612.75600000000009</v>
      </c>
      <c r="F66" s="16">
        <f t="shared" si="68"/>
        <v>9934.2660000000014</v>
      </c>
      <c r="G66" s="16">
        <f t="shared" si="68"/>
        <v>391.28400000000005</v>
      </c>
      <c r="H66" s="16">
        <f t="shared" si="68"/>
        <v>221.678</v>
      </c>
      <c r="I66" s="16">
        <f t="shared" si="68"/>
        <v>0</v>
      </c>
      <c r="J66" s="16">
        <f t="shared" si="68"/>
        <v>410.13800000000003</v>
      </c>
      <c r="K66" s="16">
        <f t="shared" si="68"/>
        <v>21.738</v>
      </c>
      <c r="L66" s="16">
        <f t="shared" si="68"/>
        <v>0</v>
      </c>
      <c r="M66" s="16">
        <f t="shared" si="68"/>
        <v>0</v>
      </c>
      <c r="N66" s="16">
        <f t="shared" si="68"/>
        <v>12.68</v>
      </c>
      <c r="O66" s="16">
        <f t="shared" si="57"/>
        <v>0</v>
      </c>
      <c r="P66" s="16">
        <f>P101*0.2</f>
        <v>0</v>
      </c>
      <c r="Q66" s="16">
        <f>Q101*0.2</f>
        <v>0</v>
      </c>
      <c r="R66" s="8">
        <f t="shared" si="36"/>
        <v>18466.472000000002</v>
      </c>
      <c r="S66" s="363">
        <f t="shared" si="38"/>
        <v>5330.3320000000003</v>
      </c>
      <c r="T66" s="363">
        <f t="shared" si="38"/>
        <v>1290.662</v>
      </c>
      <c r="U66" s="363">
        <f t="shared" si="38"/>
        <v>240.93800000000002</v>
      </c>
      <c r="V66" s="363">
        <f t="shared" si="38"/>
        <v>612.75600000000009</v>
      </c>
      <c r="W66" s="363">
        <f t="shared" si="39"/>
        <v>10325.550000000001</v>
      </c>
      <c r="X66" s="363">
        <f t="shared" si="40"/>
        <v>666.23400000000004</v>
      </c>
      <c r="Y66" s="10" t="b">
        <f t="shared" si="41"/>
        <v>1</v>
      </c>
    </row>
    <row r="67" spans="1:25">
      <c r="A67" s="6" t="s">
        <v>37</v>
      </c>
      <c r="B67" s="7">
        <f t="shared" ref="B67:X67" si="69">SUM(B40:B66)</f>
        <v>1053911.7079999999</v>
      </c>
      <c r="C67" s="7">
        <f t="shared" si="69"/>
        <v>271267.72000000003</v>
      </c>
      <c r="D67" s="7">
        <f t="shared" si="69"/>
        <v>27863.462000000003</v>
      </c>
      <c r="E67" s="7">
        <f t="shared" si="69"/>
        <v>49493.651999999995</v>
      </c>
      <c r="F67" s="7">
        <f t="shared" si="69"/>
        <v>1710898.5180000002</v>
      </c>
      <c r="G67" s="7">
        <f t="shared" si="69"/>
        <v>35028.716</v>
      </c>
      <c r="H67" s="7">
        <f t="shared" si="69"/>
        <v>52534.884000000013</v>
      </c>
      <c r="I67" s="7">
        <f t="shared" si="69"/>
        <v>6165.2780000000002</v>
      </c>
      <c r="J67" s="7">
        <f t="shared" si="69"/>
        <v>67070.415999999997</v>
      </c>
      <c r="K67" s="7">
        <f t="shared" si="69"/>
        <v>6282.2820000000002</v>
      </c>
      <c r="L67" s="7">
        <f t="shared" si="69"/>
        <v>565.18799999999999</v>
      </c>
      <c r="M67" s="7">
        <f t="shared" si="69"/>
        <v>1027.6179999999999</v>
      </c>
      <c r="N67" s="7">
        <f t="shared" si="69"/>
        <v>2586.7200000000003</v>
      </c>
      <c r="O67" s="7">
        <f t="shared" ref="O67" si="70">SUM(O40:O66)</f>
        <v>0</v>
      </c>
      <c r="P67" s="7">
        <f t="shared" si="69"/>
        <v>4.25</v>
      </c>
      <c r="Q67" s="7">
        <f t="shared" si="69"/>
        <v>0</v>
      </c>
      <c r="R67" s="9">
        <f t="shared" si="69"/>
        <v>3284700.412</v>
      </c>
      <c r="S67" s="363">
        <f t="shared" si="69"/>
        <v>1053911.7079999999</v>
      </c>
      <c r="T67" s="363">
        <f t="shared" si="69"/>
        <v>271267.72000000003</v>
      </c>
      <c r="U67" s="363">
        <f t="shared" si="69"/>
        <v>27863.462000000003</v>
      </c>
      <c r="V67" s="363">
        <f t="shared" si="69"/>
        <v>49493.651999999995</v>
      </c>
      <c r="W67" s="363">
        <f t="shared" si="69"/>
        <v>1745927.2339999999</v>
      </c>
      <c r="X67" s="363">
        <f t="shared" si="69"/>
        <v>136236.63600000003</v>
      </c>
      <c r="Y67" s="10" t="b">
        <f t="shared" si="41"/>
        <v>1</v>
      </c>
    </row>
    <row r="68" spans="1:25">
      <c r="A68" s="351" t="s">
        <v>47</v>
      </c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6"/>
    </row>
    <row r="69" spans="1:25">
      <c r="A69" s="358"/>
      <c r="B69" s="358"/>
      <c r="C69" s="359"/>
      <c r="D69" s="359"/>
      <c r="E69" s="359"/>
      <c r="F69" s="359"/>
      <c r="G69" s="359"/>
      <c r="H69" s="359"/>
      <c r="I69" s="359"/>
      <c r="J69" s="359"/>
      <c r="K69" s="359"/>
      <c r="R69" s="360"/>
    </row>
    <row r="70" spans="1:25">
      <c r="A70" s="357"/>
      <c r="L70" s="253"/>
      <c r="M70" s="253"/>
      <c r="N70" s="253"/>
      <c r="O70" s="253"/>
      <c r="P70" s="253"/>
      <c r="Q70" s="253"/>
    </row>
    <row r="71" spans="1:25">
      <c r="A71" s="357"/>
    </row>
    <row r="72" spans="1:25" ht="46.5">
      <c r="A72" s="837" t="s">
        <v>46</v>
      </c>
      <c r="B72" s="838"/>
      <c r="C72" s="838"/>
      <c r="D72" s="838"/>
      <c r="E72" s="838"/>
      <c r="F72" s="838"/>
      <c r="G72" s="838"/>
      <c r="H72" s="838"/>
      <c r="I72" s="838"/>
      <c r="J72" s="838"/>
      <c r="K72" s="838"/>
      <c r="L72" s="838"/>
      <c r="M72" s="838"/>
      <c r="N72" s="838"/>
      <c r="O72" s="838"/>
      <c r="P72" s="838"/>
      <c r="Q72" s="838"/>
      <c r="R72" s="839"/>
    </row>
    <row r="73" spans="1:25" s="372" customFormat="1" ht="35.1" customHeight="1">
      <c r="A73" s="835" t="s">
        <v>33</v>
      </c>
      <c r="B73" s="833" t="s">
        <v>27</v>
      </c>
      <c r="C73" s="834"/>
      <c r="D73" s="833" t="s">
        <v>29</v>
      </c>
      <c r="E73" s="834"/>
      <c r="F73" s="835" t="s">
        <v>28</v>
      </c>
      <c r="G73" s="835" t="s">
        <v>36</v>
      </c>
      <c r="H73" s="835" t="s">
        <v>30</v>
      </c>
      <c r="I73" s="835" t="s">
        <v>31</v>
      </c>
      <c r="J73" s="835" t="s">
        <v>41</v>
      </c>
      <c r="K73" s="835" t="s">
        <v>35</v>
      </c>
      <c r="L73" s="835" t="s">
        <v>40</v>
      </c>
      <c r="M73" s="835" t="s">
        <v>42</v>
      </c>
      <c r="N73" s="835" t="s">
        <v>45</v>
      </c>
      <c r="O73" s="835" t="s">
        <v>279</v>
      </c>
      <c r="P73" s="833" t="s">
        <v>49</v>
      </c>
      <c r="Q73" s="834"/>
      <c r="R73" s="835" t="s">
        <v>34</v>
      </c>
      <c r="S73" s="357"/>
      <c r="T73" s="357"/>
      <c r="U73" s="357"/>
      <c r="V73" s="357"/>
      <c r="W73" s="357"/>
      <c r="X73" s="357"/>
      <c r="Y73" s="357"/>
    </row>
    <row r="74" spans="1:25" s="372" customFormat="1" ht="35.1" customHeight="1">
      <c r="A74" s="836"/>
      <c r="B74" s="361" t="s">
        <v>43</v>
      </c>
      <c r="C74" s="361" t="s">
        <v>44</v>
      </c>
      <c r="D74" s="361" t="s">
        <v>43</v>
      </c>
      <c r="E74" s="361" t="s">
        <v>44</v>
      </c>
      <c r="F74" s="836"/>
      <c r="G74" s="836"/>
      <c r="H74" s="836"/>
      <c r="I74" s="836"/>
      <c r="J74" s="836"/>
      <c r="K74" s="836"/>
      <c r="L74" s="836"/>
      <c r="M74" s="836"/>
      <c r="N74" s="836"/>
      <c r="O74" s="836"/>
      <c r="P74" s="362" t="s">
        <v>50</v>
      </c>
      <c r="Q74" s="362" t="s">
        <v>51</v>
      </c>
      <c r="R74" s="836"/>
      <c r="S74" s="372" t="s">
        <v>173</v>
      </c>
      <c r="T74" s="372" t="s">
        <v>291</v>
      </c>
      <c r="U74" s="372" t="s">
        <v>174</v>
      </c>
      <c r="V74" s="372" t="s">
        <v>292</v>
      </c>
      <c r="W74" s="372" t="s">
        <v>28</v>
      </c>
      <c r="X74" s="372" t="s">
        <v>175</v>
      </c>
      <c r="Y74" s="726"/>
    </row>
    <row r="75" spans="1:25">
      <c r="A75" s="2" t="s">
        <v>77</v>
      </c>
      <c r="B75" s="16">
        <v>17605.490000000002</v>
      </c>
      <c r="C75" s="16">
        <v>8875.25</v>
      </c>
      <c r="D75" s="16">
        <v>901.4</v>
      </c>
      <c r="E75" s="16">
        <v>1092</v>
      </c>
      <c r="F75" s="16">
        <v>20651.099999999999</v>
      </c>
      <c r="G75" s="16">
        <v>652.14</v>
      </c>
      <c r="H75" s="16">
        <v>980.01</v>
      </c>
      <c r="I75" s="16"/>
      <c r="J75" s="16">
        <v>2163.73</v>
      </c>
      <c r="K75" s="16">
        <v>434.76</v>
      </c>
      <c r="L75" s="16"/>
      <c r="M75" s="16"/>
      <c r="N75" s="16">
        <v>63.4</v>
      </c>
      <c r="O75" s="16"/>
      <c r="P75" s="16"/>
      <c r="Q75" s="16"/>
      <c r="R75" s="8">
        <f>SUM(B75:Q75)</f>
        <v>53419.280000000013</v>
      </c>
      <c r="S75" s="363">
        <f>B75</f>
        <v>17605.490000000002</v>
      </c>
      <c r="T75" s="363">
        <f>C75</f>
        <v>8875.25</v>
      </c>
      <c r="U75" s="363">
        <f>D75</f>
        <v>901.4</v>
      </c>
      <c r="V75" s="363">
        <f>E75</f>
        <v>1092</v>
      </c>
      <c r="W75" s="363">
        <f>F75+G75</f>
        <v>21303.239999999998</v>
      </c>
      <c r="X75" s="363">
        <f>SUM(H75:Q75)</f>
        <v>3641.9</v>
      </c>
      <c r="Y75" s="10" t="b">
        <f t="shared" ref="Y75:Y102" si="71">SUM(S75:X75)=R75</f>
        <v>1</v>
      </c>
    </row>
    <row r="76" spans="1:25">
      <c r="A76" s="2" t="s">
        <v>78</v>
      </c>
      <c r="B76" s="16">
        <v>59883.93</v>
      </c>
      <c r="C76" s="16">
        <v>15789.619999999999</v>
      </c>
      <c r="D76" s="16">
        <v>992.29</v>
      </c>
      <c r="E76" s="16">
        <v>702.32</v>
      </c>
      <c r="F76" s="16">
        <v>91734.36</v>
      </c>
      <c r="G76" s="16">
        <v>1304.2800000000002</v>
      </c>
      <c r="H76" s="16">
        <v>2971.11</v>
      </c>
      <c r="I76" s="16"/>
      <c r="J76" s="16">
        <v>3375.77</v>
      </c>
      <c r="K76" s="16"/>
      <c r="L76" s="16"/>
      <c r="M76" s="16"/>
      <c r="N76" s="16">
        <v>126.8</v>
      </c>
      <c r="O76" s="16"/>
      <c r="P76" s="16"/>
      <c r="Q76" s="16"/>
      <c r="R76" s="8">
        <f t="shared" ref="R76:R101" si="72">SUM(B76:Q76)</f>
        <v>176880.47999999998</v>
      </c>
      <c r="S76" s="363">
        <f t="shared" ref="S76:V101" si="73">B76</f>
        <v>59883.93</v>
      </c>
      <c r="T76" s="363">
        <f t="shared" si="73"/>
        <v>15789.619999999999</v>
      </c>
      <c r="U76" s="363">
        <f t="shared" si="73"/>
        <v>992.29</v>
      </c>
      <c r="V76" s="363">
        <f t="shared" si="73"/>
        <v>702.32</v>
      </c>
      <c r="W76" s="363">
        <f t="shared" ref="W76:W101" si="74">F76+G76</f>
        <v>93038.64</v>
      </c>
      <c r="X76" s="363">
        <f t="shared" ref="X76:X101" si="75">SUM(H76:Q76)</f>
        <v>6473.68</v>
      </c>
      <c r="Y76" s="10" t="b">
        <f t="shared" si="71"/>
        <v>1</v>
      </c>
    </row>
    <row r="77" spans="1:25">
      <c r="A77" s="2" t="s">
        <v>79</v>
      </c>
      <c r="B77" s="16">
        <v>20768.8</v>
      </c>
      <c r="C77" s="16">
        <v>9060.43</v>
      </c>
      <c r="D77" s="16">
        <v>2464.3200000000002</v>
      </c>
      <c r="E77" s="16">
        <v>2123.54</v>
      </c>
      <c r="F77" s="16">
        <v>30728.940000000002</v>
      </c>
      <c r="G77" s="16">
        <v>2934.63</v>
      </c>
      <c r="H77" s="16">
        <v>1275.01</v>
      </c>
      <c r="I77" s="16">
        <v>652.14</v>
      </c>
      <c r="J77" s="16">
        <v>2491.7600000000002</v>
      </c>
      <c r="K77" s="16">
        <v>869.52</v>
      </c>
      <c r="L77" s="16"/>
      <c r="M77" s="16"/>
      <c r="N77" s="16">
        <v>63.4</v>
      </c>
      <c r="O77" s="16"/>
      <c r="P77" s="16"/>
      <c r="Q77" s="16"/>
      <c r="R77" s="8">
        <f t="shared" si="72"/>
        <v>73432.489999999991</v>
      </c>
      <c r="S77" s="363">
        <f t="shared" si="73"/>
        <v>20768.8</v>
      </c>
      <c r="T77" s="363">
        <f t="shared" si="73"/>
        <v>9060.43</v>
      </c>
      <c r="U77" s="363">
        <f t="shared" si="73"/>
        <v>2464.3200000000002</v>
      </c>
      <c r="V77" s="363">
        <f t="shared" si="73"/>
        <v>2123.54</v>
      </c>
      <c r="W77" s="363">
        <f t="shared" si="74"/>
        <v>33663.57</v>
      </c>
      <c r="X77" s="363">
        <f t="shared" si="75"/>
        <v>5351.83</v>
      </c>
      <c r="Y77" s="10" t="b">
        <f t="shared" si="71"/>
        <v>1</v>
      </c>
    </row>
    <row r="78" spans="1:25">
      <c r="A78" s="2" t="s">
        <v>80</v>
      </c>
      <c r="B78" s="16">
        <v>62900.09</v>
      </c>
      <c r="C78" s="16">
        <v>16185.710000000001</v>
      </c>
      <c r="D78" s="16">
        <v>2419.94</v>
      </c>
      <c r="E78" s="16">
        <v>1938.73</v>
      </c>
      <c r="F78" s="16">
        <v>70539.81</v>
      </c>
      <c r="G78" s="16">
        <v>1630.3500000000001</v>
      </c>
      <c r="H78" s="16">
        <v>2100.15</v>
      </c>
      <c r="I78" s="16"/>
      <c r="J78" s="16">
        <v>3844.4399999999996</v>
      </c>
      <c r="K78" s="16">
        <v>217.38</v>
      </c>
      <c r="L78" s="16"/>
      <c r="M78" s="16">
        <v>761.89</v>
      </c>
      <c r="N78" s="16">
        <v>63.4</v>
      </c>
      <c r="O78" s="16"/>
      <c r="P78" s="16"/>
      <c r="Q78" s="16"/>
      <c r="R78" s="8">
        <f t="shared" si="72"/>
        <v>162601.89000000001</v>
      </c>
      <c r="S78" s="363">
        <f t="shared" si="73"/>
        <v>62900.09</v>
      </c>
      <c r="T78" s="363">
        <f t="shared" si="73"/>
        <v>16185.710000000001</v>
      </c>
      <c r="U78" s="363">
        <f t="shared" si="73"/>
        <v>2419.94</v>
      </c>
      <c r="V78" s="363">
        <f t="shared" si="73"/>
        <v>1938.73</v>
      </c>
      <c r="W78" s="363">
        <f t="shared" si="74"/>
        <v>72170.16</v>
      </c>
      <c r="X78" s="363">
        <f t="shared" si="75"/>
        <v>6987.26</v>
      </c>
      <c r="Y78" s="10" t="b">
        <f t="shared" si="71"/>
        <v>1</v>
      </c>
    </row>
    <row r="79" spans="1:25">
      <c r="A79" s="2" t="s">
        <v>81</v>
      </c>
      <c r="B79" s="16">
        <v>161999.91</v>
      </c>
      <c r="C79" s="16">
        <v>50710.42</v>
      </c>
      <c r="D79" s="16">
        <v>6623.67</v>
      </c>
      <c r="E79" s="16">
        <v>11747.32</v>
      </c>
      <c r="F79" s="16">
        <v>220423.32</v>
      </c>
      <c r="G79" s="16">
        <v>4564.9800000000005</v>
      </c>
      <c r="H79" s="16">
        <v>10582.439999999999</v>
      </c>
      <c r="I79" s="16"/>
      <c r="J79" s="16">
        <v>13782.52</v>
      </c>
      <c r="K79" s="16">
        <v>1086.9000000000001</v>
      </c>
      <c r="L79" s="16"/>
      <c r="M79" s="16"/>
      <c r="N79" s="16">
        <v>570.6</v>
      </c>
      <c r="O79" s="16"/>
      <c r="P79" s="16"/>
      <c r="Q79" s="16"/>
      <c r="R79" s="8">
        <f t="shared" si="72"/>
        <v>482092.08</v>
      </c>
      <c r="S79" s="363">
        <f t="shared" si="73"/>
        <v>161999.91</v>
      </c>
      <c r="T79" s="363">
        <f t="shared" si="73"/>
        <v>50710.42</v>
      </c>
      <c r="U79" s="363">
        <f t="shared" si="73"/>
        <v>6623.67</v>
      </c>
      <c r="V79" s="363">
        <f t="shared" si="73"/>
        <v>11747.32</v>
      </c>
      <c r="W79" s="363">
        <f t="shared" si="74"/>
        <v>224988.30000000002</v>
      </c>
      <c r="X79" s="363">
        <f t="shared" si="75"/>
        <v>26022.46</v>
      </c>
      <c r="Y79" s="10" t="b">
        <f t="shared" si="71"/>
        <v>1</v>
      </c>
    </row>
    <row r="80" spans="1:25">
      <c r="A80" s="2" t="s">
        <v>82</v>
      </c>
      <c r="B80" s="16">
        <v>85510.48</v>
      </c>
      <c r="C80" s="16">
        <v>20705.52</v>
      </c>
      <c r="D80" s="16">
        <v>1204.69</v>
      </c>
      <c r="E80" s="16">
        <v>4153.0200000000004</v>
      </c>
      <c r="F80" s="16">
        <v>124123.98</v>
      </c>
      <c r="G80" s="16">
        <v>2717.25</v>
      </c>
      <c r="H80" s="16">
        <v>3792.8899999999994</v>
      </c>
      <c r="I80" s="16"/>
      <c r="J80" s="16">
        <v>5503.95</v>
      </c>
      <c r="K80" s="16">
        <v>1304.28</v>
      </c>
      <c r="L80" s="16">
        <v>217.38</v>
      </c>
      <c r="M80" s="16">
        <v>443.83</v>
      </c>
      <c r="N80" s="16">
        <v>158.5</v>
      </c>
      <c r="O80" s="16"/>
      <c r="P80" s="16"/>
      <c r="Q80" s="16"/>
      <c r="R80" s="8">
        <f t="shared" si="72"/>
        <v>249835.77000000002</v>
      </c>
      <c r="S80" s="363">
        <f t="shared" si="73"/>
        <v>85510.48</v>
      </c>
      <c r="T80" s="363">
        <f t="shared" si="73"/>
        <v>20705.52</v>
      </c>
      <c r="U80" s="363">
        <f t="shared" si="73"/>
        <v>1204.69</v>
      </c>
      <c r="V80" s="363">
        <f t="shared" si="73"/>
        <v>4153.0200000000004</v>
      </c>
      <c r="W80" s="363">
        <f t="shared" si="74"/>
        <v>126841.23</v>
      </c>
      <c r="X80" s="363">
        <f t="shared" si="75"/>
        <v>11420.83</v>
      </c>
      <c r="Y80" s="10" t="b">
        <f t="shared" si="71"/>
        <v>1</v>
      </c>
    </row>
    <row r="81" spans="1:25">
      <c r="A81" s="2" t="s">
        <v>83</v>
      </c>
      <c r="B81" s="16">
        <v>158004.54999999999</v>
      </c>
      <c r="C81" s="16">
        <v>37705.31</v>
      </c>
      <c r="D81" s="16">
        <v>3584.45</v>
      </c>
      <c r="E81" s="16">
        <v>4271.38</v>
      </c>
      <c r="F81" s="16">
        <v>153578.97</v>
      </c>
      <c r="G81" s="16">
        <v>8260.44</v>
      </c>
      <c r="H81" s="16">
        <v>5538.05</v>
      </c>
      <c r="I81" s="16"/>
      <c r="J81" s="16">
        <v>8832.08</v>
      </c>
      <c r="K81" s="16">
        <v>978.21</v>
      </c>
      <c r="L81" s="16">
        <v>217.38</v>
      </c>
      <c r="M81" s="16">
        <v>1045.92</v>
      </c>
      <c r="N81" s="16">
        <v>507.2</v>
      </c>
      <c r="O81" s="16"/>
      <c r="P81" s="16"/>
      <c r="Q81" s="16"/>
      <c r="R81" s="8">
        <f t="shared" si="72"/>
        <v>382523.94000000006</v>
      </c>
      <c r="S81" s="363">
        <f t="shared" si="73"/>
        <v>158004.54999999999</v>
      </c>
      <c r="T81" s="363">
        <f t="shared" si="73"/>
        <v>37705.31</v>
      </c>
      <c r="U81" s="363">
        <f t="shared" si="73"/>
        <v>3584.45</v>
      </c>
      <c r="V81" s="363">
        <f t="shared" si="73"/>
        <v>4271.38</v>
      </c>
      <c r="W81" s="363">
        <f t="shared" si="74"/>
        <v>161839.41</v>
      </c>
      <c r="X81" s="363">
        <f t="shared" si="75"/>
        <v>17118.84</v>
      </c>
      <c r="Y81" s="10" t="b">
        <f t="shared" si="71"/>
        <v>1</v>
      </c>
    </row>
    <row r="82" spans="1:25">
      <c r="A82" s="2" t="s">
        <v>84</v>
      </c>
      <c r="B82" s="16">
        <v>139612.68</v>
      </c>
      <c r="C82" s="16">
        <v>20237.25</v>
      </c>
      <c r="D82" s="16">
        <v>2817.26</v>
      </c>
      <c r="E82" s="16">
        <v>4907.8599999999997</v>
      </c>
      <c r="F82" s="16">
        <v>143144.73000000001</v>
      </c>
      <c r="G82" s="16">
        <v>5760.57</v>
      </c>
      <c r="H82" s="16">
        <v>2975.79</v>
      </c>
      <c r="I82" s="16">
        <v>326.07</v>
      </c>
      <c r="J82" s="16">
        <v>5194.24</v>
      </c>
      <c r="K82" s="16">
        <v>434.76</v>
      </c>
      <c r="L82" s="16">
        <v>217.38</v>
      </c>
      <c r="M82" s="16"/>
      <c r="N82" s="16">
        <v>158.5</v>
      </c>
      <c r="O82" s="16"/>
      <c r="P82" s="16"/>
      <c r="Q82" s="16"/>
      <c r="R82" s="8">
        <f t="shared" si="72"/>
        <v>325787.09000000003</v>
      </c>
      <c r="S82" s="363">
        <f t="shared" si="73"/>
        <v>139612.68</v>
      </c>
      <c r="T82" s="363">
        <f t="shared" si="73"/>
        <v>20237.25</v>
      </c>
      <c r="U82" s="363">
        <f t="shared" si="73"/>
        <v>2817.26</v>
      </c>
      <c r="V82" s="363">
        <f t="shared" si="73"/>
        <v>4907.8599999999997</v>
      </c>
      <c r="W82" s="363">
        <f t="shared" si="74"/>
        <v>148905.30000000002</v>
      </c>
      <c r="X82" s="363">
        <f t="shared" si="75"/>
        <v>9306.74</v>
      </c>
      <c r="Y82" s="10" t="b">
        <f t="shared" si="71"/>
        <v>1</v>
      </c>
    </row>
    <row r="83" spans="1:25">
      <c r="A83" s="2" t="s">
        <v>85</v>
      </c>
      <c r="B83" s="16">
        <v>142936.70000000001</v>
      </c>
      <c r="C83" s="16">
        <v>36785.14</v>
      </c>
      <c r="D83" s="16">
        <v>5476.04</v>
      </c>
      <c r="E83" s="16">
        <v>6030.13</v>
      </c>
      <c r="F83" s="16">
        <v>285528.63</v>
      </c>
      <c r="G83" s="16">
        <v>3695.46</v>
      </c>
      <c r="H83" s="16">
        <v>6410.5699999999988</v>
      </c>
      <c r="I83" s="16">
        <v>293.85000000000002</v>
      </c>
      <c r="J83" s="16">
        <v>7976.71</v>
      </c>
      <c r="K83" s="16">
        <v>326.07</v>
      </c>
      <c r="L83" s="16"/>
      <c r="M83" s="16"/>
      <c r="N83" s="16">
        <v>126.8</v>
      </c>
      <c r="O83" s="16"/>
      <c r="P83" s="16"/>
      <c r="Q83" s="16"/>
      <c r="R83" s="8">
        <f t="shared" si="72"/>
        <v>495586.10000000003</v>
      </c>
      <c r="S83" s="363">
        <f t="shared" si="73"/>
        <v>142936.70000000001</v>
      </c>
      <c r="T83" s="363">
        <f t="shared" si="73"/>
        <v>36785.14</v>
      </c>
      <c r="U83" s="363">
        <f t="shared" si="73"/>
        <v>5476.04</v>
      </c>
      <c r="V83" s="363">
        <f t="shared" si="73"/>
        <v>6030.13</v>
      </c>
      <c r="W83" s="363">
        <f t="shared" si="74"/>
        <v>289224.09000000003</v>
      </c>
      <c r="X83" s="363">
        <f t="shared" si="75"/>
        <v>15133.999999999998</v>
      </c>
      <c r="Y83" s="10" t="b">
        <f t="shared" si="71"/>
        <v>1</v>
      </c>
    </row>
    <row r="84" spans="1:25">
      <c r="A84" s="2" t="s">
        <v>86</v>
      </c>
      <c r="B84" s="16">
        <v>46656.53</v>
      </c>
      <c r="C84" s="16">
        <v>9309.2999999999993</v>
      </c>
      <c r="D84" s="16">
        <v>845.39</v>
      </c>
      <c r="E84" s="16">
        <v>354.8</v>
      </c>
      <c r="F84" s="16">
        <v>67061.73</v>
      </c>
      <c r="G84" s="16">
        <v>1195.5900000000001</v>
      </c>
      <c r="H84" s="16">
        <v>964.38999999999987</v>
      </c>
      <c r="I84" s="16"/>
      <c r="J84" s="16">
        <v>2070.3000000000002</v>
      </c>
      <c r="K84" s="16">
        <v>652.14</v>
      </c>
      <c r="L84" s="16"/>
      <c r="M84" s="16"/>
      <c r="N84" s="16"/>
      <c r="O84" s="16"/>
      <c r="P84" s="16"/>
      <c r="Q84" s="16"/>
      <c r="R84" s="8">
        <f t="shared" si="72"/>
        <v>129110.17</v>
      </c>
      <c r="S84" s="363">
        <f t="shared" si="73"/>
        <v>46656.53</v>
      </c>
      <c r="T84" s="363">
        <f t="shared" si="73"/>
        <v>9309.2999999999993</v>
      </c>
      <c r="U84" s="363">
        <f t="shared" si="73"/>
        <v>845.39</v>
      </c>
      <c r="V84" s="363">
        <f t="shared" si="73"/>
        <v>354.8</v>
      </c>
      <c r="W84" s="363">
        <f t="shared" si="74"/>
        <v>68257.319999999992</v>
      </c>
      <c r="X84" s="363">
        <f t="shared" si="75"/>
        <v>3686.83</v>
      </c>
      <c r="Y84" s="10" t="b">
        <f t="shared" si="71"/>
        <v>1</v>
      </c>
    </row>
    <row r="85" spans="1:25">
      <c r="A85" s="2" t="s">
        <v>87</v>
      </c>
      <c r="B85" s="16">
        <v>143702.35999999999</v>
      </c>
      <c r="C85" s="16">
        <v>19311.240000000002</v>
      </c>
      <c r="D85" s="16">
        <v>3404.81</v>
      </c>
      <c r="E85" s="16">
        <v>8175.34</v>
      </c>
      <c r="F85" s="16">
        <v>294549.90000000002</v>
      </c>
      <c r="G85" s="16">
        <v>2499.87</v>
      </c>
      <c r="H85" s="16">
        <v>3791.4300000000003</v>
      </c>
      <c r="I85" s="16">
        <v>2915.19</v>
      </c>
      <c r="J85" s="16">
        <v>5348.66</v>
      </c>
      <c r="K85" s="16">
        <v>543.45000000000005</v>
      </c>
      <c r="L85" s="16"/>
      <c r="M85" s="16"/>
      <c r="N85" s="16">
        <v>221.9</v>
      </c>
      <c r="O85" s="16"/>
      <c r="P85" s="16"/>
      <c r="Q85" s="16"/>
      <c r="R85" s="8">
        <f t="shared" si="72"/>
        <v>484464.15</v>
      </c>
      <c r="S85" s="363">
        <f t="shared" si="73"/>
        <v>143702.35999999999</v>
      </c>
      <c r="T85" s="363">
        <f t="shared" si="73"/>
        <v>19311.240000000002</v>
      </c>
      <c r="U85" s="363">
        <f t="shared" si="73"/>
        <v>3404.81</v>
      </c>
      <c r="V85" s="363">
        <f t="shared" si="73"/>
        <v>8175.34</v>
      </c>
      <c r="W85" s="363">
        <f t="shared" si="74"/>
        <v>297049.77</v>
      </c>
      <c r="X85" s="363">
        <f t="shared" si="75"/>
        <v>12820.630000000001</v>
      </c>
      <c r="Y85" s="10" t="b">
        <f t="shared" si="71"/>
        <v>1</v>
      </c>
    </row>
    <row r="86" spans="1:25">
      <c r="A86" s="2" t="s">
        <v>88</v>
      </c>
      <c r="B86" s="16">
        <v>72439.100000000006</v>
      </c>
      <c r="C86" s="16">
        <v>27822.870000000003</v>
      </c>
      <c r="D86" s="16">
        <v>3094.15</v>
      </c>
      <c r="E86" s="16">
        <v>11536.68</v>
      </c>
      <c r="F86" s="16">
        <v>170317.23</v>
      </c>
      <c r="G86" s="16">
        <v>2348.2200000000003</v>
      </c>
      <c r="H86" s="16">
        <v>7187.92</v>
      </c>
      <c r="I86" s="16">
        <v>1876.2999999999997</v>
      </c>
      <c r="J86" s="16">
        <v>6874.12</v>
      </c>
      <c r="K86" s="16">
        <v>1195.5899999999999</v>
      </c>
      <c r="L86" s="16">
        <v>217.38</v>
      </c>
      <c r="M86" s="16"/>
      <c r="N86" s="16">
        <v>158.5</v>
      </c>
      <c r="O86" s="16"/>
      <c r="P86" s="16">
        <v>21.25</v>
      </c>
      <c r="Q86" s="16"/>
      <c r="R86" s="8">
        <f t="shared" si="72"/>
        <v>305089.31</v>
      </c>
      <c r="S86" s="363">
        <f t="shared" si="73"/>
        <v>72439.100000000006</v>
      </c>
      <c r="T86" s="363">
        <f t="shared" si="73"/>
        <v>27822.870000000003</v>
      </c>
      <c r="U86" s="363">
        <f t="shared" si="73"/>
        <v>3094.15</v>
      </c>
      <c r="V86" s="363">
        <f t="shared" si="73"/>
        <v>11536.68</v>
      </c>
      <c r="W86" s="363">
        <f t="shared" si="74"/>
        <v>172665.45</v>
      </c>
      <c r="X86" s="363">
        <f t="shared" si="75"/>
        <v>17531.060000000001</v>
      </c>
      <c r="Y86" s="10" t="b">
        <f t="shared" si="71"/>
        <v>1</v>
      </c>
    </row>
    <row r="87" spans="1:25">
      <c r="A87" s="2" t="s">
        <v>89</v>
      </c>
      <c r="B87" s="16">
        <v>523402.42</v>
      </c>
      <c r="C87" s="16">
        <v>144374.75</v>
      </c>
      <c r="D87" s="16">
        <v>8020.6</v>
      </c>
      <c r="E87" s="16">
        <v>21852.07</v>
      </c>
      <c r="F87" s="16">
        <v>537145.98</v>
      </c>
      <c r="G87" s="16">
        <v>25324.769999999997</v>
      </c>
      <c r="H87" s="16">
        <v>25775.01</v>
      </c>
      <c r="I87" s="16"/>
      <c r="J87" s="16">
        <v>35054.68</v>
      </c>
      <c r="K87" s="16">
        <v>2499.87</v>
      </c>
      <c r="L87" s="16">
        <v>217.38</v>
      </c>
      <c r="M87" s="16"/>
      <c r="N87" s="16">
        <v>1268</v>
      </c>
      <c r="O87" s="16"/>
      <c r="P87" s="16"/>
      <c r="Q87" s="16"/>
      <c r="R87" s="8">
        <f t="shared" si="72"/>
        <v>1324935.5299999998</v>
      </c>
      <c r="S87" s="363">
        <f t="shared" si="73"/>
        <v>523402.42</v>
      </c>
      <c r="T87" s="363">
        <f t="shared" si="73"/>
        <v>144374.75</v>
      </c>
      <c r="U87" s="363">
        <f t="shared" si="73"/>
        <v>8020.6</v>
      </c>
      <c r="V87" s="363">
        <f t="shared" si="73"/>
        <v>21852.07</v>
      </c>
      <c r="W87" s="363">
        <f t="shared" si="74"/>
        <v>562470.75</v>
      </c>
      <c r="X87" s="363">
        <f t="shared" si="75"/>
        <v>64814.94</v>
      </c>
      <c r="Y87" s="10" t="b">
        <f t="shared" si="71"/>
        <v>1</v>
      </c>
    </row>
    <row r="88" spans="1:25">
      <c r="A88" s="2" t="s">
        <v>90</v>
      </c>
      <c r="B88" s="16">
        <v>69619.12</v>
      </c>
      <c r="C88" s="16">
        <v>21150.91</v>
      </c>
      <c r="D88" s="16">
        <v>2868</v>
      </c>
      <c r="E88" s="16">
        <v>3266.83</v>
      </c>
      <c r="F88" s="16">
        <v>105755.37</v>
      </c>
      <c r="G88" s="16">
        <v>4978</v>
      </c>
      <c r="H88" s="16">
        <v>3557.6499999999996</v>
      </c>
      <c r="I88" s="16"/>
      <c r="J88" s="16">
        <v>5137.57</v>
      </c>
      <c r="K88" s="16">
        <v>760.83</v>
      </c>
      <c r="L88" s="16"/>
      <c r="M88" s="16"/>
      <c r="N88" s="16">
        <v>158.5</v>
      </c>
      <c r="O88" s="16"/>
      <c r="P88" s="16"/>
      <c r="Q88" s="16"/>
      <c r="R88" s="8">
        <f t="shared" si="72"/>
        <v>217252.77999999997</v>
      </c>
      <c r="S88" s="363">
        <f t="shared" si="73"/>
        <v>69619.12</v>
      </c>
      <c r="T88" s="363">
        <f t="shared" si="73"/>
        <v>21150.91</v>
      </c>
      <c r="U88" s="363">
        <f t="shared" si="73"/>
        <v>2868</v>
      </c>
      <c r="V88" s="363">
        <f t="shared" si="73"/>
        <v>3266.83</v>
      </c>
      <c r="W88" s="363">
        <f t="shared" si="74"/>
        <v>110733.37</v>
      </c>
      <c r="X88" s="363">
        <f t="shared" si="75"/>
        <v>9614.5499999999993</v>
      </c>
      <c r="Y88" s="10" t="b">
        <f t="shared" si="71"/>
        <v>1</v>
      </c>
    </row>
    <row r="89" spans="1:25">
      <c r="A89" s="2" t="s">
        <v>91</v>
      </c>
      <c r="B89" s="16">
        <v>74876.86</v>
      </c>
      <c r="C89" s="16">
        <v>28901.75</v>
      </c>
      <c r="D89" s="16">
        <v>655.16999999999996</v>
      </c>
      <c r="E89" s="16">
        <v>2612.36</v>
      </c>
      <c r="F89" s="16">
        <v>98038.38</v>
      </c>
      <c r="G89" s="16">
        <v>4130.22</v>
      </c>
      <c r="H89" s="16">
        <v>3793.29</v>
      </c>
      <c r="I89" s="16"/>
      <c r="J89" s="16">
        <v>6619.880000000001</v>
      </c>
      <c r="K89" s="16">
        <v>108.69</v>
      </c>
      <c r="L89" s="16">
        <v>434.76</v>
      </c>
      <c r="M89" s="16"/>
      <c r="N89" s="16">
        <v>253.6</v>
      </c>
      <c r="O89" s="16"/>
      <c r="P89" s="16"/>
      <c r="Q89" s="16"/>
      <c r="R89" s="8">
        <f t="shared" si="72"/>
        <v>220424.96000000005</v>
      </c>
      <c r="S89" s="363">
        <f t="shared" si="73"/>
        <v>74876.86</v>
      </c>
      <c r="T89" s="363">
        <f t="shared" si="73"/>
        <v>28901.75</v>
      </c>
      <c r="U89" s="363">
        <f t="shared" si="73"/>
        <v>655.16999999999996</v>
      </c>
      <c r="V89" s="363">
        <f t="shared" si="73"/>
        <v>2612.36</v>
      </c>
      <c r="W89" s="363">
        <f t="shared" si="74"/>
        <v>102168.6</v>
      </c>
      <c r="X89" s="363">
        <f t="shared" si="75"/>
        <v>11210.220000000003</v>
      </c>
      <c r="Y89" s="10" t="b">
        <f t="shared" si="71"/>
        <v>1</v>
      </c>
    </row>
    <row r="90" spans="1:25">
      <c r="A90" s="2" t="s">
        <v>92</v>
      </c>
      <c r="B90" s="16">
        <v>338081.86</v>
      </c>
      <c r="C90" s="16">
        <v>87574.080000000002</v>
      </c>
      <c r="D90" s="16">
        <v>12477.94</v>
      </c>
      <c r="E90" s="16">
        <v>16164.46</v>
      </c>
      <c r="F90" s="16">
        <v>659204.85</v>
      </c>
      <c r="G90" s="16">
        <v>10325.549999999999</v>
      </c>
      <c r="H90" s="16">
        <v>11957.34</v>
      </c>
      <c r="I90" s="16">
        <v>5035.93</v>
      </c>
      <c r="J90" s="16">
        <v>21081.83</v>
      </c>
      <c r="K90" s="16">
        <v>4238.91</v>
      </c>
      <c r="L90" s="16"/>
      <c r="M90" s="16"/>
      <c r="N90" s="16">
        <v>919.30000000000007</v>
      </c>
      <c r="O90" s="16"/>
      <c r="P90" s="16"/>
      <c r="Q90" s="16"/>
      <c r="R90" s="8">
        <f t="shared" si="72"/>
        <v>1167062.05</v>
      </c>
      <c r="S90" s="363">
        <f t="shared" si="73"/>
        <v>338081.86</v>
      </c>
      <c r="T90" s="363">
        <f t="shared" si="73"/>
        <v>87574.080000000002</v>
      </c>
      <c r="U90" s="363">
        <f t="shared" si="73"/>
        <v>12477.94</v>
      </c>
      <c r="V90" s="363">
        <f t="shared" si="73"/>
        <v>16164.46</v>
      </c>
      <c r="W90" s="363">
        <f t="shared" si="74"/>
        <v>669530.4</v>
      </c>
      <c r="X90" s="363">
        <f t="shared" si="75"/>
        <v>43233.310000000012</v>
      </c>
      <c r="Y90" s="10" t="b">
        <f t="shared" si="71"/>
        <v>1</v>
      </c>
    </row>
    <row r="91" spans="1:25">
      <c r="A91" s="2" t="s">
        <v>93</v>
      </c>
      <c r="B91" s="16">
        <v>138646</v>
      </c>
      <c r="C91" s="16">
        <v>38499.56</v>
      </c>
      <c r="D91" s="16">
        <v>2033.17</v>
      </c>
      <c r="E91" s="16">
        <v>6485.8</v>
      </c>
      <c r="F91" s="16">
        <v>183142.65</v>
      </c>
      <c r="G91" s="16">
        <v>6956.16</v>
      </c>
      <c r="H91" s="16">
        <v>4606.1900000000005</v>
      </c>
      <c r="I91" s="16">
        <v>2796.18</v>
      </c>
      <c r="J91" s="16">
        <v>9209.9599999999991</v>
      </c>
      <c r="K91" s="16">
        <v>652.14</v>
      </c>
      <c r="L91" s="16"/>
      <c r="M91" s="16"/>
      <c r="N91" s="82">
        <v>158.5</v>
      </c>
      <c r="O91" s="16"/>
      <c r="P91" s="16"/>
      <c r="Q91" s="16"/>
      <c r="R91" s="8">
        <f t="shared" si="72"/>
        <v>393186.31</v>
      </c>
      <c r="S91" s="363">
        <f t="shared" si="73"/>
        <v>138646</v>
      </c>
      <c r="T91" s="363">
        <f t="shared" si="73"/>
        <v>38499.56</v>
      </c>
      <c r="U91" s="363">
        <f t="shared" si="73"/>
        <v>2033.17</v>
      </c>
      <c r="V91" s="363">
        <f t="shared" si="73"/>
        <v>6485.8</v>
      </c>
      <c r="W91" s="363">
        <f t="shared" si="74"/>
        <v>190098.81</v>
      </c>
      <c r="X91" s="363">
        <f t="shared" si="75"/>
        <v>17422.97</v>
      </c>
      <c r="Y91" s="10" t="b">
        <f t="shared" si="71"/>
        <v>1</v>
      </c>
    </row>
    <row r="92" spans="1:25">
      <c r="A92" s="2" t="s">
        <v>94</v>
      </c>
      <c r="B92" s="16">
        <v>32740.83</v>
      </c>
      <c r="C92" s="16">
        <v>6388.48</v>
      </c>
      <c r="D92" s="16">
        <v>1457.25</v>
      </c>
      <c r="E92" s="16">
        <v>1762.78</v>
      </c>
      <c r="F92" s="16">
        <v>51410.37</v>
      </c>
      <c r="G92" s="16">
        <v>2499.87</v>
      </c>
      <c r="H92" s="16">
        <v>947.24999999999989</v>
      </c>
      <c r="I92" s="16"/>
      <c r="J92" s="16">
        <v>1713.71</v>
      </c>
      <c r="K92" s="16"/>
      <c r="L92" s="16"/>
      <c r="M92" s="16"/>
      <c r="N92" s="16"/>
      <c r="O92" s="16"/>
      <c r="P92" s="16"/>
      <c r="Q92" s="16"/>
      <c r="R92" s="8">
        <f t="shared" si="72"/>
        <v>98920.54</v>
      </c>
      <c r="S92" s="363">
        <f t="shared" si="73"/>
        <v>32740.83</v>
      </c>
      <c r="T92" s="363">
        <f t="shared" si="73"/>
        <v>6388.48</v>
      </c>
      <c r="U92" s="363">
        <f t="shared" si="73"/>
        <v>1457.25</v>
      </c>
      <c r="V92" s="363">
        <f t="shared" si="73"/>
        <v>1762.78</v>
      </c>
      <c r="W92" s="363">
        <f t="shared" si="74"/>
        <v>53910.240000000005</v>
      </c>
      <c r="X92" s="363">
        <f t="shared" si="75"/>
        <v>2660.96</v>
      </c>
      <c r="Y92" s="10" t="b">
        <f t="shared" si="71"/>
        <v>1</v>
      </c>
    </row>
    <row r="93" spans="1:25">
      <c r="A93" s="2" t="s">
        <v>95</v>
      </c>
      <c r="B93" s="16">
        <v>423234.32</v>
      </c>
      <c r="C93" s="16">
        <v>90266.5</v>
      </c>
      <c r="D93" s="16">
        <v>14359.02</v>
      </c>
      <c r="E93" s="16">
        <v>9635.59</v>
      </c>
      <c r="F93" s="16">
        <v>555264.99</v>
      </c>
      <c r="G93" s="16">
        <v>19129.439999999999</v>
      </c>
      <c r="H93" s="16">
        <v>13007.71</v>
      </c>
      <c r="I93" s="16">
        <v>769.84999999999991</v>
      </c>
      <c r="J93" s="16">
        <v>21100.469999999998</v>
      </c>
      <c r="K93" s="16">
        <v>2173.8000000000002</v>
      </c>
      <c r="L93" s="16">
        <v>434.76</v>
      </c>
      <c r="M93" s="16"/>
      <c r="N93" s="16">
        <v>1077.8</v>
      </c>
      <c r="O93" s="16"/>
      <c r="P93" s="16"/>
      <c r="Q93" s="16"/>
      <c r="R93" s="8">
        <f t="shared" si="72"/>
        <v>1150454.25</v>
      </c>
      <c r="S93" s="363">
        <f t="shared" si="73"/>
        <v>423234.32</v>
      </c>
      <c r="T93" s="363">
        <f t="shared" si="73"/>
        <v>90266.5</v>
      </c>
      <c r="U93" s="363">
        <f t="shared" si="73"/>
        <v>14359.02</v>
      </c>
      <c r="V93" s="363">
        <f t="shared" si="73"/>
        <v>9635.59</v>
      </c>
      <c r="W93" s="363">
        <f t="shared" si="74"/>
        <v>574394.42999999993</v>
      </c>
      <c r="X93" s="363">
        <f t="shared" si="75"/>
        <v>38564.390000000007</v>
      </c>
      <c r="Y93" s="10" t="b">
        <f t="shared" si="71"/>
        <v>1</v>
      </c>
    </row>
    <row r="94" spans="1:25">
      <c r="A94" s="2" t="s">
        <v>96</v>
      </c>
      <c r="B94" s="16">
        <v>72289.72</v>
      </c>
      <c r="C94" s="16">
        <v>22099.119999999999</v>
      </c>
      <c r="D94" s="16">
        <v>253.62</v>
      </c>
      <c r="E94" s="16">
        <v>593.77</v>
      </c>
      <c r="F94" s="16">
        <v>87060.69</v>
      </c>
      <c r="G94" s="16">
        <v>2717.25</v>
      </c>
      <c r="H94" s="16">
        <v>4107.6499999999996</v>
      </c>
      <c r="I94" s="16">
        <v>6968.85</v>
      </c>
      <c r="J94" s="16">
        <v>4679.0899999999992</v>
      </c>
      <c r="K94" s="16">
        <v>326.07</v>
      </c>
      <c r="L94" s="16"/>
      <c r="M94" s="16"/>
      <c r="N94" s="16">
        <v>158.5</v>
      </c>
      <c r="O94" s="16"/>
      <c r="P94" s="16"/>
      <c r="Q94" s="16"/>
      <c r="R94" s="8">
        <f t="shared" si="72"/>
        <v>201254.33</v>
      </c>
      <c r="S94" s="363">
        <f t="shared" si="73"/>
        <v>72289.72</v>
      </c>
      <c r="T94" s="363">
        <f t="shared" si="73"/>
        <v>22099.119999999999</v>
      </c>
      <c r="U94" s="363">
        <f t="shared" si="73"/>
        <v>253.62</v>
      </c>
      <c r="V94" s="363">
        <f t="shared" si="73"/>
        <v>593.77</v>
      </c>
      <c r="W94" s="363">
        <f t="shared" si="74"/>
        <v>89777.94</v>
      </c>
      <c r="X94" s="363">
        <f t="shared" si="75"/>
        <v>16240.16</v>
      </c>
      <c r="Y94" s="10" t="b">
        <f t="shared" si="71"/>
        <v>1</v>
      </c>
    </row>
    <row r="95" spans="1:25">
      <c r="A95" s="2" t="s">
        <v>97</v>
      </c>
      <c r="B95" s="16">
        <v>436290.33</v>
      </c>
      <c r="C95" s="16">
        <v>101506.25</v>
      </c>
      <c r="D95" s="16">
        <v>12346.84</v>
      </c>
      <c r="E95" s="16">
        <v>22424.92</v>
      </c>
      <c r="F95" s="16">
        <v>820609.5</v>
      </c>
      <c r="G95" s="16">
        <v>15216.599999999999</v>
      </c>
      <c r="H95" s="82">
        <v>18523.399999999998</v>
      </c>
      <c r="I95" s="16">
        <v>1232.03</v>
      </c>
      <c r="J95" s="16">
        <v>25853.100000000002</v>
      </c>
      <c r="K95" s="16">
        <v>3260.7</v>
      </c>
      <c r="L95" s="16">
        <v>434.76</v>
      </c>
      <c r="M95" s="16">
        <v>350.29</v>
      </c>
      <c r="N95" s="16">
        <v>919.3</v>
      </c>
      <c r="O95" s="16"/>
      <c r="P95" s="16"/>
      <c r="Q95" s="16"/>
      <c r="R95" s="8">
        <f t="shared" si="72"/>
        <v>1458968.0200000003</v>
      </c>
      <c r="S95" s="363">
        <f t="shared" si="73"/>
        <v>436290.33</v>
      </c>
      <c r="T95" s="363">
        <f t="shared" si="73"/>
        <v>101506.25</v>
      </c>
      <c r="U95" s="363">
        <f t="shared" si="73"/>
        <v>12346.84</v>
      </c>
      <c r="V95" s="363">
        <f t="shared" si="73"/>
        <v>22424.92</v>
      </c>
      <c r="W95" s="363">
        <f t="shared" si="74"/>
        <v>835826.1</v>
      </c>
      <c r="X95" s="363">
        <f t="shared" si="75"/>
        <v>50573.58</v>
      </c>
      <c r="Y95" s="10" t="b">
        <f t="shared" si="71"/>
        <v>1</v>
      </c>
    </row>
    <row r="96" spans="1:25">
      <c r="A96" s="2" t="s">
        <v>98</v>
      </c>
      <c r="B96" s="16">
        <v>35229.51</v>
      </c>
      <c r="C96" s="16">
        <v>18800.64</v>
      </c>
      <c r="D96" s="16">
        <v>697.44</v>
      </c>
      <c r="E96" s="16">
        <v>2467.48</v>
      </c>
      <c r="F96" s="16">
        <v>87169.38</v>
      </c>
      <c r="G96" s="16">
        <v>2282.4900000000002</v>
      </c>
      <c r="H96" s="16">
        <v>1830.6700000000003</v>
      </c>
      <c r="I96" s="16"/>
      <c r="J96" s="16">
        <v>4392.07</v>
      </c>
      <c r="K96" s="16">
        <v>217.38</v>
      </c>
      <c r="L96" s="16"/>
      <c r="M96" s="16"/>
      <c r="N96" s="16">
        <v>31.7</v>
      </c>
      <c r="O96" s="16"/>
      <c r="P96" s="16"/>
      <c r="Q96" s="16"/>
      <c r="R96" s="8">
        <f t="shared" si="72"/>
        <v>153118.76000000004</v>
      </c>
      <c r="S96" s="363">
        <f t="shared" si="73"/>
        <v>35229.51</v>
      </c>
      <c r="T96" s="363">
        <f t="shared" si="73"/>
        <v>18800.64</v>
      </c>
      <c r="U96" s="363">
        <f t="shared" si="73"/>
        <v>697.44</v>
      </c>
      <c r="V96" s="363">
        <f t="shared" si="73"/>
        <v>2467.48</v>
      </c>
      <c r="W96" s="363">
        <f t="shared" si="74"/>
        <v>89451.87000000001</v>
      </c>
      <c r="X96" s="363">
        <f t="shared" si="75"/>
        <v>6471.82</v>
      </c>
      <c r="Y96" s="10" t="b">
        <f t="shared" si="71"/>
        <v>1</v>
      </c>
    </row>
    <row r="97" spans="1:25">
      <c r="A97" s="2" t="s">
        <v>99</v>
      </c>
      <c r="B97" s="16">
        <v>6085.87</v>
      </c>
      <c r="C97" s="16">
        <v>252.16</v>
      </c>
      <c r="D97" s="16">
        <v>25.36</v>
      </c>
      <c r="E97" s="16"/>
      <c r="F97" s="16">
        <v>15216.6</v>
      </c>
      <c r="G97" s="16">
        <v>108.69</v>
      </c>
      <c r="H97" s="16">
        <v>17.149999999999999</v>
      </c>
      <c r="I97" s="16"/>
      <c r="J97" s="16">
        <v>53.86</v>
      </c>
      <c r="K97" s="16">
        <v>434.76</v>
      </c>
      <c r="L97" s="16"/>
      <c r="M97" s="16"/>
      <c r="N97" s="16">
        <v>31.7</v>
      </c>
      <c r="O97" s="16"/>
      <c r="P97" s="16"/>
      <c r="Q97" s="16"/>
      <c r="R97" s="8">
        <f t="shared" si="72"/>
        <v>22226.149999999998</v>
      </c>
      <c r="S97" s="363">
        <f t="shared" si="73"/>
        <v>6085.87</v>
      </c>
      <c r="T97" s="363">
        <f t="shared" si="73"/>
        <v>252.16</v>
      </c>
      <c r="U97" s="363">
        <f t="shared" si="73"/>
        <v>25.36</v>
      </c>
      <c r="V97" s="363">
        <f t="shared" si="73"/>
        <v>0</v>
      </c>
      <c r="W97" s="363">
        <f t="shared" si="74"/>
        <v>15325.29</v>
      </c>
      <c r="X97" s="363">
        <f t="shared" si="75"/>
        <v>537.47</v>
      </c>
      <c r="Y97" s="10" t="b">
        <f t="shared" si="71"/>
        <v>1</v>
      </c>
    </row>
    <row r="98" spans="1:25">
      <c r="A98" s="2" t="s">
        <v>100</v>
      </c>
      <c r="B98" s="16">
        <v>328441.26</v>
      </c>
      <c r="C98" s="16">
        <v>73431.83</v>
      </c>
      <c r="D98" s="16">
        <v>11460.36</v>
      </c>
      <c r="E98" s="16">
        <v>27672.579999999998</v>
      </c>
      <c r="F98" s="16">
        <v>545732.49</v>
      </c>
      <c r="G98" s="16">
        <v>5217.1200000000008</v>
      </c>
      <c r="H98" s="16">
        <v>14532.18</v>
      </c>
      <c r="I98" s="16">
        <v>1268.08</v>
      </c>
      <c r="J98" s="16">
        <v>21452.09</v>
      </c>
      <c r="K98" s="16">
        <v>2282.4899999999998</v>
      </c>
      <c r="L98" s="16">
        <v>217.38</v>
      </c>
      <c r="M98" s="16">
        <v>2536.16</v>
      </c>
      <c r="N98" s="16">
        <v>887.6</v>
      </c>
      <c r="O98" s="16"/>
      <c r="P98" s="16"/>
      <c r="Q98" s="16"/>
      <c r="R98" s="8">
        <f t="shared" si="72"/>
        <v>1035131.62</v>
      </c>
      <c r="S98" s="363">
        <f t="shared" si="73"/>
        <v>328441.26</v>
      </c>
      <c r="T98" s="363">
        <f t="shared" si="73"/>
        <v>73431.83</v>
      </c>
      <c r="U98" s="363">
        <f t="shared" si="73"/>
        <v>11460.36</v>
      </c>
      <c r="V98" s="363">
        <f t="shared" si="73"/>
        <v>27672.579999999998</v>
      </c>
      <c r="W98" s="363">
        <f t="shared" si="74"/>
        <v>550949.61</v>
      </c>
      <c r="X98" s="363">
        <f t="shared" si="75"/>
        <v>43175.979999999989</v>
      </c>
      <c r="Y98" s="10" t="b">
        <f t="shared" si="71"/>
        <v>1</v>
      </c>
    </row>
    <row r="99" spans="1:25">
      <c r="A99" s="2" t="s">
        <v>101</v>
      </c>
      <c r="B99" s="16">
        <v>1611409.94</v>
      </c>
      <c r="C99" s="16">
        <v>431398.73</v>
      </c>
      <c r="D99" s="16">
        <v>36488.160000000003</v>
      </c>
      <c r="E99" s="16">
        <v>70939.41</v>
      </c>
      <c r="F99" s="16">
        <v>3007234.92</v>
      </c>
      <c r="G99" s="16">
        <v>35541.630000000005</v>
      </c>
      <c r="H99" s="16">
        <v>108372.87</v>
      </c>
      <c r="I99" s="16">
        <v>6691.92</v>
      </c>
      <c r="J99" s="16">
        <v>106597.42</v>
      </c>
      <c r="K99" s="16">
        <v>6086.64</v>
      </c>
      <c r="L99" s="16">
        <v>217.38</v>
      </c>
      <c r="M99" s="16"/>
      <c r="N99" s="16">
        <v>4659.8999999999996</v>
      </c>
      <c r="O99" s="16"/>
      <c r="P99" s="16"/>
      <c r="Q99" s="16"/>
      <c r="R99" s="8">
        <f t="shared" si="72"/>
        <v>5425638.9199999999</v>
      </c>
      <c r="S99" s="363">
        <f t="shared" si="73"/>
        <v>1611409.94</v>
      </c>
      <c r="T99" s="363">
        <f t="shared" si="73"/>
        <v>431398.73</v>
      </c>
      <c r="U99" s="363">
        <f t="shared" si="73"/>
        <v>36488.160000000003</v>
      </c>
      <c r="V99" s="363">
        <f t="shared" si="73"/>
        <v>70939.41</v>
      </c>
      <c r="W99" s="363">
        <f t="shared" si="74"/>
        <v>3042776.55</v>
      </c>
      <c r="X99" s="363">
        <f t="shared" si="75"/>
        <v>232626.13</v>
      </c>
      <c r="Y99" s="10" t="b">
        <f t="shared" si="71"/>
        <v>1</v>
      </c>
    </row>
    <row r="100" spans="1:25">
      <c r="A100" s="2" t="s">
        <v>102</v>
      </c>
      <c r="B100" s="16">
        <v>40538.22</v>
      </c>
      <c r="C100" s="16">
        <v>12742.47</v>
      </c>
      <c r="D100" s="16">
        <v>1141.28</v>
      </c>
      <c r="E100" s="16">
        <v>1493.31</v>
      </c>
      <c r="F100" s="16">
        <v>79452.39</v>
      </c>
      <c r="G100" s="16">
        <v>1195.5900000000001</v>
      </c>
      <c r="H100" s="16">
        <v>1967.9099999999999</v>
      </c>
      <c r="I100" s="16"/>
      <c r="J100" s="16">
        <v>2897.38</v>
      </c>
      <c r="K100" s="16">
        <v>217.38</v>
      </c>
      <c r="L100" s="16"/>
      <c r="M100" s="16"/>
      <c r="N100" s="16">
        <v>126.8</v>
      </c>
      <c r="O100" s="16"/>
      <c r="P100" s="16"/>
      <c r="Q100" s="16"/>
      <c r="R100" s="8">
        <f t="shared" si="72"/>
        <v>141772.72999999998</v>
      </c>
      <c r="S100" s="363">
        <f t="shared" si="73"/>
        <v>40538.22</v>
      </c>
      <c r="T100" s="363">
        <f t="shared" si="73"/>
        <v>12742.47</v>
      </c>
      <c r="U100" s="363">
        <f t="shared" si="73"/>
        <v>1141.28</v>
      </c>
      <c r="V100" s="363">
        <f t="shared" si="73"/>
        <v>1493.31</v>
      </c>
      <c r="W100" s="363">
        <f t="shared" si="74"/>
        <v>80647.98</v>
      </c>
      <c r="X100" s="363">
        <f t="shared" si="75"/>
        <v>5209.47</v>
      </c>
      <c r="Y100" s="10" t="b">
        <f t="shared" si="71"/>
        <v>1</v>
      </c>
    </row>
    <row r="101" spans="1:25">
      <c r="A101" s="2" t="s">
        <v>103</v>
      </c>
      <c r="B101" s="16">
        <v>26651.66</v>
      </c>
      <c r="C101" s="16">
        <v>6453.3099999999995</v>
      </c>
      <c r="D101" s="16">
        <v>1204.69</v>
      </c>
      <c r="E101" s="16">
        <v>3063.78</v>
      </c>
      <c r="F101" s="16">
        <v>49671.33</v>
      </c>
      <c r="G101" s="16">
        <v>1956.42</v>
      </c>
      <c r="H101" s="16">
        <v>1108.3899999999999</v>
      </c>
      <c r="I101" s="16"/>
      <c r="J101" s="16">
        <v>2050.69</v>
      </c>
      <c r="K101" s="16">
        <v>108.69</v>
      </c>
      <c r="L101" s="16"/>
      <c r="M101" s="16"/>
      <c r="N101" s="16">
        <v>63.4</v>
      </c>
      <c r="O101" s="16"/>
      <c r="P101" s="16"/>
      <c r="Q101" s="16"/>
      <c r="R101" s="8">
        <f t="shared" si="72"/>
        <v>92332.36</v>
      </c>
      <c r="S101" s="363">
        <f t="shared" si="73"/>
        <v>26651.66</v>
      </c>
      <c r="T101" s="363">
        <f t="shared" si="73"/>
        <v>6453.3099999999995</v>
      </c>
      <c r="U101" s="363">
        <f t="shared" si="73"/>
        <v>1204.69</v>
      </c>
      <c r="V101" s="363">
        <f t="shared" si="73"/>
        <v>3063.78</v>
      </c>
      <c r="W101" s="363">
        <f t="shared" si="74"/>
        <v>51627.75</v>
      </c>
      <c r="X101" s="363">
        <f t="shared" si="75"/>
        <v>3331.17</v>
      </c>
      <c r="Y101" s="10" t="b">
        <f t="shared" si="71"/>
        <v>1</v>
      </c>
    </row>
    <row r="102" spans="1:25">
      <c r="A102" s="6" t="s">
        <v>37</v>
      </c>
      <c r="B102" s="5">
        <f t="shared" ref="B102:Q102" si="76">SUM(B75:B101)</f>
        <v>5269558.54</v>
      </c>
      <c r="C102" s="5">
        <f t="shared" si="76"/>
        <v>1356338.5999999999</v>
      </c>
      <c r="D102" s="5">
        <f t="shared" si="76"/>
        <v>139317.31</v>
      </c>
      <c r="E102" s="5">
        <f t="shared" si="76"/>
        <v>247468.26</v>
      </c>
      <c r="F102" s="5">
        <f t="shared" si="76"/>
        <v>8554492.5900000017</v>
      </c>
      <c r="G102" s="5">
        <f t="shared" si="76"/>
        <v>175143.58</v>
      </c>
      <c r="H102" s="5">
        <f t="shared" si="76"/>
        <v>262674.42</v>
      </c>
      <c r="I102" s="5">
        <f t="shared" si="76"/>
        <v>30826.39</v>
      </c>
      <c r="J102" s="5">
        <f t="shared" si="76"/>
        <v>335352.07999999996</v>
      </c>
      <c r="K102" s="5">
        <f t="shared" si="76"/>
        <v>31411.409999999996</v>
      </c>
      <c r="L102" s="5">
        <f t="shared" si="76"/>
        <v>2825.9400000000005</v>
      </c>
      <c r="M102" s="5">
        <f t="shared" si="76"/>
        <v>5138.09</v>
      </c>
      <c r="N102" s="5">
        <f t="shared" si="76"/>
        <v>12933.599999999999</v>
      </c>
      <c r="O102" s="5">
        <f t="shared" si="76"/>
        <v>0</v>
      </c>
      <c r="P102" s="5">
        <f t="shared" si="76"/>
        <v>21.25</v>
      </c>
      <c r="Q102" s="5">
        <f t="shared" si="76"/>
        <v>0</v>
      </c>
      <c r="R102" s="5">
        <f>SUM(R75:R101)</f>
        <v>16423502.059999999</v>
      </c>
      <c r="S102" s="363">
        <f t="shared" ref="S102:X102" si="77">SUM(S75:S101)</f>
        <v>5269558.54</v>
      </c>
      <c r="T102" s="363">
        <f t="shared" si="77"/>
        <v>1356338.5999999999</v>
      </c>
      <c r="U102" s="363">
        <f t="shared" si="77"/>
        <v>139317.31</v>
      </c>
      <c r="V102" s="363">
        <f t="shared" si="77"/>
        <v>247468.26</v>
      </c>
      <c r="W102" s="363">
        <f t="shared" si="77"/>
        <v>8729636.1700000018</v>
      </c>
      <c r="X102" s="363">
        <f t="shared" si="77"/>
        <v>681183.18</v>
      </c>
      <c r="Y102" s="10" t="b">
        <f t="shared" si="71"/>
        <v>1</v>
      </c>
    </row>
    <row r="103" spans="1:25">
      <c r="B103" s="357" t="e">
        <f>B102=#REF!</f>
        <v>#REF!</v>
      </c>
      <c r="C103" s="357" t="e">
        <f>C102=#REF!</f>
        <v>#REF!</v>
      </c>
      <c r="D103" s="357" t="e">
        <f>D102=#REF!</f>
        <v>#REF!</v>
      </c>
      <c r="E103" s="357" t="e">
        <f>E102=#REF!</f>
        <v>#REF!</v>
      </c>
      <c r="F103" s="357" t="e">
        <f>F102=#REF!</f>
        <v>#REF!</v>
      </c>
      <c r="G103" s="357" t="e">
        <f>G102=#REF!</f>
        <v>#REF!</v>
      </c>
      <c r="H103" s="357" t="e">
        <f>H102=#REF!</f>
        <v>#REF!</v>
      </c>
      <c r="I103" s="357" t="e">
        <f>I102=#REF!</f>
        <v>#REF!</v>
      </c>
      <c r="J103" s="357" t="e">
        <f>J102=#REF!</f>
        <v>#REF!</v>
      </c>
      <c r="K103" s="357" t="e">
        <f>K102=#REF!</f>
        <v>#REF!</v>
      </c>
      <c r="L103" s="357" t="e">
        <f>L102=#REF!</f>
        <v>#REF!</v>
      </c>
      <c r="M103" s="357" t="e">
        <f>M102=#REF!</f>
        <v>#REF!</v>
      </c>
      <c r="N103" s="357" t="e">
        <f>N102=#REF!</f>
        <v>#REF!</v>
      </c>
      <c r="O103" s="357" t="e">
        <f>O102=#REF!</f>
        <v>#REF!</v>
      </c>
      <c r="P103" s="357" t="e">
        <f>P102=#REF!</f>
        <v>#REF!</v>
      </c>
      <c r="Q103" s="357" t="e">
        <f>Q102=#REF!</f>
        <v>#REF!</v>
      </c>
      <c r="R103" s="357" t="e">
        <f>R102=#REF!</f>
        <v>#REF!</v>
      </c>
    </row>
  </sheetData>
  <mergeCells count="48">
    <mergeCell ref="A38:A39"/>
    <mergeCell ref="B38:C38"/>
    <mergeCell ref="D38:E38"/>
    <mergeCell ref="F38:F39"/>
    <mergeCell ref="I3:I4"/>
    <mergeCell ref="G38:G39"/>
    <mergeCell ref="G73:G74"/>
    <mergeCell ref="A2:R2"/>
    <mergeCell ref="A3:A4"/>
    <mergeCell ref="B3:C3"/>
    <mergeCell ref="D3:E3"/>
    <mergeCell ref="F3:F4"/>
    <mergeCell ref="G3:G4"/>
    <mergeCell ref="H3:H4"/>
    <mergeCell ref="H38:H39"/>
    <mergeCell ref="I38:I39"/>
    <mergeCell ref="J38:J39"/>
    <mergeCell ref="K38:K39"/>
    <mergeCell ref="L38:L39"/>
    <mergeCell ref="M38:M39"/>
    <mergeCell ref="J3:J4"/>
    <mergeCell ref="A37:R37"/>
    <mergeCell ref="M73:M74"/>
    <mergeCell ref="N73:N74"/>
    <mergeCell ref="P73:Q73"/>
    <mergeCell ref="R73:R74"/>
    <mergeCell ref="O38:O39"/>
    <mergeCell ref="O73:O74"/>
    <mergeCell ref="A72:R72"/>
    <mergeCell ref="A73:A74"/>
    <mergeCell ref="B73:C73"/>
    <mergeCell ref="D73:E73"/>
    <mergeCell ref="F73:F74"/>
    <mergeCell ref="H73:H74"/>
    <mergeCell ref="I73:I74"/>
    <mergeCell ref="J73:J74"/>
    <mergeCell ref="K73:K74"/>
    <mergeCell ref="L73:L74"/>
    <mergeCell ref="N38:N39"/>
    <mergeCell ref="P38:Q38"/>
    <mergeCell ref="R38:R39"/>
    <mergeCell ref="K3:K4"/>
    <mergeCell ref="P3:Q3"/>
    <mergeCell ref="R3:R4"/>
    <mergeCell ref="L3:L4"/>
    <mergeCell ref="M3:M4"/>
    <mergeCell ref="N3:N4"/>
    <mergeCell ref="O3:O4"/>
  </mergeCells>
  <conditionalFormatting sqref="Y5:Y32">
    <cfRule type="cellIs" dxfId="138" priority="5" operator="equal">
      <formula>FALSE</formula>
    </cfRule>
    <cfRule type="cellIs" dxfId="137" priority="6" operator="equal">
      <formula>TRUE</formula>
    </cfRule>
  </conditionalFormatting>
  <conditionalFormatting sqref="Y40:Y67">
    <cfRule type="cellIs" dxfId="136" priority="3" operator="equal">
      <formula>FALSE</formula>
    </cfRule>
    <cfRule type="cellIs" dxfId="135" priority="4" operator="equal">
      <formula>TRUE</formula>
    </cfRule>
  </conditionalFormatting>
  <conditionalFormatting sqref="Y75:Y102">
    <cfRule type="cellIs" dxfId="134" priority="1" operator="equal">
      <formula>FALSE</formula>
    </cfRule>
    <cfRule type="cellIs" dxfId="133" priority="2" operator="equal">
      <formula>TRUE</formula>
    </cfRule>
  </conditionalFormatting>
  <pageMargins left="0.511811024" right="0.511811024" top="0.78740157499999996" bottom="0.78740157499999996" header="0.31496062000000002" footer="0.31496062000000002"/>
  <pageSetup paperSize="9" scale="27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8">
    <tabColor theme="9" tint="0.59999389629810485"/>
    <pageSetUpPr fitToPage="1"/>
  </sheetPr>
  <dimension ref="A1:XFC37"/>
  <sheetViews>
    <sheetView showGridLines="0" showRowColHeaders="0" zoomScale="96" zoomScaleNormal="96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9">
    <tabColor theme="9" tint="0.59999389629810485"/>
    <pageSetUpPr fitToPage="1"/>
  </sheetPr>
  <dimension ref="A1:XFC37"/>
  <sheetViews>
    <sheetView showGridLines="0" showRowColHeaders="0" zoomScale="96" zoomScaleNormal="96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0">
    <tabColor theme="9" tint="0.59999389629810485"/>
    <pageSetUpPr fitToPage="1"/>
  </sheetPr>
  <dimension ref="A1:XFC37"/>
  <sheetViews>
    <sheetView showGridLines="0" showRowColHeaders="0" zoomScale="96" zoomScaleNormal="96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1">
    <tabColor theme="9" tint="0.59999389629810485"/>
    <pageSetUpPr fitToPage="1"/>
  </sheetPr>
  <dimension ref="A1:XFC37"/>
  <sheetViews>
    <sheetView showGridLines="0" showRowColHeaders="0" zoomScale="96" zoomScaleNormal="96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2">
    <tabColor theme="9" tint="0.59999389629810485"/>
    <pageSetUpPr fitToPage="1"/>
  </sheetPr>
  <dimension ref="A1:XFC37"/>
  <sheetViews>
    <sheetView showGridLines="0" showRowColHeaders="0" zoomScale="96" zoomScaleNormal="96" workbookViewId="0">
      <selection sqref="A1:AC1"/>
    </sheetView>
  </sheetViews>
  <sheetFormatPr defaultColWidth="0" defaultRowHeight="0" customHeight="1" zeroHeight="1"/>
  <cols>
    <col min="1" max="27" width="9.140625" customWidth="1"/>
    <col min="28" max="28" width="9" customWidth="1"/>
    <col min="29" max="29" width="20.140625" customWidth="1"/>
    <col min="30" max="16383" width="9.140625" hidden="1"/>
    <col min="16384" max="16384" width="4.42578125" hidden="1" customWidth="1"/>
  </cols>
  <sheetData>
    <row r="1" spans="1:29" ht="60" customHeight="1">
      <c r="A1" s="1034"/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1034"/>
      <c r="AB1" s="1034"/>
      <c r="AC1" s="1034"/>
    </row>
    <row r="2" spans="1:29" ht="15">
      <c r="A2" s="1035"/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</row>
    <row r="3" spans="1:29" ht="15">
      <c r="A3" s="1035"/>
      <c r="B3" s="1035"/>
      <c r="C3" s="1035"/>
      <c r="D3" s="1035"/>
      <c r="E3" s="1035"/>
      <c r="F3" s="1035"/>
      <c r="G3" s="1035"/>
      <c r="H3" s="1035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</row>
    <row r="4" spans="1:29" ht="15">
      <c r="A4" s="1035"/>
      <c r="B4" s="1035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</row>
    <row r="5" spans="1:29" ht="15">
      <c r="A5" s="1035"/>
      <c r="B5" s="1035"/>
      <c r="C5" s="1035"/>
      <c r="D5" s="1035"/>
      <c r="E5" s="1035"/>
      <c r="F5" s="1035"/>
      <c r="G5" s="1035"/>
      <c r="H5" s="1035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35"/>
    </row>
    <row r="6" spans="1:29" ht="15">
      <c r="A6" s="1035"/>
      <c r="B6" s="1035"/>
      <c r="C6" s="1035"/>
      <c r="D6" s="1035"/>
      <c r="E6" s="1035"/>
      <c r="F6" s="1035"/>
      <c r="G6" s="1035"/>
      <c r="H6" s="1035"/>
      <c r="I6" s="1035"/>
      <c r="J6" s="1035"/>
      <c r="K6" s="1035"/>
      <c r="L6" s="1035"/>
      <c r="M6" s="1035"/>
      <c r="N6" s="1035"/>
      <c r="O6" s="1035"/>
      <c r="P6" s="1035"/>
      <c r="Q6" s="1035"/>
      <c r="R6" s="1035"/>
      <c r="S6" s="1035"/>
      <c r="T6" s="1035"/>
      <c r="U6" s="1035"/>
      <c r="V6" s="1035"/>
      <c r="W6" s="1035"/>
      <c r="X6" s="1035"/>
      <c r="Y6" s="1035"/>
      <c r="Z6" s="1035"/>
      <c r="AA6" s="1035"/>
      <c r="AB6" s="1035"/>
      <c r="AC6" s="1035"/>
    </row>
    <row r="7" spans="1:29" ht="15">
      <c r="A7" s="1035"/>
      <c r="B7" s="1035"/>
      <c r="C7" s="1035"/>
      <c r="D7" s="1035"/>
      <c r="E7" s="1035"/>
      <c r="F7" s="1035"/>
      <c r="G7" s="1035"/>
      <c r="H7" s="1035"/>
      <c r="I7" s="1035"/>
      <c r="J7" s="1035"/>
      <c r="K7" s="1035"/>
      <c r="L7" s="1035"/>
      <c r="M7" s="1035"/>
      <c r="N7" s="1035"/>
      <c r="O7" s="1035"/>
      <c r="P7" s="1035"/>
      <c r="Q7" s="1035"/>
      <c r="R7" s="1035"/>
      <c r="S7" s="1035"/>
      <c r="T7" s="1035"/>
      <c r="U7" s="1035"/>
      <c r="V7" s="1035"/>
      <c r="W7" s="1035"/>
      <c r="X7" s="1035"/>
      <c r="Y7" s="1035"/>
      <c r="Z7" s="1035"/>
      <c r="AA7" s="1035"/>
      <c r="AB7" s="1035"/>
      <c r="AC7" s="1035"/>
    </row>
    <row r="8" spans="1:29" ht="15">
      <c r="A8" s="1035"/>
      <c r="B8" s="1035"/>
      <c r="C8" s="1035"/>
      <c r="D8" s="1035"/>
      <c r="E8" s="1035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5"/>
      <c r="T8" s="1035"/>
      <c r="U8" s="1035"/>
      <c r="V8" s="1035"/>
      <c r="W8" s="1035"/>
      <c r="X8" s="1035"/>
      <c r="Y8" s="1035"/>
      <c r="Z8" s="1035"/>
      <c r="AA8" s="1035"/>
      <c r="AB8" s="1035"/>
      <c r="AC8" s="1035"/>
    </row>
    <row r="9" spans="1:29" ht="15">
      <c r="A9" s="1035"/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  <c r="M9" s="1035"/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</row>
    <row r="10" spans="1:29" ht="15">
      <c r="A10" s="1035"/>
      <c r="B10" s="1035"/>
      <c r="C10" s="1035"/>
      <c r="D10" s="1035"/>
      <c r="E10" s="1035"/>
      <c r="F10" s="1035"/>
      <c r="G10" s="1035"/>
      <c r="H10" s="1035"/>
      <c r="I10" s="1035"/>
      <c r="J10" s="1035"/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</row>
    <row r="11" spans="1:29" ht="15">
      <c r="A11" s="1035"/>
      <c r="B11" s="1035"/>
      <c r="C11" s="1035"/>
      <c r="D11" s="1035"/>
      <c r="E11" s="1035"/>
      <c r="F11" s="1035"/>
      <c r="G11" s="1035"/>
      <c r="H11" s="1035"/>
      <c r="I11" s="1035"/>
      <c r="J11" s="1035"/>
      <c r="K11" s="1035"/>
      <c r="L11" s="1035"/>
      <c r="M11" s="1035"/>
      <c r="N11" s="1035"/>
      <c r="O11" s="1035"/>
      <c r="P11" s="1035"/>
      <c r="Q11" s="1035"/>
      <c r="R11" s="1035"/>
      <c r="S11" s="1035"/>
      <c r="T11" s="1035"/>
      <c r="U11" s="1035"/>
      <c r="V11" s="1035"/>
      <c r="W11" s="1035"/>
      <c r="X11" s="1035"/>
      <c r="Y11" s="1035"/>
      <c r="Z11" s="1035"/>
      <c r="AA11" s="1035"/>
      <c r="AB11" s="1035"/>
      <c r="AC11" s="1035"/>
    </row>
    <row r="12" spans="1:29" ht="15">
      <c r="A12" s="1035"/>
      <c r="B12" s="1035"/>
      <c r="C12" s="1035"/>
      <c r="D12" s="1035"/>
      <c r="E12" s="1035"/>
      <c r="F12" s="1035"/>
      <c r="G12" s="1035"/>
      <c r="H12" s="1035"/>
      <c r="I12" s="1035"/>
      <c r="J12" s="1035"/>
      <c r="K12" s="1035"/>
      <c r="L12" s="1035"/>
      <c r="M12" s="1035"/>
      <c r="N12" s="1035"/>
      <c r="O12" s="1035"/>
      <c r="P12" s="1035"/>
      <c r="Q12" s="1035"/>
      <c r="R12" s="1035"/>
      <c r="S12" s="1035"/>
      <c r="T12" s="1035"/>
      <c r="U12" s="1035"/>
      <c r="V12" s="1035"/>
      <c r="W12" s="1035"/>
      <c r="X12" s="1035"/>
      <c r="Y12" s="1035"/>
      <c r="Z12" s="1035"/>
      <c r="AA12" s="1035"/>
      <c r="AB12" s="1035"/>
      <c r="AC12" s="1035"/>
    </row>
    <row r="13" spans="1:29" ht="15">
      <c r="A13" s="1035"/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</row>
    <row r="14" spans="1:29" ht="15">
      <c r="A14" s="1035"/>
      <c r="B14" s="1035"/>
      <c r="C14" s="1035"/>
      <c r="D14" s="1035"/>
      <c r="E14" s="1035"/>
      <c r="F14" s="1035"/>
      <c r="G14" s="1035"/>
      <c r="H14" s="1035"/>
      <c r="I14" s="1035"/>
      <c r="J14" s="1035"/>
      <c r="K14" s="1035"/>
      <c r="L14" s="1035"/>
      <c r="M14" s="1035"/>
      <c r="N14" s="1035"/>
      <c r="O14" s="1035"/>
      <c r="P14" s="1035"/>
      <c r="Q14" s="1035"/>
      <c r="R14" s="1035"/>
      <c r="S14" s="1035"/>
      <c r="T14" s="1035"/>
      <c r="U14" s="1035"/>
      <c r="V14" s="1035"/>
      <c r="W14" s="1035"/>
      <c r="X14" s="1035"/>
      <c r="Y14" s="1035"/>
      <c r="Z14" s="1035"/>
      <c r="AA14" s="1035"/>
      <c r="AB14" s="1035"/>
      <c r="AC14" s="1035"/>
    </row>
    <row r="15" spans="1:29" ht="15">
      <c r="A15" s="1035"/>
      <c r="B15" s="1035"/>
      <c r="C15" s="1035"/>
      <c r="D15" s="1035"/>
      <c r="E15" s="1035"/>
      <c r="F15" s="1035"/>
      <c r="G15" s="1035"/>
      <c r="H15" s="1035"/>
      <c r="I15" s="1035"/>
      <c r="J15" s="1035"/>
      <c r="K15" s="1035"/>
      <c r="L15" s="1035"/>
      <c r="M15" s="1035"/>
      <c r="N15" s="1035"/>
      <c r="O15" s="1035"/>
      <c r="P15" s="1035"/>
      <c r="Q15" s="1035"/>
      <c r="R15" s="1035"/>
      <c r="S15" s="1035"/>
      <c r="T15" s="1035"/>
      <c r="U15" s="1035"/>
      <c r="V15" s="1035"/>
      <c r="W15" s="1035"/>
      <c r="X15" s="1035"/>
      <c r="Y15" s="1035"/>
      <c r="Z15" s="1035"/>
      <c r="AA15" s="1035"/>
      <c r="AB15" s="1035"/>
      <c r="AC15" s="1035"/>
    </row>
    <row r="16" spans="1:29" ht="15">
      <c r="A16" s="1035"/>
      <c r="B16" s="1035"/>
      <c r="C16" s="1035"/>
      <c r="D16" s="1035"/>
      <c r="E16" s="1035"/>
      <c r="F16" s="1035"/>
      <c r="G16" s="1035"/>
      <c r="H16" s="1035"/>
      <c r="I16" s="1035"/>
      <c r="J16" s="1035"/>
      <c r="K16" s="1035"/>
      <c r="L16" s="1035"/>
      <c r="M16" s="1035"/>
      <c r="N16" s="1035"/>
      <c r="O16" s="1035"/>
      <c r="P16" s="1035"/>
      <c r="Q16" s="1035"/>
      <c r="R16" s="1035"/>
      <c r="S16" s="1035"/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5"/>
    </row>
    <row r="17" spans="1:29" ht="1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  <c r="P17" s="1035"/>
      <c r="Q17" s="1035"/>
      <c r="R17" s="1035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5"/>
    </row>
    <row r="18" spans="1:29" ht="15.75" customHeight="1">
      <c r="A18" s="1035"/>
      <c r="B18" s="1035"/>
      <c r="C18" s="1035"/>
      <c r="D18" s="1035"/>
      <c r="E18" s="1035"/>
      <c r="F18" s="1035"/>
      <c r="G18" s="1035"/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5"/>
    </row>
    <row r="19" spans="1:29" ht="15">
      <c r="A19" s="1035"/>
      <c r="B19" s="1035"/>
      <c r="C19" s="1035"/>
      <c r="D19" s="1035"/>
      <c r="E19" s="1035"/>
      <c r="F19" s="1035"/>
      <c r="G19" s="1035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5"/>
    </row>
    <row r="20" spans="1:29" ht="15">
      <c r="A20" s="1035"/>
      <c r="B20" s="1035"/>
      <c r="C20" s="1035"/>
      <c r="D20" s="1035"/>
      <c r="E20" s="1035"/>
      <c r="F20" s="1035"/>
      <c r="G20" s="1035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5"/>
    </row>
    <row r="21" spans="1:29" ht="15">
      <c r="A21" s="1035"/>
      <c r="B21" s="1035"/>
      <c r="C21" s="1035"/>
      <c r="D21" s="1035"/>
      <c r="E21" s="1035"/>
      <c r="F21" s="1035"/>
      <c r="G21" s="1035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5"/>
    </row>
    <row r="22" spans="1:29" ht="15">
      <c r="A22" s="1035"/>
      <c r="B22" s="1035"/>
      <c r="C22" s="1035"/>
      <c r="D22" s="1035"/>
      <c r="E22" s="1035"/>
      <c r="F22" s="1035"/>
      <c r="G22" s="1035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5"/>
    </row>
    <row r="23" spans="1:29" ht="15">
      <c r="A23" s="1035"/>
      <c r="B23" s="1035"/>
      <c r="C23" s="1035"/>
      <c r="D23" s="1035"/>
      <c r="E23" s="1035"/>
      <c r="F23" s="1035"/>
      <c r="G23" s="1035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5"/>
    </row>
    <row r="24" spans="1:29" ht="15">
      <c r="A24" s="1035"/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</row>
    <row r="25" spans="1:29" ht="15">
      <c r="A25" s="1035"/>
      <c r="B25" s="1035"/>
      <c r="C25" s="1035"/>
      <c r="D25" s="1035"/>
      <c r="E25" s="1035"/>
      <c r="F25" s="1035"/>
      <c r="G25" s="1035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5"/>
    </row>
    <row r="26" spans="1:29" ht="15">
      <c r="A26" s="1035"/>
      <c r="B26" s="1035"/>
      <c r="C26" s="1035"/>
      <c r="D26" s="1035"/>
      <c r="E26" s="1035"/>
      <c r="F26" s="1035"/>
      <c r="G26" s="1035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5"/>
    </row>
    <row r="27" spans="1:29" ht="15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</row>
    <row r="28" spans="1:29" ht="15">
      <c r="A28" s="1035"/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</row>
    <row r="29" spans="1:29" ht="15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5"/>
    </row>
    <row r="30" spans="1:29" ht="15">
      <c r="A30" s="1035"/>
      <c r="B30" s="1035"/>
      <c r="C30" s="1035"/>
      <c r="D30" s="1035"/>
      <c r="E30" s="1035"/>
      <c r="F30" s="1035"/>
      <c r="G30" s="1035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5"/>
    </row>
    <row r="31" spans="1:29" ht="15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5"/>
    </row>
    <row r="32" spans="1:29" ht="15">
      <c r="A32" s="1035"/>
      <c r="B32" s="1035"/>
      <c r="C32" s="1035"/>
      <c r="D32" s="1035"/>
      <c r="E32" s="1035"/>
      <c r="F32" s="1035"/>
      <c r="G32" s="1035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5"/>
    </row>
    <row r="33" spans="1:29" ht="15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</row>
    <row r="34" spans="1:29" ht="15">
      <c r="A34" s="1035"/>
      <c r="B34" s="1035"/>
      <c r="C34" s="1035"/>
      <c r="D34" s="1035"/>
      <c r="E34" s="1035"/>
      <c r="F34" s="1035"/>
      <c r="G34" s="1035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5"/>
    </row>
    <row r="35" spans="1:29" ht="15">
      <c r="A35" s="1035"/>
      <c r="B35" s="1035"/>
      <c r="C35" s="1035"/>
      <c r="D35" s="1035"/>
      <c r="E35" s="1035"/>
      <c r="F35" s="1035"/>
      <c r="G35" s="1035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5"/>
    </row>
    <row r="36" spans="1:29" ht="15">
      <c r="A36" s="1035"/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</row>
    <row r="37" spans="1:29" ht="54.75" customHeight="1">
      <c r="A37" s="1035"/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</row>
  </sheetData>
  <mergeCells count="2">
    <mergeCell ref="A1:AC1"/>
    <mergeCell ref="A2:AC37"/>
  </mergeCells>
  <pageMargins left="0.511811024" right="0.511811024" top="0.78740157499999996" bottom="0.78740157499999996" header="0.31496062000000002" footer="0.31496062000000002"/>
  <pageSetup paperSize="9" scale="33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3">
    <tabColor rgb="FFFFC000"/>
  </sheetPr>
  <dimension ref="A1"/>
  <sheetViews>
    <sheetView showGridLines="0" showRowColHeaders="0" topLeftCell="AO1" zoomScale="80" zoomScaleNormal="80" workbookViewId="0">
      <selection activeCell="A2" sqref="A2:AC37"/>
    </sheetView>
  </sheetViews>
  <sheetFormatPr defaultRowHeight="15"/>
  <cols>
    <col min="1" max="16384" width="9.140625" style="791"/>
  </cols>
  <sheetData>
    <row r="1" s="792" customFormat="1" ht="60" customHeight="1"/>
  </sheetData>
  <pageMargins left="0.511811024" right="0.511811024" top="0.78740157499999996" bottom="0.78740157499999996" header="0.31496062000000002" footer="0.3149606200000000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4">
    <tabColor rgb="FF7030A0"/>
  </sheetPr>
  <dimension ref="A1:J28"/>
  <sheetViews>
    <sheetView workbookViewId="0">
      <selection activeCell="A2" sqref="A2:AC37"/>
    </sheetView>
  </sheetViews>
  <sheetFormatPr defaultRowHeight="15"/>
  <cols>
    <col min="1" max="1" width="12.42578125" style="790" customWidth="1"/>
    <col min="2" max="2" width="25.42578125" style="790" customWidth="1"/>
    <col min="3" max="3" width="13.28515625" style="790" customWidth="1"/>
    <col min="4" max="4" width="22.7109375" style="790" customWidth="1"/>
    <col min="5" max="5" width="159.85546875" style="790" bestFit="1" customWidth="1"/>
    <col min="6" max="6" width="12.42578125" style="790" customWidth="1"/>
    <col min="7" max="7" width="25.42578125" style="790" customWidth="1"/>
    <col min="8" max="8" width="13.28515625" style="790" customWidth="1"/>
    <col min="9" max="9" width="22.7109375" style="790" customWidth="1"/>
    <col min="10" max="10" width="159.85546875" style="790" bestFit="1" customWidth="1"/>
    <col min="11" max="16384" width="9.140625" style="790"/>
  </cols>
  <sheetData>
    <row r="1" spans="1:10">
      <c r="A1" s="790" t="s">
        <v>624</v>
      </c>
      <c r="B1" s="790" t="s">
        <v>625</v>
      </c>
      <c r="C1" s="790" t="s">
        <v>626</v>
      </c>
      <c r="D1" s="790" t="s">
        <v>627</v>
      </c>
      <c r="E1" s="790" t="s">
        <v>628</v>
      </c>
      <c r="F1" s="790" t="s">
        <v>624</v>
      </c>
      <c r="G1" s="790" t="s">
        <v>625</v>
      </c>
      <c r="H1" s="790" t="s">
        <v>626</v>
      </c>
      <c r="I1" s="790" t="s">
        <v>627</v>
      </c>
      <c r="J1" s="790" t="s">
        <v>628</v>
      </c>
    </row>
    <row r="2" spans="1:10">
      <c r="A2" s="790" t="s">
        <v>77</v>
      </c>
      <c r="B2" s="790" t="s">
        <v>629</v>
      </c>
      <c r="C2" s="790" t="s">
        <v>77</v>
      </c>
      <c r="D2" s="790" t="s">
        <v>225</v>
      </c>
      <c r="E2" s="790" t="s">
        <v>630</v>
      </c>
      <c r="F2" s="790" t="s">
        <v>77</v>
      </c>
      <c r="G2" s="790" t="s">
        <v>629</v>
      </c>
      <c r="H2" s="790" t="s">
        <v>77</v>
      </c>
      <c r="I2" s="790" t="s">
        <v>225</v>
      </c>
      <c r="J2" s="790" t="s">
        <v>630</v>
      </c>
    </row>
    <row r="3" spans="1:10">
      <c r="A3" s="790" t="s">
        <v>78</v>
      </c>
      <c r="B3" s="790" t="s">
        <v>631</v>
      </c>
      <c r="C3" s="790" t="s">
        <v>78</v>
      </c>
      <c r="D3" s="790" t="s">
        <v>228</v>
      </c>
      <c r="E3" s="790" t="s">
        <v>632</v>
      </c>
      <c r="F3" s="790" t="s">
        <v>78</v>
      </c>
      <c r="G3" s="790" t="s">
        <v>631</v>
      </c>
      <c r="H3" s="790" t="s">
        <v>78</v>
      </c>
      <c r="I3" s="790" t="s">
        <v>228</v>
      </c>
      <c r="J3" s="790" t="s">
        <v>632</v>
      </c>
    </row>
    <row r="4" spans="1:10">
      <c r="A4" s="790" t="s">
        <v>79</v>
      </c>
      <c r="B4" s="790" t="s">
        <v>633</v>
      </c>
      <c r="C4" s="790" t="s">
        <v>79</v>
      </c>
      <c r="D4" s="790" t="s">
        <v>225</v>
      </c>
      <c r="E4" s="790" t="s">
        <v>634</v>
      </c>
      <c r="F4" s="790" t="s">
        <v>79</v>
      </c>
      <c r="G4" s="790" t="s">
        <v>633</v>
      </c>
      <c r="H4" s="790" t="s">
        <v>79</v>
      </c>
      <c r="I4" s="790" t="s">
        <v>225</v>
      </c>
      <c r="J4" s="790" t="s">
        <v>634</v>
      </c>
    </row>
    <row r="5" spans="1:10">
      <c r="A5" s="790" t="s">
        <v>80</v>
      </c>
      <c r="B5" s="790" t="s">
        <v>635</v>
      </c>
      <c r="C5" s="790" t="s">
        <v>80</v>
      </c>
      <c r="D5" s="790" t="s">
        <v>225</v>
      </c>
      <c r="E5" s="790" t="s">
        <v>636</v>
      </c>
      <c r="F5" s="790" t="s">
        <v>80</v>
      </c>
      <c r="G5" s="790" t="s">
        <v>635</v>
      </c>
      <c r="H5" s="790" t="s">
        <v>80</v>
      </c>
      <c r="I5" s="790" t="s">
        <v>225</v>
      </c>
      <c r="J5" s="790" t="s">
        <v>636</v>
      </c>
    </row>
    <row r="6" spans="1:10">
      <c r="A6" s="790" t="s">
        <v>81</v>
      </c>
      <c r="B6" s="790" t="s">
        <v>637</v>
      </c>
      <c r="C6" s="790" t="s">
        <v>81</v>
      </c>
      <c r="D6" s="790" t="s">
        <v>228</v>
      </c>
      <c r="E6" s="790" t="s">
        <v>638</v>
      </c>
      <c r="F6" s="790" t="s">
        <v>81</v>
      </c>
      <c r="G6" s="790" t="s">
        <v>637</v>
      </c>
      <c r="H6" s="790" t="s">
        <v>81</v>
      </c>
      <c r="I6" s="790" t="s">
        <v>228</v>
      </c>
      <c r="J6" s="790" t="s">
        <v>638</v>
      </c>
    </row>
    <row r="7" spans="1:10">
      <c r="A7" s="790" t="s">
        <v>82</v>
      </c>
      <c r="B7" s="790" t="s">
        <v>639</v>
      </c>
      <c r="C7" s="790" t="s">
        <v>82</v>
      </c>
      <c r="D7" s="790" t="s">
        <v>228</v>
      </c>
      <c r="E7" s="790" t="s">
        <v>640</v>
      </c>
      <c r="F7" s="790" t="s">
        <v>82</v>
      </c>
      <c r="G7" s="790" t="s">
        <v>639</v>
      </c>
      <c r="H7" s="790" t="s">
        <v>82</v>
      </c>
      <c r="I7" s="790" t="s">
        <v>228</v>
      </c>
      <c r="J7" s="790" t="s">
        <v>640</v>
      </c>
    </row>
    <row r="8" spans="1:10">
      <c r="A8" s="790" t="s">
        <v>83</v>
      </c>
      <c r="B8" s="790" t="s">
        <v>641</v>
      </c>
      <c r="C8" s="790" t="s">
        <v>83</v>
      </c>
      <c r="D8" s="790" t="s">
        <v>642</v>
      </c>
      <c r="E8" s="790" t="s">
        <v>643</v>
      </c>
      <c r="F8" s="790" t="s">
        <v>83</v>
      </c>
      <c r="G8" s="790" t="s">
        <v>641</v>
      </c>
      <c r="H8" s="790" t="s">
        <v>83</v>
      </c>
      <c r="I8" s="790" t="s">
        <v>642</v>
      </c>
      <c r="J8" s="790" t="s">
        <v>643</v>
      </c>
    </row>
    <row r="9" spans="1:10">
      <c r="A9" s="790" t="s">
        <v>84</v>
      </c>
      <c r="B9" s="790" t="s">
        <v>644</v>
      </c>
      <c r="C9" s="790" t="s">
        <v>84</v>
      </c>
      <c r="D9" s="790" t="s">
        <v>227</v>
      </c>
      <c r="E9" s="790" t="s">
        <v>645</v>
      </c>
      <c r="F9" s="790" t="s">
        <v>84</v>
      </c>
      <c r="G9" s="790" t="s">
        <v>644</v>
      </c>
      <c r="H9" s="790" t="s">
        <v>84</v>
      </c>
      <c r="I9" s="790" t="s">
        <v>227</v>
      </c>
      <c r="J9" s="790" t="s">
        <v>645</v>
      </c>
    </row>
    <row r="10" spans="1:10">
      <c r="A10" s="790" t="s">
        <v>85</v>
      </c>
      <c r="B10" s="790" t="s">
        <v>646</v>
      </c>
      <c r="C10" s="790" t="s">
        <v>85</v>
      </c>
      <c r="D10" s="790" t="s">
        <v>642</v>
      </c>
      <c r="E10" s="790" t="s">
        <v>647</v>
      </c>
      <c r="F10" s="790" t="s">
        <v>85</v>
      </c>
      <c r="G10" s="790" t="s">
        <v>646</v>
      </c>
      <c r="H10" s="790" t="s">
        <v>85</v>
      </c>
      <c r="I10" s="790" t="s">
        <v>642</v>
      </c>
      <c r="J10" s="790" t="s">
        <v>647</v>
      </c>
    </row>
    <row r="11" spans="1:10">
      <c r="A11" s="790" t="s">
        <v>86</v>
      </c>
      <c r="B11" s="790" t="s">
        <v>648</v>
      </c>
      <c r="C11" s="790" t="s">
        <v>86</v>
      </c>
      <c r="D11" s="790" t="s">
        <v>228</v>
      </c>
      <c r="E11" s="790" t="s">
        <v>649</v>
      </c>
      <c r="F11" s="790" t="s">
        <v>86</v>
      </c>
      <c r="G11" s="790" t="s">
        <v>648</v>
      </c>
      <c r="H11" s="790" t="s">
        <v>86</v>
      </c>
      <c r="I11" s="790" t="s">
        <v>228</v>
      </c>
      <c r="J11" s="790" t="s">
        <v>649</v>
      </c>
    </row>
    <row r="12" spans="1:10">
      <c r="A12" s="790" t="s">
        <v>87</v>
      </c>
      <c r="B12" s="790" t="s">
        <v>650</v>
      </c>
      <c r="C12" s="790" t="s">
        <v>87</v>
      </c>
      <c r="D12" s="790" t="s">
        <v>642</v>
      </c>
      <c r="E12" s="790" t="s">
        <v>647</v>
      </c>
      <c r="F12" s="790" t="s">
        <v>87</v>
      </c>
      <c r="G12" s="790" t="s">
        <v>650</v>
      </c>
      <c r="H12" s="790" t="s">
        <v>87</v>
      </c>
      <c r="I12" s="790" t="s">
        <v>642</v>
      </c>
      <c r="J12" s="790" t="s">
        <v>647</v>
      </c>
    </row>
    <row r="13" spans="1:10">
      <c r="A13" s="790" t="s">
        <v>88</v>
      </c>
      <c r="B13" s="790" t="s">
        <v>651</v>
      </c>
      <c r="C13" s="790" t="s">
        <v>88</v>
      </c>
      <c r="D13" s="790" t="s">
        <v>642</v>
      </c>
      <c r="E13" s="790" t="s">
        <v>652</v>
      </c>
      <c r="F13" s="790" t="s">
        <v>88</v>
      </c>
      <c r="G13" s="790" t="s">
        <v>651</v>
      </c>
      <c r="H13" s="790" t="s">
        <v>88</v>
      </c>
      <c r="I13" s="790" t="s">
        <v>642</v>
      </c>
      <c r="J13" s="790" t="s">
        <v>652</v>
      </c>
    </row>
    <row r="14" spans="1:10">
      <c r="A14" s="790" t="s">
        <v>89</v>
      </c>
      <c r="B14" s="790" t="s">
        <v>653</v>
      </c>
      <c r="C14" s="790" t="s">
        <v>89</v>
      </c>
      <c r="D14" s="790" t="s">
        <v>227</v>
      </c>
      <c r="E14" s="790" t="s">
        <v>654</v>
      </c>
      <c r="F14" s="790" t="s">
        <v>89</v>
      </c>
      <c r="G14" s="790" t="s">
        <v>653</v>
      </c>
      <c r="H14" s="790" t="s">
        <v>89</v>
      </c>
      <c r="I14" s="790" t="s">
        <v>227</v>
      </c>
      <c r="J14" s="790" t="s">
        <v>654</v>
      </c>
    </row>
    <row r="15" spans="1:10">
      <c r="A15" s="790" t="s">
        <v>90</v>
      </c>
      <c r="B15" s="790" t="s">
        <v>655</v>
      </c>
      <c r="C15" s="790" t="s">
        <v>90</v>
      </c>
      <c r="D15" s="790" t="s">
        <v>225</v>
      </c>
      <c r="E15" s="790" t="s">
        <v>656</v>
      </c>
      <c r="F15" s="790" t="s">
        <v>90</v>
      </c>
      <c r="G15" s="790" t="s">
        <v>655</v>
      </c>
      <c r="H15" s="790" t="s">
        <v>90</v>
      </c>
      <c r="I15" s="790" t="s">
        <v>225</v>
      </c>
      <c r="J15" s="790" t="s">
        <v>656</v>
      </c>
    </row>
    <row r="16" spans="1:10">
      <c r="A16" s="790" t="s">
        <v>91</v>
      </c>
      <c r="B16" s="790" t="s">
        <v>657</v>
      </c>
      <c r="C16" s="790" t="s">
        <v>91</v>
      </c>
      <c r="D16" s="790" t="s">
        <v>228</v>
      </c>
      <c r="E16" s="790" t="s">
        <v>658</v>
      </c>
      <c r="F16" s="790" t="s">
        <v>91</v>
      </c>
      <c r="G16" s="790" t="s">
        <v>657</v>
      </c>
      <c r="H16" s="790" t="s">
        <v>91</v>
      </c>
      <c r="I16" s="790" t="s">
        <v>228</v>
      </c>
      <c r="J16" s="790" t="s">
        <v>658</v>
      </c>
    </row>
    <row r="17" spans="1:10">
      <c r="A17" s="790" t="s">
        <v>92</v>
      </c>
      <c r="B17" s="790" t="s">
        <v>659</v>
      </c>
      <c r="C17" s="790" t="s">
        <v>92</v>
      </c>
      <c r="D17" s="790" t="s">
        <v>226</v>
      </c>
      <c r="E17" s="790" t="s">
        <v>660</v>
      </c>
      <c r="F17" s="790" t="s">
        <v>92</v>
      </c>
      <c r="G17" s="790" t="s">
        <v>659</v>
      </c>
      <c r="H17" s="790" t="s">
        <v>92</v>
      </c>
      <c r="I17" s="790" t="s">
        <v>226</v>
      </c>
      <c r="J17" s="790" t="s">
        <v>660</v>
      </c>
    </row>
    <row r="18" spans="1:10">
      <c r="A18" s="790" t="s">
        <v>93</v>
      </c>
      <c r="B18" s="790" t="s">
        <v>661</v>
      </c>
      <c r="C18" s="790" t="s">
        <v>93</v>
      </c>
      <c r="D18" s="790" t="s">
        <v>228</v>
      </c>
      <c r="E18" s="790" t="s">
        <v>660</v>
      </c>
      <c r="F18" s="790" t="s">
        <v>93</v>
      </c>
      <c r="G18" s="790" t="s">
        <v>661</v>
      </c>
      <c r="H18" s="790" t="s">
        <v>93</v>
      </c>
      <c r="I18" s="790" t="s">
        <v>228</v>
      </c>
      <c r="J18" s="790" t="s">
        <v>660</v>
      </c>
    </row>
    <row r="19" spans="1:10">
      <c r="A19" s="790" t="s">
        <v>94</v>
      </c>
      <c r="B19" s="790" t="s">
        <v>662</v>
      </c>
      <c r="C19" s="790" t="s">
        <v>94</v>
      </c>
      <c r="D19" s="790" t="s">
        <v>228</v>
      </c>
      <c r="E19" s="790" t="s">
        <v>663</v>
      </c>
      <c r="F19" s="790" t="s">
        <v>94</v>
      </c>
      <c r="G19" s="790" t="s">
        <v>662</v>
      </c>
      <c r="H19" s="790" t="s">
        <v>94</v>
      </c>
      <c r="I19" s="790" t="s">
        <v>228</v>
      </c>
      <c r="J19" s="790" t="s">
        <v>663</v>
      </c>
    </row>
    <row r="20" spans="1:10">
      <c r="A20" s="790" t="s">
        <v>95</v>
      </c>
      <c r="B20" s="790" t="s">
        <v>664</v>
      </c>
      <c r="C20" s="790" t="s">
        <v>95</v>
      </c>
      <c r="D20" s="790" t="s">
        <v>227</v>
      </c>
      <c r="E20" s="790" t="s">
        <v>665</v>
      </c>
      <c r="F20" s="790" t="s">
        <v>95</v>
      </c>
      <c r="G20" s="790" t="s">
        <v>664</v>
      </c>
      <c r="H20" s="790" t="s">
        <v>95</v>
      </c>
      <c r="I20" s="790" t="s">
        <v>227</v>
      </c>
      <c r="J20" s="790" t="s">
        <v>665</v>
      </c>
    </row>
    <row r="21" spans="1:10">
      <c r="A21" s="790" t="s">
        <v>96</v>
      </c>
      <c r="B21" s="790" t="s">
        <v>666</v>
      </c>
      <c r="C21" s="790" t="s">
        <v>96</v>
      </c>
      <c r="D21" s="790" t="s">
        <v>228</v>
      </c>
      <c r="E21" s="790" t="s">
        <v>667</v>
      </c>
      <c r="F21" s="790" t="s">
        <v>96</v>
      </c>
      <c r="G21" s="790" t="s">
        <v>666</v>
      </c>
      <c r="H21" s="790" t="s">
        <v>96</v>
      </c>
      <c r="I21" s="790" t="s">
        <v>228</v>
      </c>
      <c r="J21" s="790" t="s">
        <v>667</v>
      </c>
    </row>
    <row r="22" spans="1:10">
      <c r="A22" s="790" t="s">
        <v>97</v>
      </c>
      <c r="B22" s="790" t="s">
        <v>668</v>
      </c>
      <c r="C22" s="790" t="s">
        <v>97</v>
      </c>
      <c r="D22" s="790" t="s">
        <v>226</v>
      </c>
      <c r="E22" s="790" t="s">
        <v>669</v>
      </c>
      <c r="F22" s="790" t="s">
        <v>97</v>
      </c>
      <c r="G22" s="790" t="s">
        <v>668</v>
      </c>
      <c r="H22" s="790" t="s">
        <v>97</v>
      </c>
      <c r="I22" s="790" t="s">
        <v>226</v>
      </c>
      <c r="J22" s="790" t="s">
        <v>669</v>
      </c>
    </row>
    <row r="23" spans="1:10">
      <c r="A23" s="790" t="s">
        <v>98</v>
      </c>
      <c r="B23" s="790" t="s">
        <v>670</v>
      </c>
      <c r="C23" s="790" t="s">
        <v>98</v>
      </c>
      <c r="D23" s="790" t="s">
        <v>225</v>
      </c>
      <c r="E23" s="790" t="s">
        <v>671</v>
      </c>
      <c r="F23" s="790" t="s">
        <v>98</v>
      </c>
      <c r="G23" s="790" t="s">
        <v>670</v>
      </c>
      <c r="H23" s="790" t="s">
        <v>98</v>
      </c>
      <c r="I23" s="790" t="s">
        <v>225</v>
      </c>
      <c r="J23" s="790" t="s">
        <v>671</v>
      </c>
    </row>
    <row r="24" spans="1:10">
      <c r="A24" s="790" t="s">
        <v>99</v>
      </c>
      <c r="B24" s="790" t="s">
        <v>672</v>
      </c>
      <c r="C24" s="790" t="s">
        <v>99</v>
      </c>
      <c r="D24" s="790" t="s">
        <v>225</v>
      </c>
      <c r="E24" s="790" t="s">
        <v>673</v>
      </c>
      <c r="F24" s="790" t="s">
        <v>99</v>
      </c>
      <c r="G24" s="790" t="s">
        <v>672</v>
      </c>
      <c r="H24" s="790" t="s">
        <v>99</v>
      </c>
      <c r="I24" s="790" t="s">
        <v>225</v>
      </c>
      <c r="J24" s="790" t="s">
        <v>673</v>
      </c>
    </row>
    <row r="25" spans="1:10">
      <c r="A25" s="790" t="s">
        <v>100</v>
      </c>
      <c r="B25" s="790" t="s">
        <v>674</v>
      </c>
      <c r="C25" s="790" t="s">
        <v>100</v>
      </c>
      <c r="D25" s="790" t="s">
        <v>226</v>
      </c>
      <c r="E25" s="790" t="s">
        <v>675</v>
      </c>
      <c r="F25" s="790" t="s">
        <v>100</v>
      </c>
      <c r="G25" s="790" t="s">
        <v>674</v>
      </c>
      <c r="H25" s="790" t="s">
        <v>100</v>
      </c>
      <c r="I25" s="790" t="s">
        <v>226</v>
      </c>
      <c r="J25" s="790" t="s">
        <v>675</v>
      </c>
    </row>
    <row r="26" spans="1:10">
      <c r="A26" s="790" t="s">
        <v>101</v>
      </c>
      <c r="B26" s="790" t="s">
        <v>676</v>
      </c>
      <c r="C26" s="790" t="s">
        <v>101</v>
      </c>
      <c r="D26" s="790" t="s">
        <v>227</v>
      </c>
      <c r="E26" s="790" t="s">
        <v>677</v>
      </c>
      <c r="F26" s="790" t="s">
        <v>101</v>
      </c>
      <c r="G26" s="790" t="s">
        <v>676</v>
      </c>
      <c r="H26" s="790" t="s">
        <v>101</v>
      </c>
      <c r="I26" s="790" t="s">
        <v>227</v>
      </c>
      <c r="J26" s="790" t="s">
        <v>677</v>
      </c>
    </row>
    <row r="27" spans="1:10">
      <c r="A27" s="790" t="s">
        <v>102</v>
      </c>
      <c r="B27" s="790" t="s">
        <v>678</v>
      </c>
      <c r="C27" s="790" t="s">
        <v>102</v>
      </c>
      <c r="D27" s="790" t="s">
        <v>228</v>
      </c>
      <c r="E27" s="790" t="s">
        <v>679</v>
      </c>
      <c r="F27" s="790" t="s">
        <v>102</v>
      </c>
      <c r="G27" s="790" t="s">
        <v>678</v>
      </c>
      <c r="H27" s="790" t="s">
        <v>102</v>
      </c>
      <c r="I27" s="790" t="s">
        <v>228</v>
      </c>
      <c r="J27" s="790" t="s">
        <v>679</v>
      </c>
    </row>
    <row r="28" spans="1:10">
      <c r="A28" s="790" t="s">
        <v>103</v>
      </c>
      <c r="B28" s="790" t="s">
        <v>680</v>
      </c>
      <c r="C28" s="790" t="s">
        <v>103</v>
      </c>
      <c r="D28" s="790" t="s">
        <v>225</v>
      </c>
      <c r="E28" s="790" t="s">
        <v>681</v>
      </c>
      <c r="F28" s="790" t="s">
        <v>103</v>
      </c>
      <c r="G28" s="790" t="s">
        <v>680</v>
      </c>
      <c r="H28" s="790" t="s">
        <v>103</v>
      </c>
      <c r="I28" s="790" t="s">
        <v>225</v>
      </c>
      <c r="J28" s="790" t="s">
        <v>681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5">
    <tabColor rgb="FF7030A0"/>
  </sheetPr>
  <dimension ref="A1:B7"/>
  <sheetViews>
    <sheetView workbookViewId="0">
      <selection activeCell="A2" sqref="A2:AC37"/>
    </sheetView>
  </sheetViews>
  <sheetFormatPr defaultRowHeight="15"/>
  <cols>
    <col min="1" max="1" width="37.28515625" style="790" bestFit="1" customWidth="1"/>
    <col min="2" max="2" width="16.140625" style="790" bestFit="1" customWidth="1"/>
    <col min="3" max="16384" width="9.140625" style="790"/>
  </cols>
  <sheetData>
    <row r="1" spans="1:2">
      <c r="A1" s="790" t="s">
        <v>440</v>
      </c>
      <c r="B1" s="790" t="s">
        <v>682</v>
      </c>
    </row>
    <row r="2" spans="1:2">
      <c r="A2" s="790" t="s">
        <v>683</v>
      </c>
      <c r="B2" s="790" t="s">
        <v>684</v>
      </c>
    </row>
    <row r="3" spans="1:2">
      <c r="A3" s="790" t="s">
        <v>685</v>
      </c>
      <c r="B3" s="790" t="s">
        <v>686</v>
      </c>
    </row>
    <row r="4" spans="1:2">
      <c r="A4" s="790" t="s">
        <v>687</v>
      </c>
      <c r="B4" s="790" t="s">
        <v>688</v>
      </c>
    </row>
    <row r="5" spans="1:2">
      <c r="A5" s="790" t="s">
        <v>689</v>
      </c>
      <c r="B5" s="790" t="s">
        <v>690</v>
      </c>
    </row>
    <row r="6" spans="1:2">
      <c r="A6" s="790" t="s">
        <v>28</v>
      </c>
      <c r="B6" s="790" t="s">
        <v>691</v>
      </c>
    </row>
    <row r="7" spans="1:2">
      <c r="A7" s="790" t="s">
        <v>175</v>
      </c>
      <c r="B7" s="790" t="s">
        <v>692</v>
      </c>
    </row>
  </sheetData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6">
    <tabColor rgb="FF7030A0"/>
  </sheetPr>
  <dimension ref="A1:J973"/>
  <sheetViews>
    <sheetView workbookViewId="0">
      <pane xSplit="1" ySplit="1" topLeftCell="B860" activePane="bottomRight" state="frozen"/>
      <selection activeCell="A2" sqref="A2:AC37"/>
      <selection pane="topRight" activeCell="A2" sqref="A2:AC37"/>
      <selection pane="bottomLeft" activeCell="A2" sqref="A2:AC37"/>
      <selection pane="bottomRight" activeCell="A2" sqref="A2:AC37"/>
    </sheetView>
  </sheetViews>
  <sheetFormatPr defaultRowHeight="15"/>
  <cols>
    <col min="1" max="1" width="9.140625" style="790"/>
    <col min="2" max="2" width="21.5703125" style="793" customWidth="1"/>
    <col min="3" max="9" width="14.7109375" style="790" customWidth="1"/>
    <col min="10" max="10" width="21.5703125" style="790" customWidth="1"/>
    <col min="11" max="16384" width="9.140625" style="790"/>
  </cols>
  <sheetData>
    <row r="1" spans="1:10">
      <c r="A1" s="790" t="s">
        <v>172</v>
      </c>
      <c r="B1" s="793" t="s">
        <v>693</v>
      </c>
      <c r="C1" s="790" t="s">
        <v>694</v>
      </c>
      <c r="D1" s="790" t="s">
        <v>695</v>
      </c>
      <c r="E1" s="790" t="s">
        <v>696</v>
      </c>
      <c r="F1" s="790" t="s">
        <v>697</v>
      </c>
      <c r="G1" s="790" t="s">
        <v>698</v>
      </c>
      <c r="H1" s="790" t="s">
        <v>699</v>
      </c>
      <c r="I1" s="790" t="s">
        <v>700</v>
      </c>
      <c r="J1" s="790" t="s">
        <v>712</v>
      </c>
    </row>
    <row r="2" spans="1:10">
      <c r="A2" s="322" t="s">
        <v>77</v>
      </c>
      <c r="B2" s="793">
        <v>43831</v>
      </c>
      <c r="C2" s="790">
        <f>E2+F2</f>
        <v>550</v>
      </c>
      <c r="D2" s="790">
        <v>6</v>
      </c>
      <c r="E2" s="790">
        <v>300</v>
      </c>
      <c r="F2" s="790">
        <v>250</v>
      </c>
      <c r="G2" s="790">
        <v>7</v>
      </c>
      <c r="H2" s="790">
        <v>138</v>
      </c>
      <c r="I2" s="790">
        <v>66</v>
      </c>
      <c r="J2" s="796">
        <f>1-(H2/(C2-D2))</f>
        <v>0.74632352941176472</v>
      </c>
    </row>
    <row r="3" spans="1:10">
      <c r="A3" s="322" t="s">
        <v>78</v>
      </c>
      <c r="B3" s="793">
        <v>43831</v>
      </c>
      <c r="C3" s="790">
        <f t="shared" ref="C3:C66" si="0">E3+F3</f>
        <v>1928</v>
      </c>
      <c r="D3" s="790">
        <v>29</v>
      </c>
      <c r="E3" s="790">
        <v>519</v>
      </c>
      <c r="F3" s="790">
        <v>1409</v>
      </c>
      <c r="G3" s="790">
        <v>26</v>
      </c>
      <c r="H3" s="790">
        <v>506</v>
      </c>
      <c r="I3" s="790">
        <v>348</v>
      </c>
      <c r="J3" s="796">
        <f t="shared" ref="J3:J66" si="1">1-(H3/(C3-D3))</f>
        <v>0.73354397051079512</v>
      </c>
    </row>
    <row r="4" spans="1:10">
      <c r="A4" s="322" t="s">
        <v>80</v>
      </c>
      <c r="B4" s="793">
        <v>43831</v>
      </c>
      <c r="C4" s="790">
        <f t="shared" si="0"/>
        <v>1884</v>
      </c>
      <c r="D4" s="790">
        <v>9</v>
      </c>
      <c r="E4" s="790">
        <v>750</v>
      </c>
      <c r="F4" s="790">
        <v>1134</v>
      </c>
      <c r="G4" s="790">
        <v>13</v>
      </c>
      <c r="H4" s="790">
        <v>422</v>
      </c>
      <c r="I4" s="790">
        <v>214</v>
      </c>
      <c r="J4" s="796">
        <f t="shared" si="1"/>
        <v>0.77493333333333336</v>
      </c>
    </row>
    <row r="5" spans="1:10">
      <c r="A5" s="322" t="s">
        <v>79</v>
      </c>
      <c r="B5" s="793">
        <v>43831</v>
      </c>
      <c r="C5" s="790">
        <f t="shared" si="0"/>
        <v>684</v>
      </c>
      <c r="D5" s="790">
        <v>3</v>
      </c>
      <c r="E5" s="790">
        <v>377</v>
      </c>
      <c r="F5" s="790">
        <v>307</v>
      </c>
      <c r="G5" s="790">
        <v>4</v>
      </c>
      <c r="H5" s="790">
        <v>129</v>
      </c>
      <c r="I5" s="790">
        <v>72</v>
      </c>
      <c r="J5" s="796">
        <f t="shared" si="1"/>
        <v>0.81057268722466957</v>
      </c>
    </row>
    <row r="6" spans="1:10">
      <c r="A6" s="322" t="s">
        <v>81</v>
      </c>
      <c r="B6" s="793">
        <v>43831</v>
      </c>
      <c r="C6" s="790">
        <f t="shared" si="0"/>
        <v>5874</v>
      </c>
      <c r="D6" s="790">
        <v>548</v>
      </c>
      <c r="E6" s="790">
        <v>2263</v>
      </c>
      <c r="F6" s="790">
        <v>3611</v>
      </c>
      <c r="G6" s="790">
        <v>41</v>
      </c>
      <c r="H6" s="790">
        <v>1646</v>
      </c>
      <c r="I6" s="790">
        <v>1022</v>
      </c>
      <c r="J6" s="796">
        <f t="shared" si="1"/>
        <v>0.69095005632745021</v>
      </c>
    </row>
    <row r="7" spans="1:10">
      <c r="A7" s="322" t="s">
        <v>82</v>
      </c>
      <c r="B7" s="793">
        <v>43831</v>
      </c>
      <c r="C7" s="790">
        <f t="shared" si="0"/>
        <v>3285</v>
      </c>
      <c r="D7" s="790">
        <v>114</v>
      </c>
      <c r="E7" s="790">
        <v>1303</v>
      </c>
      <c r="F7" s="790">
        <v>1982</v>
      </c>
      <c r="G7" s="790">
        <v>58</v>
      </c>
      <c r="H7" s="790">
        <v>1147</v>
      </c>
      <c r="I7" s="790">
        <v>733</v>
      </c>
      <c r="J7" s="796">
        <f t="shared" si="1"/>
        <v>0.63828445285398927</v>
      </c>
    </row>
    <row r="8" spans="1:10">
      <c r="A8" s="322" t="s">
        <v>83</v>
      </c>
      <c r="B8" s="793">
        <v>43831</v>
      </c>
      <c r="C8" s="790">
        <f t="shared" si="0"/>
        <v>5766</v>
      </c>
      <c r="D8" s="790">
        <v>313</v>
      </c>
      <c r="E8" s="790">
        <v>2107</v>
      </c>
      <c r="F8" s="790">
        <v>3659</v>
      </c>
      <c r="G8" s="790">
        <v>66</v>
      </c>
      <c r="H8" s="790">
        <v>2085</v>
      </c>
      <c r="I8" s="790">
        <v>1415</v>
      </c>
      <c r="J8" s="796">
        <f t="shared" si="1"/>
        <v>0.61764166513845598</v>
      </c>
    </row>
    <row r="9" spans="1:10">
      <c r="A9" s="322" t="s">
        <v>84</v>
      </c>
      <c r="B9" s="793">
        <v>43831</v>
      </c>
      <c r="C9" s="790">
        <f t="shared" si="0"/>
        <v>3161</v>
      </c>
      <c r="D9" s="790">
        <v>45</v>
      </c>
      <c r="E9" s="790">
        <v>890</v>
      </c>
      <c r="F9" s="790">
        <v>2271</v>
      </c>
      <c r="G9" s="790">
        <v>34</v>
      </c>
      <c r="H9" s="790">
        <v>1622</v>
      </c>
      <c r="I9" s="790">
        <v>1087</v>
      </c>
      <c r="J9" s="796">
        <f t="shared" si="1"/>
        <v>0.47946084724005134</v>
      </c>
    </row>
    <row r="10" spans="1:10">
      <c r="A10" s="322" t="s">
        <v>85</v>
      </c>
      <c r="B10" s="793">
        <v>43831</v>
      </c>
      <c r="C10" s="790">
        <f t="shared" si="0"/>
        <v>4335</v>
      </c>
      <c r="D10" s="790">
        <v>121</v>
      </c>
      <c r="E10" s="790">
        <v>1402</v>
      </c>
      <c r="F10" s="790">
        <v>2933</v>
      </c>
      <c r="G10" s="790">
        <v>38</v>
      </c>
      <c r="H10" s="790">
        <v>1279</v>
      </c>
      <c r="I10" s="790">
        <v>780</v>
      </c>
      <c r="J10" s="796">
        <f t="shared" si="1"/>
        <v>0.69648789748457518</v>
      </c>
    </row>
    <row r="11" spans="1:10">
      <c r="A11" s="322" t="s">
        <v>86</v>
      </c>
      <c r="B11" s="793">
        <v>43831</v>
      </c>
      <c r="C11" s="790">
        <f t="shared" si="0"/>
        <v>1549</v>
      </c>
      <c r="D11" s="790">
        <v>17</v>
      </c>
      <c r="E11" s="790">
        <v>625</v>
      </c>
      <c r="F11" s="790">
        <v>924</v>
      </c>
      <c r="G11" s="790">
        <v>29</v>
      </c>
      <c r="H11" s="790">
        <v>439</v>
      </c>
      <c r="I11" s="790">
        <v>252</v>
      </c>
      <c r="J11" s="796">
        <f t="shared" si="1"/>
        <v>0.71344647519582249</v>
      </c>
    </row>
    <row r="12" spans="1:10">
      <c r="A12" s="322" t="s">
        <v>89</v>
      </c>
      <c r="B12" s="793">
        <v>43831</v>
      </c>
      <c r="C12" s="790">
        <f t="shared" si="0"/>
        <v>14172</v>
      </c>
      <c r="D12" s="790">
        <v>449</v>
      </c>
      <c r="E12" s="790">
        <v>4384</v>
      </c>
      <c r="F12" s="790">
        <v>9788</v>
      </c>
      <c r="G12" s="790">
        <v>89</v>
      </c>
      <c r="H12" s="790">
        <v>4781</v>
      </c>
      <c r="I12" s="790">
        <v>3155</v>
      </c>
      <c r="J12" s="796">
        <f t="shared" si="1"/>
        <v>0.65160679151788969</v>
      </c>
    </row>
    <row r="13" spans="1:10">
      <c r="A13" s="322" t="s">
        <v>88</v>
      </c>
      <c r="B13" s="793">
        <v>43831</v>
      </c>
      <c r="C13" s="790">
        <f t="shared" si="0"/>
        <v>3003</v>
      </c>
      <c r="D13" s="790">
        <v>33</v>
      </c>
      <c r="E13" s="790">
        <v>1175</v>
      </c>
      <c r="F13" s="790">
        <v>1828</v>
      </c>
      <c r="G13" s="790">
        <v>7</v>
      </c>
      <c r="H13" s="790">
        <v>892</v>
      </c>
      <c r="I13" s="790">
        <v>558</v>
      </c>
      <c r="J13" s="796">
        <f t="shared" si="1"/>
        <v>0.69966329966329965</v>
      </c>
    </row>
    <row r="14" spans="1:10">
      <c r="A14" s="322" t="s">
        <v>87</v>
      </c>
      <c r="B14" s="793">
        <v>43831</v>
      </c>
      <c r="C14" s="790">
        <f t="shared" si="0"/>
        <v>2910</v>
      </c>
      <c r="D14" s="790">
        <v>37</v>
      </c>
      <c r="E14" s="790">
        <v>995</v>
      </c>
      <c r="F14" s="790">
        <v>1915</v>
      </c>
      <c r="G14" s="790">
        <v>22</v>
      </c>
      <c r="H14" s="790">
        <v>998</v>
      </c>
      <c r="I14" s="790">
        <v>526</v>
      </c>
      <c r="J14" s="796">
        <f t="shared" si="1"/>
        <v>0.65262791507135398</v>
      </c>
    </row>
    <row r="15" spans="1:10">
      <c r="A15" s="322" t="s">
        <v>90</v>
      </c>
      <c r="B15" s="793">
        <v>43831</v>
      </c>
      <c r="C15" s="790">
        <f t="shared" si="0"/>
        <v>2658</v>
      </c>
      <c r="D15" s="790">
        <v>91</v>
      </c>
      <c r="E15" s="790">
        <v>987</v>
      </c>
      <c r="F15" s="790">
        <v>1671</v>
      </c>
      <c r="G15" s="790">
        <v>7</v>
      </c>
      <c r="H15" s="790">
        <v>627</v>
      </c>
      <c r="I15" s="790">
        <v>355</v>
      </c>
      <c r="J15" s="796">
        <f t="shared" si="1"/>
        <v>0.75574600701207639</v>
      </c>
    </row>
    <row r="16" spans="1:10">
      <c r="A16" s="322" t="s">
        <v>91</v>
      </c>
      <c r="B16" s="793">
        <v>43831</v>
      </c>
      <c r="C16" s="790">
        <f t="shared" si="0"/>
        <v>2345</v>
      </c>
      <c r="D16" s="790">
        <v>27</v>
      </c>
      <c r="E16" s="790">
        <v>816</v>
      </c>
      <c r="F16" s="790">
        <v>1529</v>
      </c>
      <c r="G16" s="790">
        <v>17</v>
      </c>
      <c r="H16" s="790">
        <v>691</v>
      </c>
      <c r="I16" s="790">
        <v>427</v>
      </c>
      <c r="J16" s="796">
        <f t="shared" si="1"/>
        <v>0.70189818809318383</v>
      </c>
    </row>
    <row r="17" spans="1:10">
      <c r="A17" s="322" t="s">
        <v>93</v>
      </c>
      <c r="B17" s="793">
        <v>43831</v>
      </c>
      <c r="C17" s="790">
        <f t="shared" si="0"/>
        <v>4536</v>
      </c>
      <c r="D17" s="790">
        <v>264</v>
      </c>
      <c r="E17" s="790">
        <v>1439</v>
      </c>
      <c r="F17" s="790">
        <v>3097</v>
      </c>
      <c r="G17" s="790">
        <v>45</v>
      </c>
      <c r="H17" s="790">
        <v>1498</v>
      </c>
      <c r="I17" s="790">
        <v>965</v>
      </c>
      <c r="J17" s="796">
        <f t="shared" si="1"/>
        <v>0.64934456928838946</v>
      </c>
    </row>
    <row r="18" spans="1:10">
      <c r="A18" s="322" t="s">
        <v>94</v>
      </c>
      <c r="B18" s="793">
        <v>43831</v>
      </c>
      <c r="C18" s="790">
        <f t="shared" si="0"/>
        <v>1191</v>
      </c>
      <c r="D18" s="790">
        <v>28</v>
      </c>
      <c r="E18" s="790">
        <v>440</v>
      </c>
      <c r="F18" s="790">
        <v>751</v>
      </c>
      <c r="G18" s="790">
        <v>26</v>
      </c>
      <c r="H18" s="790">
        <v>396</v>
      </c>
      <c r="I18" s="790">
        <v>226</v>
      </c>
      <c r="J18" s="796">
        <f t="shared" si="1"/>
        <v>0.65950128976784184</v>
      </c>
    </row>
    <row r="19" spans="1:10">
      <c r="A19" s="322" t="s">
        <v>92</v>
      </c>
      <c r="B19" s="793">
        <v>43831</v>
      </c>
      <c r="C19" s="790">
        <f t="shared" si="0"/>
        <v>11646</v>
      </c>
      <c r="D19" s="790">
        <v>243</v>
      </c>
      <c r="E19" s="790">
        <v>3984</v>
      </c>
      <c r="F19" s="790">
        <v>7662</v>
      </c>
      <c r="G19" s="790">
        <v>92</v>
      </c>
      <c r="H19" s="790">
        <v>4064</v>
      </c>
      <c r="I19" s="790">
        <v>2590</v>
      </c>
      <c r="J19" s="796">
        <f t="shared" si="1"/>
        <v>0.64360256072963251</v>
      </c>
    </row>
    <row r="20" spans="1:10">
      <c r="A20" s="322" t="s">
        <v>95</v>
      </c>
      <c r="B20" s="793">
        <v>43831</v>
      </c>
      <c r="C20" s="790">
        <f t="shared" si="0"/>
        <v>19897</v>
      </c>
      <c r="D20" s="790">
        <v>2223</v>
      </c>
      <c r="E20" s="790">
        <v>8330</v>
      </c>
      <c r="F20" s="790">
        <v>11567</v>
      </c>
      <c r="G20" s="790">
        <v>64</v>
      </c>
      <c r="H20" s="790">
        <v>3400</v>
      </c>
      <c r="I20" s="790">
        <v>2521</v>
      </c>
      <c r="J20" s="796">
        <f t="shared" si="1"/>
        <v>0.80762702274527554</v>
      </c>
    </row>
    <row r="21" spans="1:10">
      <c r="A21" s="322" t="s">
        <v>96</v>
      </c>
      <c r="B21" s="793">
        <v>43831</v>
      </c>
      <c r="C21" s="790">
        <f t="shared" si="0"/>
        <v>2284</v>
      </c>
      <c r="D21" s="790">
        <v>24</v>
      </c>
      <c r="E21" s="790">
        <v>606</v>
      </c>
      <c r="F21" s="790">
        <v>1678</v>
      </c>
      <c r="G21" s="790">
        <v>25</v>
      </c>
      <c r="H21" s="790">
        <v>694</v>
      </c>
      <c r="I21" s="790">
        <v>433</v>
      </c>
      <c r="J21" s="796">
        <f t="shared" si="1"/>
        <v>0.6929203539823009</v>
      </c>
    </row>
    <row r="22" spans="1:10">
      <c r="A22" s="322" t="s">
        <v>98</v>
      </c>
      <c r="B22" s="793">
        <v>43831</v>
      </c>
      <c r="C22" s="790">
        <f t="shared" si="0"/>
        <v>1068</v>
      </c>
      <c r="D22" s="790">
        <v>5</v>
      </c>
      <c r="E22" s="790">
        <v>469</v>
      </c>
      <c r="F22" s="790">
        <v>599</v>
      </c>
      <c r="G22" s="790">
        <v>23</v>
      </c>
      <c r="H22" s="790">
        <v>299</v>
      </c>
      <c r="I22" s="790">
        <v>165</v>
      </c>
      <c r="J22" s="796">
        <f t="shared" si="1"/>
        <v>0.7187206020696143</v>
      </c>
    </row>
    <row r="23" spans="1:10">
      <c r="A23" s="322" t="s">
        <v>99</v>
      </c>
      <c r="B23" s="793">
        <v>43831</v>
      </c>
      <c r="C23" s="790">
        <f t="shared" si="0"/>
        <v>215</v>
      </c>
      <c r="D23" s="790">
        <v>6</v>
      </c>
      <c r="E23" s="790">
        <v>86</v>
      </c>
      <c r="F23" s="790">
        <v>129</v>
      </c>
      <c r="G23" s="790">
        <v>2</v>
      </c>
      <c r="H23" s="790">
        <v>55</v>
      </c>
      <c r="I23" s="790">
        <v>38</v>
      </c>
      <c r="J23" s="796">
        <f t="shared" si="1"/>
        <v>0.73684210526315796</v>
      </c>
    </row>
    <row r="24" spans="1:10">
      <c r="A24" s="322" t="s">
        <v>97</v>
      </c>
      <c r="B24" s="793">
        <v>43831</v>
      </c>
      <c r="C24" s="790">
        <f t="shared" si="0"/>
        <v>15505</v>
      </c>
      <c r="D24" s="790">
        <v>539</v>
      </c>
      <c r="E24" s="790">
        <v>5384</v>
      </c>
      <c r="F24" s="790">
        <v>10121</v>
      </c>
      <c r="G24" s="790">
        <v>99</v>
      </c>
      <c r="H24" s="790">
        <v>5630</v>
      </c>
      <c r="I24" s="790">
        <v>3700</v>
      </c>
      <c r="J24" s="796">
        <f t="shared" si="1"/>
        <v>0.62381397835092878</v>
      </c>
    </row>
    <row r="25" spans="1:10">
      <c r="A25" s="322" t="s">
        <v>100</v>
      </c>
      <c r="B25" s="793">
        <v>43831</v>
      </c>
      <c r="C25" s="790">
        <f t="shared" si="0"/>
        <v>9561</v>
      </c>
      <c r="D25" s="790">
        <v>126</v>
      </c>
      <c r="E25" s="790">
        <v>3172</v>
      </c>
      <c r="F25" s="790">
        <v>6389</v>
      </c>
      <c r="G25" s="790">
        <v>40</v>
      </c>
      <c r="H25" s="790">
        <v>3711</v>
      </c>
      <c r="I25" s="790">
        <v>2337</v>
      </c>
      <c r="J25" s="796">
        <f t="shared" si="1"/>
        <v>0.60667726550079493</v>
      </c>
    </row>
    <row r="26" spans="1:10">
      <c r="A26" s="322" t="s">
        <v>102</v>
      </c>
      <c r="B26" s="793">
        <v>43831</v>
      </c>
      <c r="C26" s="790">
        <f t="shared" si="0"/>
        <v>1316</v>
      </c>
      <c r="D26" s="790">
        <v>23</v>
      </c>
      <c r="E26" s="790">
        <v>508</v>
      </c>
      <c r="F26" s="790">
        <v>808</v>
      </c>
      <c r="G26" s="790">
        <v>8</v>
      </c>
      <c r="H26" s="790">
        <v>363</v>
      </c>
      <c r="I26" s="790">
        <v>196</v>
      </c>
      <c r="J26" s="796">
        <f t="shared" si="1"/>
        <v>0.7192575406032482</v>
      </c>
    </row>
    <row r="27" spans="1:10">
      <c r="A27" s="322" t="s">
        <v>101</v>
      </c>
      <c r="B27" s="793">
        <v>43831</v>
      </c>
      <c r="C27" s="790">
        <f t="shared" si="0"/>
        <v>56947</v>
      </c>
      <c r="D27" s="790">
        <v>2378</v>
      </c>
      <c r="E27" s="790">
        <v>21620</v>
      </c>
      <c r="F27" s="790">
        <v>35327</v>
      </c>
      <c r="G27" s="790">
        <v>231</v>
      </c>
      <c r="H27" s="790">
        <v>22122</v>
      </c>
      <c r="I27" s="790">
        <v>14037</v>
      </c>
      <c r="J27" s="796">
        <f t="shared" si="1"/>
        <v>0.59460499551027146</v>
      </c>
    </row>
    <row r="28" spans="1:10">
      <c r="A28" s="322" t="s">
        <v>103</v>
      </c>
      <c r="B28" s="793">
        <v>43831</v>
      </c>
      <c r="C28" s="790">
        <f t="shared" si="0"/>
        <v>695</v>
      </c>
      <c r="D28" s="790">
        <v>7</v>
      </c>
      <c r="E28" s="790">
        <v>289</v>
      </c>
      <c r="F28" s="790">
        <v>406</v>
      </c>
      <c r="G28" s="790">
        <v>3</v>
      </c>
      <c r="H28" s="790">
        <v>155</v>
      </c>
      <c r="I28" s="790">
        <v>82</v>
      </c>
      <c r="J28" s="796">
        <f t="shared" si="1"/>
        <v>0.77470930232558133</v>
      </c>
    </row>
    <row r="29" spans="1:10">
      <c r="A29" s="322" t="s">
        <v>77</v>
      </c>
      <c r="B29" s="793">
        <v>43862</v>
      </c>
      <c r="C29" s="790">
        <f t="shared" si="0"/>
        <v>562</v>
      </c>
      <c r="D29" s="790">
        <v>6</v>
      </c>
      <c r="E29" s="790">
        <v>304</v>
      </c>
      <c r="F29" s="790">
        <v>258</v>
      </c>
      <c r="G29" s="790">
        <v>25</v>
      </c>
      <c r="H29" s="790">
        <v>172</v>
      </c>
      <c r="I29" s="790">
        <v>75</v>
      </c>
      <c r="J29" s="796">
        <f t="shared" si="1"/>
        <v>0.69064748201438841</v>
      </c>
    </row>
    <row r="30" spans="1:10">
      <c r="A30" s="322" t="s">
        <v>78</v>
      </c>
      <c r="B30" s="793">
        <v>43863</v>
      </c>
      <c r="C30" s="790">
        <f t="shared" si="0"/>
        <v>1902</v>
      </c>
      <c r="D30" s="790">
        <v>29</v>
      </c>
      <c r="E30" s="790">
        <v>510</v>
      </c>
      <c r="F30" s="790">
        <v>1392</v>
      </c>
      <c r="G30" s="790">
        <v>36</v>
      </c>
      <c r="H30" s="790">
        <v>583</v>
      </c>
      <c r="I30" s="790">
        <v>386</v>
      </c>
      <c r="J30" s="796">
        <f t="shared" si="1"/>
        <v>0.68873465029364656</v>
      </c>
    </row>
    <row r="31" spans="1:10">
      <c r="A31" s="322" t="s">
        <v>80</v>
      </c>
      <c r="B31" s="793">
        <v>43864</v>
      </c>
      <c r="C31" s="790">
        <f t="shared" si="0"/>
        <v>1890</v>
      </c>
      <c r="D31" s="790">
        <v>9</v>
      </c>
      <c r="E31" s="790">
        <v>751</v>
      </c>
      <c r="F31" s="790">
        <v>1139</v>
      </c>
      <c r="G31" s="790">
        <v>20</v>
      </c>
      <c r="H31" s="790">
        <v>497</v>
      </c>
      <c r="I31" s="790">
        <v>246</v>
      </c>
      <c r="J31" s="796">
        <f t="shared" si="1"/>
        <v>0.73577884104199898</v>
      </c>
    </row>
    <row r="32" spans="1:10">
      <c r="A32" s="322" t="s">
        <v>79</v>
      </c>
      <c r="B32" s="793">
        <v>43865</v>
      </c>
      <c r="C32" s="790">
        <f t="shared" si="0"/>
        <v>682</v>
      </c>
      <c r="D32" s="790">
        <v>3</v>
      </c>
      <c r="E32" s="790">
        <v>375</v>
      </c>
      <c r="F32" s="790">
        <v>307</v>
      </c>
      <c r="G32" s="790">
        <v>8</v>
      </c>
      <c r="H32" s="790">
        <v>166</v>
      </c>
      <c r="I32" s="790">
        <v>87</v>
      </c>
      <c r="J32" s="796">
        <f t="shared" si="1"/>
        <v>0.75552282768777612</v>
      </c>
    </row>
    <row r="33" spans="1:10">
      <c r="A33" s="322" t="s">
        <v>81</v>
      </c>
      <c r="B33" s="793">
        <v>43866</v>
      </c>
      <c r="C33" s="790">
        <f t="shared" si="0"/>
        <v>5848</v>
      </c>
      <c r="D33" s="790">
        <v>547</v>
      </c>
      <c r="E33" s="790">
        <v>2252</v>
      </c>
      <c r="F33" s="790">
        <v>3596</v>
      </c>
      <c r="G33" s="790">
        <v>90</v>
      </c>
      <c r="H33" s="790">
        <v>1860</v>
      </c>
      <c r="I33" s="790">
        <v>1134</v>
      </c>
      <c r="J33" s="796">
        <f t="shared" si="1"/>
        <v>0.64912280701754388</v>
      </c>
    </row>
    <row r="34" spans="1:10">
      <c r="A34" s="322" t="s">
        <v>82</v>
      </c>
      <c r="B34" s="793">
        <v>43867</v>
      </c>
      <c r="C34" s="790">
        <f t="shared" si="0"/>
        <v>3301</v>
      </c>
      <c r="D34" s="790">
        <v>113</v>
      </c>
      <c r="E34" s="790">
        <v>1308</v>
      </c>
      <c r="F34" s="790">
        <v>1993</v>
      </c>
      <c r="G34" s="790">
        <v>58</v>
      </c>
      <c r="H34" s="790">
        <v>1254</v>
      </c>
      <c r="I34" s="790">
        <v>779</v>
      </c>
      <c r="J34" s="796">
        <f t="shared" si="1"/>
        <v>0.60664993726474281</v>
      </c>
    </row>
    <row r="35" spans="1:10">
      <c r="A35" s="322" t="s">
        <v>83</v>
      </c>
      <c r="B35" s="793">
        <v>43868</v>
      </c>
      <c r="C35" s="790">
        <f t="shared" si="0"/>
        <v>5828</v>
      </c>
      <c r="D35" s="790">
        <v>317</v>
      </c>
      <c r="E35" s="790">
        <v>2131</v>
      </c>
      <c r="F35" s="790">
        <v>3697</v>
      </c>
      <c r="G35" s="790">
        <v>138</v>
      </c>
      <c r="H35" s="790">
        <v>2329</v>
      </c>
      <c r="I35" s="790">
        <v>1560</v>
      </c>
      <c r="J35" s="796">
        <f t="shared" si="1"/>
        <v>0.57739067319905646</v>
      </c>
    </row>
    <row r="36" spans="1:10">
      <c r="A36" s="322" t="s">
        <v>84</v>
      </c>
      <c r="B36" s="793">
        <v>43869</v>
      </c>
      <c r="C36" s="790">
        <f t="shared" si="0"/>
        <v>3187</v>
      </c>
      <c r="D36" s="790">
        <v>45</v>
      </c>
      <c r="E36" s="790">
        <v>901</v>
      </c>
      <c r="F36" s="790">
        <v>2286</v>
      </c>
      <c r="G36" s="790">
        <v>66</v>
      </c>
      <c r="H36" s="790">
        <v>1800</v>
      </c>
      <c r="I36" s="790">
        <v>1165</v>
      </c>
      <c r="J36" s="796">
        <f t="shared" si="1"/>
        <v>0.42711648631444943</v>
      </c>
    </row>
    <row r="37" spans="1:10">
      <c r="A37" s="322" t="s">
        <v>85</v>
      </c>
      <c r="B37" s="793">
        <v>43870</v>
      </c>
      <c r="C37" s="790">
        <f t="shared" si="0"/>
        <v>4328</v>
      </c>
      <c r="D37" s="790">
        <v>121</v>
      </c>
      <c r="E37" s="790">
        <v>1402</v>
      </c>
      <c r="F37" s="790">
        <v>2926</v>
      </c>
      <c r="G37" s="790">
        <v>62</v>
      </c>
      <c r="H37" s="790">
        <v>1461</v>
      </c>
      <c r="I37" s="790">
        <v>868</v>
      </c>
      <c r="J37" s="796">
        <f t="shared" si="1"/>
        <v>0.65272165438554786</v>
      </c>
    </row>
    <row r="38" spans="1:10">
      <c r="A38" s="322" t="s">
        <v>86</v>
      </c>
      <c r="B38" s="793">
        <v>43871</v>
      </c>
      <c r="C38" s="790">
        <f t="shared" si="0"/>
        <v>1568</v>
      </c>
      <c r="D38" s="790">
        <v>17</v>
      </c>
      <c r="E38" s="790">
        <v>630</v>
      </c>
      <c r="F38" s="790">
        <v>938</v>
      </c>
      <c r="G38" s="790">
        <v>42</v>
      </c>
      <c r="H38" s="790">
        <v>500</v>
      </c>
      <c r="I38" s="790">
        <v>280</v>
      </c>
      <c r="J38" s="796">
        <f t="shared" si="1"/>
        <v>0.67762733720180535</v>
      </c>
    </row>
    <row r="39" spans="1:10">
      <c r="A39" s="322" t="s">
        <v>89</v>
      </c>
      <c r="B39" s="793">
        <v>43872</v>
      </c>
      <c r="C39" s="790">
        <f t="shared" si="0"/>
        <v>14236</v>
      </c>
      <c r="D39" s="790">
        <v>450</v>
      </c>
      <c r="E39" s="790">
        <v>4408</v>
      </c>
      <c r="F39" s="790">
        <v>9828</v>
      </c>
      <c r="G39" s="790">
        <v>234</v>
      </c>
      <c r="H39" s="790">
        <v>5317</v>
      </c>
      <c r="I39" s="790">
        <v>3453</v>
      </c>
      <c r="J39" s="796">
        <f t="shared" si="1"/>
        <v>0.61431887422022347</v>
      </c>
    </row>
    <row r="40" spans="1:10">
      <c r="A40" s="322" t="s">
        <v>88</v>
      </c>
      <c r="B40" s="793">
        <v>43873</v>
      </c>
      <c r="C40" s="790">
        <f t="shared" si="0"/>
        <v>3035</v>
      </c>
      <c r="D40" s="790">
        <v>33</v>
      </c>
      <c r="E40" s="790">
        <v>1189</v>
      </c>
      <c r="F40" s="790">
        <v>1846</v>
      </c>
      <c r="G40" s="790">
        <v>79</v>
      </c>
      <c r="H40" s="790">
        <v>989</v>
      </c>
      <c r="I40" s="790">
        <v>570</v>
      </c>
      <c r="J40" s="796">
        <f t="shared" si="1"/>
        <v>0.67055296469020653</v>
      </c>
    </row>
    <row r="41" spans="1:10">
      <c r="A41" s="322" t="s">
        <v>87</v>
      </c>
      <c r="B41" s="793">
        <v>43874</v>
      </c>
      <c r="C41" s="790">
        <f t="shared" si="0"/>
        <v>2894</v>
      </c>
      <c r="D41" s="790">
        <v>36</v>
      </c>
      <c r="E41" s="790">
        <v>989</v>
      </c>
      <c r="F41" s="790">
        <v>1905</v>
      </c>
      <c r="G41" s="790">
        <v>84</v>
      </c>
      <c r="H41" s="790">
        <v>1172</v>
      </c>
      <c r="I41" s="790">
        <v>581</v>
      </c>
      <c r="J41" s="796">
        <f t="shared" si="1"/>
        <v>0.5899230230930721</v>
      </c>
    </row>
    <row r="42" spans="1:10">
      <c r="A42" s="322" t="s">
        <v>90</v>
      </c>
      <c r="B42" s="793">
        <v>43875</v>
      </c>
      <c r="C42" s="790">
        <f t="shared" si="0"/>
        <v>2688</v>
      </c>
      <c r="D42" s="790">
        <v>91</v>
      </c>
      <c r="E42" s="790">
        <v>990</v>
      </c>
      <c r="F42" s="790">
        <v>1698</v>
      </c>
      <c r="G42" s="790">
        <v>48</v>
      </c>
      <c r="H42" s="790">
        <v>716</v>
      </c>
      <c r="I42" s="790">
        <v>400</v>
      </c>
      <c r="J42" s="796">
        <f t="shared" si="1"/>
        <v>0.7242972660762419</v>
      </c>
    </row>
    <row r="43" spans="1:10">
      <c r="A43" s="322" t="s">
        <v>91</v>
      </c>
      <c r="B43" s="793">
        <v>43876</v>
      </c>
      <c r="C43" s="790">
        <f t="shared" si="0"/>
        <v>2347</v>
      </c>
      <c r="D43" s="790">
        <v>26</v>
      </c>
      <c r="E43" s="790">
        <v>820</v>
      </c>
      <c r="F43" s="790">
        <v>1527</v>
      </c>
      <c r="G43" s="790">
        <v>65</v>
      </c>
      <c r="H43" s="790">
        <v>783</v>
      </c>
      <c r="I43" s="790">
        <v>473</v>
      </c>
      <c r="J43" s="796">
        <f t="shared" si="1"/>
        <v>0.66264541146057732</v>
      </c>
    </row>
    <row r="44" spans="1:10">
      <c r="A44" s="322" t="s">
        <v>93</v>
      </c>
      <c r="B44" s="793">
        <v>43877</v>
      </c>
      <c r="C44" s="790">
        <f t="shared" si="0"/>
        <v>4519</v>
      </c>
      <c r="D44" s="790">
        <v>267</v>
      </c>
      <c r="E44" s="790">
        <v>1450</v>
      </c>
      <c r="F44" s="790">
        <v>3069</v>
      </c>
      <c r="G44" s="790">
        <v>94</v>
      </c>
      <c r="H44" s="790">
        <v>1693</v>
      </c>
      <c r="I44" s="790">
        <v>1055</v>
      </c>
      <c r="J44" s="796">
        <f t="shared" si="1"/>
        <v>0.60183443085606769</v>
      </c>
    </row>
    <row r="45" spans="1:10">
      <c r="A45" s="322" t="s">
        <v>94</v>
      </c>
      <c r="B45" s="793">
        <v>43878</v>
      </c>
      <c r="C45" s="790">
        <f t="shared" si="0"/>
        <v>1184</v>
      </c>
      <c r="D45" s="790">
        <v>28</v>
      </c>
      <c r="E45" s="790">
        <v>435</v>
      </c>
      <c r="F45" s="790">
        <v>749</v>
      </c>
      <c r="G45" s="790">
        <v>46</v>
      </c>
      <c r="H45" s="790">
        <v>436</v>
      </c>
      <c r="I45" s="790">
        <v>241</v>
      </c>
      <c r="J45" s="796">
        <f t="shared" si="1"/>
        <v>0.62283737024221453</v>
      </c>
    </row>
    <row r="46" spans="1:10">
      <c r="A46" s="322" t="s">
        <v>92</v>
      </c>
      <c r="B46" s="793">
        <v>43879</v>
      </c>
      <c r="C46" s="790">
        <f t="shared" si="0"/>
        <v>11603</v>
      </c>
      <c r="D46" s="790">
        <v>243</v>
      </c>
      <c r="E46" s="790">
        <v>3987</v>
      </c>
      <c r="F46" s="790">
        <v>7616</v>
      </c>
      <c r="G46" s="790">
        <v>183</v>
      </c>
      <c r="H46" s="790">
        <v>4530</v>
      </c>
      <c r="I46" s="790">
        <v>2825</v>
      </c>
      <c r="J46" s="796">
        <f t="shared" si="1"/>
        <v>0.60123239436619724</v>
      </c>
    </row>
    <row r="47" spans="1:10">
      <c r="A47" s="322" t="s">
        <v>95</v>
      </c>
      <c r="B47" s="793">
        <v>43880</v>
      </c>
      <c r="C47" s="790">
        <f t="shared" si="0"/>
        <v>19846</v>
      </c>
      <c r="D47" s="790">
        <v>2224</v>
      </c>
      <c r="E47" s="790">
        <v>8317</v>
      </c>
      <c r="F47" s="790">
        <v>11529</v>
      </c>
      <c r="G47" s="790">
        <v>128</v>
      </c>
      <c r="H47" s="790">
        <v>6543</v>
      </c>
      <c r="I47" s="790">
        <v>4445</v>
      </c>
      <c r="J47" s="796">
        <f t="shared" si="1"/>
        <v>0.62870275791624108</v>
      </c>
    </row>
    <row r="48" spans="1:10">
      <c r="A48" s="322" t="s">
        <v>96</v>
      </c>
      <c r="B48" s="793">
        <v>43881</v>
      </c>
      <c r="C48" s="790">
        <f t="shared" si="0"/>
        <v>2303</v>
      </c>
      <c r="D48" s="790">
        <v>24</v>
      </c>
      <c r="E48" s="790">
        <v>612</v>
      </c>
      <c r="F48" s="790">
        <v>1691</v>
      </c>
      <c r="G48" s="790">
        <v>47</v>
      </c>
      <c r="H48" s="790">
        <v>773</v>
      </c>
      <c r="I48" s="790">
        <v>480</v>
      </c>
      <c r="J48" s="796">
        <f t="shared" si="1"/>
        <v>0.6608161474330847</v>
      </c>
    </row>
    <row r="49" spans="1:10">
      <c r="A49" s="322" t="s">
        <v>98</v>
      </c>
      <c r="B49" s="793">
        <v>43882</v>
      </c>
      <c r="C49" s="790">
        <f t="shared" si="0"/>
        <v>1067</v>
      </c>
      <c r="D49" s="790">
        <v>5</v>
      </c>
      <c r="E49" s="790">
        <v>469</v>
      </c>
      <c r="F49" s="790">
        <v>598</v>
      </c>
      <c r="G49" s="790">
        <v>52</v>
      </c>
      <c r="H49" s="790">
        <v>343</v>
      </c>
      <c r="I49" s="790">
        <v>176</v>
      </c>
      <c r="J49" s="796">
        <f t="shared" si="1"/>
        <v>0.67702448210922794</v>
      </c>
    </row>
    <row r="50" spans="1:10">
      <c r="A50" s="322" t="s">
        <v>99</v>
      </c>
      <c r="B50" s="793">
        <v>43883</v>
      </c>
      <c r="C50" s="790">
        <f t="shared" si="0"/>
        <v>218</v>
      </c>
      <c r="D50" s="790">
        <v>5</v>
      </c>
      <c r="E50" s="790">
        <v>89</v>
      </c>
      <c r="F50" s="790">
        <v>129</v>
      </c>
      <c r="G50" s="790">
        <v>9</v>
      </c>
      <c r="H50" s="790">
        <v>63</v>
      </c>
      <c r="I50" s="790">
        <v>45</v>
      </c>
      <c r="J50" s="796">
        <f t="shared" si="1"/>
        <v>0.70422535211267601</v>
      </c>
    </row>
    <row r="51" spans="1:10">
      <c r="A51" s="322" t="s">
        <v>97</v>
      </c>
      <c r="B51" s="793">
        <v>43884</v>
      </c>
      <c r="C51" s="790">
        <f t="shared" si="0"/>
        <v>15588</v>
      </c>
      <c r="D51" s="790">
        <v>539</v>
      </c>
      <c r="E51" s="790">
        <v>5407</v>
      </c>
      <c r="F51" s="790">
        <v>10181</v>
      </c>
      <c r="G51" s="790">
        <v>265</v>
      </c>
      <c r="H51" s="790">
        <v>6093</v>
      </c>
      <c r="I51" s="790">
        <v>3959</v>
      </c>
      <c r="J51" s="796">
        <f t="shared" si="1"/>
        <v>0.59512259950827295</v>
      </c>
    </row>
    <row r="52" spans="1:10">
      <c r="A52" s="322" t="s">
        <v>100</v>
      </c>
      <c r="B52" s="793">
        <v>43885</v>
      </c>
      <c r="C52" s="790">
        <f t="shared" si="0"/>
        <v>9610</v>
      </c>
      <c r="D52" s="790">
        <v>126</v>
      </c>
      <c r="E52" s="790">
        <v>3192</v>
      </c>
      <c r="F52" s="790">
        <v>6418</v>
      </c>
      <c r="G52" s="790">
        <v>109</v>
      </c>
      <c r="H52" s="790">
        <v>4078</v>
      </c>
      <c r="I52" s="790">
        <v>2525</v>
      </c>
      <c r="J52" s="796">
        <f t="shared" si="1"/>
        <v>0.57001265288907632</v>
      </c>
    </row>
    <row r="53" spans="1:10">
      <c r="A53" s="322" t="s">
        <v>102</v>
      </c>
      <c r="B53" s="793">
        <v>43886</v>
      </c>
      <c r="C53" s="790">
        <f t="shared" si="0"/>
        <v>1336</v>
      </c>
      <c r="D53" s="790">
        <v>23</v>
      </c>
      <c r="E53" s="790">
        <v>515</v>
      </c>
      <c r="F53" s="790">
        <v>821</v>
      </c>
      <c r="G53" s="790">
        <v>27</v>
      </c>
      <c r="H53" s="790">
        <v>411</v>
      </c>
      <c r="I53" s="790">
        <v>219</v>
      </c>
      <c r="J53" s="796">
        <f t="shared" si="1"/>
        <v>0.68697638994668697</v>
      </c>
    </row>
    <row r="54" spans="1:10">
      <c r="A54" s="322" t="s">
        <v>101</v>
      </c>
      <c r="B54" s="793">
        <v>43887</v>
      </c>
      <c r="C54" s="790">
        <f t="shared" si="0"/>
        <v>57251</v>
      </c>
      <c r="D54" s="790">
        <v>2380</v>
      </c>
      <c r="E54" s="790">
        <v>21713</v>
      </c>
      <c r="F54" s="790">
        <v>35538</v>
      </c>
      <c r="G54" s="790">
        <v>760</v>
      </c>
      <c r="H54" s="790">
        <v>24025</v>
      </c>
      <c r="I54" s="790">
        <v>15031</v>
      </c>
      <c r="J54" s="796">
        <f t="shared" si="1"/>
        <v>0.56215487233693573</v>
      </c>
    </row>
    <row r="55" spans="1:10">
      <c r="A55" s="322" t="s">
        <v>103</v>
      </c>
      <c r="B55" s="793">
        <v>43888</v>
      </c>
      <c r="C55" s="790">
        <f t="shared" si="0"/>
        <v>670</v>
      </c>
      <c r="D55" s="790">
        <v>7</v>
      </c>
      <c r="E55" s="790">
        <v>276</v>
      </c>
      <c r="F55" s="790">
        <v>394</v>
      </c>
      <c r="G55" s="790">
        <v>19</v>
      </c>
      <c r="H55" s="790">
        <v>194</v>
      </c>
      <c r="I55" s="790">
        <v>99</v>
      </c>
      <c r="J55" s="796">
        <f t="shared" si="1"/>
        <v>0.70739064856711908</v>
      </c>
    </row>
    <row r="56" spans="1:10">
      <c r="A56" s="322" t="s">
        <v>77</v>
      </c>
      <c r="B56" s="793">
        <v>43891</v>
      </c>
      <c r="C56" s="790">
        <f t="shared" si="0"/>
        <v>555</v>
      </c>
      <c r="D56" s="790">
        <v>6</v>
      </c>
      <c r="E56" s="790">
        <v>300</v>
      </c>
      <c r="F56" s="790">
        <v>255</v>
      </c>
      <c r="G56" s="790">
        <v>36</v>
      </c>
      <c r="H56" s="790">
        <v>215</v>
      </c>
      <c r="I56" s="790">
        <v>83</v>
      </c>
      <c r="J56" s="796">
        <f t="shared" si="1"/>
        <v>0.60837887067395258</v>
      </c>
    </row>
    <row r="57" spans="1:10">
      <c r="A57" s="322" t="s">
        <v>78</v>
      </c>
      <c r="B57" s="793">
        <v>43892</v>
      </c>
      <c r="C57" s="790">
        <f t="shared" si="0"/>
        <v>1908</v>
      </c>
      <c r="D57" s="790">
        <v>30</v>
      </c>
      <c r="E57" s="790">
        <v>510</v>
      </c>
      <c r="F57" s="790">
        <v>1398</v>
      </c>
      <c r="G57" s="790">
        <v>52</v>
      </c>
      <c r="H57" s="790">
        <v>704</v>
      </c>
      <c r="I57" s="790">
        <v>429</v>
      </c>
      <c r="J57" s="796">
        <f t="shared" si="1"/>
        <v>0.62513312034078805</v>
      </c>
    </row>
    <row r="58" spans="1:10">
      <c r="A58" s="322" t="s">
        <v>80</v>
      </c>
      <c r="B58" s="793">
        <v>43893</v>
      </c>
      <c r="C58" s="790">
        <f t="shared" si="0"/>
        <v>1876</v>
      </c>
      <c r="D58" s="790">
        <v>9</v>
      </c>
      <c r="E58" s="790">
        <v>747</v>
      </c>
      <c r="F58" s="790">
        <v>1129</v>
      </c>
      <c r="G58" s="790">
        <v>48</v>
      </c>
      <c r="H58" s="790">
        <v>634</v>
      </c>
      <c r="I58" s="790">
        <v>288</v>
      </c>
      <c r="J58" s="796">
        <f t="shared" si="1"/>
        <v>0.66041778253883243</v>
      </c>
    </row>
    <row r="59" spans="1:10">
      <c r="A59" s="322" t="s">
        <v>79</v>
      </c>
      <c r="B59" s="793">
        <v>43894</v>
      </c>
      <c r="C59" s="790">
        <f t="shared" si="0"/>
        <v>692</v>
      </c>
      <c r="D59" s="790">
        <v>3</v>
      </c>
      <c r="E59" s="790">
        <v>379</v>
      </c>
      <c r="F59" s="790">
        <v>313</v>
      </c>
      <c r="G59" s="790">
        <v>21</v>
      </c>
      <c r="H59" s="790">
        <v>209</v>
      </c>
      <c r="I59" s="790">
        <v>99</v>
      </c>
      <c r="J59" s="796">
        <f t="shared" si="1"/>
        <v>0.69666182873730043</v>
      </c>
    </row>
    <row r="60" spans="1:10">
      <c r="A60" s="322" t="s">
        <v>81</v>
      </c>
      <c r="B60" s="793">
        <v>43895</v>
      </c>
      <c r="C60" s="790">
        <f t="shared" si="0"/>
        <v>5896</v>
      </c>
      <c r="D60" s="790">
        <v>547</v>
      </c>
      <c r="E60" s="790">
        <v>2270</v>
      </c>
      <c r="F60" s="790">
        <v>3626</v>
      </c>
      <c r="G60" s="790">
        <v>187</v>
      </c>
      <c r="H60" s="790">
        <v>2307</v>
      </c>
      <c r="I60" s="790">
        <v>1334</v>
      </c>
      <c r="J60" s="796">
        <f t="shared" si="1"/>
        <v>0.56870443073471677</v>
      </c>
    </row>
    <row r="61" spans="1:10">
      <c r="A61" s="322" t="s">
        <v>82</v>
      </c>
      <c r="B61" s="793">
        <v>43896</v>
      </c>
      <c r="C61" s="790">
        <f t="shared" si="0"/>
        <v>3369</v>
      </c>
      <c r="D61" s="790">
        <v>113</v>
      </c>
      <c r="E61" s="790">
        <v>1335</v>
      </c>
      <c r="F61" s="790">
        <v>2034</v>
      </c>
      <c r="G61" s="790">
        <v>233</v>
      </c>
      <c r="H61" s="790">
        <v>1490</v>
      </c>
      <c r="I61" s="790">
        <v>876</v>
      </c>
      <c r="J61" s="796">
        <f t="shared" si="1"/>
        <v>0.5423832923832923</v>
      </c>
    </row>
    <row r="62" spans="1:10">
      <c r="A62" s="322" t="s">
        <v>83</v>
      </c>
      <c r="B62" s="793">
        <v>43897</v>
      </c>
      <c r="C62" s="790">
        <f t="shared" si="0"/>
        <v>5865</v>
      </c>
      <c r="D62" s="790">
        <v>318</v>
      </c>
      <c r="E62" s="790">
        <v>2137</v>
      </c>
      <c r="F62" s="790">
        <v>3728</v>
      </c>
      <c r="G62" s="790">
        <v>204</v>
      </c>
      <c r="H62" s="790">
        <v>2750</v>
      </c>
      <c r="I62" s="790">
        <v>1754</v>
      </c>
      <c r="J62" s="796">
        <f t="shared" si="1"/>
        <v>0.50423652424734089</v>
      </c>
    </row>
    <row r="63" spans="1:10">
      <c r="A63" s="322" t="s">
        <v>84</v>
      </c>
      <c r="B63" s="793">
        <v>43898</v>
      </c>
      <c r="C63" s="790">
        <f t="shared" si="0"/>
        <v>3263</v>
      </c>
      <c r="D63" s="790">
        <v>45</v>
      </c>
      <c r="E63" s="790">
        <v>914</v>
      </c>
      <c r="F63" s="790">
        <v>2349</v>
      </c>
      <c r="G63" s="790">
        <v>144</v>
      </c>
      <c r="H63" s="790">
        <v>2085</v>
      </c>
      <c r="I63" s="790">
        <v>1245</v>
      </c>
      <c r="J63" s="796">
        <f t="shared" si="1"/>
        <v>0.35208203853325049</v>
      </c>
    </row>
    <row r="64" spans="1:10">
      <c r="A64" s="322" t="s">
        <v>85</v>
      </c>
      <c r="B64" s="793">
        <v>43899</v>
      </c>
      <c r="C64" s="790">
        <f t="shared" si="0"/>
        <v>4370</v>
      </c>
      <c r="D64" s="790">
        <v>121</v>
      </c>
      <c r="E64" s="790">
        <v>1415</v>
      </c>
      <c r="F64" s="790">
        <v>2955</v>
      </c>
      <c r="G64" s="790">
        <v>149</v>
      </c>
      <c r="H64" s="790">
        <v>1807</v>
      </c>
      <c r="I64" s="790">
        <v>1003</v>
      </c>
      <c r="J64" s="796">
        <f t="shared" si="1"/>
        <v>0.57472346434455168</v>
      </c>
    </row>
    <row r="65" spans="1:10">
      <c r="A65" s="322" t="s">
        <v>86</v>
      </c>
      <c r="B65" s="793">
        <v>43900</v>
      </c>
      <c r="C65" s="790">
        <f t="shared" si="0"/>
        <v>1577</v>
      </c>
      <c r="D65" s="790">
        <v>17</v>
      </c>
      <c r="E65" s="790">
        <v>634</v>
      </c>
      <c r="F65" s="790">
        <v>943</v>
      </c>
      <c r="G65" s="790">
        <v>60</v>
      </c>
      <c r="H65" s="790">
        <v>607</v>
      </c>
      <c r="I65" s="790">
        <v>309</v>
      </c>
      <c r="J65" s="796">
        <f t="shared" si="1"/>
        <v>0.61089743589743595</v>
      </c>
    </row>
    <row r="66" spans="1:10">
      <c r="A66" s="322" t="s">
        <v>89</v>
      </c>
      <c r="B66" s="793">
        <v>43901</v>
      </c>
      <c r="C66" s="790">
        <f t="shared" si="0"/>
        <v>14374</v>
      </c>
      <c r="D66" s="790">
        <v>450</v>
      </c>
      <c r="E66" s="790">
        <v>4449</v>
      </c>
      <c r="F66" s="790">
        <v>9925</v>
      </c>
      <c r="G66" s="790">
        <v>500</v>
      </c>
      <c r="H66" s="790">
        <v>6335</v>
      </c>
      <c r="I66" s="790">
        <v>3873</v>
      </c>
      <c r="J66" s="796">
        <f t="shared" si="1"/>
        <v>0.54503016374604996</v>
      </c>
    </row>
    <row r="67" spans="1:10">
      <c r="A67" s="322" t="s">
        <v>88</v>
      </c>
      <c r="B67" s="793">
        <v>43902</v>
      </c>
      <c r="C67" s="790">
        <f t="shared" ref="C67:C130" si="2">E67+F67</f>
        <v>3068</v>
      </c>
      <c r="D67" s="790">
        <v>33</v>
      </c>
      <c r="E67" s="790">
        <v>1205</v>
      </c>
      <c r="F67" s="790">
        <v>1863</v>
      </c>
      <c r="G67" s="790">
        <v>129</v>
      </c>
      <c r="H67" s="790">
        <v>1201</v>
      </c>
      <c r="I67" s="790">
        <v>660</v>
      </c>
      <c r="J67" s="796">
        <f t="shared" ref="J67:J130" si="3">1-(H67/(C67-D67))</f>
        <v>0.60428336079077427</v>
      </c>
    </row>
    <row r="68" spans="1:10">
      <c r="A68" s="322" t="s">
        <v>87</v>
      </c>
      <c r="B68" s="793">
        <v>43903</v>
      </c>
      <c r="C68" s="790">
        <f t="shared" si="2"/>
        <v>2919</v>
      </c>
      <c r="D68" s="790">
        <v>36</v>
      </c>
      <c r="E68" s="790">
        <v>1000</v>
      </c>
      <c r="F68" s="790">
        <v>1919</v>
      </c>
      <c r="G68" s="790">
        <v>171</v>
      </c>
      <c r="H68" s="790">
        <v>1402</v>
      </c>
      <c r="I68" s="790">
        <v>638</v>
      </c>
      <c r="J68" s="796">
        <f t="shared" si="3"/>
        <v>0.51370100589663548</v>
      </c>
    </row>
    <row r="69" spans="1:10">
      <c r="A69" s="322" t="s">
        <v>90</v>
      </c>
      <c r="B69" s="793">
        <v>43904</v>
      </c>
      <c r="C69" s="790">
        <f t="shared" si="2"/>
        <v>2744</v>
      </c>
      <c r="D69" s="790">
        <v>91</v>
      </c>
      <c r="E69" s="790">
        <v>1001</v>
      </c>
      <c r="F69" s="790">
        <v>1743</v>
      </c>
      <c r="G69" s="790">
        <v>114</v>
      </c>
      <c r="H69" s="790">
        <v>898</v>
      </c>
      <c r="I69" s="790">
        <v>467</v>
      </c>
      <c r="J69" s="796">
        <f t="shared" si="3"/>
        <v>0.66151526573690167</v>
      </c>
    </row>
    <row r="70" spans="1:10">
      <c r="A70" s="322" t="s">
        <v>91</v>
      </c>
      <c r="B70" s="793">
        <v>43905</v>
      </c>
      <c r="C70" s="790">
        <f t="shared" si="2"/>
        <v>2392</v>
      </c>
      <c r="D70" s="790">
        <v>26</v>
      </c>
      <c r="E70" s="790">
        <v>841</v>
      </c>
      <c r="F70" s="790">
        <v>1551</v>
      </c>
      <c r="G70" s="790">
        <v>157</v>
      </c>
      <c r="H70" s="790">
        <v>950</v>
      </c>
      <c r="I70" s="790">
        <v>546</v>
      </c>
      <c r="J70" s="796">
        <f t="shared" si="3"/>
        <v>0.59847844463229083</v>
      </c>
    </row>
    <row r="71" spans="1:10">
      <c r="A71" s="322" t="s">
        <v>93</v>
      </c>
      <c r="B71" s="793">
        <v>43906</v>
      </c>
      <c r="C71" s="790">
        <f t="shared" si="2"/>
        <v>4551</v>
      </c>
      <c r="D71" s="790">
        <v>267</v>
      </c>
      <c r="E71" s="790">
        <v>1464</v>
      </c>
      <c r="F71" s="790">
        <v>3087</v>
      </c>
      <c r="G71" s="790">
        <v>173</v>
      </c>
      <c r="H71" s="790">
        <v>2040</v>
      </c>
      <c r="I71" s="790">
        <v>1184</v>
      </c>
      <c r="J71" s="796">
        <f t="shared" si="3"/>
        <v>0.52380952380952384</v>
      </c>
    </row>
    <row r="72" spans="1:10">
      <c r="A72" s="322" t="s">
        <v>94</v>
      </c>
      <c r="B72" s="793">
        <v>43907</v>
      </c>
      <c r="C72" s="790">
        <f t="shared" si="2"/>
        <v>1206</v>
      </c>
      <c r="D72" s="790">
        <v>28</v>
      </c>
      <c r="E72" s="790">
        <v>443</v>
      </c>
      <c r="F72" s="790">
        <v>763</v>
      </c>
      <c r="G72" s="790">
        <v>81</v>
      </c>
      <c r="H72" s="790">
        <v>531</v>
      </c>
      <c r="I72" s="790">
        <v>274</v>
      </c>
      <c r="J72" s="796">
        <f t="shared" si="3"/>
        <v>0.54923599320882854</v>
      </c>
    </row>
    <row r="73" spans="1:10">
      <c r="A73" s="322" t="s">
        <v>92</v>
      </c>
      <c r="B73" s="793">
        <v>43908</v>
      </c>
      <c r="C73" s="790">
        <f t="shared" si="2"/>
        <v>11825</v>
      </c>
      <c r="D73" s="790">
        <v>243</v>
      </c>
      <c r="E73" s="790">
        <v>4052</v>
      </c>
      <c r="F73" s="790">
        <v>7773</v>
      </c>
      <c r="G73" s="790">
        <v>548</v>
      </c>
      <c r="H73" s="790">
        <v>5504</v>
      </c>
      <c r="I73" s="790">
        <v>3204</v>
      </c>
      <c r="J73" s="796">
        <f t="shared" si="3"/>
        <v>0.52477983077188739</v>
      </c>
    </row>
    <row r="74" spans="1:10">
      <c r="A74" s="322" t="s">
        <v>95</v>
      </c>
      <c r="B74" s="793">
        <v>43909</v>
      </c>
      <c r="C74" s="790">
        <f t="shared" si="2"/>
        <v>19850</v>
      </c>
      <c r="D74" s="790">
        <v>2224</v>
      </c>
      <c r="E74" s="790">
        <v>8331</v>
      </c>
      <c r="F74" s="790">
        <v>11519</v>
      </c>
      <c r="G74" s="790">
        <v>241</v>
      </c>
      <c r="H74" s="790">
        <v>7783</v>
      </c>
      <c r="I74" s="790">
        <v>5060</v>
      </c>
      <c r="J74" s="796">
        <f t="shared" si="3"/>
        <v>0.5584364007715874</v>
      </c>
    </row>
    <row r="75" spans="1:10">
      <c r="A75" s="322" t="s">
        <v>96</v>
      </c>
      <c r="B75" s="793">
        <v>43910</v>
      </c>
      <c r="C75" s="790">
        <f t="shared" si="2"/>
        <v>2333</v>
      </c>
      <c r="D75" s="790">
        <v>24</v>
      </c>
      <c r="E75" s="790">
        <v>617</v>
      </c>
      <c r="F75" s="790">
        <v>1716</v>
      </c>
      <c r="G75" s="790">
        <v>112</v>
      </c>
      <c r="H75" s="790">
        <v>1007</v>
      </c>
      <c r="I75" s="790">
        <v>592</v>
      </c>
      <c r="J75" s="796">
        <f t="shared" si="3"/>
        <v>0.56388046773495026</v>
      </c>
    </row>
    <row r="76" spans="1:10">
      <c r="A76" s="322" t="s">
        <v>98</v>
      </c>
      <c r="B76" s="793">
        <v>43911</v>
      </c>
      <c r="C76" s="790">
        <f t="shared" si="2"/>
        <v>1078</v>
      </c>
      <c r="D76" s="790">
        <v>5</v>
      </c>
      <c r="E76" s="790">
        <v>476</v>
      </c>
      <c r="F76" s="790">
        <v>602</v>
      </c>
      <c r="G76" s="790">
        <v>54</v>
      </c>
      <c r="H76" s="790">
        <v>414</v>
      </c>
      <c r="I76" s="790">
        <v>196</v>
      </c>
      <c r="J76" s="796">
        <f t="shared" si="3"/>
        <v>0.61416589002795896</v>
      </c>
    </row>
    <row r="77" spans="1:10">
      <c r="A77" s="322" t="s">
        <v>99</v>
      </c>
      <c r="B77" s="793">
        <v>43912</v>
      </c>
      <c r="C77" s="790">
        <f t="shared" si="2"/>
        <v>221</v>
      </c>
      <c r="D77" s="790">
        <v>5</v>
      </c>
      <c r="E77" s="790">
        <v>91</v>
      </c>
      <c r="F77" s="790">
        <v>130</v>
      </c>
      <c r="G77" s="790">
        <v>15</v>
      </c>
      <c r="H77" s="790">
        <v>77</v>
      </c>
      <c r="I77" s="790">
        <v>53</v>
      </c>
      <c r="J77" s="796">
        <f t="shared" si="3"/>
        <v>0.6435185185185186</v>
      </c>
    </row>
    <row r="78" spans="1:10">
      <c r="A78" s="322" t="s">
        <v>97</v>
      </c>
      <c r="B78" s="793">
        <v>43913</v>
      </c>
      <c r="C78" s="790">
        <f t="shared" si="2"/>
        <v>15676</v>
      </c>
      <c r="D78" s="790">
        <v>539</v>
      </c>
      <c r="E78" s="790">
        <v>5426</v>
      </c>
      <c r="F78" s="790">
        <v>10250</v>
      </c>
      <c r="G78" s="790">
        <v>412</v>
      </c>
      <c r="H78" s="790">
        <v>7200</v>
      </c>
      <c r="I78" s="790">
        <v>4401</v>
      </c>
      <c r="J78" s="796">
        <f t="shared" si="3"/>
        <v>0.52434432186034219</v>
      </c>
    </row>
    <row r="79" spans="1:10">
      <c r="A79" s="322" t="s">
        <v>100</v>
      </c>
      <c r="B79" s="793">
        <v>43914</v>
      </c>
      <c r="C79" s="790">
        <f t="shared" si="2"/>
        <v>9679</v>
      </c>
      <c r="D79" s="790">
        <v>126</v>
      </c>
      <c r="E79" s="790">
        <v>3208</v>
      </c>
      <c r="F79" s="790">
        <v>6471</v>
      </c>
      <c r="G79" s="790">
        <v>211</v>
      </c>
      <c r="H79" s="790">
        <v>4881</v>
      </c>
      <c r="I79" s="790">
        <v>2799</v>
      </c>
      <c r="J79" s="796">
        <f t="shared" si="3"/>
        <v>0.48906102794933526</v>
      </c>
    </row>
    <row r="80" spans="1:10">
      <c r="A80" s="322" t="s">
        <v>102</v>
      </c>
      <c r="B80" s="793">
        <v>43915</v>
      </c>
      <c r="C80" s="790">
        <f t="shared" si="2"/>
        <v>1340</v>
      </c>
      <c r="D80" s="790">
        <v>23</v>
      </c>
      <c r="E80" s="790">
        <v>521</v>
      </c>
      <c r="F80" s="790">
        <v>819</v>
      </c>
      <c r="G80" s="790">
        <v>54</v>
      </c>
      <c r="H80" s="790">
        <v>509</v>
      </c>
      <c r="I80" s="790">
        <v>253</v>
      </c>
      <c r="J80" s="796">
        <f t="shared" si="3"/>
        <v>0.61351556567957477</v>
      </c>
    </row>
    <row r="81" spans="1:10">
      <c r="A81" s="322" t="s">
        <v>101</v>
      </c>
      <c r="B81" s="793">
        <v>43916</v>
      </c>
      <c r="C81" s="790">
        <f t="shared" si="2"/>
        <v>57700</v>
      </c>
      <c r="D81" s="790">
        <v>2380</v>
      </c>
      <c r="E81" s="790">
        <v>21843</v>
      </c>
      <c r="F81" s="790">
        <v>35857</v>
      </c>
      <c r="G81" s="790">
        <v>1453</v>
      </c>
      <c r="H81" s="790">
        <v>27911</v>
      </c>
      <c r="I81" s="790">
        <v>16584</v>
      </c>
      <c r="J81" s="796">
        <f t="shared" si="3"/>
        <v>0.4954627621113521</v>
      </c>
    </row>
    <row r="82" spans="1:10">
      <c r="A82" s="322" t="s">
        <v>103</v>
      </c>
      <c r="B82" s="793">
        <v>43917</v>
      </c>
      <c r="C82" s="790">
        <f t="shared" si="2"/>
        <v>677</v>
      </c>
      <c r="D82" s="790">
        <v>7</v>
      </c>
      <c r="E82" s="790">
        <v>279</v>
      </c>
      <c r="F82" s="790">
        <v>398</v>
      </c>
      <c r="G82" s="790">
        <v>29</v>
      </c>
      <c r="H82" s="790">
        <v>275</v>
      </c>
      <c r="I82" s="790">
        <v>126</v>
      </c>
      <c r="J82" s="796">
        <f t="shared" si="3"/>
        <v>0.58955223880597019</v>
      </c>
    </row>
    <row r="83" spans="1:10">
      <c r="A83" s="322" t="s">
        <v>77</v>
      </c>
      <c r="B83" s="793">
        <v>43922</v>
      </c>
      <c r="C83" s="790">
        <f t="shared" si="2"/>
        <v>558</v>
      </c>
      <c r="D83" s="790">
        <v>6</v>
      </c>
      <c r="E83" s="790">
        <v>300</v>
      </c>
      <c r="F83" s="790">
        <v>258</v>
      </c>
      <c r="G83" s="790">
        <v>28</v>
      </c>
      <c r="H83" s="790">
        <v>220</v>
      </c>
      <c r="I83" s="790">
        <v>85</v>
      </c>
      <c r="J83" s="796">
        <f t="shared" si="3"/>
        <v>0.60144927536231885</v>
      </c>
    </row>
    <row r="84" spans="1:10">
      <c r="A84" s="322" t="s">
        <v>78</v>
      </c>
      <c r="B84" s="793">
        <v>43923</v>
      </c>
      <c r="C84" s="790">
        <f t="shared" si="2"/>
        <v>1924</v>
      </c>
      <c r="D84" s="790">
        <v>30</v>
      </c>
      <c r="E84" s="790">
        <v>514</v>
      </c>
      <c r="F84" s="790">
        <v>1410</v>
      </c>
      <c r="G84" s="790">
        <v>55</v>
      </c>
      <c r="H84" s="790">
        <v>734</v>
      </c>
      <c r="I84" s="790">
        <v>445</v>
      </c>
      <c r="J84" s="796">
        <f t="shared" si="3"/>
        <v>0.6124604012671595</v>
      </c>
    </row>
    <row r="85" spans="1:10">
      <c r="A85" s="322" t="s">
        <v>80</v>
      </c>
      <c r="B85" s="793">
        <v>43924</v>
      </c>
      <c r="C85" s="790">
        <f t="shared" si="2"/>
        <v>1828</v>
      </c>
      <c r="D85" s="790">
        <v>8</v>
      </c>
      <c r="E85" s="790">
        <v>728</v>
      </c>
      <c r="F85" s="790">
        <v>1100</v>
      </c>
      <c r="G85" s="790">
        <v>43</v>
      </c>
      <c r="H85" s="790">
        <v>656</v>
      </c>
      <c r="I85" s="790">
        <v>296</v>
      </c>
      <c r="J85" s="796">
        <f t="shared" si="3"/>
        <v>0.63956043956043951</v>
      </c>
    </row>
    <row r="86" spans="1:10">
      <c r="A86" s="322" t="s">
        <v>79</v>
      </c>
      <c r="B86" s="793">
        <v>43925</v>
      </c>
      <c r="C86" s="790">
        <f t="shared" si="2"/>
        <v>703</v>
      </c>
      <c r="D86" s="790">
        <v>3</v>
      </c>
      <c r="E86" s="790">
        <v>384</v>
      </c>
      <c r="F86" s="790">
        <v>319</v>
      </c>
      <c r="G86" s="790">
        <v>19</v>
      </c>
      <c r="H86" s="790">
        <v>231</v>
      </c>
      <c r="I86" s="790">
        <v>110</v>
      </c>
      <c r="J86" s="796">
        <f t="shared" si="3"/>
        <v>0.66999999999999993</v>
      </c>
    </row>
    <row r="87" spans="1:10">
      <c r="A87" s="322" t="s">
        <v>81</v>
      </c>
      <c r="B87" s="793">
        <v>43926</v>
      </c>
      <c r="C87" s="790">
        <f t="shared" si="2"/>
        <v>5931</v>
      </c>
      <c r="D87" s="790">
        <v>546</v>
      </c>
      <c r="E87" s="790">
        <v>2282</v>
      </c>
      <c r="F87" s="790">
        <v>3649</v>
      </c>
      <c r="G87" s="790">
        <v>161</v>
      </c>
      <c r="H87" s="790">
        <v>2404</v>
      </c>
      <c r="I87" s="790">
        <v>1367</v>
      </c>
      <c r="J87" s="796">
        <f t="shared" si="3"/>
        <v>0.55357474466109569</v>
      </c>
    </row>
    <row r="88" spans="1:10">
      <c r="A88" s="322" t="s">
        <v>82</v>
      </c>
      <c r="B88" s="793">
        <v>43927</v>
      </c>
      <c r="C88" s="790">
        <f t="shared" si="2"/>
        <v>3418</v>
      </c>
      <c r="D88" s="790">
        <v>113</v>
      </c>
      <c r="E88" s="790">
        <v>1353</v>
      </c>
      <c r="F88" s="790">
        <v>2065</v>
      </c>
      <c r="G88" s="790">
        <v>175</v>
      </c>
      <c r="H88" s="790">
        <v>1558</v>
      </c>
      <c r="I88" s="790">
        <v>910</v>
      </c>
      <c r="J88" s="796">
        <f t="shared" si="3"/>
        <v>0.52859304084720127</v>
      </c>
    </row>
    <row r="89" spans="1:10">
      <c r="A89" s="322" t="s">
        <v>83</v>
      </c>
      <c r="B89" s="793">
        <v>43928</v>
      </c>
      <c r="C89" s="790">
        <f t="shared" si="2"/>
        <v>5905</v>
      </c>
      <c r="D89" s="790">
        <v>318</v>
      </c>
      <c r="E89" s="790">
        <v>2150</v>
      </c>
      <c r="F89" s="790">
        <v>3755</v>
      </c>
      <c r="G89" s="790">
        <v>182</v>
      </c>
      <c r="H89" s="790">
        <v>2864</v>
      </c>
      <c r="I89" s="790">
        <v>1810</v>
      </c>
      <c r="J89" s="796">
        <f t="shared" si="3"/>
        <v>0.4873814211562556</v>
      </c>
    </row>
    <row r="90" spans="1:10">
      <c r="A90" s="322" t="s">
        <v>84</v>
      </c>
      <c r="B90" s="793">
        <v>43929</v>
      </c>
      <c r="C90" s="790">
        <f t="shared" si="2"/>
        <v>3315</v>
      </c>
      <c r="D90" s="790">
        <v>46</v>
      </c>
      <c r="E90" s="790">
        <v>925</v>
      </c>
      <c r="F90" s="790">
        <v>2390</v>
      </c>
      <c r="G90" s="790">
        <v>150</v>
      </c>
      <c r="H90" s="790">
        <v>2151</v>
      </c>
      <c r="I90" s="790">
        <v>1270</v>
      </c>
      <c r="J90" s="796">
        <f t="shared" si="3"/>
        <v>0.34200061180789232</v>
      </c>
    </row>
    <row r="91" spans="1:10">
      <c r="A91" s="322" t="s">
        <v>85</v>
      </c>
      <c r="B91" s="793">
        <v>43930</v>
      </c>
      <c r="C91" s="790">
        <f t="shared" si="2"/>
        <v>4395</v>
      </c>
      <c r="D91" s="790">
        <v>121</v>
      </c>
      <c r="E91" s="790">
        <v>1426</v>
      </c>
      <c r="F91" s="790">
        <v>2969</v>
      </c>
      <c r="G91" s="790">
        <v>119</v>
      </c>
      <c r="H91" s="790">
        <v>1885</v>
      </c>
      <c r="I91" s="790">
        <v>1048</v>
      </c>
      <c r="J91" s="796">
        <f t="shared" si="3"/>
        <v>0.55896116050538136</v>
      </c>
    </row>
    <row r="92" spans="1:10">
      <c r="A92" s="322" t="s">
        <v>86</v>
      </c>
      <c r="B92" s="793">
        <v>43931</v>
      </c>
      <c r="C92" s="790">
        <f t="shared" si="2"/>
        <v>1599</v>
      </c>
      <c r="D92" s="790">
        <v>17</v>
      </c>
      <c r="E92" s="790">
        <v>646</v>
      </c>
      <c r="F92" s="790">
        <v>953</v>
      </c>
      <c r="G92" s="790">
        <v>78</v>
      </c>
      <c r="H92" s="790">
        <v>641</v>
      </c>
      <c r="I92" s="790">
        <v>324</v>
      </c>
      <c r="J92" s="796">
        <f t="shared" si="3"/>
        <v>0.59481668773704177</v>
      </c>
    </row>
    <row r="93" spans="1:10">
      <c r="A93" s="322" t="s">
        <v>89</v>
      </c>
      <c r="B93" s="793">
        <v>43932</v>
      </c>
      <c r="C93" s="790">
        <f t="shared" si="2"/>
        <v>14547</v>
      </c>
      <c r="D93" s="790">
        <v>450</v>
      </c>
      <c r="E93" s="790">
        <v>4503</v>
      </c>
      <c r="F93" s="790">
        <v>10044</v>
      </c>
      <c r="G93" s="790">
        <v>500</v>
      </c>
      <c r="H93" s="790">
        <v>6640</v>
      </c>
      <c r="I93" s="790">
        <v>4022</v>
      </c>
      <c r="J93" s="796">
        <f t="shared" si="3"/>
        <v>0.52897779669433209</v>
      </c>
    </row>
    <row r="94" spans="1:10">
      <c r="A94" s="322" t="s">
        <v>88</v>
      </c>
      <c r="B94" s="793">
        <v>43933</v>
      </c>
      <c r="C94" s="790">
        <f t="shared" si="2"/>
        <v>3089</v>
      </c>
      <c r="D94" s="790">
        <v>33</v>
      </c>
      <c r="E94" s="790">
        <v>1207</v>
      </c>
      <c r="F94" s="790">
        <v>1882</v>
      </c>
      <c r="G94" s="790">
        <v>100</v>
      </c>
      <c r="H94" s="790">
        <v>1261</v>
      </c>
      <c r="I94" s="790">
        <v>694</v>
      </c>
      <c r="J94" s="796">
        <f t="shared" si="3"/>
        <v>0.58736910994764391</v>
      </c>
    </row>
    <row r="95" spans="1:10">
      <c r="A95" s="322" t="s">
        <v>87</v>
      </c>
      <c r="B95" s="793">
        <v>43934</v>
      </c>
      <c r="C95" s="790">
        <f t="shared" si="2"/>
        <v>2976</v>
      </c>
      <c r="D95" s="790">
        <v>36</v>
      </c>
      <c r="E95" s="790">
        <v>1014</v>
      </c>
      <c r="F95" s="790">
        <v>1962</v>
      </c>
      <c r="G95" s="790">
        <v>108</v>
      </c>
      <c r="H95" s="790">
        <v>1470</v>
      </c>
      <c r="I95" s="790">
        <v>665</v>
      </c>
      <c r="J95" s="796">
        <f t="shared" si="3"/>
        <v>0.5</v>
      </c>
    </row>
    <row r="96" spans="1:10">
      <c r="A96" s="322" t="s">
        <v>90</v>
      </c>
      <c r="B96" s="793">
        <v>43935</v>
      </c>
      <c r="C96" s="790">
        <f t="shared" si="2"/>
        <v>2747</v>
      </c>
      <c r="D96" s="790">
        <v>91</v>
      </c>
      <c r="E96" s="790">
        <v>1005</v>
      </c>
      <c r="F96" s="790">
        <v>1742</v>
      </c>
      <c r="G96" s="790">
        <v>104</v>
      </c>
      <c r="H96" s="790">
        <v>954</v>
      </c>
      <c r="I96" s="790">
        <v>492</v>
      </c>
      <c r="J96" s="796">
        <f t="shared" si="3"/>
        <v>0.64081325301204817</v>
      </c>
    </row>
    <row r="97" spans="1:10">
      <c r="A97" s="322" t="s">
        <v>91</v>
      </c>
      <c r="B97" s="793">
        <v>43936</v>
      </c>
      <c r="C97" s="790">
        <f t="shared" si="2"/>
        <v>2418</v>
      </c>
      <c r="D97" s="790">
        <v>26</v>
      </c>
      <c r="E97" s="790">
        <v>853</v>
      </c>
      <c r="F97" s="790">
        <v>1565</v>
      </c>
      <c r="G97" s="790">
        <v>141</v>
      </c>
      <c r="H97" s="790">
        <v>1011</v>
      </c>
      <c r="I97" s="790">
        <v>571</v>
      </c>
      <c r="J97" s="796">
        <f t="shared" si="3"/>
        <v>0.5773411371237458</v>
      </c>
    </row>
    <row r="98" spans="1:10">
      <c r="A98" s="322" t="s">
        <v>93</v>
      </c>
      <c r="B98" s="793">
        <v>43937</v>
      </c>
      <c r="C98" s="790">
        <f t="shared" si="2"/>
        <v>4566</v>
      </c>
      <c r="D98" s="790">
        <v>266</v>
      </c>
      <c r="E98" s="790">
        <v>1470</v>
      </c>
      <c r="F98" s="790">
        <v>3096</v>
      </c>
      <c r="G98" s="790">
        <v>149</v>
      </c>
      <c r="H98" s="790">
        <v>2116</v>
      </c>
      <c r="I98" s="790">
        <v>1226</v>
      </c>
      <c r="J98" s="796">
        <f t="shared" si="3"/>
        <v>0.50790697674418606</v>
      </c>
    </row>
    <row r="99" spans="1:10">
      <c r="A99" s="322" t="s">
        <v>94</v>
      </c>
      <c r="B99" s="793">
        <v>43938</v>
      </c>
      <c r="C99" s="790">
        <f t="shared" si="2"/>
        <v>1215</v>
      </c>
      <c r="D99" s="790">
        <v>28</v>
      </c>
      <c r="E99" s="790">
        <v>446</v>
      </c>
      <c r="F99" s="790">
        <v>769</v>
      </c>
      <c r="G99" s="790">
        <v>65</v>
      </c>
      <c r="H99" s="790">
        <v>551</v>
      </c>
      <c r="I99" s="790">
        <v>286</v>
      </c>
      <c r="J99" s="796">
        <f t="shared" si="3"/>
        <v>0.53580454928390897</v>
      </c>
    </row>
    <row r="100" spans="1:10">
      <c r="A100" s="322" t="s">
        <v>92</v>
      </c>
      <c r="B100" s="793">
        <v>43939</v>
      </c>
      <c r="C100" s="790">
        <f t="shared" si="2"/>
        <v>11981</v>
      </c>
      <c r="D100" s="790">
        <v>243</v>
      </c>
      <c r="E100" s="790">
        <v>4089</v>
      </c>
      <c r="F100" s="790">
        <v>7892</v>
      </c>
      <c r="G100" s="790">
        <v>495</v>
      </c>
      <c r="H100" s="790">
        <v>5771</v>
      </c>
      <c r="I100" s="790">
        <v>3339</v>
      </c>
      <c r="J100" s="796">
        <f t="shared" si="3"/>
        <v>0.50834895212131537</v>
      </c>
    </row>
    <row r="101" spans="1:10">
      <c r="A101" s="322" t="s">
        <v>95</v>
      </c>
      <c r="B101" s="793">
        <v>43940</v>
      </c>
      <c r="C101" s="790">
        <f t="shared" si="2"/>
        <v>19887</v>
      </c>
      <c r="D101" s="790">
        <v>2220</v>
      </c>
      <c r="E101" s="790">
        <v>8329</v>
      </c>
      <c r="F101" s="790">
        <v>11558</v>
      </c>
      <c r="G101" s="790">
        <v>238</v>
      </c>
      <c r="H101" s="790">
        <v>8107</v>
      </c>
      <c r="I101" s="790">
        <v>5218</v>
      </c>
      <c r="J101" s="796">
        <f t="shared" si="3"/>
        <v>0.54112186562517683</v>
      </c>
    </row>
    <row r="102" spans="1:10">
      <c r="A102" s="322" t="s">
        <v>96</v>
      </c>
      <c r="B102" s="793">
        <v>43941</v>
      </c>
      <c r="C102" s="790">
        <f t="shared" si="2"/>
        <v>2347</v>
      </c>
      <c r="D102" s="790">
        <v>24</v>
      </c>
      <c r="E102" s="790">
        <v>621</v>
      </c>
      <c r="F102" s="790">
        <v>1726</v>
      </c>
      <c r="G102" s="790">
        <v>110</v>
      </c>
      <c r="H102" s="790">
        <v>1055</v>
      </c>
      <c r="I102" s="790">
        <v>614</v>
      </c>
      <c r="J102" s="796">
        <f t="shared" si="3"/>
        <v>0.5458458889367197</v>
      </c>
    </row>
    <row r="103" spans="1:10">
      <c r="A103" s="322" t="s">
        <v>98</v>
      </c>
      <c r="B103" s="793">
        <v>43942</v>
      </c>
      <c r="C103" s="790">
        <f t="shared" si="2"/>
        <v>1088</v>
      </c>
      <c r="D103" s="790">
        <v>5</v>
      </c>
      <c r="E103" s="790">
        <v>482</v>
      </c>
      <c r="F103" s="790">
        <v>606</v>
      </c>
      <c r="G103" s="790">
        <v>58</v>
      </c>
      <c r="H103" s="790">
        <v>439</v>
      </c>
      <c r="I103" s="790">
        <v>210</v>
      </c>
      <c r="J103" s="796">
        <f t="shared" si="3"/>
        <v>0.59464450600184671</v>
      </c>
    </row>
    <row r="104" spans="1:10">
      <c r="A104" s="322" t="s">
        <v>99</v>
      </c>
      <c r="B104" s="793">
        <v>43943</v>
      </c>
      <c r="C104" s="790">
        <f t="shared" si="2"/>
        <v>223</v>
      </c>
      <c r="D104" s="790">
        <v>5</v>
      </c>
      <c r="E104" s="790">
        <v>91</v>
      </c>
      <c r="F104" s="790">
        <v>132</v>
      </c>
      <c r="G104" s="790">
        <v>15</v>
      </c>
      <c r="H104" s="790">
        <v>79</v>
      </c>
      <c r="I104" s="790">
        <v>55</v>
      </c>
      <c r="J104" s="796">
        <f t="shared" si="3"/>
        <v>0.63761467889908263</v>
      </c>
    </row>
    <row r="105" spans="1:10">
      <c r="A105" s="322" t="s">
        <v>97</v>
      </c>
      <c r="B105" s="793">
        <v>43944</v>
      </c>
      <c r="C105" s="790">
        <f t="shared" si="2"/>
        <v>15787</v>
      </c>
      <c r="D105" s="790">
        <v>539</v>
      </c>
      <c r="E105" s="790">
        <v>5450</v>
      </c>
      <c r="F105" s="790">
        <v>10337</v>
      </c>
      <c r="G105" s="790">
        <v>429</v>
      </c>
      <c r="H105" s="790">
        <v>7511</v>
      </c>
      <c r="I105" s="790">
        <v>4538</v>
      </c>
      <c r="J105" s="796">
        <f t="shared" si="3"/>
        <v>0.5074108079748163</v>
      </c>
    </row>
    <row r="106" spans="1:10">
      <c r="A106" s="322" t="s">
        <v>100</v>
      </c>
      <c r="B106" s="793">
        <v>43945</v>
      </c>
      <c r="C106" s="790">
        <f t="shared" si="2"/>
        <v>9744</v>
      </c>
      <c r="D106" s="790">
        <v>126</v>
      </c>
      <c r="E106" s="790">
        <v>3225</v>
      </c>
      <c r="F106" s="790">
        <v>6519</v>
      </c>
      <c r="G106" s="790">
        <v>239</v>
      </c>
      <c r="H106" s="790">
        <v>5067</v>
      </c>
      <c r="I106" s="790">
        <v>2876</v>
      </c>
      <c r="J106" s="796">
        <f t="shared" si="3"/>
        <v>0.47317529631940114</v>
      </c>
    </row>
    <row r="107" spans="1:10">
      <c r="A107" s="322" t="s">
        <v>102</v>
      </c>
      <c r="B107" s="793">
        <v>43946</v>
      </c>
      <c r="C107" s="790">
        <f t="shared" si="2"/>
        <v>1348</v>
      </c>
      <c r="D107" s="790">
        <v>23</v>
      </c>
      <c r="E107" s="790">
        <v>523</v>
      </c>
      <c r="F107" s="790">
        <v>825</v>
      </c>
      <c r="G107" s="790">
        <v>61</v>
      </c>
      <c r="H107" s="790">
        <v>542</v>
      </c>
      <c r="I107" s="790">
        <v>273</v>
      </c>
      <c r="J107" s="796">
        <f t="shared" si="3"/>
        <v>0.59094339622641512</v>
      </c>
    </row>
    <row r="108" spans="1:10">
      <c r="A108" s="322" t="s">
        <v>101</v>
      </c>
      <c r="B108" s="793">
        <v>43947</v>
      </c>
      <c r="C108" s="790">
        <f t="shared" si="2"/>
        <v>58121</v>
      </c>
      <c r="D108" s="790">
        <v>2377</v>
      </c>
      <c r="E108" s="790">
        <v>21955</v>
      </c>
      <c r="F108" s="790">
        <v>36166</v>
      </c>
      <c r="G108" s="790">
        <v>1411</v>
      </c>
      <c r="H108" s="790">
        <v>28853</v>
      </c>
      <c r="I108" s="790">
        <v>17021</v>
      </c>
      <c r="J108" s="796">
        <f t="shared" si="3"/>
        <v>0.48240169345579798</v>
      </c>
    </row>
    <row r="109" spans="1:10">
      <c r="A109" s="322" t="s">
        <v>103</v>
      </c>
      <c r="B109" s="793">
        <v>43948</v>
      </c>
      <c r="C109" s="790">
        <f t="shared" si="2"/>
        <v>687</v>
      </c>
      <c r="D109" s="790">
        <v>7</v>
      </c>
      <c r="E109" s="790">
        <v>283</v>
      </c>
      <c r="F109" s="790">
        <v>404</v>
      </c>
      <c r="G109" s="790">
        <v>29</v>
      </c>
      <c r="H109" s="790">
        <v>288</v>
      </c>
      <c r="I109" s="790">
        <v>129</v>
      </c>
      <c r="J109" s="796">
        <f t="shared" si="3"/>
        <v>0.57647058823529407</v>
      </c>
    </row>
    <row r="110" spans="1:10">
      <c r="A110" s="322" t="s">
        <v>77</v>
      </c>
      <c r="B110" s="793">
        <v>43952</v>
      </c>
      <c r="C110" s="790">
        <f t="shared" si="2"/>
        <v>565</v>
      </c>
      <c r="D110" s="790">
        <v>6</v>
      </c>
      <c r="E110" s="790">
        <v>306</v>
      </c>
      <c r="F110" s="790">
        <v>259</v>
      </c>
      <c r="G110" s="790">
        <v>33</v>
      </c>
      <c r="H110" s="790">
        <v>229</v>
      </c>
      <c r="I110" s="790">
        <v>89</v>
      </c>
      <c r="J110" s="796">
        <f t="shared" si="3"/>
        <v>0.59033989266547404</v>
      </c>
    </row>
    <row r="111" spans="1:10">
      <c r="A111" s="322" t="s">
        <v>78</v>
      </c>
      <c r="B111" s="793">
        <v>43953</v>
      </c>
      <c r="C111" s="790">
        <f t="shared" si="2"/>
        <v>1932</v>
      </c>
      <c r="D111" s="790">
        <v>30</v>
      </c>
      <c r="E111" s="790">
        <v>515</v>
      </c>
      <c r="F111" s="790">
        <v>1417</v>
      </c>
      <c r="G111" s="790">
        <v>60</v>
      </c>
      <c r="H111" s="790">
        <v>764</v>
      </c>
      <c r="I111" s="790">
        <v>461</v>
      </c>
      <c r="J111" s="796">
        <f t="shared" si="3"/>
        <v>0.59831756046267093</v>
      </c>
    </row>
    <row r="112" spans="1:10">
      <c r="A112" s="322" t="s">
        <v>80</v>
      </c>
      <c r="B112" s="793">
        <v>43954</v>
      </c>
      <c r="C112" s="790">
        <f t="shared" si="2"/>
        <v>1779</v>
      </c>
      <c r="D112" s="790">
        <v>8</v>
      </c>
      <c r="E112" s="790">
        <v>708</v>
      </c>
      <c r="F112" s="790">
        <v>1071</v>
      </c>
      <c r="G112" s="790">
        <v>50</v>
      </c>
      <c r="H112" s="790">
        <v>679</v>
      </c>
      <c r="I112" s="790">
        <v>315</v>
      </c>
      <c r="J112" s="796">
        <f t="shared" si="3"/>
        <v>0.61660079051383399</v>
      </c>
    </row>
    <row r="113" spans="1:10">
      <c r="A113" s="322" t="s">
        <v>79</v>
      </c>
      <c r="B113" s="793">
        <v>43955</v>
      </c>
      <c r="C113" s="790">
        <f t="shared" si="2"/>
        <v>705</v>
      </c>
      <c r="D113" s="790">
        <v>3</v>
      </c>
      <c r="E113" s="790">
        <v>385</v>
      </c>
      <c r="F113" s="790">
        <v>320</v>
      </c>
      <c r="G113" s="790">
        <v>22</v>
      </c>
      <c r="H113" s="790">
        <v>239</v>
      </c>
      <c r="I113" s="790">
        <v>115</v>
      </c>
      <c r="J113" s="796">
        <f t="shared" si="3"/>
        <v>0.65954415954415957</v>
      </c>
    </row>
    <row r="114" spans="1:10">
      <c r="A114" s="322" t="s">
        <v>81</v>
      </c>
      <c r="B114" s="793">
        <v>43956</v>
      </c>
      <c r="C114" s="790">
        <f t="shared" si="2"/>
        <v>5991</v>
      </c>
      <c r="D114" s="790">
        <v>546</v>
      </c>
      <c r="E114" s="790">
        <v>2299</v>
      </c>
      <c r="F114" s="790">
        <v>3692</v>
      </c>
      <c r="G114" s="790">
        <v>217</v>
      </c>
      <c r="H114" s="790">
        <v>2501</v>
      </c>
      <c r="I114" s="790">
        <v>1437</v>
      </c>
      <c r="J114" s="796">
        <f t="shared" si="3"/>
        <v>0.54067952249770435</v>
      </c>
    </row>
    <row r="115" spans="1:10">
      <c r="A115" s="322" t="s">
        <v>82</v>
      </c>
      <c r="B115" s="793">
        <v>43957</v>
      </c>
      <c r="C115" s="790">
        <f t="shared" si="2"/>
        <v>3443</v>
      </c>
      <c r="D115" s="790">
        <v>113</v>
      </c>
      <c r="E115" s="790">
        <v>1361</v>
      </c>
      <c r="F115" s="790">
        <v>2082</v>
      </c>
      <c r="G115" s="790">
        <v>198</v>
      </c>
      <c r="H115" s="790">
        <v>1597</v>
      </c>
      <c r="I115" s="790">
        <v>938</v>
      </c>
      <c r="J115" s="796">
        <f t="shared" si="3"/>
        <v>0.52042042042042036</v>
      </c>
    </row>
    <row r="116" spans="1:10">
      <c r="A116" s="322" t="s">
        <v>83</v>
      </c>
      <c r="B116" s="793">
        <v>43958</v>
      </c>
      <c r="C116" s="790">
        <f t="shared" si="2"/>
        <v>5948</v>
      </c>
      <c r="D116" s="790">
        <v>318</v>
      </c>
      <c r="E116" s="790">
        <v>2160</v>
      </c>
      <c r="F116" s="790">
        <v>3788</v>
      </c>
      <c r="G116" s="790">
        <v>224</v>
      </c>
      <c r="H116" s="790">
        <v>2955</v>
      </c>
      <c r="I116" s="790">
        <v>1875</v>
      </c>
      <c r="J116" s="796">
        <f t="shared" si="3"/>
        <v>0.4751332149200711</v>
      </c>
    </row>
    <row r="117" spans="1:10">
      <c r="A117" s="322" t="s">
        <v>84</v>
      </c>
      <c r="B117" s="793">
        <v>43959</v>
      </c>
      <c r="C117" s="790">
        <f t="shared" si="2"/>
        <v>3371</v>
      </c>
      <c r="D117" s="790">
        <v>46</v>
      </c>
      <c r="E117" s="790">
        <v>938</v>
      </c>
      <c r="F117" s="790">
        <v>2433</v>
      </c>
      <c r="G117" s="790">
        <v>194</v>
      </c>
      <c r="H117" s="790">
        <v>2213</v>
      </c>
      <c r="I117" s="790">
        <v>1319</v>
      </c>
      <c r="J117" s="796">
        <f t="shared" si="3"/>
        <v>0.33443609022556386</v>
      </c>
    </row>
    <row r="118" spans="1:10">
      <c r="A118" s="322" t="s">
        <v>85</v>
      </c>
      <c r="B118" s="793">
        <v>43960</v>
      </c>
      <c r="C118" s="790">
        <f t="shared" si="2"/>
        <v>4431</v>
      </c>
      <c r="D118" s="790">
        <v>120</v>
      </c>
      <c r="E118" s="790">
        <v>1435</v>
      </c>
      <c r="F118" s="790">
        <v>2996</v>
      </c>
      <c r="G118" s="790">
        <v>155</v>
      </c>
      <c r="H118" s="790">
        <v>1958</v>
      </c>
      <c r="I118" s="790">
        <v>1103</v>
      </c>
      <c r="J118" s="796">
        <f t="shared" si="3"/>
        <v>0.54581303641846435</v>
      </c>
    </row>
    <row r="119" spans="1:10">
      <c r="A119" s="322" t="s">
        <v>86</v>
      </c>
      <c r="B119" s="793">
        <v>43961</v>
      </c>
      <c r="C119" s="790">
        <f t="shared" si="2"/>
        <v>1610</v>
      </c>
      <c r="D119" s="790">
        <v>17</v>
      </c>
      <c r="E119" s="790">
        <v>652</v>
      </c>
      <c r="F119" s="790">
        <v>958</v>
      </c>
      <c r="G119" s="790">
        <v>95</v>
      </c>
      <c r="H119" s="790">
        <v>659</v>
      </c>
      <c r="I119" s="790">
        <v>335</v>
      </c>
      <c r="J119" s="796">
        <f t="shared" si="3"/>
        <v>0.58631512868801006</v>
      </c>
    </row>
    <row r="120" spans="1:10">
      <c r="A120" s="322" t="s">
        <v>89</v>
      </c>
      <c r="B120" s="793">
        <v>43962</v>
      </c>
      <c r="C120" s="790">
        <f t="shared" si="2"/>
        <v>14782</v>
      </c>
      <c r="D120" s="790">
        <v>450</v>
      </c>
      <c r="E120" s="790">
        <v>4570</v>
      </c>
      <c r="F120" s="790">
        <v>10212</v>
      </c>
      <c r="G120" s="790">
        <v>679</v>
      </c>
      <c r="H120" s="790">
        <v>6918</v>
      </c>
      <c r="I120" s="790">
        <v>4239</v>
      </c>
      <c r="J120" s="796">
        <f t="shared" si="3"/>
        <v>0.51730393524979068</v>
      </c>
    </row>
    <row r="121" spans="1:10">
      <c r="A121" s="322" t="s">
        <v>88</v>
      </c>
      <c r="B121" s="793">
        <v>43963</v>
      </c>
      <c r="C121" s="790">
        <f t="shared" si="2"/>
        <v>3121</v>
      </c>
      <c r="D121" s="790">
        <v>33</v>
      </c>
      <c r="E121" s="790">
        <v>1216</v>
      </c>
      <c r="F121" s="790">
        <v>1905</v>
      </c>
      <c r="G121" s="790">
        <v>129</v>
      </c>
      <c r="H121" s="790">
        <v>1311</v>
      </c>
      <c r="I121" s="790">
        <v>730</v>
      </c>
      <c r="J121" s="796">
        <f t="shared" si="3"/>
        <v>0.57545336787564771</v>
      </c>
    </row>
    <row r="122" spans="1:10">
      <c r="A122" s="322" t="s">
        <v>87</v>
      </c>
      <c r="B122" s="793">
        <v>43964</v>
      </c>
      <c r="C122" s="790">
        <f t="shared" si="2"/>
        <v>3000</v>
      </c>
      <c r="D122" s="790">
        <v>36</v>
      </c>
      <c r="E122" s="790">
        <v>1020</v>
      </c>
      <c r="F122" s="790">
        <v>1980</v>
      </c>
      <c r="G122" s="790">
        <v>140</v>
      </c>
      <c r="H122" s="790">
        <v>1529</v>
      </c>
      <c r="I122" s="790">
        <v>703</v>
      </c>
      <c r="J122" s="796">
        <f t="shared" si="3"/>
        <v>0.48414304993252366</v>
      </c>
    </row>
    <row r="123" spans="1:10">
      <c r="A123" s="322" t="s">
        <v>90</v>
      </c>
      <c r="B123" s="793">
        <v>43965</v>
      </c>
      <c r="C123" s="790">
        <f t="shared" si="2"/>
        <v>2750</v>
      </c>
      <c r="D123" s="790">
        <v>91</v>
      </c>
      <c r="E123" s="790">
        <v>1007</v>
      </c>
      <c r="F123" s="790">
        <v>1743</v>
      </c>
      <c r="G123" s="790">
        <v>114</v>
      </c>
      <c r="H123" s="790">
        <v>979</v>
      </c>
      <c r="I123" s="790">
        <v>510</v>
      </c>
      <c r="J123" s="796">
        <f t="shared" si="3"/>
        <v>0.63181647235802929</v>
      </c>
    </row>
    <row r="124" spans="1:10">
      <c r="A124" s="322" t="s">
        <v>91</v>
      </c>
      <c r="B124" s="793">
        <v>43966</v>
      </c>
      <c r="C124" s="790">
        <f t="shared" si="2"/>
        <v>2430</v>
      </c>
      <c r="D124" s="790">
        <v>26</v>
      </c>
      <c r="E124" s="790">
        <v>854</v>
      </c>
      <c r="F124" s="790">
        <v>1576</v>
      </c>
      <c r="G124" s="790">
        <v>156</v>
      </c>
      <c r="H124" s="790">
        <v>1039</v>
      </c>
      <c r="I124" s="790">
        <v>591</v>
      </c>
      <c r="J124" s="796">
        <f t="shared" si="3"/>
        <v>0.56780366056572373</v>
      </c>
    </row>
    <row r="125" spans="1:10">
      <c r="A125" s="322" t="s">
        <v>93</v>
      </c>
      <c r="B125" s="793">
        <v>43967</v>
      </c>
      <c r="C125" s="790">
        <f t="shared" si="2"/>
        <v>4587</v>
      </c>
      <c r="D125" s="790">
        <v>268</v>
      </c>
      <c r="E125" s="790">
        <v>1479</v>
      </c>
      <c r="F125" s="790">
        <v>3108</v>
      </c>
      <c r="G125" s="790">
        <v>169</v>
      </c>
      <c r="H125" s="790">
        <v>2174</v>
      </c>
      <c r="I125" s="790">
        <v>1266</v>
      </c>
      <c r="J125" s="796">
        <f t="shared" si="3"/>
        <v>0.49664274137531839</v>
      </c>
    </row>
    <row r="126" spans="1:10">
      <c r="A126" s="322" t="s">
        <v>94</v>
      </c>
      <c r="B126" s="793">
        <v>43968</v>
      </c>
      <c r="C126" s="790">
        <f t="shared" si="2"/>
        <v>1226</v>
      </c>
      <c r="D126" s="790">
        <v>28</v>
      </c>
      <c r="E126" s="790">
        <v>452</v>
      </c>
      <c r="F126" s="790">
        <v>774</v>
      </c>
      <c r="G126" s="790">
        <v>75</v>
      </c>
      <c r="H126" s="790">
        <v>582</v>
      </c>
      <c r="I126" s="790">
        <v>307</v>
      </c>
      <c r="J126" s="796">
        <f t="shared" si="3"/>
        <v>0.51419031719532549</v>
      </c>
    </row>
    <row r="127" spans="1:10">
      <c r="A127" s="322" t="s">
        <v>92</v>
      </c>
      <c r="B127" s="793">
        <v>43969</v>
      </c>
      <c r="C127" s="790">
        <f t="shared" si="2"/>
        <v>12132</v>
      </c>
      <c r="D127" s="790">
        <v>243</v>
      </c>
      <c r="E127" s="790">
        <v>4132</v>
      </c>
      <c r="F127" s="790">
        <v>8000</v>
      </c>
      <c r="G127" s="790">
        <v>644</v>
      </c>
      <c r="H127" s="790">
        <v>6056</v>
      </c>
      <c r="I127" s="790">
        <v>3567</v>
      </c>
      <c r="J127" s="796">
        <f t="shared" si="3"/>
        <v>0.49062158297586</v>
      </c>
    </row>
    <row r="128" spans="1:10">
      <c r="A128" s="322" t="s">
        <v>95</v>
      </c>
      <c r="B128" s="793">
        <v>43970</v>
      </c>
      <c r="C128" s="790">
        <f t="shared" si="2"/>
        <v>19916</v>
      </c>
      <c r="D128" s="790">
        <v>2214</v>
      </c>
      <c r="E128" s="790">
        <v>8326</v>
      </c>
      <c r="F128" s="790">
        <v>11590</v>
      </c>
      <c r="G128" s="790">
        <v>302</v>
      </c>
      <c r="H128" s="790">
        <v>8329</v>
      </c>
      <c r="I128" s="790">
        <v>5385</v>
      </c>
      <c r="J128" s="796">
        <f t="shared" si="3"/>
        <v>0.52948819342447173</v>
      </c>
    </row>
    <row r="129" spans="1:10">
      <c r="A129" s="322" t="s">
        <v>96</v>
      </c>
      <c r="B129" s="793">
        <v>43971</v>
      </c>
      <c r="C129" s="790">
        <f t="shared" si="2"/>
        <v>2352</v>
      </c>
      <c r="D129" s="790">
        <v>24</v>
      </c>
      <c r="E129" s="790">
        <v>620</v>
      </c>
      <c r="F129" s="790">
        <v>1732</v>
      </c>
      <c r="G129" s="790">
        <v>129</v>
      </c>
      <c r="H129" s="790">
        <v>1092</v>
      </c>
      <c r="I129" s="790">
        <v>640</v>
      </c>
      <c r="J129" s="796">
        <f t="shared" si="3"/>
        <v>0.53092783505154639</v>
      </c>
    </row>
    <row r="130" spans="1:10">
      <c r="A130" s="322" t="s">
        <v>98</v>
      </c>
      <c r="B130" s="793">
        <v>43972</v>
      </c>
      <c r="C130" s="790">
        <f t="shared" si="2"/>
        <v>1098</v>
      </c>
      <c r="D130" s="790">
        <v>5</v>
      </c>
      <c r="E130" s="790">
        <v>481</v>
      </c>
      <c r="F130" s="790">
        <v>617</v>
      </c>
      <c r="G130" s="790">
        <v>69</v>
      </c>
      <c r="H130" s="790">
        <v>459</v>
      </c>
      <c r="I130" s="790">
        <v>222</v>
      </c>
      <c r="J130" s="796">
        <f t="shared" si="3"/>
        <v>0.5800548947849955</v>
      </c>
    </row>
    <row r="131" spans="1:10">
      <c r="A131" s="322" t="s">
        <v>99</v>
      </c>
      <c r="B131" s="793">
        <v>43973</v>
      </c>
      <c r="C131" s="790">
        <f t="shared" ref="C131:C194" si="4">E131+F131</f>
        <v>223</v>
      </c>
      <c r="D131" s="790">
        <v>5</v>
      </c>
      <c r="E131" s="790">
        <v>91</v>
      </c>
      <c r="F131" s="790">
        <v>132</v>
      </c>
      <c r="G131" s="790">
        <v>15</v>
      </c>
      <c r="H131" s="790">
        <v>85</v>
      </c>
      <c r="I131" s="790">
        <v>59</v>
      </c>
      <c r="J131" s="796">
        <f t="shared" ref="J131:J194" si="5">1-(H131/(C131-D131))</f>
        <v>0.61009174311926606</v>
      </c>
    </row>
    <row r="132" spans="1:10">
      <c r="A132" s="322" t="s">
        <v>97</v>
      </c>
      <c r="B132" s="793">
        <v>43974</v>
      </c>
      <c r="C132" s="790">
        <f t="shared" si="4"/>
        <v>15901</v>
      </c>
      <c r="D132" s="790">
        <v>540</v>
      </c>
      <c r="E132" s="790">
        <v>5469</v>
      </c>
      <c r="F132" s="790">
        <v>10432</v>
      </c>
      <c r="G132" s="790">
        <v>547</v>
      </c>
      <c r="H132" s="790">
        <v>7749</v>
      </c>
      <c r="I132" s="790">
        <v>4722</v>
      </c>
      <c r="J132" s="796">
        <f t="shared" si="5"/>
        <v>0.49554065490527965</v>
      </c>
    </row>
    <row r="133" spans="1:10">
      <c r="A133" s="322" t="s">
        <v>100</v>
      </c>
      <c r="B133" s="793">
        <v>43975</v>
      </c>
      <c r="C133" s="790">
        <f t="shared" si="4"/>
        <v>9858</v>
      </c>
      <c r="D133" s="790">
        <v>126</v>
      </c>
      <c r="E133" s="790">
        <v>3254</v>
      </c>
      <c r="F133" s="790">
        <v>6604</v>
      </c>
      <c r="G133" s="790">
        <v>345</v>
      </c>
      <c r="H133" s="790">
        <v>5246</v>
      </c>
      <c r="I133" s="790">
        <v>3013</v>
      </c>
      <c r="J133" s="796">
        <f t="shared" si="5"/>
        <v>0.46095355528154547</v>
      </c>
    </row>
    <row r="134" spans="1:10">
      <c r="A134" s="322" t="s">
        <v>102</v>
      </c>
      <c r="B134" s="793">
        <v>43976</v>
      </c>
      <c r="C134" s="790">
        <f t="shared" si="4"/>
        <v>1355</v>
      </c>
      <c r="D134" s="790">
        <v>23</v>
      </c>
      <c r="E134" s="790">
        <v>527</v>
      </c>
      <c r="F134" s="790">
        <v>828</v>
      </c>
      <c r="G134" s="790">
        <v>70</v>
      </c>
      <c r="H134" s="790">
        <v>564</v>
      </c>
      <c r="I134" s="790">
        <v>292</v>
      </c>
      <c r="J134" s="796">
        <f t="shared" si="5"/>
        <v>0.57657657657657657</v>
      </c>
    </row>
    <row r="135" spans="1:10">
      <c r="A135" s="322" t="s">
        <v>101</v>
      </c>
      <c r="B135" s="793">
        <v>43977</v>
      </c>
      <c r="C135" s="790">
        <f t="shared" si="4"/>
        <v>58470</v>
      </c>
      <c r="D135" s="790">
        <v>2377</v>
      </c>
      <c r="E135" s="790">
        <v>22047</v>
      </c>
      <c r="F135" s="790">
        <v>36423</v>
      </c>
      <c r="G135" s="790">
        <v>1750</v>
      </c>
      <c r="H135" s="790">
        <v>29660</v>
      </c>
      <c r="I135" s="790">
        <v>17624</v>
      </c>
      <c r="J135" s="796">
        <f t="shared" si="5"/>
        <v>0.471235269998039</v>
      </c>
    </row>
    <row r="136" spans="1:10">
      <c r="A136" s="322" t="s">
        <v>103</v>
      </c>
      <c r="B136" s="793">
        <v>43978</v>
      </c>
      <c r="C136" s="790">
        <f t="shared" si="4"/>
        <v>695</v>
      </c>
      <c r="D136" s="790">
        <v>7</v>
      </c>
      <c r="E136" s="790">
        <v>288</v>
      </c>
      <c r="F136" s="790">
        <v>407</v>
      </c>
      <c r="G136" s="790">
        <v>32</v>
      </c>
      <c r="H136" s="790">
        <v>304</v>
      </c>
      <c r="I136" s="790">
        <v>135</v>
      </c>
      <c r="J136" s="796">
        <f t="shared" si="5"/>
        <v>0.55813953488372092</v>
      </c>
    </row>
    <row r="137" spans="1:10">
      <c r="A137" s="322" t="s">
        <v>77</v>
      </c>
      <c r="B137" s="793">
        <v>43983</v>
      </c>
      <c r="C137" s="790">
        <f t="shared" si="4"/>
        <v>574</v>
      </c>
      <c r="D137" s="790">
        <v>6</v>
      </c>
      <c r="E137" s="790">
        <v>310</v>
      </c>
      <c r="F137" s="790">
        <v>264</v>
      </c>
      <c r="G137" s="790">
        <v>41</v>
      </c>
      <c r="H137" s="790">
        <v>251</v>
      </c>
      <c r="I137" s="790">
        <v>102</v>
      </c>
      <c r="J137" s="796">
        <f t="shared" si="5"/>
        <v>0.55809859154929575</v>
      </c>
    </row>
    <row r="138" spans="1:10">
      <c r="A138" s="322" t="s">
        <v>78</v>
      </c>
      <c r="B138" s="793">
        <v>43984</v>
      </c>
      <c r="C138" s="790">
        <f t="shared" si="4"/>
        <v>1941</v>
      </c>
      <c r="D138" s="790">
        <v>30</v>
      </c>
      <c r="E138" s="790">
        <v>518</v>
      </c>
      <c r="F138" s="790">
        <v>1423</v>
      </c>
      <c r="G138" s="790">
        <v>71</v>
      </c>
      <c r="H138" s="790">
        <v>810</v>
      </c>
      <c r="I138" s="790">
        <v>490</v>
      </c>
      <c r="J138" s="796">
        <f t="shared" si="5"/>
        <v>0.57613814756671899</v>
      </c>
    </row>
    <row r="139" spans="1:10">
      <c r="A139" s="322" t="s">
        <v>80</v>
      </c>
      <c r="B139" s="793">
        <v>43985</v>
      </c>
      <c r="C139" s="790">
        <f t="shared" si="4"/>
        <v>1782</v>
      </c>
      <c r="D139" s="790">
        <v>7</v>
      </c>
      <c r="E139" s="790">
        <v>706</v>
      </c>
      <c r="F139" s="790">
        <v>1076</v>
      </c>
      <c r="G139" s="790">
        <v>68</v>
      </c>
      <c r="H139" s="790">
        <v>742</v>
      </c>
      <c r="I139" s="790">
        <v>348</v>
      </c>
      <c r="J139" s="796">
        <f t="shared" si="5"/>
        <v>0.58197183098591543</v>
      </c>
    </row>
    <row r="140" spans="1:10">
      <c r="A140" s="322" t="s">
        <v>79</v>
      </c>
      <c r="B140" s="793">
        <v>43986</v>
      </c>
      <c r="C140" s="790">
        <f t="shared" si="4"/>
        <v>710</v>
      </c>
      <c r="D140" s="790">
        <v>3</v>
      </c>
      <c r="E140" s="790">
        <v>388</v>
      </c>
      <c r="F140" s="790">
        <v>322</v>
      </c>
      <c r="G140" s="790">
        <v>25</v>
      </c>
      <c r="H140" s="790">
        <v>257</v>
      </c>
      <c r="I140" s="790">
        <v>126</v>
      </c>
      <c r="J140" s="796">
        <f t="shared" si="5"/>
        <v>0.63649222065063649</v>
      </c>
    </row>
    <row r="141" spans="1:10">
      <c r="A141" s="322" t="s">
        <v>81</v>
      </c>
      <c r="B141" s="793">
        <v>43987</v>
      </c>
      <c r="C141" s="790">
        <f t="shared" si="4"/>
        <v>6035</v>
      </c>
      <c r="D141" s="790">
        <v>546</v>
      </c>
      <c r="E141" s="790">
        <v>2311</v>
      </c>
      <c r="F141" s="790">
        <v>3724</v>
      </c>
      <c r="G141" s="790">
        <v>266</v>
      </c>
      <c r="H141" s="790">
        <v>2650</v>
      </c>
      <c r="I141" s="790">
        <v>1544</v>
      </c>
      <c r="J141" s="796">
        <f t="shared" si="5"/>
        <v>0.51721625068318455</v>
      </c>
    </row>
    <row r="142" spans="1:10">
      <c r="A142" s="322" t="s">
        <v>82</v>
      </c>
      <c r="B142" s="793">
        <v>43988</v>
      </c>
      <c r="C142" s="790">
        <f t="shared" si="4"/>
        <v>3501</v>
      </c>
      <c r="D142" s="790">
        <v>113</v>
      </c>
      <c r="E142" s="790">
        <v>1388</v>
      </c>
      <c r="F142" s="790">
        <v>2113</v>
      </c>
      <c r="G142" s="790">
        <v>246</v>
      </c>
      <c r="H142" s="790">
        <v>1719</v>
      </c>
      <c r="I142" s="790">
        <v>1014</v>
      </c>
      <c r="J142" s="796">
        <f t="shared" si="5"/>
        <v>0.49262101534828806</v>
      </c>
    </row>
    <row r="143" spans="1:10">
      <c r="A143" s="322" t="s">
        <v>83</v>
      </c>
      <c r="B143" s="793">
        <v>43989</v>
      </c>
      <c r="C143" s="790">
        <f t="shared" si="4"/>
        <v>5981</v>
      </c>
      <c r="D143" s="790">
        <v>318</v>
      </c>
      <c r="E143" s="790">
        <v>2168</v>
      </c>
      <c r="F143" s="790">
        <v>3813</v>
      </c>
      <c r="G143" s="790">
        <v>262</v>
      </c>
      <c r="H143" s="790">
        <v>3102</v>
      </c>
      <c r="I143" s="790">
        <v>1973</v>
      </c>
      <c r="J143" s="796">
        <f t="shared" si="5"/>
        <v>0.45223379834010247</v>
      </c>
    </row>
    <row r="144" spans="1:10">
      <c r="A144" s="322" t="s">
        <v>84</v>
      </c>
      <c r="B144" s="793">
        <v>43990</v>
      </c>
      <c r="C144" s="790">
        <f t="shared" si="4"/>
        <v>3413</v>
      </c>
      <c r="D144" s="790">
        <v>46</v>
      </c>
      <c r="E144" s="790">
        <v>946</v>
      </c>
      <c r="F144" s="790">
        <v>2467</v>
      </c>
      <c r="G144" s="790">
        <v>229</v>
      </c>
      <c r="H144" s="790">
        <v>2280</v>
      </c>
      <c r="I144" s="790">
        <v>1360</v>
      </c>
      <c r="J144" s="796">
        <f t="shared" si="5"/>
        <v>0.32283932283932282</v>
      </c>
    </row>
    <row r="145" spans="1:10">
      <c r="A145" s="322" t="s">
        <v>85</v>
      </c>
      <c r="B145" s="793">
        <v>43991</v>
      </c>
      <c r="C145" s="790">
        <f t="shared" si="4"/>
        <v>4488</v>
      </c>
      <c r="D145" s="790">
        <v>120</v>
      </c>
      <c r="E145" s="790">
        <v>1454</v>
      </c>
      <c r="F145" s="790">
        <v>3034</v>
      </c>
      <c r="G145" s="790">
        <v>204</v>
      </c>
      <c r="H145" s="790">
        <v>2096</v>
      </c>
      <c r="I145" s="790">
        <v>1196</v>
      </c>
      <c r="J145" s="796">
        <f t="shared" si="5"/>
        <v>0.52014652014652007</v>
      </c>
    </row>
    <row r="146" spans="1:10">
      <c r="A146" s="322" t="s">
        <v>86</v>
      </c>
      <c r="B146" s="793">
        <v>43992</v>
      </c>
      <c r="C146" s="790">
        <f t="shared" si="4"/>
        <v>1625</v>
      </c>
      <c r="D146" s="790">
        <v>17</v>
      </c>
      <c r="E146" s="790">
        <v>659</v>
      </c>
      <c r="F146" s="790">
        <v>966</v>
      </c>
      <c r="G146" s="790">
        <v>110</v>
      </c>
      <c r="H146" s="790">
        <v>709</v>
      </c>
      <c r="I146" s="790">
        <v>365</v>
      </c>
      <c r="J146" s="796">
        <f t="shared" si="5"/>
        <v>0.55907960199004969</v>
      </c>
    </row>
    <row r="147" spans="1:10">
      <c r="A147" s="322" t="s">
        <v>89</v>
      </c>
      <c r="B147" s="793">
        <v>43993</v>
      </c>
      <c r="C147" s="790">
        <f t="shared" si="4"/>
        <v>14938</v>
      </c>
      <c r="D147" s="790">
        <v>450</v>
      </c>
      <c r="E147" s="790">
        <v>4608</v>
      </c>
      <c r="F147" s="790">
        <v>10330</v>
      </c>
      <c r="G147" s="790">
        <v>820</v>
      </c>
      <c r="H147" s="790">
        <v>7356</v>
      </c>
      <c r="I147" s="790">
        <v>4527</v>
      </c>
      <c r="J147" s="796">
        <f t="shared" si="5"/>
        <v>0.49226946438431807</v>
      </c>
    </row>
    <row r="148" spans="1:10">
      <c r="A148" s="322" t="s">
        <v>88</v>
      </c>
      <c r="B148" s="793">
        <v>43994</v>
      </c>
      <c r="C148" s="790">
        <f t="shared" si="4"/>
        <v>3156</v>
      </c>
      <c r="D148" s="790">
        <v>33</v>
      </c>
      <c r="E148" s="790">
        <v>1225</v>
      </c>
      <c r="F148" s="790">
        <v>1931</v>
      </c>
      <c r="G148" s="790">
        <v>156</v>
      </c>
      <c r="H148" s="790">
        <v>1395</v>
      </c>
      <c r="I148" s="790">
        <v>782</v>
      </c>
      <c r="J148" s="796">
        <f t="shared" si="5"/>
        <v>0.55331412103746391</v>
      </c>
    </row>
    <row r="149" spans="1:10">
      <c r="A149" s="322" t="s">
        <v>87</v>
      </c>
      <c r="B149" s="793">
        <v>43995</v>
      </c>
      <c r="C149" s="790">
        <f t="shared" si="4"/>
        <v>2988</v>
      </c>
      <c r="D149" s="790">
        <v>35</v>
      </c>
      <c r="E149" s="790">
        <v>1008</v>
      </c>
      <c r="F149" s="790">
        <v>1980</v>
      </c>
      <c r="G149" s="790">
        <v>186</v>
      </c>
      <c r="H149" s="790">
        <v>1637</v>
      </c>
      <c r="I149" s="790">
        <v>770</v>
      </c>
      <c r="J149" s="796">
        <f t="shared" si="5"/>
        <v>0.44564849305790721</v>
      </c>
    </row>
    <row r="150" spans="1:10">
      <c r="A150" s="322" t="s">
        <v>90</v>
      </c>
      <c r="B150" s="793">
        <v>43996</v>
      </c>
      <c r="C150" s="790">
        <f t="shared" si="4"/>
        <v>2779</v>
      </c>
      <c r="D150" s="790">
        <v>91</v>
      </c>
      <c r="E150" s="790">
        <v>1012</v>
      </c>
      <c r="F150" s="790">
        <v>1767</v>
      </c>
      <c r="G150" s="790">
        <v>136</v>
      </c>
      <c r="H150" s="790">
        <v>1059</v>
      </c>
      <c r="I150" s="790">
        <v>555</v>
      </c>
      <c r="J150" s="796">
        <f t="shared" si="5"/>
        <v>0.6060267857142857</v>
      </c>
    </row>
    <row r="151" spans="1:10">
      <c r="A151" s="322" t="s">
        <v>91</v>
      </c>
      <c r="B151" s="793">
        <v>43997</v>
      </c>
      <c r="C151" s="790">
        <f t="shared" si="4"/>
        <v>2456</v>
      </c>
      <c r="D151" s="790">
        <v>27</v>
      </c>
      <c r="E151" s="790">
        <v>861</v>
      </c>
      <c r="F151" s="790">
        <v>1595</v>
      </c>
      <c r="G151" s="790">
        <v>180</v>
      </c>
      <c r="H151" s="790">
        <v>1112</v>
      </c>
      <c r="I151" s="790">
        <v>638</v>
      </c>
      <c r="J151" s="796">
        <f t="shared" si="5"/>
        <v>0.54219843557019343</v>
      </c>
    </row>
    <row r="152" spans="1:10">
      <c r="A152" s="322" t="s">
        <v>93</v>
      </c>
      <c r="B152" s="793">
        <v>43998</v>
      </c>
      <c r="C152" s="790">
        <f t="shared" si="4"/>
        <v>4616</v>
      </c>
      <c r="D152" s="790">
        <v>271</v>
      </c>
      <c r="E152" s="790">
        <v>1489</v>
      </c>
      <c r="F152" s="790">
        <v>3127</v>
      </c>
      <c r="G152" s="790">
        <v>196</v>
      </c>
      <c r="H152" s="790">
        <v>2264</v>
      </c>
      <c r="I152" s="790">
        <v>1318</v>
      </c>
      <c r="J152" s="796">
        <f t="shared" si="5"/>
        <v>0.47894131185270428</v>
      </c>
    </row>
    <row r="153" spans="1:10">
      <c r="A153" s="322" t="s">
        <v>94</v>
      </c>
      <c r="B153" s="793">
        <v>43999</v>
      </c>
      <c r="C153" s="790">
        <f t="shared" si="4"/>
        <v>1237</v>
      </c>
      <c r="D153" s="790">
        <v>28</v>
      </c>
      <c r="E153" s="790">
        <v>455</v>
      </c>
      <c r="F153" s="790">
        <v>782</v>
      </c>
      <c r="G153" s="790">
        <v>87</v>
      </c>
      <c r="H153" s="790">
        <v>613</v>
      </c>
      <c r="I153" s="790">
        <v>332</v>
      </c>
      <c r="J153" s="796">
        <f t="shared" si="5"/>
        <v>0.49296939619520264</v>
      </c>
    </row>
    <row r="154" spans="1:10">
      <c r="A154" s="322" t="s">
        <v>92</v>
      </c>
      <c r="B154" s="793">
        <v>44000</v>
      </c>
      <c r="C154" s="790">
        <f t="shared" si="4"/>
        <v>12262</v>
      </c>
      <c r="D154" s="790">
        <v>243</v>
      </c>
      <c r="E154" s="790">
        <v>4169</v>
      </c>
      <c r="F154" s="790">
        <v>8093</v>
      </c>
      <c r="G154" s="790">
        <v>750</v>
      </c>
      <c r="H154" s="790">
        <v>6450</v>
      </c>
      <c r="I154" s="790">
        <v>3796</v>
      </c>
      <c r="J154" s="796">
        <f t="shared" si="5"/>
        <v>0.46334969631416922</v>
      </c>
    </row>
    <row r="155" spans="1:10">
      <c r="A155" s="322" t="s">
        <v>95</v>
      </c>
      <c r="B155" s="793">
        <v>44001</v>
      </c>
      <c r="C155" s="790">
        <f t="shared" si="4"/>
        <v>19898</v>
      </c>
      <c r="D155" s="790">
        <v>2185</v>
      </c>
      <c r="E155" s="790">
        <v>8289</v>
      </c>
      <c r="F155" s="790">
        <v>11609</v>
      </c>
      <c r="G155" s="790">
        <v>372</v>
      </c>
      <c r="H155" s="790">
        <v>8715</v>
      </c>
      <c r="I155" s="790">
        <v>5645</v>
      </c>
      <c r="J155" s="796">
        <f t="shared" si="5"/>
        <v>0.50798848303505895</v>
      </c>
    </row>
    <row r="156" spans="1:10">
      <c r="A156" s="322" t="s">
        <v>96</v>
      </c>
      <c r="B156" s="793">
        <v>44002</v>
      </c>
      <c r="C156" s="790">
        <f t="shared" si="4"/>
        <v>2374</v>
      </c>
      <c r="D156" s="790">
        <v>24</v>
      </c>
      <c r="E156" s="790">
        <v>628</v>
      </c>
      <c r="F156" s="790">
        <v>1746</v>
      </c>
      <c r="G156" s="790">
        <v>157</v>
      </c>
      <c r="H156" s="790">
        <v>1141</v>
      </c>
      <c r="I156" s="790">
        <v>665</v>
      </c>
      <c r="J156" s="796">
        <f t="shared" si="5"/>
        <v>0.51446808510638298</v>
      </c>
    </row>
    <row r="157" spans="1:10">
      <c r="A157" s="322" t="s">
        <v>98</v>
      </c>
      <c r="B157" s="793">
        <v>44003</v>
      </c>
      <c r="C157" s="790">
        <f t="shared" si="4"/>
        <v>1113</v>
      </c>
      <c r="D157" s="790">
        <v>5</v>
      </c>
      <c r="E157" s="790">
        <v>491</v>
      </c>
      <c r="F157" s="790">
        <v>622</v>
      </c>
      <c r="G157" s="790">
        <v>87</v>
      </c>
      <c r="H157" s="790">
        <v>499</v>
      </c>
      <c r="I157" s="790">
        <v>247</v>
      </c>
      <c r="J157" s="796">
        <f t="shared" si="5"/>
        <v>0.54963898916967513</v>
      </c>
    </row>
    <row r="158" spans="1:10">
      <c r="A158" s="322" t="s">
        <v>99</v>
      </c>
      <c r="B158" s="793">
        <v>44004</v>
      </c>
      <c r="C158" s="790">
        <f t="shared" si="4"/>
        <v>224</v>
      </c>
      <c r="D158" s="790">
        <v>5</v>
      </c>
      <c r="E158" s="790">
        <v>91</v>
      </c>
      <c r="F158" s="790">
        <v>133</v>
      </c>
      <c r="G158" s="790">
        <v>16</v>
      </c>
      <c r="H158" s="790">
        <v>85</v>
      </c>
      <c r="I158" s="790">
        <v>59</v>
      </c>
      <c r="J158" s="796">
        <f t="shared" si="5"/>
        <v>0.61187214611872154</v>
      </c>
    </row>
    <row r="159" spans="1:10">
      <c r="A159" s="322" t="s">
        <v>97</v>
      </c>
      <c r="B159" s="793">
        <v>44005</v>
      </c>
      <c r="C159" s="790">
        <f t="shared" si="4"/>
        <v>16016</v>
      </c>
      <c r="D159" s="790">
        <v>540</v>
      </c>
      <c r="E159" s="790">
        <v>5496</v>
      </c>
      <c r="F159" s="790">
        <v>10520</v>
      </c>
      <c r="G159" s="790">
        <v>662</v>
      </c>
      <c r="H159" s="790">
        <v>8164</v>
      </c>
      <c r="I159" s="790">
        <v>5022</v>
      </c>
      <c r="J159" s="796">
        <f t="shared" si="5"/>
        <v>0.47247350736624449</v>
      </c>
    </row>
    <row r="160" spans="1:10">
      <c r="A160" s="322" t="s">
        <v>100</v>
      </c>
      <c r="B160" s="793">
        <v>44006</v>
      </c>
      <c r="C160" s="790">
        <f t="shared" si="4"/>
        <v>9998</v>
      </c>
      <c r="D160" s="790">
        <v>126</v>
      </c>
      <c r="E160" s="790">
        <v>3290</v>
      </c>
      <c r="F160" s="790">
        <v>6708</v>
      </c>
      <c r="G160" s="790">
        <v>484</v>
      </c>
      <c r="H160" s="790">
        <v>5606</v>
      </c>
      <c r="I160" s="790">
        <v>3242</v>
      </c>
      <c r="J160" s="796">
        <f t="shared" si="5"/>
        <v>0.43213128038897897</v>
      </c>
    </row>
    <row r="161" spans="1:10">
      <c r="A161" s="322" t="s">
        <v>102</v>
      </c>
      <c r="B161" s="793">
        <v>44007</v>
      </c>
      <c r="C161" s="790">
        <f t="shared" si="4"/>
        <v>1354</v>
      </c>
      <c r="D161" s="790">
        <v>23</v>
      </c>
      <c r="E161" s="790">
        <v>528</v>
      </c>
      <c r="F161" s="790">
        <v>826</v>
      </c>
      <c r="G161" s="790">
        <v>73</v>
      </c>
      <c r="H161" s="790">
        <v>602</v>
      </c>
      <c r="I161" s="790">
        <v>321</v>
      </c>
      <c r="J161" s="796">
        <f t="shared" si="5"/>
        <v>0.54770848985725018</v>
      </c>
    </row>
    <row r="162" spans="1:10">
      <c r="A162" s="322" t="s">
        <v>101</v>
      </c>
      <c r="B162" s="793">
        <v>44008</v>
      </c>
      <c r="C162" s="790">
        <f t="shared" si="4"/>
        <v>58907</v>
      </c>
      <c r="D162" s="790">
        <v>2378</v>
      </c>
      <c r="E162" s="790">
        <v>22154</v>
      </c>
      <c r="F162" s="790">
        <v>36753</v>
      </c>
      <c r="G162" s="790">
        <v>2144</v>
      </c>
      <c r="H162" s="790">
        <v>31076</v>
      </c>
      <c r="I162" s="790">
        <v>18541</v>
      </c>
      <c r="J162" s="796">
        <f t="shared" si="5"/>
        <v>0.45026446602628745</v>
      </c>
    </row>
    <row r="163" spans="1:10">
      <c r="A163" s="322" t="s">
        <v>103</v>
      </c>
      <c r="B163" s="793">
        <v>44009</v>
      </c>
      <c r="C163" s="790">
        <f t="shared" si="4"/>
        <v>700</v>
      </c>
      <c r="D163" s="790">
        <v>7</v>
      </c>
      <c r="E163" s="790">
        <v>290</v>
      </c>
      <c r="F163" s="790">
        <v>410</v>
      </c>
      <c r="G163" s="790">
        <v>37</v>
      </c>
      <c r="H163" s="790">
        <v>323</v>
      </c>
      <c r="I163" s="790">
        <v>148</v>
      </c>
      <c r="J163" s="796">
        <f t="shared" si="5"/>
        <v>0.53391053391053389</v>
      </c>
    </row>
    <row r="164" spans="1:10">
      <c r="A164" s="322" t="s">
        <v>77</v>
      </c>
      <c r="B164" s="793">
        <v>44013</v>
      </c>
      <c r="C164" s="790">
        <f t="shared" si="4"/>
        <v>578</v>
      </c>
      <c r="D164" s="790">
        <v>6</v>
      </c>
      <c r="E164" s="790">
        <v>312</v>
      </c>
      <c r="F164" s="790">
        <v>266</v>
      </c>
      <c r="G164" s="790">
        <v>52</v>
      </c>
      <c r="H164" s="790">
        <v>296</v>
      </c>
      <c r="I164" s="790">
        <v>134</v>
      </c>
      <c r="J164" s="796">
        <f t="shared" si="5"/>
        <v>0.4825174825174825</v>
      </c>
    </row>
    <row r="165" spans="1:10">
      <c r="A165" s="322" t="s">
        <v>78</v>
      </c>
      <c r="B165" s="793">
        <v>44014</v>
      </c>
      <c r="C165" s="790">
        <f t="shared" si="4"/>
        <v>1939</v>
      </c>
      <c r="D165" s="790">
        <v>30</v>
      </c>
      <c r="E165" s="790">
        <v>517</v>
      </c>
      <c r="F165" s="790">
        <v>1422</v>
      </c>
      <c r="G165" s="790">
        <v>80</v>
      </c>
      <c r="H165" s="790">
        <v>931</v>
      </c>
      <c r="I165" s="790">
        <v>589</v>
      </c>
      <c r="J165" s="796">
        <f t="shared" si="5"/>
        <v>0.5123101100052383</v>
      </c>
    </row>
    <row r="166" spans="1:10">
      <c r="A166" s="322" t="s">
        <v>80</v>
      </c>
      <c r="B166" s="793">
        <v>44015</v>
      </c>
      <c r="C166" s="790">
        <f t="shared" si="4"/>
        <v>1748</v>
      </c>
      <c r="D166" s="790">
        <v>7</v>
      </c>
      <c r="E166" s="790">
        <v>693</v>
      </c>
      <c r="F166" s="790">
        <v>1055</v>
      </c>
      <c r="G166" s="790">
        <v>84</v>
      </c>
      <c r="H166" s="790">
        <v>852</v>
      </c>
      <c r="I166" s="790">
        <v>434</v>
      </c>
      <c r="J166" s="796">
        <f t="shared" si="5"/>
        <v>0.51062607696726015</v>
      </c>
    </row>
    <row r="167" spans="1:10">
      <c r="A167" s="322" t="s">
        <v>79</v>
      </c>
      <c r="B167" s="793">
        <v>44016</v>
      </c>
      <c r="C167" s="790">
        <f t="shared" si="4"/>
        <v>711</v>
      </c>
      <c r="D167" s="790">
        <v>3</v>
      </c>
      <c r="E167" s="790">
        <v>389</v>
      </c>
      <c r="F167" s="790">
        <v>322</v>
      </c>
      <c r="G167" s="790">
        <v>28</v>
      </c>
      <c r="H167" s="790">
        <v>313</v>
      </c>
      <c r="I167" s="790">
        <v>171</v>
      </c>
      <c r="J167" s="796">
        <f t="shared" si="5"/>
        <v>0.55790960451977401</v>
      </c>
    </row>
    <row r="168" spans="1:10">
      <c r="A168" s="322" t="s">
        <v>81</v>
      </c>
      <c r="B168" s="793">
        <v>44017</v>
      </c>
      <c r="C168" s="790">
        <f t="shared" si="4"/>
        <v>6135</v>
      </c>
      <c r="D168" s="790">
        <v>546</v>
      </c>
      <c r="E168" s="790">
        <v>2349</v>
      </c>
      <c r="F168" s="790">
        <v>3786</v>
      </c>
      <c r="G168" s="790">
        <v>368</v>
      </c>
      <c r="H168" s="790">
        <v>3015</v>
      </c>
      <c r="I168" s="790">
        <v>1849</v>
      </c>
      <c r="J168" s="796">
        <f t="shared" si="5"/>
        <v>0.46054750402576494</v>
      </c>
    </row>
    <row r="169" spans="1:10">
      <c r="A169" s="322" t="s">
        <v>82</v>
      </c>
      <c r="B169" s="793">
        <v>44018</v>
      </c>
      <c r="C169" s="790">
        <f t="shared" si="4"/>
        <v>3560</v>
      </c>
      <c r="D169" s="790">
        <v>113</v>
      </c>
      <c r="E169" s="790">
        <v>1411</v>
      </c>
      <c r="F169" s="790">
        <v>2149</v>
      </c>
      <c r="G169" s="790">
        <v>331</v>
      </c>
      <c r="H169" s="790">
        <v>1975</v>
      </c>
      <c r="I169" s="790">
        <v>1226</v>
      </c>
      <c r="J169" s="796">
        <f t="shared" si="5"/>
        <v>0.42703800406150272</v>
      </c>
    </row>
    <row r="170" spans="1:10">
      <c r="A170" s="322" t="s">
        <v>83</v>
      </c>
      <c r="B170" s="793">
        <v>44019</v>
      </c>
      <c r="C170" s="790">
        <f t="shared" si="4"/>
        <v>6036</v>
      </c>
      <c r="D170" s="790">
        <v>318</v>
      </c>
      <c r="E170" s="790">
        <v>2188</v>
      </c>
      <c r="F170" s="790">
        <v>3848</v>
      </c>
      <c r="G170" s="790">
        <v>321</v>
      </c>
      <c r="H170" s="790">
        <v>3343</v>
      </c>
      <c r="I170" s="790">
        <v>2158</v>
      </c>
      <c r="J170" s="796">
        <f t="shared" si="5"/>
        <v>0.41535501923749563</v>
      </c>
    </row>
    <row r="171" spans="1:10">
      <c r="A171" s="322" t="s">
        <v>84</v>
      </c>
      <c r="B171" s="793">
        <v>44020</v>
      </c>
      <c r="C171" s="790">
        <f t="shared" si="4"/>
        <v>3459</v>
      </c>
      <c r="D171" s="790">
        <v>46</v>
      </c>
      <c r="E171" s="790">
        <v>959</v>
      </c>
      <c r="F171" s="790">
        <v>2500</v>
      </c>
      <c r="G171" s="790">
        <v>294</v>
      </c>
      <c r="H171" s="790">
        <v>2520</v>
      </c>
      <c r="I171" s="790">
        <v>1545</v>
      </c>
      <c r="J171" s="796">
        <f t="shared" si="5"/>
        <v>0.26164664518019343</v>
      </c>
    </row>
    <row r="172" spans="1:10">
      <c r="A172" s="322" t="s">
        <v>85</v>
      </c>
      <c r="B172" s="793">
        <v>44021</v>
      </c>
      <c r="C172" s="790">
        <f t="shared" si="4"/>
        <v>4535</v>
      </c>
      <c r="D172" s="790">
        <v>120</v>
      </c>
      <c r="E172" s="790">
        <v>1469</v>
      </c>
      <c r="F172" s="790">
        <v>3066</v>
      </c>
      <c r="G172" s="790">
        <v>260</v>
      </c>
      <c r="H172" s="790">
        <v>2357</v>
      </c>
      <c r="I172" s="790">
        <v>1401</v>
      </c>
      <c r="J172" s="796">
        <f t="shared" si="5"/>
        <v>0.46613816534541341</v>
      </c>
    </row>
    <row r="173" spans="1:10">
      <c r="A173" s="322" t="s">
        <v>86</v>
      </c>
      <c r="B173" s="793">
        <v>44022</v>
      </c>
      <c r="C173" s="790">
        <f t="shared" si="4"/>
        <v>1663</v>
      </c>
      <c r="D173" s="790">
        <v>17</v>
      </c>
      <c r="E173" s="790">
        <v>674</v>
      </c>
      <c r="F173" s="790">
        <v>989</v>
      </c>
      <c r="G173" s="790">
        <v>144</v>
      </c>
      <c r="H173" s="790">
        <v>817</v>
      </c>
      <c r="I173" s="790">
        <v>451</v>
      </c>
      <c r="J173" s="796">
        <f t="shared" si="5"/>
        <v>0.50364520048602679</v>
      </c>
    </row>
    <row r="174" spans="1:10">
      <c r="A174" s="322" t="s">
        <v>89</v>
      </c>
      <c r="B174" s="793">
        <v>44023</v>
      </c>
      <c r="C174" s="790">
        <f t="shared" si="4"/>
        <v>15094</v>
      </c>
      <c r="D174" s="790">
        <v>450</v>
      </c>
      <c r="E174" s="790">
        <v>4657</v>
      </c>
      <c r="F174" s="790">
        <v>10437</v>
      </c>
      <c r="G174" s="790">
        <v>997</v>
      </c>
      <c r="H174" s="790">
        <v>8364</v>
      </c>
      <c r="I174" s="790">
        <v>5321</v>
      </c>
      <c r="J174" s="796">
        <f t="shared" si="5"/>
        <v>0.42884457798415732</v>
      </c>
    </row>
    <row r="175" spans="1:10">
      <c r="A175" s="322" t="s">
        <v>88</v>
      </c>
      <c r="B175" s="793">
        <v>44024</v>
      </c>
      <c r="C175" s="790">
        <f t="shared" si="4"/>
        <v>3181</v>
      </c>
      <c r="D175" s="790">
        <v>33</v>
      </c>
      <c r="E175" s="790">
        <v>1235</v>
      </c>
      <c r="F175" s="790">
        <v>1946</v>
      </c>
      <c r="G175" s="790">
        <v>189</v>
      </c>
      <c r="H175" s="790">
        <v>1553</v>
      </c>
      <c r="I175" s="790">
        <v>904</v>
      </c>
      <c r="J175" s="796">
        <f t="shared" si="5"/>
        <v>0.50667090216010169</v>
      </c>
    </row>
    <row r="176" spans="1:10">
      <c r="A176" s="322" t="s">
        <v>87</v>
      </c>
      <c r="B176" s="793">
        <v>44025</v>
      </c>
      <c r="C176" s="790">
        <f t="shared" si="4"/>
        <v>3004</v>
      </c>
      <c r="D176" s="790">
        <v>35</v>
      </c>
      <c r="E176" s="790">
        <v>1013</v>
      </c>
      <c r="F176" s="790">
        <v>1991</v>
      </c>
      <c r="G176" s="790">
        <v>210</v>
      </c>
      <c r="H176" s="790">
        <v>1965</v>
      </c>
      <c r="I176" s="790">
        <v>1034</v>
      </c>
      <c r="J176" s="796">
        <f t="shared" si="5"/>
        <v>0.3381609969686763</v>
      </c>
    </row>
    <row r="177" spans="1:10">
      <c r="A177" s="322" t="s">
        <v>90</v>
      </c>
      <c r="B177" s="793">
        <v>44026</v>
      </c>
      <c r="C177" s="790">
        <f t="shared" si="4"/>
        <v>2813</v>
      </c>
      <c r="D177" s="790">
        <v>91</v>
      </c>
      <c r="E177" s="790">
        <v>1024</v>
      </c>
      <c r="F177" s="790">
        <v>1789</v>
      </c>
      <c r="G177" s="790">
        <v>162</v>
      </c>
      <c r="H177" s="790">
        <v>1209</v>
      </c>
      <c r="I177" s="790">
        <v>681</v>
      </c>
      <c r="J177" s="796">
        <f t="shared" si="5"/>
        <v>0.5558412931667891</v>
      </c>
    </row>
    <row r="178" spans="1:10">
      <c r="A178" s="322" t="s">
        <v>91</v>
      </c>
      <c r="B178" s="793">
        <v>44027</v>
      </c>
      <c r="C178" s="790">
        <f t="shared" si="4"/>
        <v>2497</v>
      </c>
      <c r="D178" s="790">
        <v>27</v>
      </c>
      <c r="E178" s="790">
        <v>875</v>
      </c>
      <c r="F178" s="790">
        <v>1622</v>
      </c>
      <c r="G178" s="790">
        <v>219</v>
      </c>
      <c r="H178" s="790">
        <v>1392</v>
      </c>
      <c r="I178" s="790">
        <v>869</v>
      </c>
      <c r="J178" s="796">
        <f t="shared" si="5"/>
        <v>0.43643724696356279</v>
      </c>
    </row>
    <row r="179" spans="1:10">
      <c r="A179" s="322" t="s">
        <v>93</v>
      </c>
      <c r="B179" s="793">
        <v>44028</v>
      </c>
      <c r="C179" s="790">
        <f t="shared" si="4"/>
        <v>4640</v>
      </c>
      <c r="D179" s="790">
        <v>271</v>
      </c>
      <c r="E179" s="790">
        <v>1497</v>
      </c>
      <c r="F179" s="790">
        <v>3143</v>
      </c>
      <c r="G179" s="790">
        <v>244</v>
      </c>
      <c r="H179" s="790">
        <v>2527</v>
      </c>
      <c r="I179" s="790">
        <v>1514</v>
      </c>
      <c r="J179" s="796">
        <f t="shared" si="5"/>
        <v>0.42160677500572208</v>
      </c>
    </row>
    <row r="180" spans="1:10">
      <c r="A180" s="322" t="s">
        <v>94</v>
      </c>
      <c r="B180" s="793">
        <v>44029</v>
      </c>
      <c r="C180" s="790">
        <f t="shared" si="4"/>
        <v>1252</v>
      </c>
      <c r="D180" s="790">
        <v>28</v>
      </c>
      <c r="E180" s="790">
        <v>461</v>
      </c>
      <c r="F180" s="790">
        <v>791</v>
      </c>
      <c r="G180" s="790">
        <v>107</v>
      </c>
      <c r="H180" s="790">
        <v>678</v>
      </c>
      <c r="I180" s="790">
        <v>380</v>
      </c>
      <c r="J180" s="796">
        <f t="shared" si="5"/>
        <v>0.44607843137254899</v>
      </c>
    </row>
    <row r="181" spans="1:10">
      <c r="A181" s="322" t="s">
        <v>92</v>
      </c>
      <c r="B181" s="793">
        <v>44030</v>
      </c>
      <c r="C181" s="790">
        <f t="shared" si="4"/>
        <v>12426</v>
      </c>
      <c r="D181" s="790">
        <v>243</v>
      </c>
      <c r="E181" s="790">
        <v>4225</v>
      </c>
      <c r="F181" s="790">
        <v>8201</v>
      </c>
      <c r="G181" s="790">
        <v>906</v>
      </c>
      <c r="H181" s="790">
        <v>7668</v>
      </c>
      <c r="I181" s="790">
        <v>4802</v>
      </c>
      <c r="J181" s="796">
        <f t="shared" si="5"/>
        <v>0.37059837478453583</v>
      </c>
    </row>
    <row r="182" spans="1:10">
      <c r="A182" s="322" t="s">
        <v>95</v>
      </c>
      <c r="B182" s="793">
        <v>44031</v>
      </c>
      <c r="C182" s="790">
        <f t="shared" si="4"/>
        <v>19980</v>
      </c>
      <c r="D182" s="790">
        <v>2185</v>
      </c>
      <c r="E182" s="790">
        <v>8323</v>
      </c>
      <c r="F182" s="790">
        <v>11657</v>
      </c>
      <c r="G182" s="790">
        <v>495</v>
      </c>
      <c r="H182" s="790">
        <v>9613</v>
      </c>
      <c r="I182" s="790">
        <v>6381</v>
      </c>
      <c r="J182" s="796">
        <f t="shared" si="5"/>
        <v>0.45979207642596231</v>
      </c>
    </row>
    <row r="183" spans="1:10">
      <c r="A183" s="322" t="s">
        <v>96</v>
      </c>
      <c r="B183" s="793">
        <v>44032</v>
      </c>
      <c r="C183" s="790">
        <f t="shared" si="4"/>
        <v>2412</v>
      </c>
      <c r="D183" s="790">
        <v>24</v>
      </c>
      <c r="E183" s="790">
        <v>638</v>
      </c>
      <c r="F183" s="790">
        <v>1774</v>
      </c>
      <c r="G183" s="790">
        <v>193</v>
      </c>
      <c r="H183" s="790">
        <v>1286</v>
      </c>
      <c r="I183" s="790">
        <v>772</v>
      </c>
      <c r="J183" s="796">
        <f t="shared" si="5"/>
        <v>0.46147403685092125</v>
      </c>
    </row>
    <row r="184" spans="1:10">
      <c r="A184" s="322" t="s">
        <v>98</v>
      </c>
      <c r="B184" s="793">
        <v>44033</v>
      </c>
      <c r="C184" s="790">
        <f t="shared" si="4"/>
        <v>1135</v>
      </c>
      <c r="D184" s="790">
        <v>5</v>
      </c>
      <c r="E184" s="790">
        <v>501</v>
      </c>
      <c r="F184" s="790">
        <v>634</v>
      </c>
      <c r="G184" s="790">
        <v>109</v>
      </c>
      <c r="H184" s="790">
        <v>605</v>
      </c>
      <c r="I184" s="790">
        <v>335</v>
      </c>
      <c r="J184" s="796">
        <f t="shared" si="5"/>
        <v>0.46460176991150437</v>
      </c>
    </row>
    <row r="185" spans="1:10">
      <c r="A185" s="322" t="s">
        <v>99</v>
      </c>
      <c r="B185" s="793">
        <v>44034</v>
      </c>
      <c r="C185" s="790">
        <f t="shared" si="4"/>
        <v>226</v>
      </c>
      <c r="D185" s="790">
        <v>5</v>
      </c>
      <c r="E185" s="790">
        <v>92</v>
      </c>
      <c r="F185" s="790">
        <v>134</v>
      </c>
      <c r="G185" s="790">
        <v>18</v>
      </c>
      <c r="H185" s="790">
        <v>97</v>
      </c>
      <c r="I185" s="790">
        <v>69</v>
      </c>
      <c r="J185" s="796">
        <f t="shared" si="5"/>
        <v>0.56108597285067874</v>
      </c>
    </row>
    <row r="186" spans="1:10">
      <c r="A186" s="322" t="s">
        <v>97</v>
      </c>
      <c r="B186" s="793">
        <v>44035</v>
      </c>
      <c r="C186" s="790">
        <f t="shared" si="4"/>
        <v>16087</v>
      </c>
      <c r="D186" s="790">
        <v>540</v>
      </c>
      <c r="E186" s="790">
        <v>5520</v>
      </c>
      <c r="F186" s="790">
        <v>10567</v>
      </c>
      <c r="G186" s="790">
        <v>743</v>
      </c>
      <c r="H186" s="790">
        <v>8949</v>
      </c>
      <c r="I186" s="790">
        <v>5673</v>
      </c>
      <c r="J186" s="796">
        <f t="shared" si="5"/>
        <v>0.42439055766385803</v>
      </c>
    </row>
    <row r="187" spans="1:10">
      <c r="A187" s="322" t="s">
        <v>100</v>
      </c>
      <c r="B187" s="793">
        <v>44036</v>
      </c>
      <c r="C187" s="790">
        <f t="shared" si="4"/>
        <v>10082</v>
      </c>
      <c r="D187" s="790">
        <v>126</v>
      </c>
      <c r="E187" s="790">
        <v>3317</v>
      </c>
      <c r="F187" s="790">
        <v>6765</v>
      </c>
      <c r="G187" s="790">
        <v>580</v>
      </c>
      <c r="H187" s="790">
        <v>6174</v>
      </c>
      <c r="I187" s="790">
        <v>3711</v>
      </c>
      <c r="J187" s="796">
        <f t="shared" si="5"/>
        <v>0.37987143431096826</v>
      </c>
    </row>
    <row r="188" spans="1:10">
      <c r="A188" s="322" t="s">
        <v>102</v>
      </c>
      <c r="B188" s="793">
        <v>44037</v>
      </c>
      <c r="C188" s="790">
        <f t="shared" si="4"/>
        <v>1362</v>
      </c>
      <c r="D188" s="790">
        <v>23</v>
      </c>
      <c r="E188" s="790">
        <v>531</v>
      </c>
      <c r="F188" s="790">
        <v>831</v>
      </c>
      <c r="G188" s="790">
        <v>84</v>
      </c>
      <c r="H188" s="790">
        <v>708</v>
      </c>
      <c r="I188" s="790">
        <v>411</v>
      </c>
      <c r="J188" s="796">
        <f t="shared" si="5"/>
        <v>0.47124719940253923</v>
      </c>
    </row>
    <row r="189" spans="1:10">
      <c r="A189" s="322" t="s">
        <v>101</v>
      </c>
      <c r="B189" s="793">
        <v>44038</v>
      </c>
      <c r="C189" s="790">
        <f t="shared" si="4"/>
        <v>59285</v>
      </c>
      <c r="D189" s="790">
        <v>2378</v>
      </c>
      <c r="E189" s="790">
        <v>22296</v>
      </c>
      <c r="F189" s="790">
        <v>36989</v>
      </c>
      <c r="G189" s="790">
        <v>2555</v>
      </c>
      <c r="H189" s="790">
        <v>33546</v>
      </c>
      <c r="I189" s="790">
        <v>20504</v>
      </c>
      <c r="J189" s="796">
        <f t="shared" si="5"/>
        <v>0.41051188781696457</v>
      </c>
    </row>
    <row r="190" spans="1:10">
      <c r="A190" s="322" t="s">
        <v>103</v>
      </c>
      <c r="B190" s="793">
        <v>44039</v>
      </c>
      <c r="C190" s="790">
        <f t="shared" si="4"/>
        <v>714</v>
      </c>
      <c r="D190" s="790">
        <v>7</v>
      </c>
      <c r="E190" s="790">
        <v>296</v>
      </c>
      <c r="F190" s="790">
        <v>418</v>
      </c>
      <c r="G190" s="790">
        <v>51</v>
      </c>
      <c r="H190" s="790">
        <v>376</v>
      </c>
      <c r="I190" s="790">
        <v>185</v>
      </c>
      <c r="J190" s="796">
        <f t="shared" si="5"/>
        <v>0.46817538896746813</v>
      </c>
    </row>
    <row r="191" spans="1:10">
      <c r="A191" s="322" t="s">
        <v>77</v>
      </c>
      <c r="B191" s="793">
        <v>44044</v>
      </c>
      <c r="C191" s="790">
        <f t="shared" si="4"/>
        <v>589</v>
      </c>
      <c r="D191" s="790">
        <v>6</v>
      </c>
      <c r="E191" s="790">
        <v>318</v>
      </c>
      <c r="F191" s="790">
        <v>271</v>
      </c>
      <c r="G191" s="790">
        <v>59</v>
      </c>
      <c r="H191" s="790">
        <v>350</v>
      </c>
      <c r="I191" s="790">
        <v>162</v>
      </c>
      <c r="J191" s="796">
        <f t="shared" si="5"/>
        <v>0.39965694682675812</v>
      </c>
    </row>
    <row r="192" spans="1:10">
      <c r="A192" s="322" t="s">
        <v>78</v>
      </c>
      <c r="B192" s="793">
        <v>44045</v>
      </c>
      <c r="C192" s="790">
        <f t="shared" si="4"/>
        <v>1952</v>
      </c>
      <c r="D192" s="790">
        <v>42</v>
      </c>
      <c r="E192" s="790">
        <v>521</v>
      </c>
      <c r="F192" s="790">
        <v>1431</v>
      </c>
      <c r="G192" s="790">
        <v>95</v>
      </c>
      <c r="H192" s="790">
        <v>1051</v>
      </c>
      <c r="I192" s="790">
        <v>668</v>
      </c>
      <c r="J192" s="796">
        <f t="shared" si="5"/>
        <v>0.44973821989528795</v>
      </c>
    </row>
    <row r="193" spans="1:10">
      <c r="A193" s="322" t="s">
        <v>80</v>
      </c>
      <c r="B193" s="793">
        <v>44046</v>
      </c>
      <c r="C193" s="790">
        <f t="shared" si="4"/>
        <v>1722</v>
      </c>
      <c r="D193" s="790">
        <v>8</v>
      </c>
      <c r="E193" s="790">
        <v>682</v>
      </c>
      <c r="F193" s="790">
        <v>1040</v>
      </c>
      <c r="G193" s="790">
        <v>101</v>
      </c>
      <c r="H193" s="790">
        <v>984</v>
      </c>
      <c r="I193" s="790">
        <v>519</v>
      </c>
      <c r="J193" s="796">
        <f t="shared" si="5"/>
        <v>0.42590431738623102</v>
      </c>
    </row>
    <row r="194" spans="1:10">
      <c r="A194" s="322" t="s">
        <v>79</v>
      </c>
      <c r="B194" s="793">
        <v>44047</v>
      </c>
      <c r="C194" s="790">
        <f t="shared" si="4"/>
        <v>708</v>
      </c>
      <c r="D194" s="790">
        <v>5</v>
      </c>
      <c r="E194" s="790">
        <v>387</v>
      </c>
      <c r="F194" s="790">
        <v>321</v>
      </c>
      <c r="G194" s="790">
        <v>32</v>
      </c>
      <c r="H194" s="790">
        <v>372</v>
      </c>
      <c r="I194" s="790">
        <v>213</v>
      </c>
      <c r="J194" s="796">
        <f t="shared" si="5"/>
        <v>0.47083926031294454</v>
      </c>
    </row>
    <row r="195" spans="1:10">
      <c r="A195" s="322" t="s">
        <v>81</v>
      </c>
      <c r="B195" s="793">
        <v>44048</v>
      </c>
      <c r="C195" s="790">
        <f t="shared" ref="C195:C258" si="6">E195+F195</f>
        <v>6186</v>
      </c>
      <c r="D195" s="790">
        <v>614</v>
      </c>
      <c r="E195" s="790">
        <v>2368</v>
      </c>
      <c r="F195" s="790">
        <v>3818</v>
      </c>
      <c r="G195" s="790">
        <v>444</v>
      </c>
      <c r="H195" s="790">
        <v>3439</v>
      </c>
      <c r="I195" s="790">
        <v>2141</v>
      </c>
      <c r="J195" s="796">
        <f t="shared" ref="J195:J258" si="7">1-(H195/(C195-D195))</f>
        <v>0.38280689160086145</v>
      </c>
    </row>
    <row r="196" spans="1:10">
      <c r="A196" s="322" t="s">
        <v>82</v>
      </c>
      <c r="B196" s="793">
        <v>44049</v>
      </c>
      <c r="C196" s="790">
        <f t="shared" si="6"/>
        <v>3655</v>
      </c>
      <c r="D196" s="790">
        <v>136</v>
      </c>
      <c r="E196" s="790">
        <v>1449</v>
      </c>
      <c r="F196" s="790">
        <v>2206</v>
      </c>
      <c r="G196" s="790">
        <v>418</v>
      </c>
      <c r="H196" s="790">
        <v>2247</v>
      </c>
      <c r="I196" s="790">
        <v>1435</v>
      </c>
      <c r="J196" s="796">
        <f t="shared" si="7"/>
        <v>0.36146632566069903</v>
      </c>
    </row>
    <row r="197" spans="1:10">
      <c r="A197" s="322" t="s">
        <v>83</v>
      </c>
      <c r="B197" s="793">
        <v>44050</v>
      </c>
      <c r="C197" s="790">
        <f t="shared" si="6"/>
        <v>6085</v>
      </c>
      <c r="D197" s="790">
        <v>364</v>
      </c>
      <c r="E197" s="790">
        <v>2206</v>
      </c>
      <c r="F197" s="790">
        <v>3879</v>
      </c>
      <c r="G197" s="790">
        <v>387</v>
      </c>
      <c r="H197" s="790">
        <v>3711</v>
      </c>
      <c r="I197" s="790">
        <v>2442</v>
      </c>
      <c r="J197" s="796">
        <f t="shared" si="7"/>
        <v>0.35133717881489246</v>
      </c>
    </row>
    <row r="198" spans="1:10">
      <c r="A198" s="322" t="s">
        <v>84</v>
      </c>
      <c r="B198" s="793">
        <v>44051</v>
      </c>
      <c r="C198" s="790">
        <f t="shared" si="6"/>
        <v>3445</v>
      </c>
      <c r="D198" s="790">
        <v>54</v>
      </c>
      <c r="E198" s="790">
        <v>955</v>
      </c>
      <c r="F198" s="790">
        <v>2490</v>
      </c>
      <c r="G198" s="790">
        <v>319</v>
      </c>
      <c r="H198" s="790">
        <v>2774</v>
      </c>
      <c r="I198" s="790">
        <v>1710</v>
      </c>
      <c r="J198" s="796">
        <f t="shared" si="7"/>
        <v>0.18195222648186371</v>
      </c>
    </row>
    <row r="199" spans="1:10">
      <c r="A199" s="322" t="s">
        <v>85</v>
      </c>
      <c r="B199" s="793">
        <v>44052</v>
      </c>
      <c r="C199" s="790">
        <f t="shared" si="6"/>
        <v>4548</v>
      </c>
      <c r="D199" s="790">
        <v>139</v>
      </c>
      <c r="E199" s="790">
        <v>1473</v>
      </c>
      <c r="F199" s="790">
        <v>3075</v>
      </c>
      <c r="G199" s="790">
        <v>294</v>
      </c>
      <c r="H199" s="790">
        <v>2656</v>
      </c>
      <c r="I199" s="790">
        <v>1614</v>
      </c>
      <c r="J199" s="796">
        <f t="shared" si="7"/>
        <v>0.39759582671807669</v>
      </c>
    </row>
    <row r="200" spans="1:10">
      <c r="A200" s="322" t="s">
        <v>86</v>
      </c>
      <c r="B200" s="793">
        <v>44053</v>
      </c>
      <c r="C200" s="790">
        <f t="shared" si="6"/>
        <v>1685</v>
      </c>
      <c r="D200" s="790">
        <v>17</v>
      </c>
      <c r="E200" s="790">
        <v>683</v>
      </c>
      <c r="F200" s="790">
        <v>1002</v>
      </c>
      <c r="G200" s="790">
        <v>164</v>
      </c>
      <c r="H200" s="790">
        <v>932</v>
      </c>
      <c r="I200" s="790">
        <v>531</v>
      </c>
      <c r="J200" s="796">
        <f t="shared" si="7"/>
        <v>0.44124700239808157</v>
      </c>
    </row>
    <row r="201" spans="1:10">
      <c r="A201" s="322" t="s">
        <v>89</v>
      </c>
      <c r="B201" s="793">
        <v>44054</v>
      </c>
      <c r="C201" s="790">
        <f t="shared" si="6"/>
        <v>15241</v>
      </c>
      <c r="D201" s="790">
        <v>498</v>
      </c>
      <c r="E201" s="790">
        <v>4702</v>
      </c>
      <c r="F201" s="790">
        <v>10539</v>
      </c>
      <c r="G201" s="790">
        <v>1162</v>
      </c>
      <c r="H201" s="790">
        <v>9387</v>
      </c>
      <c r="I201" s="790">
        <v>6084</v>
      </c>
      <c r="J201" s="796">
        <f t="shared" si="7"/>
        <v>0.36329105338126566</v>
      </c>
    </row>
    <row r="202" spans="1:10">
      <c r="A202" s="322" t="s">
        <v>88</v>
      </c>
      <c r="B202" s="793">
        <v>44055</v>
      </c>
      <c r="C202" s="790">
        <f t="shared" si="6"/>
        <v>3207</v>
      </c>
      <c r="D202" s="790">
        <v>40</v>
      </c>
      <c r="E202" s="790">
        <v>1245</v>
      </c>
      <c r="F202" s="790">
        <v>1962</v>
      </c>
      <c r="G202" s="790">
        <v>214</v>
      </c>
      <c r="H202" s="790">
        <v>1722</v>
      </c>
      <c r="I202" s="790">
        <v>1013</v>
      </c>
      <c r="J202" s="796">
        <f t="shared" si="7"/>
        <v>0.45626776128828539</v>
      </c>
    </row>
    <row r="203" spans="1:10">
      <c r="A203" s="322" t="s">
        <v>87</v>
      </c>
      <c r="B203" s="793">
        <v>44056</v>
      </c>
      <c r="C203" s="790">
        <f t="shared" si="6"/>
        <v>3028</v>
      </c>
      <c r="D203" s="790">
        <v>38</v>
      </c>
      <c r="E203" s="790">
        <v>1021</v>
      </c>
      <c r="F203" s="790">
        <v>2007</v>
      </c>
      <c r="G203" s="790">
        <v>238</v>
      </c>
      <c r="H203" s="790">
        <v>2078</v>
      </c>
      <c r="I203" s="790">
        <v>1065</v>
      </c>
      <c r="J203" s="796">
        <f t="shared" si="7"/>
        <v>0.3050167224080268</v>
      </c>
    </row>
    <row r="204" spans="1:10">
      <c r="A204" s="322" t="s">
        <v>90</v>
      </c>
      <c r="B204" s="793">
        <v>44057</v>
      </c>
      <c r="C204" s="790">
        <f t="shared" si="6"/>
        <v>2851</v>
      </c>
      <c r="D204" s="790">
        <v>114</v>
      </c>
      <c r="E204" s="790">
        <v>1038</v>
      </c>
      <c r="F204" s="790">
        <v>1813</v>
      </c>
      <c r="G204" s="790">
        <v>189</v>
      </c>
      <c r="H204" s="790">
        <v>1365</v>
      </c>
      <c r="I204" s="790">
        <v>775</v>
      </c>
      <c r="J204" s="796">
        <f t="shared" si="7"/>
        <v>0.50127877237851659</v>
      </c>
    </row>
    <row r="205" spans="1:10">
      <c r="A205" s="322" t="s">
        <v>91</v>
      </c>
      <c r="B205" s="793">
        <v>44058</v>
      </c>
      <c r="C205" s="790">
        <f t="shared" si="6"/>
        <v>2541</v>
      </c>
      <c r="D205" s="790">
        <v>30</v>
      </c>
      <c r="E205" s="790">
        <v>891</v>
      </c>
      <c r="F205" s="790">
        <v>1650</v>
      </c>
      <c r="G205" s="790">
        <v>259</v>
      </c>
      <c r="H205" s="790">
        <v>1510</v>
      </c>
      <c r="I205" s="790">
        <v>941</v>
      </c>
      <c r="J205" s="796">
        <f t="shared" si="7"/>
        <v>0.39864595778574274</v>
      </c>
    </row>
    <row r="206" spans="1:10">
      <c r="A206" s="322" t="s">
        <v>93</v>
      </c>
      <c r="B206" s="793">
        <v>44059</v>
      </c>
      <c r="C206" s="790">
        <f t="shared" si="6"/>
        <v>4684</v>
      </c>
      <c r="D206" s="790">
        <v>301</v>
      </c>
      <c r="E206" s="790">
        <v>1511</v>
      </c>
      <c r="F206" s="790">
        <v>3173</v>
      </c>
      <c r="G206" s="790">
        <v>303</v>
      </c>
      <c r="H206" s="790">
        <v>2821</v>
      </c>
      <c r="I206" s="790">
        <v>1696</v>
      </c>
      <c r="J206" s="796">
        <f t="shared" si="7"/>
        <v>0.3563769107916952</v>
      </c>
    </row>
    <row r="207" spans="1:10">
      <c r="A207" s="322" t="s">
        <v>94</v>
      </c>
      <c r="B207" s="793">
        <v>44060</v>
      </c>
      <c r="C207" s="790">
        <f t="shared" si="6"/>
        <v>1262</v>
      </c>
      <c r="D207" s="790">
        <v>27</v>
      </c>
      <c r="E207" s="790">
        <v>464</v>
      </c>
      <c r="F207" s="790">
        <v>798</v>
      </c>
      <c r="G207" s="790">
        <v>125</v>
      </c>
      <c r="H207" s="790">
        <v>787</v>
      </c>
      <c r="I207" s="790">
        <v>444</v>
      </c>
      <c r="J207" s="796">
        <f t="shared" si="7"/>
        <v>0.36275303643724699</v>
      </c>
    </row>
    <row r="208" spans="1:10">
      <c r="A208" s="322" t="s">
        <v>92</v>
      </c>
      <c r="B208" s="793">
        <v>44061</v>
      </c>
      <c r="C208" s="790">
        <f t="shared" si="6"/>
        <v>12498</v>
      </c>
      <c r="D208" s="790">
        <v>273</v>
      </c>
      <c r="E208" s="790">
        <v>4249</v>
      </c>
      <c r="F208" s="790">
        <v>8249</v>
      </c>
      <c r="G208" s="790">
        <v>996</v>
      </c>
      <c r="H208" s="790">
        <v>8052</v>
      </c>
      <c r="I208" s="790">
        <v>5018</v>
      </c>
      <c r="J208" s="796">
        <f t="shared" si="7"/>
        <v>0.34134969325153375</v>
      </c>
    </row>
    <row r="209" spans="1:10">
      <c r="A209" s="322" t="s">
        <v>95</v>
      </c>
      <c r="B209" s="793">
        <v>44062</v>
      </c>
      <c r="C209" s="790">
        <f t="shared" si="6"/>
        <v>20053</v>
      </c>
      <c r="D209" s="790">
        <v>2543</v>
      </c>
      <c r="E209" s="790">
        <v>8353</v>
      </c>
      <c r="F209" s="790">
        <v>11700</v>
      </c>
      <c r="G209" s="790">
        <v>581</v>
      </c>
      <c r="H209" s="790">
        <v>10547</v>
      </c>
      <c r="I209" s="790">
        <v>7067</v>
      </c>
      <c r="J209" s="796">
        <f t="shared" si="7"/>
        <v>0.39765848086807543</v>
      </c>
    </row>
    <row r="210" spans="1:10">
      <c r="A210" s="322" t="s">
        <v>96</v>
      </c>
      <c r="B210" s="793">
        <v>44063</v>
      </c>
      <c r="C210" s="790">
        <f t="shared" si="6"/>
        <v>2430</v>
      </c>
      <c r="D210" s="790">
        <v>34</v>
      </c>
      <c r="E210" s="790">
        <v>643</v>
      </c>
      <c r="F210" s="790">
        <v>1787</v>
      </c>
      <c r="G210" s="790">
        <v>207</v>
      </c>
      <c r="H210" s="790">
        <v>1422</v>
      </c>
      <c r="I210" s="790">
        <v>864</v>
      </c>
      <c r="J210" s="796">
        <f t="shared" si="7"/>
        <v>0.40651085141903176</v>
      </c>
    </row>
    <row r="211" spans="1:10">
      <c r="A211" s="322" t="s">
        <v>98</v>
      </c>
      <c r="B211" s="793">
        <v>44064</v>
      </c>
      <c r="C211" s="790">
        <f t="shared" si="6"/>
        <v>1169</v>
      </c>
      <c r="D211" s="790">
        <v>6</v>
      </c>
      <c r="E211" s="790">
        <v>516</v>
      </c>
      <c r="F211" s="790">
        <v>653</v>
      </c>
      <c r="G211" s="790">
        <v>140</v>
      </c>
      <c r="H211" s="790">
        <v>682</v>
      </c>
      <c r="I211" s="790">
        <v>375</v>
      </c>
      <c r="J211" s="796">
        <f t="shared" si="7"/>
        <v>0.41358555460017199</v>
      </c>
    </row>
    <row r="212" spans="1:10">
      <c r="A212" s="322" t="s">
        <v>99</v>
      </c>
      <c r="B212" s="793">
        <v>44065</v>
      </c>
      <c r="C212" s="790">
        <f t="shared" si="6"/>
        <v>225</v>
      </c>
      <c r="D212" s="790">
        <v>7</v>
      </c>
      <c r="E212" s="790">
        <v>91</v>
      </c>
      <c r="F212" s="790">
        <v>134</v>
      </c>
      <c r="G212" s="790">
        <v>18</v>
      </c>
      <c r="H212" s="790">
        <v>104</v>
      </c>
      <c r="I212" s="790">
        <v>72</v>
      </c>
      <c r="J212" s="796">
        <f t="shared" si="7"/>
        <v>0.52293577981651373</v>
      </c>
    </row>
    <row r="213" spans="1:10">
      <c r="A213" s="322" t="s">
        <v>97</v>
      </c>
      <c r="B213" s="793">
        <v>44066</v>
      </c>
      <c r="C213" s="790">
        <f t="shared" si="6"/>
        <v>16150</v>
      </c>
      <c r="D213" s="790">
        <v>639</v>
      </c>
      <c r="E213" s="790">
        <v>5542</v>
      </c>
      <c r="F213" s="790">
        <v>10608</v>
      </c>
      <c r="G213" s="790">
        <v>810</v>
      </c>
      <c r="H213" s="790">
        <v>9914</v>
      </c>
      <c r="I213" s="790">
        <v>6413</v>
      </c>
      <c r="J213" s="796">
        <f t="shared" si="7"/>
        <v>0.36084069370124428</v>
      </c>
    </row>
    <row r="214" spans="1:10">
      <c r="A214" s="322" t="s">
        <v>100</v>
      </c>
      <c r="B214" s="793">
        <v>44067</v>
      </c>
      <c r="C214" s="790">
        <f t="shared" si="6"/>
        <v>10198</v>
      </c>
      <c r="D214" s="790">
        <v>158</v>
      </c>
      <c r="E214" s="790">
        <v>3355</v>
      </c>
      <c r="F214" s="790">
        <v>6843</v>
      </c>
      <c r="G214" s="790">
        <v>686</v>
      </c>
      <c r="H214" s="790">
        <v>6770</v>
      </c>
      <c r="I214" s="790">
        <v>4187</v>
      </c>
      <c r="J214" s="796">
        <f t="shared" si="7"/>
        <v>0.32569721115537853</v>
      </c>
    </row>
    <row r="215" spans="1:10">
      <c r="A215" s="322" t="s">
        <v>102</v>
      </c>
      <c r="B215" s="793">
        <v>44068</v>
      </c>
      <c r="C215" s="790">
        <f t="shared" si="6"/>
        <v>1388</v>
      </c>
      <c r="D215" s="790">
        <v>24</v>
      </c>
      <c r="E215" s="790">
        <v>541</v>
      </c>
      <c r="F215" s="790">
        <v>847</v>
      </c>
      <c r="G215" s="790">
        <v>110</v>
      </c>
      <c r="H215" s="790">
        <v>829</v>
      </c>
      <c r="I215" s="790">
        <v>496</v>
      </c>
      <c r="J215" s="796">
        <f t="shared" si="7"/>
        <v>0.39222873900293254</v>
      </c>
    </row>
    <row r="216" spans="1:10">
      <c r="A216" s="322" t="s">
        <v>101</v>
      </c>
      <c r="B216" s="793">
        <v>44069</v>
      </c>
      <c r="C216" s="790">
        <f t="shared" si="6"/>
        <v>59868</v>
      </c>
      <c r="D216" s="790">
        <v>3043</v>
      </c>
      <c r="E216" s="790">
        <v>22516</v>
      </c>
      <c r="F216" s="790">
        <v>37352</v>
      </c>
      <c r="G216" s="790">
        <v>3058</v>
      </c>
      <c r="H216" s="790">
        <v>36777</v>
      </c>
      <c r="I216" s="790">
        <v>23037</v>
      </c>
      <c r="J216" s="796">
        <f t="shared" si="7"/>
        <v>0.35280246370435553</v>
      </c>
    </row>
    <row r="217" spans="1:10">
      <c r="A217" s="322" t="s">
        <v>103</v>
      </c>
      <c r="B217" s="793">
        <v>44070</v>
      </c>
      <c r="C217" s="790">
        <f t="shared" si="6"/>
        <v>732</v>
      </c>
      <c r="D217" s="790">
        <v>10</v>
      </c>
      <c r="E217" s="790">
        <v>303</v>
      </c>
      <c r="F217" s="790">
        <v>429</v>
      </c>
      <c r="G217" s="790">
        <v>65</v>
      </c>
      <c r="H217" s="790">
        <v>451</v>
      </c>
      <c r="I217" s="790">
        <v>232</v>
      </c>
      <c r="J217" s="796">
        <f t="shared" si="7"/>
        <v>0.3753462603878116</v>
      </c>
    </row>
    <row r="218" spans="1:10">
      <c r="A218" s="322" t="s">
        <v>77</v>
      </c>
      <c r="B218" s="793">
        <v>44075</v>
      </c>
      <c r="C218" s="790">
        <f t="shared" si="6"/>
        <v>605</v>
      </c>
      <c r="D218" s="790">
        <v>6</v>
      </c>
      <c r="E218" s="790">
        <v>323</v>
      </c>
      <c r="F218" s="790">
        <v>282</v>
      </c>
      <c r="G218" s="790">
        <v>68</v>
      </c>
      <c r="H218" s="790">
        <v>380</v>
      </c>
      <c r="I218" s="790">
        <v>175</v>
      </c>
      <c r="J218" s="796">
        <f t="shared" si="7"/>
        <v>0.36560934891485808</v>
      </c>
    </row>
    <row r="219" spans="1:10">
      <c r="A219" s="322" t="s">
        <v>78</v>
      </c>
      <c r="B219" s="793">
        <v>44076</v>
      </c>
      <c r="C219" s="790">
        <f t="shared" si="6"/>
        <v>1940</v>
      </c>
      <c r="D219" s="790">
        <v>41</v>
      </c>
      <c r="E219" s="790">
        <v>528</v>
      </c>
      <c r="F219" s="790">
        <v>1412</v>
      </c>
      <c r="G219" s="790">
        <v>104</v>
      </c>
      <c r="H219" s="790">
        <v>1127</v>
      </c>
      <c r="I219" s="790">
        <v>703</v>
      </c>
      <c r="J219" s="796">
        <f t="shared" si="7"/>
        <v>0.40652975250131651</v>
      </c>
    </row>
    <row r="220" spans="1:10">
      <c r="A220" s="322" t="s">
        <v>80</v>
      </c>
      <c r="B220" s="793">
        <v>44077</v>
      </c>
      <c r="C220" s="790">
        <f t="shared" si="6"/>
        <v>1703</v>
      </c>
      <c r="D220" s="790">
        <v>7</v>
      </c>
      <c r="E220" s="790">
        <v>666</v>
      </c>
      <c r="F220" s="790">
        <v>1037</v>
      </c>
      <c r="G220" s="790">
        <v>126</v>
      </c>
      <c r="H220" s="790">
        <v>1062</v>
      </c>
      <c r="I220" s="790">
        <v>558</v>
      </c>
      <c r="J220" s="796">
        <f t="shared" si="7"/>
        <v>0.37382075471698117</v>
      </c>
    </row>
    <row r="221" spans="1:10">
      <c r="A221" s="322" t="s">
        <v>79</v>
      </c>
      <c r="B221" s="793">
        <v>44078</v>
      </c>
      <c r="C221" s="790">
        <f t="shared" si="6"/>
        <v>723</v>
      </c>
      <c r="D221" s="790">
        <v>5</v>
      </c>
      <c r="E221" s="790">
        <v>397</v>
      </c>
      <c r="F221" s="790">
        <v>326</v>
      </c>
      <c r="G221" s="790">
        <v>43</v>
      </c>
      <c r="H221" s="790">
        <v>411</v>
      </c>
      <c r="I221" s="790">
        <v>225</v>
      </c>
      <c r="J221" s="796">
        <f t="shared" si="7"/>
        <v>0.42757660167130918</v>
      </c>
    </row>
    <row r="222" spans="1:10">
      <c r="A222" s="322" t="s">
        <v>81</v>
      </c>
      <c r="B222" s="793">
        <v>44079</v>
      </c>
      <c r="C222" s="790">
        <f t="shared" si="6"/>
        <v>6290</v>
      </c>
      <c r="D222" s="790">
        <v>614</v>
      </c>
      <c r="E222" s="790">
        <v>2397</v>
      </c>
      <c r="F222" s="790">
        <v>3893</v>
      </c>
      <c r="G222" s="790">
        <v>532</v>
      </c>
      <c r="H222" s="790">
        <v>3745</v>
      </c>
      <c r="I222" s="790">
        <v>2308</v>
      </c>
      <c r="J222" s="796">
        <f t="shared" si="7"/>
        <v>0.34020436927413666</v>
      </c>
    </row>
    <row r="223" spans="1:10">
      <c r="A223" s="322" t="s">
        <v>82</v>
      </c>
      <c r="B223" s="793">
        <v>44080</v>
      </c>
      <c r="C223" s="790">
        <f t="shared" si="6"/>
        <v>3730</v>
      </c>
      <c r="D223" s="790">
        <v>137</v>
      </c>
      <c r="E223" s="790">
        <v>1460</v>
      </c>
      <c r="F223" s="790">
        <v>2270</v>
      </c>
      <c r="G223" s="790">
        <v>486</v>
      </c>
      <c r="H223" s="790">
        <v>2438</v>
      </c>
      <c r="I223" s="790">
        <v>1557</v>
      </c>
      <c r="J223" s="796">
        <f t="shared" si="7"/>
        <v>0.3214583913164486</v>
      </c>
    </row>
    <row r="224" spans="1:10">
      <c r="A224" s="322" t="s">
        <v>83</v>
      </c>
      <c r="B224" s="793">
        <v>44081</v>
      </c>
      <c r="C224" s="790">
        <f t="shared" si="6"/>
        <v>6141</v>
      </c>
      <c r="D224" s="790">
        <v>365</v>
      </c>
      <c r="E224" s="790">
        <v>2206</v>
      </c>
      <c r="F224" s="790">
        <v>3935</v>
      </c>
      <c r="G224" s="790">
        <v>435</v>
      </c>
      <c r="H224" s="790">
        <v>3901</v>
      </c>
      <c r="I224" s="790">
        <v>2551</v>
      </c>
      <c r="J224" s="796">
        <f t="shared" si="7"/>
        <v>0.32461911357340723</v>
      </c>
    </row>
    <row r="225" spans="1:10">
      <c r="A225" s="322" t="s">
        <v>84</v>
      </c>
      <c r="B225" s="793">
        <v>44082</v>
      </c>
      <c r="C225" s="790">
        <f t="shared" si="6"/>
        <v>3501</v>
      </c>
      <c r="D225" s="790">
        <v>54</v>
      </c>
      <c r="E225" s="790">
        <v>957</v>
      </c>
      <c r="F225" s="790">
        <v>2544</v>
      </c>
      <c r="G225" s="790">
        <v>358</v>
      </c>
      <c r="H225" s="790">
        <v>2888</v>
      </c>
      <c r="I225" s="790">
        <v>1760</v>
      </c>
      <c r="J225" s="796">
        <f t="shared" si="7"/>
        <v>0.16217000290107342</v>
      </c>
    </row>
    <row r="226" spans="1:10">
      <c r="A226" s="322" t="s">
        <v>85</v>
      </c>
      <c r="B226" s="793">
        <v>44083</v>
      </c>
      <c r="C226" s="790">
        <f t="shared" si="6"/>
        <v>4614</v>
      </c>
      <c r="D226" s="790">
        <v>139</v>
      </c>
      <c r="E226" s="790">
        <v>1489</v>
      </c>
      <c r="F226" s="790">
        <v>3125</v>
      </c>
      <c r="G226" s="790">
        <v>347</v>
      </c>
      <c r="H226" s="790">
        <v>2864</v>
      </c>
      <c r="I226" s="790">
        <v>1720</v>
      </c>
      <c r="J226" s="796">
        <f t="shared" si="7"/>
        <v>0.36</v>
      </c>
    </row>
    <row r="227" spans="1:10">
      <c r="A227" s="322" t="s">
        <v>86</v>
      </c>
      <c r="B227" s="793">
        <v>44084</v>
      </c>
      <c r="C227" s="790">
        <f t="shared" si="6"/>
        <v>1711</v>
      </c>
      <c r="D227" s="790">
        <v>17</v>
      </c>
      <c r="E227" s="790">
        <v>690</v>
      </c>
      <c r="F227" s="790">
        <v>1021</v>
      </c>
      <c r="G227" s="790">
        <v>200</v>
      </c>
      <c r="H227" s="790">
        <v>1018</v>
      </c>
      <c r="I227" s="790">
        <v>574</v>
      </c>
      <c r="J227" s="796">
        <f t="shared" si="7"/>
        <v>0.39905548996458085</v>
      </c>
    </row>
    <row r="228" spans="1:10">
      <c r="A228" s="322" t="s">
        <v>89</v>
      </c>
      <c r="B228" s="793">
        <v>44085</v>
      </c>
      <c r="C228" s="790">
        <f t="shared" si="6"/>
        <v>15420</v>
      </c>
      <c r="D228" s="790">
        <v>498</v>
      </c>
      <c r="E228" s="790">
        <v>4744</v>
      </c>
      <c r="F228" s="790">
        <v>10676</v>
      </c>
      <c r="G228" s="790">
        <v>1320</v>
      </c>
      <c r="H228" s="790">
        <v>10033</v>
      </c>
      <c r="I228" s="790">
        <v>6424</v>
      </c>
      <c r="J228" s="796">
        <f t="shared" si="7"/>
        <v>0.32763704597238974</v>
      </c>
    </row>
    <row r="229" spans="1:10">
      <c r="A229" s="322" t="s">
        <v>88</v>
      </c>
      <c r="B229" s="793">
        <v>44086</v>
      </c>
      <c r="C229" s="790">
        <f t="shared" si="6"/>
        <v>3254</v>
      </c>
      <c r="D229" s="790">
        <v>40</v>
      </c>
      <c r="E229" s="790">
        <v>1249</v>
      </c>
      <c r="F229" s="790">
        <v>2005</v>
      </c>
      <c r="G229" s="790">
        <v>250</v>
      </c>
      <c r="H229" s="790">
        <v>1855</v>
      </c>
      <c r="I229" s="790">
        <v>1076</v>
      </c>
      <c r="J229" s="796">
        <f t="shared" si="7"/>
        <v>0.4228375855631612</v>
      </c>
    </row>
    <row r="230" spans="1:10">
      <c r="A230" s="322" t="s">
        <v>87</v>
      </c>
      <c r="B230" s="793">
        <v>44087</v>
      </c>
      <c r="C230" s="790">
        <f t="shared" si="6"/>
        <v>3049</v>
      </c>
      <c r="D230" s="790">
        <v>38</v>
      </c>
      <c r="E230" s="790">
        <v>1023</v>
      </c>
      <c r="F230" s="790">
        <v>2026</v>
      </c>
      <c r="G230" s="790">
        <v>248</v>
      </c>
      <c r="H230" s="790">
        <v>2176</v>
      </c>
      <c r="I230" s="790">
        <v>1100</v>
      </c>
      <c r="J230" s="796">
        <f t="shared" si="7"/>
        <v>0.27731650614413816</v>
      </c>
    </row>
    <row r="231" spans="1:10">
      <c r="A231" s="322" t="s">
        <v>90</v>
      </c>
      <c r="B231" s="793">
        <v>44088</v>
      </c>
      <c r="C231" s="790">
        <f t="shared" si="6"/>
        <v>2882</v>
      </c>
      <c r="D231" s="790">
        <v>114</v>
      </c>
      <c r="E231" s="790">
        <v>1036</v>
      </c>
      <c r="F231" s="790">
        <v>1846</v>
      </c>
      <c r="G231" s="790">
        <v>224</v>
      </c>
      <c r="H231" s="790">
        <v>1476</v>
      </c>
      <c r="I231" s="790">
        <v>824</v>
      </c>
      <c r="J231" s="796">
        <f t="shared" si="7"/>
        <v>0.4667630057803468</v>
      </c>
    </row>
    <row r="232" spans="1:10">
      <c r="A232" s="322" t="s">
        <v>91</v>
      </c>
      <c r="B232" s="793">
        <v>44089</v>
      </c>
      <c r="C232" s="790">
        <f t="shared" si="6"/>
        <v>2585</v>
      </c>
      <c r="D232" s="790">
        <v>30</v>
      </c>
      <c r="E232" s="790">
        <v>905</v>
      </c>
      <c r="F232" s="790">
        <v>1680</v>
      </c>
      <c r="G232" s="790">
        <v>297</v>
      </c>
      <c r="H232" s="790">
        <v>1617</v>
      </c>
      <c r="I232" s="790">
        <v>998</v>
      </c>
      <c r="J232" s="796">
        <f t="shared" si="7"/>
        <v>0.36712328767123292</v>
      </c>
    </row>
    <row r="233" spans="1:10">
      <c r="A233" s="322" t="s">
        <v>93</v>
      </c>
      <c r="B233" s="793">
        <v>44090</v>
      </c>
      <c r="C233" s="790">
        <f t="shared" si="6"/>
        <v>4796</v>
      </c>
      <c r="D233" s="790">
        <v>301</v>
      </c>
      <c r="E233" s="790">
        <v>1534</v>
      </c>
      <c r="F233" s="790">
        <v>3262</v>
      </c>
      <c r="G233" s="790">
        <v>384</v>
      </c>
      <c r="H233" s="790">
        <v>3053</v>
      </c>
      <c r="I233" s="790">
        <v>1825</v>
      </c>
      <c r="J233" s="796">
        <f t="shared" si="7"/>
        <v>0.32080088987764177</v>
      </c>
    </row>
    <row r="234" spans="1:10">
      <c r="A234" s="322" t="s">
        <v>94</v>
      </c>
      <c r="B234" s="793">
        <v>44091</v>
      </c>
      <c r="C234" s="790">
        <f t="shared" si="6"/>
        <v>1294</v>
      </c>
      <c r="D234" s="790">
        <v>27</v>
      </c>
      <c r="E234" s="790">
        <v>475</v>
      </c>
      <c r="F234" s="790">
        <v>819</v>
      </c>
      <c r="G234" s="790">
        <v>151</v>
      </c>
      <c r="H234" s="790">
        <v>852</v>
      </c>
      <c r="I234" s="790">
        <v>479</v>
      </c>
      <c r="J234" s="796">
        <f t="shared" si="7"/>
        <v>0.32754538279400158</v>
      </c>
    </row>
    <row r="235" spans="1:10">
      <c r="A235" s="322" t="s">
        <v>92</v>
      </c>
      <c r="B235" s="793">
        <v>44092</v>
      </c>
      <c r="C235" s="790">
        <f t="shared" si="6"/>
        <v>12622</v>
      </c>
      <c r="D235" s="790">
        <v>273</v>
      </c>
      <c r="E235" s="790">
        <v>4279</v>
      </c>
      <c r="F235" s="790">
        <v>8343</v>
      </c>
      <c r="G235" s="790">
        <v>1103</v>
      </c>
      <c r="H235" s="790">
        <v>8469</v>
      </c>
      <c r="I235" s="790">
        <v>5245</v>
      </c>
      <c r="J235" s="796">
        <f t="shared" si="7"/>
        <v>0.31419548141549924</v>
      </c>
    </row>
    <row r="236" spans="1:10">
      <c r="A236" s="322" t="s">
        <v>95</v>
      </c>
      <c r="B236" s="793">
        <v>44093</v>
      </c>
      <c r="C236" s="790">
        <f t="shared" si="6"/>
        <v>20206</v>
      </c>
      <c r="D236" s="790">
        <v>2541</v>
      </c>
      <c r="E236" s="790">
        <v>8355</v>
      </c>
      <c r="F236" s="790">
        <v>11851</v>
      </c>
      <c r="G236" s="790">
        <v>712</v>
      </c>
      <c r="H236" s="790">
        <v>11110</v>
      </c>
      <c r="I236" s="790">
        <v>7390</v>
      </c>
      <c r="J236" s="796">
        <f t="shared" si="7"/>
        <v>0.37107274271157653</v>
      </c>
    </row>
    <row r="237" spans="1:10">
      <c r="A237" s="322" t="s">
        <v>96</v>
      </c>
      <c r="B237" s="793">
        <v>44094</v>
      </c>
      <c r="C237" s="790">
        <f t="shared" si="6"/>
        <v>2473</v>
      </c>
      <c r="D237" s="790">
        <v>34</v>
      </c>
      <c r="E237" s="790">
        <v>664</v>
      </c>
      <c r="F237" s="790">
        <v>1809</v>
      </c>
      <c r="G237" s="790">
        <v>237</v>
      </c>
      <c r="H237" s="790">
        <v>1525</v>
      </c>
      <c r="I237" s="790">
        <v>922</v>
      </c>
      <c r="J237" s="796">
        <f t="shared" si="7"/>
        <v>0.37474374743747441</v>
      </c>
    </row>
    <row r="238" spans="1:10">
      <c r="A238" s="322" t="s">
        <v>98</v>
      </c>
      <c r="B238" s="793">
        <v>44095</v>
      </c>
      <c r="C238" s="790">
        <f t="shared" si="6"/>
        <v>1206</v>
      </c>
      <c r="D238" s="790">
        <v>6</v>
      </c>
      <c r="E238" s="790">
        <v>531</v>
      </c>
      <c r="F238" s="790">
        <v>675</v>
      </c>
      <c r="G238" s="790">
        <v>169</v>
      </c>
      <c r="H238" s="790">
        <v>746</v>
      </c>
      <c r="I238" s="790">
        <v>419</v>
      </c>
      <c r="J238" s="796">
        <f t="shared" si="7"/>
        <v>0.3783333333333333</v>
      </c>
    </row>
    <row r="239" spans="1:10">
      <c r="A239" s="322" t="s">
        <v>99</v>
      </c>
      <c r="B239" s="793">
        <v>44096</v>
      </c>
      <c r="C239" s="790">
        <f t="shared" si="6"/>
        <v>223</v>
      </c>
      <c r="D239" s="790">
        <v>7</v>
      </c>
      <c r="E239" s="790">
        <v>91</v>
      </c>
      <c r="F239" s="790">
        <v>132</v>
      </c>
      <c r="G239" s="790">
        <v>18</v>
      </c>
      <c r="H239" s="790">
        <v>113</v>
      </c>
      <c r="I239" s="790">
        <v>74</v>
      </c>
      <c r="J239" s="796">
        <f t="shared" si="7"/>
        <v>0.47685185185185186</v>
      </c>
    </row>
    <row r="240" spans="1:10">
      <c r="A240" s="322" t="s">
        <v>97</v>
      </c>
      <c r="B240" s="793">
        <v>44097</v>
      </c>
      <c r="C240" s="790">
        <f t="shared" si="6"/>
        <v>16286</v>
      </c>
      <c r="D240" s="790">
        <v>639</v>
      </c>
      <c r="E240" s="790">
        <v>5551</v>
      </c>
      <c r="F240" s="790">
        <v>10735</v>
      </c>
      <c r="G240" s="790">
        <v>942</v>
      </c>
      <c r="H240" s="790">
        <v>10463</v>
      </c>
      <c r="I240" s="790">
        <v>6713</v>
      </c>
      <c r="J240" s="796">
        <f t="shared" si="7"/>
        <v>0.33130951620118876</v>
      </c>
    </row>
    <row r="241" spans="1:10">
      <c r="A241" s="322" t="s">
        <v>100</v>
      </c>
      <c r="B241" s="793">
        <v>44098</v>
      </c>
      <c r="C241" s="790">
        <f t="shared" si="6"/>
        <v>10294</v>
      </c>
      <c r="D241" s="790">
        <v>158</v>
      </c>
      <c r="E241" s="790">
        <v>3367</v>
      </c>
      <c r="F241" s="790">
        <v>6927</v>
      </c>
      <c r="G241" s="790">
        <v>767</v>
      </c>
      <c r="H241" s="790">
        <v>7121</v>
      </c>
      <c r="I241" s="790">
        <v>4394</v>
      </c>
      <c r="J241" s="796">
        <f t="shared" si="7"/>
        <v>0.29745461720599842</v>
      </c>
    </row>
    <row r="242" spans="1:10">
      <c r="A242" s="322" t="s">
        <v>102</v>
      </c>
      <c r="B242" s="793">
        <v>44099</v>
      </c>
      <c r="C242" s="790">
        <f t="shared" si="6"/>
        <v>1405</v>
      </c>
      <c r="D242" s="790">
        <v>24</v>
      </c>
      <c r="E242" s="790">
        <v>545</v>
      </c>
      <c r="F242" s="790">
        <v>860</v>
      </c>
      <c r="G242" s="790">
        <v>127</v>
      </c>
      <c r="H242" s="790">
        <v>888</v>
      </c>
      <c r="I242" s="790">
        <v>532</v>
      </c>
      <c r="J242" s="796">
        <f t="shared" si="7"/>
        <v>0.35698769007965248</v>
      </c>
    </row>
    <row r="243" spans="1:10">
      <c r="A243" s="322" t="s">
        <v>101</v>
      </c>
      <c r="B243" s="793">
        <v>44100</v>
      </c>
      <c r="C243" s="790">
        <f t="shared" si="6"/>
        <v>60393</v>
      </c>
      <c r="D243" s="790">
        <v>3045</v>
      </c>
      <c r="E243" s="790">
        <v>22540</v>
      </c>
      <c r="F243" s="790">
        <v>37853</v>
      </c>
      <c r="G243" s="790">
        <v>3469</v>
      </c>
      <c r="H243" s="790">
        <v>38600</v>
      </c>
      <c r="I243" s="790">
        <v>24082</v>
      </c>
      <c r="J243" s="796">
        <f t="shared" si="7"/>
        <v>0.32691637023087117</v>
      </c>
    </row>
    <row r="244" spans="1:10">
      <c r="A244" s="322" t="s">
        <v>103</v>
      </c>
      <c r="B244" s="793">
        <v>44101</v>
      </c>
      <c r="C244" s="790">
        <f t="shared" si="6"/>
        <v>741</v>
      </c>
      <c r="D244" s="790">
        <v>11</v>
      </c>
      <c r="E244" s="790">
        <v>306</v>
      </c>
      <c r="F244" s="790">
        <v>435</v>
      </c>
      <c r="G244" s="790">
        <v>71</v>
      </c>
      <c r="H244" s="790">
        <v>483</v>
      </c>
      <c r="I244" s="790">
        <v>248</v>
      </c>
      <c r="J244" s="796">
        <f t="shared" si="7"/>
        <v>0.33835616438356164</v>
      </c>
    </row>
    <row r="245" spans="1:10">
      <c r="A245" s="322" t="s">
        <v>77</v>
      </c>
      <c r="B245" s="793">
        <v>44105</v>
      </c>
      <c r="C245" s="790">
        <f t="shared" si="6"/>
        <v>624</v>
      </c>
      <c r="D245" s="790">
        <v>5</v>
      </c>
      <c r="E245" s="790">
        <v>335</v>
      </c>
      <c r="F245" s="790">
        <v>289</v>
      </c>
      <c r="G245" s="790">
        <v>65</v>
      </c>
      <c r="H245" s="790">
        <v>407</v>
      </c>
      <c r="I245" s="790">
        <v>191</v>
      </c>
      <c r="J245" s="796">
        <f t="shared" si="7"/>
        <v>0.34248788368336025</v>
      </c>
    </row>
    <row r="246" spans="1:10">
      <c r="A246" s="322" t="s">
        <v>78</v>
      </c>
      <c r="B246" s="793">
        <v>44106</v>
      </c>
      <c r="C246" s="790">
        <f t="shared" si="6"/>
        <v>1962</v>
      </c>
      <c r="D246" s="790">
        <v>38</v>
      </c>
      <c r="E246" s="790">
        <v>532</v>
      </c>
      <c r="F246" s="790">
        <v>1430</v>
      </c>
      <c r="G246" s="790">
        <v>94</v>
      </c>
      <c r="H246" s="790">
        <v>1183</v>
      </c>
      <c r="I246" s="790">
        <v>734</v>
      </c>
      <c r="J246" s="796">
        <f t="shared" si="7"/>
        <v>0.38513513513513509</v>
      </c>
    </row>
    <row r="247" spans="1:10">
      <c r="A247" s="322" t="s">
        <v>80</v>
      </c>
      <c r="B247" s="793">
        <v>44107</v>
      </c>
      <c r="C247" s="790">
        <f t="shared" si="6"/>
        <v>1715</v>
      </c>
      <c r="D247" s="790">
        <v>6</v>
      </c>
      <c r="E247" s="790">
        <v>670</v>
      </c>
      <c r="F247" s="790">
        <v>1045</v>
      </c>
      <c r="G247" s="790">
        <v>104</v>
      </c>
      <c r="H247" s="790">
        <v>1116</v>
      </c>
      <c r="I247" s="790">
        <v>584</v>
      </c>
      <c r="J247" s="796">
        <f t="shared" si="7"/>
        <v>0.3469865418373318</v>
      </c>
    </row>
    <row r="248" spans="1:10">
      <c r="A248" s="322" t="s">
        <v>79</v>
      </c>
      <c r="B248" s="793">
        <v>44108</v>
      </c>
      <c r="C248" s="790">
        <f t="shared" si="6"/>
        <v>739</v>
      </c>
      <c r="D248" s="790">
        <v>5</v>
      </c>
      <c r="E248" s="790">
        <v>407</v>
      </c>
      <c r="F248" s="790">
        <v>332</v>
      </c>
      <c r="G248" s="790">
        <v>51</v>
      </c>
      <c r="H248" s="790">
        <v>440</v>
      </c>
      <c r="I248" s="790">
        <v>240</v>
      </c>
      <c r="J248" s="796">
        <f t="shared" si="7"/>
        <v>0.40054495912806543</v>
      </c>
    </row>
    <row r="249" spans="1:10">
      <c r="A249" s="322" t="s">
        <v>81</v>
      </c>
      <c r="B249" s="793">
        <v>44109</v>
      </c>
      <c r="C249" s="790">
        <f t="shared" si="6"/>
        <v>6396</v>
      </c>
      <c r="D249" s="790">
        <v>563</v>
      </c>
      <c r="E249" s="790">
        <v>2430</v>
      </c>
      <c r="F249" s="790">
        <v>3966</v>
      </c>
      <c r="G249" s="790">
        <v>544</v>
      </c>
      <c r="H249" s="790">
        <v>3954</v>
      </c>
      <c r="I249" s="790">
        <v>2443</v>
      </c>
      <c r="J249" s="796">
        <f t="shared" si="7"/>
        <v>0.32213269329675986</v>
      </c>
    </row>
    <row r="250" spans="1:10">
      <c r="A250" s="322" t="s">
        <v>82</v>
      </c>
      <c r="B250" s="793">
        <v>44110</v>
      </c>
      <c r="C250" s="790">
        <f t="shared" si="6"/>
        <v>3799</v>
      </c>
      <c r="D250" s="790">
        <v>129</v>
      </c>
      <c r="E250" s="790">
        <v>1487</v>
      </c>
      <c r="F250" s="790">
        <v>2312</v>
      </c>
      <c r="G250" s="790">
        <v>464</v>
      </c>
      <c r="H250" s="790">
        <v>2566</v>
      </c>
      <c r="I250" s="790">
        <v>1645</v>
      </c>
      <c r="J250" s="796">
        <f t="shared" si="7"/>
        <v>0.30081743869209809</v>
      </c>
    </row>
    <row r="251" spans="1:10">
      <c r="A251" s="322" t="s">
        <v>83</v>
      </c>
      <c r="B251" s="793">
        <v>44111</v>
      </c>
      <c r="C251" s="790">
        <f t="shared" si="6"/>
        <v>6202</v>
      </c>
      <c r="D251" s="790">
        <v>340</v>
      </c>
      <c r="E251" s="790">
        <v>2223</v>
      </c>
      <c r="F251" s="790">
        <v>3979</v>
      </c>
      <c r="G251" s="790">
        <v>349</v>
      </c>
      <c r="H251" s="790">
        <v>4072</v>
      </c>
      <c r="I251" s="790">
        <v>2675</v>
      </c>
      <c r="J251" s="796">
        <f t="shared" si="7"/>
        <v>0.30535653360627768</v>
      </c>
    </row>
    <row r="252" spans="1:10">
      <c r="A252" s="322" t="s">
        <v>84</v>
      </c>
      <c r="B252" s="793">
        <v>44112</v>
      </c>
      <c r="C252" s="790">
        <f t="shared" si="6"/>
        <v>3553</v>
      </c>
      <c r="D252" s="790">
        <v>49</v>
      </c>
      <c r="E252" s="790">
        <v>967</v>
      </c>
      <c r="F252" s="790">
        <v>2586</v>
      </c>
      <c r="G252" s="790">
        <v>238</v>
      </c>
      <c r="H252" s="790">
        <v>2980</v>
      </c>
      <c r="I252" s="790">
        <v>1805</v>
      </c>
      <c r="J252" s="796">
        <f t="shared" si="7"/>
        <v>0.1495433789954338</v>
      </c>
    </row>
    <row r="253" spans="1:10">
      <c r="A253" s="322" t="s">
        <v>85</v>
      </c>
      <c r="B253" s="793">
        <v>44113</v>
      </c>
      <c r="C253" s="790">
        <f t="shared" si="6"/>
        <v>4681</v>
      </c>
      <c r="D253" s="790">
        <v>130</v>
      </c>
      <c r="E253" s="790">
        <v>1506</v>
      </c>
      <c r="F253" s="790">
        <v>3175</v>
      </c>
      <c r="G253" s="790">
        <v>327</v>
      </c>
      <c r="H253" s="790">
        <v>3003</v>
      </c>
      <c r="I253" s="790">
        <v>1805</v>
      </c>
      <c r="J253" s="796">
        <f t="shared" si="7"/>
        <v>0.34014502307185235</v>
      </c>
    </row>
    <row r="254" spans="1:10">
      <c r="A254" s="322" t="s">
        <v>86</v>
      </c>
      <c r="B254" s="793">
        <v>44114</v>
      </c>
      <c r="C254" s="790">
        <f t="shared" si="6"/>
        <v>1740</v>
      </c>
      <c r="D254" s="790">
        <v>16</v>
      </c>
      <c r="E254" s="790">
        <v>701</v>
      </c>
      <c r="F254" s="790">
        <v>1039</v>
      </c>
      <c r="G254" s="790">
        <v>168</v>
      </c>
      <c r="H254" s="790">
        <v>1084</v>
      </c>
      <c r="I254" s="790">
        <v>608</v>
      </c>
      <c r="J254" s="796">
        <f t="shared" si="7"/>
        <v>0.37122969837587005</v>
      </c>
    </row>
    <row r="255" spans="1:10">
      <c r="A255" s="322" t="s">
        <v>89</v>
      </c>
      <c r="B255" s="793">
        <v>44115</v>
      </c>
      <c r="C255" s="790">
        <f t="shared" si="6"/>
        <v>15597</v>
      </c>
      <c r="D255" s="790">
        <v>394</v>
      </c>
      <c r="E255" s="790">
        <v>4805</v>
      </c>
      <c r="F255" s="790">
        <v>10792</v>
      </c>
      <c r="G255" s="790">
        <v>1085</v>
      </c>
      <c r="H255" s="790">
        <v>10509</v>
      </c>
      <c r="I255" s="790">
        <v>6729</v>
      </c>
      <c r="J255" s="796">
        <f t="shared" si="7"/>
        <v>0.30875485101624678</v>
      </c>
    </row>
    <row r="256" spans="1:10">
      <c r="A256" s="322" t="s">
        <v>88</v>
      </c>
      <c r="B256" s="793">
        <v>44116</v>
      </c>
      <c r="C256" s="790">
        <f t="shared" si="6"/>
        <v>3290</v>
      </c>
      <c r="D256" s="790">
        <v>32</v>
      </c>
      <c r="E256" s="790">
        <v>1260</v>
      </c>
      <c r="F256" s="790">
        <v>2030</v>
      </c>
      <c r="G256" s="790">
        <v>182</v>
      </c>
      <c r="H256" s="790">
        <v>1947</v>
      </c>
      <c r="I256" s="790">
        <v>1130</v>
      </c>
      <c r="J256" s="796">
        <f t="shared" si="7"/>
        <v>0.40239410681399634</v>
      </c>
    </row>
    <row r="257" spans="1:10">
      <c r="A257" s="322" t="s">
        <v>87</v>
      </c>
      <c r="B257" s="793">
        <v>44117</v>
      </c>
      <c r="C257" s="790">
        <f t="shared" si="6"/>
        <v>3107</v>
      </c>
      <c r="D257" s="790">
        <v>36</v>
      </c>
      <c r="E257" s="790">
        <v>1045</v>
      </c>
      <c r="F257" s="790">
        <v>2062</v>
      </c>
      <c r="G257" s="790">
        <v>271</v>
      </c>
      <c r="H257" s="790">
        <v>2248</v>
      </c>
      <c r="I257" s="790">
        <v>1123</v>
      </c>
      <c r="J257" s="796">
        <f t="shared" si="7"/>
        <v>0.26799088244871372</v>
      </c>
    </row>
    <row r="258" spans="1:10">
      <c r="A258" s="322" t="s">
        <v>90</v>
      </c>
      <c r="B258" s="793">
        <v>44118</v>
      </c>
      <c r="C258" s="790">
        <f t="shared" si="6"/>
        <v>2884</v>
      </c>
      <c r="D258" s="790">
        <v>111</v>
      </c>
      <c r="E258" s="790">
        <v>1038</v>
      </c>
      <c r="F258" s="790">
        <v>1846</v>
      </c>
      <c r="G258" s="790">
        <v>208</v>
      </c>
      <c r="H258" s="790">
        <v>1556</v>
      </c>
      <c r="I258" s="790">
        <v>872</v>
      </c>
      <c r="J258" s="796">
        <f t="shared" si="7"/>
        <v>0.4388748647673999</v>
      </c>
    </row>
    <row r="259" spans="1:10">
      <c r="A259" s="322" t="s">
        <v>91</v>
      </c>
      <c r="B259" s="793">
        <v>44119</v>
      </c>
      <c r="C259" s="790">
        <f t="shared" ref="C259:C322" si="8">E259+F259</f>
        <v>2627</v>
      </c>
      <c r="D259" s="790">
        <v>30</v>
      </c>
      <c r="E259" s="790">
        <v>914</v>
      </c>
      <c r="F259" s="790">
        <v>1713</v>
      </c>
      <c r="G259" s="790">
        <v>284</v>
      </c>
      <c r="H259" s="790">
        <v>1733</v>
      </c>
      <c r="I259" s="790">
        <v>1081</v>
      </c>
      <c r="J259" s="796">
        <f t="shared" ref="J259:J322" si="9">1-(H259/(C259-D259))</f>
        <v>0.33269156719291493</v>
      </c>
    </row>
    <row r="260" spans="1:10">
      <c r="A260" s="322" t="s">
        <v>93</v>
      </c>
      <c r="B260" s="793">
        <v>44120</v>
      </c>
      <c r="C260" s="790">
        <f t="shared" si="8"/>
        <v>4853</v>
      </c>
      <c r="D260" s="790">
        <v>261</v>
      </c>
      <c r="E260" s="790">
        <v>1550</v>
      </c>
      <c r="F260" s="790">
        <v>3303</v>
      </c>
      <c r="G260" s="790">
        <v>339</v>
      </c>
      <c r="H260" s="790">
        <v>3259</v>
      </c>
      <c r="I260" s="790">
        <v>1954</v>
      </c>
      <c r="J260" s="796">
        <f t="shared" si="9"/>
        <v>0.29028745644599308</v>
      </c>
    </row>
    <row r="261" spans="1:10">
      <c r="A261" s="322" t="s">
        <v>94</v>
      </c>
      <c r="B261" s="793">
        <v>44121</v>
      </c>
      <c r="C261" s="790">
        <f t="shared" si="8"/>
        <v>1315</v>
      </c>
      <c r="D261" s="790">
        <v>24</v>
      </c>
      <c r="E261" s="790">
        <v>481</v>
      </c>
      <c r="F261" s="790">
        <v>834</v>
      </c>
      <c r="G261" s="790">
        <v>137</v>
      </c>
      <c r="H261" s="790">
        <v>892</v>
      </c>
      <c r="I261" s="790">
        <v>500</v>
      </c>
      <c r="J261" s="796">
        <f t="shared" si="9"/>
        <v>0.30906274206041828</v>
      </c>
    </row>
    <row r="262" spans="1:10">
      <c r="A262" s="322" t="s">
        <v>92</v>
      </c>
      <c r="B262" s="793">
        <v>44122</v>
      </c>
      <c r="C262" s="790">
        <f t="shared" si="8"/>
        <v>12719</v>
      </c>
      <c r="D262" s="790">
        <v>238</v>
      </c>
      <c r="E262" s="790">
        <v>4306</v>
      </c>
      <c r="F262" s="790">
        <v>8413</v>
      </c>
      <c r="G262" s="790">
        <v>1036</v>
      </c>
      <c r="H262" s="790">
        <v>8812</v>
      </c>
      <c r="I262" s="790">
        <v>5444</v>
      </c>
      <c r="J262" s="796">
        <f t="shared" si="9"/>
        <v>0.2939668295809631</v>
      </c>
    </row>
    <row r="263" spans="1:10">
      <c r="A263" s="322" t="s">
        <v>95</v>
      </c>
      <c r="B263" s="793">
        <v>44123</v>
      </c>
      <c r="C263" s="790">
        <f t="shared" si="8"/>
        <v>20286</v>
      </c>
      <c r="D263" s="790">
        <v>2148</v>
      </c>
      <c r="E263" s="790">
        <v>8361</v>
      </c>
      <c r="F263" s="790">
        <v>11925</v>
      </c>
      <c r="G263" s="790">
        <v>593</v>
      </c>
      <c r="H263" s="790">
        <v>11685</v>
      </c>
      <c r="I263" s="790">
        <v>7749</v>
      </c>
      <c r="J263" s="796">
        <f t="shared" si="9"/>
        <v>0.35577241151174333</v>
      </c>
    </row>
    <row r="264" spans="1:10">
      <c r="A264" s="322" t="s">
        <v>96</v>
      </c>
      <c r="B264" s="793">
        <v>44124</v>
      </c>
      <c r="C264" s="790">
        <f t="shared" si="8"/>
        <v>2487</v>
      </c>
      <c r="D264" s="790">
        <v>31</v>
      </c>
      <c r="E264" s="790">
        <v>671</v>
      </c>
      <c r="F264" s="790">
        <v>1816</v>
      </c>
      <c r="G264" s="790">
        <v>197</v>
      </c>
      <c r="H264" s="790">
        <v>1597</v>
      </c>
      <c r="I264" s="790">
        <v>960</v>
      </c>
      <c r="J264" s="796">
        <f t="shared" si="9"/>
        <v>0.34975570032573289</v>
      </c>
    </row>
    <row r="265" spans="1:10">
      <c r="A265" s="322" t="s">
        <v>98</v>
      </c>
      <c r="B265" s="793">
        <v>44125</v>
      </c>
      <c r="C265" s="790">
        <f t="shared" si="8"/>
        <v>1218</v>
      </c>
      <c r="D265" s="790">
        <v>6</v>
      </c>
      <c r="E265" s="790">
        <v>533</v>
      </c>
      <c r="F265" s="790">
        <v>685</v>
      </c>
      <c r="G265" s="790">
        <v>150</v>
      </c>
      <c r="H265" s="790">
        <v>782</v>
      </c>
      <c r="I265" s="790">
        <v>446</v>
      </c>
      <c r="J265" s="796">
        <f t="shared" si="9"/>
        <v>0.3547854785478548</v>
      </c>
    </row>
    <row r="266" spans="1:10">
      <c r="A266" s="322" t="s">
        <v>99</v>
      </c>
      <c r="B266" s="793">
        <v>44126</v>
      </c>
      <c r="C266" s="790">
        <f t="shared" si="8"/>
        <v>223</v>
      </c>
      <c r="D266" s="790">
        <v>7</v>
      </c>
      <c r="E266" s="790">
        <v>91</v>
      </c>
      <c r="F266" s="790">
        <v>132</v>
      </c>
      <c r="G266" s="790">
        <v>13</v>
      </c>
      <c r="H266" s="790">
        <v>117</v>
      </c>
      <c r="I266" s="790">
        <v>75</v>
      </c>
      <c r="J266" s="796">
        <f t="shared" si="9"/>
        <v>0.45833333333333337</v>
      </c>
    </row>
    <row r="267" spans="1:10">
      <c r="A267" s="322" t="s">
        <v>97</v>
      </c>
      <c r="B267" s="793">
        <v>44127</v>
      </c>
      <c r="C267" s="790">
        <f t="shared" si="8"/>
        <v>16404</v>
      </c>
      <c r="D267" s="790">
        <v>537</v>
      </c>
      <c r="E267" s="790">
        <v>5572</v>
      </c>
      <c r="F267" s="790">
        <v>10832</v>
      </c>
      <c r="G267" s="790">
        <v>899</v>
      </c>
      <c r="H267" s="790">
        <v>10914</v>
      </c>
      <c r="I267" s="790">
        <v>6992</v>
      </c>
      <c r="J267" s="796">
        <f t="shared" si="9"/>
        <v>0.31215730761958782</v>
      </c>
    </row>
    <row r="268" spans="1:10">
      <c r="A268" s="322" t="s">
        <v>100</v>
      </c>
      <c r="B268" s="793">
        <v>44128</v>
      </c>
      <c r="C268" s="790">
        <f t="shared" si="8"/>
        <v>10385</v>
      </c>
      <c r="D268" s="790">
        <v>140</v>
      </c>
      <c r="E268" s="790">
        <v>3398</v>
      </c>
      <c r="F268" s="790">
        <v>6987</v>
      </c>
      <c r="G268" s="790">
        <v>658</v>
      </c>
      <c r="H268" s="790">
        <v>7406</v>
      </c>
      <c r="I268" s="790">
        <v>4572</v>
      </c>
      <c r="J268" s="796">
        <f t="shared" si="9"/>
        <v>0.27711078574914594</v>
      </c>
    </row>
    <row r="269" spans="1:10">
      <c r="A269" s="322" t="s">
        <v>102</v>
      </c>
      <c r="B269" s="793">
        <v>44129</v>
      </c>
      <c r="C269" s="790">
        <f t="shared" si="8"/>
        <v>1424</v>
      </c>
      <c r="D269" s="790">
        <v>23</v>
      </c>
      <c r="E269" s="790">
        <v>554</v>
      </c>
      <c r="F269" s="790">
        <v>870</v>
      </c>
      <c r="G269" s="790">
        <v>122</v>
      </c>
      <c r="H269" s="790">
        <v>942</v>
      </c>
      <c r="I269" s="790">
        <v>571</v>
      </c>
      <c r="J269" s="796">
        <f t="shared" si="9"/>
        <v>0.3276231263383298</v>
      </c>
    </row>
    <row r="270" spans="1:10">
      <c r="A270" s="322" t="s">
        <v>101</v>
      </c>
      <c r="B270" s="793">
        <v>44130</v>
      </c>
      <c r="C270" s="790">
        <f t="shared" si="8"/>
        <v>60888</v>
      </c>
      <c r="D270" s="790">
        <v>2706</v>
      </c>
      <c r="E270" s="790">
        <v>22683</v>
      </c>
      <c r="F270" s="790">
        <v>38205</v>
      </c>
      <c r="G270" s="790">
        <v>3029</v>
      </c>
      <c r="H270" s="790">
        <v>40361</v>
      </c>
      <c r="I270" s="790">
        <v>25175</v>
      </c>
      <c r="J270" s="796">
        <f t="shared" si="9"/>
        <v>0.30629748032037396</v>
      </c>
    </row>
    <row r="271" spans="1:10">
      <c r="A271" s="322" t="s">
        <v>103</v>
      </c>
      <c r="B271" s="793">
        <v>44131</v>
      </c>
      <c r="C271" s="790">
        <f t="shared" si="8"/>
        <v>746</v>
      </c>
      <c r="D271" s="790">
        <v>10</v>
      </c>
      <c r="E271" s="790">
        <v>308</v>
      </c>
      <c r="F271" s="790">
        <v>438</v>
      </c>
      <c r="G271" s="790">
        <v>64</v>
      </c>
      <c r="H271" s="790">
        <v>509</v>
      </c>
      <c r="I271" s="790">
        <v>259</v>
      </c>
      <c r="J271" s="796">
        <f t="shared" si="9"/>
        <v>0.30842391304347827</v>
      </c>
    </row>
    <row r="272" spans="1:10">
      <c r="A272" s="322" t="s">
        <v>77</v>
      </c>
      <c r="B272" s="793">
        <v>44136</v>
      </c>
      <c r="C272" s="790">
        <f t="shared" si="8"/>
        <v>632</v>
      </c>
      <c r="D272" s="790">
        <v>6</v>
      </c>
      <c r="E272" s="790">
        <v>340</v>
      </c>
      <c r="F272" s="790">
        <v>292</v>
      </c>
      <c r="G272" s="790">
        <v>69</v>
      </c>
      <c r="H272" s="790">
        <v>422</v>
      </c>
      <c r="I272" s="790">
        <v>199</v>
      </c>
      <c r="J272" s="796">
        <f t="shared" si="9"/>
        <v>0.32587859424920129</v>
      </c>
    </row>
    <row r="273" spans="1:10">
      <c r="A273" s="322" t="s">
        <v>78</v>
      </c>
      <c r="B273" s="793">
        <v>44137</v>
      </c>
      <c r="C273" s="790">
        <f t="shared" si="8"/>
        <v>1980</v>
      </c>
      <c r="D273" s="790">
        <v>41</v>
      </c>
      <c r="E273" s="790">
        <v>534</v>
      </c>
      <c r="F273" s="790">
        <v>1446</v>
      </c>
      <c r="G273" s="790">
        <v>105</v>
      </c>
      <c r="H273" s="790">
        <v>1222</v>
      </c>
      <c r="I273" s="790">
        <v>760</v>
      </c>
      <c r="J273" s="796">
        <f t="shared" si="9"/>
        <v>0.369778236204229</v>
      </c>
    </row>
    <row r="274" spans="1:10">
      <c r="A274" s="322" t="s">
        <v>80</v>
      </c>
      <c r="B274" s="793">
        <v>44138</v>
      </c>
      <c r="C274" s="790">
        <f t="shared" si="8"/>
        <v>1733</v>
      </c>
      <c r="D274" s="790">
        <v>7</v>
      </c>
      <c r="E274" s="790">
        <v>680</v>
      </c>
      <c r="F274" s="790">
        <v>1053</v>
      </c>
      <c r="G274" s="790">
        <v>114</v>
      </c>
      <c r="H274" s="790">
        <v>1163</v>
      </c>
      <c r="I274" s="790">
        <v>613</v>
      </c>
      <c r="J274" s="796">
        <f t="shared" si="9"/>
        <v>0.32618771726535345</v>
      </c>
    </row>
    <row r="275" spans="1:10">
      <c r="A275" s="322" t="s">
        <v>79</v>
      </c>
      <c r="B275" s="793">
        <v>44139</v>
      </c>
      <c r="C275" s="790">
        <f t="shared" si="8"/>
        <v>742</v>
      </c>
      <c r="D275" s="790">
        <v>5</v>
      </c>
      <c r="E275" s="790">
        <v>410</v>
      </c>
      <c r="F275" s="790">
        <v>332</v>
      </c>
      <c r="G275" s="790">
        <v>57</v>
      </c>
      <c r="H275" s="790">
        <v>451</v>
      </c>
      <c r="I275" s="790">
        <v>247</v>
      </c>
      <c r="J275" s="796">
        <f t="shared" si="9"/>
        <v>0.38805970149253732</v>
      </c>
    </row>
    <row r="276" spans="1:10">
      <c r="A276" s="322" t="s">
        <v>81</v>
      </c>
      <c r="B276" s="793">
        <v>44140</v>
      </c>
      <c r="C276" s="790">
        <f t="shared" si="8"/>
        <v>6455</v>
      </c>
      <c r="D276" s="790">
        <v>614</v>
      </c>
      <c r="E276" s="790">
        <v>2447</v>
      </c>
      <c r="F276" s="790">
        <v>4008</v>
      </c>
      <c r="G276" s="790">
        <v>614</v>
      </c>
      <c r="H276" s="790">
        <v>4122</v>
      </c>
      <c r="I276" s="790">
        <v>2553</v>
      </c>
      <c r="J276" s="796">
        <f t="shared" si="9"/>
        <v>0.29429892141756553</v>
      </c>
    </row>
    <row r="277" spans="1:10">
      <c r="A277" s="322" t="s">
        <v>82</v>
      </c>
      <c r="B277" s="793">
        <v>44141</v>
      </c>
      <c r="C277" s="790">
        <f t="shared" si="8"/>
        <v>3862</v>
      </c>
      <c r="D277" s="790">
        <v>137</v>
      </c>
      <c r="E277" s="790">
        <v>1513</v>
      </c>
      <c r="F277" s="790">
        <v>2349</v>
      </c>
      <c r="G277" s="790">
        <v>516</v>
      </c>
      <c r="H277" s="790">
        <v>2672</v>
      </c>
      <c r="I277" s="790">
        <v>1723</v>
      </c>
      <c r="J277" s="796">
        <f t="shared" si="9"/>
        <v>0.28268456375838924</v>
      </c>
    </row>
    <row r="278" spans="1:10">
      <c r="A278" s="322" t="s">
        <v>83</v>
      </c>
      <c r="B278" s="793">
        <v>44142</v>
      </c>
      <c r="C278" s="790">
        <f t="shared" si="8"/>
        <v>6227</v>
      </c>
      <c r="D278" s="790">
        <v>365</v>
      </c>
      <c r="E278" s="790">
        <v>2233</v>
      </c>
      <c r="F278" s="790">
        <v>3994</v>
      </c>
      <c r="G278" s="790">
        <v>369</v>
      </c>
      <c r="H278" s="790">
        <v>4186</v>
      </c>
      <c r="I278" s="790">
        <v>2751</v>
      </c>
      <c r="J278" s="796">
        <f t="shared" si="9"/>
        <v>0.28590924599112932</v>
      </c>
    </row>
    <row r="279" spans="1:10">
      <c r="A279" s="322" t="s">
        <v>84</v>
      </c>
      <c r="B279" s="793">
        <v>44143</v>
      </c>
      <c r="C279" s="790">
        <f t="shared" si="8"/>
        <v>3593</v>
      </c>
      <c r="D279" s="790">
        <v>54</v>
      </c>
      <c r="E279" s="790">
        <v>978</v>
      </c>
      <c r="F279" s="790">
        <v>2615</v>
      </c>
      <c r="G279" s="790">
        <v>259</v>
      </c>
      <c r="H279" s="790">
        <v>3050</v>
      </c>
      <c r="I279" s="790">
        <v>1845</v>
      </c>
      <c r="J279" s="796">
        <f t="shared" si="9"/>
        <v>0.13817462560045213</v>
      </c>
    </row>
    <row r="280" spans="1:10">
      <c r="A280" s="322" t="s">
        <v>85</v>
      </c>
      <c r="B280" s="793">
        <v>44144</v>
      </c>
      <c r="C280" s="790">
        <f t="shared" si="8"/>
        <v>4704</v>
      </c>
      <c r="D280" s="790">
        <v>139</v>
      </c>
      <c r="E280" s="790">
        <v>1511</v>
      </c>
      <c r="F280" s="790">
        <v>3193</v>
      </c>
      <c r="G280" s="790">
        <v>343</v>
      </c>
      <c r="H280" s="790">
        <v>3121</v>
      </c>
      <c r="I280" s="790">
        <v>1881</v>
      </c>
      <c r="J280" s="796">
        <f t="shared" si="9"/>
        <v>0.31631982475355969</v>
      </c>
    </row>
    <row r="281" spans="1:10">
      <c r="A281" s="322" t="s">
        <v>86</v>
      </c>
      <c r="B281" s="793">
        <v>44145</v>
      </c>
      <c r="C281" s="790">
        <f t="shared" si="8"/>
        <v>1760</v>
      </c>
      <c r="D281" s="790">
        <v>17</v>
      </c>
      <c r="E281" s="790">
        <v>714</v>
      </c>
      <c r="F281" s="790">
        <v>1046</v>
      </c>
      <c r="G281" s="790">
        <v>181</v>
      </c>
      <c r="H281" s="790">
        <v>1129</v>
      </c>
      <c r="I281" s="790">
        <v>636</v>
      </c>
      <c r="J281" s="796">
        <f t="shared" si="9"/>
        <v>0.35226620768789441</v>
      </c>
    </row>
    <row r="282" spans="1:10">
      <c r="A282" s="322" t="s">
        <v>89</v>
      </c>
      <c r="B282" s="793">
        <v>44146</v>
      </c>
      <c r="C282" s="790">
        <f t="shared" si="8"/>
        <v>15701</v>
      </c>
      <c r="D282" s="790">
        <v>501</v>
      </c>
      <c r="E282" s="790">
        <v>4841</v>
      </c>
      <c r="F282" s="790">
        <v>10860</v>
      </c>
      <c r="G282" s="790">
        <v>1163</v>
      </c>
      <c r="H282" s="790">
        <v>10879</v>
      </c>
      <c r="I282" s="790">
        <v>6929</v>
      </c>
      <c r="J282" s="796">
        <f t="shared" si="9"/>
        <v>0.28427631578947365</v>
      </c>
    </row>
    <row r="283" spans="1:10">
      <c r="A283" s="322" t="s">
        <v>88</v>
      </c>
      <c r="B283" s="793">
        <v>44147</v>
      </c>
      <c r="C283" s="790">
        <f t="shared" si="8"/>
        <v>3312</v>
      </c>
      <c r="D283" s="790">
        <v>40</v>
      </c>
      <c r="E283" s="790">
        <v>1264</v>
      </c>
      <c r="F283" s="790">
        <v>2048</v>
      </c>
      <c r="G283" s="790">
        <v>194</v>
      </c>
      <c r="H283" s="790">
        <v>2000</v>
      </c>
      <c r="I283" s="790">
        <v>1159</v>
      </c>
      <c r="J283" s="796">
        <f t="shared" si="9"/>
        <v>0.38875305623471879</v>
      </c>
    </row>
    <row r="284" spans="1:10">
      <c r="A284" s="322" t="s">
        <v>87</v>
      </c>
      <c r="B284" s="793">
        <v>44148</v>
      </c>
      <c r="C284" s="790">
        <f t="shared" si="8"/>
        <v>3142</v>
      </c>
      <c r="D284" s="790">
        <v>39</v>
      </c>
      <c r="E284" s="790">
        <v>1056</v>
      </c>
      <c r="F284" s="790">
        <v>2086</v>
      </c>
      <c r="G284" s="790">
        <v>272</v>
      </c>
      <c r="H284" s="790">
        <v>2322</v>
      </c>
      <c r="I284" s="790">
        <v>1172</v>
      </c>
      <c r="J284" s="796">
        <f t="shared" si="9"/>
        <v>0.25169191105381894</v>
      </c>
    </row>
    <row r="285" spans="1:10">
      <c r="A285" s="322" t="s">
        <v>90</v>
      </c>
      <c r="B285" s="793">
        <v>44149</v>
      </c>
      <c r="C285" s="790">
        <f t="shared" si="8"/>
        <v>2894</v>
      </c>
      <c r="D285" s="790">
        <v>114</v>
      </c>
      <c r="E285" s="790">
        <v>1042</v>
      </c>
      <c r="F285" s="790">
        <v>1852</v>
      </c>
      <c r="G285" s="790">
        <v>222</v>
      </c>
      <c r="H285" s="790">
        <v>1632</v>
      </c>
      <c r="I285" s="790">
        <v>910</v>
      </c>
      <c r="J285" s="796">
        <f t="shared" si="9"/>
        <v>0.41294964028776981</v>
      </c>
    </row>
    <row r="286" spans="1:10">
      <c r="A286" s="322" t="s">
        <v>91</v>
      </c>
      <c r="B286" s="793">
        <v>44150</v>
      </c>
      <c r="C286" s="790">
        <f t="shared" si="8"/>
        <v>2644</v>
      </c>
      <c r="D286" s="790">
        <v>31</v>
      </c>
      <c r="E286" s="790">
        <v>920</v>
      </c>
      <c r="F286" s="790">
        <v>1724</v>
      </c>
      <c r="G286" s="790">
        <v>300</v>
      </c>
      <c r="H286" s="790">
        <v>1818</v>
      </c>
      <c r="I286" s="790">
        <v>1124</v>
      </c>
      <c r="J286" s="796">
        <f t="shared" si="9"/>
        <v>0.30424799081515497</v>
      </c>
    </row>
    <row r="287" spans="1:10">
      <c r="A287" s="322" t="s">
        <v>93</v>
      </c>
      <c r="B287" s="793">
        <v>44151</v>
      </c>
      <c r="C287" s="790">
        <f t="shared" si="8"/>
        <v>4868</v>
      </c>
      <c r="D287" s="790">
        <v>294</v>
      </c>
      <c r="E287" s="790">
        <v>1566</v>
      </c>
      <c r="F287" s="790">
        <v>3302</v>
      </c>
      <c r="G287" s="790">
        <v>352</v>
      </c>
      <c r="H287" s="790">
        <v>3360</v>
      </c>
      <c r="I287" s="790">
        <v>2011</v>
      </c>
      <c r="J287" s="796">
        <f t="shared" si="9"/>
        <v>0.26541320507214694</v>
      </c>
    </row>
    <row r="288" spans="1:10">
      <c r="A288" s="322" t="s">
        <v>94</v>
      </c>
      <c r="B288" s="793">
        <v>44152</v>
      </c>
      <c r="C288" s="790">
        <f t="shared" si="8"/>
        <v>1332</v>
      </c>
      <c r="D288" s="790">
        <v>27</v>
      </c>
      <c r="E288" s="790">
        <v>489</v>
      </c>
      <c r="F288" s="790">
        <v>843</v>
      </c>
      <c r="G288" s="790">
        <v>150</v>
      </c>
      <c r="H288" s="790">
        <v>934</v>
      </c>
      <c r="I288" s="790">
        <v>526</v>
      </c>
      <c r="J288" s="796">
        <f t="shared" si="9"/>
        <v>0.2842911877394636</v>
      </c>
    </row>
    <row r="289" spans="1:10">
      <c r="A289" s="322" t="s">
        <v>92</v>
      </c>
      <c r="B289" s="793">
        <v>44153</v>
      </c>
      <c r="C289" s="790">
        <f t="shared" si="8"/>
        <v>12785</v>
      </c>
      <c r="D289" s="790">
        <v>273</v>
      </c>
      <c r="E289" s="790">
        <v>4334</v>
      </c>
      <c r="F289" s="790">
        <v>8451</v>
      </c>
      <c r="G289" s="790">
        <v>1071</v>
      </c>
      <c r="H289" s="790">
        <v>9138</v>
      </c>
      <c r="I289" s="790">
        <v>5625</v>
      </c>
      <c r="J289" s="796">
        <f t="shared" si="9"/>
        <v>0.26966112531969311</v>
      </c>
    </row>
    <row r="290" spans="1:10">
      <c r="A290" s="322" t="s">
        <v>95</v>
      </c>
      <c r="B290" s="793">
        <v>44154</v>
      </c>
      <c r="C290" s="790">
        <f t="shared" si="8"/>
        <v>20369</v>
      </c>
      <c r="D290" s="790">
        <v>2535</v>
      </c>
      <c r="E290" s="790">
        <v>8393</v>
      </c>
      <c r="F290" s="790">
        <v>11976</v>
      </c>
      <c r="G290" s="790">
        <v>664</v>
      </c>
      <c r="H290" s="790">
        <v>12041</v>
      </c>
      <c r="I290" s="790">
        <v>7974</v>
      </c>
      <c r="J290" s="796">
        <f t="shared" si="9"/>
        <v>0.32482897835594926</v>
      </c>
    </row>
    <row r="291" spans="1:10">
      <c r="A291" s="322" t="s">
        <v>96</v>
      </c>
      <c r="B291" s="793">
        <v>44155</v>
      </c>
      <c r="C291" s="790">
        <f t="shared" si="8"/>
        <v>2488</v>
      </c>
      <c r="D291" s="790">
        <v>34</v>
      </c>
      <c r="E291" s="790">
        <v>669</v>
      </c>
      <c r="F291" s="790">
        <v>1819</v>
      </c>
      <c r="G291" s="790">
        <v>200</v>
      </c>
      <c r="H291" s="790">
        <v>1649</v>
      </c>
      <c r="I291" s="790">
        <v>980</v>
      </c>
      <c r="J291" s="796">
        <f t="shared" si="9"/>
        <v>0.32803585982070094</v>
      </c>
    </row>
    <row r="292" spans="1:10">
      <c r="A292" s="322" t="s">
        <v>98</v>
      </c>
      <c r="B292" s="793">
        <v>44156</v>
      </c>
      <c r="C292" s="790">
        <f t="shared" si="8"/>
        <v>1228</v>
      </c>
      <c r="D292" s="790">
        <v>6</v>
      </c>
      <c r="E292" s="790">
        <v>534</v>
      </c>
      <c r="F292" s="790">
        <v>694</v>
      </c>
      <c r="G292" s="790">
        <v>163</v>
      </c>
      <c r="H292" s="790">
        <v>813</v>
      </c>
      <c r="I292" s="790">
        <v>464</v>
      </c>
      <c r="J292" s="796">
        <f t="shared" si="9"/>
        <v>0.33469721767594107</v>
      </c>
    </row>
    <row r="293" spans="1:10">
      <c r="A293" s="322" t="s">
        <v>99</v>
      </c>
      <c r="B293" s="793">
        <v>44157</v>
      </c>
      <c r="C293" s="790">
        <f t="shared" si="8"/>
        <v>225</v>
      </c>
      <c r="D293" s="790">
        <v>7</v>
      </c>
      <c r="E293" s="790">
        <v>91</v>
      </c>
      <c r="F293" s="790">
        <v>134</v>
      </c>
      <c r="G293" s="790">
        <v>13</v>
      </c>
      <c r="H293" s="790">
        <v>125</v>
      </c>
      <c r="I293" s="790">
        <v>80</v>
      </c>
      <c r="J293" s="796">
        <f t="shared" si="9"/>
        <v>0.42660550458715596</v>
      </c>
    </row>
    <row r="294" spans="1:10">
      <c r="A294" s="322" t="s">
        <v>97</v>
      </c>
      <c r="B294" s="793">
        <v>44158</v>
      </c>
      <c r="C294" s="790">
        <f t="shared" si="8"/>
        <v>16512</v>
      </c>
      <c r="D294" s="790">
        <v>639</v>
      </c>
      <c r="E294" s="790">
        <v>5604</v>
      </c>
      <c r="F294" s="790">
        <v>10908</v>
      </c>
      <c r="G294" s="790">
        <v>1023</v>
      </c>
      <c r="H294" s="790">
        <v>11391</v>
      </c>
      <c r="I294" s="790">
        <v>7260</v>
      </c>
      <c r="J294" s="796">
        <f t="shared" si="9"/>
        <v>0.28236628236628236</v>
      </c>
    </row>
    <row r="295" spans="1:10">
      <c r="A295" s="322" t="s">
        <v>100</v>
      </c>
      <c r="B295" s="793">
        <v>44159</v>
      </c>
      <c r="C295" s="790">
        <f t="shared" si="8"/>
        <v>10466</v>
      </c>
      <c r="D295" s="790">
        <v>157</v>
      </c>
      <c r="E295" s="790">
        <v>3423</v>
      </c>
      <c r="F295" s="790">
        <v>7043</v>
      </c>
      <c r="G295" s="790">
        <v>721</v>
      </c>
      <c r="H295" s="790">
        <v>7616</v>
      </c>
      <c r="I295" s="790">
        <v>4704</v>
      </c>
      <c r="J295" s="796">
        <f t="shared" si="9"/>
        <v>0.26122805315743525</v>
      </c>
    </row>
    <row r="296" spans="1:10">
      <c r="A296" s="322" t="s">
        <v>102</v>
      </c>
      <c r="B296" s="793">
        <v>44160</v>
      </c>
      <c r="C296" s="790">
        <f t="shared" si="8"/>
        <v>1437</v>
      </c>
      <c r="D296" s="790">
        <v>24</v>
      </c>
      <c r="E296" s="790">
        <v>556</v>
      </c>
      <c r="F296" s="790">
        <v>881</v>
      </c>
      <c r="G296" s="790">
        <v>132</v>
      </c>
      <c r="H296" s="790">
        <v>981</v>
      </c>
      <c r="I296" s="790">
        <v>600</v>
      </c>
      <c r="J296" s="796">
        <f t="shared" si="9"/>
        <v>0.30573248407643316</v>
      </c>
    </row>
    <row r="297" spans="1:10">
      <c r="A297" s="322" t="s">
        <v>101</v>
      </c>
      <c r="B297" s="793">
        <v>44161</v>
      </c>
      <c r="C297" s="790">
        <f t="shared" si="8"/>
        <v>61171</v>
      </c>
      <c r="D297" s="790">
        <v>3043</v>
      </c>
      <c r="E297" s="790">
        <v>22773</v>
      </c>
      <c r="F297" s="790">
        <v>38398</v>
      </c>
      <c r="G297" s="790">
        <v>3220</v>
      </c>
      <c r="H297" s="790">
        <v>41518</v>
      </c>
      <c r="I297" s="790">
        <v>25897</v>
      </c>
      <c r="J297" s="796">
        <f t="shared" si="9"/>
        <v>0.28574869254060009</v>
      </c>
    </row>
    <row r="298" spans="1:10">
      <c r="A298" s="322" t="s">
        <v>103</v>
      </c>
      <c r="B298" s="793">
        <v>44162</v>
      </c>
      <c r="C298" s="790">
        <f t="shared" si="8"/>
        <v>750</v>
      </c>
      <c r="D298" s="790">
        <v>11</v>
      </c>
      <c r="E298" s="790">
        <v>309</v>
      </c>
      <c r="F298" s="790">
        <v>441</v>
      </c>
      <c r="G298" s="790">
        <v>65</v>
      </c>
      <c r="H298" s="790">
        <v>521</v>
      </c>
      <c r="I298" s="790">
        <v>264</v>
      </c>
      <c r="J298" s="796">
        <f t="shared" si="9"/>
        <v>0.29499323410013534</v>
      </c>
    </row>
    <row r="299" spans="1:10">
      <c r="A299" s="322" t="s">
        <v>77</v>
      </c>
      <c r="B299" s="793">
        <v>44166</v>
      </c>
      <c r="C299" s="790">
        <f t="shared" si="8"/>
        <v>635</v>
      </c>
      <c r="D299" s="790">
        <v>6</v>
      </c>
      <c r="E299" s="790">
        <v>344</v>
      </c>
      <c r="F299" s="790">
        <v>291</v>
      </c>
      <c r="G299" s="790">
        <v>66</v>
      </c>
      <c r="H299" s="790">
        <v>442</v>
      </c>
      <c r="I299" s="790">
        <v>207</v>
      </c>
      <c r="J299" s="796">
        <f t="shared" si="9"/>
        <v>0.29729729729729726</v>
      </c>
    </row>
    <row r="300" spans="1:10">
      <c r="A300" s="322" t="s">
        <v>78</v>
      </c>
      <c r="B300" s="793">
        <v>44167</v>
      </c>
      <c r="C300" s="790">
        <f t="shared" si="8"/>
        <v>1983</v>
      </c>
      <c r="D300" s="790">
        <v>41</v>
      </c>
      <c r="E300" s="790">
        <v>539</v>
      </c>
      <c r="F300" s="790">
        <v>1444</v>
      </c>
      <c r="G300" s="790">
        <v>101</v>
      </c>
      <c r="H300" s="790">
        <v>1287</v>
      </c>
      <c r="I300" s="790">
        <v>801</v>
      </c>
      <c r="J300" s="796">
        <f t="shared" si="9"/>
        <v>0.3372811534500515</v>
      </c>
    </row>
    <row r="301" spans="1:10">
      <c r="A301" s="322" t="s">
        <v>80</v>
      </c>
      <c r="B301" s="793">
        <v>44168</v>
      </c>
      <c r="C301" s="790">
        <f t="shared" si="8"/>
        <v>1744</v>
      </c>
      <c r="D301" s="790">
        <v>7</v>
      </c>
      <c r="E301" s="790">
        <v>685</v>
      </c>
      <c r="F301" s="790">
        <v>1059</v>
      </c>
      <c r="G301" s="790">
        <v>103</v>
      </c>
      <c r="H301" s="790">
        <v>1214</v>
      </c>
      <c r="I301" s="790">
        <v>641</v>
      </c>
      <c r="J301" s="796">
        <f t="shared" si="9"/>
        <v>0.30109383995394357</v>
      </c>
    </row>
    <row r="302" spans="1:10">
      <c r="A302" s="322" t="s">
        <v>79</v>
      </c>
      <c r="B302" s="793">
        <v>44169</v>
      </c>
      <c r="C302" s="790">
        <f t="shared" si="8"/>
        <v>748</v>
      </c>
      <c r="D302" s="790">
        <v>5</v>
      </c>
      <c r="E302" s="790">
        <v>413</v>
      </c>
      <c r="F302" s="790">
        <v>335</v>
      </c>
      <c r="G302" s="790">
        <v>40</v>
      </c>
      <c r="H302" s="790">
        <v>461</v>
      </c>
      <c r="I302" s="790">
        <v>253</v>
      </c>
      <c r="J302" s="796">
        <f t="shared" si="9"/>
        <v>0.37954239569313597</v>
      </c>
    </row>
    <row r="303" spans="1:10">
      <c r="A303" s="322" t="s">
        <v>81</v>
      </c>
      <c r="B303" s="793">
        <v>44170</v>
      </c>
      <c r="C303" s="790">
        <f t="shared" si="8"/>
        <v>6492</v>
      </c>
      <c r="D303" s="790">
        <v>614</v>
      </c>
      <c r="E303" s="790">
        <v>2457</v>
      </c>
      <c r="F303" s="790">
        <v>4035</v>
      </c>
      <c r="G303" s="790">
        <v>573</v>
      </c>
      <c r="H303" s="790">
        <v>4264</v>
      </c>
      <c r="I303" s="790">
        <v>2634</v>
      </c>
      <c r="J303" s="796">
        <f t="shared" si="9"/>
        <v>0.2745831915617557</v>
      </c>
    </row>
    <row r="304" spans="1:10">
      <c r="A304" s="322" t="s">
        <v>82</v>
      </c>
      <c r="B304" s="793">
        <v>44171</v>
      </c>
      <c r="C304" s="790">
        <f t="shared" si="8"/>
        <v>3872</v>
      </c>
      <c r="D304" s="790">
        <v>137</v>
      </c>
      <c r="E304" s="790">
        <v>1523</v>
      </c>
      <c r="F304" s="790">
        <v>2349</v>
      </c>
      <c r="G304" s="790">
        <v>471</v>
      </c>
      <c r="H304" s="790">
        <v>2748</v>
      </c>
      <c r="I304" s="790">
        <v>1773</v>
      </c>
      <c r="J304" s="796">
        <f t="shared" si="9"/>
        <v>0.26425702811244978</v>
      </c>
    </row>
    <row r="305" spans="1:10">
      <c r="A305" s="322" t="s">
        <v>83</v>
      </c>
      <c r="B305" s="793">
        <v>44172</v>
      </c>
      <c r="C305" s="790">
        <f t="shared" si="8"/>
        <v>6203</v>
      </c>
      <c r="D305" s="790">
        <v>365</v>
      </c>
      <c r="E305" s="790">
        <v>2230</v>
      </c>
      <c r="F305" s="790">
        <v>3973</v>
      </c>
      <c r="G305" s="790">
        <v>337</v>
      </c>
      <c r="H305" s="790">
        <v>4279</v>
      </c>
      <c r="I305" s="790">
        <v>2815</v>
      </c>
      <c r="J305" s="796">
        <f t="shared" si="9"/>
        <v>0.26704350805070232</v>
      </c>
    </row>
    <row r="306" spans="1:10">
      <c r="A306" s="322" t="s">
        <v>84</v>
      </c>
      <c r="B306" s="793">
        <v>44173</v>
      </c>
      <c r="C306" s="790">
        <f t="shared" si="8"/>
        <v>3559</v>
      </c>
      <c r="D306" s="790">
        <v>54</v>
      </c>
      <c r="E306" s="790">
        <v>972</v>
      </c>
      <c r="F306" s="790">
        <v>2587</v>
      </c>
      <c r="G306" s="790">
        <v>264</v>
      </c>
      <c r="H306" s="790">
        <v>3161</v>
      </c>
      <c r="I306" s="790">
        <v>1910</v>
      </c>
      <c r="J306" s="796">
        <f t="shared" si="9"/>
        <v>9.8145506419400896E-2</v>
      </c>
    </row>
    <row r="307" spans="1:10">
      <c r="A307" s="322" t="s">
        <v>85</v>
      </c>
      <c r="B307" s="793">
        <v>44174</v>
      </c>
      <c r="C307" s="790">
        <f t="shared" si="8"/>
        <v>4702</v>
      </c>
      <c r="D307" s="790">
        <v>139</v>
      </c>
      <c r="E307" s="790">
        <v>1517</v>
      </c>
      <c r="F307" s="790">
        <v>3185</v>
      </c>
      <c r="G307" s="790">
        <v>321</v>
      </c>
      <c r="H307" s="790">
        <v>3218</v>
      </c>
      <c r="I307" s="790">
        <v>1951</v>
      </c>
      <c r="J307" s="796">
        <f t="shared" si="9"/>
        <v>0.29476221783914092</v>
      </c>
    </row>
    <row r="308" spans="1:10">
      <c r="A308" s="322" t="s">
        <v>86</v>
      </c>
      <c r="B308" s="793">
        <v>44175</v>
      </c>
      <c r="C308" s="790">
        <f t="shared" si="8"/>
        <v>1776</v>
      </c>
      <c r="D308" s="790">
        <v>17</v>
      </c>
      <c r="E308" s="790">
        <v>722</v>
      </c>
      <c r="F308" s="790">
        <v>1054</v>
      </c>
      <c r="G308" s="790">
        <v>172</v>
      </c>
      <c r="H308" s="790">
        <v>1159</v>
      </c>
      <c r="I308" s="790">
        <v>653</v>
      </c>
      <c r="J308" s="796">
        <f t="shared" si="9"/>
        <v>0.34110289937464466</v>
      </c>
    </row>
    <row r="309" spans="1:10">
      <c r="A309" s="322" t="s">
        <v>89</v>
      </c>
      <c r="B309" s="793">
        <v>44176</v>
      </c>
      <c r="C309" s="790">
        <f t="shared" si="8"/>
        <v>15690</v>
      </c>
      <c r="D309" s="790">
        <v>501</v>
      </c>
      <c r="E309" s="790">
        <v>4837</v>
      </c>
      <c r="F309" s="790">
        <v>10853</v>
      </c>
      <c r="G309" s="790">
        <v>1048</v>
      </c>
      <c r="H309" s="790">
        <v>11184</v>
      </c>
      <c r="I309" s="790">
        <v>7115</v>
      </c>
      <c r="J309" s="796">
        <f t="shared" si="9"/>
        <v>0.26367766146553429</v>
      </c>
    </row>
    <row r="310" spans="1:10">
      <c r="A310" s="322" t="s">
        <v>88</v>
      </c>
      <c r="B310" s="793">
        <v>44177</v>
      </c>
      <c r="C310" s="790">
        <f t="shared" si="8"/>
        <v>3285</v>
      </c>
      <c r="D310" s="790">
        <v>40</v>
      </c>
      <c r="E310" s="790">
        <v>1259</v>
      </c>
      <c r="F310" s="790">
        <v>2026</v>
      </c>
      <c r="G310" s="790">
        <v>179</v>
      </c>
      <c r="H310" s="790">
        <v>2061</v>
      </c>
      <c r="I310" s="790">
        <v>1196</v>
      </c>
      <c r="J310" s="796">
        <f t="shared" si="9"/>
        <v>0.36486902927580889</v>
      </c>
    </row>
    <row r="311" spans="1:10">
      <c r="A311" s="322" t="s">
        <v>87</v>
      </c>
      <c r="B311" s="793">
        <v>44178</v>
      </c>
      <c r="C311" s="790">
        <f t="shared" si="8"/>
        <v>3178</v>
      </c>
      <c r="D311" s="790">
        <v>39</v>
      </c>
      <c r="E311" s="790">
        <v>1069</v>
      </c>
      <c r="F311" s="790">
        <v>2109</v>
      </c>
      <c r="G311" s="790">
        <v>244</v>
      </c>
      <c r="H311" s="790">
        <v>2392</v>
      </c>
      <c r="I311" s="790">
        <v>1209</v>
      </c>
      <c r="J311" s="796">
        <f t="shared" si="9"/>
        <v>0.23797387703090156</v>
      </c>
    </row>
    <row r="312" spans="1:10">
      <c r="A312" s="322" t="s">
        <v>90</v>
      </c>
      <c r="B312" s="793">
        <v>44179</v>
      </c>
      <c r="C312" s="790">
        <f t="shared" si="8"/>
        <v>2911</v>
      </c>
      <c r="D312" s="790">
        <v>114</v>
      </c>
      <c r="E312" s="790">
        <v>1048</v>
      </c>
      <c r="F312" s="790">
        <v>1863</v>
      </c>
      <c r="G312" s="790">
        <v>197</v>
      </c>
      <c r="H312" s="790">
        <v>1681</v>
      </c>
      <c r="I312" s="790">
        <v>935</v>
      </c>
      <c r="J312" s="796">
        <f t="shared" si="9"/>
        <v>0.39899892742223808</v>
      </c>
    </row>
    <row r="313" spans="1:10">
      <c r="A313" s="322" t="s">
        <v>91</v>
      </c>
      <c r="B313" s="793">
        <v>44180</v>
      </c>
      <c r="C313" s="790">
        <f t="shared" si="8"/>
        <v>2639</v>
      </c>
      <c r="D313" s="790">
        <v>31</v>
      </c>
      <c r="E313" s="790">
        <v>914</v>
      </c>
      <c r="F313" s="790">
        <v>1725</v>
      </c>
      <c r="G313" s="790">
        <v>275</v>
      </c>
      <c r="H313" s="790">
        <v>1872</v>
      </c>
      <c r="I313" s="790">
        <v>1160</v>
      </c>
      <c r="J313" s="796">
        <f t="shared" si="9"/>
        <v>0.28220858895705525</v>
      </c>
    </row>
    <row r="314" spans="1:10">
      <c r="A314" s="322" t="s">
        <v>93</v>
      </c>
      <c r="B314" s="793">
        <v>44181</v>
      </c>
      <c r="C314" s="790">
        <f t="shared" si="8"/>
        <v>4886</v>
      </c>
      <c r="D314" s="790">
        <v>293</v>
      </c>
      <c r="E314" s="790">
        <v>1577</v>
      </c>
      <c r="F314" s="790">
        <v>3309</v>
      </c>
      <c r="G314" s="790">
        <v>332</v>
      </c>
      <c r="H314" s="790">
        <v>3481</v>
      </c>
      <c r="I314" s="790">
        <v>2092</v>
      </c>
      <c r="J314" s="796">
        <f t="shared" si="9"/>
        <v>0.24210755497496195</v>
      </c>
    </row>
    <row r="315" spans="1:10">
      <c r="A315" s="322" t="s">
        <v>94</v>
      </c>
      <c r="B315" s="793">
        <v>44182</v>
      </c>
      <c r="C315" s="790">
        <f t="shared" si="8"/>
        <v>1337</v>
      </c>
      <c r="D315" s="790">
        <v>27</v>
      </c>
      <c r="E315" s="790">
        <v>489</v>
      </c>
      <c r="F315" s="790">
        <v>848</v>
      </c>
      <c r="G315" s="790">
        <v>148</v>
      </c>
      <c r="H315" s="790">
        <v>986</v>
      </c>
      <c r="I315" s="790">
        <v>555</v>
      </c>
      <c r="J315" s="796">
        <f t="shared" si="9"/>
        <v>0.24732824427480915</v>
      </c>
    </row>
    <row r="316" spans="1:10">
      <c r="A316" s="322" t="s">
        <v>92</v>
      </c>
      <c r="B316" s="793">
        <v>44183</v>
      </c>
      <c r="C316" s="790">
        <f t="shared" si="8"/>
        <v>12788</v>
      </c>
      <c r="D316" s="790">
        <v>273</v>
      </c>
      <c r="E316" s="790">
        <v>4331</v>
      </c>
      <c r="F316" s="790">
        <v>8457</v>
      </c>
      <c r="G316" s="790">
        <v>995</v>
      </c>
      <c r="H316" s="790">
        <v>9314</v>
      </c>
      <c r="I316" s="790">
        <v>5742</v>
      </c>
      <c r="J316" s="796">
        <f t="shared" si="9"/>
        <v>0.2557730723132241</v>
      </c>
    </row>
    <row r="317" spans="1:10">
      <c r="A317" s="322" t="s">
        <v>95</v>
      </c>
      <c r="B317" s="793">
        <v>44184</v>
      </c>
      <c r="C317" s="790">
        <f t="shared" si="8"/>
        <v>20366</v>
      </c>
      <c r="D317" s="790">
        <v>2534</v>
      </c>
      <c r="E317" s="790">
        <v>8385</v>
      </c>
      <c r="F317" s="790">
        <v>11981</v>
      </c>
      <c r="G317" s="790">
        <v>614</v>
      </c>
      <c r="H317" s="790">
        <v>12365</v>
      </c>
      <c r="I317" s="790">
        <v>8189</v>
      </c>
      <c r="J317" s="796">
        <f t="shared" si="9"/>
        <v>0.3065836698070884</v>
      </c>
    </row>
    <row r="318" spans="1:10">
      <c r="A318" s="322" t="s">
        <v>96</v>
      </c>
      <c r="B318" s="793">
        <v>44185</v>
      </c>
      <c r="C318" s="790">
        <f t="shared" si="8"/>
        <v>2487</v>
      </c>
      <c r="D318" s="790">
        <v>34</v>
      </c>
      <c r="E318" s="790">
        <v>668</v>
      </c>
      <c r="F318" s="790">
        <v>1819</v>
      </c>
      <c r="G318" s="790">
        <v>191</v>
      </c>
      <c r="H318" s="790">
        <v>1695</v>
      </c>
      <c r="I318" s="790">
        <v>1010</v>
      </c>
      <c r="J318" s="796">
        <f t="shared" si="9"/>
        <v>0.30900937627395031</v>
      </c>
    </row>
    <row r="319" spans="1:10">
      <c r="A319" s="322" t="s">
        <v>98</v>
      </c>
      <c r="B319" s="793">
        <v>44186</v>
      </c>
      <c r="C319" s="790">
        <f t="shared" si="8"/>
        <v>1224</v>
      </c>
      <c r="D319" s="790">
        <v>6</v>
      </c>
      <c r="E319" s="790">
        <v>534</v>
      </c>
      <c r="F319" s="790">
        <v>690</v>
      </c>
      <c r="G319" s="790">
        <v>146</v>
      </c>
      <c r="H319" s="790">
        <v>844</v>
      </c>
      <c r="I319" s="790">
        <v>482</v>
      </c>
      <c r="J319" s="796">
        <f t="shared" si="9"/>
        <v>0.30706075533661736</v>
      </c>
    </row>
    <row r="320" spans="1:10">
      <c r="A320" s="322" t="s">
        <v>99</v>
      </c>
      <c r="B320" s="793">
        <v>44187</v>
      </c>
      <c r="C320" s="790">
        <f t="shared" si="8"/>
        <v>223</v>
      </c>
      <c r="D320" s="790">
        <v>7</v>
      </c>
      <c r="E320" s="790">
        <v>89</v>
      </c>
      <c r="F320" s="790">
        <v>134</v>
      </c>
      <c r="G320" s="790">
        <v>13</v>
      </c>
      <c r="H320" s="790">
        <v>129</v>
      </c>
      <c r="I320" s="790">
        <v>82</v>
      </c>
      <c r="J320" s="796">
        <f t="shared" si="9"/>
        <v>0.40277777777777779</v>
      </c>
    </row>
    <row r="321" spans="1:10">
      <c r="A321" s="322" t="s">
        <v>97</v>
      </c>
      <c r="B321" s="793">
        <v>44188</v>
      </c>
      <c r="C321" s="790">
        <f t="shared" si="8"/>
        <v>16438</v>
      </c>
      <c r="D321" s="790">
        <v>636</v>
      </c>
      <c r="E321" s="790">
        <v>5579</v>
      </c>
      <c r="F321" s="790">
        <v>10859</v>
      </c>
      <c r="G321" s="790">
        <v>989</v>
      </c>
      <c r="H321" s="790">
        <v>11827</v>
      </c>
      <c r="I321" s="790">
        <v>7526</v>
      </c>
      <c r="J321" s="796">
        <f t="shared" si="9"/>
        <v>0.25155043665358812</v>
      </c>
    </row>
    <row r="322" spans="1:10">
      <c r="A322" s="322" t="s">
        <v>100</v>
      </c>
      <c r="B322" s="793">
        <v>44189</v>
      </c>
      <c r="C322" s="790">
        <f t="shared" si="8"/>
        <v>10476</v>
      </c>
      <c r="D322" s="790">
        <v>156</v>
      </c>
      <c r="E322" s="790">
        <v>3421</v>
      </c>
      <c r="F322" s="790">
        <v>7055</v>
      </c>
      <c r="G322" s="790">
        <v>719</v>
      </c>
      <c r="H322" s="790">
        <v>7796</v>
      </c>
      <c r="I322" s="790">
        <v>4825</v>
      </c>
      <c r="J322" s="796">
        <f t="shared" si="9"/>
        <v>0.24457364341085275</v>
      </c>
    </row>
    <row r="323" spans="1:10">
      <c r="A323" s="322" t="s">
        <v>102</v>
      </c>
      <c r="B323" s="793">
        <v>44190</v>
      </c>
      <c r="C323" s="790">
        <f t="shared" ref="C323:C386" si="10">E323+F323</f>
        <v>1444</v>
      </c>
      <c r="D323" s="790">
        <v>24</v>
      </c>
      <c r="E323" s="790">
        <v>562</v>
      </c>
      <c r="F323" s="790">
        <v>882</v>
      </c>
      <c r="G323" s="790">
        <v>126</v>
      </c>
      <c r="H323" s="790">
        <v>1014</v>
      </c>
      <c r="I323" s="790">
        <v>617</v>
      </c>
      <c r="J323" s="796">
        <f t="shared" ref="J323:J386" si="11">1-(H323/(C323-D323))</f>
        <v>0.28591549295774643</v>
      </c>
    </row>
    <row r="324" spans="1:10">
      <c r="A324" s="322" t="s">
        <v>101</v>
      </c>
      <c r="B324" s="793">
        <v>44191</v>
      </c>
      <c r="C324" s="790">
        <f t="shared" si="10"/>
        <v>61253</v>
      </c>
      <c r="D324" s="790">
        <v>3042</v>
      </c>
      <c r="E324" s="790">
        <v>22802</v>
      </c>
      <c r="F324" s="790">
        <v>38451</v>
      </c>
      <c r="G324" s="790">
        <v>2977</v>
      </c>
      <c r="H324" s="790">
        <v>42598</v>
      </c>
      <c r="I324" s="790">
        <v>26608</v>
      </c>
      <c r="J324" s="796">
        <f t="shared" si="11"/>
        <v>0.26821391146003337</v>
      </c>
    </row>
    <row r="325" spans="1:10">
      <c r="A325" s="322" t="s">
        <v>103</v>
      </c>
      <c r="B325" s="793">
        <v>44192</v>
      </c>
      <c r="C325" s="790">
        <f t="shared" si="10"/>
        <v>751</v>
      </c>
      <c r="D325" s="790">
        <v>11</v>
      </c>
      <c r="E325" s="790">
        <v>312</v>
      </c>
      <c r="F325" s="790">
        <v>439</v>
      </c>
      <c r="G325" s="790">
        <v>62</v>
      </c>
      <c r="H325" s="790">
        <v>542</v>
      </c>
      <c r="I325" s="790">
        <v>277</v>
      </c>
      <c r="J325" s="796">
        <f t="shared" si="11"/>
        <v>0.26756756756756761</v>
      </c>
    </row>
    <row r="326" spans="1:10">
      <c r="A326" s="322" t="s">
        <v>77</v>
      </c>
      <c r="B326" s="793">
        <v>44197</v>
      </c>
      <c r="C326" s="790">
        <f t="shared" si="10"/>
        <v>624</v>
      </c>
      <c r="D326" s="790">
        <v>7</v>
      </c>
      <c r="E326" s="790">
        <v>339</v>
      </c>
      <c r="F326" s="790">
        <v>285</v>
      </c>
      <c r="G326" s="790">
        <v>3</v>
      </c>
      <c r="H326" s="790">
        <v>63</v>
      </c>
      <c r="I326" s="790">
        <v>47</v>
      </c>
      <c r="J326" s="796">
        <f t="shared" si="11"/>
        <v>0.89789303079416527</v>
      </c>
    </row>
    <row r="327" spans="1:10">
      <c r="A327" s="322" t="s">
        <v>78</v>
      </c>
      <c r="B327" s="793">
        <v>44197</v>
      </c>
      <c r="C327" s="790">
        <f t="shared" si="10"/>
        <v>1963</v>
      </c>
      <c r="D327" s="790">
        <v>58</v>
      </c>
      <c r="E327" s="790">
        <v>533</v>
      </c>
      <c r="F327" s="790">
        <v>1430</v>
      </c>
      <c r="G327" s="790">
        <v>14</v>
      </c>
      <c r="H327" s="790">
        <v>276</v>
      </c>
      <c r="I327" s="790">
        <v>215</v>
      </c>
      <c r="J327" s="796">
        <f t="shared" si="11"/>
        <v>0.85511811023622042</v>
      </c>
    </row>
    <row r="328" spans="1:10">
      <c r="A328" s="322" t="s">
        <v>80</v>
      </c>
      <c r="B328" s="793">
        <v>44197</v>
      </c>
      <c r="C328" s="790">
        <f t="shared" si="10"/>
        <v>1744</v>
      </c>
      <c r="D328" s="790">
        <v>13</v>
      </c>
      <c r="E328" s="790">
        <v>684</v>
      </c>
      <c r="F328" s="790">
        <v>1060</v>
      </c>
      <c r="G328" s="790">
        <v>11</v>
      </c>
      <c r="H328" s="790">
        <v>152</v>
      </c>
      <c r="I328" s="790">
        <v>103</v>
      </c>
      <c r="J328" s="796">
        <f t="shared" si="11"/>
        <v>0.91218948584633164</v>
      </c>
    </row>
    <row r="329" spans="1:10">
      <c r="A329" s="322" t="s">
        <v>79</v>
      </c>
      <c r="B329" s="793">
        <v>44197</v>
      </c>
      <c r="C329" s="790">
        <f t="shared" si="10"/>
        <v>757</v>
      </c>
      <c r="D329" s="790">
        <v>7</v>
      </c>
      <c r="E329" s="790">
        <v>414</v>
      </c>
      <c r="F329" s="790">
        <v>343</v>
      </c>
      <c r="G329" s="790">
        <v>3</v>
      </c>
      <c r="H329" s="790">
        <v>87</v>
      </c>
      <c r="I329" s="790">
        <v>65</v>
      </c>
      <c r="J329" s="796">
        <f t="shared" si="11"/>
        <v>0.88400000000000001</v>
      </c>
    </row>
    <row r="330" spans="1:10">
      <c r="A330" s="322" t="s">
        <v>81</v>
      </c>
      <c r="B330" s="793">
        <v>44197</v>
      </c>
      <c r="C330" s="790">
        <f t="shared" si="10"/>
        <v>6531</v>
      </c>
      <c r="D330" s="790">
        <v>770</v>
      </c>
      <c r="E330" s="790">
        <v>2474</v>
      </c>
      <c r="F330" s="790">
        <v>4057</v>
      </c>
      <c r="G330" s="790">
        <v>42</v>
      </c>
      <c r="H330" s="790">
        <v>831</v>
      </c>
      <c r="I330" s="790">
        <v>647</v>
      </c>
      <c r="J330" s="796">
        <f t="shared" si="11"/>
        <v>0.85575420933865654</v>
      </c>
    </row>
    <row r="331" spans="1:10">
      <c r="A331" s="322" t="s">
        <v>82</v>
      </c>
      <c r="B331" s="793">
        <v>44197</v>
      </c>
      <c r="C331" s="790">
        <f t="shared" si="10"/>
        <v>3885</v>
      </c>
      <c r="D331" s="790">
        <v>151</v>
      </c>
      <c r="E331" s="790">
        <v>1535</v>
      </c>
      <c r="F331" s="790">
        <v>2350</v>
      </c>
      <c r="G331" s="790">
        <v>77</v>
      </c>
      <c r="H331" s="790">
        <v>699</v>
      </c>
      <c r="I331" s="790">
        <v>556</v>
      </c>
      <c r="J331" s="796">
        <f t="shared" si="11"/>
        <v>0.81280128548473485</v>
      </c>
    </row>
    <row r="332" spans="1:10">
      <c r="A332" s="322" t="s">
        <v>83</v>
      </c>
      <c r="B332" s="793">
        <v>44197</v>
      </c>
      <c r="C332" s="790">
        <f t="shared" si="10"/>
        <v>6209</v>
      </c>
      <c r="D332" s="790">
        <v>471</v>
      </c>
      <c r="E332" s="790">
        <v>2239</v>
      </c>
      <c r="F332" s="790">
        <v>3970</v>
      </c>
      <c r="G332" s="790">
        <v>23</v>
      </c>
      <c r="H332" s="790">
        <v>906</v>
      </c>
      <c r="I332" s="790">
        <v>702</v>
      </c>
      <c r="J332" s="796">
        <f t="shared" si="11"/>
        <v>0.84210526315789469</v>
      </c>
    </row>
    <row r="333" spans="1:10">
      <c r="A333" s="322" t="s">
        <v>84</v>
      </c>
      <c r="B333" s="793">
        <v>44197</v>
      </c>
      <c r="C333" s="790">
        <f t="shared" si="10"/>
        <v>3586</v>
      </c>
      <c r="D333" s="790">
        <v>77</v>
      </c>
      <c r="E333" s="790">
        <v>979</v>
      </c>
      <c r="F333" s="790">
        <v>2607</v>
      </c>
      <c r="G333" s="790">
        <v>60</v>
      </c>
      <c r="H333" s="790">
        <v>648</v>
      </c>
      <c r="I333" s="790">
        <v>530</v>
      </c>
      <c r="J333" s="796">
        <f t="shared" si="11"/>
        <v>0.81533200341977774</v>
      </c>
    </row>
    <row r="334" spans="1:10">
      <c r="A334" s="322" t="s">
        <v>85</v>
      </c>
      <c r="B334" s="793">
        <v>44197</v>
      </c>
      <c r="C334" s="790">
        <f t="shared" si="10"/>
        <v>4726</v>
      </c>
      <c r="D334" s="790">
        <v>207</v>
      </c>
      <c r="E334" s="790">
        <v>1525</v>
      </c>
      <c r="F334" s="790">
        <v>3201</v>
      </c>
      <c r="G334" s="790">
        <v>16</v>
      </c>
      <c r="H334" s="790">
        <v>676</v>
      </c>
      <c r="I334" s="790">
        <v>506</v>
      </c>
      <c r="J334" s="796">
        <f t="shared" si="11"/>
        <v>0.85040938260677135</v>
      </c>
    </row>
    <row r="335" spans="1:10">
      <c r="A335" s="322" t="s">
        <v>86</v>
      </c>
      <c r="B335" s="793">
        <v>44197</v>
      </c>
      <c r="C335" s="790">
        <f t="shared" si="10"/>
        <v>1802</v>
      </c>
      <c r="D335" s="790">
        <v>23</v>
      </c>
      <c r="E335" s="790">
        <v>726</v>
      </c>
      <c r="F335" s="790">
        <v>1076</v>
      </c>
      <c r="G335" s="790">
        <v>38</v>
      </c>
      <c r="H335" s="790">
        <v>189</v>
      </c>
      <c r="I335" s="790">
        <v>137</v>
      </c>
      <c r="J335" s="796">
        <f t="shared" si="11"/>
        <v>0.89376053962900504</v>
      </c>
    </row>
    <row r="336" spans="1:10">
      <c r="A336" s="322" t="s">
        <v>89</v>
      </c>
      <c r="B336" s="793">
        <v>44197</v>
      </c>
      <c r="C336" s="790">
        <f t="shared" si="10"/>
        <v>15657</v>
      </c>
      <c r="D336" s="790">
        <v>656</v>
      </c>
      <c r="E336" s="790">
        <v>4832</v>
      </c>
      <c r="F336" s="790">
        <v>10825</v>
      </c>
      <c r="G336" s="790">
        <v>85</v>
      </c>
      <c r="H336" s="790">
        <v>3008</v>
      </c>
      <c r="I336" s="790">
        <v>2346</v>
      </c>
      <c r="J336" s="796">
        <f t="shared" si="11"/>
        <v>0.79948003466435569</v>
      </c>
    </row>
    <row r="337" spans="1:10">
      <c r="A337" s="322" t="s">
        <v>88</v>
      </c>
      <c r="B337" s="793">
        <v>44197</v>
      </c>
      <c r="C337" s="790">
        <f t="shared" si="10"/>
        <v>3273</v>
      </c>
      <c r="D337" s="790">
        <v>66</v>
      </c>
      <c r="E337" s="790">
        <v>1256</v>
      </c>
      <c r="F337" s="790">
        <v>2017</v>
      </c>
      <c r="G337" s="790">
        <v>1</v>
      </c>
      <c r="H337" s="790">
        <v>428</v>
      </c>
      <c r="I337" s="790">
        <v>323</v>
      </c>
      <c r="J337" s="796">
        <f t="shared" si="11"/>
        <v>0.86654193950732772</v>
      </c>
    </row>
    <row r="338" spans="1:10">
      <c r="A338" s="322" t="s">
        <v>87</v>
      </c>
      <c r="B338" s="793">
        <v>44197</v>
      </c>
      <c r="C338" s="790">
        <f t="shared" si="10"/>
        <v>3186</v>
      </c>
      <c r="D338" s="790">
        <v>48</v>
      </c>
      <c r="E338" s="790">
        <v>1071</v>
      </c>
      <c r="F338" s="790">
        <v>2115</v>
      </c>
      <c r="G338" s="790">
        <v>0</v>
      </c>
      <c r="H338" s="790">
        <v>447</v>
      </c>
      <c r="I338" s="790">
        <v>339</v>
      </c>
      <c r="J338" s="796">
        <f t="shared" si="11"/>
        <v>0.85755258126195022</v>
      </c>
    </row>
    <row r="339" spans="1:10">
      <c r="A339" s="322" t="s">
        <v>90</v>
      </c>
      <c r="B339" s="793">
        <v>44197</v>
      </c>
      <c r="C339" s="790">
        <f t="shared" si="10"/>
        <v>2898</v>
      </c>
      <c r="D339" s="790">
        <v>159</v>
      </c>
      <c r="E339" s="790">
        <v>1046</v>
      </c>
      <c r="F339" s="790">
        <v>1852</v>
      </c>
      <c r="G339" s="790">
        <v>4</v>
      </c>
      <c r="H339" s="790">
        <v>309</v>
      </c>
      <c r="I339" s="790">
        <v>224</v>
      </c>
      <c r="J339" s="796">
        <f t="shared" si="11"/>
        <v>0.88718510405257389</v>
      </c>
    </row>
    <row r="340" spans="1:10">
      <c r="A340" s="322" t="s">
        <v>91</v>
      </c>
      <c r="B340" s="793">
        <v>44197</v>
      </c>
      <c r="C340" s="790">
        <f t="shared" si="10"/>
        <v>2665</v>
      </c>
      <c r="D340" s="790">
        <v>52</v>
      </c>
      <c r="E340" s="790">
        <v>925</v>
      </c>
      <c r="F340" s="790">
        <v>1740</v>
      </c>
      <c r="G340" s="790">
        <v>37</v>
      </c>
      <c r="H340" s="790">
        <v>398</v>
      </c>
      <c r="I340" s="790">
        <v>303</v>
      </c>
      <c r="J340" s="796">
        <f t="shared" si="11"/>
        <v>0.84768465365480294</v>
      </c>
    </row>
    <row r="341" spans="1:10">
      <c r="A341" s="322" t="s">
        <v>93</v>
      </c>
      <c r="B341" s="793">
        <v>44197</v>
      </c>
      <c r="C341" s="790">
        <f t="shared" si="10"/>
        <v>4918</v>
      </c>
      <c r="D341" s="790">
        <v>325</v>
      </c>
      <c r="E341" s="790">
        <v>1580</v>
      </c>
      <c r="F341" s="790">
        <v>3338</v>
      </c>
      <c r="G341" s="790">
        <v>56</v>
      </c>
      <c r="H341" s="790">
        <v>797</v>
      </c>
      <c r="I341" s="790">
        <v>628</v>
      </c>
      <c r="J341" s="796">
        <f t="shared" si="11"/>
        <v>0.82647507075985194</v>
      </c>
    </row>
    <row r="342" spans="1:10">
      <c r="A342" s="322" t="s">
        <v>94</v>
      </c>
      <c r="B342" s="793">
        <v>44197</v>
      </c>
      <c r="C342" s="790">
        <f t="shared" si="10"/>
        <v>1336</v>
      </c>
      <c r="D342" s="790">
        <v>35</v>
      </c>
      <c r="E342" s="790">
        <v>486</v>
      </c>
      <c r="F342" s="790">
        <v>850</v>
      </c>
      <c r="G342" s="790">
        <v>13</v>
      </c>
      <c r="H342" s="790">
        <v>231</v>
      </c>
      <c r="I342" s="790">
        <v>168</v>
      </c>
      <c r="J342" s="796">
        <f t="shared" si="11"/>
        <v>0.82244427363566486</v>
      </c>
    </row>
    <row r="343" spans="1:10">
      <c r="A343" s="322" t="s">
        <v>92</v>
      </c>
      <c r="B343" s="793">
        <v>44197</v>
      </c>
      <c r="C343" s="790">
        <f t="shared" si="10"/>
        <v>12763</v>
      </c>
      <c r="D343" s="790">
        <v>401</v>
      </c>
      <c r="E343" s="790">
        <v>4318</v>
      </c>
      <c r="F343" s="790">
        <v>8445</v>
      </c>
      <c r="G343" s="790">
        <v>22</v>
      </c>
      <c r="H343" s="790">
        <v>2275</v>
      </c>
      <c r="I343" s="790">
        <v>1765</v>
      </c>
      <c r="J343" s="796">
        <f t="shared" si="11"/>
        <v>0.81596828992072479</v>
      </c>
    </row>
    <row r="344" spans="1:10">
      <c r="A344" s="322" t="s">
        <v>95</v>
      </c>
      <c r="B344" s="793">
        <v>44197</v>
      </c>
      <c r="C344" s="790">
        <f t="shared" si="10"/>
        <v>20371</v>
      </c>
      <c r="D344" s="790">
        <v>3510</v>
      </c>
      <c r="E344" s="790">
        <v>8394</v>
      </c>
      <c r="F344" s="790">
        <v>11977</v>
      </c>
      <c r="G344" s="790">
        <v>75</v>
      </c>
      <c r="H344" s="790">
        <v>2715</v>
      </c>
      <c r="I344" s="790">
        <v>2244</v>
      </c>
      <c r="J344" s="796">
        <f t="shared" si="11"/>
        <v>0.83897752209240262</v>
      </c>
    </row>
    <row r="345" spans="1:10">
      <c r="A345" s="322" t="s">
        <v>96</v>
      </c>
      <c r="B345" s="793">
        <v>44197</v>
      </c>
      <c r="C345" s="790">
        <f t="shared" si="10"/>
        <v>2492</v>
      </c>
      <c r="D345" s="790">
        <v>47</v>
      </c>
      <c r="E345" s="790">
        <v>670</v>
      </c>
      <c r="F345" s="790">
        <v>1822</v>
      </c>
      <c r="G345" s="790">
        <v>5</v>
      </c>
      <c r="H345" s="790">
        <v>268</v>
      </c>
      <c r="I345" s="790">
        <v>201</v>
      </c>
      <c r="J345" s="796">
        <f t="shared" si="11"/>
        <v>0.89038854805725975</v>
      </c>
    </row>
    <row r="346" spans="1:10">
      <c r="A346" s="322" t="s">
        <v>98</v>
      </c>
      <c r="B346" s="793">
        <v>44197</v>
      </c>
      <c r="C346" s="790">
        <f t="shared" si="10"/>
        <v>1225</v>
      </c>
      <c r="D346" s="790">
        <v>9</v>
      </c>
      <c r="E346" s="790">
        <v>537</v>
      </c>
      <c r="F346" s="790">
        <v>688</v>
      </c>
      <c r="G346" s="790">
        <v>12</v>
      </c>
      <c r="H346" s="790">
        <v>159</v>
      </c>
      <c r="I346" s="790">
        <v>112</v>
      </c>
      <c r="J346" s="796">
        <f t="shared" si="11"/>
        <v>0.86924342105263164</v>
      </c>
    </row>
    <row r="347" spans="1:10">
      <c r="A347" s="322" t="s">
        <v>99</v>
      </c>
      <c r="B347" s="793">
        <v>44197</v>
      </c>
      <c r="C347" s="790">
        <f t="shared" si="10"/>
        <v>223</v>
      </c>
      <c r="D347" s="790">
        <v>8</v>
      </c>
      <c r="E347" s="790">
        <v>90</v>
      </c>
      <c r="F347" s="790">
        <v>133</v>
      </c>
      <c r="G347" s="790">
        <v>0</v>
      </c>
      <c r="H347" s="790">
        <v>14</v>
      </c>
      <c r="I347" s="790">
        <v>8</v>
      </c>
      <c r="J347" s="796">
        <f t="shared" si="11"/>
        <v>0.93488372093023253</v>
      </c>
    </row>
    <row r="348" spans="1:10">
      <c r="A348" s="322" t="s">
        <v>97</v>
      </c>
      <c r="B348" s="793">
        <v>44197</v>
      </c>
      <c r="C348" s="790">
        <f t="shared" si="10"/>
        <v>16440</v>
      </c>
      <c r="D348" s="790">
        <v>902</v>
      </c>
      <c r="E348" s="790">
        <v>5580</v>
      </c>
      <c r="F348" s="790">
        <v>10860</v>
      </c>
      <c r="G348" s="790">
        <v>66</v>
      </c>
      <c r="H348" s="790">
        <v>2278</v>
      </c>
      <c r="I348" s="790">
        <v>1833</v>
      </c>
      <c r="J348" s="796">
        <f t="shared" si="11"/>
        <v>0.85339168490153172</v>
      </c>
    </row>
    <row r="349" spans="1:10">
      <c r="A349" s="322" t="s">
        <v>100</v>
      </c>
      <c r="B349" s="793">
        <v>44197</v>
      </c>
      <c r="C349" s="790">
        <f t="shared" si="10"/>
        <v>10520</v>
      </c>
      <c r="D349" s="790">
        <v>236</v>
      </c>
      <c r="E349" s="790">
        <v>3434</v>
      </c>
      <c r="F349" s="790">
        <v>7086</v>
      </c>
      <c r="G349" s="790">
        <v>73</v>
      </c>
      <c r="H349" s="790">
        <v>1694</v>
      </c>
      <c r="I349" s="790">
        <v>1305</v>
      </c>
      <c r="J349" s="796">
        <f t="shared" si="11"/>
        <v>0.83527810190587326</v>
      </c>
    </row>
    <row r="350" spans="1:10">
      <c r="A350" s="322" t="s">
        <v>102</v>
      </c>
      <c r="B350" s="793">
        <v>44197</v>
      </c>
      <c r="C350" s="790">
        <f t="shared" si="10"/>
        <v>1428</v>
      </c>
      <c r="D350" s="790">
        <v>31</v>
      </c>
      <c r="E350" s="790">
        <v>554</v>
      </c>
      <c r="F350" s="790">
        <v>874</v>
      </c>
      <c r="G350" s="790">
        <v>1</v>
      </c>
      <c r="H350" s="790">
        <v>191</v>
      </c>
      <c r="I350" s="790">
        <v>136</v>
      </c>
      <c r="J350" s="796">
        <f t="shared" si="11"/>
        <v>0.86327845382963497</v>
      </c>
    </row>
    <row r="351" spans="1:10">
      <c r="A351" s="322" t="s">
        <v>101</v>
      </c>
      <c r="B351" s="793">
        <v>44197</v>
      </c>
      <c r="C351" s="790">
        <f t="shared" si="10"/>
        <v>61091</v>
      </c>
      <c r="D351" s="790">
        <v>5482</v>
      </c>
      <c r="E351" s="790">
        <v>22772</v>
      </c>
      <c r="F351" s="790">
        <v>38319</v>
      </c>
      <c r="G351" s="790">
        <v>302</v>
      </c>
      <c r="H351" s="790">
        <v>9342</v>
      </c>
      <c r="I351" s="790">
        <v>7212</v>
      </c>
      <c r="J351" s="796">
        <f t="shared" si="11"/>
        <v>0.83200561060260037</v>
      </c>
    </row>
    <row r="352" spans="1:10">
      <c r="A352" s="322" t="s">
        <v>103</v>
      </c>
      <c r="B352" s="793">
        <v>44197</v>
      </c>
      <c r="C352" s="790">
        <f t="shared" si="10"/>
        <v>754</v>
      </c>
      <c r="D352" s="790">
        <v>14</v>
      </c>
      <c r="E352" s="790">
        <v>315</v>
      </c>
      <c r="F352" s="790">
        <v>439</v>
      </c>
      <c r="G352" s="790">
        <v>8</v>
      </c>
      <c r="H352" s="790">
        <v>89</v>
      </c>
      <c r="I352" s="790">
        <v>65</v>
      </c>
      <c r="J352" s="796">
        <f t="shared" si="11"/>
        <v>0.87972972972972974</v>
      </c>
    </row>
    <row r="353" spans="1:10">
      <c r="A353" s="322" t="s">
        <v>77</v>
      </c>
      <c r="B353" s="793">
        <v>44228</v>
      </c>
      <c r="C353" s="790">
        <f t="shared" si="10"/>
        <v>614</v>
      </c>
      <c r="D353" s="790">
        <v>7</v>
      </c>
      <c r="E353" s="790">
        <v>329</v>
      </c>
      <c r="F353" s="790">
        <v>285</v>
      </c>
      <c r="G353" s="790">
        <v>2</v>
      </c>
      <c r="H353" s="790">
        <v>119</v>
      </c>
      <c r="I353" s="790">
        <v>72</v>
      </c>
      <c r="J353" s="796">
        <f t="shared" si="11"/>
        <v>0.8039538714991763</v>
      </c>
    </row>
    <row r="354" spans="1:10">
      <c r="A354" s="322" t="s">
        <v>78</v>
      </c>
      <c r="B354" s="793">
        <v>44229</v>
      </c>
      <c r="C354" s="790">
        <f t="shared" si="10"/>
        <v>1994</v>
      </c>
      <c r="D354" s="790">
        <v>58</v>
      </c>
      <c r="E354" s="790">
        <v>546</v>
      </c>
      <c r="F354" s="790">
        <v>1448</v>
      </c>
      <c r="G354" s="790">
        <v>39</v>
      </c>
      <c r="H354" s="790">
        <v>632</v>
      </c>
      <c r="I354" s="790">
        <v>465</v>
      </c>
      <c r="J354" s="796">
        <f t="shared" si="11"/>
        <v>0.67355371900826444</v>
      </c>
    </row>
    <row r="355" spans="1:10">
      <c r="A355" s="322" t="s">
        <v>80</v>
      </c>
      <c r="B355" s="793">
        <v>44230</v>
      </c>
      <c r="C355" s="790">
        <f t="shared" si="10"/>
        <v>1760</v>
      </c>
      <c r="D355" s="790">
        <v>13</v>
      </c>
      <c r="E355" s="790">
        <v>693</v>
      </c>
      <c r="F355" s="790">
        <v>1067</v>
      </c>
      <c r="G355" s="790">
        <v>15</v>
      </c>
      <c r="H355" s="790">
        <v>341</v>
      </c>
      <c r="I355" s="790">
        <v>212</v>
      </c>
      <c r="J355" s="796">
        <f t="shared" si="11"/>
        <v>0.80480824270177442</v>
      </c>
    </row>
    <row r="356" spans="1:10">
      <c r="A356" s="322" t="s">
        <v>79</v>
      </c>
      <c r="B356" s="793">
        <v>44231</v>
      </c>
      <c r="C356" s="790">
        <f t="shared" si="10"/>
        <v>765</v>
      </c>
      <c r="D356" s="790">
        <v>7</v>
      </c>
      <c r="E356" s="790">
        <v>420</v>
      </c>
      <c r="F356" s="790">
        <v>345</v>
      </c>
      <c r="G356" s="790">
        <v>10</v>
      </c>
      <c r="H356" s="790">
        <v>158</v>
      </c>
      <c r="I356" s="790">
        <v>98</v>
      </c>
      <c r="J356" s="796">
        <f t="shared" si="11"/>
        <v>0.79155672823219003</v>
      </c>
    </row>
    <row r="357" spans="1:10">
      <c r="A357" s="322" t="s">
        <v>81</v>
      </c>
      <c r="B357" s="793">
        <v>44232</v>
      </c>
      <c r="C357" s="790">
        <f t="shared" si="10"/>
        <v>6550</v>
      </c>
      <c r="D357" s="790">
        <v>771</v>
      </c>
      <c r="E357" s="790">
        <v>2490</v>
      </c>
      <c r="F357" s="790">
        <v>4060</v>
      </c>
      <c r="G357" s="790">
        <v>65</v>
      </c>
      <c r="H357" s="790">
        <v>1777</v>
      </c>
      <c r="I357" s="790">
        <v>1225</v>
      </c>
      <c r="J357" s="796">
        <f t="shared" si="11"/>
        <v>0.69250735421353182</v>
      </c>
    </row>
    <row r="358" spans="1:10">
      <c r="A358" s="322" t="s">
        <v>82</v>
      </c>
      <c r="B358" s="793">
        <v>44233</v>
      </c>
      <c r="C358" s="790">
        <f t="shared" si="10"/>
        <v>3957</v>
      </c>
      <c r="D358" s="790">
        <v>151</v>
      </c>
      <c r="E358" s="790">
        <v>1553</v>
      </c>
      <c r="F358" s="790">
        <v>2404</v>
      </c>
      <c r="G358" s="790">
        <v>136</v>
      </c>
      <c r="H358" s="790">
        <v>1335</v>
      </c>
      <c r="I358" s="790">
        <v>958</v>
      </c>
      <c r="J358" s="796">
        <f t="shared" si="11"/>
        <v>0.64923804519180239</v>
      </c>
    </row>
    <row r="359" spans="1:10">
      <c r="A359" s="322" t="s">
        <v>83</v>
      </c>
      <c r="B359" s="793">
        <v>44234</v>
      </c>
      <c r="C359" s="790">
        <f t="shared" si="10"/>
        <v>6259</v>
      </c>
      <c r="D359" s="790">
        <v>472</v>
      </c>
      <c r="E359" s="790">
        <v>2253</v>
      </c>
      <c r="F359" s="790">
        <v>4006</v>
      </c>
      <c r="G359" s="790">
        <v>89</v>
      </c>
      <c r="H359" s="790">
        <v>1962</v>
      </c>
      <c r="I359" s="790">
        <v>1418</v>
      </c>
      <c r="J359" s="796">
        <f t="shared" si="11"/>
        <v>0.66096423017107309</v>
      </c>
    </row>
    <row r="360" spans="1:10">
      <c r="A360" s="322" t="s">
        <v>84</v>
      </c>
      <c r="B360" s="793">
        <v>44235</v>
      </c>
      <c r="C360" s="790">
        <f t="shared" si="10"/>
        <v>3604</v>
      </c>
      <c r="D360" s="790">
        <v>77</v>
      </c>
      <c r="E360" s="790">
        <v>975</v>
      </c>
      <c r="F360" s="790">
        <v>2629</v>
      </c>
      <c r="G360" s="790">
        <v>79</v>
      </c>
      <c r="H360" s="790">
        <v>1463</v>
      </c>
      <c r="I360" s="790">
        <v>1069</v>
      </c>
      <c r="J360" s="796">
        <f t="shared" si="11"/>
        <v>0.58519988658916922</v>
      </c>
    </row>
    <row r="361" spans="1:10">
      <c r="A361" s="322" t="s">
        <v>85</v>
      </c>
      <c r="B361" s="793">
        <v>44236</v>
      </c>
      <c r="C361" s="790">
        <f t="shared" si="10"/>
        <v>4714</v>
      </c>
      <c r="D361" s="790">
        <v>207</v>
      </c>
      <c r="E361" s="790">
        <v>1523</v>
      </c>
      <c r="F361" s="790">
        <v>3191</v>
      </c>
      <c r="G361" s="790">
        <v>38</v>
      </c>
      <c r="H361" s="790">
        <v>1431</v>
      </c>
      <c r="I361" s="790">
        <v>988</v>
      </c>
      <c r="J361" s="796">
        <f t="shared" si="11"/>
        <v>0.68249389838029728</v>
      </c>
    </row>
    <row r="362" spans="1:10">
      <c r="A362" s="322" t="s">
        <v>86</v>
      </c>
      <c r="B362" s="793">
        <v>44237</v>
      </c>
      <c r="C362" s="790">
        <f t="shared" si="10"/>
        <v>1830</v>
      </c>
      <c r="D362" s="790">
        <v>23</v>
      </c>
      <c r="E362" s="790">
        <v>737</v>
      </c>
      <c r="F362" s="790">
        <v>1093</v>
      </c>
      <c r="G362" s="790">
        <v>46</v>
      </c>
      <c r="H362" s="790">
        <v>430</v>
      </c>
      <c r="I362" s="790">
        <v>279</v>
      </c>
      <c r="J362" s="796">
        <f t="shared" si="11"/>
        <v>0.76203652462645266</v>
      </c>
    </row>
    <row r="363" spans="1:10">
      <c r="A363" s="322" t="s">
        <v>89</v>
      </c>
      <c r="B363" s="793">
        <v>44238</v>
      </c>
      <c r="C363" s="790">
        <f t="shared" si="10"/>
        <v>15310</v>
      </c>
      <c r="D363" s="790">
        <v>656</v>
      </c>
      <c r="E363" s="790">
        <v>4722</v>
      </c>
      <c r="F363" s="790">
        <v>10588</v>
      </c>
      <c r="G363" s="790">
        <v>123</v>
      </c>
      <c r="H363" s="790">
        <v>5624</v>
      </c>
      <c r="I363" s="790">
        <v>3912</v>
      </c>
      <c r="J363" s="796">
        <f t="shared" si="11"/>
        <v>0.6162140030025931</v>
      </c>
    </row>
    <row r="364" spans="1:10">
      <c r="A364" s="322" t="s">
        <v>88</v>
      </c>
      <c r="B364" s="793">
        <v>44239</v>
      </c>
      <c r="C364" s="790">
        <f t="shared" si="10"/>
        <v>3174</v>
      </c>
      <c r="D364" s="790">
        <v>66</v>
      </c>
      <c r="E364" s="790">
        <v>1202</v>
      </c>
      <c r="F364" s="790">
        <v>1972</v>
      </c>
      <c r="G364" s="790">
        <v>28</v>
      </c>
      <c r="H364" s="790">
        <v>872</v>
      </c>
      <c r="I364" s="790">
        <v>580</v>
      </c>
      <c r="J364" s="796">
        <f t="shared" si="11"/>
        <v>0.71943371943371948</v>
      </c>
    </row>
    <row r="365" spans="1:10">
      <c r="A365" s="322" t="s">
        <v>87</v>
      </c>
      <c r="B365" s="793">
        <v>44240</v>
      </c>
      <c r="C365" s="790">
        <f t="shared" si="10"/>
        <v>3151</v>
      </c>
      <c r="D365" s="790">
        <v>49</v>
      </c>
      <c r="E365" s="790">
        <v>1055</v>
      </c>
      <c r="F365" s="790">
        <v>2096</v>
      </c>
      <c r="G365" s="790">
        <v>20</v>
      </c>
      <c r="H365" s="790">
        <v>928</v>
      </c>
      <c r="I365" s="790">
        <v>535</v>
      </c>
      <c r="J365" s="796">
        <f t="shared" si="11"/>
        <v>0.70083816892327533</v>
      </c>
    </row>
    <row r="366" spans="1:10">
      <c r="A366" s="322" t="s">
        <v>90</v>
      </c>
      <c r="B366" s="793">
        <v>44241</v>
      </c>
      <c r="C366" s="790">
        <f t="shared" si="10"/>
        <v>2895</v>
      </c>
      <c r="D366" s="790">
        <v>159</v>
      </c>
      <c r="E366" s="790">
        <v>1047</v>
      </c>
      <c r="F366" s="790">
        <v>1848</v>
      </c>
      <c r="G366" s="790">
        <v>9</v>
      </c>
      <c r="H366" s="790">
        <v>674</v>
      </c>
      <c r="I366" s="790">
        <v>417</v>
      </c>
      <c r="J366" s="796">
        <f t="shared" si="11"/>
        <v>0.75365497076023391</v>
      </c>
    </row>
    <row r="367" spans="1:10">
      <c r="A367" s="322" t="s">
        <v>91</v>
      </c>
      <c r="B367" s="793">
        <v>44242</v>
      </c>
      <c r="C367" s="790">
        <f t="shared" si="10"/>
        <v>2727</v>
      </c>
      <c r="D367" s="790">
        <v>52</v>
      </c>
      <c r="E367" s="790">
        <v>949</v>
      </c>
      <c r="F367" s="790">
        <v>1778</v>
      </c>
      <c r="G367" s="790">
        <v>88</v>
      </c>
      <c r="H367" s="790">
        <v>763</v>
      </c>
      <c r="I367" s="790">
        <v>533</v>
      </c>
      <c r="J367" s="796">
        <f t="shared" si="11"/>
        <v>0.71476635514018694</v>
      </c>
    </row>
    <row r="368" spans="1:10">
      <c r="A368" s="322" t="s">
        <v>93</v>
      </c>
      <c r="B368" s="793">
        <v>44243</v>
      </c>
      <c r="C368" s="790">
        <f t="shared" si="10"/>
        <v>4948</v>
      </c>
      <c r="D368" s="790">
        <v>327</v>
      </c>
      <c r="E368" s="790">
        <v>1593</v>
      </c>
      <c r="F368" s="790">
        <v>3355</v>
      </c>
      <c r="G368" s="790">
        <v>105</v>
      </c>
      <c r="H368" s="790">
        <v>1658</v>
      </c>
      <c r="I368" s="790">
        <v>1150</v>
      </c>
      <c r="J368" s="796">
        <f t="shared" si="11"/>
        <v>0.64120320276996323</v>
      </c>
    </row>
    <row r="369" spans="1:10">
      <c r="A369" s="322" t="s">
        <v>94</v>
      </c>
      <c r="B369" s="793">
        <v>44244</v>
      </c>
      <c r="C369" s="790">
        <f t="shared" si="10"/>
        <v>1342</v>
      </c>
      <c r="D369" s="790">
        <v>35</v>
      </c>
      <c r="E369" s="790">
        <v>490</v>
      </c>
      <c r="F369" s="790">
        <v>852</v>
      </c>
      <c r="G369" s="790">
        <v>32</v>
      </c>
      <c r="H369" s="790">
        <v>470</v>
      </c>
      <c r="I369" s="790">
        <v>310</v>
      </c>
      <c r="J369" s="796">
        <f t="shared" si="11"/>
        <v>0.64039785768936497</v>
      </c>
    </row>
    <row r="370" spans="1:10">
      <c r="A370" s="322" t="s">
        <v>92</v>
      </c>
      <c r="B370" s="793">
        <v>44245</v>
      </c>
      <c r="C370" s="790">
        <f t="shared" si="10"/>
        <v>12698</v>
      </c>
      <c r="D370" s="790">
        <v>401</v>
      </c>
      <c r="E370" s="790">
        <v>4305</v>
      </c>
      <c r="F370" s="790">
        <v>8393</v>
      </c>
      <c r="G370" s="790">
        <v>63</v>
      </c>
      <c r="H370" s="790">
        <v>4366</v>
      </c>
      <c r="I370" s="790">
        <v>2995</v>
      </c>
      <c r="J370" s="796">
        <f t="shared" si="11"/>
        <v>0.64495405383426851</v>
      </c>
    </row>
    <row r="371" spans="1:10">
      <c r="A371" s="322" t="s">
        <v>95</v>
      </c>
      <c r="B371" s="793">
        <v>44246</v>
      </c>
      <c r="C371" s="790">
        <f t="shared" si="10"/>
        <v>20386</v>
      </c>
      <c r="D371" s="790">
        <v>3500</v>
      </c>
      <c r="E371" s="790">
        <v>8400</v>
      </c>
      <c r="F371" s="790">
        <v>11986</v>
      </c>
      <c r="G371" s="790">
        <v>111</v>
      </c>
      <c r="H371" s="790">
        <v>5910</v>
      </c>
      <c r="I371" s="790">
        <v>4292</v>
      </c>
      <c r="J371" s="796">
        <f t="shared" si="11"/>
        <v>0.65000592206561647</v>
      </c>
    </row>
    <row r="372" spans="1:10">
      <c r="A372" s="322" t="s">
        <v>96</v>
      </c>
      <c r="B372" s="793">
        <v>44247</v>
      </c>
      <c r="C372" s="790">
        <f t="shared" si="10"/>
        <v>2500</v>
      </c>
      <c r="D372" s="790">
        <v>47</v>
      </c>
      <c r="E372" s="790">
        <v>674</v>
      </c>
      <c r="F372" s="790">
        <v>1826</v>
      </c>
      <c r="G372" s="790">
        <v>10</v>
      </c>
      <c r="H372" s="790">
        <v>612</v>
      </c>
      <c r="I372" s="790">
        <v>433</v>
      </c>
      <c r="J372" s="796">
        <f t="shared" si="11"/>
        <v>0.75050958010599267</v>
      </c>
    </row>
    <row r="373" spans="1:10">
      <c r="A373" s="322" t="s">
        <v>98</v>
      </c>
      <c r="B373" s="793">
        <v>44248</v>
      </c>
      <c r="C373" s="790">
        <f t="shared" si="10"/>
        <v>1225</v>
      </c>
      <c r="D373" s="790">
        <v>9</v>
      </c>
      <c r="E373" s="790">
        <v>538</v>
      </c>
      <c r="F373" s="790">
        <v>687</v>
      </c>
      <c r="G373" s="790">
        <v>18</v>
      </c>
      <c r="H373" s="790">
        <v>315</v>
      </c>
      <c r="I373" s="790">
        <v>195</v>
      </c>
      <c r="J373" s="796">
        <f t="shared" si="11"/>
        <v>0.74095394736842102</v>
      </c>
    </row>
    <row r="374" spans="1:10">
      <c r="A374" s="322" t="s">
        <v>99</v>
      </c>
      <c r="B374" s="793">
        <v>44249</v>
      </c>
      <c r="C374" s="790">
        <f t="shared" si="10"/>
        <v>222</v>
      </c>
      <c r="D374" s="790">
        <v>8</v>
      </c>
      <c r="E374" s="790">
        <v>89</v>
      </c>
      <c r="F374" s="790">
        <v>133</v>
      </c>
      <c r="G374" s="790">
        <v>2</v>
      </c>
      <c r="H374" s="790">
        <v>50</v>
      </c>
      <c r="I374" s="790">
        <v>25</v>
      </c>
      <c r="J374" s="796">
        <f t="shared" si="11"/>
        <v>0.76635514018691586</v>
      </c>
    </row>
    <row r="375" spans="1:10">
      <c r="A375" s="322" t="s">
        <v>97</v>
      </c>
      <c r="B375" s="793">
        <v>44250</v>
      </c>
      <c r="C375" s="790">
        <f t="shared" si="10"/>
        <v>16473</v>
      </c>
      <c r="D375" s="790">
        <v>903</v>
      </c>
      <c r="E375" s="790">
        <v>5594</v>
      </c>
      <c r="F375" s="790">
        <v>10879</v>
      </c>
      <c r="G375" s="790">
        <v>104</v>
      </c>
      <c r="H375" s="790">
        <v>5046</v>
      </c>
      <c r="I375" s="790">
        <v>3597</v>
      </c>
      <c r="J375" s="796">
        <f t="shared" si="11"/>
        <v>0.67591522157996153</v>
      </c>
    </row>
    <row r="376" spans="1:10">
      <c r="A376" s="322" t="s">
        <v>100</v>
      </c>
      <c r="B376" s="793">
        <v>44251</v>
      </c>
      <c r="C376" s="790">
        <f t="shared" si="10"/>
        <v>10584</v>
      </c>
      <c r="D376" s="790">
        <v>236</v>
      </c>
      <c r="E376" s="790">
        <v>3445</v>
      </c>
      <c r="F376" s="790">
        <v>7139</v>
      </c>
      <c r="G376" s="790">
        <v>150</v>
      </c>
      <c r="H376" s="790">
        <v>3736</v>
      </c>
      <c r="I376" s="790">
        <v>2554</v>
      </c>
      <c r="J376" s="796">
        <f t="shared" si="11"/>
        <v>0.63896405102435261</v>
      </c>
    </row>
    <row r="377" spans="1:10">
      <c r="A377" s="322" t="s">
        <v>102</v>
      </c>
      <c r="B377" s="793">
        <v>44252</v>
      </c>
      <c r="C377" s="790">
        <f t="shared" si="10"/>
        <v>1446</v>
      </c>
      <c r="D377" s="790">
        <v>31</v>
      </c>
      <c r="E377" s="790">
        <v>562</v>
      </c>
      <c r="F377" s="790">
        <v>884</v>
      </c>
      <c r="G377" s="790">
        <v>22</v>
      </c>
      <c r="H377" s="790">
        <v>423</v>
      </c>
      <c r="I377" s="790">
        <v>283</v>
      </c>
      <c r="J377" s="796">
        <f t="shared" si="11"/>
        <v>0.7010600706713781</v>
      </c>
    </row>
    <row r="378" spans="1:10">
      <c r="A378" s="322" t="s">
        <v>101</v>
      </c>
      <c r="B378" s="793">
        <v>44253</v>
      </c>
      <c r="C378" s="790">
        <f t="shared" si="10"/>
        <v>61315</v>
      </c>
      <c r="D378" s="790">
        <v>5476</v>
      </c>
      <c r="E378" s="790">
        <v>22841</v>
      </c>
      <c r="F378" s="790">
        <v>38474</v>
      </c>
      <c r="G378" s="790">
        <v>567</v>
      </c>
      <c r="H378" s="790">
        <v>19986</v>
      </c>
      <c r="I378" s="790">
        <v>13743</v>
      </c>
      <c r="J378" s="796">
        <f t="shared" si="11"/>
        <v>0.6420781174447967</v>
      </c>
    </row>
    <row r="379" spans="1:10">
      <c r="A379" s="322" t="s">
        <v>103</v>
      </c>
      <c r="B379" s="793">
        <v>44254</v>
      </c>
      <c r="C379" s="790">
        <f t="shared" si="10"/>
        <v>768</v>
      </c>
      <c r="D379" s="790">
        <v>14</v>
      </c>
      <c r="E379" s="790">
        <v>317</v>
      </c>
      <c r="F379" s="790">
        <v>451</v>
      </c>
      <c r="G379" s="790">
        <v>19</v>
      </c>
      <c r="H379" s="790">
        <v>209</v>
      </c>
      <c r="I379" s="790">
        <v>135</v>
      </c>
      <c r="J379" s="796">
        <f t="shared" si="11"/>
        <v>0.72281167108753319</v>
      </c>
    </row>
    <row r="380" spans="1:10">
      <c r="A380" s="322" t="s">
        <v>77</v>
      </c>
      <c r="B380" s="793">
        <v>44256</v>
      </c>
      <c r="C380" s="790">
        <f t="shared" si="10"/>
        <v>635</v>
      </c>
      <c r="D380" s="790">
        <v>7</v>
      </c>
      <c r="E380" s="790">
        <v>342</v>
      </c>
      <c r="F380" s="790">
        <v>293</v>
      </c>
      <c r="G380" s="790">
        <v>14</v>
      </c>
      <c r="H380" s="790">
        <v>189</v>
      </c>
      <c r="I380" s="790">
        <v>94</v>
      </c>
      <c r="J380" s="796">
        <f t="shared" si="11"/>
        <v>0.69904458598726116</v>
      </c>
    </row>
    <row r="381" spans="1:10">
      <c r="A381" s="322" t="s">
        <v>78</v>
      </c>
      <c r="B381" s="793">
        <v>44257</v>
      </c>
      <c r="C381" s="790">
        <f t="shared" si="10"/>
        <v>2016</v>
      </c>
      <c r="D381" s="790">
        <v>58</v>
      </c>
      <c r="E381" s="790">
        <v>550</v>
      </c>
      <c r="F381" s="790">
        <v>1466</v>
      </c>
      <c r="G381" s="790">
        <v>65</v>
      </c>
      <c r="H381" s="790">
        <v>835</v>
      </c>
      <c r="I381" s="790">
        <v>567</v>
      </c>
      <c r="J381" s="796">
        <f t="shared" si="11"/>
        <v>0.57354443309499481</v>
      </c>
    </row>
    <row r="382" spans="1:10">
      <c r="A382" s="322" t="s">
        <v>80</v>
      </c>
      <c r="B382" s="793">
        <v>44258</v>
      </c>
      <c r="C382" s="790">
        <f t="shared" si="10"/>
        <v>1793</v>
      </c>
      <c r="D382" s="790">
        <v>13</v>
      </c>
      <c r="E382" s="790">
        <v>704</v>
      </c>
      <c r="F382" s="790">
        <v>1089</v>
      </c>
      <c r="G382" s="790">
        <v>42</v>
      </c>
      <c r="H382" s="790">
        <v>663</v>
      </c>
      <c r="I382" s="790">
        <v>357</v>
      </c>
      <c r="J382" s="796">
        <f t="shared" si="11"/>
        <v>0.62752808988764053</v>
      </c>
    </row>
    <row r="383" spans="1:10">
      <c r="A383" s="322" t="s">
        <v>79</v>
      </c>
      <c r="B383" s="793">
        <v>44259</v>
      </c>
      <c r="C383" s="790">
        <f t="shared" si="10"/>
        <v>770</v>
      </c>
      <c r="D383" s="790">
        <v>7</v>
      </c>
      <c r="E383" s="790">
        <v>422</v>
      </c>
      <c r="F383" s="790">
        <v>348</v>
      </c>
      <c r="G383" s="790">
        <v>17</v>
      </c>
      <c r="H383" s="790">
        <v>265</v>
      </c>
      <c r="I383" s="790">
        <v>127</v>
      </c>
      <c r="J383" s="796">
        <f t="shared" si="11"/>
        <v>0.6526867627785059</v>
      </c>
    </row>
    <row r="384" spans="1:10">
      <c r="A384" s="322" t="s">
        <v>81</v>
      </c>
      <c r="B384" s="793">
        <v>44260</v>
      </c>
      <c r="C384" s="790">
        <f t="shared" si="10"/>
        <v>6649</v>
      </c>
      <c r="D384" s="790">
        <v>771</v>
      </c>
      <c r="E384" s="790">
        <v>2525</v>
      </c>
      <c r="F384" s="790">
        <v>4124</v>
      </c>
      <c r="G384" s="790">
        <v>182</v>
      </c>
      <c r="H384" s="790">
        <v>2895</v>
      </c>
      <c r="I384" s="790">
        <v>1772</v>
      </c>
      <c r="J384" s="796">
        <f t="shared" si="11"/>
        <v>0.50748553929908136</v>
      </c>
    </row>
    <row r="385" spans="1:10">
      <c r="A385" s="322" t="s">
        <v>82</v>
      </c>
      <c r="B385" s="793">
        <v>44261</v>
      </c>
      <c r="C385" s="790">
        <f t="shared" si="10"/>
        <v>4037</v>
      </c>
      <c r="D385" s="790">
        <v>151</v>
      </c>
      <c r="E385" s="790">
        <v>1582</v>
      </c>
      <c r="F385" s="790">
        <v>2455</v>
      </c>
      <c r="G385" s="790">
        <v>213</v>
      </c>
      <c r="H385" s="790">
        <v>1981</v>
      </c>
      <c r="I385" s="790">
        <v>1229</v>
      </c>
      <c r="J385" s="796">
        <f t="shared" si="11"/>
        <v>0.49022130725681934</v>
      </c>
    </row>
    <row r="386" spans="1:10">
      <c r="A386" s="322" t="s">
        <v>83</v>
      </c>
      <c r="B386" s="793">
        <v>44262</v>
      </c>
      <c r="C386" s="790">
        <f t="shared" si="10"/>
        <v>6364</v>
      </c>
      <c r="D386" s="790">
        <v>472</v>
      </c>
      <c r="E386" s="790">
        <v>2284</v>
      </c>
      <c r="F386" s="790">
        <v>4080</v>
      </c>
      <c r="G386" s="790">
        <v>177</v>
      </c>
      <c r="H386" s="790">
        <v>2724</v>
      </c>
      <c r="I386" s="790">
        <v>1846</v>
      </c>
      <c r="J386" s="796">
        <f t="shared" si="11"/>
        <v>0.53767820773930752</v>
      </c>
    </row>
    <row r="387" spans="1:10">
      <c r="A387" s="322" t="s">
        <v>84</v>
      </c>
      <c r="B387" s="793">
        <v>44263</v>
      </c>
      <c r="C387" s="790">
        <f t="shared" ref="C387:C450" si="12">E387+F387</f>
        <v>3660</v>
      </c>
      <c r="D387" s="790">
        <v>77</v>
      </c>
      <c r="E387" s="790">
        <v>983</v>
      </c>
      <c r="F387" s="790">
        <v>2677</v>
      </c>
      <c r="G387" s="790">
        <v>133</v>
      </c>
      <c r="H387" s="790">
        <v>2277</v>
      </c>
      <c r="I387" s="790">
        <v>1470</v>
      </c>
      <c r="J387" s="796">
        <f t="shared" ref="J387:J450" si="13">1-(H387/(C387-D387))</f>
        <v>0.36449902316494553</v>
      </c>
    </row>
    <row r="388" spans="1:10">
      <c r="A388" s="322" t="s">
        <v>85</v>
      </c>
      <c r="B388" s="793">
        <v>44264</v>
      </c>
      <c r="C388" s="790">
        <f t="shared" si="12"/>
        <v>4764</v>
      </c>
      <c r="D388" s="790">
        <v>207</v>
      </c>
      <c r="E388" s="790">
        <v>1535</v>
      </c>
      <c r="F388" s="790">
        <v>3229</v>
      </c>
      <c r="G388" s="790">
        <v>85</v>
      </c>
      <c r="H388" s="790">
        <v>1970</v>
      </c>
      <c r="I388" s="790">
        <v>1236</v>
      </c>
      <c r="J388" s="796">
        <f t="shared" si="13"/>
        <v>0.56769804696071979</v>
      </c>
    </row>
    <row r="389" spans="1:10">
      <c r="A389" s="322" t="s">
        <v>86</v>
      </c>
      <c r="B389" s="793">
        <v>44265</v>
      </c>
      <c r="C389" s="790">
        <f t="shared" si="12"/>
        <v>1886</v>
      </c>
      <c r="D389" s="790">
        <v>23</v>
      </c>
      <c r="E389" s="790">
        <v>749</v>
      </c>
      <c r="F389" s="790">
        <v>1137</v>
      </c>
      <c r="G389" s="790">
        <v>98</v>
      </c>
      <c r="H389" s="790">
        <v>712</v>
      </c>
      <c r="I389" s="790">
        <v>422</v>
      </c>
      <c r="J389" s="796">
        <f t="shared" si="13"/>
        <v>0.61782071926999471</v>
      </c>
    </row>
    <row r="390" spans="1:10">
      <c r="A390" s="322" t="s">
        <v>89</v>
      </c>
      <c r="B390" s="793">
        <v>44266</v>
      </c>
      <c r="C390" s="790">
        <f t="shared" si="12"/>
        <v>15566</v>
      </c>
      <c r="D390" s="790">
        <v>656</v>
      </c>
      <c r="E390" s="790">
        <v>4809</v>
      </c>
      <c r="F390" s="790">
        <v>10757</v>
      </c>
      <c r="G390" s="790">
        <v>381</v>
      </c>
      <c r="H390" s="790">
        <v>8315</v>
      </c>
      <c r="I390" s="790">
        <v>5243</v>
      </c>
      <c r="J390" s="796">
        <f t="shared" si="13"/>
        <v>0.44232059020791414</v>
      </c>
    </row>
    <row r="391" spans="1:10">
      <c r="A391" s="322" t="s">
        <v>88</v>
      </c>
      <c r="B391" s="793">
        <v>44267</v>
      </c>
      <c r="C391" s="790">
        <f t="shared" si="12"/>
        <v>3245</v>
      </c>
      <c r="D391" s="790">
        <v>67</v>
      </c>
      <c r="E391" s="790">
        <v>1225</v>
      </c>
      <c r="F391" s="790">
        <v>2020</v>
      </c>
      <c r="G391" s="790">
        <v>88</v>
      </c>
      <c r="H391" s="790">
        <v>1300</v>
      </c>
      <c r="I391" s="790">
        <v>790</v>
      </c>
      <c r="J391" s="796">
        <f t="shared" si="13"/>
        <v>0.59093769666456897</v>
      </c>
    </row>
    <row r="392" spans="1:10">
      <c r="A392" s="322" t="s">
        <v>87</v>
      </c>
      <c r="B392" s="793">
        <v>44268</v>
      </c>
      <c r="C392" s="790">
        <f t="shared" si="12"/>
        <v>3221</v>
      </c>
      <c r="D392" s="790">
        <v>49</v>
      </c>
      <c r="E392" s="790">
        <v>1073</v>
      </c>
      <c r="F392" s="790">
        <v>2148</v>
      </c>
      <c r="G392" s="790">
        <v>46</v>
      </c>
      <c r="H392" s="790">
        <v>1526</v>
      </c>
      <c r="I392" s="790">
        <v>761</v>
      </c>
      <c r="J392" s="796">
        <f t="shared" si="13"/>
        <v>0.51891551071878939</v>
      </c>
    </row>
    <row r="393" spans="1:10">
      <c r="A393" s="322" t="s">
        <v>90</v>
      </c>
      <c r="B393" s="793">
        <v>44269</v>
      </c>
      <c r="C393" s="790">
        <f t="shared" si="12"/>
        <v>2915</v>
      </c>
      <c r="D393" s="790">
        <v>159</v>
      </c>
      <c r="E393" s="790">
        <v>1050</v>
      </c>
      <c r="F393" s="790">
        <v>1865</v>
      </c>
      <c r="G393" s="790">
        <v>47</v>
      </c>
      <c r="H393" s="790">
        <v>1031</v>
      </c>
      <c r="I393" s="790">
        <v>563</v>
      </c>
      <c r="J393" s="796">
        <f t="shared" si="13"/>
        <v>0.62590711175616831</v>
      </c>
    </row>
    <row r="394" spans="1:10">
      <c r="A394" s="322" t="s">
        <v>91</v>
      </c>
      <c r="B394" s="793">
        <v>44270</v>
      </c>
      <c r="C394" s="790">
        <f t="shared" si="12"/>
        <v>2783</v>
      </c>
      <c r="D394" s="790">
        <v>52</v>
      </c>
      <c r="E394" s="790">
        <v>968</v>
      </c>
      <c r="F394" s="790">
        <v>1815</v>
      </c>
      <c r="G394" s="790">
        <v>153</v>
      </c>
      <c r="H394" s="790">
        <v>1201</v>
      </c>
      <c r="I394" s="790">
        <v>744</v>
      </c>
      <c r="J394" s="796">
        <f t="shared" si="13"/>
        <v>0.56023434639326253</v>
      </c>
    </row>
    <row r="395" spans="1:10">
      <c r="A395" s="322" t="s">
        <v>93</v>
      </c>
      <c r="B395" s="793">
        <v>44271</v>
      </c>
      <c r="C395" s="790">
        <f t="shared" si="12"/>
        <v>5004</v>
      </c>
      <c r="D395" s="790">
        <v>329</v>
      </c>
      <c r="E395" s="790">
        <v>1605</v>
      </c>
      <c r="F395" s="790">
        <v>3399</v>
      </c>
      <c r="G395" s="790">
        <v>158</v>
      </c>
      <c r="H395" s="790">
        <v>2415</v>
      </c>
      <c r="I395" s="790">
        <v>1499</v>
      </c>
      <c r="J395" s="796">
        <f t="shared" si="13"/>
        <v>0.48342245989304811</v>
      </c>
    </row>
    <row r="396" spans="1:10">
      <c r="A396" s="322" t="s">
        <v>94</v>
      </c>
      <c r="B396" s="793">
        <v>44272</v>
      </c>
      <c r="C396" s="790">
        <f t="shared" si="12"/>
        <v>1370</v>
      </c>
      <c r="D396" s="790">
        <v>35</v>
      </c>
      <c r="E396" s="790">
        <v>495</v>
      </c>
      <c r="F396" s="790">
        <v>875</v>
      </c>
      <c r="G396" s="790">
        <v>59</v>
      </c>
      <c r="H396" s="790">
        <v>681</v>
      </c>
      <c r="I396" s="790">
        <v>400</v>
      </c>
      <c r="J396" s="796">
        <f t="shared" si="13"/>
        <v>0.48988764044943822</v>
      </c>
    </row>
    <row r="397" spans="1:10">
      <c r="A397" s="322" t="s">
        <v>92</v>
      </c>
      <c r="B397" s="793">
        <v>44273</v>
      </c>
      <c r="C397" s="790">
        <f t="shared" si="12"/>
        <v>13138</v>
      </c>
      <c r="D397" s="790">
        <v>401</v>
      </c>
      <c r="E397" s="790">
        <v>4406</v>
      </c>
      <c r="F397" s="790">
        <v>8732</v>
      </c>
      <c r="G397" s="790">
        <v>436</v>
      </c>
      <c r="H397" s="790">
        <v>6633</v>
      </c>
      <c r="I397" s="790">
        <v>4073</v>
      </c>
      <c r="J397" s="796">
        <f t="shared" si="13"/>
        <v>0.47923372850749779</v>
      </c>
    </row>
    <row r="398" spans="1:10">
      <c r="A398" s="322" t="s">
        <v>95</v>
      </c>
      <c r="B398" s="793">
        <v>44274</v>
      </c>
      <c r="C398" s="790">
        <f t="shared" si="12"/>
        <v>20544</v>
      </c>
      <c r="D398" s="790">
        <v>3501</v>
      </c>
      <c r="E398" s="790">
        <v>8437</v>
      </c>
      <c r="F398" s="790">
        <v>12107</v>
      </c>
      <c r="G398" s="790">
        <v>275</v>
      </c>
      <c r="H398" s="790">
        <v>8221</v>
      </c>
      <c r="I398" s="790">
        <v>5494</v>
      </c>
      <c r="J398" s="796">
        <f t="shared" si="13"/>
        <v>0.51763187232294783</v>
      </c>
    </row>
    <row r="399" spans="1:10">
      <c r="A399" s="322" t="s">
        <v>96</v>
      </c>
      <c r="B399" s="793">
        <v>44275</v>
      </c>
      <c r="C399" s="790">
        <f t="shared" si="12"/>
        <v>2527</v>
      </c>
      <c r="D399" s="790">
        <v>47</v>
      </c>
      <c r="E399" s="790">
        <v>675</v>
      </c>
      <c r="F399" s="790">
        <v>1852</v>
      </c>
      <c r="G399" s="790">
        <v>34</v>
      </c>
      <c r="H399" s="790">
        <v>1049</v>
      </c>
      <c r="I399" s="790">
        <v>638</v>
      </c>
      <c r="J399" s="796">
        <f t="shared" si="13"/>
        <v>0.57701612903225807</v>
      </c>
    </row>
    <row r="400" spans="1:10">
      <c r="A400" s="322" t="s">
        <v>98</v>
      </c>
      <c r="B400" s="793">
        <v>44276</v>
      </c>
      <c r="C400" s="790">
        <f t="shared" si="12"/>
        <v>1254</v>
      </c>
      <c r="D400" s="790">
        <v>9</v>
      </c>
      <c r="E400" s="790">
        <v>554</v>
      </c>
      <c r="F400" s="790">
        <v>700</v>
      </c>
      <c r="G400" s="790">
        <v>41</v>
      </c>
      <c r="H400" s="790">
        <v>518</v>
      </c>
      <c r="I400" s="790">
        <v>277</v>
      </c>
      <c r="J400" s="796">
        <f t="shared" si="13"/>
        <v>0.58393574297188755</v>
      </c>
    </row>
    <row r="401" spans="1:10">
      <c r="A401" s="322" t="s">
        <v>99</v>
      </c>
      <c r="B401" s="793">
        <v>44277</v>
      </c>
      <c r="C401" s="790">
        <f t="shared" si="12"/>
        <v>229</v>
      </c>
      <c r="D401" s="790">
        <v>8</v>
      </c>
      <c r="E401" s="790">
        <v>90</v>
      </c>
      <c r="F401" s="790">
        <v>139</v>
      </c>
      <c r="G401" s="790">
        <v>9</v>
      </c>
      <c r="H401" s="790">
        <v>77</v>
      </c>
      <c r="I401" s="790">
        <v>34</v>
      </c>
      <c r="J401" s="796">
        <f t="shared" si="13"/>
        <v>0.65158371040723984</v>
      </c>
    </row>
    <row r="402" spans="1:10">
      <c r="A402" s="322" t="s">
        <v>97</v>
      </c>
      <c r="B402" s="793">
        <v>44278</v>
      </c>
      <c r="C402" s="790">
        <f t="shared" si="12"/>
        <v>16627</v>
      </c>
      <c r="D402" s="790">
        <v>902</v>
      </c>
      <c r="E402" s="790">
        <v>5632</v>
      </c>
      <c r="F402" s="790">
        <v>10995</v>
      </c>
      <c r="G402" s="790">
        <v>288</v>
      </c>
      <c r="H402" s="790">
        <v>7749</v>
      </c>
      <c r="I402" s="790">
        <v>4947</v>
      </c>
      <c r="J402" s="796">
        <f t="shared" si="13"/>
        <v>0.50721780604133548</v>
      </c>
    </row>
    <row r="403" spans="1:10">
      <c r="A403" s="322" t="s">
        <v>100</v>
      </c>
      <c r="B403" s="793">
        <v>44279</v>
      </c>
      <c r="C403" s="790">
        <f t="shared" si="12"/>
        <v>10717</v>
      </c>
      <c r="D403" s="790">
        <v>236</v>
      </c>
      <c r="E403" s="790">
        <v>3476</v>
      </c>
      <c r="F403" s="790">
        <v>7241</v>
      </c>
      <c r="G403" s="790">
        <v>303</v>
      </c>
      <c r="H403" s="790">
        <v>5542</v>
      </c>
      <c r="I403" s="790">
        <v>3391</v>
      </c>
      <c r="J403" s="796">
        <f t="shared" si="13"/>
        <v>0.47123366091021845</v>
      </c>
    </row>
    <row r="404" spans="1:10">
      <c r="A404" s="322" t="s">
        <v>102</v>
      </c>
      <c r="B404" s="793">
        <v>44280</v>
      </c>
      <c r="C404" s="790">
        <f t="shared" si="12"/>
        <v>1476</v>
      </c>
      <c r="D404" s="790">
        <v>31</v>
      </c>
      <c r="E404" s="790">
        <v>574</v>
      </c>
      <c r="F404" s="790">
        <v>902</v>
      </c>
      <c r="G404" s="790">
        <v>45</v>
      </c>
      <c r="H404" s="790">
        <v>668</v>
      </c>
      <c r="I404" s="790">
        <v>393</v>
      </c>
      <c r="J404" s="796">
        <f t="shared" si="13"/>
        <v>0.53771626297577857</v>
      </c>
    </row>
    <row r="405" spans="1:10">
      <c r="A405" s="322" t="s">
        <v>101</v>
      </c>
      <c r="B405" s="793">
        <v>44281</v>
      </c>
      <c r="C405" s="790">
        <f t="shared" si="12"/>
        <v>62030</v>
      </c>
      <c r="D405" s="790">
        <v>5473</v>
      </c>
      <c r="E405" s="790">
        <v>23033</v>
      </c>
      <c r="F405" s="790">
        <v>38997</v>
      </c>
      <c r="G405" s="790">
        <v>1308</v>
      </c>
      <c r="H405" s="790">
        <v>26970</v>
      </c>
      <c r="I405" s="790">
        <v>17451</v>
      </c>
      <c r="J405" s="796">
        <f t="shared" si="13"/>
        <v>0.52313595134112489</v>
      </c>
    </row>
    <row r="406" spans="1:10">
      <c r="A406" s="322" t="s">
        <v>103</v>
      </c>
      <c r="B406" s="793">
        <v>44282</v>
      </c>
      <c r="C406" s="790">
        <f t="shared" si="12"/>
        <v>783</v>
      </c>
      <c r="D406" s="790">
        <v>14</v>
      </c>
      <c r="E406" s="790">
        <v>318</v>
      </c>
      <c r="F406" s="790">
        <v>465</v>
      </c>
      <c r="G406" s="790">
        <v>37</v>
      </c>
      <c r="H406" s="790">
        <v>363</v>
      </c>
      <c r="I406" s="790">
        <v>206</v>
      </c>
      <c r="J406" s="796">
        <f t="shared" si="13"/>
        <v>0.5279583875162549</v>
      </c>
    </row>
    <row r="407" spans="1:10">
      <c r="A407" s="322" t="s">
        <v>77</v>
      </c>
      <c r="B407" s="793">
        <v>44287</v>
      </c>
      <c r="C407" s="790">
        <f t="shared" si="12"/>
        <v>645</v>
      </c>
      <c r="D407" s="790">
        <v>7</v>
      </c>
      <c r="E407" s="790">
        <v>348</v>
      </c>
      <c r="F407" s="790">
        <v>297</v>
      </c>
      <c r="G407" s="790">
        <v>22</v>
      </c>
      <c r="H407" s="790">
        <v>230</v>
      </c>
      <c r="I407" s="790">
        <v>110</v>
      </c>
      <c r="J407" s="796">
        <f t="shared" si="13"/>
        <v>0.63949843260188088</v>
      </c>
    </row>
    <row r="408" spans="1:10">
      <c r="A408" s="322" t="s">
        <v>78</v>
      </c>
      <c r="B408" s="793">
        <v>44288</v>
      </c>
      <c r="C408" s="790">
        <f t="shared" si="12"/>
        <v>2034</v>
      </c>
      <c r="D408" s="790">
        <v>58</v>
      </c>
      <c r="E408" s="790">
        <v>555</v>
      </c>
      <c r="F408" s="790">
        <v>1479</v>
      </c>
      <c r="G408" s="790">
        <v>83</v>
      </c>
      <c r="H408" s="790">
        <v>994</v>
      </c>
      <c r="I408" s="790">
        <v>643</v>
      </c>
      <c r="J408" s="796">
        <f t="shared" si="13"/>
        <v>0.49696356275303644</v>
      </c>
    </row>
    <row r="409" spans="1:10">
      <c r="A409" s="322" t="s">
        <v>80</v>
      </c>
      <c r="B409" s="793">
        <v>44289</v>
      </c>
      <c r="C409" s="790">
        <f t="shared" si="12"/>
        <v>1836</v>
      </c>
      <c r="D409" s="790">
        <v>13</v>
      </c>
      <c r="E409" s="790">
        <v>723</v>
      </c>
      <c r="F409" s="790">
        <v>1113</v>
      </c>
      <c r="G409" s="790">
        <v>75</v>
      </c>
      <c r="H409" s="790">
        <v>766</v>
      </c>
      <c r="I409" s="790">
        <v>407</v>
      </c>
      <c r="J409" s="796">
        <f t="shared" si="13"/>
        <v>0.57981349424026329</v>
      </c>
    </row>
    <row r="410" spans="1:10">
      <c r="A410" s="322" t="s">
        <v>79</v>
      </c>
      <c r="B410" s="793">
        <v>44290</v>
      </c>
      <c r="C410" s="790">
        <f t="shared" si="12"/>
        <v>773</v>
      </c>
      <c r="D410" s="790">
        <v>7</v>
      </c>
      <c r="E410" s="790">
        <v>424</v>
      </c>
      <c r="F410" s="790">
        <v>349</v>
      </c>
      <c r="G410" s="790">
        <v>21</v>
      </c>
      <c r="H410" s="790">
        <v>287</v>
      </c>
      <c r="I410" s="790">
        <v>132</v>
      </c>
      <c r="J410" s="796">
        <f t="shared" si="13"/>
        <v>0.62532637075718012</v>
      </c>
    </row>
    <row r="411" spans="1:10">
      <c r="A411" s="322" t="s">
        <v>81</v>
      </c>
      <c r="B411" s="793">
        <v>44291</v>
      </c>
      <c r="C411" s="790">
        <f t="shared" si="12"/>
        <v>6724</v>
      </c>
      <c r="D411" s="790">
        <v>771</v>
      </c>
      <c r="E411" s="790">
        <v>2550</v>
      </c>
      <c r="F411" s="790">
        <v>4174</v>
      </c>
      <c r="G411" s="790">
        <v>260</v>
      </c>
      <c r="H411" s="790">
        <v>3176</v>
      </c>
      <c r="I411" s="790">
        <v>1858</v>
      </c>
      <c r="J411" s="796">
        <f t="shared" si="13"/>
        <v>0.46648748530152861</v>
      </c>
    </row>
    <row r="412" spans="1:10">
      <c r="A412" s="322" t="s">
        <v>82</v>
      </c>
      <c r="B412" s="793">
        <v>44292</v>
      </c>
      <c r="C412" s="790">
        <f t="shared" si="12"/>
        <v>4137</v>
      </c>
      <c r="D412" s="790">
        <v>151</v>
      </c>
      <c r="E412" s="790">
        <v>1615</v>
      </c>
      <c r="F412" s="790">
        <v>2522</v>
      </c>
      <c r="G412" s="790">
        <v>307</v>
      </c>
      <c r="H412" s="790">
        <v>2177</v>
      </c>
      <c r="I412" s="790">
        <v>1318</v>
      </c>
      <c r="J412" s="796">
        <f t="shared" si="13"/>
        <v>0.45383843452082284</v>
      </c>
    </row>
    <row r="413" spans="1:10">
      <c r="A413" s="322" t="s">
        <v>83</v>
      </c>
      <c r="B413" s="793">
        <v>44293</v>
      </c>
      <c r="C413" s="790">
        <f t="shared" si="12"/>
        <v>6406</v>
      </c>
      <c r="D413" s="790">
        <v>471</v>
      </c>
      <c r="E413" s="790">
        <v>2301</v>
      </c>
      <c r="F413" s="790">
        <v>4105</v>
      </c>
      <c r="G413" s="790">
        <v>223</v>
      </c>
      <c r="H413" s="790">
        <v>3239</v>
      </c>
      <c r="I413" s="790">
        <v>2088</v>
      </c>
      <c r="J413" s="796">
        <f t="shared" si="13"/>
        <v>0.45425442291491158</v>
      </c>
    </row>
    <row r="414" spans="1:10">
      <c r="A414" s="322" t="s">
        <v>84</v>
      </c>
      <c r="B414" s="793">
        <v>44294</v>
      </c>
      <c r="C414" s="790">
        <f t="shared" si="12"/>
        <v>3716</v>
      </c>
      <c r="D414" s="790">
        <v>77</v>
      </c>
      <c r="E414" s="790">
        <v>988</v>
      </c>
      <c r="F414" s="790">
        <v>2728</v>
      </c>
      <c r="G414" s="790">
        <v>180</v>
      </c>
      <c r="H414" s="790">
        <v>2480</v>
      </c>
      <c r="I414" s="790">
        <v>1546</v>
      </c>
      <c r="J414" s="796">
        <f t="shared" si="13"/>
        <v>0.318494091783457</v>
      </c>
    </row>
    <row r="415" spans="1:10">
      <c r="A415" s="322" t="s">
        <v>85</v>
      </c>
      <c r="B415" s="793">
        <v>44295</v>
      </c>
      <c r="C415" s="790">
        <f t="shared" si="12"/>
        <v>4805</v>
      </c>
      <c r="D415" s="790">
        <v>208</v>
      </c>
      <c r="E415" s="790">
        <v>1539</v>
      </c>
      <c r="F415" s="790">
        <v>3266</v>
      </c>
      <c r="G415" s="790">
        <v>141</v>
      </c>
      <c r="H415" s="790">
        <v>2289</v>
      </c>
      <c r="I415" s="790">
        <v>1369</v>
      </c>
      <c r="J415" s="796">
        <f t="shared" si="13"/>
        <v>0.50206656515118553</v>
      </c>
    </row>
    <row r="416" spans="1:10">
      <c r="A416" s="322" t="s">
        <v>86</v>
      </c>
      <c r="B416" s="793">
        <v>44296</v>
      </c>
      <c r="C416" s="790">
        <f t="shared" si="12"/>
        <v>1917</v>
      </c>
      <c r="D416" s="790">
        <v>23</v>
      </c>
      <c r="E416" s="790">
        <v>758</v>
      </c>
      <c r="F416" s="790">
        <v>1159</v>
      </c>
      <c r="G416" s="790">
        <v>140</v>
      </c>
      <c r="H416" s="790">
        <v>816</v>
      </c>
      <c r="I416" s="790">
        <v>455</v>
      </c>
      <c r="J416" s="796">
        <f t="shared" si="13"/>
        <v>0.56916578669482576</v>
      </c>
    </row>
    <row r="417" spans="1:10">
      <c r="A417" s="322" t="s">
        <v>89</v>
      </c>
      <c r="B417" s="793">
        <v>44297</v>
      </c>
      <c r="C417" s="790">
        <f t="shared" si="12"/>
        <v>15861</v>
      </c>
      <c r="D417" s="790">
        <v>656</v>
      </c>
      <c r="E417" s="790">
        <v>4885</v>
      </c>
      <c r="F417" s="790">
        <v>10976</v>
      </c>
      <c r="G417" s="790">
        <v>632</v>
      </c>
      <c r="H417" s="790">
        <v>9003</v>
      </c>
      <c r="I417" s="790">
        <v>5529</v>
      </c>
      <c r="J417" s="796">
        <f t="shared" si="13"/>
        <v>0.40789214074317659</v>
      </c>
    </row>
    <row r="418" spans="1:10">
      <c r="A418" s="322" t="s">
        <v>88</v>
      </c>
      <c r="B418" s="793">
        <v>44298</v>
      </c>
      <c r="C418" s="790">
        <f t="shared" si="12"/>
        <v>3307</v>
      </c>
      <c r="D418" s="790">
        <v>67</v>
      </c>
      <c r="E418" s="790">
        <v>1241</v>
      </c>
      <c r="F418" s="790">
        <v>2066</v>
      </c>
      <c r="G418" s="790">
        <v>138</v>
      </c>
      <c r="H418" s="790">
        <v>1456</v>
      </c>
      <c r="I418" s="790">
        <v>861</v>
      </c>
      <c r="J418" s="796">
        <f t="shared" si="13"/>
        <v>0.55061728395061726</v>
      </c>
    </row>
    <row r="419" spans="1:10">
      <c r="A419" s="322" t="s">
        <v>87</v>
      </c>
      <c r="B419" s="793">
        <v>44299</v>
      </c>
      <c r="C419" s="790">
        <f t="shared" si="12"/>
        <v>3278</v>
      </c>
      <c r="D419" s="790">
        <v>50</v>
      </c>
      <c r="E419" s="790">
        <v>1081</v>
      </c>
      <c r="F419" s="790">
        <v>2197</v>
      </c>
      <c r="G419" s="790">
        <v>91</v>
      </c>
      <c r="H419" s="790">
        <v>1711</v>
      </c>
      <c r="I419" s="790">
        <v>821</v>
      </c>
      <c r="J419" s="796">
        <f t="shared" si="13"/>
        <v>0.46995043370508049</v>
      </c>
    </row>
    <row r="420" spans="1:10">
      <c r="A420" s="322" t="s">
        <v>90</v>
      </c>
      <c r="B420" s="793">
        <v>44300</v>
      </c>
      <c r="C420" s="790">
        <f t="shared" si="12"/>
        <v>2954</v>
      </c>
      <c r="D420" s="790">
        <v>159</v>
      </c>
      <c r="E420" s="790">
        <v>1063</v>
      </c>
      <c r="F420" s="790">
        <v>1891</v>
      </c>
      <c r="G420" s="790">
        <v>81</v>
      </c>
      <c r="H420" s="790">
        <v>1156</v>
      </c>
      <c r="I420" s="790">
        <v>606</v>
      </c>
      <c r="J420" s="796">
        <f t="shared" si="13"/>
        <v>0.58640429338103761</v>
      </c>
    </row>
    <row r="421" spans="1:10">
      <c r="A421" s="322" t="s">
        <v>91</v>
      </c>
      <c r="B421" s="793">
        <v>44301</v>
      </c>
      <c r="C421" s="790">
        <f t="shared" si="12"/>
        <v>2816</v>
      </c>
      <c r="D421" s="790">
        <v>52</v>
      </c>
      <c r="E421" s="790">
        <v>978</v>
      </c>
      <c r="F421" s="790">
        <v>1838</v>
      </c>
      <c r="G421" s="790">
        <v>189</v>
      </c>
      <c r="H421" s="790">
        <v>1373</v>
      </c>
      <c r="I421" s="790">
        <v>813</v>
      </c>
      <c r="J421" s="796">
        <f t="shared" si="13"/>
        <v>0.50325615050651229</v>
      </c>
    </row>
    <row r="422" spans="1:10">
      <c r="A422" s="322" t="s">
        <v>93</v>
      </c>
      <c r="B422" s="793">
        <v>44302</v>
      </c>
      <c r="C422" s="790">
        <f t="shared" si="12"/>
        <v>5074</v>
      </c>
      <c r="D422" s="790">
        <v>331</v>
      </c>
      <c r="E422" s="790">
        <v>1620</v>
      </c>
      <c r="F422" s="790">
        <v>3454</v>
      </c>
      <c r="G422" s="790">
        <v>229</v>
      </c>
      <c r="H422" s="790">
        <v>2656</v>
      </c>
      <c r="I422" s="790">
        <v>1599</v>
      </c>
      <c r="J422" s="796">
        <f t="shared" si="13"/>
        <v>0.4400168669618385</v>
      </c>
    </row>
    <row r="423" spans="1:10">
      <c r="A423" s="322" t="s">
        <v>94</v>
      </c>
      <c r="B423" s="793">
        <v>44303</v>
      </c>
      <c r="C423" s="790">
        <f t="shared" si="12"/>
        <v>1399</v>
      </c>
      <c r="D423" s="790">
        <v>35</v>
      </c>
      <c r="E423" s="790">
        <v>499</v>
      </c>
      <c r="F423" s="790">
        <v>900</v>
      </c>
      <c r="G423" s="790">
        <v>79</v>
      </c>
      <c r="H423" s="790">
        <v>756</v>
      </c>
      <c r="I423" s="790">
        <v>417</v>
      </c>
      <c r="J423" s="796">
        <f t="shared" si="13"/>
        <v>0.44574780058651031</v>
      </c>
    </row>
    <row r="424" spans="1:10">
      <c r="A424" s="322" t="s">
        <v>92</v>
      </c>
      <c r="B424" s="793">
        <v>44304</v>
      </c>
      <c r="C424" s="790">
        <f t="shared" si="12"/>
        <v>13263</v>
      </c>
      <c r="D424" s="790">
        <v>401</v>
      </c>
      <c r="E424" s="790">
        <v>4434</v>
      </c>
      <c r="F424" s="790">
        <v>8829</v>
      </c>
      <c r="G424" s="790">
        <v>551</v>
      </c>
      <c r="H424" s="790">
        <v>7259</v>
      </c>
      <c r="I424" s="790">
        <v>4289</v>
      </c>
      <c r="J424" s="796">
        <f t="shared" si="13"/>
        <v>0.43562431970144611</v>
      </c>
    </row>
    <row r="425" spans="1:10">
      <c r="A425" s="322" t="s">
        <v>95</v>
      </c>
      <c r="B425" s="793">
        <v>44305</v>
      </c>
      <c r="C425" s="790">
        <f t="shared" si="12"/>
        <v>20657</v>
      </c>
      <c r="D425" s="790">
        <v>3502</v>
      </c>
      <c r="E425" s="790">
        <v>8473</v>
      </c>
      <c r="F425" s="790">
        <v>12184</v>
      </c>
      <c r="G425" s="790">
        <v>379</v>
      </c>
      <c r="H425" s="790">
        <v>8803</v>
      </c>
      <c r="I425" s="790">
        <v>5736</v>
      </c>
      <c r="J425" s="796">
        <f t="shared" si="13"/>
        <v>0.48685514427280674</v>
      </c>
    </row>
    <row r="426" spans="1:10">
      <c r="A426" s="322" t="s">
        <v>96</v>
      </c>
      <c r="B426" s="793">
        <v>44306</v>
      </c>
      <c r="C426" s="790">
        <f t="shared" si="12"/>
        <v>2552</v>
      </c>
      <c r="D426" s="790">
        <v>47</v>
      </c>
      <c r="E426" s="790">
        <v>680</v>
      </c>
      <c r="F426" s="790">
        <v>1872</v>
      </c>
      <c r="G426" s="790">
        <v>62</v>
      </c>
      <c r="H426" s="790">
        <v>1145</v>
      </c>
      <c r="I426" s="790">
        <v>670</v>
      </c>
      <c r="J426" s="796">
        <f t="shared" si="13"/>
        <v>0.54291417165668665</v>
      </c>
    </row>
    <row r="427" spans="1:10">
      <c r="A427" s="322" t="s">
        <v>98</v>
      </c>
      <c r="B427" s="793">
        <v>44307</v>
      </c>
      <c r="C427" s="790">
        <f t="shared" si="12"/>
        <v>1280</v>
      </c>
      <c r="D427" s="790">
        <v>9</v>
      </c>
      <c r="E427" s="790">
        <v>564</v>
      </c>
      <c r="F427" s="790">
        <v>716</v>
      </c>
      <c r="G427" s="790">
        <v>67</v>
      </c>
      <c r="H427" s="790">
        <v>564</v>
      </c>
      <c r="I427" s="790">
        <v>294</v>
      </c>
      <c r="J427" s="796">
        <f t="shared" si="13"/>
        <v>0.55625491738788357</v>
      </c>
    </row>
    <row r="428" spans="1:10">
      <c r="A428" s="322" t="s">
        <v>99</v>
      </c>
      <c r="B428" s="793">
        <v>44308</v>
      </c>
      <c r="C428" s="790">
        <f t="shared" si="12"/>
        <v>228</v>
      </c>
      <c r="D428" s="790">
        <v>8</v>
      </c>
      <c r="E428" s="790">
        <v>89</v>
      </c>
      <c r="F428" s="790">
        <v>139</v>
      </c>
      <c r="G428" s="790">
        <v>9</v>
      </c>
      <c r="H428" s="790">
        <v>98</v>
      </c>
      <c r="I428" s="790">
        <v>39</v>
      </c>
      <c r="J428" s="796">
        <f t="shared" si="13"/>
        <v>0.55454545454545456</v>
      </c>
    </row>
    <row r="429" spans="1:10">
      <c r="A429" s="322" t="s">
        <v>97</v>
      </c>
      <c r="B429" s="793">
        <v>44309</v>
      </c>
      <c r="C429" s="790">
        <f t="shared" si="12"/>
        <v>16818</v>
      </c>
      <c r="D429" s="790">
        <v>900</v>
      </c>
      <c r="E429" s="790">
        <v>5670</v>
      </c>
      <c r="F429" s="790">
        <v>11148</v>
      </c>
      <c r="G429" s="790">
        <v>484</v>
      </c>
      <c r="H429" s="790">
        <v>8366</v>
      </c>
      <c r="I429" s="790">
        <v>5213</v>
      </c>
      <c r="J429" s="796">
        <f t="shared" si="13"/>
        <v>0.47443146123884905</v>
      </c>
    </row>
    <row r="430" spans="1:10">
      <c r="A430" s="322" t="s">
        <v>100</v>
      </c>
      <c r="B430" s="793">
        <v>44310</v>
      </c>
      <c r="C430" s="790">
        <f t="shared" si="12"/>
        <v>10875</v>
      </c>
      <c r="D430" s="790">
        <v>235</v>
      </c>
      <c r="E430" s="790">
        <v>3519</v>
      </c>
      <c r="F430" s="790">
        <v>7356</v>
      </c>
      <c r="G430" s="790">
        <v>454</v>
      </c>
      <c r="H430" s="790">
        <v>5968</v>
      </c>
      <c r="I430" s="790">
        <v>3551</v>
      </c>
      <c r="J430" s="796">
        <f t="shared" si="13"/>
        <v>0.43909774436090221</v>
      </c>
    </row>
    <row r="431" spans="1:10">
      <c r="A431" s="322" t="s">
        <v>102</v>
      </c>
      <c r="B431" s="793">
        <v>44311</v>
      </c>
      <c r="C431" s="790">
        <f t="shared" si="12"/>
        <v>1485</v>
      </c>
      <c r="D431" s="790">
        <v>31</v>
      </c>
      <c r="E431" s="790">
        <v>577</v>
      </c>
      <c r="F431" s="790">
        <v>908</v>
      </c>
      <c r="G431" s="790">
        <v>59</v>
      </c>
      <c r="H431" s="790">
        <v>748</v>
      </c>
      <c r="I431" s="790">
        <v>419</v>
      </c>
      <c r="J431" s="796">
        <f t="shared" si="13"/>
        <v>0.4855570839064649</v>
      </c>
    </row>
    <row r="432" spans="1:10">
      <c r="A432" s="322" t="s">
        <v>101</v>
      </c>
      <c r="B432" s="793">
        <v>44312</v>
      </c>
      <c r="C432" s="790">
        <f t="shared" si="12"/>
        <v>62629</v>
      </c>
      <c r="D432" s="790">
        <v>5472</v>
      </c>
      <c r="E432" s="790">
        <v>23193</v>
      </c>
      <c r="F432" s="790">
        <v>39436</v>
      </c>
      <c r="G432" s="790">
        <v>1823</v>
      </c>
      <c r="H432" s="790">
        <v>31585</v>
      </c>
      <c r="I432" s="790">
        <v>19415</v>
      </c>
      <c r="J432" s="796">
        <f t="shared" si="13"/>
        <v>0.44739926868100144</v>
      </c>
    </row>
    <row r="433" spans="1:10">
      <c r="A433" s="322" t="s">
        <v>103</v>
      </c>
      <c r="B433" s="793">
        <v>44313</v>
      </c>
      <c r="C433" s="790">
        <f t="shared" si="12"/>
        <v>787</v>
      </c>
      <c r="D433" s="790">
        <v>14</v>
      </c>
      <c r="E433" s="790">
        <v>317</v>
      </c>
      <c r="F433" s="790">
        <v>470</v>
      </c>
      <c r="G433" s="790">
        <v>48</v>
      </c>
      <c r="H433" s="790">
        <v>383</v>
      </c>
      <c r="I433" s="790">
        <v>211</v>
      </c>
      <c r="J433" s="796">
        <f t="shared" si="13"/>
        <v>0.5045278137128073</v>
      </c>
    </row>
    <row r="434" spans="1:10">
      <c r="A434" s="322" t="s">
        <v>77</v>
      </c>
      <c r="B434" s="793">
        <v>44317</v>
      </c>
      <c r="C434" s="790">
        <f t="shared" si="12"/>
        <v>653</v>
      </c>
      <c r="D434" s="790">
        <v>7</v>
      </c>
      <c r="E434" s="790">
        <v>351</v>
      </c>
      <c r="F434" s="790">
        <v>302</v>
      </c>
      <c r="G434" s="790">
        <v>28</v>
      </c>
      <c r="H434" s="790">
        <v>268</v>
      </c>
      <c r="I434" s="790">
        <v>122</v>
      </c>
      <c r="J434" s="796">
        <f t="shared" si="13"/>
        <v>0.5851393188854489</v>
      </c>
    </row>
    <row r="435" spans="1:10">
      <c r="A435" s="322" t="s">
        <v>78</v>
      </c>
      <c r="B435" s="793">
        <v>44318</v>
      </c>
      <c r="C435" s="790">
        <f t="shared" si="12"/>
        <v>2057</v>
      </c>
      <c r="D435" s="790">
        <v>58</v>
      </c>
      <c r="E435" s="790">
        <v>558</v>
      </c>
      <c r="F435" s="790">
        <v>1499</v>
      </c>
      <c r="G435" s="790">
        <v>97</v>
      </c>
      <c r="H435" s="790">
        <v>1126</v>
      </c>
      <c r="I435" s="790">
        <v>693</v>
      </c>
      <c r="J435" s="796">
        <f t="shared" si="13"/>
        <v>0.43671835917958979</v>
      </c>
    </row>
    <row r="436" spans="1:10">
      <c r="A436" s="322" t="s">
        <v>80</v>
      </c>
      <c r="B436" s="793">
        <v>44319</v>
      </c>
      <c r="C436" s="790">
        <f t="shared" si="12"/>
        <v>1882</v>
      </c>
      <c r="D436" s="790">
        <v>13</v>
      </c>
      <c r="E436" s="790">
        <v>739</v>
      </c>
      <c r="F436" s="790">
        <v>1143</v>
      </c>
      <c r="G436" s="790">
        <v>92</v>
      </c>
      <c r="H436" s="790">
        <v>878</v>
      </c>
      <c r="I436" s="790">
        <v>447</v>
      </c>
      <c r="J436" s="796">
        <f t="shared" si="13"/>
        <v>0.53023006955591223</v>
      </c>
    </row>
    <row r="437" spans="1:10">
      <c r="A437" s="322" t="s">
        <v>79</v>
      </c>
      <c r="B437" s="793">
        <v>44320</v>
      </c>
      <c r="C437" s="790">
        <f t="shared" si="12"/>
        <v>778</v>
      </c>
      <c r="D437" s="790">
        <v>7</v>
      </c>
      <c r="E437" s="790">
        <v>428</v>
      </c>
      <c r="F437" s="790">
        <v>350</v>
      </c>
      <c r="G437" s="790">
        <v>23</v>
      </c>
      <c r="H437" s="790">
        <v>315</v>
      </c>
      <c r="I437" s="790">
        <v>138</v>
      </c>
      <c r="J437" s="796">
        <f t="shared" si="13"/>
        <v>0.59143968871595332</v>
      </c>
    </row>
    <row r="438" spans="1:10">
      <c r="A438" s="322" t="s">
        <v>81</v>
      </c>
      <c r="B438" s="793">
        <v>44321</v>
      </c>
      <c r="C438" s="790">
        <f t="shared" si="12"/>
        <v>6785</v>
      </c>
      <c r="D438" s="790">
        <v>771</v>
      </c>
      <c r="E438" s="790">
        <v>2564</v>
      </c>
      <c r="F438" s="790">
        <v>4221</v>
      </c>
      <c r="G438" s="790">
        <v>307</v>
      </c>
      <c r="H438" s="790">
        <v>3478</v>
      </c>
      <c r="I438" s="790">
        <v>1969</v>
      </c>
      <c r="J438" s="796">
        <f t="shared" si="13"/>
        <v>0.42168274027269703</v>
      </c>
    </row>
    <row r="439" spans="1:10">
      <c r="A439" s="322" t="s">
        <v>82</v>
      </c>
      <c r="B439" s="793">
        <v>44322</v>
      </c>
      <c r="C439" s="790">
        <f t="shared" si="12"/>
        <v>4182</v>
      </c>
      <c r="D439" s="790">
        <v>151</v>
      </c>
      <c r="E439" s="790">
        <v>1637</v>
      </c>
      <c r="F439" s="790">
        <v>2545</v>
      </c>
      <c r="G439" s="790">
        <v>345</v>
      </c>
      <c r="H439" s="790">
        <v>2358</v>
      </c>
      <c r="I439" s="790">
        <v>1378</v>
      </c>
      <c r="J439" s="796">
        <f t="shared" si="13"/>
        <v>0.41503349044902005</v>
      </c>
    </row>
    <row r="440" spans="1:10">
      <c r="A440" s="322" t="s">
        <v>83</v>
      </c>
      <c r="B440" s="793">
        <v>44323</v>
      </c>
      <c r="C440" s="790">
        <f t="shared" si="12"/>
        <v>6425</v>
      </c>
      <c r="D440" s="790">
        <v>471</v>
      </c>
      <c r="E440" s="790">
        <v>2310</v>
      </c>
      <c r="F440" s="790">
        <v>4115</v>
      </c>
      <c r="G440" s="790">
        <v>254</v>
      </c>
      <c r="H440" s="790">
        <v>3471</v>
      </c>
      <c r="I440" s="790">
        <v>2168</v>
      </c>
      <c r="J440" s="796">
        <f t="shared" si="13"/>
        <v>0.41703056768558955</v>
      </c>
    </row>
    <row r="441" spans="1:10">
      <c r="A441" s="322" t="s">
        <v>84</v>
      </c>
      <c r="B441" s="793">
        <v>44324</v>
      </c>
      <c r="C441" s="790">
        <f t="shared" si="12"/>
        <v>3752</v>
      </c>
      <c r="D441" s="790">
        <v>77</v>
      </c>
      <c r="E441" s="790">
        <v>992</v>
      </c>
      <c r="F441" s="790">
        <v>2760</v>
      </c>
      <c r="G441" s="790">
        <v>214</v>
      </c>
      <c r="H441" s="790">
        <v>2690</v>
      </c>
      <c r="I441" s="790">
        <v>1611</v>
      </c>
      <c r="J441" s="796">
        <f t="shared" si="13"/>
        <v>0.26802721088435377</v>
      </c>
    </row>
    <row r="442" spans="1:10">
      <c r="A442" s="322" t="s">
        <v>85</v>
      </c>
      <c r="B442" s="793">
        <v>44325</v>
      </c>
      <c r="C442" s="790">
        <f t="shared" si="12"/>
        <v>4847</v>
      </c>
      <c r="D442" s="790">
        <v>208</v>
      </c>
      <c r="E442" s="790">
        <v>1554</v>
      </c>
      <c r="F442" s="790">
        <v>3293</v>
      </c>
      <c r="G442" s="790">
        <v>186</v>
      </c>
      <c r="H442" s="790">
        <v>2529</v>
      </c>
      <c r="I442" s="790">
        <v>1468</v>
      </c>
      <c r="J442" s="796">
        <f t="shared" si="13"/>
        <v>0.45483940504419051</v>
      </c>
    </row>
    <row r="443" spans="1:10">
      <c r="A443" s="322" t="s">
        <v>86</v>
      </c>
      <c r="B443" s="793">
        <v>44326</v>
      </c>
      <c r="C443" s="790">
        <f t="shared" si="12"/>
        <v>1949</v>
      </c>
      <c r="D443" s="790">
        <v>23</v>
      </c>
      <c r="E443" s="790">
        <v>767</v>
      </c>
      <c r="F443" s="790">
        <v>1182</v>
      </c>
      <c r="G443" s="790">
        <v>163</v>
      </c>
      <c r="H443" s="790">
        <v>909</v>
      </c>
      <c r="I443" s="790">
        <v>490</v>
      </c>
      <c r="J443" s="796">
        <f t="shared" si="13"/>
        <v>0.5280373831775701</v>
      </c>
    </row>
    <row r="444" spans="1:10">
      <c r="A444" s="322" t="s">
        <v>89</v>
      </c>
      <c r="B444" s="793">
        <v>44327</v>
      </c>
      <c r="C444" s="790">
        <f t="shared" si="12"/>
        <v>16096</v>
      </c>
      <c r="D444" s="790">
        <v>656</v>
      </c>
      <c r="E444" s="790">
        <v>4945</v>
      </c>
      <c r="F444" s="790">
        <v>11151</v>
      </c>
      <c r="G444" s="790">
        <v>840</v>
      </c>
      <c r="H444" s="790">
        <v>9719</v>
      </c>
      <c r="I444" s="790">
        <v>5799</v>
      </c>
      <c r="J444" s="796">
        <f t="shared" si="13"/>
        <v>0.37053108808290158</v>
      </c>
    </row>
    <row r="445" spans="1:10">
      <c r="A445" s="322" t="s">
        <v>88</v>
      </c>
      <c r="B445" s="793">
        <v>44328</v>
      </c>
      <c r="C445" s="790">
        <f t="shared" si="12"/>
        <v>3331</v>
      </c>
      <c r="D445" s="790">
        <v>67</v>
      </c>
      <c r="E445" s="790">
        <v>1249</v>
      </c>
      <c r="F445" s="790">
        <v>2082</v>
      </c>
      <c r="G445" s="790">
        <v>163</v>
      </c>
      <c r="H445" s="790">
        <v>1589</v>
      </c>
      <c r="I445" s="790">
        <v>918</v>
      </c>
      <c r="J445" s="796">
        <f t="shared" si="13"/>
        <v>0.51317401960784315</v>
      </c>
    </row>
    <row r="446" spans="1:10">
      <c r="A446" s="322" t="s">
        <v>87</v>
      </c>
      <c r="B446" s="793">
        <v>44329</v>
      </c>
      <c r="C446" s="790">
        <f t="shared" si="12"/>
        <v>3294</v>
      </c>
      <c r="D446" s="790">
        <v>50</v>
      </c>
      <c r="E446" s="790">
        <v>1084</v>
      </c>
      <c r="F446" s="790">
        <v>2210</v>
      </c>
      <c r="G446" s="790">
        <v>109</v>
      </c>
      <c r="H446" s="790">
        <v>1885</v>
      </c>
      <c r="I446" s="790">
        <v>889</v>
      </c>
      <c r="J446" s="796">
        <f t="shared" si="13"/>
        <v>0.41892725030826139</v>
      </c>
    </row>
    <row r="447" spans="1:10">
      <c r="A447" s="322" t="s">
        <v>90</v>
      </c>
      <c r="B447" s="793">
        <v>44330</v>
      </c>
      <c r="C447" s="790">
        <f t="shared" si="12"/>
        <v>2987</v>
      </c>
      <c r="D447" s="790">
        <v>159</v>
      </c>
      <c r="E447" s="790">
        <v>1076</v>
      </c>
      <c r="F447" s="790">
        <v>1911</v>
      </c>
      <c r="G447" s="790">
        <v>106</v>
      </c>
      <c r="H447" s="790">
        <v>1269</v>
      </c>
      <c r="I447" s="790">
        <v>640</v>
      </c>
      <c r="J447" s="796">
        <f t="shared" si="13"/>
        <v>0.55127298444130135</v>
      </c>
    </row>
    <row r="448" spans="1:10">
      <c r="A448" s="322" t="s">
        <v>91</v>
      </c>
      <c r="B448" s="793">
        <v>44331</v>
      </c>
      <c r="C448" s="790">
        <f t="shared" si="12"/>
        <v>2852</v>
      </c>
      <c r="D448" s="790">
        <v>52</v>
      </c>
      <c r="E448" s="790">
        <v>993</v>
      </c>
      <c r="F448" s="790">
        <v>1859</v>
      </c>
      <c r="G448" s="790">
        <v>216</v>
      </c>
      <c r="H448" s="790">
        <v>1482</v>
      </c>
      <c r="I448" s="790">
        <v>849</v>
      </c>
      <c r="J448" s="796">
        <f t="shared" si="13"/>
        <v>0.47071428571428575</v>
      </c>
    </row>
    <row r="449" spans="1:10">
      <c r="A449" s="322" t="s">
        <v>93</v>
      </c>
      <c r="B449" s="793">
        <v>44332</v>
      </c>
      <c r="C449" s="790">
        <f t="shared" si="12"/>
        <v>5125</v>
      </c>
      <c r="D449" s="790">
        <v>331</v>
      </c>
      <c r="E449" s="790">
        <v>1633</v>
      </c>
      <c r="F449" s="790">
        <v>3492</v>
      </c>
      <c r="G449" s="790">
        <v>288</v>
      </c>
      <c r="H449" s="790">
        <v>2874</v>
      </c>
      <c r="I449" s="790">
        <v>1681</v>
      </c>
      <c r="J449" s="796">
        <f t="shared" si="13"/>
        <v>0.40050062578222778</v>
      </c>
    </row>
    <row r="450" spans="1:10">
      <c r="A450" s="322" t="s">
        <v>94</v>
      </c>
      <c r="B450" s="793">
        <v>44333</v>
      </c>
      <c r="C450" s="790">
        <f t="shared" si="12"/>
        <v>1421</v>
      </c>
      <c r="D450" s="790">
        <v>35</v>
      </c>
      <c r="E450" s="790">
        <v>503</v>
      </c>
      <c r="F450" s="790">
        <v>918</v>
      </c>
      <c r="G450" s="790">
        <v>93</v>
      </c>
      <c r="H450" s="790">
        <v>833</v>
      </c>
      <c r="I450" s="790">
        <v>443</v>
      </c>
      <c r="J450" s="796">
        <f t="shared" si="13"/>
        <v>0.39898989898989901</v>
      </c>
    </row>
    <row r="451" spans="1:10">
      <c r="A451" s="322" t="s">
        <v>92</v>
      </c>
      <c r="B451" s="793">
        <v>44334</v>
      </c>
      <c r="C451" s="790">
        <f t="shared" ref="C451:C514" si="14">E451+F451</f>
        <v>13424</v>
      </c>
      <c r="D451" s="790">
        <v>401</v>
      </c>
      <c r="E451" s="790">
        <v>4477</v>
      </c>
      <c r="F451" s="790">
        <v>8947</v>
      </c>
      <c r="G451" s="790">
        <v>715</v>
      </c>
      <c r="H451" s="790">
        <v>7726</v>
      </c>
      <c r="I451" s="790">
        <v>4493</v>
      </c>
      <c r="J451" s="796">
        <f t="shared" ref="J451:J514" si="15">1-(H451/(C451-D451))</f>
        <v>0.40674191814482075</v>
      </c>
    </row>
    <row r="452" spans="1:10">
      <c r="A452" s="322" t="s">
        <v>95</v>
      </c>
      <c r="B452" s="793">
        <v>44335</v>
      </c>
      <c r="C452" s="790">
        <f t="shared" si="14"/>
        <v>20726</v>
      </c>
      <c r="D452" s="790">
        <v>3502</v>
      </c>
      <c r="E452" s="790">
        <v>8493</v>
      </c>
      <c r="F452" s="790">
        <v>12233</v>
      </c>
      <c r="G452" s="790">
        <v>474</v>
      </c>
      <c r="H452" s="790">
        <v>9741</v>
      </c>
      <c r="I452" s="790">
        <v>6127</v>
      </c>
      <c r="J452" s="796">
        <f t="shared" si="15"/>
        <v>0.43445192754296336</v>
      </c>
    </row>
    <row r="453" spans="1:10">
      <c r="A453" s="322" t="s">
        <v>96</v>
      </c>
      <c r="B453" s="793">
        <v>44336</v>
      </c>
      <c r="C453" s="790">
        <f t="shared" si="14"/>
        <v>2577</v>
      </c>
      <c r="D453" s="790">
        <v>47</v>
      </c>
      <c r="E453" s="790">
        <v>686</v>
      </c>
      <c r="F453" s="790">
        <v>1891</v>
      </c>
      <c r="G453" s="790">
        <v>89</v>
      </c>
      <c r="H453" s="790">
        <v>1285</v>
      </c>
      <c r="I453" s="790">
        <v>718</v>
      </c>
      <c r="J453" s="796">
        <f t="shared" si="15"/>
        <v>0.4920948616600791</v>
      </c>
    </row>
    <row r="454" spans="1:10">
      <c r="A454" s="322" t="s">
        <v>98</v>
      </c>
      <c r="B454" s="793">
        <v>44337</v>
      </c>
      <c r="C454" s="790">
        <f t="shared" si="14"/>
        <v>1300</v>
      </c>
      <c r="D454" s="790">
        <v>9</v>
      </c>
      <c r="E454" s="790">
        <v>574</v>
      </c>
      <c r="F454" s="790">
        <v>726</v>
      </c>
      <c r="G454" s="790">
        <v>79</v>
      </c>
      <c r="H454" s="790">
        <v>631</v>
      </c>
      <c r="I454" s="790">
        <v>311</v>
      </c>
      <c r="J454" s="796">
        <f t="shared" si="15"/>
        <v>0.51123160340821072</v>
      </c>
    </row>
    <row r="455" spans="1:10">
      <c r="A455" s="322" t="s">
        <v>99</v>
      </c>
      <c r="B455" s="793">
        <v>44338</v>
      </c>
      <c r="C455" s="790">
        <f t="shared" si="14"/>
        <v>229</v>
      </c>
      <c r="D455" s="790">
        <v>8</v>
      </c>
      <c r="E455" s="790">
        <v>90</v>
      </c>
      <c r="F455" s="790">
        <v>139</v>
      </c>
      <c r="G455" s="790">
        <v>10</v>
      </c>
      <c r="H455" s="790">
        <v>106</v>
      </c>
      <c r="I455" s="790">
        <v>42</v>
      </c>
      <c r="J455" s="796">
        <f t="shared" si="15"/>
        <v>0.52036199095022617</v>
      </c>
    </row>
    <row r="456" spans="1:10">
      <c r="A456" s="322" t="s">
        <v>97</v>
      </c>
      <c r="B456" s="793">
        <v>44339</v>
      </c>
      <c r="C456" s="790">
        <f t="shared" si="14"/>
        <v>16954</v>
      </c>
      <c r="D456" s="790">
        <v>900</v>
      </c>
      <c r="E456" s="790">
        <v>5704</v>
      </c>
      <c r="F456" s="790">
        <v>11250</v>
      </c>
      <c r="G456" s="790">
        <v>624</v>
      </c>
      <c r="H456" s="790">
        <v>9246</v>
      </c>
      <c r="I456" s="790">
        <v>5535</v>
      </c>
      <c r="J456" s="796">
        <f t="shared" si="15"/>
        <v>0.4240687679083095</v>
      </c>
    </row>
    <row r="457" spans="1:10">
      <c r="A457" s="322" t="s">
        <v>100</v>
      </c>
      <c r="B457" s="793">
        <v>44340</v>
      </c>
      <c r="C457" s="790">
        <f t="shared" si="14"/>
        <v>10961</v>
      </c>
      <c r="D457" s="790">
        <v>235</v>
      </c>
      <c r="E457" s="790">
        <v>3542</v>
      </c>
      <c r="F457" s="790">
        <v>7419</v>
      </c>
      <c r="G457" s="790">
        <v>555</v>
      </c>
      <c r="H457" s="790">
        <v>6482</v>
      </c>
      <c r="I457" s="790">
        <v>3751</v>
      </c>
      <c r="J457" s="796">
        <f t="shared" si="15"/>
        <v>0.39567406302442665</v>
      </c>
    </row>
    <row r="458" spans="1:10">
      <c r="A458" s="322" t="s">
        <v>102</v>
      </c>
      <c r="B458" s="793">
        <v>44341</v>
      </c>
      <c r="C458" s="790">
        <f t="shared" si="14"/>
        <v>1495</v>
      </c>
      <c r="D458" s="790">
        <v>31</v>
      </c>
      <c r="E458" s="790">
        <v>585</v>
      </c>
      <c r="F458" s="790">
        <v>910</v>
      </c>
      <c r="G458" s="790">
        <v>69</v>
      </c>
      <c r="H458" s="790">
        <v>809</v>
      </c>
      <c r="I458" s="790">
        <v>436</v>
      </c>
      <c r="J458" s="796">
        <f t="shared" si="15"/>
        <v>0.44740437158469948</v>
      </c>
    </row>
    <row r="459" spans="1:10">
      <c r="A459" s="322" t="s">
        <v>101</v>
      </c>
      <c r="B459" s="793">
        <v>44342</v>
      </c>
      <c r="C459" s="790">
        <f t="shared" si="14"/>
        <v>63007</v>
      </c>
      <c r="D459" s="790">
        <v>5472</v>
      </c>
      <c r="E459" s="790">
        <v>23318</v>
      </c>
      <c r="F459" s="790">
        <v>39689</v>
      </c>
      <c r="G459" s="790">
        <v>2187</v>
      </c>
      <c r="H459" s="790">
        <v>33603</v>
      </c>
      <c r="I459" s="790">
        <v>20124</v>
      </c>
      <c r="J459" s="796">
        <f t="shared" si="15"/>
        <v>0.41595550534457282</v>
      </c>
    </row>
    <row r="460" spans="1:10">
      <c r="A460" s="322" t="s">
        <v>103</v>
      </c>
      <c r="B460" s="793">
        <v>44343</v>
      </c>
      <c r="C460" s="790">
        <f t="shared" si="14"/>
        <v>797</v>
      </c>
      <c r="D460" s="790">
        <v>14</v>
      </c>
      <c r="E460" s="790">
        <v>319</v>
      </c>
      <c r="F460" s="790">
        <v>478</v>
      </c>
      <c r="G460" s="790">
        <v>53</v>
      </c>
      <c r="H460" s="790">
        <v>417</v>
      </c>
      <c r="I460" s="790">
        <v>220</v>
      </c>
      <c r="J460" s="796">
        <f t="shared" si="15"/>
        <v>0.46743295019157083</v>
      </c>
    </row>
    <row r="461" spans="1:10">
      <c r="A461" s="322" t="s">
        <v>77</v>
      </c>
      <c r="B461" s="793">
        <v>44348</v>
      </c>
      <c r="C461" s="790">
        <f t="shared" si="14"/>
        <v>664</v>
      </c>
      <c r="D461" s="790">
        <v>7</v>
      </c>
      <c r="E461" s="790">
        <v>353</v>
      </c>
      <c r="F461" s="790">
        <v>311</v>
      </c>
      <c r="G461" s="790">
        <v>35</v>
      </c>
      <c r="H461" s="790">
        <v>317</v>
      </c>
      <c r="I461" s="790">
        <v>136</v>
      </c>
      <c r="J461" s="796">
        <f t="shared" si="15"/>
        <v>0.51750380517503802</v>
      </c>
    </row>
    <row r="462" spans="1:10">
      <c r="A462" s="322" t="s">
        <v>78</v>
      </c>
      <c r="B462" s="793">
        <v>44349</v>
      </c>
      <c r="C462" s="790">
        <f t="shared" si="14"/>
        <v>2067</v>
      </c>
      <c r="D462" s="790">
        <v>58</v>
      </c>
      <c r="E462" s="790">
        <v>562</v>
      </c>
      <c r="F462" s="790">
        <v>1505</v>
      </c>
      <c r="G462" s="790">
        <v>108</v>
      </c>
      <c r="H462" s="790">
        <v>1198</v>
      </c>
      <c r="I462" s="790">
        <v>715</v>
      </c>
      <c r="J462" s="796">
        <f t="shared" si="15"/>
        <v>0.40368342458934792</v>
      </c>
    </row>
    <row r="463" spans="1:10">
      <c r="A463" s="322" t="s">
        <v>80</v>
      </c>
      <c r="B463" s="793">
        <v>44350</v>
      </c>
      <c r="C463" s="790">
        <f t="shared" si="14"/>
        <v>1957</v>
      </c>
      <c r="D463" s="790">
        <v>14</v>
      </c>
      <c r="E463" s="790">
        <v>772</v>
      </c>
      <c r="F463" s="790">
        <v>1185</v>
      </c>
      <c r="G463" s="790">
        <v>111</v>
      </c>
      <c r="H463" s="790">
        <v>979</v>
      </c>
      <c r="I463" s="790">
        <v>479</v>
      </c>
      <c r="J463" s="796">
        <f t="shared" si="15"/>
        <v>0.4961399897066392</v>
      </c>
    </row>
    <row r="464" spans="1:10">
      <c r="A464" s="322" t="s">
        <v>79</v>
      </c>
      <c r="B464" s="793">
        <v>44351</v>
      </c>
      <c r="C464" s="790">
        <f t="shared" si="14"/>
        <v>785</v>
      </c>
      <c r="D464" s="790">
        <v>7</v>
      </c>
      <c r="E464" s="790">
        <v>432</v>
      </c>
      <c r="F464" s="790">
        <v>353</v>
      </c>
      <c r="G464" s="790">
        <v>29</v>
      </c>
      <c r="H464" s="790">
        <v>353</v>
      </c>
      <c r="I464" s="790">
        <v>147</v>
      </c>
      <c r="J464" s="796">
        <f t="shared" si="15"/>
        <v>0.54627249357326479</v>
      </c>
    </row>
    <row r="465" spans="1:10">
      <c r="A465" s="322" t="s">
        <v>81</v>
      </c>
      <c r="B465" s="793">
        <v>44352</v>
      </c>
      <c r="C465" s="790">
        <f t="shared" si="14"/>
        <v>6814</v>
      </c>
      <c r="D465" s="790">
        <v>771</v>
      </c>
      <c r="E465" s="790">
        <v>2578</v>
      </c>
      <c r="F465" s="790">
        <v>4236</v>
      </c>
      <c r="G465" s="790">
        <v>348</v>
      </c>
      <c r="H465" s="790">
        <v>3742</v>
      </c>
      <c r="I465" s="790">
        <v>2058</v>
      </c>
      <c r="J465" s="796">
        <f t="shared" si="15"/>
        <v>0.38077114016217106</v>
      </c>
    </row>
    <row r="466" spans="1:10">
      <c r="A466" s="322" t="s">
        <v>82</v>
      </c>
      <c r="B466" s="793">
        <v>44353</v>
      </c>
      <c r="C466" s="790">
        <f t="shared" si="14"/>
        <v>4237</v>
      </c>
      <c r="D466" s="790">
        <v>150</v>
      </c>
      <c r="E466" s="790">
        <v>1656</v>
      </c>
      <c r="F466" s="790">
        <v>2581</v>
      </c>
      <c r="G466" s="790">
        <v>388</v>
      </c>
      <c r="H466" s="790">
        <v>2516</v>
      </c>
      <c r="I466" s="790">
        <v>1435</v>
      </c>
      <c r="J466" s="796">
        <f t="shared" si="15"/>
        <v>0.38438952777098112</v>
      </c>
    </row>
    <row r="467" spans="1:10">
      <c r="A467" s="322" t="s">
        <v>83</v>
      </c>
      <c r="B467" s="793">
        <v>44354</v>
      </c>
      <c r="C467" s="790">
        <f t="shared" si="14"/>
        <v>6479</v>
      </c>
      <c r="D467" s="790">
        <v>471</v>
      </c>
      <c r="E467" s="790">
        <v>2323</v>
      </c>
      <c r="F467" s="790">
        <v>4156</v>
      </c>
      <c r="G467" s="790">
        <v>287</v>
      </c>
      <c r="H467" s="790">
        <v>3699</v>
      </c>
      <c r="I467" s="790">
        <v>2264</v>
      </c>
      <c r="J467" s="796">
        <f t="shared" si="15"/>
        <v>0.38432090545938746</v>
      </c>
    </row>
    <row r="468" spans="1:10">
      <c r="A468" s="322" t="s">
        <v>84</v>
      </c>
      <c r="B468" s="793">
        <v>44355</v>
      </c>
      <c r="C468" s="790">
        <f t="shared" si="14"/>
        <v>3788</v>
      </c>
      <c r="D468" s="790">
        <v>77</v>
      </c>
      <c r="E468" s="790">
        <v>1002</v>
      </c>
      <c r="F468" s="790">
        <v>2786</v>
      </c>
      <c r="G468" s="790">
        <v>243</v>
      </c>
      <c r="H468" s="790">
        <v>2856</v>
      </c>
      <c r="I468" s="790">
        <v>1658</v>
      </c>
      <c r="J468" s="796">
        <f t="shared" si="15"/>
        <v>0.23039611964430073</v>
      </c>
    </row>
    <row r="469" spans="1:10">
      <c r="A469" s="322" t="s">
        <v>85</v>
      </c>
      <c r="B469" s="793">
        <v>44356</v>
      </c>
      <c r="C469" s="790">
        <f t="shared" si="14"/>
        <v>4888</v>
      </c>
      <c r="D469" s="790">
        <v>208</v>
      </c>
      <c r="E469" s="790">
        <v>1563</v>
      </c>
      <c r="F469" s="790">
        <v>3325</v>
      </c>
      <c r="G469" s="790">
        <v>232</v>
      </c>
      <c r="H469" s="790">
        <v>2756</v>
      </c>
      <c r="I469" s="790">
        <v>1568</v>
      </c>
      <c r="J469" s="796">
        <f t="shared" si="15"/>
        <v>0.41111111111111109</v>
      </c>
    </row>
    <row r="470" spans="1:10">
      <c r="A470" s="322" t="s">
        <v>86</v>
      </c>
      <c r="B470" s="793">
        <v>44357</v>
      </c>
      <c r="C470" s="790">
        <f t="shared" si="14"/>
        <v>1999</v>
      </c>
      <c r="D470" s="790">
        <v>23</v>
      </c>
      <c r="E470" s="790">
        <v>782</v>
      </c>
      <c r="F470" s="790">
        <v>1217</v>
      </c>
      <c r="G470" s="790">
        <v>194</v>
      </c>
      <c r="H470" s="790">
        <v>1045</v>
      </c>
      <c r="I470" s="790">
        <v>528</v>
      </c>
      <c r="J470" s="796">
        <f t="shared" si="15"/>
        <v>0.47115384615384615</v>
      </c>
    </row>
    <row r="471" spans="1:10">
      <c r="A471" s="322" t="s">
        <v>89</v>
      </c>
      <c r="B471" s="793">
        <v>44358</v>
      </c>
      <c r="C471" s="790">
        <f t="shared" si="14"/>
        <v>16336</v>
      </c>
      <c r="D471" s="790">
        <v>656</v>
      </c>
      <c r="E471" s="790">
        <v>5001</v>
      </c>
      <c r="F471" s="790">
        <v>11335</v>
      </c>
      <c r="G471" s="790">
        <v>1070</v>
      </c>
      <c r="H471" s="790">
        <v>10360</v>
      </c>
      <c r="I471" s="790">
        <v>6084</v>
      </c>
      <c r="J471" s="796">
        <f t="shared" si="15"/>
        <v>0.3392857142857143</v>
      </c>
    </row>
    <row r="472" spans="1:10">
      <c r="A472" s="322" t="s">
        <v>88</v>
      </c>
      <c r="B472" s="793">
        <v>44359</v>
      </c>
      <c r="C472" s="790">
        <f t="shared" si="14"/>
        <v>3346</v>
      </c>
      <c r="D472" s="790">
        <v>67</v>
      </c>
      <c r="E472" s="790">
        <v>1252</v>
      </c>
      <c r="F472" s="790">
        <v>2094</v>
      </c>
      <c r="G472" s="790">
        <v>174</v>
      </c>
      <c r="H472" s="790">
        <v>1707</v>
      </c>
      <c r="I472" s="790">
        <v>958</v>
      </c>
      <c r="J472" s="796">
        <f t="shared" si="15"/>
        <v>0.47941445562671547</v>
      </c>
    </row>
    <row r="473" spans="1:10">
      <c r="A473" s="322" t="s">
        <v>87</v>
      </c>
      <c r="B473" s="793">
        <v>44360</v>
      </c>
      <c r="C473" s="790">
        <f t="shared" si="14"/>
        <v>3347</v>
      </c>
      <c r="D473" s="790">
        <v>50</v>
      </c>
      <c r="E473" s="790">
        <v>1108</v>
      </c>
      <c r="F473" s="790">
        <v>2239</v>
      </c>
      <c r="G473" s="790">
        <v>140</v>
      </c>
      <c r="H473" s="790">
        <v>2033</v>
      </c>
      <c r="I473" s="790">
        <v>939</v>
      </c>
      <c r="J473" s="796">
        <f t="shared" si="15"/>
        <v>0.38337882923870181</v>
      </c>
    </row>
    <row r="474" spans="1:10">
      <c r="A474" s="322" t="s">
        <v>90</v>
      </c>
      <c r="B474" s="793">
        <v>44361</v>
      </c>
      <c r="C474" s="790">
        <f t="shared" si="14"/>
        <v>3006</v>
      </c>
      <c r="D474" s="790">
        <v>159</v>
      </c>
      <c r="E474" s="790">
        <v>1084</v>
      </c>
      <c r="F474" s="790">
        <v>1922</v>
      </c>
      <c r="G474" s="790">
        <v>127</v>
      </c>
      <c r="H474" s="790">
        <v>1380</v>
      </c>
      <c r="I474" s="790">
        <v>671</v>
      </c>
      <c r="J474" s="796">
        <f t="shared" si="15"/>
        <v>0.51527924130663849</v>
      </c>
    </row>
    <row r="475" spans="1:10">
      <c r="A475" s="322" t="s">
        <v>91</v>
      </c>
      <c r="B475" s="793">
        <v>44362</v>
      </c>
      <c r="C475" s="790">
        <f t="shared" si="14"/>
        <v>2877</v>
      </c>
      <c r="D475" s="790">
        <v>52</v>
      </c>
      <c r="E475" s="790">
        <v>1004</v>
      </c>
      <c r="F475" s="790">
        <v>1873</v>
      </c>
      <c r="G475" s="790">
        <v>236</v>
      </c>
      <c r="H475" s="790">
        <v>1604</v>
      </c>
      <c r="I475" s="790">
        <v>888</v>
      </c>
      <c r="J475" s="796">
        <f t="shared" si="15"/>
        <v>0.43221238938053097</v>
      </c>
    </row>
    <row r="476" spans="1:10">
      <c r="A476" s="322" t="s">
        <v>93</v>
      </c>
      <c r="B476" s="793">
        <v>44363</v>
      </c>
      <c r="C476" s="790">
        <f t="shared" si="14"/>
        <v>5157</v>
      </c>
      <c r="D476" s="790">
        <v>337</v>
      </c>
      <c r="E476" s="790">
        <v>1639</v>
      </c>
      <c r="F476" s="790">
        <v>3518</v>
      </c>
      <c r="G476" s="790">
        <v>323</v>
      </c>
      <c r="H476" s="790">
        <v>3096</v>
      </c>
      <c r="I476" s="790">
        <v>1769</v>
      </c>
      <c r="J476" s="796">
        <f t="shared" si="15"/>
        <v>0.35767634854771779</v>
      </c>
    </row>
    <row r="477" spans="1:10">
      <c r="A477" s="322" t="s">
        <v>94</v>
      </c>
      <c r="B477" s="793">
        <v>44364</v>
      </c>
      <c r="C477" s="790">
        <f t="shared" si="14"/>
        <v>1464</v>
      </c>
      <c r="D477" s="790">
        <v>36</v>
      </c>
      <c r="E477" s="790">
        <v>515</v>
      </c>
      <c r="F477" s="790">
        <v>949</v>
      </c>
      <c r="G477" s="790">
        <v>122</v>
      </c>
      <c r="H477" s="790">
        <v>953</v>
      </c>
      <c r="I477" s="790">
        <v>492</v>
      </c>
      <c r="J477" s="796">
        <f t="shared" si="15"/>
        <v>0.33263305322128855</v>
      </c>
    </row>
    <row r="478" spans="1:10">
      <c r="A478" s="322" t="s">
        <v>92</v>
      </c>
      <c r="B478" s="793">
        <v>44365</v>
      </c>
      <c r="C478" s="790">
        <f t="shared" si="14"/>
        <v>13551</v>
      </c>
      <c r="D478" s="790">
        <v>400</v>
      </c>
      <c r="E478" s="790">
        <v>4510</v>
      </c>
      <c r="F478" s="790">
        <v>9041</v>
      </c>
      <c r="G478" s="790">
        <v>826</v>
      </c>
      <c r="H478" s="790">
        <v>8257</v>
      </c>
      <c r="I478" s="790">
        <v>4687</v>
      </c>
      <c r="J478" s="796">
        <f t="shared" si="15"/>
        <v>0.37213900083643825</v>
      </c>
    </row>
    <row r="479" spans="1:10">
      <c r="A479" s="322" t="s">
        <v>95</v>
      </c>
      <c r="B479" s="793">
        <v>44366</v>
      </c>
      <c r="C479" s="790">
        <f t="shared" si="14"/>
        <v>20819</v>
      </c>
      <c r="D479" s="790">
        <v>3497</v>
      </c>
      <c r="E479" s="790">
        <v>8525</v>
      </c>
      <c r="F479" s="790">
        <v>12294</v>
      </c>
      <c r="G479" s="790">
        <v>588</v>
      </c>
      <c r="H479" s="790">
        <v>10820</v>
      </c>
      <c r="I479" s="790">
        <v>6596</v>
      </c>
      <c r="J479" s="796">
        <f t="shared" si="15"/>
        <v>0.37536081283916412</v>
      </c>
    </row>
    <row r="480" spans="1:10">
      <c r="A480" s="322" t="s">
        <v>96</v>
      </c>
      <c r="B480" s="793">
        <v>44367</v>
      </c>
      <c r="C480" s="790">
        <f t="shared" si="14"/>
        <v>2595</v>
      </c>
      <c r="D480" s="790">
        <v>47</v>
      </c>
      <c r="E480" s="790">
        <v>689</v>
      </c>
      <c r="F480" s="790">
        <v>1906</v>
      </c>
      <c r="G480" s="790">
        <v>108</v>
      </c>
      <c r="H480" s="790">
        <v>1394</v>
      </c>
      <c r="I480" s="790">
        <v>751</v>
      </c>
      <c r="J480" s="796">
        <f t="shared" si="15"/>
        <v>0.45290423861852436</v>
      </c>
    </row>
    <row r="481" spans="1:10">
      <c r="A481" s="322" t="s">
        <v>98</v>
      </c>
      <c r="B481" s="793">
        <v>44368</v>
      </c>
      <c r="C481" s="790">
        <f t="shared" si="14"/>
        <v>1312</v>
      </c>
      <c r="D481" s="790">
        <v>9</v>
      </c>
      <c r="E481" s="790">
        <v>577</v>
      </c>
      <c r="F481" s="790">
        <v>735</v>
      </c>
      <c r="G481" s="790">
        <v>90</v>
      </c>
      <c r="H481" s="790">
        <v>686</v>
      </c>
      <c r="I481" s="790">
        <v>329</v>
      </c>
      <c r="J481" s="796">
        <f t="shared" si="15"/>
        <v>0.47352264006139677</v>
      </c>
    </row>
    <row r="482" spans="1:10">
      <c r="A482" s="322" t="s">
        <v>99</v>
      </c>
      <c r="B482" s="793">
        <v>44369</v>
      </c>
      <c r="C482" s="790">
        <f t="shared" si="14"/>
        <v>228</v>
      </c>
      <c r="D482" s="790">
        <v>8</v>
      </c>
      <c r="E482" s="790">
        <v>89</v>
      </c>
      <c r="F482" s="790">
        <v>139</v>
      </c>
      <c r="G482" s="790">
        <v>10</v>
      </c>
      <c r="H482" s="790">
        <v>113</v>
      </c>
      <c r="I482" s="790">
        <v>42</v>
      </c>
      <c r="J482" s="796">
        <f t="shared" si="15"/>
        <v>0.48636363636363633</v>
      </c>
    </row>
    <row r="483" spans="1:10">
      <c r="A483" s="322" t="s">
        <v>97</v>
      </c>
      <c r="B483" s="793">
        <v>44370</v>
      </c>
      <c r="C483" s="790">
        <f t="shared" si="14"/>
        <v>17035</v>
      </c>
      <c r="D483" s="790">
        <v>898</v>
      </c>
      <c r="E483" s="790">
        <v>5726</v>
      </c>
      <c r="F483" s="790">
        <v>11309</v>
      </c>
      <c r="G483" s="790">
        <v>698</v>
      </c>
      <c r="H483" s="790">
        <v>9886</v>
      </c>
      <c r="I483" s="790">
        <v>5777</v>
      </c>
      <c r="J483" s="796">
        <f t="shared" si="15"/>
        <v>0.38737063890438128</v>
      </c>
    </row>
    <row r="484" spans="1:10">
      <c r="A484" s="322" t="s">
        <v>100</v>
      </c>
      <c r="B484" s="793">
        <v>44371</v>
      </c>
      <c r="C484" s="790">
        <f t="shared" si="14"/>
        <v>11027</v>
      </c>
      <c r="D484" s="790">
        <v>236</v>
      </c>
      <c r="E484" s="790">
        <v>3555</v>
      </c>
      <c r="F484" s="790">
        <v>7472</v>
      </c>
      <c r="G484" s="790">
        <v>639</v>
      </c>
      <c r="H484" s="790">
        <v>6917</v>
      </c>
      <c r="I484" s="790">
        <v>3901</v>
      </c>
      <c r="J484" s="796">
        <f t="shared" si="15"/>
        <v>0.35900287276434062</v>
      </c>
    </row>
    <row r="485" spans="1:10">
      <c r="A485" s="322" t="s">
        <v>102</v>
      </c>
      <c r="B485" s="793">
        <v>44372</v>
      </c>
      <c r="C485" s="790">
        <f t="shared" si="14"/>
        <v>1502</v>
      </c>
      <c r="D485" s="790">
        <v>31</v>
      </c>
      <c r="E485" s="790">
        <v>581</v>
      </c>
      <c r="F485" s="790">
        <v>921</v>
      </c>
      <c r="G485" s="790">
        <v>81</v>
      </c>
      <c r="H485" s="790">
        <v>864</v>
      </c>
      <c r="I485" s="790">
        <v>449</v>
      </c>
      <c r="J485" s="796">
        <f t="shared" si="15"/>
        <v>0.41264445955132567</v>
      </c>
    </row>
    <row r="486" spans="1:10">
      <c r="A486" s="322" t="s">
        <v>101</v>
      </c>
      <c r="B486" s="793">
        <v>44373</v>
      </c>
      <c r="C486" s="790">
        <f t="shared" si="14"/>
        <v>63500</v>
      </c>
      <c r="D486" s="790">
        <v>5470</v>
      </c>
      <c r="E486" s="790">
        <v>23474</v>
      </c>
      <c r="F486" s="790">
        <v>40026</v>
      </c>
      <c r="G486" s="790">
        <v>2639</v>
      </c>
      <c r="H486" s="790">
        <v>35922</v>
      </c>
      <c r="I486" s="790">
        <v>21118</v>
      </c>
      <c r="J486" s="796">
        <f t="shared" si="15"/>
        <v>0.38097535757366874</v>
      </c>
    </row>
    <row r="487" spans="1:10">
      <c r="A487" s="322" t="s">
        <v>103</v>
      </c>
      <c r="B487" s="793">
        <v>44374</v>
      </c>
      <c r="C487" s="790">
        <f t="shared" si="14"/>
        <v>798</v>
      </c>
      <c r="D487" s="790">
        <v>14</v>
      </c>
      <c r="E487" s="790">
        <v>317</v>
      </c>
      <c r="F487" s="790">
        <v>481</v>
      </c>
      <c r="G487" s="790">
        <v>57</v>
      </c>
      <c r="H487" s="790">
        <v>451</v>
      </c>
      <c r="I487" s="790">
        <v>230</v>
      </c>
      <c r="J487" s="796">
        <f t="shared" si="15"/>
        <v>0.42474489795918369</v>
      </c>
    </row>
    <row r="488" spans="1:10">
      <c r="A488" s="322" t="s">
        <v>77</v>
      </c>
      <c r="B488" s="793">
        <v>44378</v>
      </c>
      <c r="C488" s="790">
        <f t="shared" si="14"/>
        <v>664</v>
      </c>
      <c r="D488" s="790">
        <v>7</v>
      </c>
      <c r="E488" s="790">
        <v>355</v>
      </c>
      <c r="F488" s="790">
        <v>309</v>
      </c>
      <c r="G488" s="790">
        <v>39</v>
      </c>
      <c r="H488" s="790">
        <v>372</v>
      </c>
      <c r="I488" s="790">
        <v>150</v>
      </c>
      <c r="J488" s="796">
        <f t="shared" si="15"/>
        <v>0.43378995433789957</v>
      </c>
    </row>
    <row r="489" spans="1:10">
      <c r="A489" s="322" t="s">
        <v>78</v>
      </c>
      <c r="B489" s="793">
        <v>44379</v>
      </c>
      <c r="C489" s="790">
        <f t="shared" si="14"/>
        <v>2028</v>
      </c>
      <c r="D489" s="790">
        <v>57</v>
      </c>
      <c r="E489" s="790">
        <v>555</v>
      </c>
      <c r="F489" s="790">
        <v>1473</v>
      </c>
      <c r="G489" s="790">
        <v>126</v>
      </c>
      <c r="H489" s="790">
        <v>1266</v>
      </c>
      <c r="I489" s="790">
        <v>732</v>
      </c>
      <c r="J489" s="796">
        <f t="shared" si="15"/>
        <v>0.35768645357686457</v>
      </c>
    </row>
    <row r="490" spans="1:10">
      <c r="A490" s="322" t="s">
        <v>80</v>
      </c>
      <c r="B490" s="793">
        <v>44380</v>
      </c>
      <c r="C490" s="790">
        <f t="shared" si="14"/>
        <v>2007</v>
      </c>
      <c r="D490" s="790">
        <v>14</v>
      </c>
      <c r="E490" s="790">
        <v>797</v>
      </c>
      <c r="F490" s="790">
        <v>1210</v>
      </c>
      <c r="G490" s="790">
        <v>133</v>
      </c>
      <c r="H490" s="790">
        <v>1077</v>
      </c>
      <c r="I490" s="790">
        <v>508</v>
      </c>
      <c r="J490" s="796">
        <f t="shared" si="15"/>
        <v>0.45960863020572007</v>
      </c>
    </row>
    <row r="491" spans="1:10">
      <c r="A491" s="322" t="s">
        <v>79</v>
      </c>
      <c r="B491" s="793">
        <v>44381</v>
      </c>
      <c r="C491" s="790">
        <f t="shared" si="14"/>
        <v>793</v>
      </c>
      <c r="D491" s="790">
        <v>7</v>
      </c>
      <c r="E491" s="790">
        <v>434</v>
      </c>
      <c r="F491" s="790">
        <v>359</v>
      </c>
      <c r="G491" s="790">
        <v>34</v>
      </c>
      <c r="H491" s="790">
        <v>382</v>
      </c>
      <c r="I491" s="790">
        <v>158</v>
      </c>
      <c r="J491" s="796">
        <f t="shared" si="15"/>
        <v>0.51399491094147587</v>
      </c>
    </row>
    <row r="492" spans="1:10">
      <c r="A492" s="322" t="s">
        <v>81</v>
      </c>
      <c r="B492" s="793">
        <v>44382</v>
      </c>
      <c r="C492" s="790">
        <f t="shared" si="14"/>
        <v>6908</v>
      </c>
      <c r="D492" s="790">
        <v>772</v>
      </c>
      <c r="E492" s="790">
        <v>2605</v>
      </c>
      <c r="F492" s="790">
        <v>4303</v>
      </c>
      <c r="G492" s="790">
        <v>409</v>
      </c>
      <c r="H492" s="790">
        <v>4021</v>
      </c>
      <c r="I492" s="790">
        <v>2147</v>
      </c>
      <c r="J492" s="796">
        <f t="shared" si="15"/>
        <v>0.34468709256844854</v>
      </c>
    </row>
    <row r="493" spans="1:10">
      <c r="A493" s="322" t="s">
        <v>82</v>
      </c>
      <c r="B493" s="793">
        <v>44383</v>
      </c>
      <c r="C493" s="790">
        <f t="shared" si="14"/>
        <v>4262</v>
      </c>
      <c r="D493" s="790">
        <v>151</v>
      </c>
      <c r="E493" s="790">
        <v>1668</v>
      </c>
      <c r="F493" s="790">
        <v>2594</v>
      </c>
      <c r="G493" s="790">
        <v>428</v>
      </c>
      <c r="H493" s="790">
        <v>2686</v>
      </c>
      <c r="I493" s="790">
        <v>1491</v>
      </c>
      <c r="J493" s="796">
        <f t="shared" si="15"/>
        <v>0.34663099002675746</v>
      </c>
    </row>
    <row r="494" spans="1:10">
      <c r="A494" s="322" t="s">
        <v>83</v>
      </c>
      <c r="B494" s="793">
        <v>44384</v>
      </c>
      <c r="C494" s="790">
        <f t="shared" si="14"/>
        <v>6507</v>
      </c>
      <c r="D494" s="790">
        <v>471</v>
      </c>
      <c r="E494" s="790">
        <v>2333</v>
      </c>
      <c r="F494" s="790">
        <v>4174</v>
      </c>
      <c r="G494" s="790">
        <v>321</v>
      </c>
      <c r="H494" s="790">
        <v>3924</v>
      </c>
      <c r="I494" s="790">
        <v>2344</v>
      </c>
      <c r="J494" s="796">
        <f t="shared" si="15"/>
        <v>0.3499005964214712</v>
      </c>
    </row>
    <row r="495" spans="1:10">
      <c r="A495" s="322" t="s">
        <v>84</v>
      </c>
      <c r="B495" s="793">
        <v>44385</v>
      </c>
      <c r="C495" s="790">
        <f t="shared" si="14"/>
        <v>3830</v>
      </c>
      <c r="D495" s="790">
        <v>77</v>
      </c>
      <c r="E495" s="790">
        <v>1010</v>
      </c>
      <c r="F495" s="790">
        <v>2820</v>
      </c>
      <c r="G495" s="790">
        <v>273</v>
      </c>
      <c r="H495" s="790">
        <v>3025</v>
      </c>
      <c r="I495" s="790">
        <v>1687</v>
      </c>
      <c r="J495" s="796">
        <f t="shared" si="15"/>
        <v>0.19397815081268321</v>
      </c>
    </row>
    <row r="496" spans="1:10">
      <c r="A496" s="322" t="s">
        <v>85</v>
      </c>
      <c r="B496" s="793">
        <v>44386</v>
      </c>
      <c r="C496" s="790">
        <f t="shared" si="14"/>
        <v>4954</v>
      </c>
      <c r="D496" s="790">
        <v>208</v>
      </c>
      <c r="E496" s="790">
        <v>1579</v>
      </c>
      <c r="F496" s="790">
        <v>3375</v>
      </c>
      <c r="G496" s="790">
        <v>283</v>
      </c>
      <c r="H496" s="790">
        <v>2960</v>
      </c>
      <c r="I496" s="790">
        <v>1647</v>
      </c>
      <c r="J496" s="796">
        <f t="shared" si="15"/>
        <v>0.37631689844079219</v>
      </c>
    </row>
    <row r="497" spans="1:10">
      <c r="A497" s="322" t="s">
        <v>86</v>
      </c>
      <c r="B497" s="793">
        <v>44387</v>
      </c>
      <c r="C497" s="790">
        <f t="shared" si="14"/>
        <v>2011</v>
      </c>
      <c r="D497" s="790">
        <v>23</v>
      </c>
      <c r="E497" s="790">
        <v>789</v>
      </c>
      <c r="F497" s="790">
        <v>1222</v>
      </c>
      <c r="G497" s="790">
        <v>212</v>
      </c>
      <c r="H497" s="790">
        <v>1130</v>
      </c>
      <c r="I497" s="790">
        <v>556</v>
      </c>
      <c r="J497" s="796">
        <f t="shared" si="15"/>
        <v>0.43158953722334004</v>
      </c>
    </row>
    <row r="498" spans="1:10">
      <c r="A498" s="322" t="s">
        <v>89</v>
      </c>
      <c r="B498" s="793">
        <v>44388</v>
      </c>
      <c r="C498" s="790">
        <f t="shared" si="14"/>
        <v>16478</v>
      </c>
      <c r="D498" s="790">
        <v>655</v>
      </c>
      <c r="E498" s="790">
        <v>5025</v>
      </c>
      <c r="F498" s="790">
        <v>11453</v>
      </c>
      <c r="G498" s="790">
        <v>1218</v>
      </c>
      <c r="H498" s="790">
        <v>11011</v>
      </c>
      <c r="I498" s="790">
        <v>6290</v>
      </c>
      <c r="J498" s="796">
        <f t="shared" si="15"/>
        <v>0.30411426404600894</v>
      </c>
    </row>
    <row r="499" spans="1:10">
      <c r="A499" s="322" t="s">
        <v>88</v>
      </c>
      <c r="B499" s="793">
        <v>44389</v>
      </c>
      <c r="C499" s="790">
        <f t="shared" si="14"/>
        <v>3398</v>
      </c>
      <c r="D499" s="790">
        <v>68</v>
      </c>
      <c r="E499" s="790">
        <v>1266</v>
      </c>
      <c r="F499" s="790">
        <v>2132</v>
      </c>
      <c r="G499" s="790">
        <v>209</v>
      </c>
      <c r="H499" s="790">
        <v>1832</v>
      </c>
      <c r="I499" s="790">
        <v>991</v>
      </c>
      <c r="J499" s="796">
        <f t="shared" si="15"/>
        <v>0.44984984984984988</v>
      </c>
    </row>
    <row r="500" spans="1:10">
      <c r="A500" s="322" t="s">
        <v>87</v>
      </c>
      <c r="B500" s="793">
        <v>44390</v>
      </c>
      <c r="C500" s="790">
        <f t="shared" si="14"/>
        <v>3307</v>
      </c>
      <c r="D500" s="790">
        <v>50</v>
      </c>
      <c r="E500" s="790">
        <v>1097</v>
      </c>
      <c r="F500" s="790">
        <v>2210</v>
      </c>
      <c r="G500" s="790">
        <v>151</v>
      </c>
      <c r="H500" s="790">
        <v>2215</v>
      </c>
      <c r="I500" s="790">
        <v>979</v>
      </c>
      <c r="J500" s="796">
        <f t="shared" si="15"/>
        <v>0.31992631255756832</v>
      </c>
    </row>
    <row r="501" spans="1:10">
      <c r="A501" s="322" t="s">
        <v>90</v>
      </c>
      <c r="B501" s="793">
        <v>44391</v>
      </c>
      <c r="C501" s="790">
        <f t="shared" si="14"/>
        <v>3033</v>
      </c>
      <c r="D501" s="790">
        <v>159</v>
      </c>
      <c r="E501" s="790">
        <v>1093</v>
      </c>
      <c r="F501" s="790">
        <v>1940</v>
      </c>
      <c r="G501" s="790">
        <v>150</v>
      </c>
      <c r="H501" s="790">
        <v>1486</v>
      </c>
      <c r="I501" s="790">
        <v>699</v>
      </c>
      <c r="J501" s="796">
        <f t="shared" si="15"/>
        <v>0.48295059151009045</v>
      </c>
    </row>
    <row r="502" spans="1:10">
      <c r="A502" s="322" t="s">
        <v>91</v>
      </c>
      <c r="B502" s="793">
        <v>44392</v>
      </c>
      <c r="C502" s="790">
        <f t="shared" si="14"/>
        <v>2866</v>
      </c>
      <c r="D502" s="790">
        <v>52</v>
      </c>
      <c r="E502" s="790">
        <v>1000</v>
      </c>
      <c r="F502" s="790">
        <v>1866</v>
      </c>
      <c r="G502" s="790">
        <v>250</v>
      </c>
      <c r="H502" s="790">
        <v>1720</v>
      </c>
      <c r="I502" s="790">
        <v>922</v>
      </c>
      <c r="J502" s="796">
        <f t="shared" si="15"/>
        <v>0.38877043354655294</v>
      </c>
    </row>
    <row r="503" spans="1:10">
      <c r="A503" s="322" t="s">
        <v>93</v>
      </c>
      <c r="B503" s="793">
        <v>44393</v>
      </c>
      <c r="C503" s="790">
        <f t="shared" si="14"/>
        <v>5173</v>
      </c>
      <c r="D503" s="790">
        <v>338</v>
      </c>
      <c r="E503" s="790">
        <v>1641</v>
      </c>
      <c r="F503" s="790">
        <v>3532</v>
      </c>
      <c r="G503" s="790">
        <v>366</v>
      </c>
      <c r="H503" s="790">
        <v>3288</v>
      </c>
      <c r="I503" s="790">
        <v>1824</v>
      </c>
      <c r="J503" s="796">
        <f t="shared" si="15"/>
        <v>0.31995863495346433</v>
      </c>
    </row>
    <row r="504" spans="1:10">
      <c r="A504" s="322" t="s">
        <v>94</v>
      </c>
      <c r="B504" s="793">
        <v>44394</v>
      </c>
      <c r="C504" s="790">
        <f t="shared" si="14"/>
        <v>1495</v>
      </c>
      <c r="D504" s="790">
        <v>36</v>
      </c>
      <c r="E504" s="790">
        <v>522</v>
      </c>
      <c r="F504" s="790">
        <v>973</v>
      </c>
      <c r="G504" s="790">
        <v>144</v>
      </c>
      <c r="H504" s="790">
        <v>1067</v>
      </c>
      <c r="I504" s="790">
        <v>544</v>
      </c>
      <c r="J504" s="796">
        <f t="shared" si="15"/>
        <v>0.26867717614804665</v>
      </c>
    </row>
    <row r="505" spans="1:10">
      <c r="A505" s="322" t="s">
        <v>92</v>
      </c>
      <c r="B505" s="793">
        <v>44395</v>
      </c>
      <c r="C505" s="790">
        <f t="shared" si="14"/>
        <v>13689</v>
      </c>
      <c r="D505" s="790">
        <v>400</v>
      </c>
      <c r="E505" s="790">
        <v>4545</v>
      </c>
      <c r="F505" s="790">
        <v>9144</v>
      </c>
      <c r="G505" s="790">
        <v>943</v>
      </c>
      <c r="H505" s="790">
        <v>8874</v>
      </c>
      <c r="I505" s="790">
        <v>4884</v>
      </c>
      <c r="J505" s="796">
        <f t="shared" si="15"/>
        <v>0.33222966363157502</v>
      </c>
    </row>
    <row r="506" spans="1:10">
      <c r="A506" s="322" t="s">
        <v>95</v>
      </c>
      <c r="B506" s="793">
        <v>44396</v>
      </c>
      <c r="C506" s="790">
        <f t="shared" si="14"/>
        <v>20713</v>
      </c>
      <c r="D506" s="790">
        <v>3467</v>
      </c>
      <c r="E506" s="790">
        <v>8477</v>
      </c>
      <c r="F506" s="790">
        <v>12236</v>
      </c>
      <c r="G506" s="790">
        <v>695</v>
      </c>
      <c r="H506" s="790">
        <v>11958</v>
      </c>
      <c r="I506" s="790">
        <v>6926</v>
      </c>
      <c r="J506" s="796">
        <f t="shared" si="15"/>
        <v>0.30662182535080595</v>
      </c>
    </row>
    <row r="507" spans="1:10">
      <c r="A507" s="322" t="s">
        <v>96</v>
      </c>
      <c r="B507" s="793">
        <v>44397</v>
      </c>
      <c r="C507" s="790">
        <f t="shared" si="14"/>
        <v>2622</v>
      </c>
      <c r="D507" s="790">
        <v>47</v>
      </c>
      <c r="E507" s="790">
        <v>696</v>
      </c>
      <c r="F507" s="790">
        <v>1926</v>
      </c>
      <c r="G507" s="790">
        <v>134</v>
      </c>
      <c r="H507" s="790">
        <v>1507</v>
      </c>
      <c r="I507" s="790">
        <v>788</v>
      </c>
      <c r="J507" s="796">
        <f t="shared" si="15"/>
        <v>0.41475728155339808</v>
      </c>
    </row>
    <row r="508" spans="1:10">
      <c r="A508" s="322" t="s">
        <v>98</v>
      </c>
      <c r="B508" s="793">
        <v>44398</v>
      </c>
      <c r="C508" s="790">
        <f t="shared" si="14"/>
        <v>1307</v>
      </c>
      <c r="D508" s="790">
        <v>9</v>
      </c>
      <c r="E508" s="790">
        <v>575</v>
      </c>
      <c r="F508" s="790">
        <v>732</v>
      </c>
      <c r="G508" s="790">
        <v>98</v>
      </c>
      <c r="H508" s="790">
        <v>746</v>
      </c>
      <c r="I508" s="790">
        <v>343</v>
      </c>
      <c r="J508" s="796">
        <f t="shared" si="15"/>
        <v>0.42526964560862868</v>
      </c>
    </row>
    <row r="509" spans="1:10">
      <c r="A509" s="322" t="s">
        <v>99</v>
      </c>
      <c r="B509" s="793">
        <v>44399</v>
      </c>
      <c r="C509" s="790">
        <f t="shared" si="14"/>
        <v>233</v>
      </c>
      <c r="D509" s="790">
        <v>8</v>
      </c>
      <c r="E509" s="790">
        <v>92</v>
      </c>
      <c r="F509" s="790">
        <v>141</v>
      </c>
      <c r="G509" s="790">
        <v>14</v>
      </c>
      <c r="H509" s="790">
        <v>119</v>
      </c>
      <c r="I509" s="790">
        <v>45</v>
      </c>
      <c r="J509" s="796">
        <f t="shared" si="15"/>
        <v>0.47111111111111115</v>
      </c>
    </row>
    <row r="510" spans="1:10">
      <c r="A510" s="322" t="s">
        <v>97</v>
      </c>
      <c r="B510" s="793">
        <v>44400</v>
      </c>
      <c r="C510" s="790">
        <f t="shared" si="14"/>
        <v>17092</v>
      </c>
      <c r="D510" s="790">
        <v>900</v>
      </c>
      <c r="E510" s="790">
        <v>5755</v>
      </c>
      <c r="F510" s="790">
        <v>11337</v>
      </c>
      <c r="G510" s="790">
        <v>762</v>
      </c>
      <c r="H510" s="790">
        <v>10590</v>
      </c>
      <c r="I510" s="790">
        <v>5964</v>
      </c>
      <c r="J510" s="796">
        <f t="shared" si="15"/>
        <v>0.34597332015810278</v>
      </c>
    </row>
    <row r="511" spans="1:10">
      <c r="A511" s="322" t="s">
        <v>100</v>
      </c>
      <c r="B511" s="793">
        <v>44401</v>
      </c>
      <c r="C511" s="790">
        <f t="shared" si="14"/>
        <v>11100</v>
      </c>
      <c r="D511" s="790">
        <v>235</v>
      </c>
      <c r="E511" s="790">
        <v>3578</v>
      </c>
      <c r="F511" s="790">
        <v>7522</v>
      </c>
      <c r="G511" s="790">
        <v>695</v>
      </c>
      <c r="H511" s="790">
        <v>7412</v>
      </c>
      <c r="I511" s="790">
        <v>4029</v>
      </c>
      <c r="J511" s="796">
        <f t="shared" si="15"/>
        <v>0.31780947998159226</v>
      </c>
    </row>
    <row r="512" spans="1:10">
      <c r="A512" s="322" t="s">
        <v>102</v>
      </c>
      <c r="B512" s="793">
        <v>44402</v>
      </c>
      <c r="C512" s="790">
        <f t="shared" si="14"/>
        <v>1516</v>
      </c>
      <c r="D512" s="790">
        <v>29</v>
      </c>
      <c r="E512" s="790">
        <v>587</v>
      </c>
      <c r="F512" s="790">
        <v>929</v>
      </c>
      <c r="G512" s="790">
        <v>97</v>
      </c>
      <c r="H512" s="790">
        <v>959</v>
      </c>
      <c r="I512" s="790">
        <v>484</v>
      </c>
      <c r="J512" s="796">
        <f t="shared" si="15"/>
        <v>0.35507733691997312</v>
      </c>
    </row>
    <row r="513" spans="1:10">
      <c r="A513" s="322" t="s">
        <v>101</v>
      </c>
      <c r="B513" s="793">
        <v>44403</v>
      </c>
      <c r="C513" s="790">
        <f t="shared" si="14"/>
        <v>63779</v>
      </c>
      <c r="D513" s="790">
        <v>5470</v>
      </c>
      <c r="E513" s="790">
        <v>23548</v>
      </c>
      <c r="F513" s="790">
        <v>40231</v>
      </c>
      <c r="G513" s="790">
        <v>2935</v>
      </c>
      <c r="H513" s="790">
        <v>39314</v>
      </c>
      <c r="I513" s="790">
        <v>22146</v>
      </c>
      <c r="J513" s="796">
        <f t="shared" si="15"/>
        <v>0.3257644617469001</v>
      </c>
    </row>
    <row r="514" spans="1:10">
      <c r="A514" s="322" t="s">
        <v>103</v>
      </c>
      <c r="B514" s="793">
        <v>44404</v>
      </c>
      <c r="C514" s="790">
        <f t="shared" si="14"/>
        <v>811</v>
      </c>
      <c r="D514" s="790">
        <v>14</v>
      </c>
      <c r="E514" s="790">
        <v>320</v>
      </c>
      <c r="F514" s="790">
        <v>491</v>
      </c>
      <c r="G514" s="790">
        <v>67</v>
      </c>
      <c r="H514" s="790">
        <v>482</v>
      </c>
      <c r="I514" s="790">
        <v>239</v>
      </c>
      <c r="J514" s="796">
        <f t="shared" si="15"/>
        <v>0.39523212045169387</v>
      </c>
    </row>
    <row r="515" spans="1:10">
      <c r="A515" s="322" t="s">
        <v>77</v>
      </c>
      <c r="B515" s="793">
        <v>44409</v>
      </c>
      <c r="C515" s="790">
        <f t="shared" ref="C515:C578" si="16">E515+F515</f>
        <v>673</v>
      </c>
      <c r="D515" s="790">
        <v>7</v>
      </c>
      <c r="E515" s="790">
        <v>359</v>
      </c>
      <c r="F515" s="790">
        <v>314</v>
      </c>
      <c r="G515" s="790">
        <v>43</v>
      </c>
      <c r="H515" s="790">
        <v>403</v>
      </c>
      <c r="I515" s="790">
        <v>155</v>
      </c>
      <c r="J515" s="796">
        <f t="shared" ref="J515:J578" si="17">1-(H515/(C515-D515))</f>
        <v>0.39489489489489493</v>
      </c>
    </row>
    <row r="516" spans="1:10">
      <c r="A516" s="322" t="s">
        <v>78</v>
      </c>
      <c r="B516" s="793">
        <v>44410</v>
      </c>
      <c r="C516" s="790">
        <f t="shared" si="16"/>
        <v>2064</v>
      </c>
      <c r="D516" s="790">
        <v>57</v>
      </c>
      <c r="E516" s="790">
        <v>564</v>
      </c>
      <c r="F516" s="790">
        <v>1500</v>
      </c>
      <c r="G516" s="790">
        <v>144</v>
      </c>
      <c r="H516" s="790">
        <v>1330</v>
      </c>
      <c r="I516" s="790">
        <v>762</v>
      </c>
      <c r="J516" s="796">
        <f t="shared" si="17"/>
        <v>0.33731938216243151</v>
      </c>
    </row>
    <row r="517" spans="1:10">
      <c r="A517" s="322" t="s">
        <v>80</v>
      </c>
      <c r="B517" s="793">
        <v>44411</v>
      </c>
      <c r="C517" s="790">
        <f t="shared" si="16"/>
        <v>2052</v>
      </c>
      <c r="D517" s="790">
        <v>14</v>
      </c>
      <c r="E517" s="790">
        <v>817</v>
      </c>
      <c r="F517" s="790">
        <v>1235</v>
      </c>
      <c r="G517" s="790">
        <v>150</v>
      </c>
      <c r="H517" s="790">
        <v>1162</v>
      </c>
      <c r="I517" s="790">
        <v>545</v>
      </c>
      <c r="J517" s="796">
        <f t="shared" si="17"/>
        <v>0.42983316977428854</v>
      </c>
    </row>
    <row r="518" spans="1:10">
      <c r="A518" s="322" t="s">
        <v>79</v>
      </c>
      <c r="B518" s="793">
        <v>44412</v>
      </c>
      <c r="C518" s="790">
        <f t="shared" si="16"/>
        <v>803</v>
      </c>
      <c r="D518" s="790">
        <v>7</v>
      </c>
      <c r="E518" s="790">
        <v>436</v>
      </c>
      <c r="F518" s="790">
        <v>367</v>
      </c>
      <c r="G518" s="790">
        <v>40</v>
      </c>
      <c r="H518" s="790">
        <v>403</v>
      </c>
      <c r="I518" s="790">
        <v>163</v>
      </c>
      <c r="J518" s="796">
        <f t="shared" si="17"/>
        <v>0.49371859296482412</v>
      </c>
    </row>
    <row r="519" spans="1:10">
      <c r="A519" s="322" t="s">
        <v>81</v>
      </c>
      <c r="B519" s="793">
        <v>44413</v>
      </c>
      <c r="C519" s="790">
        <f t="shared" si="16"/>
        <v>6926</v>
      </c>
      <c r="D519" s="790">
        <v>772</v>
      </c>
      <c r="E519" s="790">
        <v>2607</v>
      </c>
      <c r="F519" s="790">
        <v>4319</v>
      </c>
      <c r="G519" s="790">
        <v>446</v>
      </c>
      <c r="H519" s="790">
        <v>4233</v>
      </c>
      <c r="I519" s="790">
        <v>2215</v>
      </c>
      <c r="J519" s="796">
        <f t="shared" si="17"/>
        <v>0.31215469613259672</v>
      </c>
    </row>
    <row r="520" spans="1:10">
      <c r="A520" s="322" t="s">
        <v>82</v>
      </c>
      <c r="B520" s="793">
        <v>44414</v>
      </c>
      <c r="C520" s="790">
        <f t="shared" si="16"/>
        <v>4299</v>
      </c>
      <c r="D520" s="790">
        <v>151</v>
      </c>
      <c r="E520" s="790">
        <v>1673</v>
      </c>
      <c r="F520" s="790">
        <v>2626</v>
      </c>
      <c r="G520" s="790">
        <v>480</v>
      </c>
      <c r="H520" s="790">
        <v>2832</v>
      </c>
      <c r="I520" s="790">
        <v>1542</v>
      </c>
      <c r="J520" s="796">
        <f t="shared" si="17"/>
        <v>0.31726133076181295</v>
      </c>
    </row>
    <row r="521" spans="1:10">
      <c r="A521" s="322" t="s">
        <v>83</v>
      </c>
      <c r="B521" s="793">
        <v>44415</v>
      </c>
      <c r="C521" s="790">
        <f t="shared" si="16"/>
        <v>6538</v>
      </c>
      <c r="D521" s="790">
        <v>471</v>
      </c>
      <c r="E521" s="790">
        <v>2343</v>
      </c>
      <c r="F521" s="790">
        <v>4195</v>
      </c>
      <c r="G521" s="790">
        <v>362</v>
      </c>
      <c r="H521" s="790">
        <v>4096</v>
      </c>
      <c r="I521" s="790">
        <v>2418</v>
      </c>
      <c r="J521" s="796">
        <f t="shared" si="17"/>
        <v>0.32487225976594691</v>
      </c>
    </row>
    <row r="522" spans="1:10">
      <c r="A522" s="322" t="s">
        <v>84</v>
      </c>
      <c r="B522" s="793">
        <v>44416</v>
      </c>
      <c r="C522" s="790">
        <f t="shared" si="16"/>
        <v>3825</v>
      </c>
      <c r="D522" s="790">
        <v>77</v>
      </c>
      <c r="E522" s="790">
        <v>1011</v>
      </c>
      <c r="F522" s="790">
        <v>2814</v>
      </c>
      <c r="G522" s="790">
        <v>300</v>
      </c>
      <c r="H522" s="790">
        <v>3186</v>
      </c>
      <c r="I522" s="790">
        <v>1749</v>
      </c>
      <c r="J522" s="796">
        <f t="shared" si="17"/>
        <v>0.14994663820704379</v>
      </c>
    </row>
    <row r="523" spans="1:10">
      <c r="A523" s="322" t="s">
        <v>85</v>
      </c>
      <c r="B523" s="793">
        <v>44417</v>
      </c>
      <c r="C523" s="790">
        <f t="shared" si="16"/>
        <v>4975</v>
      </c>
      <c r="D523" s="790">
        <v>208</v>
      </c>
      <c r="E523" s="790">
        <v>1588</v>
      </c>
      <c r="F523" s="790">
        <v>3387</v>
      </c>
      <c r="G523" s="790">
        <v>315</v>
      </c>
      <c r="H523" s="790">
        <v>3111</v>
      </c>
      <c r="I523" s="790">
        <v>1710</v>
      </c>
      <c r="J523" s="796">
        <f t="shared" si="17"/>
        <v>0.34738829452485842</v>
      </c>
    </row>
    <row r="524" spans="1:10">
      <c r="A524" s="322" t="s">
        <v>86</v>
      </c>
      <c r="B524" s="793">
        <v>44418</v>
      </c>
      <c r="C524" s="790">
        <f t="shared" si="16"/>
        <v>2034</v>
      </c>
      <c r="D524" s="790">
        <v>23</v>
      </c>
      <c r="E524" s="790">
        <v>795</v>
      </c>
      <c r="F524" s="790">
        <v>1239</v>
      </c>
      <c r="G524" s="790">
        <v>235</v>
      </c>
      <c r="H524" s="790">
        <v>1176</v>
      </c>
      <c r="I524" s="790">
        <v>570</v>
      </c>
      <c r="J524" s="796">
        <f t="shared" si="17"/>
        <v>0.41521631029338635</v>
      </c>
    </row>
    <row r="525" spans="1:10">
      <c r="A525" s="322" t="s">
        <v>89</v>
      </c>
      <c r="B525" s="793">
        <v>44419</v>
      </c>
      <c r="C525" s="790">
        <f t="shared" si="16"/>
        <v>16552</v>
      </c>
      <c r="D525" s="790">
        <v>655</v>
      </c>
      <c r="E525" s="790">
        <v>5041</v>
      </c>
      <c r="F525" s="790">
        <v>11511</v>
      </c>
      <c r="G525" s="790">
        <v>1327</v>
      </c>
      <c r="H525" s="790">
        <v>11488</v>
      </c>
      <c r="I525" s="790">
        <v>6488</v>
      </c>
      <c r="J525" s="796">
        <f t="shared" si="17"/>
        <v>0.27734792728187707</v>
      </c>
    </row>
    <row r="526" spans="1:10">
      <c r="A526" s="322" t="s">
        <v>88</v>
      </c>
      <c r="B526" s="793">
        <v>44420</v>
      </c>
      <c r="C526" s="790">
        <f t="shared" si="16"/>
        <v>3428</v>
      </c>
      <c r="D526" s="790">
        <v>68</v>
      </c>
      <c r="E526" s="790">
        <v>1272</v>
      </c>
      <c r="F526" s="790">
        <v>2156</v>
      </c>
      <c r="G526" s="790">
        <v>227</v>
      </c>
      <c r="H526" s="790">
        <v>1911</v>
      </c>
      <c r="I526" s="790">
        <v>1017</v>
      </c>
      <c r="J526" s="796">
        <f t="shared" si="17"/>
        <v>0.43125000000000002</v>
      </c>
    </row>
    <row r="527" spans="1:10">
      <c r="A527" s="322" t="s">
        <v>87</v>
      </c>
      <c r="B527" s="793">
        <v>44421</v>
      </c>
      <c r="C527" s="790">
        <f t="shared" si="16"/>
        <v>3345</v>
      </c>
      <c r="D527" s="790">
        <v>50</v>
      </c>
      <c r="E527" s="790">
        <v>1107</v>
      </c>
      <c r="F527" s="790">
        <v>2238</v>
      </c>
      <c r="G527" s="790">
        <v>185</v>
      </c>
      <c r="H527" s="790">
        <v>2318</v>
      </c>
      <c r="I527" s="790">
        <v>1015</v>
      </c>
      <c r="J527" s="796">
        <f t="shared" si="17"/>
        <v>0.29650986342943852</v>
      </c>
    </row>
    <row r="528" spans="1:10">
      <c r="A528" s="322" t="s">
        <v>90</v>
      </c>
      <c r="B528" s="793">
        <v>44422</v>
      </c>
      <c r="C528" s="790">
        <f t="shared" si="16"/>
        <v>3033</v>
      </c>
      <c r="D528" s="790">
        <v>159</v>
      </c>
      <c r="E528" s="790">
        <v>1091</v>
      </c>
      <c r="F528" s="790">
        <v>1942</v>
      </c>
      <c r="G528" s="790">
        <v>159</v>
      </c>
      <c r="H528" s="790">
        <v>1574</v>
      </c>
      <c r="I528" s="790">
        <v>724</v>
      </c>
      <c r="J528" s="796">
        <f t="shared" si="17"/>
        <v>0.45233124565066107</v>
      </c>
    </row>
    <row r="529" spans="1:10">
      <c r="A529" s="322" t="s">
        <v>91</v>
      </c>
      <c r="B529" s="793">
        <v>44423</v>
      </c>
      <c r="C529" s="790">
        <f t="shared" si="16"/>
        <v>2887</v>
      </c>
      <c r="D529" s="790">
        <v>52</v>
      </c>
      <c r="E529" s="790">
        <v>1006</v>
      </c>
      <c r="F529" s="790">
        <v>1881</v>
      </c>
      <c r="G529" s="790">
        <v>276</v>
      </c>
      <c r="H529" s="790">
        <v>1819</v>
      </c>
      <c r="I529" s="790">
        <v>961</v>
      </c>
      <c r="J529" s="796">
        <f t="shared" si="17"/>
        <v>0.35837742504409176</v>
      </c>
    </row>
    <row r="530" spans="1:10">
      <c r="A530" s="322" t="s">
        <v>93</v>
      </c>
      <c r="B530" s="793">
        <v>44424</v>
      </c>
      <c r="C530" s="790">
        <f t="shared" si="16"/>
        <v>5184</v>
      </c>
      <c r="D530" s="790">
        <v>338</v>
      </c>
      <c r="E530" s="790">
        <v>1652</v>
      </c>
      <c r="F530" s="790">
        <v>3532</v>
      </c>
      <c r="G530" s="790">
        <v>394</v>
      </c>
      <c r="H530" s="790">
        <v>3445</v>
      </c>
      <c r="I530" s="790">
        <v>1878</v>
      </c>
      <c r="J530" s="796">
        <f t="shared" si="17"/>
        <v>0.2891044160132068</v>
      </c>
    </row>
    <row r="531" spans="1:10">
      <c r="A531" s="322" t="s">
        <v>94</v>
      </c>
      <c r="B531" s="793">
        <v>44425</v>
      </c>
      <c r="C531" s="790">
        <f t="shared" si="16"/>
        <v>1473</v>
      </c>
      <c r="D531" s="790">
        <v>36</v>
      </c>
      <c r="E531" s="790">
        <v>515</v>
      </c>
      <c r="F531" s="790">
        <v>958</v>
      </c>
      <c r="G531" s="790">
        <v>146</v>
      </c>
      <c r="H531" s="790">
        <v>1110</v>
      </c>
      <c r="I531" s="790">
        <v>558</v>
      </c>
      <c r="J531" s="796">
        <f t="shared" si="17"/>
        <v>0.22755741127348639</v>
      </c>
    </row>
    <row r="532" spans="1:10">
      <c r="A532" s="322" t="s">
        <v>92</v>
      </c>
      <c r="B532" s="793">
        <v>44426</v>
      </c>
      <c r="C532" s="790">
        <f t="shared" si="16"/>
        <v>13744</v>
      </c>
      <c r="D532" s="790">
        <v>400</v>
      </c>
      <c r="E532" s="790">
        <v>4557</v>
      </c>
      <c r="F532" s="790">
        <v>9187</v>
      </c>
      <c r="G532" s="790">
        <v>1007</v>
      </c>
      <c r="H532" s="790">
        <v>9253</v>
      </c>
      <c r="I532" s="790">
        <v>5039</v>
      </c>
      <c r="J532" s="796">
        <f t="shared" si="17"/>
        <v>0.30657973621103118</v>
      </c>
    </row>
    <row r="533" spans="1:10">
      <c r="A533" s="322" t="s">
        <v>95</v>
      </c>
      <c r="B533" s="793">
        <v>44427</v>
      </c>
      <c r="C533" s="790">
        <f t="shared" si="16"/>
        <v>20735</v>
      </c>
      <c r="D533" s="790">
        <v>3467</v>
      </c>
      <c r="E533" s="790">
        <v>8478</v>
      </c>
      <c r="F533" s="790">
        <v>12257</v>
      </c>
      <c r="G533" s="790">
        <v>786</v>
      </c>
      <c r="H533" s="790">
        <v>12371</v>
      </c>
      <c r="I533" s="790">
        <v>7076</v>
      </c>
      <c r="J533" s="796">
        <f t="shared" si="17"/>
        <v>0.28358813991197596</v>
      </c>
    </row>
    <row r="534" spans="1:10">
      <c r="A534" s="322" t="s">
        <v>96</v>
      </c>
      <c r="B534" s="793">
        <v>44428</v>
      </c>
      <c r="C534" s="790">
        <f t="shared" si="16"/>
        <v>2625</v>
      </c>
      <c r="D534" s="790">
        <v>47</v>
      </c>
      <c r="E534" s="790">
        <v>698</v>
      </c>
      <c r="F534" s="790">
        <v>1927</v>
      </c>
      <c r="G534" s="790">
        <v>138</v>
      </c>
      <c r="H534" s="790">
        <v>1585</v>
      </c>
      <c r="I534" s="790">
        <v>821</v>
      </c>
      <c r="J534" s="796">
        <f t="shared" si="17"/>
        <v>0.38518231186966645</v>
      </c>
    </row>
    <row r="535" spans="1:10">
      <c r="A535" s="322" t="s">
        <v>98</v>
      </c>
      <c r="B535" s="793">
        <v>44429</v>
      </c>
      <c r="C535" s="790">
        <f t="shared" si="16"/>
        <v>1347</v>
      </c>
      <c r="D535" s="790">
        <v>9</v>
      </c>
      <c r="E535" s="790">
        <v>593</v>
      </c>
      <c r="F535" s="790">
        <v>754</v>
      </c>
      <c r="G535" s="790">
        <v>134</v>
      </c>
      <c r="H535" s="790">
        <v>807</v>
      </c>
      <c r="I535" s="790">
        <v>366</v>
      </c>
      <c r="J535" s="796">
        <f t="shared" si="17"/>
        <v>0.39686098654708524</v>
      </c>
    </row>
    <row r="536" spans="1:10">
      <c r="A536" s="322" t="s">
        <v>99</v>
      </c>
      <c r="B536" s="793">
        <v>44430</v>
      </c>
      <c r="C536" s="790">
        <f t="shared" si="16"/>
        <v>231</v>
      </c>
      <c r="D536" s="790">
        <v>8</v>
      </c>
      <c r="E536" s="790">
        <v>92</v>
      </c>
      <c r="F536" s="790">
        <v>139</v>
      </c>
      <c r="G536" s="790">
        <v>14</v>
      </c>
      <c r="H536" s="790">
        <v>127</v>
      </c>
      <c r="I536" s="790">
        <v>48</v>
      </c>
      <c r="J536" s="796">
        <f t="shared" si="17"/>
        <v>0.43049327354260092</v>
      </c>
    </row>
    <row r="537" spans="1:10">
      <c r="A537" s="322" t="s">
        <v>97</v>
      </c>
      <c r="B537" s="793">
        <v>44431</v>
      </c>
      <c r="C537" s="790">
        <f t="shared" si="16"/>
        <v>17143</v>
      </c>
      <c r="D537" s="790">
        <v>900</v>
      </c>
      <c r="E537" s="790">
        <v>5766</v>
      </c>
      <c r="F537" s="790">
        <v>11377</v>
      </c>
      <c r="G537" s="790">
        <v>814</v>
      </c>
      <c r="H537" s="790">
        <v>10968</v>
      </c>
      <c r="I537" s="790">
        <v>6099</v>
      </c>
      <c r="J537" s="796">
        <f t="shared" si="17"/>
        <v>0.3247552791971926</v>
      </c>
    </row>
    <row r="538" spans="1:10">
      <c r="A538" s="322" t="s">
        <v>100</v>
      </c>
      <c r="B538" s="793">
        <v>44432</v>
      </c>
      <c r="C538" s="790">
        <f t="shared" si="16"/>
        <v>11177</v>
      </c>
      <c r="D538" s="790">
        <v>235</v>
      </c>
      <c r="E538" s="790">
        <v>3594</v>
      </c>
      <c r="F538" s="790">
        <v>7583</v>
      </c>
      <c r="G538" s="790">
        <v>775</v>
      </c>
      <c r="H538" s="790">
        <v>7711</v>
      </c>
      <c r="I538" s="790">
        <v>4168</v>
      </c>
      <c r="J538" s="796">
        <f t="shared" si="17"/>
        <v>0.29528422591847925</v>
      </c>
    </row>
    <row r="539" spans="1:10">
      <c r="A539" s="322" t="s">
        <v>102</v>
      </c>
      <c r="B539" s="793">
        <v>44433</v>
      </c>
      <c r="C539" s="790">
        <f t="shared" si="16"/>
        <v>1529</v>
      </c>
      <c r="D539" s="790">
        <v>29</v>
      </c>
      <c r="E539" s="790">
        <v>589</v>
      </c>
      <c r="F539" s="790">
        <v>940</v>
      </c>
      <c r="G539" s="790">
        <v>118</v>
      </c>
      <c r="H539" s="790">
        <v>1022</v>
      </c>
      <c r="I539" s="790">
        <v>501</v>
      </c>
      <c r="J539" s="796">
        <f t="shared" si="17"/>
        <v>0.31866666666666665</v>
      </c>
    </row>
    <row r="540" spans="1:10">
      <c r="A540" s="322" t="s">
        <v>101</v>
      </c>
      <c r="B540" s="793">
        <v>44434</v>
      </c>
      <c r="C540" s="790">
        <f t="shared" si="16"/>
        <v>64153</v>
      </c>
      <c r="D540" s="790">
        <v>5470</v>
      </c>
      <c r="E540" s="790">
        <v>23647</v>
      </c>
      <c r="F540" s="790">
        <v>40506</v>
      </c>
      <c r="G540" s="790">
        <v>3312</v>
      </c>
      <c r="H540" s="790">
        <v>40863</v>
      </c>
      <c r="I540" s="790">
        <v>22817</v>
      </c>
      <c r="J540" s="796">
        <f t="shared" si="17"/>
        <v>0.30366545677623846</v>
      </c>
    </row>
    <row r="541" spans="1:10">
      <c r="A541" s="322" t="s">
        <v>103</v>
      </c>
      <c r="B541" s="793">
        <v>44435</v>
      </c>
      <c r="C541" s="790">
        <f t="shared" si="16"/>
        <v>813</v>
      </c>
      <c r="D541" s="790">
        <v>14</v>
      </c>
      <c r="E541" s="790">
        <v>318</v>
      </c>
      <c r="F541" s="790">
        <v>495</v>
      </c>
      <c r="G541" s="790">
        <v>73</v>
      </c>
      <c r="H541" s="790">
        <v>502</v>
      </c>
      <c r="I541" s="790">
        <v>251</v>
      </c>
      <c r="J541" s="796">
        <f t="shared" si="17"/>
        <v>0.37171464330413018</v>
      </c>
    </row>
    <row r="542" spans="1:10">
      <c r="A542" s="322" t="s">
        <v>77</v>
      </c>
      <c r="B542" s="793">
        <v>44440</v>
      </c>
      <c r="C542" s="790">
        <f t="shared" si="16"/>
        <v>680</v>
      </c>
      <c r="D542" s="790">
        <v>6</v>
      </c>
      <c r="E542" s="790">
        <v>360</v>
      </c>
      <c r="F542" s="790">
        <v>320</v>
      </c>
      <c r="G542" s="790">
        <v>37</v>
      </c>
      <c r="H542" s="790">
        <v>416</v>
      </c>
      <c r="I542" s="790">
        <v>175</v>
      </c>
      <c r="J542" s="796">
        <f t="shared" si="17"/>
        <v>0.3827893175074184</v>
      </c>
    </row>
    <row r="543" spans="1:10">
      <c r="A543" s="322" t="s">
        <v>78</v>
      </c>
      <c r="B543" s="793">
        <v>44441</v>
      </c>
      <c r="C543" s="790">
        <f t="shared" si="16"/>
        <v>2079</v>
      </c>
      <c r="D543" s="790">
        <v>53</v>
      </c>
      <c r="E543" s="790">
        <v>565</v>
      </c>
      <c r="F543" s="790">
        <v>1514</v>
      </c>
      <c r="G543" s="790">
        <v>104</v>
      </c>
      <c r="H543" s="790">
        <v>1373</v>
      </c>
      <c r="I543" s="790">
        <v>855</v>
      </c>
      <c r="J543" s="796">
        <f t="shared" si="17"/>
        <v>0.32230997038499509</v>
      </c>
    </row>
    <row r="544" spans="1:10">
      <c r="A544" s="322" t="s">
        <v>80</v>
      </c>
      <c r="B544" s="793">
        <v>44442</v>
      </c>
      <c r="C544" s="790">
        <f t="shared" si="16"/>
        <v>2063</v>
      </c>
      <c r="D544" s="790">
        <v>11</v>
      </c>
      <c r="E544" s="790">
        <v>821</v>
      </c>
      <c r="F544" s="790">
        <v>1242</v>
      </c>
      <c r="G544" s="790">
        <v>90</v>
      </c>
      <c r="H544" s="790">
        <v>1197</v>
      </c>
      <c r="I544" s="790">
        <v>593</v>
      </c>
      <c r="J544" s="796">
        <f t="shared" si="17"/>
        <v>0.41666666666666663</v>
      </c>
    </row>
    <row r="545" spans="1:10">
      <c r="A545" s="322" t="s">
        <v>79</v>
      </c>
      <c r="B545" s="793">
        <v>44443</v>
      </c>
      <c r="C545" s="790">
        <f t="shared" si="16"/>
        <v>803</v>
      </c>
      <c r="D545" s="790">
        <v>6</v>
      </c>
      <c r="E545" s="790">
        <v>436</v>
      </c>
      <c r="F545" s="790">
        <v>367</v>
      </c>
      <c r="G545" s="790">
        <v>14</v>
      </c>
      <c r="H545" s="790">
        <v>417</v>
      </c>
      <c r="I545" s="790">
        <v>178</v>
      </c>
      <c r="J545" s="796">
        <f t="shared" si="17"/>
        <v>0.47678795483061476</v>
      </c>
    </row>
    <row r="546" spans="1:10">
      <c r="A546" s="322" t="s">
        <v>81</v>
      </c>
      <c r="B546" s="793">
        <v>44444</v>
      </c>
      <c r="C546" s="790">
        <f t="shared" si="16"/>
        <v>6977</v>
      </c>
      <c r="D546" s="790">
        <v>690</v>
      </c>
      <c r="E546" s="790">
        <v>2627</v>
      </c>
      <c r="F546" s="790">
        <v>4350</v>
      </c>
      <c r="G546" s="790">
        <v>304</v>
      </c>
      <c r="H546" s="790">
        <v>4344</v>
      </c>
      <c r="I546" s="790">
        <v>2396</v>
      </c>
      <c r="J546" s="796">
        <f t="shared" si="17"/>
        <v>0.3090504215046922</v>
      </c>
    </row>
    <row r="547" spans="1:10">
      <c r="A547" s="322" t="s">
        <v>82</v>
      </c>
      <c r="B547" s="793">
        <v>44445</v>
      </c>
      <c r="C547" s="790">
        <f t="shared" si="16"/>
        <v>4368</v>
      </c>
      <c r="D547" s="790">
        <v>147</v>
      </c>
      <c r="E547" s="790">
        <v>1698</v>
      </c>
      <c r="F547" s="790">
        <v>2670</v>
      </c>
      <c r="G547" s="790">
        <v>368</v>
      </c>
      <c r="H547" s="790">
        <v>2875</v>
      </c>
      <c r="I547" s="790">
        <v>1700</v>
      </c>
      <c r="J547" s="796">
        <f t="shared" si="17"/>
        <v>0.31888178156834879</v>
      </c>
    </row>
    <row r="548" spans="1:10">
      <c r="A548" s="322" t="s">
        <v>83</v>
      </c>
      <c r="B548" s="793">
        <v>44446</v>
      </c>
      <c r="C548" s="790">
        <f t="shared" si="16"/>
        <v>6609</v>
      </c>
      <c r="D548" s="790">
        <v>397</v>
      </c>
      <c r="E548" s="790">
        <v>2368</v>
      </c>
      <c r="F548" s="790">
        <v>4241</v>
      </c>
      <c r="G548" s="790">
        <v>213</v>
      </c>
      <c r="H548" s="790">
        <v>4176</v>
      </c>
      <c r="I548" s="790">
        <v>2671</v>
      </c>
      <c r="J548" s="796">
        <f t="shared" si="17"/>
        <v>0.3277527366387637</v>
      </c>
    </row>
    <row r="549" spans="1:10">
      <c r="A549" s="322" t="s">
        <v>84</v>
      </c>
      <c r="B549" s="793">
        <v>44447</v>
      </c>
      <c r="C549" s="790">
        <f t="shared" si="16"/>
        <v>3900</v>
      </c>
      <c r="D549" s="790">
        <v>65</v>
      </c>
      <c r="E549" s="790">
        <v>1029</v>
      </c>
      <c r="F549" s="790">
        <v>2871</v>
      </c>
      <c r="G549" s="790">
        <v>167</v>
      </c>
      <c r="H549" s="790">
        <v>3209</v>
      </c>
      <c r="I549" s="790">
        <v>1910</v>
      </c>
      <c r="J549" s="796">
        <f t="shared" si="17"/>
        <v>0.16323337679269878</v>
      </c>
    </row>
    <row r="550" spans="1:10">
      <c r="A550" s="322" t="s">
        <v>85</v>
      </c>
      <c r="B550" s="793">
        <v>44448</v>
      </c>
      <c r="C550" s="790">
        <f t="shared" si="16"/>
        <v>5018</v>
      </c>
      <c r="D550" s="790">
        <v>168</v>
      </c>
      <c r="E550" s="790">
        <v>1600</v>
      </c>
      <c r="F550" s="790">
        <v>3418</v>
      </c>
      <c r="G550" s="790">
        <v>205</v>
      </c>
      <c r="H550" s="790">
        <v>3184</v>
      </c>
      <c r="I550" s="790">
        <v>1924</v>
      </c>
      <c r="J550" s="796">
        <f t="shared" si="17"/>
        <v>0.3435051546391753</v>
      </c>
    </row>
    <row r="551" spans="1:10">
      <c r="A551" s="322" t="s">
        <v>86</v>
      </c>
      <c r="B551" s="793">
        <v>44449</v>
      </c>
      <c r="C551" s="790">
        <f t="shared" si="16"/>
        <v>2055</v>
      </c>
      <c r="D551" s="790">
        <v>20</v>
      </c>
      <c r="E551" s="790">
        <v>805</v>
      </c>
      <c r="F551" s="790">
        <v>1250</v>
      </c>
      <c r="G551" s="790">
        <v>102</v>
      </c>
      <c r="H551" s="790">
        <v>1210</v>
      </c>
      <c r="I551" s="790">
        <v>604</v>
      </c>
      <c r="J551" s="796">
        <f t="shared" si="17"/>
        <v>0.40540540540540537</v>
      </c>
    </row>
    <row r="552" spans="1:10">
      <c r="A552" s="322" t="s">
        <v>89</v>
      </c>
      <c r="B552" s="793">
        <v>44450</v>
      </c>
      <c r="C552" s="790">
        <f t="shared" si="16"/>
        <v>17091</v>
      </c>
      <c r="D552" s="790">
        <v>569</v>
      </c>
      <c r="E552" s="790">
        <v>5189</v>
      </c>
      <c r="F552" s="790">
        <v>11902</v>
      </c>
      <c r="G552" s="790">
        <v>808</v>
      </c>
      <c r="H552" s="790">
        <v>11671</v>
      </c>
      <c r="I552" s="790">
        <v>7270</v>
      </c>
      <c r="J552" s="796">
        <f t="shared" si="17"/>
        <v>0.29360852197070575</v>
      </c>
    </row>
    <row r="553" spans="1:10">
      <c r="A553" s="322" t="s">
        <v>88</v>
      </c>
      <c r="B553" s="793">
        <v>44451</v>
      </c>
      <c r="C553" s="790">
        <f t="shared" si="16"/>
        <v>3564</v>
      </c>
      <c r="D553" s="790">
        <v>83</v>
      </c>
      <c r="E553" s="790">
        <v>1336</v>
      </c>
      <c r="F553" s="790">
        <v>2228</v>
      </c>
      <c r="G553" s="790">
        <v>160</v>
      </c>
      <c r="H553" s="790">
        <v>1970</v>
      </c>
      <c r="I553" s="790">
        <v>1120</v>
      </c>
      <c r="J553" s="796">
        <f t="shared" si="17"/>
        <v>0.43407066934788852</v>
      </c>
    </row>
    <row r="554" spans="1:10">
      <c r="A554" s="322" t="s">
        <v>87</v>
      </c>
      <c r="B554" s="793">
        <v>44452</v>
      </c>
      <c r="C554" s="790">
        <f t="shared" si="16"/>
        <v>3365</v>
      </c>
      <c r="D554" s="790">
        <v>44</v>
      </c>
      <c r="E554" s="790">
        <v>1113</v>
      </c>
      <c r="F554" s="790">
        <v>2252</v>
      </c>
      <c r="G554" s="790">
        <v>122</v>
      </c>
      <c r="H554" s="790">
        <v>2391</v>
      </c>
      <c r="I554" s="790">
        <v>1141</v>
      </c>
      <c r="J554" s="796">
        <f t="shared" si="17"/>
        <v>0.28003613369467029</v>
      </c>
    </row>
    <row r="555" spans="1:10">
      <c r="A555" s="322" t="s">
        <v>90</v>
      </c>
      <c r="B555" s="793">
        <v>44453</v>
      </c>
      <c r="C555" s="790">
        <f t="shared" si="16"/>
        <v>3044</v>
      </c>
      <c r="D555" s="790">
        <v>126</v>
      </c>
      <c r="E555" s="790">
        <v>1093</v>
      </c>
      <c r="F555" s="790">
        <v>1951</v>
      </c>
      <c r="G555" s="790">
        <v>114</v>
      </c>
      <c r="H555" s="790">
        <v>1624</v>
      </c>
      <c r="I555" s="790">
        <v>795</v>
      </c>
      <c r="J555" s="796">
        <f t="shared" si="17"/>
        <v>0.44345442083618913</v>
      </c>
    </row>
    <row r="556" spans="1:10">
      <c r="A556" s="322" t="s">
        <v>91</v>
      </c>
      <c r="B556" s="793">
        <v>44454</v>
      </c>
      <c r="C556" s="790">
        <f t="shared" si="16"/>
        <v>2956</v>
      </c>
      <c r="D556" s="790">
        <v>46</v>
      </c>
      <c r="E556" s="790">
        <v>1026</v>
      </c>
      <c r="F556" s="790">
        <v>1930</v>
      </c>
      <c r="G556" s="790">
        <v>213</v>
      </c>
      <c r="H556" s="790">
        <v>1901</v>
      </c>
      <c r="I556" s="790">
        <v>1080</v>
      </c>
      <c r="J556" s="796">
        <f t="shared" si="17"/>
        <v>0.34673539518900343</v>
      </c>
    </row>
    <row r="557" spans="1:10">
      <c r="A557" s="322" t="s">
        <v>93</v>
      </c>
      <c r="B557" s="793">
        <v>44455</v>
      </c>
      <c r="C557" s="790">
        <f t="shared" si="16"/>
        <v>5255</v>
      </c>
      <c r="D557" s="790">
        <v>331</v>
      </c>
      <c r="E557" s="790">
        <v>1670</v>
      </c>
      <c r="F557" s="790">
        <v>3585</v>
      </c>
      <c r="G557" s="790">
        <v>244</v>
      </c>
      <c r="H557" s="790">
        <v>3484</v>
      </c>
      <c r="I557" s="790">
        <v>2042</v>
      </c>
      <c r="J557" s="796">
        <f t="shared" si="17"/>
        <v>0.29244516653127539</v>
      </c>
    </row>
    <row r="558" spans="1:10">
      <c r="A558" s="322" t="s">
        <v>94</v>
      </c>
      <c r="B558" s="793">
        <v>44456</v>
      </c>
      <c r="C558" s="790">
        <f t="shared" si="16"/>
        <v>1496</v>
      </c>
      <c r="D558" s="790">
        <v>32</v>
      </c>
      <c r="E558" s="790">
        <v>525</v>
      </c>
      <c r="F558" s="790">
        <v>971</v>
      </c>
      <c r="G558" s="790">
        <v>109</v>
      </c>
      <c r="H558" s="790">
        <v>1116</v>
      </c>
      <c r="I558" s="790">
        <v>613</v>
      </c>
      <c r="J558" s="796">
        <f t="shared" si="17"/>
        <v>0.23770491803278693</v>
      </c>
    </row>
    <row r="559" spans="1:10">
      <c r="A559" s="322" t="s">
        <v>92</v>
      </c>
      <c r="B559" s="793">
        <v>44457</v>
      </c>
      <c r="C559" s="790">
        <f t="shared" si="16"/>
        <v>13850</v>
      </c>
      <c r="D559" s="790">
        <v>329</v>
      </c>
      <c r="E559" s="790">
        <v>4583</v>
      </c>
      <c r="F559" s="790">
        <v>9267</v>
      </c>
      <c r="G559" s="790">
        <v>758</v>
      </c>
      <c r="H559" s="790">
        <v>9426</v>
      </c>
      <c r="I559" s="790">
        <v>5619</v>
      </c>
      <c r="J559" s="796">
        <f t="shared" si="17"/>
        <v>0.30286221433325933</v>
      </c>
    </row>
    <row r="560" spans="1:10">
      <c r="A560" s="322" t="s">
        <v>95</v>
      </c>
      <c r="B560" s="793">
        <v>44458</v>
      </c>
      <c r="C560" s="790">
        <f t="shared" si="16"/>
        <v>20862</v>
      </c>
      <c r="D560" s="790">
        <v>2941</v>
      </c>
      <c r="E560" s="790">
        <v>8525</v>
      </c>
      <c r="F560" s="790">
        <v>12337</v>
      </c>
      <c r="G560" s="790">
        <v>566</v>
      </c>
      <c r="H560" s="790">
        <v>12593</v>
      </c>
      <c r="I560" s="790">
        <v>7707</v>
      </c>
      <c r="J560" s="796">
        <f t="shared" si="17"/>
        <v>0.29730483789967077</v>
      </c>
    </row>
    <row r="561" spans="1:10">
      <c r="A561" s="322" t="s">
        <v>96</v>
      </c>
      <c r="B561" s="793">
        <v>44459</v>
      </c>
      <c r="C561" s="790">
        <f t="shared" si="16"/>
        <v>2634</v>
      </c>
      <c r="D561" s="790">
        <v>42</v>
      </c>
      <c r="E561" s="790">
        <v>703</v>
      </c>
      <c r="F561" s="790">
        <v>1931</v>
      </c>
      <c r="G561" s="790">
        <v>110</v>
      </c>
      <c r="H561" s="790">
        <v>1631</v>
      </c>
      <c r="I561" s="790">
        <v>907</v>
      </c>
      <c r="J561" s="796">
        <f t="shared" si="17"/>
        <v>0.37075617283950613</v>
      </c>
    </row>
    <row r="562" spans="1:10">
      <c r="A562" s="322" t="s">
        <v>98</v>
      </c>
      <c r="B562" s="793">
        <v>44460</v>
      </c>
      <c r="C562" s="790">
        <f t="shared" si="16"/>
        <v>1355</v>
      </c>
      <c r="D562" s="790">
        <v>9</v>
      </c>
      <c r="E562" s="790">
        <v>599</v>
      </c>
      <c r="F562" s="790">
        <v>756</v>
      </c>
      <c r="G562" s="790">
        <v>83</v>
      </c>
      <c r="H562" s="790">
        <v>844</v>
      </c>
      <c r="I562" s="790">
        <v>431</v>
      </c>
      <c r="J562" s="796">
        <f t="shared" si="17"/>
        <v>0.37295690936106984</v>
      </c>
    </row>
    <row r="563" spans="1:10">
      <c r="A563" s="322" t="s">
        <v>99</v>
      </c>
      <c r="B563" s="793">
        <v>44461</v>
      </c>
      <c r="C563" s="790">
        <f t="shared" si="16"/>
        <v>238</v>
      </c>
      <c r="D563" s="790">
        <v>8</v>
      </c>
      <c r="E563" s="790">
        <v>96</v>
      </c>
      <c r="F563" s="790">
        <v>142</v>
      </c>
      <c r="G563" s="790">
        <v>6</v>
      </c>
      <c r="H563" s="790">
        <v>134</v>
      </c>
      <c r="I563" s="790">
        <v>70</v>
      </c>
      <c r="J563" s="796">
        <f t="shared" si="17"/>
        <v>0.41739130434782612</v>
      </c>
    </row>
    <row r="564" spans="1:10">
      <c r="A564" s="322" t="s">
        <v>97</v>
      </c>
      <c r="B564" s="793">
        <v>44462</v>
      </c>
      <c r="C564" s="790">
        <f t="shared" si="16"/>
        <v>17280</v>
      </c>
      <c r="D564" s="790">
        <v>724</v>
      </c>
      <c r="E564" s="790">
        <v>5804</v>
      </c>
      <c r="F564" s="790">
        <v>11476</v>
      </c>
      <c r="G564" s="790">
        <v>694</v>
      </c>
      <c r="H564" s="790">
        <v>11271</v>
      </c>
      <c r="I564" s="790">
        <v>6847</v>
      </c>
      <c r="J564" s="796">
        <f t="shared" si="17"/>
        <v>0.31921961826528145</v>
      </c>
    </row>
    <row r="565" spans="1:10">
      <c r="A565" s="322" t="s">
        <v>100</v>
      </c>
      <c r="B565" s="793">
        <v>44463</v>
      </c>
      <c r="C565" s="790">
        <f t="shared" si="16"/>
        <v>11248</v>
      </c>
      <c r="D565" s="790">
        <v>186</v>
      </c>
      <c r="E565" s="790">
        <v>3612</v>
      </c>
      <c r="F565" s="790">
        <v>7636</v>
      </c>
      <c r="G565" s="790">
        <v>544</v>
      </c>
      <c r="H565" s="790">
        <v>7818</v>
      </c>
      <c r="I565" s="790">
        <v>4607</v>
      </c>
      <c r="J565" s="796">
        <f t="shared" si="17"/>
        <v>0.29325619237027667</v>
      </c>
    </row>
    <row r="566" spans="1:10">
      <c r="A566" s="322" t="s">
        <v>102</v>
      </c>
      <c r="B566" s="793">
        <v>44464</v>
      </c>
      <c r="C566" s="790">
        <f t="shared" si="16"/>
        <v>1540</v>
      </c>
      <c r="D566" s="790">
        <v>27</v>
      </c>
      <c r="E566" s="790">
        <v>595</v>
      </c>
      <c r="F566" s="790">
        <v>945</v>
      </c>
      <c r="G566" s="790">
        <v>90</v>
      </c>
      <c r="H566" s="790">
        <v>1046</v>
      </c>
      <c r="I566" s="790">
        <v>565</v>
      </c>
      <c r="J566" s="796">
        <f t="shared" si="17"/>
        <v>0.30865829477858564</v>
      </c>
    </row>
    <row r="567" spans="1:10">
      <c r="A567" s="322" t="s">
        <v>101</v>
      </c>
      <c r="B567" s="793">
        <v>44465</v>
      </c>
      <c r="C567" s="790">
        <f t="shared" si="16"/>
        <v>64549</v>
      </c>
      <c r="D567" s="790">
        <v>3652</v>
      </c>
      <c r="E567" s="790">
        <v>23761</v>
      </c>
      <c r="F567" s="790">
        <v>40788</v>
      </c>
      <c r="G567" s="790">
        <v>2212</v>
      </c>
      <c r="H567" s="790">
        <v>41755</v>
      </c>
      <c r="I567" s="790">
        <v>24807</v>
      </c>
      <c r="J567" s="796">
        <f t="shared" si="17"/>
        <v>0.31433403944365079</v>
      </c>
    </row>
    <row r="568" spans="1:10">
      <c r="A568" s="322" t="s">
        <v>103</v>
      </c>
      <c r="B568" s="793">
        <v>44466</v>
      </c>
      <c r="C568" s="790">
        <f t="shared" si="16"/>
        <v>836</v>
      </c>
      <c r="D568" s="790">
        <v>12</v>
      </c>
      <c r="E568" s="790">
        <v>326</v>
      </c>
      <c r="F568" s="790">
        <v>510</v>
      </c>
      <c r="G568" s="790">
        <v>76</v>
      </c>
      <c r="H568" s="790">
        <v>529</v>
      </c>
      <c r="I568" s="790">
        <v>295</v>
      </c>
      <c r="J568" s="796">
        <f t="shared" si="17"/>
        <v>0.35800970873786409</v>
      </c>
    </row>
    <row r="569" spans="1:10">
      <c r="A569" s="322" t="s">
        <v>77</v>
      </c>
      <c r="B569" s="793">
        <v>44470</v>
      </c>
      <c r="C569" s="790">
        <f t="shared" si="16"/>
        <v>690</v>
      </c>
      <c r="D569" s="790">
        <v>6</v>
      </c>
      <c r="E569" s="790">
        <v>366</v>
      </c>
      <c r="F569" s="790">
        <v>324</v>
      </c>
      <c r="G569" s="790">
        <v>42</v>
      </c>
      <c r="H569" s="790">
        <v>428</v>
      </c>
      <c r="I569" s="790">
        <v>182</v>
      </c>
      <c r="J569" s="796">
        <f t="shared" si="17"/>
        <v>0.3742690058479532</v>
      </c>
    </row>
    <row r="570" spans="1:10">
      <c r="A570" s="322" t="s">
        <v>78</v>
      </c>
      <c r="B570" s="793">
        <v>44471</v>
      </c>
      <c r="C570" s="790">
        <f t="shared" si="16"/>
        <v>2090</v>
      </c>
      <c r="D570" s="790">
        <v>54</v>
      </c>
      <c r="E570" s="790">
        <v>566</v>
      </c>
      <c r="F570" s="790">
        <v>1524</v>
      </c>
      <c r="G570" s="790">
        <v>115</v>
      </c>
      <c r="H570" s="790">
        <v>1423</v>
      </c>
      <c r="I570" s="790">
        <v>877</v>
      </c>
      <c r="J570" s="796">
        <f t="shared" si="17"/>
        <v>0.30108055009823187</v>
      </c>
    </row>
    <row r="571" spans="1:10">
      <c r="A571" s="322" t="s">
        <v>80</v>
      </c>
      <c r="B571" s="793">
        <v>44472</v>
      </c>
      <c r="C571" s="790">
        <f t="shared" si="16"/>
        <v>2070</v>
      </c>
      <c r="D571" s="790">
        <v>11</v>
      </c>
      <c r="E571" s="790">
        <v>826</v>
      </c>
      <c r="F571" s="790">
        <v>1244</v>
      </c>
      <c r="G571" s="790">
        <v>94</v>
      </c>
      <c r="H571" s="790">
        <v>1230</v>
      </c>
      <c r="I571" s="790">
        <v>612</v>
      </c>
      <c r="J571" s="796">
        <f t="shared" si="17"/>
        <v>0.40262263234579898</v>
      </c>
    </row>
    <row r="572" spans="1:10">
      <c r="A572" s="322" t="s">
        <v>79</v>
      </c>
      <c r="B572" s="793">
        <v>44473</v>
      </c>
      <c r="C572" s="790">
        <f t="shared" si="16"/>
        <v>811</v>
      </c>
      <c r="D572" s="790">
        <v>6</v>
      </c>
      <c r="E572" s="790">
        <v>443</v>
      </c>
      <c r="F572" s="790">
        <v>368</v>
      </c>
      <c r="G572" s="790">
        <v>18</v>
      </c>
      <c r="H572" s="790">
        <v>430</v>
      </c>
      <c r="I572" s="790">
        <v>179</v>
      </c>
      <c r="J572" s="796">
        <f t="shared" si="17"/>
        <v>0.46583850931677018</v>
      </c>
    </row>
    <row r="573" spans="1:10">
      <c r="A573" s="322" t="s">
        <v>81</v>
      </c>
      <c r="B573" s="793">
        <v>44474</v>
      </c>
      <c r="C573" s="790">
        <f t="shared" si="16"/>
        <v>7014</v>
      </c>
      <c r="D573" s="790">
        <v>693</v>
      </c>
      <c r="E573" s="790">
        <v>2633</v>
      </c>
      <c r="F573" s="790">
        <v>4381</v>
      </c>
      <c r="G573" s="790">
        <v>331</v>
      </c>
      <c r="H573" s="790">
        <v>4489</v>
      </c>
      <c r="I573" s="790">
        <v>2462</v>
      </c>
      <c r="J573" s="796">
        <f t="shared" si="17"/>
        <v>0.28982755893054901</v>
      </c>
    </row>
    <row r="574" spans="1:10">
      <c r="A574" s="322" t="s">
        <v>82</v>
      </c>
      <c r="B574" s="793">
        <v>44475</v>
      </c>
      <c r="C574" s="790">
        <f t="shared" si="16"/>
        <v>4405</v>
      </c>
      <c r="D574" s="790">
        <v>147</v>
      </c>
      <c r="E574" s="790">
        <v>1714</v>
      </c>
      <c r="F574" s="790">
        <v>2691</v>
      </c>
      <c r="G574" s="790">
        <v>395</v>
      </c>
      <c r="H574" s="790">
        <v>2957</v>
      </c>
      <c r="I574" s="790">
        <v>1746</v>
      </c>
      <c r="J574" s="796">
        <f t="shared" si="17"/>
        <v>0.30554250821982154</v>
      </c>
    </row>
    <row r="575" spans="1:10">
      <c r="A575" s="322" t="s">
        <v>83</v>
      </c>
      <c r="B575" s="793">
        <v>44476</v>
      </c>
      <c r="C575" s="790">
        <f t="shared" si="16"/>
        <v>6637</v>
      </c>
      <c r="D575" s="790">
        <v>398</v>
      </c>
      <c r="E575" s="790">
        <v>2375</v>
      </c>
      <c r="F575" s="790">
        <v>4262</v>
      </c>
      <c r="G575" s="790">
        <v>227</v>
      </c>
      <c r="H575" s="790">
        <v>4264</v>
      </c>
      <c r="I575" s="790">
        <v>2720</v>
      </c>
      <c r="J575" s="796">
        <f t="shared" si="17"/>
        <v>0.31655714056739859</v>
      </c>
    </row>
    <row r="576" spans="1:10">
      <c r="A576" s="322" t="s">
        <v>84</v>
      </c>
      <c r="B576" s="793">
        <v>44477</v>
      </c>
      <c r="C576" s="790">
        <f t="shared" si="16"/>
        <v>3937</v>
      </c>
      <c r="D576" s="790">
        <v>65</v>
      </c>
      <c r="E576" s="790">
        <v>1040</v>
      </c>
      <c r="F576" s="790">
        <v>2897</v>
      </c>
      <c r="G576" s="790">
        <v>190</v>
      </c>
      <c r="H576" s="790">
        <v>3296</v>
      </c>
      <c r="I576" s="790">
        <v>1953</v>
      </c>
      <c r="J576" s="796">
        <f t="shared" si="17"/>
        <v>0.14876033057851235</v>
      </c>
    </row>
    <row r="577" spans="1:10">
      <c r="A577" s="322" t="s">
        <v>85</v>
      </c>
      <c r="B577" s="793">
        <v>44478</v>
      </c>
      <c r="C577" s="790">
        <f t="shared" si="16"/>
        <v>5068</v>
      </c>
      <c r="D577" s="790">
        <v>168</v>
      </c>
      <c r="E577" s="790">
        <v>1615</v>
      </c>
      <c r="F577" s="790">
        <v>3453</v>
      </c>
      <c r="G577" s="790">
        <v>239</v>
      </c>
      <c r="H577" s="790">
        <v>3274</v>
      </c>
      <c r="I577" s="790">
        <v>1976</v>
      </c>
      <c r="J577" s="796">
        <f t="shared" si="17"/>
        <v>0.33183673469387753</v>
      </c>
    </row>
    <row r="578" spans="1:10">
      <c r="A578" s="322" t="s">
        <v>86</v>
      </c>
      <c r="B578" s="793">
        <v>44479</v>
      </c>
      <c r="C578" s="790">
        <f t="shared" si="16"/>
        <v>2070</v>
      </c>
      <c r="D578" s="790">
        <v>20</v>
      </c>
      <c r="E578" s="790">
        <v>810</v>
      </c>
      <c r="F578" s="790">
        <v>1260</v>
      </c>
      <c r="G578" s="790">
        <v>117</v>
      </c>
      <c r="H578" s="790">
        <v>1262</v>
      </c>
      <c r="I578" s="790">
        <v>631</v>
      </c>
      <c r="J578" s="796">
        <f t="shared" si="17"/>
        <v>0.38439024390243903</v>
      </c>
    </row>
    <row r="579" spans="1:10">
      <c r="A579" s="322" t="s">
        <v>89</v>
      </c>
      <c r="B579" s="793">
        <v>44480</v>
      </c>
      <c r="C579" s="790">
        <f t="shared" ref="C579:C642" si="18">E579+F579</f>
        <v>17209</v>
      </c>
      <c r="D579" s="790">
        <v>572</v>
      </c>
      <c r="E579" s="790">
        <v>5229</v>
      </c>
      <c r="F579" s="790">
        <v>11980</v>
      </c>
      <c r="G579" s="790">
        <v>893</v>
      </c>
      <c r="H579" s="790">
        <v>11915</v>
      </c>
      <c r="I579" s="790">
        <v>7415</v>
      </c>
      <c r="J579" s="796">
        <f t="shared" ref="J579:J642" si="19">1-(H579/(C579-D579))</f>
        <v>0.28382520887179175</v>
      </c>
    </row>
    <row r="580" spans="1:10">
      <c r="A580" s="322" t="s">
        <v>88</v>
      </c>
      <c r="B580" s="793">
        <v>44481</v>
      </c>
      <c r="C580" s="790">
        <f t="shared" si="18"/>
        <v>3577</v>
      </c>
      <c r="D580" s="790">
        <v>83</v>
      </c>
      <c r="E580" s="790">
        <v>1338</v>
      </c>
      <c r="F580" s="790">
        <v>2239</v>
      </c>
      <c r="G580" s="790">
        <v>167</v>
      </c>
      <c r="H580" s="790">
        <v>2028</v>
      </c>
      <c r="I580" s="790">
        <v>1153</v>
      </c>
      <c r="J580" s="796">
        <f t="shared" si="19"/>
        <v>0.41957641671436752</v>
      </c>
    </row>
    <row r="581" spans="1:10">
      <c r="A581" s="322" t="s">
        <v>87</v>
      </c>
      <c r="B581" s="793">
        <v>44482</v>
      </c>
      <c r="C581" s="790">
        <f t="shared" si="18"/>
        <v>3415</v>
      </c>
      <c r="D581" s="790">
        <v>45</v>
      </c>
      <c r="E581" s="790">
        <v>1127</v>
      </c>
      <c r="F581" s="790">
        <v>2288</v>
      </c>
      <c r="G581" s="790">
        <v>150</v>
      </c>
      <c r="H581" s="790">
        <v>2477</v>
      </c>
      <c r="I581" s="790">
        <v>1178</v>
      </c>
      <c r="J581" s="796">
        <f t="shared" si="19"/>
        <v>0.26498516320474774</v>
      </c>
    </row>
    <row r="582" spans="1:10">
      <c r="A582" s="322" t="s">
        <v>90</v>
      </c>
      <c r="B582" s="793">
        <v>44483</v>
      </c>
      <c r="C582" s="790">
        <f t="shared" si="18"/>
        <v>3071</v>
      </c>
      <c r="D582" s="790">
        <v>130</v>
      </c>
      <c r="E582" s="790">
        <v>1099</v>
      </c>
      <c r="F582" s="790">
        <v>1972</v>
      </c>
      <c r="G582" s="790">
        <v>128</v>
      </c>
      <c r="H582" s="790">
        <v>1695</v>
      </c>
      <c r="I582" s="790">
        <v>823</v>
      </c>
      <c r="J582" s="796">
        <f t="shared" si="19"/>
        <v>0.42366541992519546</v>
      </c>
    </row>
    <row r="583" spans="1:10">
      <c r="A583" s="322" t="s">
        <v>91</v>
      </c>
      <c r="B583" s="793">
        <v>44484</v>
      </c>
      <c r="C583" s="790">
        <f t="shared" si="18"/>
        <v>2999</v>
      </c>
      <c r="D583" s="790">
        <v>46</v>
      </c>
      <c r="E583" s="790">
        <v>1041</v>
      </c>
      <c r="F583" s="790">
        <v>1958</v>
      </c>
      <c r="G583" s="790">
        <v>237</v>
      </c>
      <c r="H583" s="790">
        <v>2001</v>
      </c>
      <c r="I583" s="790">
        <v>1137</v>
      </c>
      <c r="J583" s="796">
        <f t="shared" si="19"/>
        <v>0.32238401625465629</v>
      </c>
    </row>
    <row r="584" spans="1:10">
      <c r="A584" s="322" t="s">
        <v>93</v>
      </c>
      <c r="B584" s="793">
        <v>44485</v>
      </c>
      <c r="C584" s="790">
        <f t="shared" si="18"/>
        <v>5310</v>
      </c>
      <c r="D584" s="790">
        <v>333</v>
      </c>
      <c r="E584" s="790">
        <v>1682</v>
      </c>
      <c r="F584" s="790">
        <v>3628</v>
      </c>
      <c r="G584" s="790">
        <v>265</v>
      </c>
      <c r="H584" s="790">
        <v>3578</v>
      </c>
      <c r="I584" s="790">
        <v>2090</v>
      </c>
      <c r="J584" s="796">
        <f t="shared" si="19"/>
        <v>0.28109302792847102</v>
      </c>
    </row>
    <row r="585" spans="1:10">
      <c r="A585" s="322" t="s">
        <v>94</v>
      </c>
      <c r="B585" s="793">
        <v>44486</v>
      </c>
      <c r="C585" s="790">
        <f t="shared" si="18"/>
        <v>1497</v>
      </c>
      <c r="D585" s="790">
        <v>32</v>
      </c>
      <c r="E585" s="790">
        <v>526</v>
      </c>
      <c r="F585" s="790">
        <v>971</v>
      </c>
      <c r="G585" s="790">
        <v>112</v>
      </c>
      <c r="H585" s="790">
        <v>1133</v>
      </c>
      <c r="I585" s="790">
        <v>623</v>
      </c>
      <c r="J585" s="796">
        <f t="shared" si="19"/>
        <v>0.22662116040955627</v>
      </c>
    </row>
    <row r="586" spans="1:10">
      <c r="A586" s="322" t="s">
        <v>92</v>
      </c>
      <c r="B586" s="793">
        <v>44487</v>
      </c>
      <c r="C586" s="790">
        <f t="shared" si="18"/>
        <v>13913</v>
      </c>
      <c r="D586" s="790">
        <v>334</v>
      </c>
      <c r="E586" s="790">
        <v>4602</v>
      </c>
      <c r="F586" s="790">
        <v>9311</v>
      </c>
      <c r="G586" s="790">
        <v>809</v>
      </c>
      <c r="H586" s="790">
        <v>9636</v>
      </c>
      <c r="I586" s="790">
        <v>5730</v>
      </c>
      <c r="J586" s="796">
        <f t="shared" si="19"/>
        <v>0.29037484350835852</v>
      </c>
    </row>
    <row r="587" spans="1:10">
      <c r="A587" s="322" t="s">
        <v>95</v>
      </c>
      <c r="B587" s="793">
        <v>44488</v>
      </c>
      <c r="C587" s="790">
        <f t="shared" si="18"/>
        <v>20925</v>
      </c>
      <c r="D587" s="790">
        <v>2936</v>
      </c>
      <c r="E587" s="790">
        <v>8541</v>
      </c>
      <c r="F587" s="790">
        <v>12384</v>
      </c>
      <c r="G587" s="790">
        <v>637</v>
      </c>
      <c r="H587" s="790">
        <v>12879</v>
      </c>
      <c r="I587" s="790">
        <v>7886</v>
      </c>
      <c r="J587" s="796">
        <f t="shared" si="19"/>
        <v>0.28406248262827283</v>
      </c>
    </row>
    <row r="588" spans="1:10">
      <c r="A588" s="322" t="s">
        <v>96</v>
      </c>
      <c r="B588" s="793">
        <v>44489</v>
      </c>
      <c r="C588" s="790">
        <f t="shared" si="18"/>
        <v>2648</v>
      </c>
      <c r="D588" s="790">
        <v>42</v>
      </c>
      <c r="E588" s="790">
        <v>706</v>
      </c>
      <c r="F588" s="790">
        <v>1942</v>
      </c>
      <c r="G588" s="790">
        <v>116</v>
      </c>
      <c r="H588" s="790">
        <v>1670</v>
      </c>
      <c r="I588" s="790">
        <v>920</v>
      </c>
      <c r="J588" s="796">
        <f t="shared" si="19"/>
        <v>0.35917114351496549</v>
      </c>
    </row>
    <row r="589" spans="1:10">
      <c r="A589" s="322" t="s">
        <v>98</v>
      </c>
      <c r="B589" s="793">
        <v>44490</v>
      </c>
      <c r="C589" s="790">
        <f t="shared" si="18"/>
        <v>1380</v>
      </c>
      <c r="D589" s="790">
        <v>9</v>
      </c>
      <c r="E589" s="790">
        <v>606</v>
      </c>
      <c r="F589" s="790">
        <v>774</v>
      </c>
      <c r="G589" s="790">
        <v>109</v>
      </c>
      <c r="H589" s="790">
        <v>883</v>
      </c>
      <c r="I589" s="790">
        <v>460</v>
      </c>
      <c r="J589" s="796">
        <f t="shared" si="19"/>
        <v>0.35594456601021152</v>
      </c>
    </row>
    <row r="590" spans="1:10">
      <c r="A590" s="322" t="s">
        <v>99</v>
      </c>
      <c r="B590" s="793">
        <v>44491</v>
      </c>
      <c r="C590" s="790">
        <f t="shared" si="18"/>
        <v>240</v>
      </c>
      <c r="D590" s="790">
        <v>9</v>
      </c>
      <c r="E590" s="790">
        <v>97</v>
      </c>
      <c r="F590" s="790">
        <v>143</v>
      </c>
      <c r="G590" s="790">
        <v>8</v>
      </c>
      <c r="H590" s="790">
        <v>139</v>
      </c>
      <c r="I590" s="790">
        <v>74</v>
      </c>
      <c r="J590" s="796">
        <f t="shared" si="19"/>
        <v>0.39826839826839822</v>
      </c>
    </row>
    <row r="591" spans="1:10">
      <c r="A591" s="322" t="s">
        <v>97</v>
      </c>
      <c r="B591" s="793">
        <v>44492</v>
      </c>
      <c r="C591" s="790">
        <f t="shared" si="18"/>
        <v>17391</v>
      </c>
      <c r="D591" s="790">
        <v>728</v>
      </c>
      <c r="E591" s="790">
        <v>5841</v>
      </c>
      <c r="F591" s="790">
        <v>11550</v>
      </c>
      <c r="G591" s="790">
        <v>800</v>
      </c>
      <c r="H591" s="790">
        <v>11611</v>
      </c>
      <c r="I591" s="790">
        <v>7033</v>
      </c>
      <c r="J591" s="796">
        <f t="shared" si="19"/>
        <v>0.30318670107423629</v>
      </c>
    </row>
    <row r="592" spans="1:10">
      <c r="A592" s="322" t="s">
        <v>100</v>
      </c>
      <c r="B592" s="793">
        <v>44493</v>
      </c>
      <c r="C592" s="790">
        <f t="shared" si="18"/>
        <v>11273</v>
      </c>
      <c r="D592" s="790">
        <v>187</v>
      </c>
      <c r="E592" s="790">
        <v>3614</v>
      </c>
      <c r="F592" s="790">
        <v>7659</v>
      </c>
      <c r="G592" s="790">
        <v>564</v>
      </c>
      <c r="H592" s="790">
        <v>8016</v>
      </c>
      <c r="I592" s="790">
        <v>4700</v>
      </c>
      <c r="J592" s="796">
        <f t="shared" si="19"/>
        <v>0.27692585242648382</v>
      </c>
    </row>
    <row r="593" spans="1:10">
      <c r="A593" s="322" t="s">
        <v>102</v>
      </c>
      <c r="B593" s="793">
        <v>44494</v>
      </c>
      <c r="C593" s="790">
        <f t="shared" si="18"/>
        <v>1553</v>
      </c>
      <c r="D593" s="790">
        <v>27</v>
      </c>
      <c r="E593" s="790">
        <v>603</v>
      </c>
      <c r="F593" s="790">
        <v>950</v>
      </c>
      <c r="G593" s="790">
        <v>102</v>
      </c>
      <c r="H593" s="790">
        <v>1095</v>
      </c>
      <c r="I593" s="790">
        <v>591</v>
      </c>
      <c r="J593" s="796">
        <f t="shared" si="19"/>
        <v>0.28243774574049807</v>
      </c>
    </row>
    <row r="594" spans="1:10">
      <c r="A594" s="322" t="s">
        <v>101</v>
      </c>
      <c r="B594" s="793">
        <v>44495</v>
      </c>
      <c r="C594" s="790">
        <f t="shared" si="18"/>
        <v>64897</v>
      </c>
      <c r="D594" s="790">
        <v>3654</v>
      </c>
      <c r="E594" s="790">
        <v>23884</v>
      </c>
      <c r="F594" s="790">
        <v>41013</v>
      </c>
      <c r="G594" s="790">
        <v>2478</v>
      </c>
      <c r="H594" s="790">
        <v>42708</v>
      </c>
      <c r="I594" s="790">
        <v>25414</v>
      </c>
      <c r="J594" s="796">
        <f t="shared" si="19"/>
        <v>0.30264683310745721</v>
      </c>
    </row>
    <row r="595" spans="1:10">
      <c r="A595" s="322" t="s">
        <v>103</v>
      </c>
      <c r="B595" s="793">
        <v>44496</v>
      </c>
      <c r="C595" s="790">
        <f t="shared" si="18"/>
        <v>844</v>
      </c>
      <c r="D595" s="790">
        <v>13</v>
      </c>
      <c r="E595" s="790">
        <v>331</v>
      </c>
      <c r="F595" s="790">
        <v>513</v>
      </c>
      <c r="G595" s="790">
        <v>83</v>
      </c>
      <c r="H595" s="790">
        <v>557</v>
      </c>
      <c r="I595" s="790">
        <v>313</v>
      </c>
      <c r="J595" s="796">
        <f t="shared" si="19"/>
        <v>0.32972322503008422</v>
      </c>
    </row>
    <row r="596" spans="1:10">
      <c r="A596" s="322" t="s">
        <v>77</v>
      </c>
      <c r="B596" s="793">
        <v>44501</v>
      </c>
      <c r="C596" s="790">
        <f t="shared" si="18"/>
        <v>695</v>
      </c>
      <c r="D596" s="790">
        <v>7</v>
      </c>
      <c r="E596" s="790">
        <v>370</v>
      </c>
      <c r="F596" s="790">
        <v>325</v>
      </c>
      <c r="G596" s="790">
        <v>44</v>
      </c>
      <c r="H596" s="790">
        <v>438</v>
      </c>
      <c r="I596" s="790">
        <v>187</v>
      </c>
      <c r="J596" s="796">
        <f t="shared" si="19"/>
        <v>0.36337209302325579</v>
      </c>
    </row>
    <row r="597" spans="1:10">
      <c r="A597" s="322" t="s">
        <v>78</v>
      </c>
      <c r="B597" s="793">
        <v>44502</v>
      </c>
      <c r="C597" s="790">
        <f t="shared" si="18"/>
        <v>2097</v>
      </c>
      <c r="D597" s="790">
        <v>54</v>
      </c>
      <c r="E597" s="790">
        <v>568</v>
      </c>
      <c r="F597" s="790">
        <v>1529</v>
      </c>
      <c r="G597" s="790">
        <v>119</v>
      </c>
      <c r="H597" s="790">
        <v>1472</v>
      </c>
      <c r="I597" s="790">
        <v>893</v>
      </c>
      <c r="J597" s="796">
        <f t="shared" si="19"/>
        <v>0.27949094468918256</v>
      </c>
    </row>
    <row r="598" spans="1:10">
      <c r="A598" s="322" t="s">
        <v>80</v>
      </c>
      <c r="B598" s="793">
        <v>44503</v>
      </c>
      <c r="C598" s="790">
        <f t="shared" si="18"/>
        <v>2086</v>
      </c>
      <c r="D598" s="790">
        <v>12</v>
      </c>
      <c r="E598" s="790">
        <v>832</v>
      </c>
      <c r="F598" s="790">
        <v>1254</v>
      </c>
      <c r="G598" s="790">
        <v>105</v>
      </c>
      <c r="H598" s="790">
        <v>1249</v>
      </c>
      <c r="I598" s="790">
        <v>619</v>
      </c>
      <c r="J598" s="796">
        <f t="shared" si="19"/>
        <v>0.39778206364513014</v>
      </c>
    </row>
    <row r="599" spans="1:10">
      <c r="A599" s="322" t="s">
        <v>79</v>
      </c>
      <c r="B599" s="793">
        <v>44504</v>
      </c>
      <c r="C599" s="790">
        <f t="shared" si="18"/>
        <v>818</v>
      </c>
      <c r="D599" s="790">
        <v>6</v>
      </c>
      <c r="E599" s="790">
        <v>447</v>
      </c>
      <c r="F599" s="790">
        <v>371</v>
      </c>
      <c r="G599" s="790">
        <v>21</v>
      </c>
      <c r="H599" s="790">
        <v>443</v>
      </c>
      <c r="I599" s="790">
        <v>186</v>
      </c>
      <c r="J599" s="796">
        <f t="shared" si="19"/>
        <v>0.45443349753694584</v>
      </c>
    </row>
    <row r="600" spans="1:10">
      <c r="A600" s="322" t="s">
        <v>81</v>
      </c>
      <c r="B600" s="793">
        <v>44505</v>
      </c>
      <c r="C600" s="790">
        <f t="shared" si="18"/>
        <v>7070</v>
      </c>
      <c r="D600" s="790">
        <v>693</v>
      </c>
      <c r="E600" s="790">
        <v>2647</v>
      </c>
      <c r="F600" s="790">
        <v>4423</v>
      </c>
      <c r="G600" s="790">
        <v>366</v>
      </c>
      <c r="H600" s="790">
        <v>4587</v>
      </c>
      <c r="I600" s="790">
        <v>2527</v>
      </c>
      <c r="J600" s="796">
        <f t="shared" si="19"/>
        <v>0.28069625215618632</v>
      </c>
    </row>
    <row r="601" spans="1:10">
      <c r="A601" s="322" t="s">
        <v>82</v>
      </c>
      <c r="B601" s="793">
        <v>44506</v>
      </c>
      <c r="C601" s="790">
        <f t="shared" si="18"/>
        <v>4439</v>
      </c>
      <c r="D601" s="790">
        <v>147</v>
      </c>
      <c r="E601" s="790">
        <v>1733</v>
      </c>
      <c r="F601" s="790">
        <v>2706</v>
      </c>
      <c r="G601" s="790">
        <v>425</v>
      </c>
      <c r="H601" s="790">
        <v>3054</v>
      </c>
      <c r="I601" s="790">
        <v>1797</v>
      </c>
      <c r="J601" s="796">
        <f t="shared" si="19"/>
        <v>0.28844361602982294</v>
      </c>
    </row>
    <row r="602" spans="1:10">
      <c r="A602" s="322" t="s">
        <v>83</v>
      </c>
      <c r="B602" s="793">
        <v>44507</v>
      </c>
      <c r="C602" s="790">
        <f t="shared" si="18"/>
        <v>6669</v>
      </c>
      <c r="D602" s="790">
        <v>405</v>
      </c>
      <c r="E602" s="790">
        <v>2383</v>
      </c>
      <c r="F602" s="790">
        <v>4286</v>
      </c>
      <c r="G602" s="790">
        <v>253</v>
      </c>
      <c r="H602" s="790">
        <v>4338</v>
      </c>
      <c r="I602" s="790">
        <v>2779</v>
      </c>
      <c r="J602" s="796">
        <f t="shared" si="19"/>
        <v>0.30747126436781613</v>
      </c>
    </row>
    <row r="603" spans="1:10">
      <c r="A603" s="322" t="s">
        <v>84</v>
      </c>
      <c r="B603" s="793">
        <v>44508</v>
      </c>
      <c r="C603" s="790">
        <f t="shared" si="18"/>
        <v>3972</v>
      </c>
      <c r="D603" s="790">
        <v>67</v>
      </c>
      <c r="E603" s="790">
        <v>1047</v>
      </c>
      <c r="F603" s="790">
        <v>2925</v>
      </c>
      <c r="G603" s="790">
        <v>202</v>
      </c>
      <c r="H603" s="790">
        <v>3376</v>
      </c>
      <c r="I603" s="790">
        <v>1995</v>
      </c>
      <c r="J603" s="796">
        <f t="shared" si="19"/>
        <v>0.13546734955185658</v>
      </c>
    </row>
    <row r="604" spans="1:10">
      <c r="A604" s="322" t="s">
        <v>85</v>
      </c>
      <c r="B604" s="793">
        <v>44509</v>
      </c>
      <c r="C604" s="790">
        <f t="shared" si="18"/>
        <v>5104</v>
      </c>
      <c r="D604" s="790">
        <v>169</v>
      </c>
      <c r="E604" s="790">
        <v>1624</v>
      </c>
      <c r="F604" s="790">
        <v>3480</v>
      </c>
      <c r="G604" s="790">
        <v>266</v>
      </c>
      <c r="H604" s="790">
        <v>3353</v>
      </c>
      <c r="I604" s="790">
        <v>2038</v>
      </c>
      <c r="J604" s="796">
        <f t="shared" si="19"/>
        <v>0.32056737588652484</v>
      </c>
    </row>
    <row r="605" spans="1:10">
      <c r="A605" s="322" t="s">
        <v>86</v>
      </c>
      <c r="B605" s="793">
        <v>44510</v>
      </c>
      <c r="C605" s="790">
        <f t="shared" si="18"/>
        <v>2085</v>
      </c>
      <c r="D605" s="790">
        <v>20</v>
      </c>
      <c r="E605" s="790">
        <v>819</v>
      </c>
      <c r="F605" s="790">
        <v>1266</v>
      </c>
      <c r="G605" s="790">
        <v>131</v>
      </c>
      <c r="H605" s="790">
        <v>1296</v>
      </c>
      <c r="I605" s="790">
        <v>655</v>
      </c>
      <c r="J605" s="796">
        <f t="shared" si="19"/>
        <v>0.37239709443099278</v>
      </c>
    </row>
    <row r="606" spans="1:10">
      <c r="A606" s="322" t="s">
        <v>89</v>
      </c>
      <c r="B606" s="793">
        <v>44511</v>
      </c>
      <c r="C606" s="790">
        <f t="shared" si="18"/>
        <v>17325</v>
      </c>
      <c r="D606" s="790">
        <v>582</v>
      </c>
      <c r="E606" s="790">
        <v>5260</v>
      </c>
      <c r="F606" s="790">
        <v>12065</v>
      </c>
      <c r="G606" s="790">
        <v>970</v>
      </c>
      <c r="H606" s="790">
        <v>12170</v>
      </c>
      <c r="I606" s="790">
        <v>7568</v>
      </c>
      <c r="J606" s="796">
        <f t="shared" si="19"/>
        <v>0.27312906886460009</v>
      </c>
    </row>
    <row r="607" spans="1:10">
      <c r="A607" s="322" t="s">
        <v>88</v>
      </c>
      <c r="B607" s="793">
        <v>44512</v>
      </c>
      <c r="C607" s="790">
        <f t="shared" si="18"/>
        <v>3576</v>
      </c>
      <c r="D607" s="790">
        <v>84</v>
      </c>
      <c r="E607" s="790">
        <v>1342</v>
      </c>
      <c r="F607" s="790">
        <v>2234</v>
      </c>
      <c r="G607" s="790">
        <v>172</v>
      </c>
      <c r="H607" s="790">
        <v>2065</v>
      </c>
      <c r="I607" s="790">
        <v>1174</v>
      </c>
      <c r="J607" s="796">
        <f t="shared" si="19"/>
        <v>0.40864833906071019</v>
      </c>
    </row>
    <row r="608" spans="1:10">
      <c r="A608" s="322" t="s">
        <v>87</v>
      </c>
      <c r="B608" s="793">
        <v>44513</v>
      </c>
      <c r="C608" s="790">
        <f t="shared" si="18"/>
        <v>3442</v>
      </c>
      <c r="D608" s="790">
        <v>46</v>
      </c>
      <c r="E608" s="790">
        <v>1135</v>
      </c>
      <c r="F608" s="790">
        <v>2307</v>
      </c>
      <c r="G608" s="790">
        <v>160</v>
      </c>
      <c r="H608" s="790">
        <v>2548</v>
      </c>
      <c r="I608" s="790">
        <v>1212</v>
      </c>
      <c r="J608" s="796">
        <f t="shared" si="19"/>
        <v>0.24970553592461719</v>
      </c>
    </row>
    <row r="609" spans="1:10">
      <c r="A609" s="322" t="s">
        <v>90</v>
      </c>
      <c r="B609" s="793">
        <v>44514</v>
      </c>
      <c r="C609" s="790">
        <f t="shared" si="18"/>
        <v>3094</v>
      </c>
      <c r="D609" s="790">
        <v>131</v>
      </c>
      <c r="E609" s="790">
        <v>1106</v>
      </c>
      <c r="F609" s="790">
        <v>1988</v>
      </c>
      <c r="G609" s="790">
        <v>142</v>
      </c>
      <c r="H609" s="790">
        <v>1757</v>
      </c>
      <c r="I609" s="790">
        <v>862</v>
      </c>
      <c r="J609" s="796">
        <f t="shared" si="19"/>
        <v>0.4070199122510969</v>
      </c>
    </row>
    <row r="610" spans="1:10">
      <c r="A610" s="322" t="s">
        <v>91</v>
      </c>
      <c r="B610" s="793">
        <v>44515</v>
      </c>
      <c r="C610" s="790">
        <f t="shared" si="18"/>
        <v>3017</v>
      </c>
      <c r="D610" s="790">
        <v>46</v>
      </c>
      <c r="E610" s="790">
        <v>1048</v>
      </c>
      <c r="F610" s="790">
        <v>1969</v>
      </c>
      <c r="G610" s="790">
        <v>252</v>
      </c>
      <c r="H610" s="790">
        <v>2057</v>
      </c>
      <c r="I610" s="790">
        <v>1165</v>
      </c>
      <c r="J610" s="796">
        <f t="shared" si="19"/>
        <v>0.30764052507573203</v>
      </c>
    </row>
    <row r="611" spans="1:10">
      <c r="A611" s="322" t="s">
        <v>93</v>
      </c>
      <c r="B611" s="793">
        <v>44516</v>
      </c>
      <c r="C611" s="790">
        <f t="shared" si="18"/>
        <v>5350</v>
      </c>
      <c r="D611" s="790">
        <v>335</v>
      </c>
      <c r="E611" s="790">
        <v>1688</v>
      </c>
      <c r="F611" s="790">
        <v>3662</v>
      </c>
      <c r="G611" s="790">
        <v>281</v>
      </c>
      <c r="H611" s="790">
        <v>3671</v>
      </c>
      <c r="I611" s="790">
        <v>2146</v>
      </c>
      <c r="J611" s="796">
        <f t="shared" si="19"/>
        <v>0.26799601196410772</v>
      </c>
    </row>
    <row r="612" spans="1:10">
      <c r="A612" s="322" t="s">
        <v>94</v>
      </c>
      <c r="B612" s="793">
        <v>44517</v>
      </c>
      <c r="C612" s="790">
        <f t="shared" si="18"/>
        <v>1500</v>
      </c>
      <c r="D612" s="790">
        <v>33</v>
      </c>
      <c r="E612" s="790">
        <v>528</v>
      </c>
      <c r="F612" s="790">
        <v>972</v>
      </c>
      <c r="G612" s="790">
        <v>114</v>
      </c>
      <c r="H612" s="790">
        <v>1146</v>
      </c>
      <c r="I612" s="790">
        <v>630</v>
      </c>
      <c r="J612" s="796">
        <f t="shared" si="19"/>
        <v>0.21881390593047034</v>
      </c>
    </row>
    <row r="613" spans="1:10">
      <c r="A613" s="322" t="s">
        <v>92</v>
      </c>
      <c r="B613" s="793">
        <v>44518</v>
      </c>
      <c r="C613" s="790">
        <f t="shared" si="18"/>
        <v>13955</v>
      </c>
      <c r="D613" s="790">
        <v>337</v>
      </c>
      <c r="E613" s="790">
        <v>4612</v>
      </c>
      <c r="F613" s="790">
        <v>9343</v>
      </c>
      <c r="G613" s="790">
        <v>849</v>
      </c>
      <c r="H613" s="790">
        <v>9807</v>
      </c>
      <c r="I613" s="790">
        <v>5822</v>
      </c>
      <c r="J613" s="796">
        <f t="shared" si="19"/>
        <v>0.27985019826699953</v>
      </c>
    </row>
    <row r="614" spans="1:10">
      <c r="A614" s="322" t="s">
        <v>95</v>
      </c>
      <c r="B614" s="793">
        <v>44519</v>
      </c>
      <c r="C614" s="790">
        <f t="shared" si="18"/>
        <v>20991</v>
      </c>
      <c r="D614" s="790">
        <v>2981</v>
      </c>
      <c r="E614" s="790">
        <v>8559</v>
      </c>
      <c r="F614" s="790">
        <v>12432</v>
      </c>
      <c r="G614" s="790">
        <v>711</v>
      </c>
      <c r="H614" s="790">
        <v>13132</v>
      </c>
      <c r="I614" s="790">
        <v>8010</v>
      </c>
      <c r="J614" s="796">
        <f t="shared" si="19"/>
        <v>0.27084952803997775</v>
      </c>
    </row>
    <row r="615" spans="1:10">
      <c r="A615" s="322" t="s">
        <v>96</v>
      </c>
      <c r="B615" s="793">
        <v>44520</v>
      </c>
      <c r="C615" s="790">
        <f t="shared" si="18"/>
        <v>2659</v>
      </c>
      <c r="D615" s="790">
        <v>42</v>
      </c>
      <c r="E615" s="790">
        <v>708</v>
      </c>
      <c r="F615" s="790">
        <v>1951</v>
      </c>
      <c r="G615" s="790">
        <v>123</v>
      </c>
      <c r="H615" s="790">
        <v>1698</v>
      </c>
      <c r="I615" s="790">
        <v>942</v>
      </c>
      <c r="J615" s="796">
        <f t="shared" si="19"/>
        <v>0.35116545662972865</v>
      </c>
    </row>
    <row r="616" spans="1:10">
      <c r="A616" s="322" t="s">
        <v>98</v>
      </c>
      <c r="B616" s="793">
        <v>44521</v>
      </c>
      <c r="C616" s="790">
        <f t="shared" si="18"/>
        <v>1391</v>
      </c>
      <c r="D616" s="790">
        <v>9</v>
      </c>
      <c r="E616" s="790">
        <v>610</v>
      </c>
      <c r="F616" s="790">
        <v>781</v>
      </c>
      <c r="G616" s="790">
        <v>118</v>
      </c>
      <c r="H616" s="790">
        <v>913</v>
      </c>
      <c r="I616" s="790">
        <v>481</v>
      </c>
      <c r="J616" s="796">
        <f t="shared" si="19"/>
        <v>0.33936324167872645</v>
      </c>
    </row>
    <row r="617" spans="1:10">
      <c r="A617" s="322" t="s">
        <v>99</v>
      </c>
      <c r="B617" s="793">
        <v>44522</v>
      </c>
      <c r="C617" s="790">
        <f t="shared" si="18"/>
        <v>242</v>
      </c>
      <c r="D617" s="790">
        <v>9</v>
      </c>
      <c r="E617" s="790">
        <v>97</v>
      </c>
      <c r="F617" s="790">
        <v>145</v>
      </c>
      <c r="G617" s="790">
        <v>9</v>
      </c>
      <c r="H617" s="790">
        <v>145</v>
      </c>
      <c r="I617" s="790">
        <v>77</v>
      </c>
      <c r="J617" s="796">
        <f t="shared" si="19"/>
        <v>0.37768240343347637</v>
      </c>
    </row>
    <row r="618" spans="1:10">
      <c r="A618" s="322" t="s">
        <v>97</v>
      </c>
      <c r="B618" s="793">
        <v>44523</v>
      </c>
      <c r="C618" s="790">
        <f t="shared" si="18"/>
        <v>17446</v>
      </c>
      <c r="D618" s="790">
        <v>756</v>
      </c>
      <c r="E618" s="790">
        <v>5863</v>
      </c>
      <c r="F618" s="790">
        <v>11583</v>
      </c>
      <c r="G618" s="790">
        <v>861</v>
      </c>
      <c r="H618" s="790">
        <v>11877</v>
      </c>
      <c r="I618" s="790">
        <v>7174</v>
      </c>
      <c r="J618" s="796">
        <f t="shared" si="19"/>
        <v>0.28837627321749548</v>
      </c>
    </row>
    <row r="619" spans="1:10">
      <c r="A619" s="322" t="s">
        <v>100</v>
      </c>
      <c r="B619" s="793">
        <v>44524</v>
      </c>
      <c r="C619" s="790">
        <f t="shared" si="18"/>
        <v>11328</v>
      </c>
      <c r="D619" s="790">
        <v>196</v>
      </c>
      <c r="E619" s="790">
        <v>3635</v>
      </c>
      <c r="F619" s="790">
        <v>7693</v>
      </c>
      <c r="G619" s="790">
        <v>611</v>
      </c>
      <c r="H619" s="790">
        <v>8174</v>
      </c>
      <c r="I619" s="790">
        <v>4794</v>
      </c>
      <c r="J619" s="796">
        <f t="shared" si="19"/>
        <v>0.26572044556234276</v>
      </c>
    </row>
    <row r="620" spans="1:10">
      <c r="A620" s="322" t="s">
        <v>102</v>
      </c>
      <c r="B620" s="793">
        <v>44525</v>
      </c>
      <c r="C620" s="790">
        <f t="shared" si="18"/>
        <v>1565</v>
      </c>
      <c r="D620" s="790">
        <v>27</v>
      </c>
      <c r="E620" s="790">
        <v>607</v>
      </c>
      <c r="F620" s="790">
        <v>958</v>
      </c>
      <c r="G620" s="790">
        <v>111</v>
      </c>
      <c r="H620" s="790">
        <v>1119</v>
      </c>
      <c r="I620" s="790">
        <v>606</v>
      </c>
      <c r="J620" s="796">
        <f t="shared" si="19"/>
        <v>0.27243172951885564</v>
      </c>
    </row>
    <row r="621" spans="1:10">
      <c r="A621" s="322" t="s">
        <v>101</v>
      </c>
      <c r="B621" s="793">
        <v>44526</v>
      </c>
      <c r="C621" s="790">
        <f t="shared" si="18"/>
        <v>65120</v>
      </c>
      <c r="D621" s="790">
        <v>3660</v>
      </c>
      <c r="E621" s="790">
        <v>23935</v>
      </c>
      <c r="F621" s="790">
        <v>41185</v>
      </c>
      <c r="G621" s="790">
        <v>2697</v>
      </c>
      <c r="H621" s="790">
        <v>43524</v>
      </c>
      <c r="I621" s="790">
        <v>25688</v>
      </c>
      <c r="J621" s="796">
        <f t="shared" si="19"/>
        <v>0.29183208590953469</v>
      </c>
    </row>
    <row r="622" spans="1:10">
      <c r="A622" s="322" t="s">
        <v>103</v>
      </c>
      <c r="B622" s="793">
        <v>44527</v>
      </c>
      <c r="C622" s="790">
        <f t="shared" si="18"/>
        <v>851</v>
      </c>
      <c r="D622" s="790">
        <v>14</v>
      </c>
      <c r="E622" s="790">
        <v>334</v>
      </c>
      <c r="F622" s="790">
        <v>517</v>
      </c>
      <c r="G622" s="790">
        <v>89</v>
      </c>
      <c r="H622" s="790">
        <v>565</v>
      </c>
      <c r="I622" s="790">
        <v>320</v>
      </c>
      <c r="J622" s="796">
        <f t="shared" si="19"/>
        <v>0.32497013142174436</v>
      </c>
    </row>
    <row r="623" spans="1:10">
      <c r="A623" s="322" t="s">
        <v>77</v>
      </c>
      <c r="B623" s="793">
        <v>44531</v>
      </c>
      <c r="C623" s="790">
        <f t="shared" si="18"/>
        <v>686</v>
      </c>
      <c r="D623" s="790">
        <v>7</v>
      </c>
      <c r="E623" s="790">
        <v>363</v>
      </c>
      <c r="F623" s="790">
        <v>323</v>
      </c>
      <c r="G623" s="790">
        <v>45</v>
      </c>
      <c r="H623" s="790">
        <v>442</v>
      </c>
      <c r="I623" s="790">
        <v>189</v>
      </c>
      <c r="J623" s="796">
        <f t="shared" si="19"/>
        <v>0.34904270986745212</v>
      </c>
    </row>
    <row r="624" spans="1:10">
      <c r="A624" s="322" t="s">
        <v>78</v>
      </c>
      <c r="B624" s="793">
        <v>44532</v>
      </c>
      <c r="C624" s="790">
        <f t="shared" si="18"/>
        <v>2088</v>
      </c>
      <c r="D624" s="790">
        <v>54</v>
      </c>
      <c r="E624" s="790">
        <v>566</v>
      </c>
      <c r="F624" s="790">
        <v>1522</v>
      </c>
      <c r="G624" s="790">
        <v>125</v>
      </c>
      <c r="H624" s="790">
        <v>1484</v>
      </c>
      <c r="I624" s="790">
        <v>898</v>
      </c>
      <c r="J624" s="796">
        <f t="shared" si="19"/>
        <v>0.27040314650934116</v>
      </c>
    </row>
    <row r="625" spans="1:10">
      <c r="A625" s="322" t="s">
        <v>80</v>
      </c>
      <c r="B625" s="793">
        <v>44533</v>
      </c>
      <c r="C625" s="790">
        <f t="shared" si="18"/>
        <v>2101</v>
      </c>
      <c r="D625" s="790">
        <v>12</v>
      </c>
      <c r="E625" s="790">
        <v>836</v>
      </c>
      <c r="F625" s="790">
        <v>1265</v>
      </c>
      <c r="G625" s="790">
        <v>117</v>
      </c>
      <c r="H625" s="790">
        <v>1292</v>
      </c>
      <c r="I625" s="790">
        <v>645</v>
      </c>
      <c r="J625" s="796">
        <f t="shared" si="19"/>
        <v>0.38152225945428431</v>
      </c>
    </row>
    <row r="626" spans="1:10">
      <c r="A626" s="322" t="s">
        <v>79</v>
      </c>
      <c r="B626" s="793">
        <v>44534</v>
      </c>
      <c r="C626" s="790">
        <f t="shared" si="18"/>
        <v>831</v>
      </c>
      <c r="D626" s="790">
        <v>6</v>
      </c>
      <c r="E626" s="790">
        <v>453</v>
      </c>
      <c r="F626" s="790">
        <v>378</v>
      </c>
      <c r="G626" s="790">
        <v>29</v>
      </c>
      <c r="H626" s="790">
        <v>462</v>
      </c>
      <c r="I626" s="790">
        <v>200</v>
      </c>
      <c r="J626" s="796">
        <f t="shared" si="19"/>
        <v>0.43999999999999995</v>
      </c>
    </row>
    <row r="627" spans="1:10">
      <c r="A627" s="322" t="s">
        <v>81</v>
      </c>
      <c r="B627" s="793">
        <v>44535</v>
      </c>
      <c r="C627" s="790">
        <f t="shared" si="18"/>
        <v>7096</v>
      </c>
      <c r="D627" s="790">
        <v>728</v>
      </c>
      <c r="E627" s="790">
        <v>2654</v>
      </c>
      <c r="F627" s="790">
        <v>4442</v>
      </c>
      <c r="G627" s="790">
        <v>402</v>
      </c>
      <c r="H627" s="790">
        <v>4685</v>
      </c>
      <c r="I627" s="790">
        <v>2596</v>
      </c>
      <c r="J627" s="796">
        <f t="shared" si="19"/>
        <v>0.26429020100502509</v>
      </c>
    </row>
    <row r="628" spans="1:10">
      <c r="A628" s="322" t="s">
        <v>82</v>
      </c>
      <c r="B628" s="793">
        <v>44536</v>
      </c>
      <c r="C628" s="790">
        <f t="shared" si="18"/>
        <v>4433</v>
      </c>
      <c r="D628" s="790">
        <v>150</v>
      </c>
      <c r="E628" s="790">
        <v>1729</v>
      </c>
      <c r="F628" s="790">
        <v>2704</v>
      </c>
      <c r="G628" s="790">
        <v>442</v>
      </c>
      <c r="H628" s="790">
        <v>3129</v>
      </c>
      <c r="I628" s="790">
        <v>1840</v>
      </c>
      <c r="J628" s="796">
        <f t="shared" si="19"/>
        <v>0.26943731029652118</v>
      </c>
    </row>
    <row r="629" spans="1:10">
      <c r="A629" s="322" t="s">
        <v>83</v>
      </c>
      <c r="B629" s="793">
        <v>44537</v>
      </c>
      <c r="C629" s="790">
        <f t="shared" si="18"/>
        <v>6589</v>
      </c>
      <c r="D629" s="790">
        <v>408</v>
      </c>
      <c r="E629" s="790">
        <v>2364</v>
      </c>
      <c r="F629" s="790">
        <v>4225</v>
      </c>
      <c r="G629" s="790">
        <v>249</v>
      </c>
      <c r="H629" s="790">
        <v>4344</v>
      </c>
      <c r="I629" s="790">
        <v>2797</v>
      </c>
      <c r="J629" s="796">
        <f t="shared" si="19"/>
        <v>0.29720110014560752</v>
      </c>
    </row>
    <row r="630" spans="1:10">
      <c r="A630" s="322" t="s">
        <v>84</v>
      </c>
      <c r="B630" s="793">
        <v>44538</v>
      </c>
      <c r="C630" s="790">
        <f t="shared" si="18"/>
        <v>3891</v>
      </c>
      <c r="D630" s="790">
        <v>67</v>
      </c>
      <c r="E630" s="790">
        <v>1037</v>
      </c>
      <c r="F630" s="790">
        <v>2854</v>
      </c>
      <c r="G630" s="790">
        <v>213</v>
      </c>
      <c r="H630" s="790">
        <v>3370</v>
      </c>
      <c r="I630" s="790">
        <v>1986</v>
      </c>
      <c r="J630" s="796">
        <f t="shared" si="19"/>
        <v>0.11872384937238489</v>
      </c>
    </row>
    <row r="631" spans="1:10">
      <c r="A631" s="322" t="s">
        <v>85</v>
      </c>
      <c r="B631" s="793">
        <v>44539</v>
      </c>
      <c r="C631" s="790">
        <f t="shared" si="18"/>
        <v>5105</v>
      </c>
      <c r="D631" s="790">
        <v>171</v>
      </c>
      <c r="E631" s="790">
        <v>1621</v>
      </c>
      <c r="F631" s="790">
        <v>3484</v>
      </c>
      <c r="G631" s="790">
        <v>287</v>
      </c>
      <c r="H631" s="790">
        <v>3413</v>
      </c>
      <c r="I631" s="790">
        <v>2079</v>
      </c>
      <c r="J631" s="796">
        <f t="shared" si="19"/>
        <v>0.30826915281718692</v>
      </c>
    </row>
    <row r="632" spans="1:10">
      <c r="A632" s="322" t="s">
        <v>86</v>
      </c>
      <c r="B632" s="793">
        <v>44540</v>
      </c>
      <c r="C632" s="790">
        <f t="shared" si="18"/>
        <v>2081</v>
      </c>
      <c r="D632" s="790">
        <v>21</v>
      </c>
      <c r="E632" s="790">
        <v>819</v>
      </c>
      <c r="F632" s="790">
        <v>1262</v>
      </c>
      <c r="G632" s="790">
        <v>137</v>
      </c>
      <c r="H632" s="790">
        <v>1325</v>
      </c>
      <c r="I632" s="790">
        <v>677</v>
      </c>
      <c r="J632" s="796">
        <f t="shared" si="19"/>
        <v>0.35679611650485432</v>
      </c>
    </row>
    <row r="633" spans="1:10">
      <c r="A633" s="322" t="s">
        <v>89</v>
      </c>
      <c r="B633" s="793">
        <v>44541</v>
      </c>
      <c r="C633" s="790">
        <f t="shared" si="18"/>
        <v>17245</v>
      </c>
      <c r="D633" s="790">
        <v>595</v>
      </c>
      <c r="E633" s="790">
        <v>5241</v>
      </c>
      <c r="F633" s="790">
        <v>12004</v>
      </c>
      <c r="G633" s="790">
        <v>1023</v>
      </c>
      <c r="H633" s="790">
        <v>12294</v>
      </c>
      <c r="I633" s="790">
        <v>7681</v>
      </c>
      <c r="J633" s="796">
        <f t="shared" si="19"/>
        <v>0.26162162162162161</v>
      </c>
    </row>
    <row r="634" spans="1:10">
      <c r="A634" s="322" t="s">
        <v>88</v>
      </c>
      <c r="B634" s="793">
        <v>44542</v>
      </c>
      <c r="C634" s="790">
        <f t="shared" si="18"/>
        <v>3568</v>
      </c>
      <c r="D634" s="790">
        <v>83</v>
      </c>
      <c r="E634" s="790">
        <v>1343</v>
      </c>
      <c r="F634" s="790">
        <v>2225</v>
      </c>
      <c r="G634" s="790">
        <v>173</v>
      </c>
      <c r="H634" s="790">
        <v>2108</v>
      </c>
      <c r="I634" s="790">
        <v>1198</v>
      </c>
      <c r="J634" s="796">
        <f t="shared" si="19"/>
        <v>0.39512195121951221</v>
      </c>
    </row>
    <row r="635" spans="1:10">
      <c r="A635" s="322" t="s">
        <v>87</v>
      </c>
      <c r="B635" s="793">
        <v>44543</v>
      </c>
      <c r="C635" s="790">
        <f t="shared" si="18"/>
        <v>3446</v>
      </c>
      <c r="D635" s="790">
        <v>48</v>
      </c>
      <c r="E635" s="790">
        <v>1134</v>
      </c>
      <c r="F635" s="790">
        <v>2312</v>
      </c>
      <c r="G635" s="790">
        <v>172</v>
      </c>
      <c r="H635" s="790">
        <v>2607</v>
      </c>
      <c r="I635" s="790">
        <v>1250</v>
      </c>
      <c r="J635" s="796">
        <f t="shared" si="19"/>
        <v>0.23278399058269572</v>
      </c>
    </row>
    <row r="636" spans="1:10">
      <c r="A636" s="322" t="s">
        <v>90</v>
      </c>
      <c r="B636" s="793">
        <v>44544</v>
      </c>
      <c r="C636" s="790">
        <f t="shared" si="18"/>
        <v>3122</v>
      </c>
      <c r="D636" s="790">
        <v>131</v>
      </c>
      <c r="E636" s="790">
        <v>1113</v>
      </c>
      <c r="F636" s="790">
        <v>2009</v>
      </c>
      <c r="G636" s="790">
        <v>162</v>
      </c>
      <c r="H636" s="790">
        <v>1818</v>
      </c>
      <c r="I636" s="790">
        <v>896</v>
      </c>
      <c r="J636" s="796">
        <f t="shared" si="19"/>
        <v>0.39217652958876625</v>
      </c>
    </row>
    <row r="637" spans="1:10">
      <c r="A637" s="322" t="s">
        <v>91</v>
      </c>
      <c r="B637" s="793">
        <v>44545</v>
      </c>
      <c r="C637" s="790">
        <f t="shared" si="18"/>
        <v>3006</v>
      </c>
      <c r="D637" s="790">
        <v>47</v>
      </c>
      <c r="E637" s="790">
        <v>1046</v>
      </c>
      <c r="F637" s="790">
        <v>1960</v>
      </c>
      <c r="G637" s="790">
        <v>260</v>
      </c>
      <c r="H637" s="790">
        <v>2101</v>
      </c>
      <c r="I637" s="790">
        <v>1193</v>
      </c>
      <c r="J637" s="796">
        <f t="shared" si="19"/>
        <v>0.28996282527881045</v>
      </c>
    </row>
    <row r="638" spans="1:10">
      <c r="A638" s="322" t="s">
        <v>93</v>
      </c>
      <c r="B638" s="793">
        <v>44546</v>
      </c>
      <c r="C638" s="790">
        <f t="shared" si="18"/>
        <v>5325</v>
      </c>
      <c r="D638" s="790">
        <v>337</v>
      </c>
      <c r="E638" s="790">
        <v>1682</v>
      </c>
      <c r="F638" s="790">
        <v>3643</v>
      </c>
      <c r="G638" s="790">
        <v>296</v>
      </c>
      <c r="H638" s="790">
        <v>3748</v>
      </c>
      <c r="I638" s="790">
        <v>2186</v>
      </c>
      <c r="J638" s="796">
        <f t="shared" si="19"/>
        <v>0.24859663191659986</v>
      </c>
    </row>
    <row r="639" spans="1:10">
      <c r="A639" s="322" t="s">
        <v>94</v>
      </c>
      <c r="B639" s="793">
        <v>44547</v>
      </c>
      <c r="C639" s="790">
        <f t="shared" si="18"/>
        <v>1507</v>
      </c>
      <c r="D639" s="790">
        <v>33</v>
      </c>
      <c r="E639" s="790">
        <v>528</v>
      </c>
      <c r="F639" s="790">
        <v>979</v>
      </c>
      <c r="G639" s="790">
        <v>117</v>
      </c>
      <c r="H639" s="790">
        <v>1165</v>
      </c>
      <c r="I639" s="790">
        <v>638</v>
      </c>
      <c r="J639" s="796">
        <f t="shared" si="19"/>
        <v>0.20963364993215738</v>
      </c>
    </row>
    <row r="640" spans="1:10">
      <c r="A640" s="322" t="s">
        <v>92</v>
      </c>
      <c r="B640" s="793">
        <v>44548</v>
      </c>
      <c r="C640" s="790">
        <f t="shared" si="18"/>
        <v>13913</v>
      </c>
      <c r="D640" s="790">
        <v>343</v>
      </c>
      <c r="E640" s="790">
        <v>4599</v>
      </c>
      <c r="F640" s="790">
        <v>9314</v>
      </c>
      <c r="G640" s="790">
        <v>868</v>
      </c>
      <c r="H640" s="790">
        <v>9921</v>
      </c>
      <c r="I640" s="790">
        <v>5904</v>
      </c>
      <c r="J640" s="796">
        <f t="shared" si="19"/>
        <v>0.26890198968312451</v>
      </c>
    </row>
    <row r="641" spans="1:10">
      <c r="A641" s="322" t="s">
        <v>95</v>
      </c>
      <c r="B641" s="793">
        <v>44549</v>
      </c>
      <c r="C641" s="790">
        <f t="shared" si="18"/>
        <v>20909</v>
      </c>
      <c r="D641" s="790">
        <v>3034</v>
      </c>
      <c r="E641" s="790">
        <v>8541</v>
      </c>
      <c r="F641" s="790">
        <v>12368</v>
      </c>
      <c r="G641" s="790">
        <v>761</v>
      </c>
      <c r="H641" s="790">
        <v>13298</v>
      </c>
      <c r="I641" s="790">
        <v>8166</v>
      </c>
      <c r="J641" s="796">
        <f t="shared" si="19"/>
        <v>0.25605594405594401</v>
      </c>
    </row>
    <row r="642" spans="1:10">
      <c r="A642" s="322" t="s">
        <v>96</v>
      </c>
      <c r="B642" s="793">
        <v>44550</v>
      </c>
      <c r="C642" s="790">
        <f t="shared" si="18"/>
        <v>2666</v>
      </c>
      <c r="D642" s="790">
        <v>44</v>
      </c>
      <c r="E642" s="790">
        <v>714</v>
      </c>
      <c r="F642" s="790">
        <v>1952</v>
      </c>
      <c r="G642" s="790">
        <v>137</v>
      </c>
      <c r="H642" s="790">
        <v>1735</v>
      </c>
      <c r="I642" s="790">
        <v>968</v>
      </c>
      <c r="J642" s="796">
        <f t="shared" si="19"/>
        <v>0.3382913806254767</v>
      </c>
    </row>
    <row r="643" spans="1:10">
      <c r="A643" s="322" t="s">
        <v>98</v>
      </c>
      <c r="B643" s="793">
        <v>44551</v>
      </c>
      <c r="C643" s="790">
        <f t="shared" ref="C643:C706" si="20">E643+F643</f>
        <v>1386</v>
      </c>
      <c r="D643" s="790">
        <v>9</v>
      </c>
      <c r="E643" s="790">
        <v>606</v>
      </c>
      <c r="F643" s="790">
        <v>780</v>
      </c>
      <c r="G643" s="790">
        <v>123</v>
      </c>
      <c r="H643" s="790">
        <v>922</v>
      </c>
      <c r="I643" s="790">
        <v>488</v>
      </c>
      <c r="J643" s="796">
        <f t="shared" ref="J643:J706" si="21">1-(H643/(C643-D643))</f>
        <v>0.33042846768336964</v>
      </c>
    </row>
    <row r="644" spans="1:10">
      <c r="A644" s="322" t="s">
        <v>99</v>
      </c>
      <c r="B644" s="793">
        <v>44552</v>
      </c>
      <c r="C644" s="790">
        <f t="shared" si="20"/>
        <v>246</v>
      </c>
      <c r="D644" s="790">
        <v>9</v>
      </c>
      <c r="E644" s="790">
        <v>98</v>
      </c>
      <c r="F644" s="790">
        <v>148</v>
      </c>
      <c r="G644" s="790">
        <v>12</v>
      </c>
      <c r="H644" s="790">
        <v>152</v>
      </c>
      <c r="I644" s="790">
        <v>82</v>
      </c>
      <c r="J644" s="796">
        <f t="shared" si="21"/>
        <v>0.35864978902953581</v>
      </c>
    </row>
    <row r="645" spans="1:10">
      <c r="A645" s="322" t="s">
        <v>97</v>
      </c>
      <c r="B645" s="793">
        <v>44553</v>
      </c>
      <c r="C645" s="790">
        <f t="shared" si="20"/>
        <v>17436</v>
      </c>
      <c r="D645" s="790">
        <v>763</v>
      </c>
      <c r="E645" s="790">
        <v>5860</v>
      </c>
      <c r="F645" s="790">
        <v>11576</v>
      </c>
      <c r="G645" s="790">
        <v>908</v>
      </c>
      <c r="H645" s="790">
        <v>12129</v>
      </c>
      <c r="I645" s="790">
        <v>7337</v>
      </c>
      <c r="J645" s="796">
        <f t="shared" si="21"/>
        <v>0.27253643615426137</v>
      </c>
    </row>
    <row r="646" spans="1:10">
      <c r="A646" s="322" t="s">
        <v>100</v>
      </c>
      <c r="B646" s="793">
        <v>44554</v>
      </c>
      <c r="C646" s="790">
        <f t="shared" si="20"/>
        <v>11349</v>
      </c>
      <c r="D646" s="790">
        <v>198</v>
      </c>
      <c r="E646" s="790">
        <v>3635</v>
      </c>
      <c r="F646" s="790">
        <v>7714</v>
      </c>
      <c r="G646" s="790">
        <v>663</v>
      </c>
      <c r="H646" s="790">
        <v>8343</v>
      </c>
      <c r="I646" s="790">
        <v>4909</v>
      </c>
      <c r="J646" s="796">
        <f t="shared" si="21"/>
        <v>0.25181598062953992</v>
      </c>
    </row>
    <row r="647" spans="1:10">
      <c r="A647" s="322" t="s">
        <v>102</v>
      </c>
      <c r="B647" s="793">
        <v>44555</v>
      </c>
      <c r="C647" s="790">
        <f t="shared" si="20"/>
        <v>1563</v>
      </c>
      <c r="D647" s="790">
        <v>28</v>
      </c>
      <c r="E647" s="790">
        <v>607</v>
      </c>
      <c r="F647" s="790">
        <v>956</v>
      </c>
      <c r="G647" s="790">
        <v>117</v>
      </c>
      <c r="H647" s="790">
        <v>1135</v>
      </c>
      <c r="I647" s="790">
        <v>614</v>
      </c>
      <c r="J647" s="796">
        <f t="shared" si="21"/>
        <v>0.26058631921824105</v>
      </c>
    </row>
    <row r="648" spans="1:10">
      <c r="A648" s="322" t="s">
        <v>101</v>
      </c>
      <c r="B648" s="793">
        <v>44556</v>
      </c>
      <c r="C648" s="790">
        <f t="shared" si="20"/>
        <v>65012</v>
      </c>
      <c r="D648" s="790">
        <v>3752</v>
      </c>
      <c r="E648" s="790">
        <v>23917</v>
      </c>
      <c r="F648" s="790">
        <v>41095</v>
      </c>
      <c r="G648" s="790">
        <v>2861</v>
      </c>
      <c r="H648" s="790">
        <v>44268</v>
      </c>
      <c r="I648" s="790">
        <v>26408</v>
      </c>
      <c r="J648" s="796">
        <f t="shared" si="21"/>
        <v>0.27737512242899121</v>
      </c>
    </row>
    <row r="649" spans="1:10">
      <c r="A649" s="322" t="s">
        <v>103</v>
      </c>
      <c r="B649" s="793">
        <v>44557</v>
      </c>
      <c r="C649" s="790">
        <f t="shared" si="20"/>
        <v>869</v>
      </c>
      <c r="D649" s="790">
        <v>15</v>
      </c>
      <c r="E649" s="790">
        <v>344</v>
      </c>
      <c r="F649" s="790">
        <v>525</v>
      </c>
      <c r="G649" s="790">
        <v>93</v>
      </c>
      <c r="H649" s="790">
        <v>578</v>
      </c>
      <c r="I649" s="790">
        <v>330</v>
      </c>
      <c r="J649" s="796">
        <f t="shared" si="21"/>
        <v>0.3231850117096019</v>
      </c>
    </row>
    <row r="650" spans="1:10">
      <c r="A650" s="322" t="s">
        <v>77</v>
      </c>
      <c r="B650" s="793">
        <v>44562</v>
      </c>
      <c r="C650" s="790">
        <f t="shared" si="20"/>
        <v>685</v>
      </c>
      <c r="D650" s="790">
        <v>7</v>
      </c>
      <c r="E650" s="790">
        <v>362</v>
      </c>
      <c r="F650" s="790">
        <v>323</v>
      </c>
      <c r="G650" s="790">
        <v>0</v>
      </c>
      <c r="H650" s="790">
        <v>114</v>
      </c>
      <c r="I650" s="790">
        <v>66</v>
      </c>
      <c r="J650" s="796">
        <f t="shared" si="21"/>
        <v>0.83185840707964598</v>
      </c>
    </row>
    <row r="651" spans="1:10">
      <c r="A651" s="322" t="s">
        <v>78</v>
      </c>
      <c r="B651" s="793">
        <v>44562</v>
      </c>
      <c r="C651" s="790">
        <f t="shared" si="20"/>
        <v>2098</v>
      </c>
      <c r="D651" s="790">
        <v>54</v>
      </c>
      <c r="E651" s="790">
        <v>565</v>
      </c>
      <c r="F651" s="790">
        <v>1533</v>
      </c>
      <c r="G651" s="790">
        <v>11</v>
      </c>
      <c r="H651" s="790">
        <v>501</v>
      </c>
      <c r="I651" s="790">
        <v>360</v>
      </c>
      <c r="J651" s="796">
        <f t="shared" si="21"/>
        <v>0.75489236790606651</v>
      </c>
    </row>
    <row r="652" spans="1:10">
      <c r="A652" s="322" t="s">
        <v>80</v>
      </c>
      <c r="B652" s="793">
        <v>44562</v>
      </c>
      <c r="C652" s="790">
        <f t="shared" si="20"/>
        <v>2179</v>
      </c>
      <c r="D652" s="790">
        <v>13</v>
      </c>
      <c r="E652" s="790">
        <v>875</v>
      </c>
      <c r="F652" s="790">
        <v>1304</v>
      </c>
      <c r="G652" s="790">
        <v>0</v>
      </c>
      <c r="H652" s="790">
        <v>295</v>
      </c>
      <c r="I652" s="790">
        <v>145</v>
      </c>
      <c r="J652" s="796">
        <f t="shared" si="21"/>
        <v>0.86380424746075712</v>
      </c>
    </row>
    <row r="653" spans="1:10">
      <c r="A653" s="322" t="s">
        <v>79</v>
      </c>
      <c r="B653" s="793">
        <v>44562</v>
      </c>
      <c r="C653" s="790">
        <f t="shared" si="20"/>
        <v>839</v>
      </c>
      <c r="D653" s="790">
        <v>6</v>
      </c>
      <c r="E653" s="790">
        <v>455</v>
      </c>
      <c r="F653" s="790">
        <v>384</v>
      </c>
      <c r="G653" s="790">
        <v>0</v>
      </c>
      <c r="H653" s="790">
        <v>97</v>
      </c>
      <c r="I653" s="790">
        <v>50</v>
      </c>
      <c r="J653" s="796">
        <f t="shared" si="21"/>
        <v>0.88355342136854742</v>
      </c>
    </row>
    <row r="654" spans="1:10">
      <c r="A654" s="322" t="s">
        <v>81</v>
      </c>
      <c r="B654" s="793">
        <v>44562</v>
      </c>
      <c r="C654" s="790">
        <f t="shared" si="20"/>
        <v>7090</v>
      </c>
      <c r="D654" s="790">
        <v>728</v>
      </c>
      <c r="E654" s="790">
        <v>2643</v>
      </c>
      <c r="F654" s="790">
        <v>4447</v>
      </c>
      <c r="G654" s="790">
        <v>0</v>
      </c>
      <c r="H654" s="790">
        <v>1379</v>
      </c>
      <c r="I654" s="790">
        <v>926</v>
      </c>
      <c r="J654" s="796">
        <f t="shared" si="21"/>
        <v>0.78324426281043702</v>
      </c>
    </row>
    <row r="655" spans="1:10">
      <c r="A655" s="322" t="s">
        <v>82</v>
      </c>
      <c r="B655" s="793">
        <v>44562</v>
      </c>
      <c r="C655" s="790">
        <f t="shared" si="20"/>
        <v>4443</v>
      </c>
      <c r="D655" s="790">
        <v>151</v>
      </c>
      <c r="E655" s="790">
        <v>1731</v>
      </c>
      <c r="F655" s="790">
        <v>2712</v>
      </c>
      <c r="G655" s="790">
        <v>13</v>
      </c>
      <c r="H655" s="790">
        <v>1078</v>
      </c>
      <c r="I655" s="790">
        <v>754</v>
      </c>
      <c r="J655" s="796">
        <f t="shared" si="21"/>
        <v>0.74883504193849015</v>
      </c>
    </row>
    <row r="656" spans="1:10">
      <c r="A656" s="322" t="s">
        <v>83</v>
      </c>
      <c r="B656" s="793">
        <v>44562</v>
      </c>
      <c r="C656" s="790">
        <f t="shared" si="20"/>
        <v>6564</v>
      </c>
      <c r="D656" s="790">
        <v>413</v>
      </c>
      <c r="E656" s="790">
        <v>2348</v>
      </c>
      <c r="F656" s="790">
        <v>4216</v>
      </c>
      <c r="G656" s="790">
        <v>1</v>
      </c>
      <c r="H656" s="790">
        <v>1508</v>
      </c>
      <c r="I656" s="790">
        <v>1071</v>
      </c>
      <c r="J656" s="796">
        <f t="shared" si="21"/>
        <v>0.75483661193301899</v>
      </c>
    </row>
    <row r="657" spans="1:10">
      <c r="A657" s="322" t="s">
        <v>84</v>
      </c>
      <c r="B657" s="793">
        <v>44562</v>
      </c>
      <c r="C657" s="790">
        <f t="shared" si="20"/>
        <v>3928</v>
      </c>
      <c r="D657" s="790">
        <v>68</v>
      </c>
      <c r="E657" s="790">
        <v>1042</v>
      </c>
      <c r="F657" s="790">
        <v>2886</v>
      </c>
      <c r="G657" s="790">
        <v>1</v>
      </c>
      <c r="H657" s="790">
        <v>1045</v>
      </c>
      <c r="I657" s="790">
        <v>740</v>
      </c>
      <c r="J657" s="796">
        <f t="shared" si="21"/>
        <v>0.72927461139896366</v>
      </c>
    </row>
    <row r="658" spans="1:10">
      <c r="A658" s="322" t="s">
        <v>85</v>
      </c>
      <c r="B658" s="793">
        <v>44562</v>
      </c>
      <c r="C658" s="790">
        <f t="shared" si="20"/>
        <v>5096</v>
      </c>
      <c r="D658" s="790">
        <v>177</v>
      </c>
      <c r="E658" s="790">
        <v>1622</v>
      </c>
      <c r="F658" s="790">
        <v>3474</v>
      </c>
      <c r="G658" s="790">
        <v>0</v>
      </c>
      <c r="H658" s="790">
        <v>1038</v>
      </c>
      <c r="I658" s="790">
        <v>694</v>
      </c>
      <c r="J658" s="796">
        <f t="shared" si="21"/>
        <v>0.78898150030494008</v>
      </c>
    </row>
    <row r="659" spans="1:10">
      <c r="A659" s="322" t="s">
        <v>86</v>
      </c>
      <c r="B659" s="793">
        <v>44562</v>
      </c>
      <c r="C659" s="790">
        <f t="shared" si="20"/>
        <v>2081</v>
      </c>
      <c r="D659" s="790">
        <v>21</v>
      </c>
      <c r="E659" s="790">
        <v>820</v>
      </c>
      <c r="F659" s="790">
        <v>1261</v>
      </c>
      <c r="G659" s="790">
        <v>0</v>
      </c>
      <c r="H659" s="790">
        <v>325</v>
      </c>
      <c r="I659" s="790">
        <v>193</v>
      </c>
      <c r="J659" s="796">
        <f t="shared" si="21"/>
        <v>0.84223300970873782</v>
      </c>
    </row>
    <row r="660" spans="1:10">
      <c r="A660" s="322" t="s">
        <v>89</v>
      </c>
      <c r="B660" s="793">
        <v>44562</v>
      </c>
      <c r="C660" s="790">
        <f t="shared" si="20"/>
        <v>17217</v>
      </c>
      <c r="D660" s="790">
        <v>599</v>
      </c>
      <c r="E660" s="790">
        <v>5239</v>
      </c>
      <c r="F660" s="790">
        <v>11978</v>
      </c>
      <c r="G660" s="790">
        <v>11</v>
      </c>
      <c r="H660" s="790">
        <v>4145</v>
      </c>
      <c r="I660" s="790">
        <v>2972</v>
      </c>
      <c r="J660" s="796">
        <f t="shared" si="21"/>
        <v>0.75057166927428087</v>
      </c>
    </row>
    <row r="661" spans="1:10">
      <c r="A661" s="322" t="s">
        <v>88</v>
      </c>
      <c r="B661" s="793">
        <v>44562</v>
      </c>
      <c r="C661" s="790">
        <f t="shared" si="20"/>
        <v>3602</v>
      </c>
      <c r="D661" s="790">
        <v>84</v>
      </c>
      <c r="E661" s="790">
        <v>1359</v>
      </c>
      <c r="F661" s="790">
        <v>2243</v>
      </c>
      <c r="G661" s="790">
        <v>0</v>
      </c>
      <c r="H661" s="790">
        <v>923</v>
      </c>
      <c r="I661" s="790">
        <v>646</v>
      </c>
      <c r="J661" s="796">
        <f t="shared" si="21"/>
        <v>0.73763501989766911</v>
      </c>
    </row>
    <row r="662" spans="1:10">
      <c r="A662" s="322" t="s">
        <v>87</v>
      </c>
      <c r="B662" s="793">
        <v>44562</v>
      </c>
      <c r="C662" s="790">
        <f t="shared" si="20"/>
        <v>3463</v>
      </c>
      <c r="D662" s="790">
        <v>49</v>
      </c>
      <c r="E662" s="790">
        <v>1138</v>
      </c>
      <c r="F662" s="790">
        <v>2325</v>
      </c>
      <c r="G662" s="790">
        <v>0</v>
      </c>
      <c r="H662" s="790">
        <v>742</v>
      </c>
      <c r="I662" s="790">
        <v>459</v>
      </c>
      <c r="J662" s="796">
        <f t="shared" si="21"/>
        <v>0.78265963678968953</v>
      </c>
    </row>
    <row r="663" spans="1:10">
      <c r="A663" s="322" t="s">
        <v>90</v>
      </c>
      <c r="B663" s="793">
        <v>44562</v>
      </c>
      <c r="C663" s="790">
        <f t="shared" si="20"/>
        <v>3121</v>
      </c>
      <c r="D663" s="790">
        <v>131</v>
      </c>
      <c r="E663" s="790">
        <v>1115</v>
      </c>
      <c r="F663" s="790">
        <v>2006</v>
      </c>
      <c r="G663" s="790">
        <v>1</v>
      </c>
      <c r="H663" s="790">
        <v>552</v>
      </c>
      <c r="I663" s="790">
        <v>315</v>
      </c>
      <c r="J663" s="796">
        <f t="shared" si="21"/>
        <v>0.81538461538461537</v>
      </c>
    </row>
    <row r="664" spans="1:10">
      <c r="A664" s="322" t="s">
        <v>91</v>
      </c>
      <c r="B664" s="793">
        <v>44562</v>
      </c>
      <c r="C664" s="790">
        <f t="shared" si="20"/>
        <v>2987</v>
      </c>
      <c r="D664" s="790">
        <v>49</v>
      </c>
      <c r="E664" s="790">
        <v>1035</v>
      </c>
      <c r="F664" s="790">
        <v>1952</v>
      </c>
      <c r="G664" s="790">
        <v>1</v>
      </c>
      <c r="H664" s="790">
        <v>586</v>
      </c>
      <c r="I664" s="790">
        <v>418</v>
      </c>
      <c r="J664" s="796">
        <f t="shared" si="21"/>
        <v>0.80054458815520757</v>
      </c>
    </row>
    <row r="665" spans="1:10">
      <c r="A665" s="322" t="s">
        <v>93</v>
      </c>
      <c r="B665" s="793">
        <v>44562</v>
      </c>
      <c r="C665" s="790">
        <f t="shared" si="20"/>
        <v>5340</v>
      </c>
      <c r="D665" s="790">
        <v>339</v>
      </c>
      <c r="E665" s="790">
        <v>1688</v>
      </c>
      <c r="F665" s="790">
        <v>3652</v>
      </c>
      <c r="G665" s="790">
        <v>8</v>
      </c>
      <c r="H665" s="790">
        <v>1293</v>
      </c>
      <c r="I665" s="790">
        <v>907</v>
      </c>
      <c r="J665" s="796">
        <f t="shared" si="21"/>
        <v>0.74145170965806839</v>
      </c>
    </row>
    <row r="666" spans="1:10">
      <c r="A666" s="322" t="s">
        <v>94</v>
      </c>
      <c r="B666" s="793">
        <v>44562</v>
      </c>
      <c r="C666" s="790">
        <f t="shared" si="20"/>
        <v>1491</v>
      </c>
      <c r="D666" s="790">
        <v>34</v>
      </c>
      <c r="E666" s="790">
        <v>520</v>
      </c>
      <c r="F666" s="790">
        <v>971</v>
      </c>
      <c r="G666" s="790">
        <v>4</v>
      </c>
      <c r="H666" s="790">
        <v>345</v>
      </c>
      <c r="I666" s="790">
        <v>237</v>
      </c>
      <c r="J666" s="796">
        <f t="shared" si="21"/>
        <v>0.76321207961564863</v>
      </c>
    </row>
    <row r="667" spans="1:10">
      <c r="A667" s="322" t="s">
        <v>92</v>
      </c>
      <c r="B667" s="793">
        <v>44562</v>
      </c>
      <c r="C667" s="790">
        <f t="shared" si="20"/>
        <v>13905</v>
      </c>
      <c r="D667" s="790">
        <v>358</v>
      </c>
      <c r="E667" s="790">
        <v>4596</v>
      </c>
      <c r="F667" s="790">
        <v>9309</v>
      </c>
      <c r="G667" s="790">
        <v>1</v>
      </c>
      <c r="H667" s="790">
        <v>3607</v>
      </c>
      <c r="I667" s="790">
        <v>2497</v>
      </c>
      <c r="J667" s="796">
        <f t="shared" si="21"/>
        <v>0.73374178784970845</v>
      </c>
    </row>
    <row r="668" spans="1:10">
      <c r="A668" s="322" t="s">
        <v>95</v>
      </c>
      <c r="B668" s="793">
        <v>44562</v>
      </c>
      <c r="C668" s="790">
        <f t="shared" si="20"/>
        <v>20923</v>
      </c>
      <c r="D668" s="790">
        <v>3082</v>
      </c>
      <c r="E668" s="790">
        <v>8542</v>
      </c>
      <c r="F668" s="790">
        <v>12381</v>
      </c>
      <c r="G668" s="790">
        <v>11</v>
      </c>
      <c r="H668" s="790">
        <v>4502</v>
      </c>
      <c r="I668" s="790">
        <v>3172</v>
      </c>
      <c r="J668" s="796">
        <f t="shared" si="21"/>
        <v>0.74765988453562016</v>
      </c>
    </row>
    <row r="669" spans="1:10">
      <c r="A669" s="322" t="s">
        <v>96</v>
      </c>
      <c r="B669" s="793">
        <v>44562</v>
      </c>
      <c r="C669" s="790">
        <f t="shared" si="20"/>
        <v>2660</v>
      </c>
      <c r="D669" s="790">
        <v>45</v>
      </c>
      <c r="E669" s="790">
        <v>713</v>
      </c>
      <c r="F669" s="790">
        <v>1947</v>
      </c>
      <c r="G669" s="790">
        <v>0</v>
      </c>
      <c r="H669" s="790">
        <v>482</v>
      </c>
      <c r="I669" s="790">
        <v>323</v>
      </c>
      <c r="J669" s="796">
        <f t="shared" si="21"/>
        <v>0.81567877629063101</v>
      </c>
    </row>
    <row r="670" spans="1:10">
      <c r="A670" s="322" t="s">
        <v>98</v>
      </c>
      <c r="B670" s="793">
        <v>44562</v>
      </c>
      <c r="C670" s="790">
        <f t="shared" si="20"/>
        <v>1392</v>
      </c>
      <c r="D670" s="790">
        <v>9</v>
      </c>
      <c r="E670" s="790">
        <v>609</v>
      </c>
      <c r="F670" s="790">
        <v>783</v>
      </c>
      <c r="G670" s="790">
        <v>0</v>
      </c>
      <c r="H670" s="790">
        <v>256</v>
      </c>
      <c r="I670" s="790">
        <v>149</v>
      </c>
      <c r="J670" s="796">
        <f t="shared" si="21"/>
        <v>0.81489515545914681</v>
      </c>
    </row>
    <row r="671" spans="1:10">
      <c r="A671" s="322" t="s">
        <v>99</v>
      </c>
      <c r="B671" s="793">
        <v>44562</v>
      </c>
      <c r="C671" s="790">
        <f t="shared" si="20"/>
        <v>246</v>
      </c>
      <c r="D671" s="790">
        <v>9</v>
      </c>
      <c r="E671" s="790">
        <v>97</v>
      </c>
      <c r="F671" s="790">
        <v>149</v>
      </c>
      <c r="G671" s="790">
        <v>0</v>
      </c>
      <c r="H671" s="790">
        <v>57</v>
      </c>
      <c r="I671" s="790">
        <v>28</v>
      </c>
      <c r="J671" s="796">
        <f t="shared" si="21"/>
        <v>0.759493670886076</v>
      </c>
    </row>
    <row r="672" spans="1:10">
      <c r="A672" s="322" t="s">
        <v>97</v>
      </c>
      <c r="B672" s="793">
        <v>44562</v>
      </c>
      <c r="C672" s="790">
        <f t="shared" si="20"/>
        <v>17484</v>
      </c>
      <c r="D672" s="790">
        <v>768</v>
      </c>
      <c r="E672" s="790">
        <v>5895</v>
      </c>
      <c r="F672" s="790">
        <v>11589</v>
      </c>
      <c r="G672" s="790">
        <v>0</v>
      </c>
      <c r="H672" s="790">
        <v>6047</v>
      </c>
      <c r="I672" s="790">
        <v>3939</v>
      </c>
      <c r="J672" s="796">
        <f t="shared" si="21"/>
        <v>0.63825077769801386</v>
      </c>
    </row>
    <row r="673" spans="1:10">
      <c r="A673" s="322" t="s">
        <v>100</v>
      </c>
      <c r="B673" s="793">
        <v>44562</v>
      </c>
      <c r="C673" s="790">
        <f t="shared" si="20"/>
        <v>11294</v>
      </c>
      <c r="D673" s="790">
        <v>209</v>
      </c>
      <c r="E673" s="790">
        <v>3615</v>
      </c>
      <c r="F673" s="790">
        <v>7679</v>
      </c>
      <c r="G673" s="790">
        <v>0</v>
      </c>
      <c r="H673" s="790">
        <v>3446</v>
      </c>
      <c r="I673" s="790">
        <v>2359</v>
      </c>
      <c r="J673" s="796">
        <f t="shared" si="21"/>
        <v>0.6891294542174109</v>
      </c>
    </row>
    <row r="674" spans="1:10">
      <c r="A674" s="322" t="s">
        <v>102</v>
      </c>
      <c r="B674" s="793">
        <v>44562</v>
      </c>
      <c r="C674" s="790">
        <f t="shared" si="20"/>
        <v>1553</v>
      </c>
      <c r="D674" s="790">
        <v>28</v>
      </c>
      <c r="E674" s="790">
        <v>600</v>
      </c>
      <c r="F674" s="790">
        <v>953</v>
      </c>
      <c r="G674" s="790">
        <v>0</v>
      </c>
      <c r="H674" s="790">
        <v>352</v>
      </c>
      <c r="I674" s="790">
        <v>238</v>
      </c>
      <c r="J674" s="796">
        <f t="shared" si="21"/>
        <v>0.76918032786885249</v>
      </c>
    </row>
    <row r="675" spans="1:10">
      <c r="A675" s="322" t="s">
        <v>101</v>
      </c>
      <c r="B675" s="793">
        <v>44562</v>
      </c>
      <c r="C675" s="790">
        <f t="shared" si="20"/>
        <v>64562</v>
      </c>
      <c r="D675" s="790">
        <v>3879</v>
      </c>
      <c r="E675" s="790">
        <v>23810</v>
      </c>
      <c r="F675" s="790">
        <v>40752</v>
      </c>
      <c r="G675" s="790">
        <v>0</v>
      </c>
      <c r="H675" s="790">
        <v>17402</v>
      </c>
      <c r="I675" s="790">
        <v>7880</v>
      </c>
      <c r="J675" s="796">
        <f t="shared" si="21"/>
        <v>0.71323105317799051</v>
      </c>
    </row>
    <row r="676" spans="1:10">
      <c r="A676" s="322" t="s">
        <v>103</v>
      </c>
      <c r="B676" s="793">
        <v>44562</v>
      </c>
      <c r="C676" s="790">
        <f t="shared" si="20"/>
        <v>870</v>
      </c>
      <c r="D676" s="790">
        <v>15</v>
      </c>
      <c r="E676" s="790">
        <v>344</v>
      </c>
      <c r="F676" s="790">
        <v>526</v>
      </c>
      <c r="G676" s="790">
        <v>0</v>
      </c>
      <c r="H676" s="790">
        <v>172</v>
      </c>
      <c r="I676" s="790">
        <v>110</v>
      </c>
      <c r="J676" s="796">
        <f t="shared" si="21"/>
        <v>0.79883040935672511</v>
      </c>
    </row>
    <row r="677" spans="1:10">
      <c r="A677" s="322" t="s">
        <v>77</v>
      </c>
      <c r="B677" s="793">
        <v>44593</v>
      </c>
      <c r="C677" s="790">
        <f t="shared" si="20"/>
        <v>664</v>
      </c>
      <c r="D677" s="790">
        <v>8</v>
      </c>
      <c r="E677" s="790">
        <v>344</v>
      </c>
      <c r="F677" s="790">
        <v>320</v>
      </c>
      <c r="G677" s="790">
        <v>0</v>
      </c>
      <c r="H677" s="790">
        <v>155</v>
      </c>
      <c r="I677" s="790">
        <v>83</v>
      </c>
      <c r="J677" s="796">
        <f t="shared" si="21"/>
        <v>0.76371951219512191</v>
      </c>
    </row>
    <row r="678" spans="1:10">
      <c r="A678" s="322" t="s">
        <v>78</v>
      </c>
      <c r="B678" s="793">
        <v>44594</v>
      </c>
      <c r="C678" s="790">
        <f t="shared" si="20"/>
        <v>2118</v>
      </c>
      <c r="D678" s="790">
        <v>56</v>
      </c>
      <c r="E678" s="790">
        <v>570</v>
      </c>
      <c r="F678" s="790">
        <v>1548</v>
      </c>
      <c r="G678" s="790">
        <v>24</v>
      </c>
      <c r="H678" s="790">
        <v>634</v>
      </c>
      <c r="I678" s="790">
        <v>467</v>
      </c>
      <c r="J678" s="796">
        <f t="shared" si="21"/>
        <v>0.69253152279340446</v>
      </c>
    </row>
    <row r="679" spans="1:10">
      <c r="A679" s="322" t="s">
        <v>80</v>
      </c>
      <c r="B679" s="793">
        <v>44595</v>
      </c>
      <c r="C679" s="790">
        <f t="shared" si="20"/>
        <v>2247</v>
      </c>
      <c r="D679" s="790">
        <v>13</v>
      </c>
      <c r="E679" s="790">
        <v>905</v>
      </c>
      <c r="F679" s="790">
        <v>1342</v>
      </c>
      <c r="G679" s="790">
        <v>1</v>
      </c>
      <c r="H679" s="790">
        <v>444</v>
      </c>
      <c r="I679" s="790">
        <v>217</v>
      </c>
      <c r="J679" s="796">
        <f t="shared" si="21"/>
        <v>0.80125335720680391</v>
      </c>
    </row>
    <row r="680" spans="1:10">
      <c r="A680" s="322" t="s">
        <v>79</v>
      </c>
      <c r="B680" s="793">
        <v>44596</v>
      </c>
      <c r="C680" s="790">
        <f t="shared" si="20"/>
        <v>840</v>
      </c>
      <c r="D680" s="790">
        <v>6</v>
      </c>
      <c r="E680" s="790">
        <v>455</v>
      </c>
      <c r="F680" s="790">
        <v>385</v>
      </c>
      <c r="G680" s="790">
        <v>1</v>
      </c>
      <c r="H680" s="790">
        <v>168</v>
      </c>
      <c r="I680" s="790">
        <v>74</v>
      </c>
      <c r="J680" s="796">
        <f t="shared" si="21"/>
        <v>0.79856115107913672</v>
      </c>
    </row>
    <row r="681" spans="1:10">
      <c r="A681" s="322" t="s">
        <v>81</v>
      </c>
      <c r="B681" s="793">
        <v>44597</v>
      </c>
      <c r="C681" s="790">
        <f t="shared" si="20"/>
        <v>7080</v>
      </c>
      <c r="D681" s="790">
        <v>732</v>
      </c>
      <c r="E681" s="790">
        <v>2634</v>
      </c>
      <c r="F681" s="790">
        <v>4446</v>
      </c>
      <c r="G681" s="790">
        <v>3</v>
      </c>
      <c r="H681" s="790">
        <v>2000</v>
      </c>
      <c r="I681" s="790">
        <v>1259</v>
      </c>
      <c r="J681" s="796">
        <f t="shared" si="21"/>
        <v>0.68494013862633896</v>
      </c>
    </row>
    <row r="682" spans="1:10">
      <c r="A682" s="322" t="s">
        <v>82</v>
      </c>
      <c r="B682" s="793">
        <v>44598</v>
      </c>
      <c r="C682" s="790">
        <f t="shared" si="20"/>
        <v>4465</v>
      </c>
      <c r="D682" s="790">
        <v>154</v>
      </c>
      <c r="E682" s="790">
        <v>1744</v>
      </c>
      <c r="F682" s="790">
        <v>2721</v>
      </c>
      <c r="G682" s="790">
        <v>41</v>
      </c>
      <c r="H682" s="790">
        <v>1553</v>
      </c>
      <c r="I682" s="790">
        <v>999</v>
      </c>
      <c r="J682" s="796">
        <f t="shared" si="21"/>
        <v>0.63975875666898629</v>
      </c>
    </row>
    <row r="683" spans="1:10">
      <c r="A683" s="322" t="s">
        <v>83</v>
      </c>
      <c r="B683" s="793">
        <v>44599</v>
      </c>
      <c r="C683" s="790">
        <f t="shared" si="20"/>
        <v>6609</v>
      </c>
      <c r="D683" s="790">
        <v>419</v>
      </c>
      <c r="E683" s="790">
        <v>2358</v>
      </c>
      <c r="F683" s="790">
        <v>4251</v>
      </c>
      <c r="G683" s="790">
        <v>21</v>
      </c>
      <c r="H683" s="790">
        <v>2100</v>
      </c>
      <c r="I683" s="790">
        <v>1469</v>
      </c>
      <c r="J683" s="796">
        <f t="shared" si="21"/>
        <v>0.6607431340872375</v>
      </c>
    </row>
    <row r="684" spans="1:10">
      <c r="A684" s="322" t="s">
        <v>84</v>
      </c>
      <c r="B684" s="793">
        <v>44600</v>
      </c>
      <c r="C684" s="790">
        <f t="shared" si="20"/>
        <v>3965</v>
      </c>
      <c r="D684" s="790">
        <v>70</v>
      </c>
      <c r="E684" s="790">
        <v>1042</v>
      </c>
      <c r="F684" s="790">
        <v>2923</v>
      </c>
      <c r="G684" s="790">
        <v>3</v>
      </c>
      <c r="H684" s="790">
        <v>1793</v>
      </c>
      <c r="I684" s="790">
        <v>1169</v>
      </c>
      <c r="J684" s="796">
        <f t="shared" si="21"/>
        <v>0.53966623876765085</v>
      </c>
    </row>
    <row r="685" spans="1:10">
      <c r="A685" s="322" t="s">
        <v>85</v>
      </c>
      <c r="B685" s="793">
        <v>44601</v>
      </c>
      <c r="C685" s="790">
        <f t="shared" si="20"/>
        <v>5128</v>
      </c>
      <c r="D685" s="790">
        <v>180</v>
      </c>
      <c r="E685" s="790">
        <v>1622</v>
      </c>
      <c r="F685" s="790">
        <v>3506</v>
      </c>
      <c r="G685" s="790">
        <v>0</v>
      </c>
      <c r="H685" s="790">
        <v>1522</v>
      </c>
      <c r="I685" s="790">
        <v>977</v>
      </c>
      <c r="J685" s="796">
        <f t="shared" si="21"/>
        <v>0.69240097008892487</v>
      </c>
    </row>
    <row r="686" spans="1:10">
      <c r="A686" s="322" t="s">
        <v>86</v>
      </c>
      <c r="B686" s="793">
        <v>44602</v>
      </c>
      <c r="C686" s="790">
        <f t="shared" si="20"/>
        <v>2096</v>
      </c>
      <c r="D686" s="790">
        <v>22</v>
      </c>
      <c r="E686" s="790">
        <v>828</v>
      </c>
      <c r="F686" s="790">
        <v>1268</v>
      </c>
      <c r="G686" s="790">
        <v>4</v>
      </c>
      <c r="H686" s="790">
        <v>493</v>
      </c>
      <c r="I686" s="790">
        <v>284</v>
      </c>
      <c r="J686" s="796">
        <f t="shared" si="21"/>
        <v>0.76229508196721318</v>
      </c>
    </row>
    <row r="687" spans="1:10">
      <c r="A687" s="322" t="s">
        <v>89</v>
      </c>
      <c r="B687" s="793">
        <v>44603</v>
      </c>
      <c r="C687" s="790">
        <f t="shared" si="20"/>
        <v>17242</v>
      </c>
      <c r="D687" s="790">
        <v>604</v>
      </c>
      <c r="E687" s="790">
        <v>5257</v>
      </c>
      <c r="F687" s="790">
        <v>11985</v>
      </c>
      <c r="G687" s="790">
        <v>67</v>
      </c>
      <c r="H687" s="790">
        <v>5874</v>
      </c>
      <c r="I687" s="790">
        <v>3870</v>
      </c>
      <c r="J687" s="796">
        <f t="shared" si="21"/>
        <v>0.64695275874504143</v>
      </c>
    </row>
    <row r="688" spans="1:10">
      <c r="A688" s="322" t="s">
        <v>88</v>
      </c>
      <c r="B688" s="793">
        <v>44604</v>
      </c>
      <c r="C688" s="790">
        <f t="shared" si="20"/>
        <v>3602</v>
      </c>
      <c r="D688" s="790">
        <v>86</v>
      </c>
      <c r="E688" s="790">
        <v>1365</v>
      </c>
      <c r="F688" s="790">
        <v>2237</v>
      </c>
      <c r="G688" s="790">
        <v>16</v>
      </c>
      <c r="H688" s="790">
        <v>1214</v>
      </c>
      <c r="I688" s="790">
        <v>753</v>
      </c>
      <c r="J688" s="796">
        <f t="shared" si="21"/>
        <v>0.6547212741751991</v>
      </c>
    </row>
    <row r="689" spans="1:10">
      <c r="A689" s="322" t="s">
        <v>87</v>
      </c>
      <c r="B689" s="793">
        <v>44605</v>
      </c>
      <c r="C689" s="790">
        <f t="shared" si="20"/>
        <v>3398</v>
      </c>
      <c r="D689" s="790">
        <v>49</v>
      </c>
      <c r="E689" s="790">
        <v>1131</v>
      </c>
      <c r="F689" s="790">
        <v>2267</v>
      </c>
      <c r="G689" s="790">
        <v>0</v>
      </c>
      <c r="H689" s="790">
        <v>1021</v>
      </c>
      <c r="I689" s="790">
        <v>593</v>
      </c>
      <c r="J689" s="796">
        <f t="shared" si="21"/>
        <v>0.69513287548521951</v>
      </c>
    </row>
    <row r="690" spans="1:10">
      <c r="A690" s="322" t="s">
        <v>90</v>
      </c>
      <c r="B690" s="793">
        <v>44606</v>
      </c>
      <c r="C690" s="790">
        <f t="shared" si="20"/>
        <v>3120</v>
      </c>
      <c r="D690" s="790">
        <v>133</v>
      </c>
      <c r="E690" s="790">
        <v>1121</v>
      </c>
      <c r="F690" s="790">
        <v>1999</v>
      </c>
      <c r="G690" s="790">
        <v>10</v>
      </c>
      <c r="H690" s="790">
        <v>746</v>
      </c>
      <c r="I690" s="790">
        <v>404</v>
      </c>
      <c r="J690" s="796">
        <f t="shared" si="21"/>
        <v>0.75025108804820895</v>
      </c>
    </row>
    <row r="691" spans="1:10">
      <c r="A691" s="322" t="s">
        <v>91</v>
      </c>
      <c r="B691" s="793">
        <v>44607</v>
      </c>
      <c r="C691" s="790">
        <f t="shared" si="20"/>
        <v>3011</v>
      </c>
      <c r="D691" s="790">
        <v>50</v>
      </c>
      <c r="E691" s="790">
        <v>1054</v>
      </c>
      <c r="F691" s="790">
        <v>1957</v>
      </c>
      <c r="G691" s="790">
        <v>16</v>
      </c>
      <c r="H691" s="790">
        <v>888</v>
      </c>
      <c r="I691" s="790">
        <v>597</v>
      </c>
      <c r="J691" s="796">
        <f t="shared" si="21"/>
        <v>0.70010131712259371</v>
      </c>
    </row>
    <row r="692" spans="1:10">
      <c r="A692" s="322" t="s">
        <v>93</v>
      </c>
      <c r="B692" s="793">
        <v>44608</v>
      </c>
      <c r="C692" s="790">
        <f t="shared" si="20"/>
        <v>5358</v>
      </c>
      <c r="D692" s="790">
        <v>343</v>
      </c>
      <c r="E692" s="790">
        <v>1692</v>
      </c>
      <c r="F692" s="790">
        <v>3666</v>
      </c>
      <c r="G692" s="790">
        <v>24</v>
      </c>
      <c r="H692" s="790">
        <v>1807</v>
      </c>
      <c r="I692" s="790">
        <v>1169</v>
      </c>
      <c r="J692" s="796">
        <f t="shared" si="21"/>
        <v>0.63968095712861417</v>
      </c>
    </row>
    <row r="693" spans="1:10">
      <c r="A693" s="322" t="s">
        <v>94</v>
      </c>
      <c r="B693" s="793">
        <v>44609</v>
      </c>
      <c r="C693" s="790">
        <f t="shared" si="20"/>
        <v>1508</v>
      </c>
      <c r="D693" s="790">
        <v>36</v>
      </c>
      <c r="E693" s="790">
        <v>523</v>
      </c>
      <c r="F693" s="790">
        <v>985</v>
      </c>
      <c r="G693" s="790">
        <v>14</v>
      </c>
      <c r="H693" s="790">
        <v>505</v>
      </c>
      <c r="I693" s="790">
        <v>334</v>
      </c>
      <c r="J693" s="796">
        <f t="shared" si="21"/>
        <v>0.65692934782608692</v>
      </c>
    </row>
    <row r="694" spans="1:10">
      <c r="A694" s="322" t="s">
        <v>92</v>
      </c>
      <c r="B694" s="793">
        <v>44610</v>
      </c>
      <c r="C694" s="790">
        <f t="shared" si="20"/>
        <v>14032</v>
      </c>
      <c r="D694" s="790">
        <v>362</v>
      </c>
      <c r="E694" s="790">
        <v>4636</v>
      </c>
      <c r="F694" s="790">
        <v>9396</v>
      </c>
      <c r="G694" s="790">
        <v>66</v>
      </c>
      <c r="H694" s="790">
        <v>5343</v>
      </c>
      <c r="I694" s="790">
        <v>3424</v>
      </c>
      <c r="J694" s="796">
        <f t="shared" si="21"/>
        <v>0.60914411119239209</v>
      </c>
    </row>
    <row r="695" spans="1:10">
      <c r="A695" s="322" t="s">
        <v>95</v>
      </c>
      <c r="B695" s="793">
        <v>44611</v>
      </c>
      <c r="C695" s="790">
        <f t="shared" si="20"/>
        <v>20938</v>
      </c>
      <c r="D695" s="790">
        <v>3086</v>
      </c>
      <c r="E695" s="790">
        <v>8542</v>
      </c>
      <c r="F695" s="790">
        <v>12396</v>
      </c>
      <c r="G695" s="790">
        <v>31</v>
      </c>
      <c r="H695" s="790">
        <v>5699</v>
      </c>
      <c r="I695" s="790">
        <v>4023</v>
      </c>
      <c r="J695" s="796">
        <f t="shared" si="21"/>
        <v>0.68076406004929413</v>
      </c>
    </row>
    <row r="696" spans="1:10">
      <c r="A696" s="322" t="s">
        <v>96</v>
      </c>
      <c r="B696" s="793">
        <v>44612</v>
      </c>
      <c r="C696" s="790">
        <f t="shared" si="20"/>
        <v>2656</v>
      </c>
      <c r="D696" s="790">
        <v>48</v>
      </c>
      <c r="E696" s="790">
        <v>711</v>
      </c>
      <c r="F696" s="790">
        <v>1945</v>
      </c>
      <c r="G696" s="790">
        <v>0</v>
      </c>
      <c r="H696" s="790">
        <v>675</v>
      </c>
      <c r="I696" s="790">
        <v>449</v>
      </c>
      <c r="J696" s="796">
        <f t="shared" si="21"/>
        <v>0.74118098159509205</v>
      </c>
    </row>
    <row r="697" spans="1:10">
      <c r="A697" s="322" t="s">
        <v>98</v>
      </c>
      <c r="B697" s="793">
        <v>44613</v>
      </c>
      <c r="C697" s="790">
        <f t="shared" si="20"/>
        <v>1364</v>
      </c>
      <c r="D697" s="790">
        <v>9</v>
      </c>
      <c r="E697" s="790">
        <v>599</v>
      </c>
      <c r="F697" s="790">
        <v>765</v>
      </c>
      <c r="G697" s="790">
        <v>12</v>
      </c>
      <c r="H697" s="790">
        <v>375</v>
      </c>
      <c r="I697" s="790">
        <v>211</v>
      </c>
      <c r="J697" s="796">
        <f t="shared" si="21"/>
        <v>0.7232472324723247</v>
      </c>
    </row>
    <row r="698" spans="1:10">
      <c r="A698" s="322" t="s">
        <v>99</v>
      </c>
      <c r="B698" s="793">
        <v>44614</v>
      </c>
      <c r="C698" s="790">
        <f t="shared" si="20"/>
        <v>245</v>
      </c>
      <c r="D698" s="790">
        <v>9</v>
      </c>
      <c r="E698" s="790">
        <v>97</v>
      </c>
      <c r="F698" s="790">
        <v>148</v>
      </c>
      <c r="G698" s="790">
        <v>0</v>
      </c>
      <c r="H698" s="790">
        <v>77</v>
      </c>
      <c r="I698" s="790">
        <v>44</v>
      </c>
      <c r="J698" s="796">
        <f t="shared" si="21"/>
        <v>0.67372881355932202</v>
      </c>
    </row>
    <row r="699" spans="1:10">
      <c r="A699" s="322" t="s">
        <v>97</v>
      </c>
      <c r="B699" s="793">
        <v>44615</v>
      </c>
      <c r="C699" s="790">
        <f t="shared" si="20"/>
        <v>17463</v>
      </c>
      <c r="D699" s="790">
        <v>776</v>
      </c>
      <c r="E699" s="790">
        <v>5892</v>
      </c>
      <c r="F699" s="790">
        <v>11571</v>
      </c>
      <c r="G699" s="790">
        <v>7</v>
      </c>
      <c r="H699" s="790">
        <v>7479</v>
      </c>
      <c r="I699" s="790">
        <v>4481</v>
      </c>
      <c r="J699" s="796">
        <f t="shared" si="21"/>
        <v>0.55180679570923474</v>
      </c>
    </row>
    <row r="700" spans="1:10">
      <c r="A700" s="322" t="s">
        <v>100</v>
      </c>
      <c r="B700" s="793">
        <v>44616</v>
      </c>
      <c r="C700" s="790">
        <f t="shared" si="20"/>
        <v>11319</v>
      </c>
      <c r="D700" s="790">
        <v>211</v>
      </c>
      <c r="E700" s="790">
        <v>3620</v>
      </c>
      <c r="F700" s="790">
        <v>7699</v>
      </c>
      <c r="G700" s="790">
        <v>19</v>
      </c>
      <c r="H700" s="790">
        <v>4500</v>
      </c>
      <c r="I700" s="790">
        <v>2918</v>
      </c>
      <c r="J700" s="796">
        <f t="shared" si="21"/>
        <v>0.59488656823910691</v>
      </c>
    </row>
    <row r="701" spans="1:10">
      <c r="A701" s="322" t="s">
        <v>102</v>
      </c>
      <c r="B701" s="793">
        <v>44617</v>
      </c>
      <c r="C701" s="790">
        <f t="shared" si="20"/>
        <v>1566</v>
      </c>
      <c r="D701" s="790">
        <v>28</v>
      </c>
      <c r="E701" s="790">
        <v>602</v>
      </c>
      <c r="F701" s="790">
        <v>964</v>
      </c>
      <c r="G701" s="790">
        <v>13</v>
      </c>
      <c r="H701" s="790">
        <v>486</v>
      </c>
      <c r="I701" s="790">
        <v>309</v>
      </c>
      <c r="J701" s="796">
        <f t="shared" si="21"/>
        <v>0.68400520156046807</v>
      </c>
    </row>
    <row r="702" spans="1:10">
      <c r="A702" s="322" t="s">
        <v>101</v>
      </c>
      <c r="B702" s="793">
        <v>44618</v>
      </c>
      <c r="C702" s="790">
        <f t="shared" si="20"/>
        <v>64573</v>
      </c>
      <c r="D702" s="790">
        <v>3991</v>
      </c>
      <c r="E702" s="790">
        <v>23821</v>
      </c>
      <c r="F702" s="790">
        <v>40752</v>
      </c>
      <c r="G702" s="790">
        <v>37</v>
      </c>
      <c r="H702" s="790">
        <v>21401</v>
      </c>
      <c r="I702" s="790">
        <v>14290</v>
      </c>
      <c r="J702" s="796">
        <f t="shared" si="21"/>
        <v>0.64674325707305802</v>
      </c>
    </row>
    <row r="703" spans="1:10">
      <c r="A703" s="322" t="s">
        <v>103</v>
      </c>
      <c r="B703" s="793">
        <v>44619</v>
      </c>
      <c r="C703" s="790">
        <f t="shared" si="20"/>
        <v>851</v>
      </c>
      <c r="D703" s="790">
        <v>15</v>
      </c>
      <c r="E703" s="790">
        <v>343</v>
      </c>
      <c r="F703" s="790">
        <v>508</v>
      </c>
      <c r="G703" s="790">
        <v>5</v>
      </c>
      <c r="H703" s="790">
        <v>244</v>
      </c>
      <c r="I703" s="790">
        <v>140</v>
      </c>
      <c r="J703" s="796">
        <f t="shared" si="21"/>
        <v>0.70813397129186595</v>
      </c>
    </row>
    <row r="704" spans="1:10">
      <c r="A704" s="322" t="s">
        <v>77</v>
      </c>
      <c r="B704" s="793">
        <v>44621</v>
      </c>
      <c r="C704" s="790">
        <f t="shared" si="20"/>
        <v>675</v>
      </c>
      <c r="D704" s="790">
        <v>8</v>
      </c>
      <c r="E704" s="790">
        <v>355</v>
      </c>
      <c r="F704" s="790">
        <v>320</v>
      </c>
      <c r="G704" s="790">
        <v>5</v>
      </c>
      <c r="H704" s="790">
        <v>216</v>
      </c>
      <c r="I704" s="790">
        <v>112</v>
      </c>
      <c r="J704" s="796">
        <f t="shared" si="21"/>
        <v>0.67616191904047973</v>
      </c>
    </row>
    <row r="705" spans="1:10">
      <c r="A705" s="322" t="s">
        <v>78</v>
      </c>
      <c r="B705" s="793">
        <v>44622</v>
      </c>
      <c r="C705" s="790">
        <f t="shared" si="20"/>
        <v>2137</v>
      </c>
      <c r="D705" s="790">
        <v>57</v>
      </c>
      <c r="E705" s="790">
        <v>573</v>
      </c>
      <c r="F705" s="790">
        <v>1564</v>
      </c>
      <c r="G705" s="790">
        <v>37</v>
      </c>
      <c r="H705" s="790">
        <v>872</v>
      </c>
      <c r="I705" s="790">
        <v>610</v>
      </c>
      <c r="J705" s="796">
        <f t="shared" si="21"/>
        <v>0.5807692307692307</v>
      </c>
    </row>
    <row r="706" spans="1:10">
      <c r="A706" s="322" t="s">
        <v>80</v>
      </c>
      <c r="B706" s="793">
        <v>44623</v>
      </c>
      <c r="C706" s="790">
        <f t="shared" si="20"/>
        <v>2253</v>
      </c>
      <c r="D706" s="790">
        <v>13</v>
      </c>
      <c r="E706" s="790">
        <v>911</v>
      </c>
      <c r="F706" s="790">
        <v>1342</v>
      </c>
      <c r="G706" s="790">
        <v>5</v>
      </c>
      <c r="H706" s="790">
        <v>618</v>
      </c>
      <c r="I706" s="790">
        <v>319</v>
      </c>
      <c r="J706" s="796">
        <f t="shared" si="21"/>
        <v>0.72410714285714284</v>
      </c>
    </row>
    <row r="707" spans="1:10">
      <c r="A707" s="322" t="s">
        <v>79</v>
      </c>
      <c r="B707" s="793">
        <v>44624</v>
      </c>
      <c r="C707" s="790">
        <f t="shared" ref="C707:C770" si="22">E707+F707</f>
        <v>850</v>
      </c>
      <c r="D707" s="790">
        <v>6</v>
      </c>
      <c r="E707" s="790">
        <v>462</v>
      </c>
      <c r="F707" s="790">
        <v>388</v>
      </c>
      <c r="G707" s="790">
        <v>8</v>
      </c>
      <c r="H707" s="790">
        <v>228</v>
      </c>
      <c r="I707" s="790">
        <v>123</v>
      </c>
      <c r="J707" s="796">
        <f t="shared" ref="J707:J770" si="23">1-(H707/(C707-D707))</f>
        <v>0.72985781990521326</v>
      </c>
    </row>
    <row r="708" spans="1:10">
      <c r="A708" s="322" t="s">
        <v>81</v>
      </c>
      <c r="B708" s="793">
        <v>44625</v>
      </c>
      <c r="C708" s="790">
        <f t="shared" si="22"/>
        <v>7112</v>
      </c>
      <c r="D708" s="790">
        <v>732</v>
      </c>
      <c r="E708" s="790">
        <v>2652</v>
      </c>
      <c r="F708" s="790">
        <v>4460</v>
      </c>
      <c r="G708" s="790">
        <v>29</v>
      </c>
      <c r="H708" s="790">
        <v>2614</v>
      </c>
      <c r="I708" s="790">
        <v>1744</v>
      </c>
      <c r="J708" s="796">
        <f t="shared" si="23"/>
        <v>0.59028213166144194</v>
      </c>
    </row>
    <row r="709" spans="1:10">
      <c r="A709" s="322" t="s">
        <v>82</v>
      </c>
      <c r="B709" s="793">
        <v>44626</v>
      </c>
      <c r="C709" s="790">
        <f t="shared" si="22"/>
        <v>4460</v>
      </c>
      <c r="D709" s="790">
        <v>157</v>
      </c>
      <c r="E709" s="790">
        <v>1744</v>
      </c>
      <c r="F709" s="790">
        <v>2716</v>
      </c>
      <c r="G709" s="790">
        <v>59</v>
      </c>
      <c r="H709" s="790">
        <v>1900</v>
      </c>
      <c r="I709" s="790">
        <v>1286</v>
      </c>
      <c r="J709" s="796">
        <f t="shared" si="23"/>
        <v>0.55844759470137117</v>
      </c>
    </row>
    <row r="710" spans="1:10">
      <c r="A710" s="322" t="s">
        <v>83</v>
      </c>
      <c r="B710" s="793">
        <v>44627</v>
      </c>
      <c r="C710" s="790">
        <f t="shared" si="22"/>
        <v>6636</v>
      </c>
      <c r="D710" s="790">
        <v>421</v>
      </c>
      <c r="E710" s="790">
        <v>2361</v>
      </c>
      <c r="F710" s="790">
        <v>4275</v>
      </c>
      <c r="G710" s="790">
        <v>45</v>
      </c>
      <c r="H710" s="790">
        <v>2681</v>
      </c>
      <c r="I710" s="790">
        <v>1902</v>
      </c>
      <c r="J710" s="796">
        <f t="shared" si="23"/>
        <v>0.56862429605792442</v>
      </c>
    </row>
    <row r="711" spans="1:10">
      <c r="A711" s="322" t="s">
        <v>84</v>
      </c>
      <c r="B711" s="793">
        <v>44628</v>
      </c>
      <c r="C711" s="790">
        <f t="shared" si="22"/>
        <v>3983</v>
      </c>
      <c r="D711" s="790">
        <v>70</v>
      </c>
      <c r="E711" s="790">
        <v>1050</v>
      </c>
      <c r="F711" s="790">
        <v>2933</v>
      </c>
      <c r="G711" s="790">
        <v>10</v>
      </c>
      <c r="H711" s="790">
        <v>2475</v>
      </c>
      <c r="I711" s="790">
        <v>1673</v>
      </c>
      <c r="J711" s="796">
        <f t="shared" si="23"/>
        <v>0.3674929721441349</v>
      </c>
    </row>
    <row r="712" spans="1:10">
      <c r="A712" s="322" t="s">
        <v>85</v>
      </c>
      <c r="B712" s="793">
        <v>44629</v>
      </c>
      <c r="C712" s="790">
        <f t="shared" si="22"/>
        <v>5122</v>
      </c>
      <c r="D712" s="790">
        <v>183</v>
      </c>
      <c r="E712" s="790">
        <v>1623</v>
      </c>
      <c r="F712" s="790">
        <v>3499</v>
      </c>
      <c r="G712" s="790">
        <v>21</v>
      </c>
      <c r="H712" s="790">
        <v>1948</v>
      </c>
      <c r="I712" s="790">
        <v>1315</v>
      </c>
      <c r="J712" s="796">
        <f t="shared" si="23"/>
        <v>0.60558817574407775</v>
      </c>
    </row>
    <row r="713" spans="1:10">
      <c r="A713" s="322" t="s">
        <v>86</v>
      </c>
      <c r="B713" s="793">
        <v>44630</v>
      </c>
      <c r="C713" s="790">
        <f t="shared" si="22"/>
        <v>2106</v>
      </c>
      <c r="D713" s="790">
        <v>22</v>
      </c>
      <c r="E713" s="790">
        <v>832</v>
      </c>
      <c r="F713" s="790">
        <v>1274</v>
      </c>
      <c r="G713" s="790">
        <v>20</v>
      </c>
      <c r="H713" s="790">
        <v>666</v>
      </c>
      <c r="I713" s="790">
        <v>411</v>
      </c>
      <c r="J713" s="796">
        <f t="shared" si="23"/>
        <v>0.68042226487523993</v>
      </c>
    </row>
    <row r="714" spans="1:10">
      <c r="A714" s="322" t="s">
        <v>89</v>
      </c>
      <c r="B714" s="793">
        <v>44631</v>
      </c>
      <c r="C714" s="790">
        <f t="shared" si="22"/>
        <v>17723</v>
      </c>
      <c r="D714" s="790">
        <v>617</v>
      </c>
      <c r="E714" s="790">
        <v>5393</v>
      </c>
      <c r="F714" s="790">
        <v>12330</v>
      </c>
      <c r="G714" s="790">
        <v>198</v>
      </c>
      <c r="H714" s="790">
        <v>8054</v>
      </c>
      <c r="I714" s="790">
        <v>5711</v>
      </c>
      <c r="J714" s="796">
        <f t="shared" si="23"/>
        <v>0.52917105109318374</v>
      </c>
    </row>
    <row r="715" spans="1:10">
      <c r="A715" s="322" t="s">
        <v>88</v>
      </c>
      <c r="B715" s="793">
        <v>44632</v>
      </c>
      <c r="C715" s="790">
        <f t="shared" si="22"/>
        <v>3633</v>
      </c>
      <c r="D715" s="790">
        <v>87</v>
      </c>
      <c r="E715" s="790">
        <v>1374</v>
      </c>
      <c r="F715" s="790">
        <v>2259</v>
      </c>
      <c r="G715" s="790">
        <v>35</v>
      </c>
      <c r="H715" s="790">
        <v>1436</v>
      </c>
      <c r="I715" s="790">
        <v>863</v>
      </c>
      <c r="J715" s="796">
        <f t="shared" si="23"/>
        <v>0.59503666102650876</v>
      </c>
    </row>
    <row r="716" spans="1:10">
      <c r="A716" s="322" t="s">
        <v>87</v>
      </c>
      <c r="B716" s="793">
        <v>44633</v>
      </c>
      <c r="C716" s="790">
        <f t="shared" si="22"/>
        <v>3526</v>
      </c>
      <c r="D716" s="790">
        <v>49</v>
      </c>
      <c r="E716" s="790">
        <v>1169</v>
      </c>
      <c r="F716" s="790">
        <v>2357</v>
      </c>
      <c r="G716" s="790">
        <v>34</v>
      </c>
      <c r="H716" s="790">
        <v>1412</v>
      </c>
      <c r="I716" s="790">
        <v>802</v>
      </c>
      <c r="J716" s="796">
        <f t="shared" si="23"/>
        <v>0.59390278976128852</v>
      </c>
    </row>
    <row r="717" spans="1:10">
      <c r="A717" s="322" t="s">
        <v>90</v>
      </c>
      <c r="B717" s="793">
        <v>44634</v>
      </c>
      <c r="C717" s="790">
        <f t="shared" si="22"/>
        <v>3139</v>
      </c>
      <c r="D717" s="790">
        <v>133</v>
      </c>
      <c r="E717" s="790">
        <v>1125</v>
      </c>
      <c r="F717" s="790">
        <v>2014</v>
      </c>
      <c r="G717" s="790">
        <v>21</v>
      </c>
      <c r="H717" s="790">
        <v>972</v>
      </c>
      <c r="I717" s="790">
        <v>563</v>
      </c>
      <c r="J717" s="796">
        <f t="shared" si="23"/>
        <v>0.67664670658682635</v>
      </c>
    </row>
    <row r="718" spans="1:10">
      <c r="A718" s="322" t="s">
        <v>91</v>
      </c>
      <c r="B718" s="793">
        <v>44635</v>
      </c>
      <c r="C718" s="790">
        <f t="shared" si="22"/>
        <v>3067</v>
      </c>
      <c r="D718" s="790">
        <v>51</v>
      </c>
      <c r="E718" s="790">
        <v>1073</v>
      </c>
      <c r="F718" s="790">
        <v>1994</v>
      </c>
      <c r="G718" s="790">
        <v>41</v>
      </c>
      <c r="H718" s="790">
        <v>1184</v>
      </c>
      <c r="I718" s="790">
        <v>826</v>
      </c>
      <c r="J718" s="796">
        <f t="shared" si="23"/>
        <v>0.60742705570291777</v>
      </c>
    </row>
    <row r="719" spans="1:10">
      <c r="A719" s="322" t="s">
        <v>93</v>
      </c>
      <c r="B719" s="793">
        <v>44636</v>
      </c>
      <c r="C719" s="790">
        <f t="shared" si="22"/>
        <v>5392</v>
      </c>
      <c r="D719" s="790">
        <v>346</v>
      </c>
      <c r="E719" s="790">
        <v>1710</v>
      </c>
      <c r="F719" s="790">
        <v>3682</v>
      </c>
      <c r="G719" s="790">
        <v>51</v>
      </c>
      <c r="H719" s="790">
        <v>2260</v>
      </c>
      <c r="I719" s="790">
        <v>1517</v>
      </c>
      <c r="J719" s="796">
        <f t="shared" si="23"/>
        <v>0.55212049147839881</v>
      </c>
    </row>
    <row r="720" spans="1:10">
      <c r="A720" s="322" t="s">
        <v>94</v>
      </c>
      <c r="B720" s="793">
        <v>44637</v>
      </c>
      <c r="C720" s="790">
        <f t="shared" si="22"/>
        <v>1523</v>
      </c>
      <c r="D720" s="790">
        <v>36</v>
      </c>
      <c r="E720" s="790">
        <v>526</v>
      </c>
      <c r="F720" s="790">
        <v>997</v>
      </c>
      <c r="G720" s="790">
        <v>28</v>
      </c>
      <c r="H720" s="790">
        <v>627</v>
      </c>
      <c r="I720" s="790">
        <v>425</v>
      </c>
      <c r="J720" s="796">
        <f t="shared" si="23"/>
        <v>0.57834566240753194</v>
      </c>
    </row>
    <row r="721" spans="1:10">
      <c r="A721" s="322" t="s">
        <v>92</v>
      </c>
      <c r="B721" s="793">
        <v>44638</v>
      </c>
      <c r="C721" s="790">
        <f t="shared" si="22"/>
        <v>14153</v>
      </c>
      <c r="D721" s="790">
        <v>363</v>
      </c>
      <c r="E721" s="790">
        <v>4658</v>
      </c>
      <c r="F721" s="790">
        <v>9495</v>
      </c>
      <c r="G721" s="790">
        <v>171</v>
      </c>
      <c r="H721" s="790">
        <v>7115</v>
      </c>
      <c r="I721" s="790">
        <v>4538</v>
      </c>
      <c r="J721" s="796">
        <f t="shared" si="23"/>
        <v>0.48404641044234953</v>
      </c>
    </row>
    <row r="722" spans="1:10">
      <c r="A722" s="322" t="s">
        <v>95</v>
      </c>
      <c r="B722" s="793">
        <v>44639</v>
      </c>
      <c r="C722" s="790">
        <f t="shared" si="22"/>
        <v>21011</v>
      </c>
      <c r="D722" s="790">
        <v>3087</v>
      </c>
      <c r="E722" s="790">
        <v>8560</v>
      </c>
      <c r="F722" s="790">
        <v>12451</v>
      </c>
      <c r="G722" s="790">
        <v>67</v>
      </c>
      <c r="H722" s="790">
        <v>7852</v>
      </c>
      <c r="I722" s="790">
        <v>5560</v>
      </c>
      <c r="J722" s="796">
        <f t="shared" si="23"/>
        <v>0.56192814103994637</v>
      </c>
    </row>
    <row r="723" spans="1:10">
      <c r="A723" s="322" t="s">
        <v>96</v>
      </c>
      <c r="B723" s="793">
        <v>44640</v>
      </c>
      <c r="C723" s="790">
        <f t="shared" si="22"/>
        <v>2664</v>
      </c>
      <c r="D723" s="790">
        <v>51</v>
      </c>
      <c r="E723" s="790">
        <v>714</v>
      </c>
      <c r="F723" s="790">
        <v>1950</v>
      </c>
      <c r="G723" s="790">
        <v>13</v>
      </c>
      <c r="H723" s="790">
        <v>935</v>
      </c>
      <c r="I723" s="790">
        <v>615</v>
      </c>
      <c r="J723" s="796">
        <f t="shared" si="23"/>
        <v>0.64217374665135862</v>
      </c>
    </row>
    <row r="724" spans="1:10">
      <c r="A724" s="322" t="s">
        <v>98</v>
      </c>
      <c r="B724" s="793">
        <v>44641</v>
      </c>
      <c r="C724" s="790">
        <f t="shared" si="22"/>
        <v>1368</v>
      </c>
      <c r="D724" s="790">
        <v>9</v>
      </c>
      <c r="E724" s="790">
        <v>600</v>
      </c>
      <c r="F724" s="790">
        <v>768</v>
      </c>
      <c r="G724" s="790">
        <v>20</v>
      </c>
      <c r="H724" s="790">
        <v>485</v>
      </c>
      <c r="I724" s="790">
        <v>287</v>
      </c>
      <c r="J724" s="796">
        <f t="shared" si="23"/>
        <v>0.64311994113318616</v>
      </c>
    </row>
    <row r="725" spans="1:10">
      <c r="A725" s="322" t="s">
        <v>99</v>
      </c>
      <c r="B725" s="793">
        <v>44642</v>
      </c>
      <c r="C725" s="790">
        <f t="shared" si="22"/>
        <v>245</v>
      </c>
      <c r="D725" s="790">
        <v>9</v>
      </c>
      <c r="E725" s="790">
        <v>97</v>
      </c>
      <c r="F725" s="790">
        <v>148</v>
      </c>
      <c r="G725" s="790">
        <v>0</v>
      </c>
      <c r="H725" s="790">
        <v>99</v>
      </c>
      <c r="I725" s="790">
        <v>50</v>
      </c>
      <c r="J725" s="796">
        <f t="shared" si="23"/>
        <v>0.58050847457627119</v>
      </c>
    </row>
    <row r="726" spans="1:10">
      <c r="A726" s="322" t="s">
        <v>97</v>
      </c>
      <c r="B726" s="793">
        <v>44643</v>
      </c>
      <c r="C726" s="790">
        <f t="shared" si="22"/>
        <v>17491</v>
      </c>
      <c r="D726" s="790">
        <v>784</v>
      </c>
      <c r="E726" s="790">
        <v>5902</v>
      </c>
      <c r="F726" s="790">
        <v>11589</v>
      </c>
      <c r="G726" s="790">
        <v>74</v>
      </c>
      <c r="H726" s="790">
        <v>8924</v>
      </c>
      <c r="I726" s="790">
        <v>5390</v>
      </c>
      <c r="J726" s="796">
        <f t="shared" si="23"/>
        <v>0.46585263661938114</v>
      </c>
    </row>
    <row r="727" spans="1:10">
      <c r="A727" s="322" t="s">
        <v>100</v>
      </c>
      <c r="B727" s="793">
        <v>44644</v>
      </c>
      <c r="C727" s="790">
        <f t="shared" si="22"/>
        <v>11354</v>
      </c>
      <c r="D727" s="790">
        <v>214</v>
      </c>
      <c r="E727" s="790">
        <v>3636</v>
      </c>
      <c r="F727" s="790">
        <v>7718</v>
      </c>
      <c r="G727" s="790">
        <v>44</v>
      </c>
      <c r="H727" s="790">
        <v>5594</v>
      </c>
      <c r="I727" s="790">
        <v>3682</v>
      </c>
      <c r="J727" s="796">
        <f t="shared" si="23"/>
        <v>0.49784560143626566</v>
      </c>
    </row>
    <row r="728" spans="1:10">
      <c r="A728" s="322" t="s">
        <v>102</v>
      </c>
      <c r="B728" s="793">
        <v>44645</v>
      </c>
      <c r="C728" s="790">
        <f t="shared" si="22"/>
        <v>1584</v>
      </c>
      <c r="D728" s="790">
        <v>28</v>
      </c>
      <c r="E728" s="790">
        <v>607</v>
      </c>
      <c r="F728" s="790">
        <v>977</v>
      </c>
      <c r="G728" s="790">
        <v>26</v>
      </c>
      <c r="H728" s="790">
        <v>602</v>
      </c>
      <c r="I728" s="790">
        <v>399</v>
      </c>
      <c r="J728" s="796">
        <f t="shared" si="23"/>
        <v>0.61311053984575836</v>
      </c>
    </row>
    <row r="729" spans="1:10">
      <c r="A729" s="322" t="s">
        <v>101</v>
      </c>
      <c r="B729" s="793">
        <v>44646</v>
      </c>
      <c r="C729" s="790">
        <f t="shared" si="22"/>
        <v>64845</v>
      </c>
      <c r="D729" s="790">
        <v>4003</v>
      </c>
      <c r="E729" s="790">
        <v>23882</v>
      </c>
      <c r="F729" s="790">
        <v>40963</v>
      </c>
      <c r="G729" s="790">
        <v>169</v>
      </c>
      <c r="H729" s="790">
        <v>28531</v>
      </c>
      <c r="I729" s="790">
        <v>18953</v>
      </c>
      <c r="J729" s="796">
        <f t="shared" si="23"/>
        <v>0.531064067584892</v>
      </c>
    </row>
    <row r="730" spans="1:10">
      <c r="A730" s="322" t="s">
        <v>103</v>
      </c>
      <c r="B730" s="793">
        <v>44647</v>
      </c>
      <c r="C730" s="790">
        <f t="shared" si="22"/>
        <v>870</v>
      </c>
      <c r="D730" s="790">
        <v>15</v>
      </c>
      <c r="E730" s="790">
        <v>349</v>
      </c>
      <c r="F730" s="790">
        <v>521</v>
      </c>
      <c r="G730" s="790">
        <v>18</v>
      </c>
      <c r="H730" s="790">
        <v>329</v>
      </c>
      <c r="I730" s="790">
        <v>192</v>
      </c>
      <c r="J730" s="796">
        <f t="shared" si="23"/>
        <v>0.61520467836257309</v>
      </c>
    </row>
    <row r="731" spans="1:10">
      <c r="A731" s="322" t="s">
        <v>77</v>
      </c>
      <c r="B731" s="793">
        <v>44652</v>
      </c>
      <c r="C731" s="790">
        <f t="shared" si="22"/>
        <v>680</v>
      </c>
      <c r="D731" s="790">
        <v>8</v>
      </c>
      <c r="E731" s="790">
        <v>359</v>
      </c>
      <c r="F731" s="790">
        <v>321</v>
      </c>
      <c r="G731" s="790">
        <v>7</v>
      </c>
      <c r="H731" s="790">
        <v>251</v>
      </c>
      <c r="I731" s="790">
        <v>126</v>
      </c>
      <c r="J731" s="796">
        <f t="shared" si="23"/>
        <v>0.62648809523809523</v>
      </c>
    </row>
    <row r="732" spans="1:10">
      <c r="A732" s="322" t="s">
        <v>78</v>
      </c>
      <c r="B732" s="793">
        <v>44653</v>
      </c>
      <c r="C732" s="790">
        <f t="shared" si="22"/>
        <v>2137</v>
      </c>
      <c r="D732" s="790">
        <v>56</v>
      </c>
      <c r="E732" s="790">
        <v>572</v>
      </c>
      <c r="F732" s="790">
        <v>1565</v>
      </c>
      <c r="G732" s="790">
        <v>41</v>
      </c>
      <c r="H732" s="790">
        <v>999</v>
      </c>
      <c r="I732" s="790">
        <v>661</v>
      </c>
      <c r="J732" s="796">
        <f t="shared" si="23"/>
        <v>0.51994233541566559</v>
      </c>
    </row>
    <row r="733" spans="1:10">
      <c r="A733" s="322" t="s">
        <v>80</v>
      </c>
      <c r="B733" s="793">
        <v>44654</v>
      </c>
      <c r="C733" s="790">
        <f t="shared" si="22"/>
        <v>2256</v>
      </c>
      <c r="D733" s="790">
        <v>13</v>
      </c>
      <c r="E733" s="790">
        <v>912</v>
      </c>
      <c r="F733" s="790">
        <v>1344</v>
      </c>
      <c r="G733" s="790">
        <v>10</v>
      </c>
      <c r="H733" s="790">
        <v>725</v>
      </c>
      <c r="I733" s="790">
        <v>367</v>
      </c>
      <c r="J733" s="796">
        <f t="shared" si="23"/>
        <v>0.67677218011591611</v>
      </c>
    </row>
    <row r="734" spans="1:10">
      <c r="A734" s="322" t="s">
        <v>79</v>
      </c>
      <c r="B734" s="793">
        <v>44655</v>
      </c>
      <c r="C734" s="790">
        <f t="shared" si="22"/>
        <v>854</v>
      </c>
      <c r="D734" s="790">
        <v>6</v>
      </c>
      <c r="E734" s="790">
        <v>465</v>
      </c>
      <c r="F734" s="790">
        <v>389</v>
      </c>
      <c r="G734" s="790">
        <v>10</v>
      </c>
      <c r="H734" s="790">
        <v>263</v>
      </c>
      <c r="I734" s="790">
        <v>135</v>
      </c>
      <c r="J734" s="796">
        <f t="shared" si="23"/>
        <v>0.68985849056603776</v>
      </c>
    </row>
    <row r="735" spans="1:10">
      <c r="A735" s="322" t="s">
        <v>81</v>
      </c>
      <c r="B735" s="793">
        <v>44656</v>
      </c>
      <c r="C735" s="790">
        <f t="shared" si="22"/>
        <v>7168</v>
      </c>
      <c r="D735" s="790">
        <v>732</v>
      </c>
      <c r="E735" s="790">
        <v>2669</v>
      </c>
      <c r="F735" s="790">
        <v>4499</v>
      </c>
      <c r="G735" s="790">
        <v>63</v>
      </c>
      <c r="H735" s="790">
        <v>2994</v>
      </c>
      <c r="I735" s="790">
        <v>1883</v>
      </c>
      <c r="J735" s="796">
        <f t="shared" si="23"/>
        <v>0.53480422622747048</v>
      </c>
    </row>
    <row r="736" spans="1:10">
      <c r="A736" s="322" t="s">
        <v>82</v>
      </c>
      <c r="B736" s="793">
        <v>44657</v>
      </c>
      <c r="C736" s="790">
        <f t="shared" si="22"/>
        <v>4498</v>
      </c>
      <c r="D736" s="790">
        <v>161</v>
      </c>
      <c r="E736" s="790">
        <v>1756</v>
      </c>
      <c r="F736" s="790">
        <v>2742</v>
      </c>
      <c r="G736" s="790">
        <v>87</v>
      </c>
      <c r="H736" s="790">
        <v>2082</v>
      </c>
      <c r="I736" s="790">
        <v>1363</v>
      </c>
      <c r="J736" s="796">
        <f t="shared" si="23"/>
        <v>0.51994466220890012</v>
      </c>
    </row>
    <row r="737" spans="1:10">
      <c r="A737" s="322" t="s">
        <v>83</v>
      </c>
      <c r="B737" s="793">
        <v>44658</v>
      </c>
      <c r="C737" s="790">
        <f t="shared" si="22"/>
        <v>6661</v>
      </c>
      <c r="D737" s="790">
        <v>422</v>
      </c>
      <c r="E737" s="790">
        <v>2367</v>
      </c>
      <c r="F737" s="790">
        <v>4294</v>
      </c>
      <c r="G737" s="790">
        <v>53</v>
      </c>
      <c r="H737" s="790">
        <v>2959</v>
      </c>
      <c r="I737" s="790">
        <v>2056</v>
      </c>
      <c r="J737" s="796">
        <f t="shared" si="23"/>
        <v>0.52572527648661649</v>
      </c>
    </row>
    <row r="738" spans="1:10">
      <c r="A738" s="322" t="s">
        <v>84</v>
      </c>
      <c r="B738" s="793">
        <v>44659</v>
      </c>
      <c r="C738" s="790">
        <f t="shared" si="22"/>
        <v>4020</v>
      </c>
      <c r="D738" s="790">
        <v>70</v>
      </c>
      <c r="E738" s="790">
        <v>1057</v>
      </c>
      <c r="F738" s="790">
        <v>2963</v>
      </c>
      <c r="G738" s="790">
        <v>37</v>
      </c>
      <c r="H738" s="790">
        <v>2733</v>
      </c>
      <c r="I738" s="790">
        <v>1762</v>
      </c>
      <c r="J738" s="796">
        <f t="shared" si="23"/>
        <v>0.30810126582278485</v>
      </c>
    </row>
    <row r="739" spans="1:10">
      <c r="A739" s="322" t="s">
        <v>85</v>
      </c>
      <c r="B739" s="793">
        <v>44660</v>
      </c>
      <c r="C739" s="790">
        <f t="shared" si="22"/>
        <v>5153</v>
      </c>
      <c r="D739" s="790">
        <v>184</v>
      </c>
      <c r="E739" s="790">
        <v>1630</v>
      </c>
      <c r="F739" s="790">
        <v>3523</v>
      </c>
      <c r="G739" s="790">
        <v>60</v>
      </c>
      <c r="H739" s="790">
        <v>2219</v>
      </c>
      <c r="I739" s="790">
        <v>1432</v>
      </c>
      <c r="J739" s="796">
        <f t="shared" si="23"/>
        <v>0.5534312738981686</v>
      </c>
    </row>
    <row r="740" spans="1:10">
      <c r="A740" s="322" t="s">
        <v>86</v>
      </c>
      <c r="B740" s="793">
        <v>44661</v>
      </c>
      <c r="C740" s="790">
        <f t="shared" si="22"/>
        <v>2111</v>
      </c>
      <c r="D740" s="790">
        <v>22</v>
      </c>
      <c r="E740" s="790">
        <v>839</v>
      </c>
      <c r="F740" s="790">
        <v>1272</v>
      </c>
      <c r="G740" s="790">
        <v>30</v>
      </c>
      <c r="H740" s="790">
        <v>757</v>
      </c>
      <c r="I740" s="790">
        <v>448</v>
      </c>
      <c r="J740" s="796">
        <f t="shared" si="23"/>
        <v>0.63762565820966977</v>
      </c>
    </row>
    <row r="741" spans="1:10">
      <c r="A741" s="322" t="s">
        <v>89</v>
      </c>
      <c r="B741" s="793">
        <v>44662</v>
      </c>
      <c r="C741" s="790">
        <f t="shared" si="22"/>
        <v>17843</v>
      </c>
      <c r="D741" s="790">
        <v>624</v>
      </c>
      <c r="E741" s="790">
        <v>5431</v>
      </c>
      <c r="F741" s="790">
        <v>12412</v>
      </c>
      <c r="G741" s="790">
        <v>294</v>
      </c>
      <c r="H741" s="790">
        <v>9299</v>
      </c>
      <c r="I741" s="790">
        <v>6183</v>
      </c>
      <c r="J741" s="796">
        <f t="shared" si="23"/>
        <v>0.45995702421743423</v>
      </c>
    </row>
    <row r="742" spans="1:10">
      <c r="A742" s="322" t="s">
        <v>88</v>
      </c>
      <c r="B742" s="793">
        <v>44663</v>
      </c>
      <c r="C742" s="790">
        <f t="shared" si="22"/>
        <v>3653</v>
      </c>
      <c r="D742" s="790">
        <v>89</v>
      </c>
      <c r="E742" s="790">
        <v>1380</v>
      </c>
      <c r="F742" s="790">
        <v>2273</v>
      </c>
      <c r="G742" s="790">
        <v>58</v>
      </c>
      <c r="H742" s="790">
        <v>1552</v>
      </c>
      <c r="I742" s="790">
        <v>900</v>
      </c>
      <c r="J742" s="796">
        <f t="shared" si="23"/>
        <v>0.56453423120089785</v>
      </c>
    </row>
    <row r="743" spans="1:10">
      <c r="A743" s="322" t="s">
        <v>87</v>
      </c>
      <c r="B743" s="793">
        <v>44664</v>
      </c>
      <c r="C743" s="790">
        <f t="shared" si="22"/>
        <v>3589</v>
      </c>
      <c r="D743" s="790">
        <v>49</v>
      </c>
      <c r="E743" s="790">
        <v>1190</v>
      </c>
      <c r="F743" s="790">
        <v>2399</v>
      </c>
      <c r="G743" s="790">
        <v>73</v>
      </c>
      <c r="H743" s="790">
        <v>1717</v>
      </c>
      <c r="I743" s="790">
        <v>921</v>
      </c>
      <c r="J743" s="796">
        <f t="shared" si="23"/>
        <v>0.51497175141242946</v>
      </c>
    </row>
    <row r="744" spans="1:10">
      <c r="A744" s="322" t="s">
        <v>90</v>
      </c>
      <c r="B744" s="793">
        <v>44665</v>
      </c>
      <c r="C744" s="790">
        <f t="shared" si="22"/>
        <v>3159</v>
      </c>
      <c r="D744" s="790">
        <v>133</v>
      </c>
      <c r="E744" s="790">
        <v>1128</v>
      </c>
      <c r="F744" s="790">
        <v>2031</v>
      </c>
      <c r="G744" s="790">
        <v>32</v>
      </c>
      <c r="H744" s="790">
        <v>1105</v>
      </c>
      <c r="I744" s="790">
        <v>617</v>
      </c>
      <c r="J744" s="796">
        <f t="shared" si="23"/>
        <v>0.6348314606741573</v>
      </c>
    </row>
    <row r="745" spans="1:10">
      <c r="A745" s="322" t="s">
        <v>91</v>
      </c>
      <c r="B745" s="793">
        <v>44666</v>
      </c>
      <c r="C745" s="790">
        <f t="shared" si="22"/>
        <v>3091</v>
      </c>
      <c r="D745" s="790">
        <v>51</v>
      </c>
      <c r="E745" s="790">
        <v>1083</v>
      </c>
      <c r="F745" s="790">
        <v>2008</v>
      </c>
      <c r="G745" s="790">
        <v>62</v>
      </c>
      <c r="H745" s="790">
        <v>1342</v>
      </c>
      <c r="I745" s="790">
        <v>889</v>
      </c>
      <c r="J745" s="796">
        <f t="shared" si="23"/>
        <v>0.5585526315789473</v>
      </c>
    </row>
    <row r="746" spans="1:10">
      <c r="A746" s="322" t="s">
        <v>93</v>
      </c>
      <c r="B746" s="793">
        <v>44667</v>
      </c>
      <c r="C746" s="790">
        <f t="shared" si="22"/>
        <v>5444</v>
      </c>
      <c r="D746" s="790">
        <v>346</v>
      </c>
      <c r="E746" s="790">
        <v>1721</v>
      </c>
      <c r="F746" s="790">
        <v>3723</v>
      </c>
      <c r="G746" s="790">
        <v>78</v>
      </c>
      <c r="H746" s="790">
        <v>2519</v>
      </c>
      <c r="I746" s="790">
        <v>1632</v>
      </c>
      <c r="J746" s="796">
        <f t="shared" si="23"/>
        <v>0.50588466065123572</v>
      </c>
    </row>
    <row r="747" spans="1:10">
      <c r="A747" s="322" t="s">
        <v>94</v>
      </c>
      <c r="B747" s="793">
        <v>44668</v>
      </c>
      <c r="C747" s="790">
        <f t="shared" si="22"/>
        <v>1530</v>
      </c>
      <c r="D747" s="790">
        <v>36</v>
      </c>
      <c r="E747" s="790">
        <v>532</v>
      </c>
      <c r="F747" s="790">
        <v>998</v>
      </c>
      <c r="G747" s="790">
        <v>39</v>
      </c>
      <c r="H747" s="790">
        <v>696</v>
      </c>
      <c r="I747" s="790">
        <v>452</v>
      </c>
      <c r="J747" s="796">
        <f t="shared" si="23"/>
        <v>0.53413654618473894</v>
      </c>
    </row>
    <row r="748" spans="1:10">
      <c r="A748" s="322" t="s">
        <v>92</v>
      </c>
      <c r="B748" s="793">
        <v>44669</v>
      </c>
      <c r="C748" s="790">
        <f t="shared" si="22"/>
        <v>14243</v>
      </c>
      <c r="D748" s="790">
        <v>365</v>
      </c>
      <c r="E748" s="790">
        <v>4686</v>
      </c>
      <c r="F748" s="790">
        <v>9557</v>
      </c>
      <c r="G748" s="790">
        <v>234</v>
      </c>
      <c r="H748" s="790">
        <v>7758</v>
      </c>
      <c r="I748" s="790">
        <v>4684</v>
      </c>
      <c r="J748" s="796">
        <f t="shared" si="23"/>
        <v>0.44098573281452658</v>
      </c>
    </row>
    <row r="749" spans="1:10">
      <c r="A749" s="322" t="s">
        <v>95</v>
      </c>
      <c r="B749" s="793">
        <v>44670</v>
      </c>
      <c r="C749" s="790">
        <f t="shared" si="22"/>
        <v>21040</v>
      </c>
      <c r="D749" s="790">
        <v>3090</v>
      </c>
      <c r="E749" s="790">
        <v>8578</v>
      </c>
      <c r="F749" s="790">
        <v>12462</v>
      </c>
      <c r="G749" s="790">
        <v>113</v>
      </c>
      <c r="H749" s="790">
        <v>8745</v>
      </c>
      <c r="I749" s="790">
        <v>6011</v>
      </c>
      <c r="J749" s="796">
        <f t="shared" si="23"/>
        <v>0.51281337047353759</v>
      </c>
    </row>
    <row r="750" spans="1:10">
      <c r="A750" s="322" t="s">
        <v>96</v>
      </c>
      <c r="B750" s="793">
        <v>44671</v>
      </c>
      <c r="C750" s="790">
        <f t="shared" si="22"/>
        <v>2689</v>
      </c>
      <c r="D750" s="790">
        <v>53</v>
      </c>
      <c r="E750" s="790">
        <v>728</v>
      </c>
      <c r="F750" s="790">
        <v>1961</v>
      </c>
      <c r="G750" s="790">
        <v>31</v>
      </c>
      <c r="H750" s="790">
        <v>1080</v>
      </c>
      <c r="I750" s="790">
        <v>677</v>
      </c>
      <c r="J750" s="796">
        <f t="shared" si="23"/>
        <v>0.59028831562974204</v>
      </c>
    </row>
    <row r="751" spans="1:10">
      <c r="A751" s="322" t="s">
        <v>98</v>
      </c>
      <c r="B751" s="793">
        <v>44672</v>
      </c>
      <c r="C751" s="790">
        <f t="shared" si="22"/>
        <v>1386</v>
      </c>
      <c r="D751" s="790">
        <v>9</v>
      </c>
      <c r="E751" s="790">
        <v>607</v>
      </c>
      <c r="F751" s="790">
        <v>779</v>
      </c>
      <c r="G751" s="790">
        <v>32</v>
      </c>
      <c r="H751" s="790">
        <v>564</v>
      </c>
      <c r="I751" s="790">
        <v>324</v>
      </c>
      <c r="J751" s="796">
        <f t="shared" si="23"/>
        <v>0.59041394335511987</v>
      </c>
    </row>
    <row r="752" spans="1:10">
      <c r="A752" s="322" t="s">
        <v>99</v>
      </c>
      <c r="B752" s="793">
        <v>44673</v>
      </c>
      <c r="C752" s="790">
        <f t="shared" si="22"/>
        <v>244</v>
      </c>
      <c r="D752" s="790">
        <v>9</v>
      </c>
      <c r="E752" s="790">
        <v>96</v>
      </c>
      <c r="F752" s="790">
        <v>148</v>
      </c>
      <c r="G752" s="790">
        <v>0</v>
      </c>
      <c r="H752" s="790">
        <v>106</v>
      </c>
      <c r="I752" s="790">
        <v>53</v>
      </c>
      <c r="J752" s="796">
        <f t="shared" si="23"/>
        <v>0.54893617021276597</v>
      </c>
    </row>
    <row r="753" spans="1:10">
      <c r="A753" s="322" t="s">
        <v>97</v>
      </c>
      <c r="B753" s="793">
        <v>44674</v>
      </c>
      <c r="C753" s="790">
        <f t="shared" si="22"/>
        <v>17619</v>
      </c>
      <c r="D753" s="790">
        <v>792</v>
      </c>
      <c r="E753" s="790">
        <v>5943</v>
      </c>
      <c r="F753" s="790">
        <v>11676</v>
      </c>
      <c r="G753" s="790">
        <v>180</v>
      </c>
      <c r="H753" s="790">
        <v>9679</v>
      </c>
      <c r="I753" s="790">
        <v>5603</v>
      </c>
      <c r="J753" s="796">
        <f t="shared" si="23"/>
        <v>0.42479348665834671</v>
      </c>
    </row>
    <row r="754" spans="1:10">
      <c r="A754" s="322" t="s">
        <v>100</v>
      </c>
      <c r="B754" s="793">
        <v>44675</v>
      </c>
      <c r="C754" s="790">
        <f t="shared" si="22"/>
        <v>11408</v>
      </c>
      <c r="D754" s="790">
        <v>217</v>
      </c>
      <c r="E754" s="790">
        <v>3650</v>
      </c>
      <c r="F754" s="790">
        <v>7758</v>
      </c>
      <c r="G754" s="790">
        <v>98</v>
      </c>
      <c r="H754" s="790">
        <v>6122</v>
      </c>
      <c r="I754" s="790">
        <v>3896</v>
      </c>
      <c r="J754" s="796">
        <f t="shared" si="23"/>
        <v>0.45295326601733532</v>
      </c>
    </row>
    <row r="755" spans="1:10">
      <c r="A755" s="322" t="s">
        <v>102</v>
      </c>
      <c r="B755" s="793">
        <v>44676</v>
      </c>
      <c r="C755" s="790">
        <f t="shared" si="22"/>
        <v>1600</v>
      </c>
      <c r="D755" s="790">
        <v>28</v>
      </c>
      <c r="E755" s="790">
        <v>615</v>
      </c>
      <c r="F755" s="790">
        <v>985</v>
      </c>
      <c r="G755" s="790">
        <v>43</v>
      </c>
      <c r="H755" s="790">
        <v>679</v>
      </c>
      <c r="I755" s="790">
        <v>438</v>
      </c>
      <c r="J755" s="796">
        <f t="shared" si="23"/>
        <v>0.56806615776081426</v>
      </c>
    </row>
    <row r="756" spans="1:10">
      <c r="A756" s="322" t="s">
        <v>101</v>
      </c>
      <c r="B756" s="793">
        <v>44677</v>
      </c>
      <c r="C756" s="790">
        <f t="shared" si="22"/>
        <v>65182</v>
      </c>
      <c r="D756" s="790">
        <v>4015</v>
      </c>
      <c r="E756" s="790">
        <v>23975</v>
      </c>
      <c r="F756" s="790">
        <v>41207</v>
      </c>
      <c r="G756" s="790">
        <v>356</v>
      </c>
      <c r="H756" s="790">
        <v>31508</v>
      </c>
      <c r="I756" s="790">
        <v>20469</v>
      </c>
      <c r="J756" s="796">
        <f t="shared" si="23"/>
        <v>0.4848856409501856</v>
      </c>
    </row>
    <row r="757" spans="1:10">
      <c r="A757" s="322" t="s">
        <v>103</v>
      </c>
      <c r="B757" s="793">
        <v>44678</v>
      </c>
      <c r="C757" s="790">
        <f t="shared" si="22"/>
        <v>885</v>
      </c>
      <c r="D757" s="790">
        <v>15</v>
      </c>
      <c r="E757" s="790">
        <v>355</v>
      </c>
      <c r="F757" s="790">
        <v>530</v>
      </c>
      <c r="G757" s="790">
        <v>29</v>
      </c>
      <c r="H757" s="790">
        <v>378</v>
      </c>
      <c r="I757" s="790">
        <v>218</v>
      </c>
      <c r="J757" s="796">
        <f t="shared" si="23"/>
        <v>0.56551724137931036</v>
      </c>
    </row>
    <row r="758" spans="1:10">
      <c r="A758" s="322" t="s">
        <v>77</v>
      </c>
      <c r="B758" s="793">
        <v>44682</v>
      </c>
      <c r="C758" s="790">
        <f t="shared" si="22"/>
        <v>685</v>
      </c>
      <c r="D758" s="790">
        <v>8</v>
      </c>
      <c r="E758" s="790">
        <v>360</v>
      </c>
      <c r="F758" s="790">
        <v>325</v>
      </c>
      <c r="G758" s="790">
        <v>10</v>
      </c>
      <c r="H758" s="790">
        <v>282</v>
      </c>
      <c r="I758" s="790">
        <v>133</v>
      </c>
      <c r="J758" s="796">
        <f t="shared" si="23"/>
        <v>0.58345642540620379</v>
      </c>
    </row>
    <row r="759" spans="1:10">
      <c r="A759" s="322" t="s">
        <v>78</v>
      </c>
      <c r="B759" s="793">
        <v>44683</v>
      </c>
      <c r="C759" s="790">
        <f t="shared" si="22"/>
        <v>2152</v>
      </c>
      <c r="D759" s="790">
        <v>56</v>
      </c>
      <c r="E759" s="790">
        <v>576</v>
      </c>
      <c r="F759" s="790">
        <v>1576</v>
      </c>
      <c r="G759" s="790">
        <v>48</v>
      </c>
      <c r="H759" s="790">
        <v>1071</v>
      </c>
      <c r="I759" s="790">
        <v>676</v>
      </c>
      <c r="J759" s="796">
        <f t="shared" si="23"/>
        <v>0.48902671755725191</v>
      </c>
    </row>
    <row r="760" spans="1:10">
      <c r="A760" s="322" t="s">
        <v>80</v>
      </c>
      <c r="B760" s="793">
        <v>44684</v>
      </c>
      <c r="C760" s="790">
        <f t="shared" si="22"/>
        <v>2260</v>
      </c>
      <c r="D760" s="790">
        <v>13</v>
      </c>
      <c r="E760" s="790">
        <v>912</v>
      </c>
      <c r="F760" s="790">
        <v>1348</v>
      </c>
      <c r="G760" s="790">
        <v>16</v>
      </c>
      <c r="H760" s="790">
        <v>822</v>
      </c>
      <c r="I760" s="790">
        <v>399</v>
      </c>
      <c r="J760" s="796">
        <f t="shared" si="23"/>
        <v>0.63417890520694264</v>
      </c>
    </row>
    <row r="761" spans="1:10">
      <c r="A761" s="322" t="s">
        <v>79</v>
      </c>
      <c r="B761" s="793">
        <v>44685</v>
      </c>
      <c r="C761" s="790">
        <f t="shared" si="22"/>
        <v>859</v>
      </c>
      <c r="D761" s="790">
        <v>6</v>
      </c>
      <c r="E761" s="790">
        <v>469</v>
      </c>
      <c r="F761" s="790">
        <v>390</v>
      </c>
      <c r="G761" s="790">
        <v>17</v>
      </c>
      <c r="H761" s="790">
        <v>303</v>
      </c>
      <c r="I761" s="790">
        <v>155</v>
      </c>
      <c r="J761" s="796">
        <f t="shared" si="23"/>
        <v>0.64478311840562719</v>
      </c>
    </row>
    <row r="762" spans="1:10">
      <c r="A762" s="322" t="s">
        <v>81</v>
      </c>
      <c r="B762" s="793">
        <v>44686</v>
      </c>
      <c r="C762" s="790">
        <f t="shared" si="22"/>
        <v>7249</v>
      </c>
      <c r="D762" s="790">
        <v>735</v>
      </c>
      <c r="E762" s="790">
        <v>2697</v>
      </c>
      <c r="F762" s="790">
        <v>4552</v>
      </c>
      <c r="G762" s="790">
        <v>117</v>
      </c>
      <c r="H762" s="790">
        <v>3318</v>
      </c>
      <c r="I762" s="790">
        <v>1997</v>
      </c>
      <c r="J762" s="796">
        <f t="shared" si="23"/>
        <v>0.49063555419097327</v>
      </c>
    </row>
    <row r="763" spans="1:10">
      <c r="A763" s="322" t="s">
        <v>82</v>
      </c>
      <c r="B763" s="793">
        <v>44687</v>
      </c>
      <c r="C763" s="790">
        <f t="shared" si="22"/>
        <v>4543</v>
      </c>
      <c r="D763" s="790">
        <v>163</v>
      </c>
      <c r="E763" s="790">
        <v>1771</v>
      </c>
      <c r="F763" s="790">
        <v>2772</v>
      </c>
      <c r="G763" s="790">
        <v>116</v>
      </c>
      <c r="H763" s="790">
        <v>2282</v>
      </c>
      <c r="I763" s="790">
        <v>1439</v>
      </c>
      <c r="J763" s="796">
        <f t="shared" si="23"/>
        <v>0.47899543378995435</v>
      </c>
    </row>
    <row r="764" spans="1:10">
      <c r="A764" s="322" t="s">
        <v>83</v>
      </c>
      <c r="B764" s="793">
        <v>44688</v>
      </c>
      <c r="C764" s="790">
        <f t="shared" si="22"/>
        <v>6649</v>
      </c>
      <c r="D764" s="790">
        <v>422</v>
      </c>
      <c r="E764" s="790">
        <v>2357</v>
      </c>
      <c r="F764" s="790">
        <v>4292</v>
      </c>
      <c r="G764" s="790">
        <v>64</v>
      </c>
      <c r="H764" s="790">
        <v>3260</v>
      </c>
      <c r="I764" s="790">
        <v>2164</v>
      </c>
      <c r="J764" s="796">
        <f t="shared" si="23"/>
        <v>0.47647342219367272</v>
      </c>
    </row>
    <row r="765" spans="1:10">
      <c r="A765" s="322" t="s">
        <v>84</v>
      </c>
      <c r="B765" s="793">
        <v>44689</v>
      </c>
      <c r="C765" s="790">
        <f t="shared" si="22"/>
        <v>4052</v>
      </c>
      <c r="D765" s="790">
        <v>70</v>
      </c>
      <c r="E765" s="790">
        <v>1061</v>
      </c>
      <c r="F765" s="790">
        <v>2991</v>
      </c>
      <c r="G765" s="790">
        <v>66</v>
      </c>
      <c r="H765" s="790">
        <v>2890</v>
      </c>
      <c r="I765" s="790">
        <v>1800</v>
      </c>
      <c r="J765" s="796">
        <f t="shared" si="23"/>
        <v>0.27423405323957806</v>
      </c>
    </row>
    <row r="766" spans="1:10">
      <c r="A766" s="322" t="s">
        <v>85</v>
      </c>
      <c r="B766" s="793">
        <v>44690</v>
      </c>
      <c r="C766" s="790">
        <f t="shared" si="22"/>
        <v>5203</v>
      </c>
      <c r="D766" s="790">
        <v>187</v>
      </c>
      <c r="E766" s="790">
        <v>1643</v>
      </c>
      <c r="F766" s="790">
        <v>3560</v>
      </c>
      <c r="G766" s="790">
        <v>79</v>
      </c>
      <c r="H766" s="790">
        <v>2482</v>
      </c>
      <c r="I766" s="790">
        <v>1524</v>
      </c>
      <c r="J766" s="796">
        <f t="shared" si="23"/>
        <v>0.50518341307814985</v>
      </c>
    </row>
    <row r="767" spans="1:10">
      <c r="A767" s="322" t="s">
        <v>86</v>
      </c>
      <c r="B767" s="793">
        <v>44691</v>
      </c>
      <c r="C767" s="790">
        <f t="shared" si="22"/>
        <v>2205</v>
      </c>
      <c r="D767" s="790">
        <v>22</v>
      </c>
      <c r="E767" s="790">
        <v>874</v>
      </c>
      <c r="F767" s="790">
        <v>1331</v>
      </c>
      <c r="G767" s="790">
        <v>54</v>
      </c>
      <c r="H767" s="790">
        <v>878</v>
      </c>
      <c r="I767" s="790">
        <v>497</v>
      </c>
      <c r="J767" s="796">
        <f t="shared" si="23"/>
        <v>0.59780119102152995</v>
      </c>
    </row>
    <row r="768" spans="1:10">
      <c r="A768" s="322" t="s">
        <v>89</v>
      </c>
      <c r="B768" s="793">
        <v>44692</v>
      </c>
      <c r="C768" s="790">
        <f t="shared" si="22"/>
        <v>17566</v>
      </c>
      <c r="D768" s="790">
        <v>624</v>
      </c>
      <c r="E768" s="790">
        <v>5346</v>
      </c>
      <c r="F768" s="790">
        <v>12220</v>
      </c>
      <c r="G768" s="790">
        <v>350</v>
      </c>
      <c r="H768" s="790">
        <v>9860</v>
      </c>
      <c r="I768" s="790">
        <v>6233</v>
      </c>
      <c r="J768" s="796">
        <f t="shared" si="23"/>
        <v>0.41801440207767682</v>
      </c>
    </row>
    <row r="769" spans="1:10">
      <c r="A769" s="322" t="s">
        <v>88</v>
      </c>
      <c r="B769" s="793">
        <v>44693</v>
      </c>
      <c r="C769" s="790">
        <f t="shared" si="22"/>
        <v>3566</v>
      </c>
      <c r="D769" s="790">
        <v>90</v>
      </c>
      <c r="E769" s="790">
        <v>1334</v>
      </c>
      <c r="F769" s="790">
        <v>2232</v>
      </c>
      <c r="G769" s="790">
        <v>73</v>
      </c>
      <c r="H769" s="790">
        <v>1598</v>
      </c>
      <c r="I769" s="790">
        <v>902</v>
      </c>
      <c r="J769" s="796">
        <f t="shared" si="23"/>
        <v>0.54027617951668583</v>
      </c>
    </row>
    <row r="770" spans="1:10">
      <c r="A770" s="322" t="s">
        <v>87</v>
      </c>
      <c r="B770" s="793">
        <v>44694</v>
      </c>
      <c r="C770" s="790">
        <f t="shared" si="22"/>
        <v>3565</v>
      </c>
      <c r="D770" s="790">
        <v>49</v>
      </c>
      <c r="E770" s="790">
        <v>1186</v>
      </c>
      <c r="F770" s="790">
        <v>2379</v>
      </c>
      <c r="G770" s="790">
        <v>84</v>
      </c>
      <c r="H770" s="790">
        <v>1954</v>
      </c>
      <c r="I770" s="790">
        <v>992</v>
      </c>
      <c r="J770" s="796">
        <f t="shared" si="23"/>
        <v>0.444254835039818</v>
      </c>
    </row>
    <row r="771" spans="1:10">
      <c r="A771" s="322" t="s">
        <v>90</v>
      </c>
      <c r="B771" s="793">
        <v>44695</v>
      </c>
      <c r="C771" s="790">
        <f t="shared" ref="C771:C784" si="24">E771+F771</f>
        <v>3167</v>
      </c>
      <c r="D771" s="790">
        <v>134</v>
      </c>
      <c r="E771" s="790">
        <v>1130</v>
      </c>
      <c r="F771" s="790">
        <v>2037</v>
      </c>
      <c r="G771" s="790">
        <v>47</v>
      </c>
      <c r="H771" s="790">
        <v>1234</v>
      </c>
      <c r="I771" s="790">
        <v>669</v>
      </c>
      <c r="J771" s="796">
        <f t="shared" ref="J771:J834" si="25">1-(H771/(C771-D771))</f>
        <v>0.59314210352786023</v>
      </c>
    </row>
    <row r="772" spans="1:10">
      <c r="A772" s="322" t="s">
        <v>91</v>
      </c>
      <c r="B772" s="793">
        <v>44696</v>
      </c>
      <c r="C772" s="790">
        <f t="shared" si="24"/>
        <v>3106</v>
      </c>
      <c r="D772" s="790">
        <v>51</v>
      </c>
      <c r="E772" s="790">
        <v>1088</v>
      </c>
      <c r="F772" s="790">
        <v>2018</v>
      </c>
      <c r="G772" s="790">
        <v>80</v>
      </c>
      <c r="H772" s="790">
        <v>1474</v>
      </c>
      <c r="I772" s="790">
        <v>939</v>
      </c>
      <c r="J772" s="796">
        <f t="shared" si="25"/>
        <v>0.51751227495908347</v>
      </c>
    </row>
    <row r="773" spans="1:10">
      <c r="A773" s="322" t="s">
        <v>93</v>
      </c>
      <c r="B773" s="793">
        <v>44697</v>
      </c>
      <c r="C773" s="790">
        <f t="shared" si="24"/>
        <v>5470</v>
      </c>
      <c r="D773" s="790">
        <v>352</v>
      </c>
      <c r="E773" s="790">
        <v>1727</v>
      </c>
      <c r="F773" s="790">
        <v>3743</v>
      </c>
      <c r="G773" s="790">
        <v>104</v>
      </c>
      <c r="H773" s="790">
        <v>2788</v>
      </c>
      <c r="I773" s="790">
        <v>1749</v>
      </c>
      <c r="J773" s="796">
        <f t="shared" si="25"/>
        <v>0.45525595935912466</v>
      </c>
    </row>
    <row r="774" spans="1:10">
      <c r="A774" s="322" t="s">
        <v>94</v>
      </c>
      <c r="B774" s="793">
        <v>44698</v>
      </c>
      <c r="C774" s="790">
        <f t="shared" si="24"/>
        <v>1545</v>
      </c>
      <c r="D774" s="790">
        <v>37</v>
      </c>
      <c r="E774" s="790">
        <v>534</v>
      </c>
      <c r="F774" s="790">
        <v>1011</v>
      </c>
      <c r="G774" s="790">
        <v>52</v>
      </c>
      <c r="H774" s="790">
        <v>769</v>
      </c>
      <c r="I774" s="790">
        <v>479</v>
      </c>
      <c r="J774" s="796">
        <f t="shared" si="25"/>
        <v>0.49005305039787794</v>
      </c>
    </row>
    <row r="775" spans="1:10">
      <c r="A775" s="322" t="s">
        <v>92</v>
      </c>
      <c r="B775" s="793">
        <v>44699</v>
      </c>
      <c r="C775" s="790">
        <f t="shared" si="24"/>
        <v>14290</v>
      </c>
      <c r="D775" s="790">
        <v>368</v>
      </c>
      <c r="E775" s="790">
        <v>4696</v>
      </c>
      <c r="F775" s="790">
        <v>9594</v>
      </c>
      <c r="G775" s="790">
        <v>286</v>
      </c>
      <c r="H775" s="790">
        <v>8232</v>
      </c>
      <c r="I775" s="790">
        <v>4787</v>
      </c>
      <c r="J775" s="796">
        <f t="shared" si="25"/>
        <v>0.40870564574055457</v>
      </c>
    </row>
    <row r="776" spans="1:10">
      <c r="A776" s="322" t="s">
        <v>95</v>
      </c>
      <c r="B776" s="793">
        <v>44700</v>
      </c>
      <c r="C776" s="790">
        <f t="shared" si="24"/>
        <v>21157</v>
      </c>
      <c r="D776" s="790">
        <v>3102</v>
      </c>
      <c r="E776" s="790">
        <v>8616</v>
      </c>
      <c r="F776" s="790">
        <v>12541</v>
      </c>
      <c r="G776" s="790">
        <v>184</v>
      </c>
      <c r="H776" s="790">
        <v>9551</v>
      </c>
      <c r="I776" s="790">
        <v>6347</v>
      </c>
      <c r="J776" s="796">
        <f t="shared" si="25"/>
        <v>0.47100526170036006</v>
      </c>
    </row>
    <row r="777" spans="1:10">
      <c r="A777" s="322" t="s">
        <v>96</v>
      </c>
      <c r="B777" s="793">
        <v>44701</v>
      </c>
      <c r="C777" s="790">
        <f t="shared" si="24"/>
        <v>2726</v>
      </c>
      <c r="D777" s="790">
        <v>55</v>
      </c>
      <c r="E777" s="790">
        <v>739</v>
      </c>
      <c r="F777" s="790">
        <v>1987</v>
      </c>
      <c r="G777" s="790">
        <v>58</v>
      </c>
      <c r="H777" s="790">
        <v>1282</v>
      </c>
      <c r="I777" s="790">
        <v>732</v>
      </c>
      <c r="J777" s="796">
        <f t="shared" si="25"/>
        <v>0.52002995132909025</v>
      </c>
    </row>
    <row r="778" spans="1:10">
      <c r="A778" s="322" t="s">
        <v>98</v>
      </c>
      <c r="B778" s="793">
        <v>44702</v>
      </c>
      <c r="C778" s="790">
        <f t="shared" si="24"/>
        <v>1411</v>
      </c>
      <c r="D778" s="790">
        <v>9</v>
      </c>
      <c r="E778" s="790">
        <v>614</v>
      </c>
      <c r="F778" s="790">
        <v>797</v>
      </c>
      <c r="G778" s="790">
        <v>48</v>
      </c>
      <c r="H778" s="790">
        <v>639</v>
      </c>
      <c r="I778" s="790">
        <v>352</v>
      </c>
      <c r="J778" s="796">
        <f t="shared" si="25"/>
        <v>0.5442225392296719</v>
      </c>
    </row>
    <row r="779" spans="1:10">
      <c r="A779" s="322" t="s">
        <v>99</v>
      </c>
      <c r="B779" s="793">
        <v>44703</v>
      </c>
      <c r="C779" s="790">
        <f t="shared" si="24"/>
        <v>244</v>
      </c>
      <c r="D779" s="790">
        <v>9</v>
      </c>
      <c r="E779" s="790">
        <v>95</v>
      </c>
      <c r="F779" s="790">
        <v>149</v>
      </c>
      <c r="G779" s="790">
        <v>0</v>
      </c>
      <c r="H779" s="790">
        <v>113</v>
      </c>
      <c r="I779" s="790">
        <v>57</v>
      </c>
      <c r="J779" s="796">
        <f t="shared" si="25"/>
        <v>0.51914893617021285</v>
      </c>
    </row>
    <row r="780" spans="1:10">
      <c r="A780" s="322" t="s">
        <v>97</v>
      </c>
      <c r="B780" s="793">
        <v>44704</v>
      </c>
      <c r="C780" s="790">
        <f t="shared" si="24"/>
        <v>17727</v>
      </c>
      <c r="D780" s="790">
        <v>797</v>
      </c>
      <c r="E780" s="790">
        <v>5969</v>
      </c>
      <c r="F780" s="790">
        <v>11758</v>
      </c>
      <c r="G780" s="790">
        <v>267</v>
      </c>
      <c r="H780" s="790">
        <v>10365</v>
      </c>
      <c r="I780" s="790">
        <v>5760</v>
      </c>
      <c r="J780" s="796">
        <f t="shared" si="25"/>
        <v>0.38777318369757829</v>
      </c>
    </row>
    <row r="781" spans="1:10">
      <c r="A781" s="322" t="s">
        <v>100</v>
      </c>
      <c r="B781" s="793">
        <v>44705</v>
      </c>
      <c r="C781" s="790">
        <f t="shared" si="24"/>
        <v>11479</v>
      </c>
      <c r="D781" s="790">
        <v>218</v>
      </c>
      <c r="E781" s="790">
        <v>3669</v>
      </c>
      <c r="F781" s="790">
        <v>7810</v>
      </c>
      <c r="G781" s="790">
        <v>166</v>
      </c>
      <c r="H781" s="790">
        <v>6727</v>
      </c>
      <c r="I781" s="790">
        <v>4088</v>
      </c>
      <c r="J781" s="796">
        <f t="shared" si="25"/>
        <v>0.40262854098215084</v>
      </c>
    </row>
    <row r="782" spans="1:10">
      <c r="A782" s="322" t="s">
        <v>102</v>
      </c>
      <c r="B782" s="793">
        <v>44706</v>
      </c>
      <c r="C782" s="790">
        <f t="shared" si="24"/>
        <v>1609</v>
      </c>
      <c r="D782" s="790">
        <v>28</v>
      </c>
      <c r="E782" s="790">
        <v>618</v>
      </c>
      <c r="F782" s="790">
        <v>991</v>
      </c>
      <c r="G782" s="790">
        <v>55</v>
      </c>
      <c r="H782" s="790">
        <v>766</v>
      </c>
      <c r="I782" s="790">
        <v>465</v>
      </c>
      <c r="J782" s="796">
        <f t="shared" si="25"/>
        <v>0.51549652118912082</v>
      </c>
    </row>
    <row r="783" spans="1:10">
      <c r="A783" s="322" t="s">
        <v>101</v>
      </c>
      <c r="B783" s="793">
        <v>44707</v>
      </c>
      <c r="C783" s="790">
        <f t="shared" si="24"/>
        <v>65550</v>
      </c>
      <c r="D783" s="790">
        <v>4022</v>
      </c>
      <c r="E783" s="790">
        <v>24091</v>
      </c>
      <c r="F783" s="790">
        <v>41459</v>
      </c>
      <c r="G783" s="790">
        <v>571</v>
      </c>
      <c r="H783" s="790">
        <v>34135</v>
      </c>
      <c r="I783" s="790">
        <v>21324</v>
      </c>
      <c r="J783" s="796">
        <f t="shared" si="25"/>
        <v>0.4452119360291249</v>
      </c>
    </row>
    <row r="784" spans="1:10">
      <c r="A784" s="322" t="s">
        <v>103</v>
      </c>
      <c r="B784" s="793">
        <v>44708</v>
      </c>
      <c r="C784" s="790">
        <f t="shared" si="24"/>
        <v>890</v>
      </c>
      <c r="D784" s="790">
        <v>15</v>
      </c>
      <c r="E784" s="790">
        <v>356</v>
      </c>
      <c r="F784" s="790">
        <v>534</v>
      </c>
      <c r="G784" s="790">
        <v>33</v>
      </c>
      <c r="H784" s="790">
        <v>416</v>
      </c>
      <c r="I784" s="790">
        <v>231</v>
      </c>
      <c r="J784" s="796">
        <f t="shared" si="25"/>
        <v>0.52457142857142858</v>
      </c>
    </row>
    <row r="785" spans="1:10">
      <c r="A785" s="322" t="s">
        <v>77</v>
      </c>
      <c r="B785" s="793">
        <v>44713</v>
      </c>
      <c r="C785" s="790">
        <v>703</v>
      </c>
      <c r="D785" s="790">
        <v>8</v>
      </c>
      <c r="E785" s="790">
        <v>367</v>
      </c>
      <c r="F785" s="790">
        <v>336</v>
      </c>
      <c r="G785" s="790">
        <v>16</v>
      </c>
      <c r="H785" s="790">
        <v>304</v>
      </c>
      <c r="I785" s="790">
        <v>153</v>
      </c>
      <c r="J785" s="796">
        <f t="shared" si="25"/>
        <v>0.56258992805755392</v>
      </c>
    </row>
    <row r="786" spans="1:10">
      <c r="A786" s="322" t="s">
        <v>78</v>
      </c>
      <c r="B786" s="793">
        <v>44714</v>
      </c>
      <c r="C786" s="790">
        <v>2189</v>
      </c>
      <c r="D786" s="790">
        <v>58</v>
      </c>
      <c r="E786" s="790">
        <v>585</v>
      </c>
      <c r="F786" s="790">
        <v>1604</v>
      </c>
      <c r="G786" s="790">
        <v>62</v>
      </c>
      <c r="H786" s="790">
        <v>1142</v>
      </c>
      <c r="I786" s="790">
        <v>748</v>
      </c>
      <c r="J786" s="796">
        <f t="shared" si="25"/>
        <v>0.46410136086344445</v>
      </c>
    </row>
    <row r="787" spans="1:10">
      <c r="A787" s="322" t="s">
        <v>80</v>
      </c>
      <c r="B787" s="793">
        <v>44715</v>
      </c>
      <c r="C787" s="790">
        <v>2324</v>
      </c>
      <c r="D787" s="790">
        <v>13</v>
      </c>
      <c r="E787" s="790">
        <v>930</v>
      </c>
      <c r="F787" s="790">
        <v>1394</v>
      </c>
      <c r="G787" s="790">
        <v>52</v>
      </c>
      <c r="H787" s="790">
        <v>899</v>
      </c>
      <c r="I787" s="790">
        <v>477</v>
      </c>
      <c r="J787" s="796">
        <f t="shared" si="25"/>
        <v>0.61099091302466468</v>
      </c>
    </row>
    <row r="788" spans="1:10">
      <c r="A788" s="322" t="s">
        <v>79</v>
      </c>
      <c r="B788" s="793">
        <v>44716</v>
      </c>
      <c r="C788" s="790">
        <v>882</v>
      </c>
      <c r="D788" s="790">
        <v>6</v>
      </c>
      <c r="E788" s="790">
        <v>482</v>
      </c>
      <c r="F788" s="790">
        <v>400</v>
      </c>
      <c r="G788" s="790">
        <v>28</v>
      </c>
      <c r="H788" s="790">
        <v>328</v>
      </c>
      <c r="I788" s="790">
        <v>179</v>
      </c>
      <c r="J788" s="796">
        <f t="shared" si="25"/>
        <v>0.62557077625570778</v>
      </c>
    </row>
    <row r="789" spans="1:10">
      <c r="A789" s="322" t="s">
        <v>81</v>
      </c>
      <c r="B789" s="793">
        <v>44717</v>
      </c>
      <c r="C789" s="790">
        <v>7311</v>
      </c>
      <c r="D789" s="790">
        <v>734</v>
      </c>
      <c r="E789" s="790">
        <v>2713</v>
      </c>
      <c r="F789" s="790">
        <v>4598</v>
      </c>
      <c r="G789" s="790">
        <v>160</v>
      </c>
      <c r="H789" s="790">
        <v>3529</v>
      </c>
      <c r="I789" s="790">
        <v>2199</v>
      </c>
      <c r="J789" s="796">
        <f t="shared" si="25"/>
        <v>0.46343317622016111</v>
      </c>
    </row>
    <row r="790" spans="1:10">
      <c r="A790" s="322" t="s">
        <v>82</v>
      </c>
      <c r="B790" s="793">
        <v>44718</v>
      </c>
      <c r="C790" s="790">
        <v>4661</v>
      </c>
      <c r="D790" s="790">
        <v>163</v>
      </c>
      <c r="E790" s="790">
        <v>1820</v>
      </c>
      <c r="F790" s="790">
        <v>2841</v>
      </c>
      <c r="G790" s="790">
        <v>171</v>
      </c>
      <c r="H790" s="790">
        <v>2473</v>
      </c>
      <c r="I790" s="790">
        <v>1613</v>
      </c>
      <c r="J790" s="796">
        <f t="shared" si="25"/>
        <v>0.45020008892841268</v>
      </c>
    </row>
    <row r="791" spans="1:10">
      <c r="A791" s="322" t="s">
        <v>83</v>
      </c>
      <c r="B791" s="793">
        <v>44719</v>
      </c>
      <c r="C791" s="790">
        <v>6728</v>
      </c>
      <c r="D791" s="790">
        <v>421</v>
      </c>
      <c r="E791" s="790">
        <v>2383</v>
      </c>
      <c r="F791" s="790">
        <v>4345</v>
      </c>
      <c r="G791" s="790">
        <v>102</v>
      </c>
      <c r="H791" s="790">
        <v>3497</v>
      </c>
      <c r="I791" s="790">
        <v>2408</v>
      </c>
      <c r="J791" s="796">
        <f t="shared" si="25"/>
        <v>0.44553670524813704</v>
      </c>
    </row>
    <row r="792" spans="1:10">
      <c r="A792" s="322" t="s">
        <v>84</v>
      </c>
      <c r="B792" s="793">
        <v>44720</v>
      </c>
      <c r="C792" s="790">
        <v>4104</v>
      </c>
      <c r="D792" s="790">
        <v>71</v>
      </c>
      <c r="E792" s="790">
        <v>1077</v>
      </c>
      <c r="F792" s="790">
        <v>3027</v>
      </c>
      <c r="G792" s="790">
        <v>91</v>
      </c>
      <c r="H792" s="790">
        <v>2999</v>
      </c>
      <c r="I792" s="790">
        <v>1890</v>
      </c>
      <c r="J792" s="796">
        <f t="shared" si="25"/>
        <v>0.25638482519216466</v>
      </c>
    </row>
    <row r="793" spans="1:10">
      <c r="A793" s="322" t="s">
        <v>85</v>
      </c>
      <c r="B793" s="793">
        <v>44721</v>
      </c>
      <c r="C793" s="790">
        <v>5360</v>
      </c>
      <c r="D793" s="790">
        <v>189</v>
      </c>
      <c r="E793" s="790">
        <v>1684</v>
      </c>
      <c r="F793" s="790">
        <v>3676</v>
      </c>
      <c r="G793" s="790">
        <v>144</v>
      </c>
      <c r="H793" s="790">
        <v>2701</v>
      </c>
      <c r="I793" s="790">
        <v>1736</v>
      </c>
      <c r="J793" s="796">
        <f t="shared" si="25"/>
        <v>0.47766389479791138</v>
      </c>
    </row>
    <row r="794" spans="1:10">
      <c r="A794" s="322" t="s">
        <v>86</v>
      </c>
      <c r="B794" s="793">
        <v>44722</v>
      </c>
      <c r="C794" s="790">
        <v>2218</v>
      </c>
      <c r="D794" s="790">
        <v>23</v>
      </c>
      <c r="E794" s="790">
        <v>881</v>
      </c>
      <c r="F794" s="790">
        <v>1337</v>
      </c>
      <c r="G794" s="790">
        <v>68</v>
      </c>
      <c r="H794" s="790">
        <v>945</v>
      </c>
      <c r="I794" s="790">
        <v>551</v>
      </c>
      <c r="J794" s="796">
        <f t="shared" si="25"/>
        <v>0.56947608200455579</v>
      </c>
    </row>
    <row r="795" spans="1:10">
      <c r="A795" s="322" t="s">
        <v>89</v>
      </c>
      <c r="B795" s="793">
        <v>44723</v>
      </c>
      <c r="C795" s="790">
        <v>17725</v>
      </c>
      <c r="D795" s="790">
        <v>632</v>
      </c>
      <c r="E795" s="790">
        <v>5376</v>
      </c>
      <c r="F795" s="790">
        <v>12349</v>
      </c>
      <c r="G795" s="790">
        <v>441</v>
      </c>
      <c r="H795" s="790">
        <v>10390</v>
      </c>
      <c r="I795" s="790">
        <v>6620</v>
      </c>
      <c r="J795" s="796">
        <f t="shared" si="25"/>
        <v>0.39214883285555491</v>
      </c>
    </row>
    <row r="796" spans="1:10">
      <c r="A796" s="322" t="s">
        <v>88</v>
      </c>
      <c r="B796" s="793">
        <v>44724</v>
      </c>
      <c r="C796" s="790">
        <v>3622</v>
      </c>
      <c r="D796" s="790">
        <v>92</v>
      </c>
      <c r="E796" s="790">
        <v>1352</v>
      </c>
      <c r="F796" s="790">
        <v>2270</v>
      </c>
      <c r="G796" s="790">
        <v>123</v>
      </c>
      <c r="H796" s="790">
        <v>1693</v>
      </c>
      <c r="I796" s="790">
        <v>965</v>
      </c>
      <c r="J796" s="796">
        <f t="shared" si="25"/>
        <v>0.52039660056657222</v>
      </c>
    </row>
    <row r="797" spans="1:10">
      <c r="A797" s="322" t="s">
        <v>87</v>
      </c>
      <c r="B797" s="793">
        <v>44725</v>
      </c>
      <c r="C797" s="790">
        <v>3585</v>
      </c>
      <c r="D797" s="790">
        <v>50</v>
      </c>
      <c r="E797" s="790">
        <v>1198</v>
      </c>
      <c r="F797" s="790">
        <v>2387</v>
      </c>
      <c r="G797" s="790">
        <v>103</v>
      </c>
      <c r="H797" s="790">
        <v>2056</v>
      </c>
      <c r="I797" s="790">
        <v>1081</v>
      </c>
      <c r="J797" s="796">
        <f t="shared" si="25"/>
        <v>0.41838755304101838</v>
      </c>
    </row>
    <row r="798" spans="1:10">
      <c r="A798" s="322" t="s">
        <v>90</v>
      </c>
      <c r="B798" s="793">
        <v>44726</v>
      </c>
      <c r="C798" s="790">
        <v>3237</v>
      </c>
      <c r="D798" s="790">
        <v>135</v>
      </c>
      <c r="E798" s="790">
        <v>1143</v>
      </c>
      <c r="F798" s="790">
        <v>2094</v>
      </c>
      <c r="G798" s="790">
        <v>63</v>
      </c>
      <c r="H798" s="790">
        <v>1324</v>
      </c>
      <c r="I798" s="790">
        <v>751</v>
      </c>
      <c r="J798" s="796">
        <f t="shared" si="25"/>
        <v>0.57317859445519015</v>
      </c>
    </row>
    <row r="799" spans="1:10">
      <c r="A799" s="322" t="s">
        <v>91</v>
      </c>
      <c r="B799" s="793">
        <v>44727</v>
      </c>
      <c r="C799" s="790">
        <v>3147</v>
      </c>
      <c r="D799" s="790">
        <v>53</v>
      </c>
      <c r="E799" s="790">
        <v>1103</v>
      </c>
      <c r="F799" s="790">
        <v>2044</v>
      </c>
      <c r="G799" s="790">
        <v>105</v>
      </c>
      <c r="H799" s="790">
        <v>1570</v>
      </c>
      <c r="I799" s="790">
        <v>1028</v>
      </c>
      <c r="J799" s="796">
        <f t="shared" si="25"/>
        <v>0.49256625727213965</v>
      </c>
    </row>
    <row r="800" spans="1:10">
      <c r="A800" s="322" t="s">
        <v>93</v>
      </c>
      <c r="B800" s="793">
        <v>44728</v>
      </c>
      <c r="C800" s="790">
        <v>5511</v>
      </c>
      <c r="D800" s="790">
        <v>353</v>
      </c>
      <c r="E800" s="790">
        <v>1739</v>
      </c>
      <c r="F800" s="790">
        <v>3772</v>
      </c>
      <c r="G800" s="790">
        <v>127</v>
      </c>
      <c r="H800" s="790">
        <v>2934</v>
      </c>
      <c r="I800" s="790">
        <v>1887</v>
      </c>
      <c r="J800" s="796">
        <f t="shared" si="25"/>
        <v>0.43117487398216359</v>
      </c>
    </row>
    <row r="801" spans="1:10">
      <c r="A801" s="322" t="s">
        <v>94</v>
      </c>
      <c r="B801" s="793">
        <v>44729</v>
      </c>
      <c r="C801" s="790">
        <v>1590</v>
      </c>
      <c r="D801" s="790">
        <v>37</v>
      </c>
      <c r="E801" s="790">
        <v>554</v>
      </c>
      <c r="F801" s="790">
        <v>1036</v>
      </c>
      <c r="G801" s="790">
        <v>72</v>
      </c>
      <c r="H801" s="790">
        <v>833</v>
      </c>
      <c r="I801" s="790">
        <v>540</v>
      </c>
      <c r="J801" s="796">
        <f t="shared" si="25"/>
        <v>0.46361880231809405</v>
      </c>
    </row>
    <row r="802" spans="1:10">
      <c r="A802" s="322" t="s">
        <v>92</v>
      </c>
      <c r="B802" s="793">
        <v>44730</v>
      </c>
      <c r="C802" s="790">
        <v>14367</v>
      </c>
      <c r="D802" s="790">
        <v>376</v>
      </c>
      <c r="E802" s="790">
        <v>4718</v>
      </c>
      <c r="F802" s="790">
        <v>9649</v>
      </c>
      <c r="G802" s="790">
        <v>354</v>
      </c>
      <c r="H802" s="790">
        <v>8566</v>
      </c>
      <c r="I802" s="790">
        <v>5042</v>
      </c>
      <c r="J802" s="796">
        <f t="shared" si="25"/>
        <v>0.38774926738617688</v>
      </c>
    </row>
    <row r="803" spans="1:10">
      <c r="A803" s="322" t="s">
        <v>95</v>
      </c>
      <c r="B803" s="793">
        <v>44731</v>
      </c>
      <c r="C803" s="790">
        <v>21252</v>
      </c>
      <c r="D803" s="790">
        <v>3148</v>
      </c>
      <c r="E803" s="790">
        <v>8631</v>
      </c>
      <c r="F803" s="790">
        <v>12621</v>
      </c>
      <c r="G803" s="790">
        <v>255</v>
      </c>
      <c r="H803" s="790">
        <v>10047</v>
      </c>
      <c r="I803" s="790">
        <v>6753</v>
      </c>
      <c r="J803" s="796">
        <f t="shared" si="25"/>
        <v>0.44503977021652674</v>
      </c>
    </row>
    <row r="804" spans="1:10">
      <c r="A804" s="322" t="s">
        <v>96</v>
      </c>
      <c r="B804" s="793">
        <v>44732</v>
      </c>
      <c r="C804" s="790">
        <v>2780</v>
      </c>
      <c r="D804" s="790">
        <v>57</v>
      </c>
      <c r="E804" s="790">
        <v>754</v>
      </c>
      <c r="F804" s="790">
        <v>2026</v>
      </c>
      <c r="G804" s="790">
        <v>86</v>
      </c>
      <c r="H804" s="790">
        <v>1369</v>
      </c>
      <c r="I804" s="790">
        <v>822</v>
      </c>
      <c r="J804" s="796">
        <f t="shared" si="25"/>
        <v>0.49724568490635324</v>
      </c>
    </row>
    <row r="805" spans="1:10">
      <c r="A805" s="322" t="s">
        <v>98</v>
      </c>
      <c r="B805" s="793">
        <v>44733</v>
      </c>
      <c r="C805" s="790">
        <v>1443</v>
      </c>
      <c r="D805" s="790">
        <v>9</v>
      </c>
      <c r="E805" s="790">
        <v>620</v>
      </c>
      <c r="F805" s="790">
        <v>823</v>
      </c>
      <c r="G805" s="790">
        <v>65</v>
      </c>
      <c r="H805" s="790">
        <v>678</v>
      </c>
      <c r="I805" s="790">
        <v>389</v>
      </c>
      <c r="J805" s="796">
        <f t="shared" si="25"/>
        <v>0.5271966527196652</v>
      </c>
    </row>
    <row r="806" spans="1:10">
      <c r="A806" s="322" t="s">
        <v>99</v>
      </c>
      <c r="B806" s="793">
        <v>44734</v>
      </c>
      <c r="C806" s="790">
        <v>248</v>
      </c>
      <c r="D806" s="790">
        <v>9</v>
      </c>
      <c r="E806" s="790">
        <v>96</v>
      </c>
      <c r="F806" s="790">
        <v>152</v>
      </c>
      <c r="G806" s="790">
        <v>0</v>
      </c>
      <c r="H806" s="790">
        <v>118</v>
      </c>
      <c r="I806" s="790">
        <v>61</v>
      </c>
      <c r="J806" s="796">
        <f t="shared" si="25"/>
        <v>0.506276150627615</v>
      </c>
    </row>
    <row r="807" spans="1:10">
      <c r="A807" s="322" t="s">
        <v>97</v>
      </c>
      <c r="B807" s="793">
        <v>44735</v>
      </c>
      <c r="C807" s="790">
        <v>17945</v>
      </c>
      <c r="D807" s="790">
        <v>807</v>
      </c>
      <c r="E807" s="790">
        <v>6044</v>
      </c>
      <c r="F807" s="790">
        <v>11901</v>
      </c>
      <c r="G807" s="790">
        <v>442</v>
      </c>
      <c r="H807" s="790">
        <v>10870</v>
      </c>
      <c r="I807" s="790">
        <v>6183</v>
      </c>
      <c r="J807" s="796">
        <f t="shared" si="25"/>
        <v>0.36573695880499479</v>
      </c>
    </row>
    <row r="808" spans="1:10">
      <c r="A808" s="322" t="s">
        <v>100</v>
      </c>
      <c r="B808" s="793">
        <v>44736</v>
      </c>
      <c r="C808" s="790">
        <v>11683</v>
      </c>
      <c r="D808" s="790">
        <v>222</v>
      </c>
      <c r="E808" s="790">
        <v>3719</v>
      </c>
      <c r="F808" s="790">
        <v>7964</v>
      </c>
      <c r="G808" s="790">
        <v>292</v>
      </c>
      <c r="H808" s="790">
        <v>7278</v>
      </c>
      <c r="I808" s="790">
        <v>4516</v>
      </c>
      <c r="J808" s="796">
        <f t="shared" si="25"/>
        <v>0.36497687810836754</v>
      </c>
    </row>
    <row r="809" spans="1:10">
      <c r="A809" s="322" t="s">
        <v>102</v>
      </c>
      <c r="B809" s="793">
        <v>44737</v>
      </c>
      <c r="C809" s="790">
        <v>1641</v>
      </c>
      <c r="D809" s="790">
        <v>28</v>
      </c>
      <c r="E809" s="790">
        <v>625</v>
      </c>
      <c r="F809" s="790">
        <v>1016</v>
      </c>
      <c r="G809" s="790">
        <v>74</v>
      </c>
      <c r="H809" s="790">
        <v>827</v>
      </c>
      <c r="I809" s="790">
        <v>528</v>
      </c>
      <c r="J809" s="796">
        <f t="shared" si="25"/>
        <v>0.48729076255424675</v>
      </c>
    </row>
    <row r="810" spans="1:10">
      <c r="A810" s="322" t="s">
        <v>101</v>
      </c>
      <c r="B810" s="793">
        <v>44738</v>
      </c>
      <c r="C810" s="790">
        <v>65981</v>
      </c>
      <c r="D810" s="790">
        <v>4029</v>
      </c>
      <c r="E810" s="790">
        <v>24203</v>
      </c>
      <c r="F810" s="790">
        <v>41778</v>
      </c>
      <c r="G810" s="790">
        <v>828</v>
      </c>
      <c r="H810" s="790">
        <v>35862</v>
      </c>
      <c r="I810" s="790">
        <v>22737</v>
      </c>
      <c r="J810" s="796">
        <f t="shared" si="25"/>
        <v>0.42113248966942152</v>
      </c>
    </row>
    <row r="811" spans="1:10">
      <c r="A811" s="322" t="s">
        <v>103</v>
      </c>
      <c r="B811" s="793">
        <v>44739</v>
      </c>
      <c r="C811" s="790">
        <v>912</v>
      </c>
      <c r="D811" s="790">
        <v>15</v>
      </c>
      <c r="E811" s="790">
        <v>365</v>
      </c>
      <c r="F811" s="790">
        <v>547</v>
      </c>
      <c r="G811" s="790">
        <v>41</v>
      </c>
      <c r="H811" s="790">
        <v>459</v>
      </c>
      <c r="I811" s="790">
        <v>269</v>
      </c>
      <c r="J811" s="796">
        <f t="shared" si="25"/>
        <v>0.48829431438127091</v>
      </c>
    </row>
    <row r="812" spans="1:10">
      <c r="A812" s="322" t="s">
        <v>77</v>
      </c>
      <c r="B812" s="793">
        <v>44743</v>
      </c>
      <c r="C812" s="169">
        <v>695</v>
      </c>
      <c r="D812" s="169">
        <v>7</v>
      </c>
      <c r="E812" s="790">
        <v>369</v>
      </c>
      <c r="F812" s="790">
        <v>326</v>
      </c>
      <c r="G812" s="169">
        <v>17</v>
      </c>
      <c r="H812" s="169">
        <v>333</v>
      </c>
      <c r="I812" s="169">
        <v>174</v>
      </c>
      <c r="J812" s="796">
        <f t="shared" si="25"/>
        <v>0.51598837209302317</v>
      </c>
    </row>
    <row r="813" spans="1:10">
      <c r="A813" s="322" t="s">
        <v>78</v>
      </c>
      <c r="B813" s="793">
        <v>44744</v>
      </c>
      <c r="C813" s="169">
        <v>2189</v>
      </c>
      <c r="D813" s="169">
        <v>59</v>
      </c>
      <c r="E813" s="790">
        <v>585</v>
      </c>
      <c r="F813" s="790">
        <v>1604</v>
      </c>
      <c r="G813" s="169">
        <v>67</v>
      </c>
      <c r="H813" s="169">
        <v>1207</v>
      </c>
      <c r="I813" s="169">
        <v>803</v>
      </c>
      <c r="J813" s="796">
        <f t="shared" si="25"/>
        <v>0.43333333333333335</v>
      </c>
    </row>
    <row r="814" spans="1:10">
      <c r="A814" s="322" t="s">
        <v>80</v>
      </c>
      <c r="B814" s="793">
        <v>44745</v>
      </c>
      <c r="C814" s="169">
        <v>2324</v>
      </c>
      <c r="D814" s="169">
        <v>14</v>
      </c>
      <c r="E814" s="790">
        <v>932</v>
      </c>
      <c r="F814" s="790">
        <v>1392</v>
      </c>
      <c r="G814" s="169">
        <v>56</v>
      </c>
      <c r="H814" s="169">
        <v>988</v>
      </c>
      <c r="I814" s="169">
        <v>550</v>
      </c>
      <c r="J814" s="796">
        <f t="shared" si="25"/>
        <v>0.5722943722943723</v>
      </c>
    </row>
    <row r="815" spans="1:10">
      <c r="A815" s="322" t="s">
        <v>79</v>
      </c>
      <c r="B815" s="793">
        <v>44746</v>
      </c>
      <c r="C815" s="169">
        <v>884</v>
      </c>
      <c r="D815" s="169">
        <v>5</v>
      </c>
      <c r="E815" s="790">
        <v>481</v>
      </c>
      <c r="F815" s="790">
        <v>403</v>
      </c>
      <c r="G815" s="169">
        <v>33</v>
      </c>
      <c r="H815" s="169">
        <v>369</v>
      </c>
      <c r="I815" s="169">
        <v>209</v>
      </c>
      <c r="J815" s="796">
        <f t="shared" si="25"/>
        <v>0.58020477815699656</v>
      </c>
    </row>
    <row r="816" spans="1:10">
      <c r="A816" s="322" t="s">
        <v>81</v>
      </c>
      <c r="B816" s="793">
        <v>44747</v>
      </c>
      <c r="C816" s="169">
        <v>7356</v>
      </c>
      <c r="D816" s="169">
        <v>753</v>
      </c>
      <c r="E816" s="790">
        <v>2728</v>
      </c>
      <c r="F816" s="790">
        <v>4628</v>
      </c>
      <c r="G816" s="169">
        <v>179</v>
      </c>
      <c r="H816" s="169">
        <v>3807</v>
      </c>
      <c r="I816" s="169">
        <v>2388</v>
      </c>
      <c r="J816" s="796">
        <f t="shared" si="25"/>
        <v>0.42344388914129938</v>
      </c>
    </row>
    <row r="817" spans="1:10">
      <c r="A817" s="322" t="s">
        <v>82</v>
      </c>
      <c r="B817" s="793">
        <v>44748</v>
      </c>
      <c r="C817" s="169">
        <v>4681</v>
      </c>
      <c r="D817" s="169">
        <v>169</v>
      </c>
      <c r="E817" s="790">
        <v>1829</v>
      </c>
      <c r="F817" s="790">
        <v>2852</v>
      </c>
      <c r="G817" s="169">
        <v>205</v>
      </c>
      <c r="H817" s="169">
        <v>2713</v>
      </c>
      <c r="I817" s="169">
        <v>1802</v>
      </c>
      <c r="J817" s="796">
        <f t="shared" si="25"/>
        <v>0.39871453900709219</v>
      </c>
    </row>
    <row r="818" spans="1:10">
      <c r="A818" s="322" t="s">
        <v>83</v>
      </c>
      <c r="B818" s="793">
        <v>44749</v>
      </c>
      <c r="C818" s="169">
        <v>6745</v>
      </c>
      <c r="D818" s="169">
        <v>418</v>
      </c>
      <c r="E818" s="790">
        <v>2386</v>
      </c>
      <c r="F818" s="790">
        <v>4359</v>
      </c>
      <c r="G818" s="169">
        <v>116</v>
      </c>
      <c r="H818" s="169">
        <v>3799</v>
      </c>
      <c r="I818" s="169">
        <v>2677</v>
      </c>
      <c r="J818" s="796">
        <f t="shared" si="25"/>
        <v>0.39955745218903116</v>
      </c>
    </row>
    <row r="819" spans="1:10">
      <c r="A819" s="322" t="s">
        <v>84</v>
      </c>
      <c r="B819" s="793">
        <v>44750</v>
      </c>
      <c r="C819" s="169">
        <v>4119</v>
      </c>
      <c r="D819" s="169">
        <v>72</v>
      </c>
      <c r="E819" s="790">
        <v>1080</v>
      </c>
      <c r="F819" s="790">
        <v>3039</v>
      </c>
      <c r="G819" s="169">
        <v>105</v>
      </c>
      <c r="H819" s="169">
        <v>3155</v>
      </c>
      <c r="I819" s="169">
        <v>2014</v>
      </c>
      <c r="J819" s="796">
        <f t="shared" si="25"/>
        <v>0.22041018038052884</v>
      </c>
    </row>
    <row r="820" spans="1:10">
      <c r="A820" s="322" t="s">
        <v>85</v>
      </c>
      <c r="B820" s="793">
        <v>44751</v>
      </c>
      <c r="C820" s="169">
        <v>5368</v>
      </c>
      <c r="D820" s="169">
        <v>191</v>
      </c>
      <c r="E820" s="790">
        <v>1685</v>
      </c>
      <c r="F820" s="790">
        <v>3683</v>
      </c>
      <c r="G820" s="169">
        <v>154</v>
      </c>
      <c r="H820" s="169">
        <v>2957</v>
      </c>
      <c r="I820" s="169">
        <v>1958</v>
      </c>
      <c r="J820" s="796">
        <f t="shared" si="25"/>
        <v>0.42881977979524821</v>
      </c>
    </row>
    <row r="821" spans="1:10">
      <c r="A821" s="322" t="s">
        <v>86</v>
      </c>
      <c r="B821" s="793">
        <v>44752</v>
      </c>
      <c r="C821" s="169">
        <v>2246</v>
      </c>
      <c r="D821" s="169">
        <v>24</v>
      </c>
      <c r="E821" s="790">
        <v>885</v>
      </c>
      <c r="F821" s="790">
        <v>1361</v>
      </c>
      <c r="G821" s="169">
        <v>75</v>
      </c>
      <c r="H821" s="169">
        <v>1055</v>
      </c>
      <c r="I821" s="169">
        <v>625</v>
      </c>
      <c r="J821" s="796">
        <f t="shared" si="25"/>
        <v>0.52520252025202518</v>
      </c>
    </row>
    <row r="822" spans="1:10">
      <c r="A822" s="322" t="s">
        <v>89</v>
      </c>
      <c r="B822" s="793">
        <v>44753</v>
      </c>
      <c r="C822" s="169">
        <v>17738</v>
      </c>
      <c r="D822" s="169">
        <v>639</v>
      </c>
      <c r="E822" s="790">
        <v>5386</v>
      </c>
      <c r="F822" s="790">
        <v>12352</v>
      </c>
      <c r="G822" s="169">
        <v>481</v>
      </c>
      <c r="H822" s="169">
        <v>10995</v>
      </c>
      <c r="I822" s="169">
        <v>7104</v>
      </c>
      <c r="J822" s="796">
        <f t="shared" si="25"/>
        <v>0.35697994034738878</v>
      </c>
    </row>
    <row r="823" spans="1:10">
      <c r="A823" s="322" t="s">
        <v>88</v>
      </c>
      <c r="B823" s="793">
        <v>44754</v>
      </c>
      <c r="C823" s="169">
        <v>3618</v>
      </c>
      <c r="D823" s="169">
        <v>68</v>
      </c>
      <c r="E823" s="790">
        <v>1352</v>
      </c>
      <c r="F823" s="790">
        <v>2266</v>
      </c>
      <c r="G823" s="169">
        <v>127</v>
      </c>
      <c r="H823" s="169">
        <v>1795</v>
      </c>
      <c r="I823" s="169">
        <v>1045</v>
      </c>
      <c r="J823" s="796">
        <f t="shared" si="25"/>
        <v>0.4943661971830986</v>
      </c>
    </row>
    <row r="824" spans="1:10">
      <c r="A824" s="322" t="s">
        <v>87</v>
      </c>
      <c r="B824" s="793">
        <v>44755</v>
      </c>
      <c r="C824" s="169">
        <v>3596</v>
      </c>
      <c r="D824" s="169">
        <v>50</v>
      </c>
      <c r="E824" s="790">
        <v>1202</v>
      </c>
      <c r="F824" s="790">
        <v>2394</v>
      </c>
      <c r="G824" s="169">
        <v>108</v>
      </c>
      <c r="H824" s="169">
        <v>2165</v>
      </c>
      <c r="I824" s="169">
        <v>1162</v>
      </c>
      <c r="J824" s="796">
        <f t="shared" si="25"/>
        <v>0.38945290468133109</v>
      </c>
    </row>
    <row r="825" spans="1:10">
      <c r="A825" s="322" t="s">
        <v>90</v>
      </c>
      <c r="B825" s="793">
        <v>44756</v>
      </c>
      <c r="C825" s="169">
        <v>3256</v>
      </c>
      <c r="D825" s="169">
        <v>133</v>
      </c>
      <c r="E825" s="790">
        <v>1143</v>
      </c>
      <c r="F825" s="790">
        <v>2113</v>
      </c>
      <c r="G825" s="169">
        <v>72</v>
      </c>
      <c r="H825" s="169">
        <v>1430</v>
      </c>
      <c r="I825" s="169">
        <v>815</v>
      </c>
      <c r="J825" s="796">
        <f t="shared" si="25"/>
        <v>0.54210694844700602</v>
      </c>
    </row>
    <row r="826" spans="1:10">
      <c r="A826" s="322" t="s">
        <v>91</v>
      </c>
      <c r="B826" s="793">
        <v>44757</v>
      </c>
      <c r="C826" s="169">
        <v>3162</v>
      </c>
      <c r="D826" s="169">
        <v>55</v>
      </c>
      <c r="E826" s="790">
        <v>1108</v>
      </c>
      <c r="F826" s="790">
        <v>2054</v>
      </c>
      <c r="G826" s="169">
        <v>117</v>
      </c>
      <c r="H826" s="169">
        <v>1748</v>
      </c>
      <c r="I826" s="169">
        <v>1131</v>
      </c>
      <c r="J826" s="796">
        <f t="shared" si="25"/>
        <v>0.43739942066301896</v>
      </c>
    </row>
    <row r="827" spans="1:10">
      <c r="A827" s="322" t="s">
        <v>93</v>
      </c>
      <c r="B827" s="793">
        <v>44758</v>
      </c>
      <c r="C827" s="169">
        <v>5552</v>
      </c>
      <c r="D827" s="169">
        <v>357</v>
      </c>
      <c r="E827" s="790">
        <v>1754</v>
      </c>
      <c r="F827" s="790">
        <v>3798</v>
      </c>
      <c r="G827" s="169">
        <v>150</v>
      </c>
      <c r="H827" s="169">
        <v>3140</v>
      </c>
      <c r="I827" s="169">
        <v>2021</v>
      </c>
      <c r="J827" s="796">
        <f t="shared" si="25"/>
        <v>0.39557266602502406</v>
      </c>
    </row>
    <row r="828" spans="1:10">
      <c r="A828" s="322" t="s">
        <v>94</v>
      </c>
      <c r="B828" s="793">
        <v>44759</v>
      </c>
      <c r="C828" s="169">
        <v>1600</v>
      </c>
      <c r="D828" s="169">
        <v>36</v>
      </c>
      <c r="E828" s="790">
        <v>557</v>
      </c>
      <c r="F828" s="790">
        <v>1043</v>
      </c>
      <c r="G828" s="169">
        <v>76</v>
      </c>
      <c r="H828" s="169">
        <v>884</v>
      </c>
      <c r="I828" s="169">
        <v>582</v>
      </c>
      <c r="J828" s="796">
        <f t="shared" si="25"/>
        <v>0.43478260869565222</v>
      </c>
    </row>
    <row r="829" spans="1:10">
      <c r="A829" s="322" t="s">
        <v>92</v>
      </c>
      <c r="B829" s="793">
        <v>44760</v>
      </c>
      <c r="C829" s="169">
        <v>14437</v>
      </c>
      <c r="D829" s="169">
        <v>368</v>
      </c>
      <c r="E829" s="790">
        <v>4741</v>
      </c>
      <c r="F829" s="790">
        <v>9696</v>
      </c>
      <c r="G829" s="169">
        <v>429</v>
      </c>
      <c r="H829" s="169">
        <v>8989</v>
      </c>
      <c r="I829" s="169">
        <v>5320</v>
      </c>
      <c r="J829" s="796">
        <f t="shared" si="25"/>
        <v>0.36107754637856282</v>
      </c>
    </row>
    <row r="830" spans="1:10">
      <c r="A830" s="322" t="s">
        <v>95</v>
      </c>
      <c r="B830" s="793">
        <v>44761</v>
      </c>
      <c r="C830" s="169">
        <v>21329</v>
      </c>
      <c r="D830" s="169">
        <v>3220</v>
      </c>
      <c r="E830" s="790">
        <v>8646</v>
      </c>
      <c r="F830" s="790">
        <v>12683</v>
      </c>
      <c r="G830" s="169">
        <v>302</v>
      </c>
      <c r="H830" s="169">
        <v>10700</v>
      </c>
      <c r="I830" s="169">
        <v>7225</v>
      </c>
      <c r="J830" s="796">
        <f t="shared" si="25"/>
        <v>0.40913357998785138</v>
      </c>
    </row>
    <row r="831" spans="1:10">
      <c r="A831" s="322" t="s">
        <v>96</v>
      </c>
      <c r="B831" s="793">
        <v>44762</v>
      </c>
      <c r="C831" s="169">
        <v>2776</v>
      </c>
      <c r="D831" s="169">
        <v>58</v>
      </c>
      <c r="E831" s="790">
        <v>756</v>
      </c>
      <c r="F831" s="790">
        <v>2020</v>
      </c>
      <c r="G831" s="169">
        <v>92</v>
      </c>
      <c r="H831" s="169">
        <v>1498</v>
      </c>
      <c r="I831" s="169">
        <v>935</v>
      </c>
      <c r="J831" s="796">
        <f t="shared" si="25"/>
        <v>0.44885945548197204</v>
      </c>
    </row>
    <row r="832" spans="1:10">
      <c r="A832" s="322" t="s">
        <v>98</v>
      </c>
      <c r="B832" s="793">
        <v>44763</v>
      </c>
      <c r="C832" s="169">
        <v>1442</v>
      </c>
      <c r="D832" s="169">
        <v>11</v>
      </c>
      <c r="E832" s="790">
        <v>619</v>
      </c>
      <c r="F832" s="790">
        <v>823</v>
      </c>
      <c r="G832" s="169">
        <v>65</v>
      </c>
      <c r="H832" s="169">
        <v>733</v>
      </c>
      <c r="I832" s="169">
        <v>439</v>
      </c>
      <c r="J832" s="796">
        <f t="shared" si="25"/>
        <v>0.48777078965758214</v>
      </c>
    </row>
    <row r="833" spans="1:10">
      <c r="A833" s="322" t="s">
        <v>99</v>
      </c>
      <c r="B833" s="793">
        <v>44764</v>
      </c>
      <c r="C833" s="169">
        <v>250</v>
      </c>
      <c r="D833" s="169">
        <v>8</v>
      </c>
      <c r="E833" s="790">
        <v>98</v>
      </c>
      <c r="F833" s="790">
        <v>152</v>
      </c>
      <c r="G833" s="169">
        <v>2</v>
      </c>
      <c r="H833" s="169">
        <v>122</v>
      </c>
      <c r="I833" s="169">
        <v>65</v>
      </c>
      <c r="J833" s="796">
        <f t="shared" si="25"/>
        <v>0.49586776859504134</v>
      </c>
    </row>
    <row r="834" spans="1:10">
      <c r="A834" s="322" t="s">
        <v>97</v>
      </c>
      <c r="B834" s="793">
        <v>44765</v>
      </c>
      <c r="C834" s="169">
        <v>17959</v>
      </c>
      <c r="D834" s="169">
        <v>834</v>
      </c>
      <c r="E834" s="790">
        <v>6045</v>
      </c>
      <c r="F834" s="790">
        <v>11914</v>
      </c>
      <c r="G834" s="169">
        <v>465</v>
      </c>
      <c r="H834" s="169">
        <v>11511</v>
      </c>
      <c r="I834" s="169">
        <v>6707</v>
      </c>
      <c r="J834" s="796">
        <f t="shared" si="25"/>
        <v>0.32782481751824821</v>
      </c>
    </row>
    <row r="835" spans="1:10">
      <c r="A835" s="322" t="s">
        <v>100</v>
      </c>
      <c r="B835" s="793">
        <v>44766</v>
      </c>
      <c r="C835" s="169">
        <v>11689</v>
      </c>
      <c r="D835" s="169">
        <v>227</v>
      </c>
      <c r="E835" s="790">
        <v>3718</v>
      </c>
      <c r="F835" s="790">
        <v>7971</v>
      </c>
      <c r="G835" s="169">
        <v>317</v>
      </c>
      <c r="H835" s="169">
        <v>7782</v>
      </c>
      <c r="I835" s="169">
        <v>4996</v>
      </c>
      <c r="J835" s="796">
        <f t="shared" ref="J835:J898" si="26">1-(H835/(C835-D835))</f>
        <v>0.32106089687663586</v>
      </c>
    </row>
    <row r="836" spans="1:10">
      <c r="A836" s="322" t="s">
        <v>102</v>
      </c>
      <c r="B836" s="793">
        <v>44767</v>
      </c>
      <c r="C836" s="169">
        <v>1646</v>
      </c>
      <c r="D836" s="169">
        <v>28</v>
      </c>
      <c r="E836" s="790">
        <v>628</v>
      </c>
      <c r="F836" s="790">
        <v>1018</v>
      </c>
      <c r="G836" s="169">
        <v>79</v>
      </c>
      <c r="H836" s="169">
        <v>904</v>
      </c>
      <c r="I836" s="169">
        <v>596</v>
      </c>
      <c r="J836" s="796">
        <f t="shared" si="26"/>
        <v>0.44128553770086532</v>
      </c>
    </row>
    <row r="837" spans="1:10">
      <c r="A837" s="322" t="s">
        <v>101</v>
      </c>
      <c r="B837" s="793">
        <v>44768</v>
      </c>
      <c r="C837" s="169">
        <v>66300</v>
      </c>
      <c r="D837" s="169">
        <v>4037</v>
      </c>
      <c r="E837" s="790">
        <v>24306</v>
      </c>
      <c r="F837" s="790">
        <v>41994</v>
      </c>
      <c r="G837" s="169">
        <v>1030</v>
      </c>
      <c r="H837" s="169">
        <v>37903</v>
      </c>
      <c r="I837" s="169">
        <v>24530</v>
      </c>
      <c r="J837" s="796">
        <f t="shared" si="26"/>
        <v>0.39124359571495104</v>
      </c>
    </row>
    <row r="838" spans="1:10">
      <c r="A838" s="322" t="s">
        <v>103</v>
      </c>
      <c r="B838" s="793">
        <v>44769</v>
      </c>
      <c r="C838" s="169">
        <v>914</v>
      </c>
      <c r="D838" s="169">
        <v>16</v>
      </c>
      <c r="E838" s="790">
        <v>363</v>
      </c>
      <c r="F838" s="790">
        <v>551</v>
      </c>
      <c r="G838" s="169">
        <v>45</v>
      </c>
      <c r="H838" s="169">
        <v>488</v>
      </c>
      <c r="I838" s="169">
        <v>290</v>
      </c>
      <c r="J838" s="796">
        <f t="shared" si="26"/>
        <v>0.45657015590200445</v>
      </c>
    </row>
    <row r="839" spans="1:10">
      <c r="A839" s="322" t="s">
        <v>77</v>
      </c>
      <c r="B839" s="793">
        <v>44774</v>
      </c>
      <c r="C839" s="790">
        <v>736</v>
      </c>
      <c r="D839" s="790">
        <v>7</v>
      </c>
      <c r="E839" s="790">
        <v>385</v>
      </c>
      <c r="F839" s="790">
        <v>351</v>
      </c>
      <c r="G839" s="790">
        <v>31</v>
      </c>
      <c r="H839" s="790">
        <v>378</v>
      </c>
      <c r="I839" s="790">
        <v>197</v>
      </c>
      <c r="J839" s="796">
        <f t="shared" si="26"/>
        <v>0.48148148148148151</v>
      </c>
    </row>
    <row r="840" spans="1:10">
      <c r="A840" s="322" t="s">
        <v>78</v>
      </c>
      <c r="B840" s="793">
        <v>44775</v>
      </c>
      <c r="C840" s="790">
        <v>2208</v>
      </c>
      <c r="D840" s="790">
        <v>61</v>
      </c>
      <c r="E840" s="790">
        <v>591</v>
      </c>
      <c r="F840" s="790">
        <v>1617</v>
      </c>
      <c r="G840" s="790">
        <v>79</v>
      </c>
      <c r="H840" s="790">
        <v>1254</v>
      </c>
      <c r="I840" s="790">
        <v>832</v>
      </c>
      <c r="J840" s="796">
        <f t="shared" si="26"/>
        <v>0.41592920353982299</v>
      </c>
    </row>
    <row r="841" spans="1:10">
      <c r="A841" s="322" t="s">
        <v>80</v>
      </c>
      <c r="B841" s="793">
        <v>44776</v>
      </c>
      <c r="C841" s="790">
        <v>2340</v>
      </c>
      <c r="D841" s="790">
        <v>15</v>
      </c>
      <c r="E841" s="790">
        <v>938</v>
      </c>
      <c r="F841" s="790">
        <v>1402</v>
      </c>
      <c r="G841" s="790">
        <v>70</v>
      </c>
      <c r="H841" s="790">
        <v>1044</v>
      </c>
      <c r="I841" s="790">
        <v>580</v>
      </c>
      <c r="J841" s="796">
        <f t="shared" si="26"/>
        <v>0.55096774193548392</v>
      </c>
    </row>
    <row r="842" spans="1:10">
      <c r="A842" s="322" t="s">
        <v>79</v>
      </c>
      <c r="B842" s="793">
        <v>44777</v>
      </c>
      <c r="C842" s="790">
        <v>888</v>
      </c>
      <c r="D842" s="790">
        <v>5</v>
      </c>
      <c r="E842" s="790">
        <v>484</v>
      </c>
      <c r="F842" s="790">
        <v>404</v>
      </c>
      <c r="G842" s="790">
        <v>35</v>
      </c>
      <c r="H842" s="790">
        <v>399</v>
      </c>
      <c r="I842" s="790">
        <v>225</v>
      </c>
      <c r="J842" s="796">
        <f t="shared" si="26"/>
        <v>0.54813137032842585</v>
      </c>
    </row>
    <row r="843" spans="1:10">
      <c r="A843" s="322" t="s">
        <v>81</v>
      </c>
      <c r="B843" s="793">
        <v>44778</v>
      </c>
      <c r="C843" s="790">
        <v>7396</v>
      </c>
      <c r="D843" s="790">
        <v>753</v>
      </c>
      <c r="E843" s="790">
        <v>2741</v>
      </c>
      <c r="F843" s="790">
        <v>4655</v>
      </c>
      <c r="G843" s="790">
        <v>212</v>
      </c>
      <c r="H843" s="790">
        <v>3992</v>
      </c>
      <c r="I843" s="790">
        <v>2478</v>
      </c>
      <c r="J843" s="796">
        <f t="shared" si="26"/>
        <v>0.39906668673791956</v>
      </c>
    </row>
    <row r="844" spans="1:10">
      <c r="A844" s="322" t="s">
        <v>82</v>
      </c>
      <c r="B844" s="793">
        <v>44779</v>
      </c>
      <c r="C844" s="790">
        <v>4703</v>
      </c>
      <c r="D844" s="790">
        <v>169</v>
      </c>
      <c r="E844" s="790">
        <v>1828</v>
      </c>
      <c r="F844" s="790">
        <v>2875</v>
      </c>
      <c r="G844" s="790">
        <v>237</v>
      </c>
      <c r="H844" s="790">
        <v>2905</v>
      </c>
      <c r="I844" s="790">
        <v>1911</v>
      </c>
      <c r="J844" s="796">
        <f t="shared" si="26"/>
        <v>0.35928539920599911</v>
      </c>
    </row>
    <row r="845" spans="1:10">
      <c r="A845" s="322" t="s">
        <v>83</v>
      </c>
      <c r="B845" s="793">
        <v>44780</v>
      </c>
      <c r="C845" s="790">
        <v>6764</v>
      </c>
      <c r="D845" s="790">
        <v>425</v>
      </c>
      <c r="E845" s="790">
        <v>2393</v>
      </c>
      <c r="F845" s="790">
        <v>4371</v>
      </c>
      <c r="G845" s="790">
        <v>151</v>
      </c>
      <c r="H845" s="790">
        <v>4092</v>
      </c>
      <c r="I845" s="790">
        <v>2881</v>
      </c>
      <c r="J845" s="796">
        <f t="shared" si="26"/>
        <v>0.35447231424514902</v>
      </c>
    </row>
    <row r="846" spans="1:10">
      <c r="A846" s="322" t="s">
        <v>84</v>
      </c>
      <c r="B846" s="793">
        <v>44781</v>
      </c>
      <c r="C846" s="790">
        <v>4126</v>
      </c>
      <c r="D846" s="790">
        <v>72</v>
      </c>
      <c r="E846" s="790">
        <v>1082</v>
      </c>
      <c r="F846" s="790">
        <v>3044</v>
      </c>
      <c r="G846" s="790">
        <v>125</v>
      </c>
      <c r="H846" s="790">
        <v>3287</v>
      </c>
      <c r="I846" s="790">
        <v>2084</v>
      </c>
      <c r="J846" s="796">
        <f t="shared" si="26"/>
        <v>0.18919585594474597</v>
      </c>
    </row>
    <row r="847" spans="1:10">
      <c r="A847" s="322" t="s">
        <v>85</v>
      </c>
      <c r="B847" s="793">
        <v>44782</v>
      </c>
      <c r="C847" s="790">
        <v>5376</v>
      </c>
      <c r="D847" s="790">
        <v>193</v>
      </c>
      <c r="E847" s="790">
        <v>1694</v>
      </c>
      <c r="F847" s="790">
        <v>3682</v>
      </c>
      <c r="G847" s="790">
        <v>177</v>
      </c>
      <c r="H847" s="790">
        <v>3130</v>
      </c>
      <c r="I847" s="790">
        <v>2058</v>
      </c>
      <c r="J847" s="796">
        <f t="shared" si="26"/>
        <v>0.39610264325680111</v>
      </c>
    </row>
    <row r="848" spans="1:10">
      <c r="A848" s="322" t="s">
        <v>86</v>
      </c>
      <c r="B848" s="793">
        <v>44783</v>
      </c>
      <c r="C848" s="790">
        <v>2251</v>
      </c>
      <c r="D848" s="790">
        <v>25</v>
      </c>
      <c r="E848" s="790">
        <v>887</v>
      </c>
      <c r="F848" s="790">
        <v>1364</v>
      </c>
      <c r="G848" s="790">
        <v>82</v>
      </c>
      <c r="H848" s="790">
        <v>1109</v>
      </c>
      <c r="I848" s="790">
        <v>658</v>
      </c>
      <c r="J848" s="796">
        <f t="shared" si="26"/>
        <v>0.50179694519317164</v>
      </c>
    </row>
    <row r="849" spans="1:10">
      <c r="A849" s="322" t="s">
        <v>89</v>
      </c>
      <c r="B849" s="793">
        <v>44784</v>
      </c>
      <c r="C849" s="790">
        <v>17756</v>
      </c>
      <c r="D849" s="790">
        <v>644</v>
      </c>
      <c r="E849" s="790">
        <v>5388</v>
      </c>
      <c r="F849" s="790">
        <v>12368</v>
      </c>
      <c r="G849" s="790">
        <v>550</v>
      </c>
      <c r="H849" s="790">
        <v>11329</v>
      </c>
      <c r="I849" s="790">
        <v>7334</v>
      </c>
      <c r="J849" s="796">
        <f t="shared" si="26"/>
        <v>0.33794997662459092</v>
      </c>
    </row>
    <row r="850" spans="1:10">
      <c r="A850" s="322" t="s">
        <v>88</v>
      </c>
      <c r="B850" s="793">
        <v>44785</v>
      </c>
      <c r="C850" s="790">
        <v>3626</v>
      </c>
      <c r="D850" s="790">
        <v>67</v>
      </c>
      <c r="E850" s="790">
        <v>1353</v>
      </c>
      <c r="F850" s="790">
        <v>2273</v>
      </c>
      <c r="G850" s="790">
        <v>137</v>
      </c>
      <c r="H850" s="790">
        <v>1849</v>
      </c>
      <c r="I850" s="790">
        <v>1080</v>
      </c>
      <c r="J850" s="796">
        <f t="shared" si="26"/>
        <v>0.48047204270862598</v>
      </c>
    </row>
    <row r="851" spans="1:10">
      <c r="A851" s="322" t="s">
        <v>87</v>
      </c>
      <c r="B851" s="793">
        <v>44786</v>
      </c>
      <c r="C851" s="790">
        <v>3616</v>
      </c>
      <c r="D851" s="790">
        <v>50</v>
      </c>
      <c r="E851" s="790">
        <v>1212</v>
      </c>
      <c r="F851" s="790">
        <v>2404</v>
      </c>
      <c r="G851" s="790">
        <v>124</v>
      </c>
      <c r="H851" s="790">
        <v>2254</v>
      </c>
      <c r="I851" s="790">
        <v>1201</v>
      </c>
      <c r="J851" s="796">
        <f t="shared" si="26"/>
        <v>0.36791923724060571</v>
      </c>
    </row>
    <row r="852" spans="1:10">
      <c r="A852" s="322" t="s">
        <v>90</v>
      </c>
      <c r="B852" s="793">
        <v>44787</v>
      </c>
      <c r="C852" s="790">
        <v>3281</v>
      </c>
      <c r="D852" s="790">
        <v>134</v>
      </c>
      <c r="E852" s="790">
        <v>1159</v>
      </c>
      <c r="F852" s="790">
        <v>2122</v>
      </c>
      <c r="G852" s="790">
        <v>97</v>
      </c>
      <c r="H852" s="790">
        <v>1511</v>
      </c>
      <c r="I852" s="790">
        <v>854</v>
      </c>
      <c r="J852" s="796">
        <f t="shared" si="26"/>
        <v>0.51986018430251035</v>
      </c>
    </row>
    <row r="853" spans="1:10">
      <c r="A853" s="322" t="s">
        <v>91</v>
      </c>
      <c r="B853" s="793">
        <v>44788</v>
      </c>
      <c r="C853" s="790">
        <v>3163</v>
      </c>
      <c r="D853" s="790">
        <v>57</v>
      </c>
      <c r="E853" s="790">
        <v>1113</v>
      </c>
      <c r="F853" s="790">
        <v>2050</v>
      </c>
      <c r="G853" s="790">
        <v>134</v>
      </c>
      <c r="H853" s="790">
        <v>1898</v>
      </c>
      <c r="I853" s="790">
        <v>1173</v>
      </c>
      <c r="J853" s="796">
        <f t="shared" si="26"/>
        <v>0.38892466194462327</v>
      </c>
    </row>
    <row r="854" spans="1:10">
      <c r="A854" s="322" t="s">
        <v>93</v>
      </c>
      <c r="B854" s="793">
        <v>44789</v>
      </c>
      <c r="C854" s="790">
        <v>5573</v>
      </c>
      <c r="D854" s="790">
        <v>358</v>
      </c>
      <c r="E854" s="790">
        <v>1761</v>
      </c>
      <c r="F854" s="790">
        <v>3812</v>
      </c>
      <c r="G854" s="790">
        <v>173</v>
      </c>
      <c r="H854" s="790">
        <v>3300</v>
      </c>
      <c r="I854" s="790">
        <v>2098</v>
      </c>
      <c r="J854" s="796">
        <f t="shared" si="26"/>
        <v>0.36720997123681687</v>
      </c>
    </row>
    <row r="855" spans="1:10">
      <c r="A855" s="322" t="s">
        <v>94</v>
      </c>
      <c r="B855" s="793">
        <v>44790</v>
      </c>
      <c r="C855" s="790">
        <v>1595</v>
      </c>
      <c r="D855" s="790">
        <v>36</v>
      </c>
      <c r="E855" s="790">
        <v>556</v>
      </c>
      <c r="F855" s="790">
        <v>1039</v>
      </c>
      <c r="G855" s="790">
        <v>91</v>
      </c>
      <c r="H855" s="790">
        <v>924</v>
      </c>
      <c r="I855" s="790">
        <v>615</v>
      </c>
      <c r="J855" s="796">
        <f t="shared" si="26"/>
        <v>0.40731237973059653</v>
      </c>
    </row>
    <row r="856" spans="1:10">
      <c r="A856" s="322" t="s">
        <v>92</v>
      </c>
      <c r="B856" s="793">
        <v>44791</v>
      </c>
      <c r="C856" s="790">
        <v>14521</v>
      </c>
      <c r="D856" s="790">
        <v>372</v>
      </c>
      <c r="E856" s="790">
        <v>4766</v>
      </c>
      <c r="F856" s="790">
        <v>9755</v>
      </c>
      <c r="G856" s="790">
        <v>473</v>
      </c>
      <c r="H856" s="790">
        <v>9324</v>
      </c>
      <c r="I856" s="790">
        <v>5491</v>
      </c>
      <c r="J856" s="796">
        <f t="shared" si="26"/>
        <v>0.34101349918722168</v>
      </c>
    </row>
    <row r="857" spans="1:10">
      <c r="A857" s="322" t="s">
        <v>95</v>
      </c>
      <c r="B857" s="793">
        <v>44792</v>
      </c>
      <c r="C857" s="790">
        <v>21387</v>
      </c>
      <c r="D857" s="790">
        <v>3244</v>
      </c>
      <c r="E857" s="790">
        <v>8668</v>
      </c>
      <c r="F857" s="790">
        <v>12719</v>
      </c>
      <c r="G857" s="790">
        <v>363</v>
      </c>
      <c r="H857" s="790">
        <v>11138</v>
      </c>
      <c r="I857" s="790">
        <v>7481</v>
      </c>
      <c r="J857" s="796">
        <f t="shared" si="26"/>
        <v>0.38609932205258224</v>
      </c>
    </row>
    <row r="858" spans="1:10">
      <c r="A858" s="322" t="s">
        <v>96</v>
      </c>
      <c r="B858" s="793">
        <v>44793</v>
      </c>
      <c r="C858" s="790">
        <v>2782</v>
      </c>
      <c r="D858" s="790">
        <v>60</v>
      </c>
      <c r="E858" s="790">
        <v>758</v>
      </c>
      <c r="F858" s="790">
        <v>2024</v>
      </c>
      <c r="G858" s="790">
        <v>99</v>
      </c>
      <c r="H858" s="790">
        <v>1548</v>
      </c>
      <c r="I858" s="790">
        <v>970</v>
      </c>
      <c r="J858" s="796">
        <f t="shared" si="26"/>
        <v>0.43130051432770022</v>
      </c>
    </row>
    <row r="859" spans="1:10">
      <c r="A859" s="322" t="s">
        <v>98</v>
      </c>
      <c r="B859" s="793">
        <v>44794</v>
      </c>
      <c r="C859" s="790">
        <v>1460</v>
      </c>
      <c r="D859" s="790">
        <v>11</v>
      </c>
      <c r="E859" s="790">
        <v>632</v>
      </c>
      <c r="F859" s="790">
        <v>828</v>
      </c>
      <c r="G859" s="790">
        <v>84</v>
      </c>
      <c r="H859" s="790">
        <v>815</v>
      </c>
      <c r="I859" s="790">
        <v>474</v>
      </c>
      <c r="J859" s="796">
        <f t="shared" si="26"/>
        <v>0.43754313319530713</v>
      </c>
    </row>
    <row r="860" spans="1:10">
      <c r="A860" s="322" t="s">
        <v>99</v>
      </c>
      <c r="B860" s="793">
        <v>44795</v>
      </c>
      <c r="C860" s="790">
        <v>251</v>
      </c>
      <c r="D860" s="790">
        <v>8</v>
      </c>
      <c r="E860" s="790">
        <v>97</v>
      </c>
      <c r="F860" s="790">
        <v>154</v>
      </c>
      <c r="G860" s="790">
        <v>4</v>
      </c>
      <c r="H860" s="790">
        <v>130</v>
      </c>
      <c r="I860" s="790">
        <v>69</v>
      </c>
      <c r="J860" s="796">
        <f t="shared" si="26"/>
        <v>0.46502057613168724</v>
      </c>
    </row>
    <row r="861" spans="1:10">
      <c r="A861" s="322" t="s">
        <v>97</v>
      </c>
      <c r="B861" s="793">
        <v>44796</v>
      </c>
      <c r="C861" s="790">
        <v>17993</v>
      </c>
      <c r="D861" s="790">
        <v>838</v>
      </c>
      <c r="E861" s="790">
        <v>6053</v>
      </c>
      <c r="F861" s="790">
        <v>11940</v>
      </c>
      <c r="G861" s="790">
        <v>508</v>
      </c>
      <c r="H861" s="790">
        <v>11795</v>
      </c>
      <c r="I861" s="790">
        <v>6884</v>
      </c>
      <c r="J861" s="796">
        <f t="shared" si="26"/>
        <v>0.31244535120955985</v>
      </c>
    </row>
    <row r="862" spans="1:10">
      <c r="A862" s="322" t="s">
        <v>100</v>
      </c>
      <c r="B862" s="793">
        <v>44797</v>
      </c>
      <c r="C862" s="790">
        <v>11765</v>
      </c>
      <c r="D862" s="790">
        <v>232</v>
      </c>
      <c r="E862" s="790">
        <v>3741</v>
      </c>
      <c r="F862" s="790">
        <v>8024</v>
      </c>
      <c r="G862" s="790">
        <v>377</v>
      </c>
      <c r="H862" s="790">
        <v>8086</v>
      </c>
      <c r="I862" s="790">
        <v>5168</v>
      </c>
      <c r="J862" s="796">
        <f t="shared" si="26"/>
        <v>0.29888147056273306</v>
      </c>
    </row>
    <row r="863" spans="1:10">
      <c r="A863" s="322" t="s">
        <v>102</v>
      </c>
      <c r="B863" s="793">
        <v>44798</v>
      </c>
      <c r="C863" s="790">
        <v>1657</v>
      </c>
      <c r="D863" s="790">
        <v>28</v>
      </c>
      <c r="E863" s="790">
        <v>633</v>
      </c>
      <c r="F863" s="790">
        <v>1024</v>
      </c>
      <c r="G863" s="790">
        <v>91</v>
      </c>
      <c r="H863" s="790">
        <v>950</v>
      </c>
      <c r="I863" s="790">
        <v>620</v>
      </c>
      <c r="J863" s="796">
        <f t="shared" si="26"/>
        <v>0.4168201350521793</v>
      </c>
    </row>
    <row r="864" spans="1:10">
      <c r="A864" s="322" t="s">
        <v>101</v>
      </c>
      <c r="B864" s="793">
        <v>44799</v>
      </c>
      <c r="C864" s="790">
        <v>66560</v>
      </c>
      <c r="D864" s="790">
        <v>4122</v>
      </c>
      <c r="E864" s="790">
        <v>24395</v>
      </c>
      <c r="F864" s="790">
        <v>42165</v>
      </c>
      <c r="G864" s="790">
        <v>1227</v>
      </c>
      <c r="H864" s="790">
        <v>39316</v>
      </c>
      <c r="I864" s="790">
        <v>25174</v>
      </c>
      <c r="J864" s="796">
        <f t="shared" si="26"/>
        <v>0.3703193568019475</v>
      </c>
    </row>
    <row r="865" spans="1:10">
      <c r="A865" s="322" t="s">
        <v>103</v>
      </c>
      <c r="B865" s="793">
        <v>44800</v>
      </c>
      <c r="C865" s="790">
        <v>911</v>
      </c>
      <c r="D865" s="790">
        <v>15</v>
      </c>
      <c r="E865" s="790">
        <v>362</v>
      </c>
      <c r="F865" s="790">
        <v>549</v>
      </c>
      <c r="G865" s="790">
        <v>50</v>
      </c>
      <c r="H865" s="790">
        <v>516</v>
      </c>
      <c r="I865" s="790">
        <v>299</v>
      </c>
      <c r="J865" s="796">
        <f t="shared" si="26"/>
        <v>0.4241071428571429</v>
      </c>
    </row>
    <row r="866" spans="1:10">
      <c r="A866" s="322" t="s">
        <v>77</v>
      </c>
      <c r="B866" s="793">
        <v>44805</v>
      </c>
      <c r="C866" s="790">
        <v>739</v>
      </c>
      <c r="D866" s="790">
        <v>7</v>
      </c>
      <c r="E866" s="790">
        <v>386</v>
      </c>
      <c r="F866" s="790">
        <v>353</v>
      </c>
      <c r="G866" s="790">
        <v>34</v>
      </c>
      <c r="H866" s="790">
        <v>398</v>
      </c>
      <c r="I866" s="790">
        <v>214</v>
      </c>
      <c r="J866" s="796">
        <f t="shared" si="26"/>
        <v>0.45628415300546443</v>
      </c>
    </row>
    <row r="867" spans="1:10">
      <c r="A867" s="322" t="s">
        <v>78</v>
      </c>
      <c r="B867" s="793">
        <v>44806</v>
      </c>
      <c r="C867" s="790">
        <v>2222</v>
      </c>
      <c r="D867" s="790">
        <v>61</v>
      </c>
      <c r="E867" s="790">
        <v>596</v>
      </c>
      <c r="F867" s="790">
        <v>1626</v>
      </c>
      <c r="G867" s="790">
        <v>90</v>
      </c>
      <c r="H867" s="790">
        <v>1301</v>
      </c>
      <c r="I867" s="790">
        <v>862</v>
      </c>
      <c r="J867" s="796">
        <f t="shared" si="26"/>
        <v>0.39796390559925965</v>
      </c>
    </row>
    <row r="868" spans="1:10">
      <c r="A868" s="322" t="s">
        <v>80</v>
      </c>
      <c r="B868" s="793">
        <v>44807</v>
      </c>
      <c r="C868" s="790">
        <v>2353</v>
      </c>
      <c r="D868" s="790">
        <v>15</v>
      </c>
      <c r="E868" s="790">
        <v>944</v>
      </c>
      <c r="F868" s="790">
        <v>1409</v>
      </c>
      <c r="G868" s="790">
        <v>79</v>
      </c>
      <c r="H868" s="790">
        <v>1099</v>
      </c>
      <c r="I868" s="790">
        <v>605</v>
      </c>
      <c r="J868" s="796">
        <f t="shared" si="26"/>
        <v>0.52994011976047906</v>
      </c>
    </row>
    <row r="869" spans="1:10">
      <c r="A869" s="322" t="s">
        <v>79</v>
      </c>
      <c r="B869" s="793">
        <v>44808</v>
      </c>
      <c r="C869" s="790">
        <v>886</v>
      </c>
      <c r="D869" s="790">
        <v>5</v>
      </c>
      <c r="E869" s="790">
        <v>481</v>
      </c>
      <c r="F869" s="790">
        <v>405</v>
      </c>
      <c r="G869" s="790">
        <v>35</v>
      </c>
      <c r="H869" s="790">
        <v>417</v>
      </c>
      <c r="I869" s="790">
        <v>233</v>
      </c>
      <c r="J869" s="796">
        <f t="shared" si="26"/>
        <v>0.52667423382519862</v>
      </c>
    </row>
    <row r="870" spans="1:10">
      <c r="A870" s="322" t="s">
        <v>81</v>
      </c>
      <c r="B870" s="793">
        <v>44809</v>
      </c>
      <c r="C870" s="790">
        <v>7444</v>
      </c>
      <c r="D870" s="790">
        <v>754</v>
      </c>
      <c r="E870" s="790">
        <v>2749</v>
      </c>
      <c r="F870" s="790">
        <v>4695</v>
      </c>
      <c r="G870" s="790">
        <v>257</v>
      </c>
      <c r="H870" s="790">
        <v>4179</v>
      </c>
      <c r="I870" s="790">
        <v>2566</v>
      </c>
      <c r="J870" s="796">
        <f t="shared" si="26"/>
        <v>0.37533632286995511</v>
      </c>
    </row>
    <row r="871" spans="1:10">
      <c r="A871" s="322" t="s">
        <v>82</v>
      </c>
      <c r="B871" s="793">
        <v>44810</v>
      </c>
      <c r="C871" s="790">
        <v>4757</v>
      </c>
      <c r="D871" s="790">
        <v>173</v>
      </c>
      <c r="E871" s="790">
        <v>1847</v>
      </c>
      <c r="F871" s="790">
        <v>2910</v>
      </c>
      <c r="G871" s="790">
        <v>280</v>
      </c>
      <c r="H871" s="790">
        <v>3080</v>
      </c>
      <c r="I871" s="790">
        <v>2002</v>
      </c>
      <c r="J871" s="796">
        <f t="shared" si="26"/>
        <v>0.32809773123909247</v>
      </c>
    </row>
    <row r="872" spans="1:10">
      <c r="A872" s="322" t="s">
        <v>83</v>
      </c>
      <c r="B872" s="793">
        <v>44811</v>
      </c>
      <c r="C872" s="790">
        <v>6772</v>
      </c>
      <c r="D872" s="790">
        <v>424</v>
      </c>
      <c r="E872" s="790">
        <v>2392</v>
      </c>
      <c r="F872" s="790">
        <v>4380</v>
      </c>
      <c r="G872" s="790">
        <v>178</v>
      </c>
      <c r="H872" s="790">
        <v>4273</v>
      </c>
      <c r="I872" s="790">
        <v>2995</v>
      </c>
      <c r="J872" s="796">
        <f t="shared" si="26"/>
        <v>0.32687460617517328</v>
      </c>
    </row>
    <row r="873" spans="1:10">
      <c r="A873" s="322" t="s">
        <v>84</v>
      </c>
      <c r="B873" s="793">
        <v>44812</v>
      </c>
      <c r="C873" s="790">
        <v>4136</v>
      </c>
      <c r="D873" s="790">
        <v>72</v>
      </c>
      <c r="E873" s="790">
        <v>1090</v>
      </c>
      <c r="F873" s="790">
        <v>3046</v>
      </c>
      <c r="G873" s="790">
        <v>141</v>
      </c>
      <c r="H873" s="790">
        <v>3428</v>
      </c>
      <c r="I873" s="790">
        <v>2168</v>
      </c>
      <c r="J873" s="796">
        <f t="shared" si="26"/>
        <v>0.15649606299212604</v>
      </c>
    </row>
    <row r="874" spans="1:10">
      <c r="A874" s="322" t="s">
        <v>85</v>
      </c>
      <c r="B874" s="793">
        <v>44813</v>
      </c>
      <c r="C874" s="790">
        <v>5405</v>
      </c>
      <c r="D874" s="790">
        <v>194</v>
      </c>
      <c r="E874" s="790">
        <v>1701</v>
      </c>
      <c r="F874" s="790">
        <v>3704</v>
      </c>
      <c r="G874" s="790">
        <v>188</v>
      </c>
      <c r="H874" s="790">
        <v>3328</v>
      </c>
      <c r="I874" s="790">
        <v>2158</v>
      </c>
      <c r="J874" s="796">
        <f t="shared" si="26"/>
        <v>0.36135098829399348</v>
      </c>
    </row>
    <row r="875" spans="1:10">
      <c r="A875" s="322" t="s">
        <v>86</v>
      </c>
      <c r="B875" s="793">
        <v>44814</v>
      </c>
      <c r="C875" s="790">
        <v>2252</v>
      </c>
      <c r="D875" s="790">
        <v>25</v>
      </c>
      <c r="E875" s="790">
        <v>887</v>
      </c>
      <c r="F875" s="790">
        <v>1365</v>
      </c>
      <c r="G875" s="790">
        <v>91</v>
      </c>
      <c r="H875" s="790">
        <v>1145</v>
      </c>
      <c r="I875" s="790">
        <v>676</v>
      </c>
      <c r="J875" s="796">
        <f t="shared" si="26"/>
        <v>0.48585541086663675</v>
      </c>
    </row>
    <row r="876" spans="1:10">
      <c r="A876" s="322" t="s">
        <v>89</v>
      </c>
      <c r="B876" s="793">
        <v>44815</v>
      </c>
      <c r="C876" s="790">
        <v>17877</v>
      </c>
      <c r="D876" s="790">
        <v>647</v>
      </c>
      <c r="E876" s="790">
        <v>5417</v>
      </c>
      <c r="F876" s="790">
        <v>12460</v>
      </c>
      <c r="G876" s="790">
        <v>632</v>
      </c>
      <c r="H876" s="790">
        <v>11631</v>
      </c>
      <c r="I876" s="790">
        <v>7525</v>
      </c>
      <c r="J876" s="796">
        <f t="shared" si="26"/>
        <v>0.32495647127103888</v>
      </c>
    </row>
    <row r="877" spans="1:10">
      <c r="A877" s="322" t="s">
        <v>88</v>
      </c>
      <c r="B877" s="793">
        <v>44816</v>
      </c>
      <c r="C877" s="790">
        <v>3640</v>
      </c>
      <c r="D877" s="790">
        <v>69</v>
      </c>
      <c r="E877" s="790">
        <v>1359</v>
      </c>
      <c r="F877" s="790">
        <v>2281</v>
      </c>
      <c r="G877" s="790">
        <v>151</v>
      </c>
      <c r="H877" s="790">
        <v>1913</v>
      </c>
      <c r="I877" s="790">
        <v>1113</v>
      </c>
      <c r="J877" s="796">
        <f t="shared" si="26"/>
        <v>0.46429571548585835</v>
      </c>
    </row>
    <row r="878" spans="1:10">
      <c r="A878" s="322" t="s">
        <v>87</v>
      </c>
      <c r="B878" s="793">
        <v>44817</v>
      </c>
      <c r="C878" s="790">
        <v>3639</v>
      </c>
      <c r="D878" s="790">
        <v>52</v>
      </c>
      <c r="E878" s="790">
        <v>1214</v>
      </c>
      <c r="F878" s="790">
        <v>2425</v>
      </c>
      <c r="G878" s="790">
        <v>145</v>
      </c>
      <c r="H878" s="790">
        <v>2343</v>
      </c>
      <c r="I878" s="790">
        <v>1242</v>
      </c>
      <c r="J878" s="796">
        <f t="shared" si="26"/>
        <v>0.34680791747978812</v>
      </c>
    </row>
    <row r="879" spans="1:10">
      <c r="A879" s="322" t="s">
        <v>90</v>
      </c>
      <c r="B879" s="793">
        <v>44818</v>
      </c>
      <c r="C879" s="790">
        <v>3301</v>
      </c>
      <c r="D879" s="790">
        <v>134</v>
      </c>
      <c r="E879" s="790">
        <v>1165</v>
      </c>
      <c r="F879" s="790">
        <v>2136</v>
      </c>
      <c r="G879" s="790">
        <v>108</v>
      </c>
      <c r="H879" s="790">
        <v>1577</v>
      </c>
      <c r="I879" s="790">
        <v>884</v>
      </c>
      <c r="J879" s="796">
        <f t="shared" si="26"/>
        <v>0.50205241553520685</v>
      </c>
    </row>
    <row r="880" spans="1:10">
      <c r="A880" s="322" t="s">
        <v>91</v>
      </c>
      <c r="B880" s="793">
        <v>44819</v>
      </c>
      <c r="C880" s="790">
        <v>3193</v>
      </c>
      <c r="D880" s="790">
        <v>57</v>
      </c>
      <c r="E880" s="790">
        <v>1125</v>
      </c>
      <c r="F880" s="790">
        <v>2068</v>
      </c>
      <c r="G880" s="790">
        <v>152</v>
      </c>
      <c r="H880" s="790">
        <v>2009</v>
      </c>
      <c r="I880" s="790">
        <v>1231</v>
      </c>
      <c r="J880" s="796">
        <f t="shared" si="26"/>
        <v>0.359375</v>
      </c>
    </row>
    <row r="881" spans="1:10">
      <c r="A881" s="322" t="s">
        <v>93</v>
      </c>
      <c r="B881" s="793">
        <v>44820</v>
      </c>
      <c r="C881" s="790">
        <v>5633</v>
      </c>
      <c r="D881" s="790">
        <v>362</v>
      </c>
      <c r="E881" s="790">
        <v>1774</v>
      </c>
      <c r="F881" s="790">
        <v>3859</v>
      </c>
      <c r="G881" s="790">
        <v>207</v>
      </c>
      <c r="H881" s="790">
        <v>3429</v>
      </c>
      <c r="I881" s="790">
        <v>2180</v>
      </c>
      <c r="J881" s="796">
        <f t="shared" si="26"/>
        <v>0.34945930563460448</v>
      </c>
    </row>
    <row r="882" spans="1:10">
      <c r="A882" s="322" t="s">
        <v>94</v>
      </c>
      <c r="B882" s="793">
        <v>44821</v>
      </c>
      <c r="C882" s="790">
        <v>1613</v>
      </c>
      <c r="D882" s="790">
        <v>37</v>
      </c>
      <c r="E882" s="790">
        <v>561</v>
      </c>
      <c r="F882" s="790">
        <v>1052</v>
      </c>
      <c r="G882" s="790">
        <v>108</v>
      </c>
      <c r="H882" s="790">
        <v>969</v>
      </c>
      <c r="I882" s="790">
        <v>640</v>
      </c>
      <c r="J882" s="796">
        <f t="shared" si="26"/>
        <v>0.38515228426395942</v>
      </c>
    </row>
    <row r="883" spans="1:10">
      <c r="A883" s="322" t="s">
        <v>92</v>
      </c>
      <c r="B883" s="793">
        <v>44822</v>
      </c>
      <c r="C883" s="790">
        <v>14583</v>
      </c>
      <c r="D883" s="790">
        <v>376</v>
      </c>
      <c r="E883" s="790">
        <v>4781</v>
      </c>
      <c r="F883" s="790">
        <v>9802</v>
      </c>
      <c r="G883" s="790">
        <v>519</v>
      </c>
      <c r="H883" s="790">
        <v>9557</v>
      </c>
      <c r="I883" s="790">
        <v>5613</v>
      </c>
      <c r="J883" s="796">
        <f t="shared" si="26"/>
        <v>0.32730344196522843</v>
      </c>
    </row>
    <row r="884" spans="1:10">
      <c r="A884" s="322" t="s">
        <v>95</v>
      </c>
      <c r="B884" s="793">
        <v>44823</v>
      </c>
      <c r="C884" s="790">
        <v>21441</v>
      </c>
      <c r="D884" s="790">
        <v>3247</v>
      </c>
      <c r="E884" s="790">
        <v>8693</v>
      </c>
      <c r="F884" s="790">
        <v>12748</v>
      </c>
      <c r="G884" s="790">
        <v>433</v>
      </c>
      <c r="H884" s="790">
        <v>11518</v>
      </c>
      <c r="I884" s="790">
        <v>7775</v>
      </c>
      <c r="J884" s="796">
        <f t="shared" si="26"/>
        <v>0.3669341541167418</v>
      </c>
    </row>
    <row r="885" spans="1:10">
      <c r="A885" s="322" t="s">
        <v>96</v>
      </c>
      <c r="B885" s="793">
        <v>44824</v>
      </c>
      <c r="C885" s="790">
        <v>2789</v>
      </c>
      <c r="D885" s="790">
        <v>61</v>
      </c>
      <c r="E885" s="790">
        <v>760</v>
      </c>
      <c r="F885" s="790">
        <v>2029</v>
      </c>
      <c r="G885" s="790">
        <v>103</v>
      </c>
      <c r="H885" s="790">
        <v>1592</v>
      </c>
      <c r="I885" s="790">
        <v>989</v>
      </c>
      <c r="J885" s="796">
        <f t="shared" si="26"/>
        <v>0.41642228739002929</v>
      </c>
    </row>
    <row r="886" spans="1:10">
      <c r="A886" s="322" t="s">
        <v>98</v>
      </c>
      <c r="B886" s="793">
        <v>44825</v>
      </c>
      <c r="C886" s="790">
        <v>1471</v>
      </c>
      <c r="D886" s="790">
        <v>12</v>
      </c>
      <c r="E886" s="790">
        <v>638</v>
      </c>
      <c r="F886" s="790">
        <v>833</v>
      </c>
      <c r="G886" s="790">
        <v>95</v>
      </c>
      <c r="H886" s="790">
        <v>929</v>
      </c>
      <c r="I886" s="790">
        <v>522</v>
      </c>
      <c r="J886" s="796">
        <f t="shared" si="26"/>
        <v>0.36326250856751197</v>
      </c>
    </row>
    <row r="887" spans="1:10">
      <c r="A887" s="322" t="s">
        <v>99</v>
      </c>
      <c r="B887" s="793">
        <v>44826</v>
      </c>
      <c r="C887" s="790">
        <v>253</v>
      </c>
      <c r="D887" s="790">
        <v>8</v>
      </c>
      <c r="E887" s="790">
        <v>97</v>
      </c>
      <c r="F887" s="790">
        <v>156</v>
      </c>
      <c r="G887" s="790">
        <v>6</v>
      </c>
      <c r="H887" s="790">
        <v>134</v>
      </c>
      <c r="I887" s="790">
        <v>73</v>
      </c>
      <c r="J887" s="796">
        <f t="shared" si="26"/>
        <v>0.45306122448979591</v>
      </c>
    </row>
    <row r="888" spans="1:10">
      <c r="A888" s="322" t="s">
        <v>97</v>
      </c>
      <c r="B888" s="793">
        <v>44827</v>
      </c>
      <c r="C888" s="790">
        <v>18080</v>
      </c>
      <c r="D888" s="790">
        <v>843</v>
      </c>
      <c r="E888" s="790">
        <v>6074</v>
      </c>
      <c r="F888" s="790">
        <v>12006</v>
      </c>
      <c r="G888" s="790">
        <v>593</v>
      </c>
      <c r="H888" s="790">
        <v>12096</v>
      </c>
      <c r="I888" s="790">
        <v>7098</v>
      </c>
      <c r="J888" s="796">
        <f t="shared" si="26"/>
        <v>0.29825375645413932</v>
      </c>
    </row>
    <row r="889" spans="1:10">
      <c r="A889" s="322" t="s">
        <v>100</v>
      </c>
      <c r="B889" s="793">
        <v>44828</v>
      </c>
      <c r="C889" s="790">
        <v>11846</v>
      </c>
      <c r="D889" s="790">
        <v>234</v>
      </c>
      <c r="E889" s="790">
        <v>3756</v>
      </c>
      <c r="F889" s="790">
        <v>8090</v>
      </c>
      <c r="G889" s="790">
        <v>425</v>
      </c>
      <c r="H889" s="790">
        <v>8301</v>
      </c>
      <c r="I889" s="790">
        <v>5301</v>
      </c>
      <c r="J889" s="796">
        <f t="shared" si="26"/>
        <v>0.28513606613847742</v>
      </c>
    </row>
    <row r="890" spans="1:10">
      <c r="A890" s="322" t="s">
        <v>102</v>
      </c>
      <c r="B890" s="793">
        <v>44829</v>
      </c>
      <c r="C890" s="790">
        <v>1659</v>
      </c>
      <c r="D890" s="790">
        <v>28</v>
      </c>
      <c r="E890" s="790">
        <v>635</v>
      </c>
      <c r="F890" s="790">
        <v>1024</v>
      </c>
      <c r="G890" s="790">
        <v>100</v>
      </c>
      <c r="H890" s="790">
        <v>985</v>
      </c>
      <c r="I890" s="790">
        <v>641</v>
      </c>
      <c r="J890" s="796">
        <f t="shared" si="26"/>
        <v>0.39607602697731448</v>
      </c>
    </row>
    <row r="891" spans="1:10">
      <c r="A891" s="322" t="s">
        <v>101</v>
      </c>
      <c r="B891" s="793">
        <v>44830</v>
      </c>
      <c r="C891" s="790">
        <v>66788</v>
      </c>
      <c r="D891" s="790">
        <v>4159</v>
      </c>
      <c r="E891" s="790">
        <v>24494</v>
      </c>
      <c r="F891" s="790">
        <v>42294</v>
      </c>
      <c r="G891" s="790">
        <v>1375</v>
      </c>
      <c r="H891" s="790">
        <v>40448</v>
      </c>
      <c r="I891" s="790">
        <v>25908</v>
      </c>
      <c r="J891" s="796">
        <f t="shared" si="26"/>
        <v>0.35416500343291446</v>
      </c>
    </row>
    <row r="892" spans="1:10">
      <c r="A892" s="322" t="s">
        <v>103</v>
      </c>
      <c r="B892" s="793">
        <v>44831</v>
      </c>
      <c r="C892" s="790">
        <v>933</v>
      </c>
      <c r="D892" s="790">
        <v>15</v>
      </c>
      <c r="E892" s="790">
        <v>365</v>
      </c>
      <c r="F892" s="790">
        <v>568</v>
      </c>
      <c r="G892" s="790">
        <v>68</v>
      </c>
      <c r="H892" s="790">
        <v>551</v>
      </c>
      <c r="I892" s="790">
        <v>324</v>
      </c>
      <c r="J892" s="796">
        <f t="shared" si="26"/>
        <v>0.39978213507625271</v>
      </c>
    </row>
    <row r="893" spans="1:10">
      <c r="A893" s="322" t="s">
        <v>77</v>
      </c>
      <c r="B893" s="793">
        <v>44835</v>
      </c>
      <c r="J893" s="796" t="e">
        <f t="shared" si="26"/>
        <v>#DIV/0!</v>
      </c>
    </row>
    <row r="894" spans="1:10">
      <c r="A894" s="322" t="s">
        <v>78</v>
      </c>
      <c r="B894" s="793">
        <v>44836</v>
      </c>
      <c r="J894" s="796" t="e">
        <f t="shared" si="26"/>
        <v>#DIV/0!</v>
      </c>
    </row>
    <row r="895" spans="1:10">
      <c r="A895" s="322" t="s">
        <v>80</v>
      </c>
      <c r="B895" s="793">
        <v>44837</v>
      </c>
      <c r="J895" s="796" t="e">
        <f t="shared" si="26"/>
        <v>#DIV/0!</v>
      </c>
    </row>
    <row r="896" spans="1:10">
      <c r="A896" s="322" t="s">
        <v>79</v>
      </c>
      <c r="B896" s="793">
        <v>44838</v>
      </c>
      <c r="J896" s="796" t="e">
        <f t="shared" si="26"/>
        <v>#DIV/0!</v>
      </c>
    </row>
    <row r="897" spans="1:10">
      <c r="A897" s="322" t="s">
        <v>81</v>
      </c>
      <c r="B897" s="793">
        <v>44839</v>
      </c>
      <c r="J897" s="796" t="e">
        <f t="shared" si="26"/>
        <v>#DIV/0!</v>
      </c>
    </row>
    <row r="898" spans="1:10">
      <c r="A898" s="322" t="s">
        <v>82</v>
      </c>
      <c r="B898" s="793">
        <v>44840</v>
      </c>
      <c r="J898" s="796" t="e">
        <f t="shared" si="26"/>
        <v>#DIV/0!</v>
      </c>
    </row>
    <row r="899" spans="1:10">
      <c r="A899" s="322" t="s">
        <v>83</v>
      </c>
      <c r="B899" s="793">
        <v>44841</v>
      </c>
      <c r="J899" s="796" t="e">
        <f t="shared" ref="J899:J962" si="27">1-(H899/(C899-D899))</f>
        <v>#DIV/0!</v>
      </c>
    </row>
    <row r="900" spans="1:10">
      <c r="A900" s="322" t="s">
        <v>84</v>
      </c>
      <c r="B900" s="793">
        <v>44842</v>
      </c>
      <c r="J900" s="796" t="e">
        <f t="shared" si="27"/>
        <v>#DIV/0!</v>
      </c>
    </row>
    <row r="901" spans="1:10">
      <c r="A901" s="322" t="s">
        <v>85</v>
      </c>
      <c r="B901" s="793">
        <v>44843</v>
      </c>
      <c r="J901" s="796" t="e">
        <f t="shared" si="27"/>
        <v>#DIV/0!</v>
      </c>
    </row>
    <row r="902" spans="1:10">
      <c r="A902" s="322" t="s">
        <v>86</v>
      </c>
      <c r="B902" s="793">
        <v>44844</v>
      </c>
      <c r="J902" s="796" t="e">
        <f t="shared" si="27"/>
        <v>#DIV/0!</v>
      </c>
    </row>
    <row r="903" spans="1:10">
      <c r="A903" s="322" t="s">
        <v>89</v>
      </c>
      <c r="B903" s="793">
        <v>44845</v>
      </c>
      <c r="J903" s="796" t="e">
        <f t="shared" si="27"/>
        <v>#DIV/0!</v>
      </c>
    </row>
    <row r="904" spans="1:10">
      <c r="A904" s="322" t="s">
        <v>88</v>
      </c>
      <c r="B904" s="793">
        <v>44846</v>
      </c>
      <c r="J904" s="796" t="e">
        <f t="shared" si="27"/>
        <v>#DIV/0!</v>
      </c>
    </row>
    <row r="905" spans="1:10">
      <c r="A905" s="322" t="s">
        <v>87</v>
      </c>
      <c r="B905" s="793">
        <v>44847</v>
      </c>
      <c r="J905" s="796" t="e">
        <f t="shared" si="27"/>
        <v>#DIV/0!</v>
      </c>
    </row>
    <row r="906" spans="1:10">
      <c r="A906" s="322" t="s">
        <v>90</v>
      </c>
      <c r="B906" s="793">
        <v>44848</v>
      </c>
      <c r="J906" s="796" t="e">
        <f t="shared" si="27"/>
        <v>#DIV/0!</v>
      </c>
    </row>
    <row r="907" spans="1:10">
      <c r="A907" s="322" t="s">
        <v>91</v>
      </c>
      <c r="B907" s="793">
        <v>44849</v>
      </c>
      <c r="J907" s="796" t="e">
        <f t="shared" si="27"/>
        <v>#DIV/0!</v>
      </c>
    </row>
    <row r="908" spans="1:10">
      <c r="A908" s="322" t="s">
        <v>93</v>
      </c>
      <c r="B908" s="793">
        <v>44850</v>
      </c>
      <c r="J908" s="796" t="e">
        <f t="shared" si="27"/>
        <v>#DIV/0!</v>
      </c>
    </row>
    <row r="909" spans="1:10">
      <c r="A909" s="322" t="s">
        <v>94</v>
      </c>
      <c r="B909" s="793">
        <v>44851</v>
      </c>
      <c r="J909" s="796" t="e">
        <f t="shared" si="27"/>
        <v>#DIV/0!</v>
      </c>
    </row>
    <row r="910" spans="1:10">
      <c r="A910" s="322" t="s">
        <v>92</v>
      </c>
      <c r="B910" s="793">
        <v>44852</v>
      </c>
      <c r="J910" s="796" t="e">
        <f t="shared" si="27"/>
        <v>#DIV/0!</v>
      </c>
    </row>
    <row r="911" spans="1:10">
      <c r="A911" s="322" t="s">
        <v>95</v>
      </c>
      <c r="B911" s="793">
        <v>44853</v>
      </c>
      <c r="J911" s="796" t="e">
        <f t="shared" si="27"/>
        <v>#DIV/0!</v>
      </c>
    </row>
    <row r="912" spans="1:10">
      <c r="A912" s="322" t="s">
        <v>96</v>
      </c>
      <c r="B912" s="793">
        <v>44854</v>
      </c>
      <c r="J912" s="796" t="e">
        <f t="shared" si="27"/>
        <v>#DIV/0!</v>
      </c>
    </row>
    <row r="913" spans="1:10">
      <c r="A913" s="322" t="s">
        <v>98</v>
      </c>
      <c r="B913" s="793">
        <v>44855</v>
      </c>
      <c r="J913" s="796" t="e">
        <f t="shared" si="27"/>
        <v>#DIV/0!</v>
      </c>
    </row>
    <row r="914" spans="1:10">
      <c r="A914" s="322" t="s">
        <v>99</v>
      </c>
      <c r="B914" s="793">
        <v>44856</v>
      </c>
      <c r="J914" s="796" t="e">
        <f t="shared" si="27"/>
        <v>#DIV/0!</v>
      </c>
    </row>
    <row r="915" spans="1:10">
      <c r="A915" s="322" t="s">
        <v>97</v>
      </c>
      <c r="B915" s="793">
        <v>44857</v>
      </c>
      <c r="J915" s="796" t="e">
        <f t="shared" si="27"/>
        <v>#DIV/0!</v>
      </c>
    </row>
    <row r="916" spans="1:10">
      <c r="A916" s="322" t="s">
        <v>100</v>
      </c>
      <c r="B916" s="793">
        <v>44858</v>
      </c>
      <c r="J916" s="796" t="e">
        <f t="shared" si="27"/>
        <v>#DIV/0!</v>
      </c>
    </row>
    <row r="917" spans="1:10">
      <c r="A917" s="322" t="s">
        <v>102</v>
      </c>
      <c r="B917" s="793">
        <v>44859</v>
      </c>
      <c r="J917" s="796" t="e">
        <f t="shared" si="27"/>
        <v>#DIV/0!</v>
      </c>
    </row>
    <row r="918" spans="1:10">
      <c r="A918" s="322" t="s">
        <v>101</v>
      </c>
      <c r="B918" s="793">
        <v>44860</v>
      </c>
      <c r="J918" s="796" t="e">
        <f t="shared" si="27"/>
        <v>#DIV/0!</v>
      </c>
    </row>
    <row r="919" spans="1:10">
      <c r="A919" s="322" t="s">
        <v>103</v>
      </c>
      <c r="B919" s="793">
        <v>44861</v>
      </c>
      <c r="J919" s="796" t="e">
        <f t="shared" si="27"/>
        <v>#DIV/0!</v>
      </c>
    </row>
    <row r="920" spans="1:10">
      <c r="A920" s="322" t="s">
        <v>77</v>
      </c>
      <c r="B920" s="793">
        <v>44866</v>
      </c>
      <c r="J920" s="796" t="e">
        <f t="shared" si="27"/>
        <v>#DIV/0!</v>
      </c>
    </row>
    <row r="921" spans="1:10">
      <c r="A921" s="322" t="s">
        <v>78</v>
      </c>
      <c r="B921" s="793">
        <v>44867</v>
      </c>
      <c r="J921" s="796" t="e">
        <f t="shared" si="27"/>
        <v>#DIV/0!</v>
      </c>
    </row>
    <row r="922" spans="1:10">
      <c r="A922" s="322" t="s">
        <v>80</v>
      </c>
      <c r="B922" s="793">
        <v>44868</v>
      </c>
      <c r="J922" s="796" t="e">
        <f t="shared" si="27"/>
        <v>#DIV/0!</v>
      </c>
    </row>
    <row r="923" spans="1:10">
      <c r="A923" s="322" t="s">
        <v>79</v>
      </c>
      <c r="B923" s="793">
        <v>44869</v>
      </c>
      <c r="J923" s="796" t="e">
        <f t="shared" si="27"/>
        <v>#DIV/0!</v>
      </c>
    </row>
    <row r="924" spans="1:10">
      <c r="A924" s="322" t="s">
        <v>81</v>
      </c>
      <c r="B924" s="793">
        <v>44870</v>
      </c>
      <c r="J924" s="796" t="e">
        <f t="shared" si="27"/>
        <v>#DIV/0!</v>
      </c>
    </row>
    <row r="925" spans="1:10">
      <c r="A925" s="322" t="s">
        <v>82</v>
      </c>
      <c r="B925" s="793">
        <v>44871</v>
      </c>
      <c r="J925" s="796" t="e">
        <f t="shared" si="27"/>
        <v>#DIV/0!</v>
      </c>
    </row>
    <row r="926" spans="1:10">
      <c r="A926" s="322" t="s">
        <v>83</v>
      </c>
      <c r="B926" s="793">
        <v>44872</v>
      </c>
      <c r="J926" s="796" t="e">
        <f t="shared" si="27"/>
        <v>#DIV/0!</v>
      </c>
    </row>
    <row r="927" spans="1:10">
      <c r="A927" s="322" t="s">
        <v>84</v>
      </c>
      <c r="B927" s="793">
        <v>44873</v>
      </c>
      <c r="J927" s="796" t="e">
        <f t="shared" si="27"/>
        <v>#DIV/0!</v>
      </c>
    </row>
    <row r="928" spans="1:10">
      <c r="A928" s="322" t="s">
        <v>85</v>
      </c>
      <c r="B928" s="793">
        <v>44874</v>
      </c>
      <c r="J928" s="796" t="e">
        <f t="shared" si="27"/>
        <v>#DIV/0!</v>
      </c>
    </row>
    <row r="929" spans="1:10">
      <c r="A929" s="322" t="s">
        <v>86</v>
      </c>
      <c r="B929" s="793">
        <v>44875</v>
      </c>
      <c r="J929" s="796" t="e">
        <f t="shared" si="27"/>
        <v>#DIV/0!</v>
      </c>
    </row>
    <row r="930" spans="1:10">
      <c r="A930" s="322" t="s">
        <v>89</v>
      </c>
      <c r="B930" s="793">
        <v>44876</v>
      </c>
      <c r="J930" s="796" t="e">
        <f t="shared" si="27"/>
        <v>#DIV/0!</v>
      </c>
    </row>
    <row r="931" spans="1:10">
      <c r="A931" s="322" t="s">
        <v>88</v>
      </c>
      <c r="B931" s="793">
        <v>44877</v>
      </c>
      <c r="J931" s="796" t="e">
        <f t="shared" si="27"/>
        <v>#DIV/0!</v>
      </c>
    </row>
    <row r="932" spans="1:10">
      <c r="A932" s="322" t="s">
        <v>87</v>
      </c>
      <c r="B932" s="793">
        <v>44878</v>
      </c>
      <c r="J932" s="796" t="e">
        <f t="shared" si="27"/>
        <v>#DIV/0!</v>
      </c>
    </row>
    <row r="933" spans="1:10">
      <c r="A933" s="322" t="s">
        <v>90</v>
      </c>
      <c r="B933" s="793">
        <v>44879</v>
      </c>
      <c r="J933" s="796" t="e">
        <f t="shared" si="27"/>
        <v>#DIV/0!</v>
      </c>
    </row>
    <row r="934" spans="1:10">
      <c r="A934" s="322" t="s">
        <v>91</v>
      </c>
      <c r="B934" s="793">
        <v>44880</v>
      </c>
      <c r="J934" s="796" t="e">
        <f t="shared" si="27"/>
        <v>#DIV/0!</v>
      </c>
    </row>
    <row r="935" spans="1:10">
      <c r="A935" s="322" t="s">
        <v>93</v>
      </c>
      <c r="B935" s="793">
        <v>44881</v>
      </c>
      <c r="J935" s="796" t="e">
        <f t="shared" si="27"/>
        <v>#DIV/0!</v>
      </c>
    </row>
    <row r="936" spans="1:10">
      <c r="A936" s="322" t="s">
        <v>94</v>
      </c>
      <c r="B936" s="793">
        <v>44882</v>
      </c>
      <c r="J936" s="796" t="e">
        <f t="shared" si="27"/>
        <v>#DIV/0!</v>
      </c>
    </row>
    <row r="937" spans="1:10">
      <c r="A937" s="322" t="s">
        <v>92</v>
      </c>
      <c r="B937" s="793">
        <v>44883</v>
      </c>
      <c r="J937" s="796" t="e">
        <f t="shared" si="27"/>
        <v>#DIV/0!</v>
      </c>
    </row>
    <row r="938" spans="1:10">
      <c r="A938" s="322" t="s">
        <v>95</v>
      </c>
      <c r="B938" s="793">
        <v>44884</v>
      </c>
      <c r="J938" s="796" t="e">
        <f t="shared" si="27"/>
        <v>#DIV/0!</v>
      </c>
    </row>
    <row r="939" spans="1:10">
      <c r="A939" s="322" t="s">
        <v>96</v>
      </c>
      <c r="B939" s="793">
        <v>44885</v>
      </c>
      <c r="J939" s="796" t="e">
        <f t="shared" si="27"/>
        <v>#DIV/0!</v>
      </c>
    </row>
    <row r="940" spans="1:10">
      <c r="A940" s="322" t="s">
        <v>98</v>
      </c>
      <c r="B940" s="793">
        <v>44886</v>
      </c>
      <c r="J940" s="796" t="e">
        <f t="shared" si="27"/>
        <v>#DIV/0!</v>
      </c>
    </row>
    <row r="941" spans="1:10">
      <c r="A941" s="322" t="s">
        <v>99</v>
      </c>
      <c r="B941" s="793">
        <v>44887</v>
      </c>
      <c r="J941" s="796" t="e">
        <f t="shared" si="27"/>
        <v>#DIV/0!</v>
      </c>
    </row>
    <row r="942" spans="1:10">
      <c r="A942" s="322" t="s">
        <v>97</v>
      </c>
      <c r="B942" s="793">
        <v>44888</v>
      </c>
      <c r="J942" s="796" t="e">
        <f t="shared" si="27"/>
        <v>#DIV/0!</v>
      </c>
    </row>
    <row r="943" spans="1:10">
      <c r="A943" s="322" t="s">
        <v>100</v>
      </c>
      <c r="B943" s="793">
        <v>44889</v>
      </c>
      <c r="J943" s="796" t="e">
        <f t="shared" si="27"/>
        <v>#DIV/0!</v>
      </c>
    </row>
    <row r="944" spans="1:10">
      <c r="A944" s="322" t="s">
        <v>102</v>
      </c>
      <c r="B944" s="793">
        <v>44890</v>
      </c>
      <c r="J944" s="796" t="e">
        <f t="shared" si="27"/>
        <v>#DIV/0!</v>
      </c>
    </row>
    <row r="945" spans="1:10">
      <c r="A945" s="322" t="s">
        <v>101</v>
      </c>
      <c r="B945" s="793">
        <v>44891</v>
      </c>
      <c r="J945" s="796" t="e">
        <f t="shared" si="27"/>
        <v>#DIV/0!</v>
      </c>
    </row>
    <row r="946" spans="1:10">
      <c r="A946" s="322" t="s">
        <v>103</v>
      </c>
      <c r="B946" s="793">
        <v>44892</v>
      </c>
      <c r="J946" s="796" t="e">
        <f t="shared" si="27"/>
        <v>#DIV/0!</v>
      </c>
    </row>
    <row r="947" spans="1:10">
      <c r="A947" s="322" t="s">
        <v>77</v>
      </c>
      <c r="B947" s="793">
        <v>44896</v>
      </c>
      <c r="J947" s="796" t="e">
        <f t="shared" si="27"/>
        <v>#DIV/0!</v>
      </c>
    </row>
    <row r="948" spans="1:10">
      <c r="A948" s="322" t="s">
        <v>78</v>
      </c>
      <c r="B948" s="793">
        <v>44897</v>
      </c>
      <c r="J948" s="796" t="e">
        <f t="shared" si="27"/>
        <v>#DIV/0!</v>
      </c>
    </row>
    <row r="949" spans="1:10">
      <c r="A949" s="322" t="s">
        <v>80</v>
      </c>
      <c r="B949" s="793">
        <v>44898</v>
      </c>
      <c r="J949" s="796" t="e">
        <f t="shared" si="27"/>
        <v>#DIV/0!</v>
      </c>
    </row>
    <row r="950" spans="1:10">
      <c r="A950" s="322" t="s">
        <v>79</v>
      </c>
      <c r="B950" s="793">
        <v>44899</v>
      </c>
      <c r="J950" s="796" t="e">
        <f t="shared" si="27"/>
        <v>#DIV/0!</v>
      </c>
    </row>
    <row r="951" spans="1:10">
      <c r="A951" s="322" t="s">
        <v>81</v>
      </c>
      <c r="B951" s="793">
        <v>44900</v>
      </c>
      <c r="J951" s="796" t="e">
        <f t="shared" si="27"/>
        <v>#DIV/0!</v>
      </c>
    </row>
    <row r="952" spans="1:10">
      <c r="A952" s="322" t="s">
        <v>82</v>
      </c>
      <c r="B952" s="793">
        <v>44901</v>
      </c>
      <c r="J952" s="796" t="e">
        <f t="shared" si="27"/>
        <v>#DIV/0!</v>
      </c>
    </row>
    <row r="953" spans="1:10">
      <c r="A953" s="322" t="s">
        <v>83</v>
      </c>
      <c r="B953" s="793">
        <v>44902</v>
      </c>
      <c r="J953" s="796" t="e">
        <f t="shared" si="27"/>
        <v>#DIV/0!</v>
      </c>
    </row>
    <row r="954" spans="1:10">
      <c r="A954" s="322" t="s">
        <v>84</v>
      </c>
      <c r="B954" s="793">
        <v>44903</v>
      </c>
      <c r="J954" s="796" t="e">
        <f t="shared" si="27"/>
        <v>#DIV/0!</v>
      </c>
    </row>
    <row r="955" spans="1:10">
      <c r="A955" s="322" t="s">
        <v>85</v>
      </c>
      <c r="B955" s="793">
        <v>44904</v>
      </c>
      <c r="J955" s="796" t="e">
        <f t="shared" si="27"/>
        <v>#DIV/0!</v>
      </c>
    </row>
    <row r="956" spans="1:10">
      <c r="A956" s="322" t="s">
        <v>86</v>
      </c>
      <c r="B956" s="793">
        <v>44905</v>
      </c>
      <c r="J956" s="796" t="e">
        <f t="shared" si="27"/>
        <v>#DIV/0!</v>
      </c>
    </row>
    <row r="957" spans="1:10">
      <c r="A957" s="322" t="s">
        <v>89</v>
      </c>
      <c r="B957" s="793">
        <v>44906</v>
      </c>
      <c r="J957" s="796" t="e">
        <f t="shared" si="27"/>
        <v>#DIV/0!</v>
      </c>
    </row>
    <row r="958" spans="1:10">
      <c r="A958" s="322" t="s">
        <v>88</v>
      </c>
      <c r="B958" s="793">
        <v>44907</v>
      </c>
      <c r="J958" s="796" t="e">
        <f t="shared" si="27"/>
        <v>#DIV/0!</v>
      </c>
    </row>
    <row r="959" spans="1:10">
      <c r="A959" s="322" t="s">
        <v>87</v>
      </c>
      <c r="B959" s="793">
        <v>44908</v>
      </c>
      <c r="J959" s="796" t="e">
        <f t="shared" si="27"/>
        <v>#DIV/0!</v>
      </c>
    </row>
    <row r="960" spans="1:10">
      <c r="A960" s="322" t="s">
        <v>90</v>
      </c>
      <c r="B960" s="793">
        <v>44909</v>
      </c>
      <c r="J960" s="796" t="e">
        <f t="shared" si="27"/>
        <v>#DIV/0!</v>
      </c>
    </row>
    <row r="961" spans="1:10">
      <c r="A961" s="322" t="s">
        <v>91</v>
      </c>
      <c r="B961" s="793">
        <v>44910</v>
      </c>
      <c r="J961" s="796" t="e">
        <f t="shared" si="27"/>
        <v>#DIV/0!</v>
      </c>
    </row>
    <row r="962" spans="1:10">
      <c r="A962" s="322" t="s">
        <v>93</v>
      </c>
      <c r="B962" s="793">
        <v>44911</v>
      </c>
      <c r="J962" s="796" t="e">
        <f t="shared" si="27"/>
        <v>#DIV/0!</v>
      </c>
    </row>
    <row r="963" spans="1:10">
      <c r="A963" s="322" t="s">
        <v>94</v>
      </c>
      <c r="B963" s="793">
        <v>44912</v>
      </c>
      <c r="J963" s="796" t="e">
        <f t="shared" ref="J963:J973" si="28">1-(H963/(C963-D963))</f>
        <v>#DIV/0!</v>
      </c>
    </row>
    <row r="964" spans="1:10">
      <c r="A964" s="322" t="s">
        <v>92</v>
      </c>
      <c r="B964" s="793">
        <v>44913</v>
      </c>
      <c r="J964" s="796" t="e">
        <f t="shared" si="28"/>
        <v>#DIV/0!</v>
      </c>
    </row>
    <row r="965" spans="1:10">
      <c r="A965" s="322" t="s">
        <v>95</v>
      </c>
      <c r="B965" s="793">
        <v>44914</v>
      </c>
      <c r="J965" s="796" t="e">
        <f t="shared" si="28"/>
        <v>#DIV/0!</v>
      </c>
    </row>
    <row r="966" spans="1:10">
      <c r="A966" s="322" t="s">
        <v>96</v>
      </c>
      <c r="B966" s="793">
        <v>44915</v>
      </c>
      <c r="J966" s="796" t="e">
        <f t="shared" si="28"/>
        <v>#DIV/0!</v>
      </c>
    </row>
    <row r="967" spans="1:10">
      <c r="A967" s="322" t="s">
        <v>98</v>
      </c>
      <c r="B967" s="793">
        <v>44916</v>
      </c>
      <c r="J967" s="796" t="e">
        <f t="shared" si="28"/>
        <v>#DIV/0!</v>
      </c>
    </row>
    <row r="968" spans="1:10">
      <c r="A968" s="322" t="s">
        <v>99</v>
      </c>
      <c r="B968" s="793">
        <v>44917</v>
      </c>
      <c r="J968" s="796" t="e">
        <f t="shared" si="28"/>
        <v>#DIV/0!</v>
      </c>
    </row>
    <row r="969" spans="1:10">
      <c r="A969" s="322" t="s">
        <v>97</v>
      </c>
      <c r="B969" s="793">
        <v>44918</v>
      </c>
      <c r="J969" s="796" t="e">
        <f t="shared" si="28"/>
        <v>#DIV/0!</v>
      </c>
    </row>
    <row r="970" spans="1:10">
      <c r="A970" s="322" t="s">
        <v>100</v>
      </c>
      <c r="B970" s="793">
        <v>44919</v>
      </c>
      <c r="J970" s="796" t="e">
        <f t="shared" si="28"/>
        <v>#DIV/0!</v>
      </c>
    </row>
    <row r="971" spans="1:10">
      <c r="A971" s="322" t="s">
        <v>102</v>
      </c>
      <c r="B971" s="793">
        <v>44920</v>
      </c>
      <c r="J971" s="796" t="e">
        <f t="shared" si="28"/>
        <v>#DIV/0!</v>
      </c>
    </row>
    <row r="972" spans="1:10">
      <c r="A972" s="322" t="s">
        <v>101</v>
      </c>
      <c r="B972" s="793">
        <v>44921</v>
      </c>
      <c r="J972" s="796" t="e">
        <f t="shared" si="28"/>
        <v>#DIV/0!</v>
      </c>
    </row>
    <row r="973" spans="1:10">
      <c r="A973" s="322" t="s">
        <v>103</v>
      </c>
      <c r="B973" s="793">
        <v>44922</v>
      </c>
      <c r="J973" s="796" t="e">
        <f t="shared" si="28"/>
        <v>#DIV/0!</v>
      </c>
    </row>
  </sheetData>
  <autoFilter ref="A1:I973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7">
    <tabColor rgb="FF7030A0"/>
  </sheetPr>
  <dimension ref="A1:F973"/>
  <sheetViews>
    <sheetView workbookViewId="0">
      <pane ySplit="1" topLeftCell="A864" activePane="bottomLeft" state="frozen"/>
      <selection activeCell="A2" sqref="A2:AC37"/>
      <selection pane="bottomLeft" activeCell="A2" sqref="A2:AC37"/>
    </sheetView>
  </sheetViews>
  <sheetFormatPr defaultRowHeight="15"/>
  <cols>
    <col min="1" max="1" width="9.140625" style="790"/>
    <col min="2" max="2" width="17.5703125" style="793" customWidth="1"/>
    <col min="3" max="5" width="17.5703125" style="794" customWidth="1"/>
    <col min="6" max="8" width="16.28515625" style="790" customWidth="1"/>
    <col min="9" max="16384" width="9.140625" style="790"/>
  </cols>
  <sheetData>
    <row r="1" spans="1:6">
      <c r="A1" s="790" t="s">
        <v>172</v>
      </c>
      <c r="B1" s="793" t="s">
        <v>693</v>
      </c>
      <c r="C1" s="794" t="s">
        <v>221</v>
      </c>
      <c r="D1" s="794" t="s">
        <v>701</v>
      </c>
      <c r="E1" s="794" t="s">
        <v>702</v>
      </c>
      <c r="F1" s="790" t="s">
        <v>713</v>
      </c>
    </row>
    <row r="2" spans="1:6">
      <c r="A2" s="322" t="s">
        <v>77</v>
      </c>
      <c r="B2" s="793">
        <v>43831</v>
      </c>
      <c r="C2" s="794">
        <v>118</v>
      </c>
      <c r="D2" s="794">
        <v>16</v>
      </c>
      <c r="E2" s="794">
        <v>11</v>
      </c>
      <c r="F2" s="796">
        <f t="shared" ref="F2:F65" si="0">1-(D2/C2)</f>
        <v>0.86440677966101698</v>
      </c>
    </row>
    <row r="3" spans="1:6">
      <c r="A3" s="322" t="s">
        <v>78</v>
      </c>
      <c r="B3" s="793">
        <v>43831</v>
      </c>
      <c r="C3" s="794">
        <v>153</v>
      </c>
      <c r="D3" s="794">
        <v>34</v>
      </c>
      <c r="E3" s="794">
        <v>27</v>
      </c>
      <c r="F3" s="796">
        <f t="shared" si="0"/>
        <v>0.77777777777777779</v>
      </c>
    </row>
    <row r="4" spans="1:6">
      <c r="A4" s="322" t="s">
        <v>80</v>
      </c>
      <c r="B4" s="793">
        <v>43831</v>
      </c>
      <c r="C4" s="794">
        <v>303</v>
      </c>
      <c r="D4" s="794">
        <v>40</v>
      </c>
      <c r="E4" s="794">
        <v>27</v>
      </c>
      <c r="F4" s="796">
        <f t="shared" si="0"/>
        <v>0.86798679867986794</v>
      </c>
    </row>
    <row r="5" spans="1:6">
      <c r="A5" s="322" t="s">
        <v>79</v>
      </c>
      <c r="B5" s="793">
        <v>43831</v>
      </c>
      <c r="C5" s="794">
        <v>250</v>
      </c>
      <c r="D5" s="794">
        <v>15</v>
      </c>
      <c r="E5" s="794">
        <v>9</v>
      </c>
      <c r="F5" s="796">
        <f t="shared" si="0"/>
        <v>0.94</v>
      </c>
    </row>
    <row r="6" spans="1:6">
      <c r="A6" s="322" t="s">
        <v>81</v>
      </c>
      <c r="B6" s="793">
        <v>43831</v>
      </c>
      <c r="C6" s="794">
        <v>997</v>
      </c>
      <c r="D6" s="794">
        <v>202</v>
      </c>
      <c r="E6" s="794">
        <v>131</v>
      </c>
      <c r="F6" s="796">
        <f t="shared" si="0"/>
        <v>0.79739217652958883</v>
      </c>
    </row>
    <row r="7" spans="1:6">
      <c r="A7" s="322" t="s">
        <v>82</v>
      </c>
      <c r="B7" s="793">
        <v>43831</v>
      </c>
      <c r="C7" s="794">
        <v>390</v>
      </c>
      <c r="D7" s="794">
        <v>105</v>
      </c>
      <c r="E7" s="794">
        <v>70</v>
      </c>
      <c r="F7" s="796">
        <f t="shared" si="0"/>
        <v>0.73076923076923084</v>
      </c>
    </row>
    <row r="8" spans="1:6">
      <c r="A8" s="322" t="s">
        <v>83</v>
      </c>
      <c r="B8" s="793">
        <v>43831</v>
      </c>
      <c r="C8" s="794">
        <v>775</v>
      </c>
      <c r="D8" s="794">
        <v>149</v>
      </c>
      <c r="E8" s="794">
        <v>106</v>
      </c>
      <c r="F8" s="796">
        <f t="shared" si="0"/>
        <v>0.80774193548387097</v>
      </c>
    </row>
    <row r="9" spans="1:6">
      <c r="A9" s="322" t="s">
        <v>84</v>
      </c>
      <c r="B9" s="793">
        <v>43831</v>
      </c>
      <c r="C9" s="794">
        <v>513</v>
      </c>
      <c r="D9" s="794">
        <v>171</v>
      </c>
      <c r="E9" s="794">
        <v>128</v>
      </c>
      <c r="F9" s="796">
        <f t="shared" si="0"/>
        <v>0.66666666666666674</v>
      </c>
    </row>
    <row r="10" spans="1:6">
      <c r="A10" s="322" t="s">
        <v>85</v>
      </c>
      <c r="B10" s="793">
        <v>43831</v>
      </c>
      <c r="C10" s="794">
        <v>812</v>
      </c>
      <c r="D10" s="794">
        <v>121</v>
      </c>
      <c r="E10" s="794">
        <v>88</v>
      </c>
      <c r="F10" s="796">
        <f t="shared" si="0"/>
        <v>0.85098522167487678</v>
      </c>
    </row>
    <row r="11" spans="1:6">
      <c r="A11" s="322" t="s">
        <v>86</v>
      </c>
      <c r="B11" s="793">
        <v>43831</v>
      </c>
      <c r="C11" s="794">
        <v>271</v>
      </c>
      <c r="D11" s="794">
        <v>34</v>
      </c>
      <c r="E11" s="794">
        <v>25</v>
      </c>
      <c r="F11" s="796">
        <f t="shared" si="0"/>
        <v>0.87453874538745391</v>
      </c>
    </row>
    <row r="12" spans="1:6">
      <c r="A12" s="322" t="s">
        <v>89</v>
      </c>
      <c r="B12" s="793">
        <v>43831</v>
      </c>
      <c r="C12" s="794">
        <v>2193</v>
      </c>
      <c r="D12" s="794">
        <v>508</v>
      </c>
      <c r="E12" s="794">
        <v>352</v>
      </c>
      <c r="F12" s="796">
        <f t="shared" si="0"/>
        <v>0.76835385316917471</v>
      </c>
    </row>
    <row r="13" spans="1:6">
      <c r="A13" s="322" t="s">
        <v>88</v>
      </c>
      <c r="B13" s="793">
        <v>43831</v>
      </c>
      <c r="C13" s="794">
        <v>714</v>
      </c>
      <c r="D13" s="794">
        <v>111</v>
      </c>
      <c r="E13" s="794">
        <v>75</v>
      </c>
      <c r="F13" s="796">
        <f t="shared" si="0"/>
        <v>0.84453781512605042</v>
      </c>
    </row>
    <row r="14" spans="1:6">
      <c r="A14" s="322" t="s">
        <v>87</v>
      </c>
      <c r="B14" s="793">
        <v>43831</v>
      </c>
      <c r="C14" s="794">
        <v>560</v>
      </c>
      <c r="D14" s="794">
        <v>126</v>
      </c>
      <c r="E14" s="794">
        <v>76</v>
      </c>
      <c r="F14" s="796">
        <f t="shared" si="0"/>
        <v>0.77500000000000002</v>
      </c>
    </row>
    <row r="15" spans="1:6">
      <c r="A15" s="322" t="s">
        <v>90</v>
      </c>
      <c r="B15" s="793">
        <v>43831</v>
      </c>
      <c r="C15" s="794">
        <v>424</v>
      </c>
      <c r="D15" s="794">
        <v>53</v>
      </c>
      <c r="E15" s="794">
        <v>32</v>
      </c>
      <c r="F15" s="796">
        <f t="shared" si="0"/>
        <v>0.875</v>
      </c>
    </row>
    <row r="16" spans="1:6">
      <c r="A16" s="322" t="s">
        <v>91</v>
      </c>
      <c r="B16" s="793">
        <v>43831</v>
      </c>
      <c r="C16" s="794">
        <v>529</v>
      </c>
      <c r="D16" s="794">
        <v>50</v>
      </c>
      <c r="E16" s="794">
        <v>35</v>
      </c>
      <c r="F16" s="796">
        <f t="shared" si="0"/>
        <v>0.90548204158790169</v>
      </c>
    </row>
    <row r="17" spans="1:6">
      <c r="A17" s="322" t="s">
        <v>93</v>
      </c>
      <c r="B17" s="793">
        <v>43831</v>
      </c>
      <c r="C17" s="794">
        <v>682</v>
      </c>
      <c r="D17" s="794">
        <v>151</v>
      </c>
      <c r="E17" s="794">
        <v>101</v>
      </c>
      <c r="F17" s="796">
        <f t="shared" si="0"/>
        <v>0.77859237536656889</v>
      </c>
    </row>
    <row r="18" spans="1:6">
      <c r="A18" s="322" t="s">
        <v>94</v>
      </c>
      <c r="B18" s="793">
        <v>43831</v>
      </c>
      <c r="C18" s="794">
        <v>236</v>
      </c>
      <c r="D18" s="794">
        <v>51</v>
      </c>
      <c r="E18" s="794">
        <v>34</v>
      </c>
      <c r="F18" s="796">
        <f t="shared" si="0"/>
        <v>0.78389830508474578</v>
      </c>
    </row>
    <row r="19" spans="1:6">
      <c r="A19" s="322" t="s">
        <v>92</v>
      </c>
      <c r="B19" s="793">
        <v>43831</v>
      </c>
      <c r="C19" s="794">
        <v>3106</v>
      </c>
      <c r="D19" s="794">
        <v>677</v>
      </c>
      <c r="E19" s="794">
        <v>415</v>
      </c>
      <c r="F19" s="796">
        <f t="shared" si="0"/>
        <v>0.78203477141017386</v>
      </c>
    </row>
    <row r="20" spans="1:6">
      <c r="A20" s="322" t="s">
        <v>95</v>
      </c>
      <c r="B20" s="793">
        <v>43831</v>
      </c>
      <c r="C20" s="794">
        <v>3415</v>
      </c>
      <c r="D20" s="794">
        <v>375</v>
      </c>
      <c r="E20" s="794">
        <v>285</v>
      </c>
      <c r="F20" s="796">
        <f t="shared" si="0"/>
        <v>0.89019033674963399</v>
      </c>
    </row>
    <row r="21" spans="1:6">
      <c r="A21" s="322" t="s">
        <v>96</v>
      </c>
      <c r="B21" s="793">
        <v>43831</v>
      </c>
      <c r="C21" s="794">
        <v>322</v>
      </c>
      <c r="D21" s="794">
        <v>44</v>
      </c>
      <c r="E21" s="794">
        <v>28</v>
      </c>
      <c r="F21" s="796">
        <f t="shared" si="0"/>
        <v>0.86335403726708071</v>
      </c>
    </row>
    <row r="22" spans="1:6">
      <c r="A22" s="322" t="s">
        <v>98</v>
      </c>
      <c r="B22" s="793">
        <v>43831</v>
      </c>
      <c r="C22" s="794">
        <v>211</v>
      </c>
      <c r="D22" s="794">
        <v>27</v>
      </c>
      <c r="E22" s="794">
        <v>15</v>
      </c>
      <c r="F22" s="796">
        <f t="shared" si="0"/>
        <v>0.87203791469194314</v>
      </c>
    </row>
    <row r="23" spans="1:6">
      <c r="A23" s="322" t="s">
        <v>99</v>
      </c>
      <c r="B23" s="793">
        <v>43831</v>
      </c>
      <c r="C23" s="794">
        <v>56</v>
      </c>
      <c r="D23" s="794">
        <v>10</v>
      </c>
      <c r="E23" s="794">
        <v>7</v>
      </c>
      <c r="F23" s="796">
        <f t="shared" si="0"/>
        <v>0.8214285714285714</v>
      </c>
    </row>
    <row r="24" spans="1:6">
      <c r="A24" s="322" t="s">
        <v>97</v>
      </c>
      <c r="B24" s="793">
        <v>43831</v>
      </c>
      <c r="C24" s="794">
        <v>3075</v>
      </c>
      <c r="D24" s="794">
        <v>659</v>
      </c>
      <c r="E24" s="794">
        <v>430</v>
      </c>
      <c r="F24" s="796">
        <f t="shared" si="0"/>
        <v>0.78569105691056906</v>
      </c>
    </row>
    <row r="25" spans="1:6">
      <c r="A25" s="322" t="s">
        <v>100</v>
      </c>
      <c r="B25" s="793">
        <v>43831</v>
      </c>
      <c r="C25" s="794">
        <v>1998</v>
      </c>
      <c r="D25" s="794">
        <v>430</v>
      </c>
      <c r="E25" s="794">
        <v>297</v>
      </c>
      <c r="F25" s="796">
        <f t="shared" si="0"/>
        <v>0.78478478478478475</v>
      </c>
    </row>
    <row r="26" spans="1:6">
      <c r="A26" s="322" t="s">
        <v>102</v>
      </c>
      <c r="B26" s="793">
        <v>43831</v>
      </c>
      <c r="C26" s="794">
        <v>181</v>
      </c>
      <c r="D26" s="794">
        <v>42</v>
      </c>
      <c r="E26" s="794">
        <v>24</v>
      </c>
      <c r="F26" s="796">
        <f t="shared" si="0"/>
        <v>0.76795580110497241</v>
      </c>
    </row>
    <row r="27" spans="1:6">
      <c r="A27" s="322" t="s">
        <v>101</v>
      </c>
      <c r="B27" s="793">
        <v>43831</v>
      </c>
      <c r="C27" s="794">
        <v>8148</v>
      </c>
      <c r="D27" s="794">
        <v>2631</v>
      </c>
      <c r="E27" s="794">
        <v>1660</v>
      </c>
      <c r="F27" s="796">
        <f t="shared" si="0"/>
        <v>0.67709867452135497</v>
      </c>
    </row>
    <row r="28" spans="1:6">
      <c r="A28" s="322" t="s">
        <v>103</v>
      </c>
      <c r="B28" s="793">
        <v>43831</v>
      </c>
      <c r="C28" s="794">
        <v>230</v>
      </c>
      <c r="D28" s="794">
        <v>23</v>
      </c>
      <c r="E28" s="794">
        <v>11</v>
      </c>
      <c r="F28" s="796">
        <f t="shared" si="0"/>
        <v>0.9</v>
      </c>
    </row>
    <row r="29" spans="1:6">
      <c r="A29" s="322" t="s">
        <v>77</v>
      </c>
      <c r="B29" s="793">
        <v>43862</v>
      </c>
      <c r="C29" s="794">
        <v>121</v>
      </c>
      <c r="D29" s="794">
        <v>19</v>
      </c>
      <c r="E29" s="794">
        <v>12</v>
      </c>
      <c r="F29" s="796">
        <f t="shared" si="0"/>
        <v>0.84297520661157022</v>
      </c>
    </row>
    <row r="30" spans="1:6">
      <c r="A30" s="322" t="s">
        <v>78</v>
      </c>
      <c r="B30" s="793">
        <v>43863</v>
      </c>
      <c r="C30" s="794">
        <v>154</v>
      </c>
      <c r="D30" s="794">
        <v>35</v>
      </c>
      <c r="E30" s="794">
        <v>28</v>
      </c>
      <c r="F30" s="796">
        <f t="shared" si="0"/>
        <v>0.77272727272727271</v>
      </c>
    </row>
    <row r="31" spans="1:6">
      <c r="A31" s="322" t="s">
        <v>80</v>
      </c>
      <c r="B31" s="793">
        <v>43864</v>
      </c>
      <c r="C31" s="794">
        <v>306</v>
      </c>
      <c r="D31" s="794">
        <v>48</v>
      </c>
      <c r="E31" s="794">
        <v>32</v>
      </c>
      <c r="F31" s="796">
        <f t="shared" si="0"/>
        <v>0.84313725490196079</v>
      </c>
    </row>
    <row r="32" spans="1:6">
      <c r="A32" s="322" t="s">
        <v>79</v>
      </c>
      <c r="B32" s="793">
        <v>43865</v>
      </c>
      <c r="C32" s="794">
        <v>250</v>
      </c>
      <c r="D32" s="794">
        <v>19</v>
      </c>
      <c r="E32" s="794">
        <v>12</v>
      </c>
      <c r="F32" s="796">
        <f t="shared" si="0"/>
        <v>0.92400000000000004</v>
      </c>
    </row>
    <row r="33" spans="1:6">
      <c r="A33" s="322" t="s">
        <v>81</v>
      </c>
      <c r="B33" s="793">
        <v>43866</v>
      </c>
      <c r="C33" s="794">
        <v>1000</v>
      </c>
      <c r="D33" s="794">
        <v>216</v>
      </c>
      <c r="E33" s="794">
        <v>139</v>
      </c>
      <c r="F33" s="796">
        <f t="shared" si="0"/>
        <v>0.78400000000000003</v>
      </c>
    </row>
    <row r="34" spans="1:6">
      <c r="A34" s="322" t="s">
        <v>82</v>
      </c>
      <c r="B34" s="793">
        <v>43867</v>
      </c>
      <c r="C34" s="794">
        <v>396</v>
      </c>
      <c r="D34" s="794">
        <v>110</v>
      </c>
      <c r="E34" s="794">
        <v>75</v>
      </c>
      <c r="F34" s="796">
        <f t="shared" si="0"/>
        <v>0.72222222222222221</v>
      </c>
    </row>
    <row r="35" spans="1:6">
      <c r="A35" s="322" t="s">
        <v>83</v>
      </c>
      <c r="B35" s="793">
        <v>43868</v>
      </c>
      <c r="C35" s="794">
        <v>778</v>
      </c>
      <c r="D35" s="794">
        <v>162</v>
      </c>
      <c r="E35" s="794">
        <v>114</v>
      </c>
      <c r="F35" s="796">
        <f t="shared" si="0"/>
        <v>0.79177377892030854</v>
      </c>
    </row>
    <row r="36" spans="1:6">
      <c r="A36" s="322" t="s">
        <v>84</v>
      </c>
      <c r="B36" s="793">
        <v>43869</v>
      </c>
      <c r="C36" s="794">
        <v>517</v>
      </c>
      <c r="D36" s="794">
        <v>188</v>
      </c>
      <c r="E36" s="794">
        <v>140</v>
      </c>
      <c r="F36" s="796">
        <f t="shared" si="0"/>
        <v>0.63636363636363635</v>
      </c>
    </row>
    <row r="37" spans="1:6">
      <c r="A37" s="322" t="s">
        <v>85</v>
      </c>
      <c r="B37" s="793">
        <v>43870</v>
      </c>
      <c r="C37" s="794">
        <v>822</v>
      </c>
      <c r="D37" s="794">
        <v>140</v>
      </c>
      <c r="E37" s="794">
        <v>101</v>
      </c>
      <c r="F37" s="796">
        <f t="shared" si="0"/>
        <v>0.82968369829683697</v>
      </c>
    </row>
    <row r="38" spans="1:6">
      <c r="A38" s="322" t="s">
        <v>86</v>
      </c>
      <c r="B38" s="793">
        <v>43871</v>
      </c>
      <c r="C38" s="794">
        <v>273</v>
      </c>
      <c r="D38" s="794">
        <v>39</v>
      </c>
      <c r="E38" s="794">
        <v>28</v>
      </c>
      <c r="F38" s="796">
        <f t="shared" si="0"/>
        <v>0.85714285714285721</v>
      </c>
    </row>
    <row r="39" spans="1:6">
      <c r="A39" s="322" t="s">
        <v>89</v>
      </c>
      <c r="B39" s="793">
        <v>43872</v>
      </c>
      <c r="C39" s="794">
        <v>2201</v>
      </c>
      <c r="D39" s="794">
        <v>562</v>
      </c>
      <c r="E39" s="794">
        <v>386</v>
      </c>
      <c r="F39" s="796">
        <f t="shared" si="0"/>
        <v>0.74466151749204901</v>
      </c>
    </row>
    <row r="40" spans="1:6">
      <c r="A40" s="322" t="s">
        <v>88</v>
      </c>
      <c r="B40" s="793">
        <v>43873</v>
      </c>
      <c r="C40" s="794">
        <v>724</v>
      </c>
      <c r="D40" s="794">
        <v>121</v>
      </c>
      <c r="E40" s="794">
        <v>82</v>
      </c>
      <c r="F40" s="796">
        <f t="shared" si="0"/>
        <v>0.83287292817679559</v>
      </c>
    </row>
    <row r="41" spans="1:6">
      <c r="A41" s="322" t="s">
        <v>87</v>
      </c>
      <c r="B41" s="793">
        <v>43874</v>
      </c>
      <c r="C41" s="794">
        <v>568</v>
      </c>
      <c r="D41" s="794">
        <v>142</v>
      </c>
      <c r="E41" s="794">
        <v>86</v>
      </c>
      <c r="F41" s="796">
        <f t="shared" si="0"/>
        <v>0.75</v>
      </c>
    </row>
    <row r="42" spans="1:6">
      <c r="A42" s="322" t="s">
        <v>90</v>
      </c>
      <c r="B42" s="793">
        <v>43875</v>
      </c>
      <c r="C42" s="794">
        <v>427</v>
      </c>
      <c r="D42" s="794">
        <v>58</v>
      </c>
      <c r="E42" s="794">
        <v>33</v>
      </c>
      <c r="F42" s="796">
        <f t="shared" si="0"/>
        <v>0.86416861826697888</v>
      </c>
    </row>
    <row r="43" spans="1:6">
      <c r="A43" s="322" t="s">
        <v>91</v>
      </c>
      <c r="B43" s="793">
        <v>43876</v>
      </c>
      <c r="C43" s="794">
        <v>530</v>
      </c>
      <c r="D43" s="794">
        <v>57</v>
      </c>
      <c r="E43" s="794">
        <v>39</v>
      </c>
      <c r="F43" s="796">
        <f t="shared" si="0"/>
        <v>0.89245283018867927</v>
      </c>
    </row>
    <row r="44" spans="1:6">
      <c r="A44" s="322" t="s">
        <v>93</v>
      </c>
      <c r="B44" s="793">
        <v>43877</v>
      </c>
      <c r="C44" s="794">
        <v>684</v>
      </c>
      <c r="D44" s="794">
        <v>164</v>
      </c>
      <c r="E44" s="794">
        <v>110</v>
      </c>
      <c r="F44" s="796">
        <f t="shared" si="0"/>
        <v>0.76023391812865504</v>
      </c>
    </row>
    <row r="45" spans="1:6">
      <c r="A45" s="322" t="s">
        <v>94</v>
      </c>
      <c r="B45" s="793">
        <v>43878</v>
      </c>
      <c r="C45" s="794">
        <v>237</v>
      </c>
      <c r="D45" s="794">
        <v>58</v>
      </c>
      <c r="E45" s="794">
        <v>37</v>
      </c>
      <c r="F45" s="796">
        <f t="shared" si="0"/>
        <v>0.75527426160337552</v>
      </c>
    </row>
    <row r="46" spans="1:6">
      <c r="A46" s="322" t="s">
        <v>92</v>
      </c>
      <c r="B46" s="793">
        <v>43879</v>
      </c>
      <c r="C46" s="794">
        <v>3122</v>
      </c>
      <c r="D46" s="794">
        <v>734</v>
      </c>
      <c r="E46" s="794">
        <v>449</v>
      </c>
      <c r="F46" s="796">
        <f t="shared" si="0"/>
        <v>0.76489429852658553</v>
      </c>
    </row>
    <row r="47" spans="1:6">
      <c r="A47" s="322" t="s">
        <v>95</v>
      </c>
      <c r="B47" s="793">
        <v>43880</v>
      </c>
      <c r="C47" s="794">
        <v>3426</v>
      </c>
      <c r="D47" s="794">
        <v>842</v>
      </c>
      <c r="E47" s="794">
        <v>581</v>
      </c>
      <c r="F47" s="796">
        <f t="shared" si="0"/>
        <v>0.75423234092235847</v>
      </c>
    </row>
    <row r="48" spans="1:6">
      <c r="A48" s="322" t="s">
        <v>96</v>
      </c>
      <c r="B48" s="793">
        <v>43881</v>
      </c>
      <c r="C48" s="794">
        <v>322</v>
      </c>
      <c r="D48" s="794">
        <v>48</v>
      </c>
      <c r="E48" s="794">
        <v>31</v>
      </c>
      <c r="F48" s="796">
        <f t="shared" si="0"/>
        <v>0.85093167701863348</v>
      </c>
    </row>
    <row r="49" spans="1:6">
      <c r="A49" s="322" t="s">
        <v>98</v>
      </c>
      <c r="B49" s="793">
        <v>43882</v>
      </c>
      <c r="C49" s="794">
        <v>211</v>
      </c>
      <c r="D49" s="794">
        <v>30</v>
      </c>
      <c r="E49" s="794">
        <v>17</v>
      </c>
      <c r="F49" s="796">
        <f t="shared" si="0"/>
        <v>0.85781990521327012</v>
      </c>
    </row>
    <row r="50" spans="1:6">
      <c r="A50" s="322" t="s">
        <v>99</v>
      </c>
      <c r="B50" s="793">
        <v>43883</v>
      </c>
      <c r="C50" s="794">
        <v>58</v>
      </c>
      <c r="D50" s="794">
        <v>10</v>
      </c>
      <c r="E50" s="794">
        <v>7</v>
      </c>
      <c r="F50" s="796">
        <f t="shared" si="0"/>
        <v>0.82758620689655171</v>
      </c>
    </row>
    <row r="51" spans="1:6">
      <c r="A51" s="322" t="s">
        <v>97</v>
      </c>
      <c r="B51" s="793">
        <v>43884</v>
      </c>
      <c r="C51" s="794">
        <v>3084</v>
      </c>
      <c r="D51" s="794">
        <v>697</v>
      </c>
      <c r="E51" s="794">
        <v>455</v>
      </c>
      <c r="F51" s="796">
        <f t="shared" si="0"/>
        <v>0.77399481193255515</v>
      </c>
    </row>
    <row r="52" spans="1:6">
      <c r="A52" s="322" t="s">
        <v>100</v>
      </c>
      <c r="B52" s="793">
        <v>43885</v>
      </c>
      <c r="C52" s="794">
        <v>2005</v>
      </c>
      <c r="D52" s="794">
        <v>472</v>
      </c>
      <c r="E52" s="794">
        <v>325</v>
      </c>
      <c r="F52" s="796">
        <f t="shared" si="0"/>
        <v>0.76458852867830429</v>
      </c>
    </row>
    <row r="53" spans="1:6">
      <c r="A53" s="322" t="s">
        <v>102</v>
      </c>
      <c r="B53" s="793">
        <v>43886</v>
      </c>
      <c r="C53" s="794">
        <v>181</v>
      </c>
      <c r="D53" s="794">
        <v>45</v>
      </c>
      <c r="E53" s="794">
        <v>26</v>
      </c>
      <c r="F53" s="796">
        <f t="shared" si="0"/>
        <v>0.75138121546961323</v>
      </c>
    </row>
    <row r="54" spans="1:6">
      <c r="A54" s="322" t="s">
        <v>101</v>
      </c>
      <c r="B54" s="793">
        <v>43887</v>
      </c>
      <c r="C54" s="794">
        <v>8184</v>
      </c>
      <c r="D54" s="794">
        <v>2781</v>
      </c>
      <c r="E54" s="794">
        <v>1761</v>
      </c>
      <c r="F54" s="796">
        <f t="shared" si="0"/>
        <v>0.66019061583577709</v>
      </c>
    </row>
    <row r="55" spans="1:6">
      <c r="A55" s="322" t="s">
        <v>103</v>
      </c>
      <c r="B55" s="793">
        <v>43888</v>
      </c>
      <c r="C55" s="794">
        <v>231</v>
      </c>
      <c r="D55" s="794">
        <v>27</v>
      </c>
      <c r="E55" s="794">
        <v>12</v>
      </c>
      <c r="F55" s="796">
        <f t="shared" si="0"/>
        <v>0.88311688311688308</v>
      </c>
    </row>
    <row r="56" spans="1:6">
      <c r="A56" s="322" t="s">
        <v>77</v>
      </c>
      <c r="B56" s="793">
        <v>43891</v>
      </c>
      <c r="C56" s="794">
        <v>118</v>
      </c>
      <c r="D56" s="794">
        <v>25</v>
      </c>
      <c r="E56" s="794">
        <v>16</v>
      </c>
      <c r="F56" s="796">
        <f t="shared" si="0"/>
        <v>0.78813559322033899</v>
      </c>
    </row>
    <row r="57" spans="1:6">
      <c r="A57" s="322" t="s">
        <v>78</v>
      </c>
      <c r="B57" s="793">
        <v>43892</v>
      </c>
      <c r="C57" s="794">
        <v>146</v>
      </c>
      <c r="D57" s="794">
        <v>38</v>
      </c>
      <c r="E57" s="794">
        <v>30</v>
      </c>
      <c r="F57" s="796">
        <f t="shared" si="0"/>
        <v>0.73972602739726034</v>
      </c>
    </row>
    <row r="58" spans="1:6">
      <c r="A58" s="322" t="s">
        <v>80</v>
      </c>
      <c r="B58" s="793">
        <v>43893</v>
      </c>
      <c r="C58" s="794">
        <v>256</v>
      </c>
      <c r="D58" s="794">
        <v>57</v>
      </c>
      <c r="E58" s="794">
        <v>39</v>
      </c>
      <c r="F58" s="796">
        <f t="shared" si="0"/>
        <v>0.77734375</v>
      </c>
    </row>
    <row r="59" spans="1:6">
      <c r="A59" s="322" t="s">
        <v>79</v>
      </c>
      <c r="B59" s="793">
        <v>43894</v>
      </c>
      <c r="C59" s="794">
        <v>242</v>
      </c>
      <c r="D59" s="794">
        <v>30</v>
      </c>
      <c r="E59" s="794">
        <v>18</v>
      </c>
      <c r="F59" s="796">
        <f t="shared" si="0"/>
        <v>0.87603305785123964</v>
      </c>
    </row>
    <row r="60" spans="1:6">
      <c r="A60" s="322" t="s">
        <v>81</v>
      </c>
      <c r="B60" s="793">
        <v>43895</v>
      </c>
      <c r="C60" s="794">
        <v>930</v>
      </c>
      <c r="D60" s="794">
        <v>252</v>
      </c>
      <c r="E60" s="794">
        <v>158</v>
      </c>
      <c r="F60" s="796">
        <f t="shared" si="0"/>
        <v>0.7290322580645161</v>
      </c>
    </row>
    <row r="61" spans="1:6">
      <c r="A61" s="322" t="s">
        <v>82</v>
      </c>
      <c r="B61" s="793">
        <v>43896</v>
      </c>
      <c r="C61" s="794">
        <v>356</v>
      </c>
      <c r="D61" s="794">
        <v>129</v>
      </c>
      <c r="E61" s="794">
        <v>82</v>
      </c>
      <c r="F61" s="796">
        <f t="shared" si="0"/>
        <v>0.63764044943820219</v>
      </c>
    </row>
    <row r="62" spans="1:6">
      <c r="A62" s="322" t="s">
        <v>83</v>
      </c>
      <c r="B62" s="793">
        <v>43897</v>
      </c>
      <c r="C62" s="794">
        <v>700</v>
      </c>
      <c r="D62" s="794">
        <v>188</v>
      </c>
      <c r="E62" s="794">
        <v>123</v>
      </c>
      <c r="F62" s="796">
        <f t="shared" si="0"/>
        <v>0.73142857142857143</v>
      </c>
    </row>
    <row r="63" spans="1:6">
      <c r="A63" s="322" t="s">
        <v>84</v>
      </c>
      <c r="B63" s="793">
        <v>43898</v>
      </c>
      <c r="C63" s="794">
        <v>427</v>
      </c>
      <c r="D63" s="794">
        <v>216</v>
      </c>
      <c r="E63" s="794">
        <v>153</v>
      </c>
      <c r="F63" s="796">
        <f t="shared" si="0"/>
        <v>0.49414519906323184</v>
      </c>
    </row>
    <row r="64" spans="1:6">
      <c r="A64" s="322" t="s">
        <v>85</v>
      </c>
      <c r="B64" s="793">
        <v>43899</v>
      </c>
      <c r="C64" s="794">
        <v>614</v>
      </c>
      <c r="D64" s="794">
        <v>173</v>
      </c>
      <c r="E64" s="794">
        <v>120</v>
      </c>
      <c r="F64" s="796">
        <f t="shared" si="0"/>
        <v>0.71824104234527686</v>
      </c>
    </row>
    <row r="65" spans="1:6">
      <c r="A65" s="322" t="s">
        <v>86</v>
      </c>
      <c r="B65" s="793">
        <v>43900</v>
      </c>
      <c r="C65" s="794">
        <v>258</v>
      </c>
      <c r="D65" s="794">
        <v>43</v>
      </c>
      <c r="E65" s="794">
        <v>31</v>
      </c>
      <c r="F65" s="796">
        <f t="shared" si="0"/>
        <v>0.83333333333333337</v>
      </c>
    </row>
    <row r="66" spans="1:6">
      <c r="A66" s="322" t="s">
        <v>89</v>
      </c>
      <c r="B66" s="793">
        <v>43901</v>
      </c>
      <c r="C66" s="794">
        <v>1814</v>
      </c>
      <c r="D66" s="794">
        <v>666</v>
      </c>
      <c r="E66" s="794">
        <v>447</v>
      </c>
      <c r="F66" s="796">
        <f t="shared" ref="F66:F129" si="1">1-(D66/C66)</f>
        <v>0.63285556780595376</v>
      </c>
    </row>
    <row r="67" spans="1:6">
      <c r="A67" s="322" t="s">
        <v>88</v>
      </c>
      <c r="B67" s="793">
        <v>43902</v>
      </c>
      <c r="C67" s="794">
        <v>609</v>
      </c>
      <c r="D67" s="794">
        <v>149</v>
      </c>
      <c r="E67" s="794">
        <v>95</v>
      </c>
      <c r="F67" s="796">
        <f t="shared" si="1"/>
        <v>0.75533661740558289</v>
      </c>
    </row>
    <row r="68" spans="1:6">
      <c r="A68" s="322" t="s">
        <v>87</v>
      </c>
      <c r="B68" s="793">
        <v>43903</v>
      </c>
      <c r="C68" s="794">
        <v>536</v>
      </c>
      <c r="D68" s="794">
        <v>153</v>
      </c>
      <c r="E68" s="794">
        <v>87</v>
      </c>
      <c r="F68" s="796">
        <f t="shared" si="1"/>
        <v>0.71455223880597019</v>
      </c>
    </row>
    <row r="69" spans="1:6">
      <c r="A69" s="322" t="s">
        <v>90</v>
      </c>
      <c r="B69" s="793">
        <v>43904</v>
      </c>
      <c r="C69" s="794">
        <v>413</v>
      </c>
      <c r="D69" s="794">
        <v>75</v>
      </c>
      <c r="E69" s="794">
        <v>45</v>
      </c>
      <c r="F69" s="796">
        <f t="shared" si="1"/>
        <v>0.81840193704600483</v>
      </c>
    </row>
    <row r="70" spans="1:6">
      <c r="A70" s="322" t="s">
        <v>91</v>
      </c>
      <c r="B70" s="793">
        <v>43905</v>
      </c>
      <c r="C70" s="794">
        <v>461</v>
      </c>
      <c r="D70" s="794">
        <v>71</v>
      </c>
      <c r="E70" s="794">
        <v>47</v>
      </c>
      <c r="F70" s="796">
        <f t="shared" si="1"/>
        <v>0.84598698481561818</v>
      </c>
    </row>
    <row r="71" spans="1:6">
      <c r="A71" s="322" t="s">
        <v>93</v>
      </c>
      <c r="B71" s="793">
        <v>43906</v>
      </c>
      <c r="C71" s="794">
        <v>538</v>
      </c>
      <c r="D71" s="794">
        <v>190</v>
      </c>
      <c r="E71" s="794">
        <v>121</v>
      </c>
      <c r="F71" s="796">
        <f t="shared" si="1"/>
        <v>0.64684014869888473</v>
      </c>
    </row>
    <row r="72" spans="1:6">
      <c r="A72" s="322" t="s">
        <v>94</v>
      </c>
      <c r="B72" s="793">
        <v>43907</v>
      </c>
      <c r="C72" s="794">
        <v>218</v>
      </c>
      <c r="D72" s="794">
        <v>65</v>
      </c>
      <c r="E72" s="794">
        <v>39</v>
      </c>
      <c r="F72" s="796">
        <f t="shared" si="1"/>
        <v>0.70183486238532111</v>
      </c>
    </row>
    <row r="73" spans="1:6">
      <c r="A73" s="322" t="s">
        <v>92</v>
      </c>
      <c r="B73" s="793">
        <v>43908</v>
      </c>
      <c r="C73" s="794">
        <v>2614</v>
      </c>
      <c r="D73" s="794">
        <v>925</v>
      </c>
      <c r="E73" s="794">
        <v>540</v>
      </c>
      <c r="F73" s="796">
        <f t="shared" si="1"/>
        <v>0.64613618974751341</v>
      </c>
    </row>
    <row r="74" spans="1:6">
      <c r="A74" s="322" t="s">
        <v>95</v>
      </c>
      <c r="B74" s="793">
        <v>43909</v>
      </c>
      <c r="C74" s="794">
        <v>2740</v>
      </c>
      <c r="D74" s="794">
        <v>998</v>
      </c>
      <c r="E74" s="794">
        <v>676</v>
      </c>
      <c r="F74" s="796">
        <f t="shared" si="1"/>
        <v>0.63576642335766431</v>
      </c>
    </row>
    <row r="75" spans="1:6">
      <c r="A75" s="322" t="s">
        <v>96</v>
      </c>
      <c r="B75" s="793">
        <v>43910</v>
      </c>
      <c r="C75" s="794">
        <v>281</v>
      </c>
      <c r="D75" s="794">
        <v>60</v>
      </c>
      <c r="E75" s="794">
        <v>39</v>
      </c>
      <c r="F75" s="796">
        <f t="shared" si="1"/>
        <v>0.78647686832740216</v>
      </c>
    </row>
    <row r="76" spans="1:6">
      <c r="A76" s="322" t="s">
        <v>98</v>
      </c>
      <c r="B76" s="793">
        <v>43911</v>
      </c>
      <c r="C76" s="794">
        <v>200</v>
      </c>
      <c r="D76" s="794">
        <v>41</v>
      </c>
      <c r="E76" s="794">
        <v>24</v>
      </c>
      <c r="F76" s="796">
        <f t="shared" si="1"/>
        <v>0.79500000000000004</v>
      </c>
    </row>
    <row r="77" spans="1:6">
      <c r="A77" s="322" t="s">
        <v>99</v>
      </c>
      <c r="B77" s="793">
        <v>43912</v>
      </c>
      <c r="C77" s="794">
        <v>55</v>
      </c>
      <c r="D77" s="794">
        <v>14</v>
      </c>
      <c r="E77" s="794">
        <v>9</v>
      </c>
      <c r="F77" s="796">
        <f t="shared" si="1"/>
        <v>0.74545454545454548</v>
      </c>
    </row>
    <row r="78" spans="1:6">
      <c r="A78" s="322" t="s">
        <v>97</v>
      </c>
      <c r="B78" s="793">
        <v>43913</v>
      </c>
      <c r="C78" s="794">
        <v>2617</v>
      </c>
      <c r="D78" s="794">
        <v>840</v>
      </c>
      <c r="E78" s="794">
        <v>524</v>
      </c>
      <c r="F78" s="796">
        <f t="shared" si="1"/>
        <v>0.6790217806648835</v>
      </c>
    </row>
    <row r="79" spans="1:6">
      <c r="A79" s="322" t="s">
        <v>100</v>
      </c>
      <c r="B79" s="793">
        <v>43914</v>
      </c>
      <c r="C79" s="794">
        <v>1648</v>
      </c>
      <c r="D79" s="794">
        <v>560</v>
      </c>
      <c r="E79" s="794">
        <v>373</v>
      </c>
      <c r="F79" s="796">
        <f t="shared" si="1"/>
        <v>0.66019417475728148</v>
      </c>
    </row>
    <row r="80" spans="1:6">
      <c r="A80" s="322" t="s">
        <v>102</v>
      </c>
      <c r="B80" s="793">
        <v>43915</v>
      </c>
      <c r="C80" s="794">
        <v>158</v>
      </c>
      <c r="D80" s="794">
        <v>53</v>
      </c>
      <c r="E80" s="794">
        <v>32</v>
      </c>
      <c r="F80" s="796">
        <f t="shared" si="1"/>
        <v>0.66455696202531644</v>
      </c>
    </row>
    <row r="81" spans="1:6">
      <c r="A81" s="322" t="s">
        <v>101</v>
      </c>
      <c r="B81" s="793">
        <v>43916</v>
      </c>
      <c r="C81" s="794">
        <v>7221</v>
      </c>
      <c r="D81" s="794">
        <v>3205</v>
      </c>
      <c r="E81" s="794">
        <v>1952</v>
      </c>
      <c r="F81" s="796">
        <f t="shared" si="1"/>
        <v>0.55615565711120341</v>
      </c>
    </row>
    <row r="82" spans="1:6">
      <c r="A82" s="322" t="s">
        <v>103</v>
      </c>
      <c r="B82" s="793">
        <v>43917</v>
      </c>
      <c r="C82" s="794">
        <v>187</v>
      </c>
      <c r="D82" s="794">
        <v>33</v>
      </c>
      <c r="E82" s="794">
        <v>16</v>
      </c>
      <c r="F82" s="796">
        <f t="shared" si="1"/>
        <v>0.82352941176470584</v>
      </c>
    </row>
    <row r="83" spans="1:6">
      <c r="A83" s="322" t="s">
        <v>77</v>
      </c>
      <c r="B83" s="793">
        <v>43922</v>
      </c>
      <c r="C83" s="794">
        <v>118</v>
      </c>
      <c r="D83" s="794">
        <v>25</v>
      </c>
      <c r="E83" s="794">
        <v>16</v>
      </c>
      <c r="F83" s="796">
        <f t="shared" si="1"/>
        <v>0.78813559322033899</v>
      </c>
    </row>
    <row r="84" spans="1:6">
      <c r="A84" s="322" t="s">
        <v>78</v>
      </c>
      <c r="B84" s="793">
        <v>43923</v>
      </c>
      <c r="C84" s="794">
        <v>146</v>
      </c>
      <c r="D84" s="794">
        <v>38</v>
      </c>
      <c r="E84" s="794">
        <v>30</v>
      </c>
      <c r="F84" s="796">
        <f t="shared" si="1"/>
        <v>0.73972602739726034</v>
      </c>
    </row>
    <row r="85" spans="1:6">
      <c r="A85" s="322" t="s">
        <v>80</v>
      </c>
      <c r="B85" s="793">
        <v>43924</v>
      </c>
      <c r="C85" s="794">
        <v>256</v>
      </c>
      <c r="D85" s="794">
        <v>57</v>
      </c>
      <c r="E85" s="794">
        <v>39</v>
      </c>
      <c r="F85" s="796">
        <f t="shared" si="1"/>
        <v>0.77734375</v>
      </c>
    </row>
    <row r="86" spans="1:6">
      <c r="A86" s="322" t="s">
        <v>79</v>
      </c>
      <c r="B86" s="793">
        <v>43925</v>
      </c>
      <c r="C86" s="794">
        <v>242</v>
      </c>
      <c r="D86" s="794">
        <v>30</v>
      </c>
      <c r="E86" s="794">
        <v>18</v>
      </c>
      <c r="F86" s="796">
        <f t="shared" si="1"/>
        <v>0.87603305785123964</v>
      </c>
    </row>
    <row r="87" spans="1:6">
      <c r="A87" s="322" t="s">
        <v>81</v>
      </c>
      <c r="B87" s="793">
        <v>43926</v>
      </c>
      <c r="C87" s="794">
        <v>930</v>
      </c>
      <c r="D87" s="794">
        <v>252</v>
      </c>
      <c r="E87" s="794">
        <v>158</v>
      </c>
      <c r="F87" s="796">
        <f t="shared" si="1"/>
        <v>0.7290322580645161</v>
      </c>
    </row>
    <row r="88" spans="1:6">
      <c r="A88" s="322" t="s">
        <v>82</v>
      </c>
      <c r="B88" s="793">
        <v>43927</v>
      </c>
      <c r="C88" s="794">
        <v>356</v>
      </c>
      <c r="D88" s="794">
        <v>129</v>
      </c>
      <c r="E88" s="794">
        <v>82</v>
      </c>
      <c r="F88" s="796">
        <f t="shared" si="1"/>
        <v>0.63764044943820219</v>
      </c>
    </row>
    <row r="89" spans="1:6">
      <c r="A89" s="322" t="s">
        <v>83</v>
      </c>
      <c r="B89" s="793">
        <v>43928</v>
      </c>
      <c r="C89" s="794">
        <v>700</v>
      </c>
      <c r="D89" s="794">
        <v>188</v>
      </c>
      <c r="E89" s="794">
        <v>123</v>
      </c>
      <c r="F89" s="796">
        <f t="shared" si="1"/>
        <v>0.73142857142857143</v>
      </c>
    </row>
    <row r="90" spans="1:6">
      <c r="A90" s="322" t="s">
        <v>84</v>
      </c>
      <c r="B90" s="793">
        <v>43929</v>
      </c>
      <c r="C90" s="794">
        <v>427</v>
      </c>
      <c r="D90" s="794">
        <v>216</v>
      </c>
      <c r="E90" s="794">
        <v>153</v>
      </c>
      <c r="F90" s="796">
        <f t="shared" si="1"/>
        <v>0.49414519906323184</v>
      </c>
    </row>
    <row r="91" spans="1:6">
      <c r="A91" s="322" t="s">
        <v>85</v>
      </c>
      <c r="B91" s="793">
        <v>43930</v>
      </c>
      <c r="C91" s="794">
        <v>614</v>
      </c>
      <c r="D91" s="794">
        <v>173</v>
      </c>
      <c r="E91" s="794">
        <v>120</v>
      </c>
      <c r="F91" s="796">
        <f t="shared" si="1"/>
        <v>0.71824104234527686</v>
      </c>
    </row>
    <row r="92" spans="1:6">
      <c r="A92" s="322" t="s">
        <v>86</v>
      </c>
      <c r="B92" s="793">
        <v>43931</v>
      </c>
      <c r="C92" s="794">
        <v>258</v>
      </c>
      <c r="D92" s="794">
        <v>43</v>
      </c>
      <c r="E92" s="794">
        <v>31</v>
      </c>
      <c r="F92" s="796">
        <f t="shared" si="1"/>
        <v>0.83333333333333337</v>
      </c>
    </row>
    <row r="93" spans="1:6">
      <c r="A93" s="322" t="s">
        <v>89</v>
      </c>
      <c r="B93" s="793">
        <v>43932</v>
      </c>
      <c r="C93" s="794">
        <v>1814</v>
      </c>
      <c r="D93" s="794">
        <v>666</v>
      </c>
      <c r="E93" s="794">
        <v>447</v>
      </c>
      <c r="F93" s="796">
        <f t="shared" si="1"/>
        <v>0.63285556780595376</v>
      </c>
    </row>
    <row r="94" spans="1:6">
      <c r="A94" s="322" t="s">
        <v>88</v>
      </c>
      <c r="B94" s="793">
        <v>43933</v>
      </c>
      <c r="C94" s="794">
        <v>609</v>
      </c>
      <c r="D94" s="794">
        <v>149</v>
      </c>
      <c r="E94" s="794">
        <v>95</v>
      </c>
      <c r="F94" s="796">
        <f t="shared" si="1"/>
        <v>0.75533661740558289</v>
      </c>
    </row>
    <row r="95" spans="1:6">
      <c r="A95" s="322" t="s">
        <v>87</v>
      </c>
      <c r="B95" s="793">
        <v>43934</v>
      </c>
      <c r="C95" s="794">
        <v>536</v>
      </c>
      <c r="D95" s="794">
        <v>153</v>
      </c>
      <c r="E95" s="794">
        <v>87</v>
      </c>
      <c r="F95" s="796">
        <f t="shared" si="1"/>
        <v>0.71455223880597019</v>
      </c>
    </row>
    <row r="96" spans="1:6">
      <c r="A96" s="322" t="s">
        <v>90</v>
      </c>
      <c r="B96" s="793">
        <v>43935</v>
      </c>
      <c r="C96" s="794">
        <v>413</v>
      </c>
      <c r="D96" s="794">
        <v>75</v>
      </c>
      <c r="E96" s="794">
        <v>45</v>
      </c>
      <c r="F96" s="796">
        <f t="shared" si="1"/>
        <v>0.81840193704600483</v>
      </c>
    </row>
    <row r="97" spans="1:6">
      <c r="A97" s="322" t="s">
        <v>91</v>
      </c>
      <c r="B97" s="793">
        <v>43936</v>
      </c>
      <c r="C97" s="794">
        <v>461</v>
      </c>
      <c r="D97" s="794">
        <v>71</v>
      </c>
      <c r="E97" s="794">
        <v>47</v>
      </c>
      <c r="F97" s="796">
        <f t="shared" si="1"/>
        <v>0.84598698481561818</v>
      </c>
    </row>
    <row r="98" spans="1:6">
      <c r="A98" s="322" t="s">
        <v>93</v>
      </c>
      <c r="B98" s="793">
        <v>43937</v>
      </c>
      <c r="C98" s="794">
        <v>538</v>
      </c>
      <c r="D98" s="794">
        <v>190</v>
      </c>
      <c r="E98" s="794">
        <v>121</v>
      </c>
      <c r="F98" s="796">
        <f t="shared" si="1"/>
        <v>0.64684014869888473</v>
      </c>
    </row>
    <row r="99" spans="1:6">
      <c r="A99" s="322" t="s">
        <v>94</v>
      </c>
      <c r="B99" s="793">
        <v>43938</v>
      </c>
      <c r="C99" s="794">
        <v>218</v>
      </c>
      <c r="D99" s="794">
        <v>65</v>
      </c>
      <c r="E99" s="794">
        <v>39</v>
      </c>
      <c r="F99" s="796">
        <f t="shared" si="1"/>
        <v>0.70183486238532111</v>
      </c>
    </row>
    <row r="100" spans="1:6">
      <c r="A100" s="322" t="s">
        <v>92</v>
      </c>
      <c r="B100" s="793">
        <v>43939</v>
      </c>
      <c r="C100" s="794">
        <v>2614</v>
      </c>
      <c r="D100" s="794">
        <v>925</v>
      </c>
      <c r="E100" s="794">
        <v>540</v>
      </c>
      <c r="F100" s="796">
        <f t="shared" si="1"/>
        <v>0.64613618974751341</v>
      </c>
    </row>
    <row r="101" spans="1:6">
      <c r="A101" s="322" t="s">
        <v>95</v>
      </c>
      <c r="B101" s="793">
        <v>43940</v>
      </c>
      <c r="C101" s="794">
        <v>2740</v>
      </c>
      <c r="D101" s="794">
        <v>998</v>
      </c>
      <c r="E101" s="794">
        <v>676</v>
      </c>
      <c r="F101" s="796">
        <f t="shared" si="1"/>
        <v>0.63576642335766431</v>
      </c>
    </row>
    <row r="102" spans="1:6">
      <c r="A102" s="322" t="s">
        <v>96</v>
      </c>
      <c r="B102" s="793">
        <v>43941</v>
      </c>
      <c r="C102" s="794">
        <v>281</v>
      </c>
      <c r="D102" s="794">
        <v>60</v>
      </c>
      <c r="E102" s="794">
        <v>39</v>
      </c>
      <c r="F102" s="796">
        <f t="shared" si="1"/>
        <v>0.78647686832740216</v>
      </c>
    </row>
    <row r="103" spans="1:6">
      <c r="A103" s="322" t="s">
        <v>98</v>
      </c>
      <c r="B103" s="793">
        <v>43942</v>
      </c>
      <c r="C103" s="794">
        <v>200</v>
      </c>
      <c r="D103" s="794">
        <v>41</v>
      </c>
      <c r="E103" s="794">
        <v>24</v>
      </c>
      <c r="F103" s="796">
        <f t="shared" si="1"/>
        <v>0.79500000000000004</v>
      </c>
    </row>
    <row r="104" spans="1:6">
      <c r="A104" s="322" t="s">
        <v>99</v>
      </c>
      <c r="B104" s="793">
        <v>43943</v>
      </c>
      <c r="C104" s="794">
        <v>55</v>
      </c>
      <c r="D104" s="794">
        <v>14</v>
      </c>
      <c r="E104" s="794">
        <v>9</v>
      </c>
      <c r="F104" s="796">
        <f t="shared" si="1"/>
        <v>0.74545454545454548</v>
      </c>
    </row>
    <row r="105" spans="1:6">
      <c r="A105" s="322" t="s">
        <v>97</v>
      </c>
      <c r="B105" s="793">
        <v>43944</v>
      </c>
      <c r="C105" s="794">
        <v>2617</v>
      </c>
      <c r="D105" s="794">
        <v>840</v>
      </c>
      <c r="E105" s="794">
        <v>524</v>
      </c>
      <c r="F105" s="796">
        <f t="shared" si="1"/>
        <v>0.6790217806648835</v>
      </c>
    </row>
    <row r="106" spans="1:6">
      <c r="A106" s="322" t="s">
        <v>100</v>
      </c>
      <c r="B106" s="793">
        <v>43945</v>
      </c>
      <c r="C106" s="794">
        <v>1648</v>
      </c>
      <c r="D106" s="794">
        <v>560</v>
      </c>
      <c r="E106" s="794">
        <v>373</v>
      </c>
      <c r="F106" s="796">
        <f t="shared" si="1"/>
        <v>0.66019417475728148</v>
      </c>
    </row>
    <row r="107" spans="1:6">
      <c r="A107" s="322" t="s">
        <v>102</v>
      </c>
      <c r="B107" s="793">
        <v>43946</v>
      </c>
      <c r="C107" s="794">
        <v>158</v>
      </c>
      <c r="D107" s="794">
        <v>53</v>
      </c>
      <c r="E107" s="794">
        <v>32</v>
      </c>
      <c r="F107" s="796">
        <f t="shared" si="1"/>
        <v>0.66455696202531644</v>
      </c>
    </row>
    <row r="108" spans="1:6">
      <c r="A108" s="322" t="s">
        <v>101</v>
      </c>
      <c r="B108" s="793">
        <v>43947</v>
      </c>
      <c r="C108" s="794">
        <v>7221</v>
      </c>
      <c r="D108" s="794">
        <v>3205</v>
      </c>
      <c r="E108" s="794">
        <v>1952</v>
      </c>
      <c r="F108" s="796">
        <f t="shared" si="1"/>
        <v>0.55615565711120341</v>
      </c>
    </row>
    <row r="109" spans="1:6">
      <c r="A109" s="322" t="s">
        <v>103</v>
      </c>
      <c r="B109" s="793">
        <v>43948</v>
      </c>
      <c r="C109" s="794">
        <v>187</v>
      </c>
      <c r="D109" s="794">
        <v>33</v>
      </c>
      <c r="E109" s="794">
        <v>16</v>
      </c>
      <c r="F109" s="796">
        <f t="shared" si="1"/>
        <v>0.82352941176470584</v>
      </c>
    </row>
    <row r="110" spans="1:6">
      <c r="A110" s="322" t="s">
        <v>77</v>
      </c>
      <c r="B110" s="793">
        <v>43952</v>
      </c>
      <c r="C110" s="794">
        <v>119</v>
      </c>
      <c r="D110" s="794">
        <v>29</v>
      </c>
      <c r="E110" s="794">
        <v>17</v>
      </c>
      <c r="F110" s="796">
        <f t="shared" si="1"/>
        <v>0.75630252100840334</v>
      </c>
    </row>
    <row r="111" spans="1:6">
      <c r="A111" s="322" t="s">
        <v>78</v>
      </c>
      <c r="B111" s="793">
        <v>43953</v>
      </c>
      <c r="C111" s="794">
        <v>146</v>
      </c>
      <c r="D111" s="794">
        <v>41</v>
      </c>
      <c r="E111" s="794">
        <v>31</v>
      </c>
      <c r="F111" s="796">
        <f t="shared" si="1"/>
        <v>0.71917808219178081</v>
      </c>
    </row>
    <row r="112" spans="1:6">
      <c r="A112" s="322" t="s">
        <v>80</v>
      </c>
      <c r="B112" s="793">
        <v>43954</v>
      </c>
      <c r="C112" s="794">
        <v>242</v>
      </c>
      <c r="D112" s="794">
        <v>60</v>
      </c>
      <c r="E112" s="794">
        <v>41</v>
      </c>
      <c r="F112" s="796">
        <f t="shared" si="1"/>
        <v>0.75206611570247928</v>
      </c>
    </row>
    <row r="113" spans="1:6">
      <c r="A113" s="322" t="s">
        <v>79</v>
      </c>
      <c r="B113" s="793">
        <v>43955</v>
      </c>
      <c r="C113" s="794">
        <v>242</v>
      </c>
      <c r="D113" s="794">
        <v>34</v>
      </c>
      <c r="E113" s="794">
        <v>21</v>
      </c>
      <c r="F113" s="796">
        <f t="shared" si="1"/>
        <v>0.85950413223140498</v>
      </c>
    </row>
    <row r="114" spans="1:6">
      <c r="A114" s="322" t="s">
        <v>81</v>
      </c>
      <c r="B114" s="793">
        <v>43956</v>
      </c>
      <c r="C114" s="794">
        <v>933</v>
      </c>
      <c r="D114" s="794">
        <v>270</v>
      </c>
      <c r="E114" s="794">
        <v>171</v>
      </c>
      <c r="F114" s="796">
        <f t="shared" si="1"/>
        <v>0.71061093247588425</v>
      </c>
    </row>
    <row r="115" spans="1:6">
      <c r="A115" s="322" t="s">
        <v>82</v>
      </c>
      <c r="B115" s="793">
        <v>43957</v>
      </c>
      <c r="C115" s="794">
        <v>362</v>
      </c>
      <c r="D115" s="794">
        <v>136</v>
      </c>
      <c r="E115" s="794">
        <v>88</v>
      </c>
      <c r="F115" s="796">
        <f t="shared" si="1"/>
        <v>0.62430939226519344</v>
      </c>
    </row>
    <row r="116" spans="1:6">
      <c r="A116" s="322" t="s">
        <v>83</v>
      </c>
      <c r="B116" s="793">
        <v>43958</v>
      </c>
      <c r="C116" s="794">
        <v>705</v>
      </c>
      <c r="D116" s="794">
        <v>207</v>
      </c>
      <c r="E116" s="794">
        <v>134</v>
      </c>
      <c r="F116" s="796">
        <f t="shared" si="1"/>
        <v>0.70638297872340428</v>
      </c>
    </row>
    <row r="117" spans="1:6">
      <c r="A117" s="322" t="s">
        <v>84</v>
      </c>
      <c r="B117" s="793">
        <v>43959</v>
      </c>
      <c r="C117" s="794">
        <v>425</v>
      </c>
      <c r="D117" s="794">
        <v>222</v>
      </c>
      <c r="E117" s="794">
        <v>157</v>
      </c>
      <c r="F117" s="796">
        <f t="shared" si="1"/>
        <v>0.47764705882352942</v>
      </c>
    </row>
    <row r="118" spans="1:6">
      <c r="A118" s="322" t="s">
        <v>85</v>
      </c>
      <c r="B118" s="793">
        <v>43960</v>
      </c>
      <c r="C118" s="794">
        <v>622</v>
      </c>
      <c r="D118" s="794">
        <v>203</v>
      </c>
      <c r="E118" s="794">
        <v>143</v>
      </c>
      <c r="F118" s="796">
        <f t="shared" si="1"/>
        <v>0.67363344051446949</v>
      </c>
    </row>
    <row r="119" spans="1:6">
      <c r="A119" s="322" t="s">
        <v>86</v>
      </c>
      <c r="B119" s="793">
        <v>43961</v>
      </c>
      <c r="C119" s="794">
        <v>258</v>
      </c>
      <c r="D119" s="794">
        <v>44</v>
      </c>
      <c r="E119" s="794">
        <v>32</v>
      </c>
      <c r="F119" s="796">
        <f t="shared" si="1"/>
        <v>0.8294573643410853</v>
      </c>
    </row>
    <row r="120" spans="1:6">
      <c r="A120" s="322" t="s">
        <v>89</v>
      </c>
      <c r="B120" s="793">
        <v>43962</v>
      </c>
      <c r="C120" s="794">
        <v>1727</v>
      </c>
      <c r="D120" s="794">
        <v>709</v>
      </c>
      <c r="E120" s="794">
        <v>480</v>
      </c>
      <c r="F120" s="796">
        <f t="shared" si="1"/>
        <v>0.58946149392009262</v>
      </c>
    </row>
    <row r="121" spans="1:6">
      <c r="A121" s="322" t="s">
        <v>88</v>
      </c>
      <c r="B121" s="793">
        <v>43963</v>
      </c>
      <c r="C121" s="794">
        <v>614</v>
      </c>
      <c r="D121" s="794">
        <v>169</v>
      </c>
      <c r="E121" s="794">
        <v>111</v>
      </c>
      <c r="F121" s="796">
        <f t="shared" si="1"/>
        <v>0.72475570032573289</v>
      </c>
    </row>
    <row r="122" spans="1:6">
      <c r="A122" s="322" t="s">
        <v>87</v>
      </c>
      <c r="B122" s="793">
        <v>43964</v>
      </c>
      <c r="C122" s="794">
        <v>542</v>
      </c>
      <c r="D122" s="794">
        <v>169</v>
      </c>
      <c r="E122" s="794">
        <v>97</v>
      </c>
      <c r="F122" s="796">
        <f t="shared" si="1"/>
        <v>0.68819188191881919</v>
      </c>
    </row>
    <row r="123" spans="1:6">
      <c r="A123" s="322" t="s">
        <v>90</v>
      </c>
      <c r="B123" s="793">
        <v>43965</v>
      </c>
      <c r="C123" s="794">
        <v>392</v>
      </c>
      <c r="D123" s="794">
        <v>82</v>
      </c>
      <c r="E123" s="794">
        <v>49</v>
      </c>
      <c r="F123" s="796">
        <f t="shared" si="1"/>
        <v>0.79081632653061229</v>
      </c>
    </row>
    <row r="124" spans="1:6">
      <c r="A124" s="322" t="s">
        <v>91</v>
      </c>
      <c r="B124" s="793">
        <v>43966</v>
      </c>
      <c r="C124" s="794">
        <v>460</v>
      </c>
      <c r="D124" s="794">
        <v>80</v>
      </c>
      <c r="E124" s="794">
        <v>52</v>
      </c>
      <c r="F124" s="796">
        <f t="shared" si="1"/>
        <v>0.82608695652173914</v>
      </c>
    </row>
    <row r="125" spans="1:6">
      <c r="A125" s="322" t="s">
        <v>93</v>
      </c>
      <c r="B125" s="793">
        <v>43967</v>
      </c>
      <c r="C125" s="794">
        <v>535</v>
      </c>
      <c r="D125" s="794">
        <v>201</v>
      </c>
      <c r="E125" s="794">
        <v>129</v>
      </c>
      <c r="F125" s="796">
        <f t="shared" si="1"/>
        <v>0.62429906542056068</v>
      </c>
    </row>
    <row r="126" spans="1:6">
      <c r="A126" s="322" t="s">
        <v>94</v>
      </c>
      <c r="B126" s="793">
        <v>43968</v>
      </c>
      <c r="C126" s="794">
        <v>220</v>
      </c>
      <c r="D126" s="794">
        <v>68</v>
      </c>
      <c r="E126" s="794">
        <v>41</v>
      </c>
      <c r="F126" s="796">
        <f t="shared" si="1"/>
        <v>0.69090909090909092</v>
      </c>
    </row>
    <row r="127" spans="1:6">
      <c r="A127" s="322" t="s">
        <v>92</v>
      </c>
      <c r="B127" s="793">
        <v>43969</v>
      </c>
      <c r="C127" s="794">
        <v>2607</v>
      </c>
      <c r="D127" s="794">
        <v>1002</v>
      </c>
      <c r="E127" s="794">
        <v>594</v>
      </c>
      <c r="F127" s="796">
        <f t="shared" si="1"/>
        <v>0.6156501726121979</v>
      </c>
    </row>
    <row r="128" spans="1:6">
      <c r="A128" s="322" t="s">
        <v>95</v>
      </c>
      <c r="B128" s="793">
        <v>43970</v>
      </c>
      <c r="C128" s="794">
        <v>2732</v>
      </c>
      <c r="D128" s="794">
        <v>1047</v>
      </c>
      <c r="E128" s="794">
        <v>704</v>
      </c>
      <c r="F128" s="796">
        <f t="shared" si="1"/>
        <v>0.61676427525622257</v>
      </c>
    </row>
    <row r="129" spans="1:6">
      <c r="A129" s="322" t="s">
        <v>96</v>
      </c>
      <c r="B129" s="793">
        <v>43971</v>
      </c>
      <c r="C129" s="794">
        <v>281</v>
      </c>
      <c r="D129" s="794">
        <v>67</v>
      </c>
      <c r="E129" s="794">
        <v>44</v>
      </c>
      <c r="F129" s="796">
        <f t="shared" si="1"/>
        <v>0.76156583629893237</v>
      </c>
    </row>
    <row r="130" spans="1:6">
      <c r="A130" s="322" t="s">
        <v>98</v>
      </c>
      <c r="B130" s="793">
        <v>43972</v>
      </c>
      <c r="C130" s="794">
        <v>200</v>
      </c>
      <c r="D130" s="794">
        <v>49</v>
      </c>
      <c r="E130" s="794">
        <v>30</v>
      </c>
      <c r="F130" s="796">
        <f t="shared" ref="F130:F193" si="2">1-(D130/C130)</f>
        <v>0.755</v>
      </c>
    </row>
    <row r="131" spans="1:6">
      <c r="A131" s="322" t="s">
        <v>99</v>
      </c>
      <c r="B131" s="793">
        <v>43973</v>
      </c>
      <c r="C131" s="794">
        <v>55</v>
      </c>
      <c r="D131" s="794">
        <v>14</v>
      </c>
      <c r="E131" s="794">
        <v>9</v>
      </c>
      <c r="F131" s="796">
        <f t="shared" si="2"/>
        <v>0.74545454545454548</v>
      </c>
    </row>
    <row r="132" spans="1:6">
      <c r="A132" s="322" t="s">
        <v>97</v>
      </c>
      <c r="B132" s="793">
        <v>43974</v>
      </c>
      <c r="C132" s="794">
        <v>2609</v>
      </c>
      <c r="D132" s="794">
        <v>909</v>
      </c>
      <c r="E132" s="794">
        <v>567</v>
      </c>
      <c r="F132" s="796">
        <f t="shared" si="2"/>
        <v>0.65159064775776154</v>
      </c>
    </row>
    <row r="133" spans="1:6">
      <c r="A133" s="322" t="s">
        <v>100</v>
      </c>
      <c r="B133" s="793">
        <v>43975</v>
      </c>
      <c r="C133" s="794">
        <v>1656</v>
      </c>
      <c r="D133" s="794">
        <v>613</v>
      </c>
      <c r="E133" s="794">
        <v>401</v>
      </c>
      <c r="F133" s="796">
        <f t="shared" si="2"/>
        <v>0.62983091787439616</v>
      </c>
    </row>
    <row r="134" spans="1:6">
      <c r="A134" s="322" t="s">
        <v>102</v>
      </c>
      <c r="B134" s="793">
        <v>43976</v>
      </c>
      <c r="C134" s="794">
        <v>156</v>
      </c>
      <c r="D134" s="794">
        <v>56</v>
      </c>
      <c r="E134" s="794">
        <v>33</v>
      </c>
      <c r="F134" s="796">
        <f t="shared" si="2"/>
        <v>0.64102564102564097</v>
      </c>
    </row>
    <row r="135" spans="1:6">
      <c r="A135" s="322" t="s">
        <v>101</v>
      </c>
      <c r="B135" s="793">
        <v>43977</v>
      </c>
      <c r="C135" s="794">
        <v>7255</v>
      </c>
      <c r="D135" s="794">
        <v>3377</v>
      </c>
      <c r="E135" s="794">
        <v>2054</v>
      </c>
      <c r="F135" s="796">
        <f t="shared" si="2"/>
        <v>0.53452791178497594</v>
      </c>
    </row>
    <row r="136" spans="1:6">
      <c r="A136" s="322" t="s">
        <v>103</v>
      </c>
      <c r="B136" s="793">
        <v>43978</v>
      </c>
      <c r="C136" s="794">
        <v>187</v>
      </c>
      <c r="D136" s="794">
        <v>37</v>
      </c>
      <c r="E136" s="794">
        <v>19</v>
      </c>
      <c r="F136" s="796">
        <f t="shared" si="2"/>
        <v>0.80213903743315507</v>
      </c>
    </row>
    <row r="137" spans="1:6">
      <c r="A137" s="322" t="s">
        <v>77</v>
      </c>
      <c r="B137" s="793">
        <v>43983</v>
      </c>
      <c r="C137" s="794">
        <v>120</v>
      </c>
      <c r="D137" s="794">
        <v>32</v>
      </c>
      <c r="E137" s="794">
        <v>20</v>
      </c>
      <c r="F137" s="796">
        <f t="shared" si="2"/>
        <v>0.73333333333333339</v>
      </c>
    </row>
    <row r="138" spans="1:6">
      <c r="A138" s="322" t="s">
        <v>78</v>
      </c>
      <c r="B138" s="793">
        <v>43984</v>
      </c>
      <c r="C138" s="794">
        <v>146</v>
      </c>
      <c r="D138" s="794">
        <v>41</v>
      </c>
      <c r="E138" s="794">
        <v>31</v>
      </c>
      <c r="F138" s="796">
        <f t="shared" si="2"/>
        <v>0.71917808219178081</v>
      </c>
    </row>
    <row r="139" spans="1:6">
      <c r="A139" s="322" t="s">
        <v>80</v>
      </c>
      <c r="B139" s="793">
        <v>43985</v>
      </c>
      <c r="C139" s="794">
        <v>219</v>
      </c>
      <c r="D139" s="794">
        <v>63</v>
      </c>
      <c r="E139" s="794">
        <v>44</v>
      </c>
      <c r="F139" s="796">
        <f t="shared" si="2"/>
        <v>0.71232876712328763</v>
      </c>
    </row>
    <row r="140" spans="1:6">
      <c r="A140" s="322" t="s">
        <v>79</v>
      </c>
      <c r="B140" s="793">
        <v>43986</v>
      </c>
      <c r="C140" s="794">
        <v>243</v>
      </c>
      <c r="D140" s="794">
        <v>38</v>
      </c>
      <c r="E140" s="794">
        <v>24</v>
      </c>
      <c r="F140" s="796">
        <f t="shared" si="2"/>
        <v>0.84362139917695478</v>
      </c>
    </row>
    <row r="141" spans="1:6">
      <c r="A141" s="322" t="s">
        <v>81</v>
      </c>
      <c r="B141" s="793">
        <v>43987</v>
      </c>
      <c r="C141" s="794">
        <v>933</v>
      </c>
      <c r="D141" s="794">
        <v>288</v>
      </c>
      <c r="E141" s="794">
        <v>184</v>
      </c>
      <c r="F141" s="796">
        <f t="shared" si="2"/>
        <v>0.6913183279742765</v>
      </c>
    </row>
    <row r="142" spans="1:6">
      <c r="A142" s="322" t="s">
        <v>82</v>
      </c>
      <c r="B142" s="793">
        <v>43988</v>
      </c>
      <c r="C142" s="794">
        <v>361</v>
      </c>
      <c r="D142" s="794">
        <v>139</v>
      </c>
      <c r="E142" s="794">
        <v>90</v>
      </c>
      <c r="F142" s="796">
        <f t="shared" si="2"/>
        <v>0.61495844875346262</v>
      </c>
    </row>
    <row r="143" spans="1:6">
      <c r="A143" s="322" t="s">
        <v>83</v>
      </c>
      <c r="B143" s="793">
        <v>43989</v>
      </c>
      <c r="C143" s="794">
        <v>710</v>
      </c>
      <c r="D143" s="794">
        <v>225</v>
      </c>
      <c r="E143" s="794">
        <v>147</v>
      </c>
      <c r="F143" s="796">
        <f t="shared" si="2"/>
        <v>0.68309859154929575</v>
      </c>
    </row>
    <row r="144" spans="1:6">
      <c r="A144" s="322" t="s">
        <v>84</v>
      </c>
      <c r="B144" s="793">
        <v>43990</v>
      </c>
      <c r="C144" s="794">
        <v>427</v>
      </c>
      <c r="D144" s="794">
        <v>228</v>
      </c>
      <c r="E144" s="794">
        <v>161</v>
      </c>
      <c r="F144" s="796">
        <f t="shared" si="2"/>
        <v>0.46604215456674469</v>
      </c>
    </row>
    <row r="145" spans="1:6">
      <c r="A145" s="322" t="s">
        <v>85</v>
      </c>
      <c r="B145" s="793">
        <v>43991</v>
      </c>
      <c r="C145" s="794">
        <v>625</v>
      </c>
      <c r="D145" s="794">
        <v>217</v>
      </c>
      <c r="E145" s="794">
        <v>155</v>
      </c>
      <c r="F145" s="796">
        <f t="shared" si="2"/>
        <v>0.65280000000000005</v>
      </c>
    </row>
    <row r="146" spans="1:6">
      <c r="A146" s="322" t="s">
        <v>86</v>
      </c>
      <c r="B146" s="793">
        <v>43992</v>
      </c>
      <c r="C146" s="794">
        <v>259</v>
      </c>
      <c r="D146" s="794">
        <v>50</v>
      </c>
      <c r="E146" s="794">
        <v>35</v>
      </c>
      <c r="F146" s="796">
        <f t="shared" si="2"/>
        <v>0.80694980694980689</v>
      </c>
    </row>
    <row r="147" spans="1:6">
      <c r="A147" s="322" t="s">
        <v>89</v>
      </c>
      <c r="B147" s="793">
        <v>43993</v>
      </c>
      <c r="C147" s="794">
        <v>1721</v>
      </c>
      <c r="D147" s="794">
        <v>747</v>
      </c>
      <c r="E147" s="794">
        <v>506</v>
      </c>
      <c r="F147" s="796">
        <f t="shared" si="2"/>
        <v>0.56595002905287628</v>
      </c>
    </row>
    <row r="148" spans="1:6">
      <c r="A148" s="322" t="s">
        <v>88</v>
      </c>
      <c r="B148" s="793">
        <v>43994</v>
      </c>
      <c r="C148" s="794">
        <v>617</v>
      </c>
      <c r="D148" s="794">
        <v>183</v>
      </c>
      <c r="E148" s="794">
        <v>116</v>
      </c>
      <c r="F148" s="796">
        <f t="shared" si="2"/>
        <v>0.70340356564019446</v>
      </c>
    </row>
    <row r="149" spans="1:6">
      <c r="A149" s="322" t="s">
        <v>87</v>
      </c>
      <c r="B149" s="793">
        <v>43995</v>
      </c>
      <c r="C149" s="794">
        <v>546</v>
      </c>
      <c r="D149" s="794">
        <v>175</v>
      </c>
      <c r="E149" s="794">
        <v>100</v>
      </c>
      <c r="F149" s="796">
        <f t="shared" si="2"/>
        <v>0.67948717948717952</v>
      </c>
    </row>
    <row r="150" spans="1:6">
      <c r="A150" s="322" t="s">
        <v>90</v>
      </c>
      <c r="B150" s="793">
        <v>43996</v>
      </c>
      <c r="C150" s="794">
        <v>360</v>
      </c>
      <c r="D150" s="794">
        <v>91</v>
      </c>
      <c r="E150" s="794">
        <v>56</v>
      </c>
      <c r="F150" s="796">
        <f t="shared" si="2"/>
        <v>0.74722222222222223</v>
      </c>
    </row>
    <row r="151" spans="1:6">
      <c r="A151" s="322" t="s">
        <v>91</v>
      </c>
      <c r="B151" s="793">
        <v>43997</v>
      </c>
      <c r="C151" s="794">
        <v>461</v>
      </c>
      <c r="D151" s="794">
        <v>87</v>
      </c>
      <c r="E151" s="794">
        <v>57</v>
      </c>
      <c r="F151" s="796">
        <f t="shared" si="2"/>
        <v>0.81127982646420826</v>
      </c>
    </row>
    <row r="152" spans="1:6">
      <c r="A152" s="322" t="s">
        <v>93</v>
      </c>
      <c r="B152" s="793">
        <v>43998</v>
      </c>
      <c r="C152" s="794">
        <v>532</v>
      </c>
      <c r="D152" s="794">
        <v>208</v>
      </c>
      <c r="E152" s="794">
        <v>135</v>
      </c>
      <c r="F152" s="796">
        <f t="shared" si="2"/>
        <v>0.60902255639097747</v>
      </c>
    </row>
    <row r="153" spans="1:6">
      <c r="A153" s="322" t="s">
        <v>94</v>
      </c>
      <c r="B153" s="793">
        <v>43999</v>
      </c>
      <c r="C153" s="794">
        <v>221</v>
      </c>
      <c r="D153" s="794">
        <v>70</v>
      </c>
      <c r="E153" s="794">
        <v>43</v>
      </c>
      <c r="F153" s="796">
        <f t="shared" si="2"/>
        <v>0.68325791855203621</v>
      </c>
    </row>
    <row r="154" spans="1:6">
      <c r="A154" s="322" t="s">
        <v>92</v>
      </c>
      <c r="B154" s="793">
        <v>44000</v>
      </c>
      <c r="C154" s="794">
        <v>2624</v>
      </c>
      <c r="D154" s="794">
        <v>1071</v>
      </c>
      <c r="E154" s="794">
        <v>644</v>
      </c>
      <c r="F154" s="796">
        <f t="shared" si="2"/>
        <v>0.59184451219512191</v>
      </c>
    </row>
    <row r="155" spans="1:6">
      <c r="A155" s="322" t="s">
        <v>95</v>
      </c>
      <c r="B155" s="793">
        <v>44001</v>
      </c>
      <c r="C155" s="794">
        <v>2738</v>
      </c>
      <c r="D155" s="794">
        <v>1088</v>
      </c>
      <c r="E155" s="794">
        <v>737</v>
      </c>
      <c r="F155" s="796">
        <f t="shared" si="2"/>
        <v>0.60262965668371071</v>
      </c>
    </row>
    <row r="156" spans="1:6">
      <c r="A156" s="322" t="s">
        <v>96</v>
      </c>
      <c r="B156" s="793">
        <v>44002</v>
      </c>
      <c r="C156" s="794">
        <v>282</v>
      </c>
      <c r="D156" s="794">
        <v>72</v>
      </c>
      <c r="E156" s="794">
        <v>47</v>
      </c>
      <c r="F156" s="796">
        <f t="shared" si="2"/>
        <v>0.74468085106382986</v>
      </c>
    </row>
    <row r="157" spans="1:6">
      <c r="A157" s="322" t="s">
        <v>98</v>
      </c>
      <c r="B157" s="793">
        <v>44003</v>
      </c>
      <c r="C157" s="794">
        <v>203</v>
      </c>
      <c r="D157" s="794">
        <v>56</v>
      </c>
      <c r="E157" s="794">
        <v>35</v>
      </c>
      <c r="F157" s="796">
        <f t="shared" si="2"/>
        <v>0.72413793103448276</v>
      </c>
    </row>
    <row r="158" spans="1:6">
      <c r="A158" s="322" t="s">
        <v>99</v>
      </c>
      <c r="B158" s="793">
        <v>44004</v>
      </c>
      <c r="C158" s="794">
        <v>55</v>
      </c>
      <c r="D158" s="794">
        <v>14</v>
      </c>
      <c r="E158" s="794">
        <v>9</v>
      </c>
      <c r="F158" s="796">
        <f t="shared" si="2"/>
        <v>0.74545454545454548</v>
      </c>
    </row>
    <row r="159" spans="1:6">
      <c r="A159" s="322" t="s">
        <v>97</v>
      </c>
      <c r="B159" s="793">
        <v>44005</v>
      </c>
      <c r="C159" s="794">
        <v>2613</v>
      </c>
      <c r="D159" s="794">
        <v>961</v>
      </c>
      <c r="E159" s="794">
        <v>606</v>
      </c>
      <c r="F159" s="796">
        <f t="shared" si="2"/>
        <v>0.63222349789513976</v>
      </c>
    </row>
    <row r="160" spans="1:6">
      <c r="A160" s="322" t="s">
        <v>100</v>
      </c>
      <c r="B160" s="793">
        <v>44006</v>
      </c>
      <c r="C160" s="794">
        <v>1668</v>
      </c>
      <c r="D160" s="794">
        <v>663</v>
      </c>
      <c r="E160" s="794">
        <v>436</v>
      </c>
      <c r="F160" s="796">
        <f t="shared" si="2"/>
        <v>0.60251798561151082</v>
      </c>
    </row>
    <row r="161" spans="1:6">
      <c r="A161" s="322" t="s">
        <v>102</v>
      </c>
      <c r="B161" s="793">
        <v>44007</v>
      </c>
      <c r="C161" s="794">
        <v>156</v>
      </c>
      <c r="D161" s="794">
        <v>57</v>
      </c>
      <c r="E161" s="794">
        <v>34</v>
      </c>
      <c r="F161" s="796">
        <f t="shared" si="2"/>
        <v>0.63461538461538458</v>
      </c>
    </row>
    <row r="162" spans="1:6">
      <c r="A162" s="322" t="s">
        <v>101</v>
      </c>
      <c r="B162" s="793">
        <v>44008</v>
      </c>
      <c r="C162" s="794">
        <v>7282</v>
      </c>
      <c r="D162" s="794">
        <v>3484</v>
      </c>
      <c r="E162" s="794">
        <v>2134</v>
      </c>
      <c r="F162" s="796">
        <f t="shared" si="2"/>
        <v>0.52156001098599281</v>
      </c>
    </row>
    <row r="163" spans="1:6">
      <c r="A163" s="322" t="s">
        <v>103</v>
      </c>
      <c r="B163" s="793">
        <v>44009</v>
      </c>
      <c r="C163" s="794">
        <v>186</v>
      </c>
      <c r="D163" s="794">
        <v>42</v>
      </c>
      <c r="E163" s="794">
        <v>22</v>
      </c>
      <c r="F163" s="796">
        <f t="shared" si="2"/>
        <v>0.77419354838709675</v>
      </c>
    </row>
    <row r="164" spans="1:6">
      <c r="A164" s="322" t="s">
        <v>77</v>
      </c>
      <c r="B164" s="793">
        <v>44013</v>
      </c>
      <c r="C164" s="794">
        <v>120</v>
      </c>
      <c r="D164" s="794">
        <v>36</v>
      </c>
      <c r="E164" s="794">
        <v>24</v>
      </c>
      <c r="F164" s="796">
        <f t="shared" si="2"/>
        <v>0.7</v>
      </c>
    </row>
    <row r="165" spans="1:6">
      <c r="A165" s="322" t="s">
        <v>78</v>
      </c>
      <c r="B165" s="793">
        <v>44014</v>
      </c>
      <c r="C165" s="794">
        <v>146</v>
      </c>
      <c r="D165" s="794">
        <v>47</v>
      </c>
      <c r="E165" s="794">
        <v>37</v>
      </c>
      <c r="F165" s="796">
        <f t="shared" si="2"/>
        <v>0.67808219178082196</v>
      </c>
    </row>
    <row r="166" spans="1:6">
      <c r="A166" s="322" t="s">
        <v>80</v>
      </c>
      <c r="B166" s="793">
        <v>44015</v>
      </c>
      <c r="C166" s="794">
        <v>219</v>
      </c>
      <c r="D166" s="794">
        <v>74</v>
      </c>
      <c r="E166" s="794">
        <v>52</v>
      </c>
      <c r="F166" s="796">
        <f t="shared" si="2"/>
        <v>0.66210045662100458</v>
      </c>
    </row>
    <row r="167" spans="1:6">
      <c r="A167" s="322" t="s">
        <v>79</v>
      </c>
      <c r="B167" s="793">
        <v>44016</v>
      </c>
      <c r="C167" s="794">
        <v>243</v>
      </c>
      <c r="D167" s="794">
        <v>48</v>
      </c>
      <c r="E167" s="794">
        <v>34</v>
      </c>
      <c r="F167" s="796">
        <f t="shared" si="2"/>
        <v>0.80246913580246915</v>
      </c>
    </row>
    <row r="168" spans="1:6">
      <c r="A168" s="322" t="s">
        <v>81</v>
      </c>
      <c r="B168" s="793">
        <v>44017</v>
      </c>
      <c r="C168" s="794">
        <v>933</v>
      </c>
      <c r="D168" s="794">
        <v>319</v>
      </c>
      <c r="E168" s="794">
        <v>210</v>
      </c>
      <c r="F168" s="796">
        <f t="shared" si="2"/>
        <v>0.65809217577706325</v>
      </c>
    </row>
    <row r="169" spans="1:6">
      <c r="A169" s="322" t="s">
        <v>82</v>
      </c>
      <c r="B169" s="793">
        <v>44018</v>
      </c>
      <c r="C169" s="794">
        <v>361</v>
      </c>
      <c r="D169" s="794">
        <v>155</v>
      </c>
      <c r="E169" s="794">
        <v>106</v>
      </c>
      <c r="F169" s="796">
        <f t="shared" si="2"/>
        <v>0.5706371191135734</v>
      </c>
    </row>
    <row r="170" spans="1:6">
      <c r="A170" s="322" t="s">
        <v>83</v>
      </c>
      <c r="B170" s="793">
        <v>44019</v>
      </c>
      <c r="C170" s="794">
        <v>710</v>
      </c>
      <c r="D170" s="794">
        <v>242</v>
      </c>
      <c r="E170" s="794">
        <v>161</v>
      </c>
      <c r="F170" s="796">
        <f t="shared" si="2"/>
        <v>0.6591549295774648</v>
      </c>
    </row>
    <row r="171" spans="1:6">
      <c r="A171" s="322" t="s">
        <v>84</v>
      </c>
      <c r="B171" s="793">
        <v>44020</v>
      </c>
      <c r="C171" s="794">
        <v>427</v>
      </c>
      <c r="D171" s="794">
        <v>244</v>
      </c>
      <c r="E171" s="794">
        <v>173</v>
      </c>
      <c r="F171" s="796">
        <f t="shared" si="2"/>
        <v>0.4285714285714286</v>
      </c>
    </row>
    <row r="172" spans="1:6">
      <c r="A172" s="322" t="s">
        <v>85</v>
      </c>
      <c r="B172" s="793">
        <v>44021</v>
      </c>
      <c r="C172" s="794">
        <v>625</v>
      </c>
      <c r="D172" s="794">
        <v>243</v>
      </c>
      <c r="E172" s="794">
        <v>180</v>
      </c>
      <c r="F172" s="796">
        <f t="shared" si="2"/>
        <v>0.61119999999999997</v>
      </c>
    </row>
    <row r="173" spans="1:6">
      <c r="A173" s="322" t="s">
        <v>86</v>
      </c>
      <c r="B173" s="793">
        <v>44022</v>
      </c>
      <c r="C173" s="794">
        <v>259</v>
      </c>
      <c r="D173" s="794">
        <v>56</v>
      </c>
      <c r="E173" s="794">
        <v>40</v>
      </c>
      <c r="F173" s="796">
        <f t="shared" si="2"/>
        <v>0.78378378378378377</v>
      </c>
    </row>
    <row r="174" spans="1:6">
      <c r="A174" s="322" t="s">
        <v>89</v>
      </c>
      <c r="B174" s="793">
        <v>44023</v>
      </c>
      <c r="C174" s="794">
        <v>1721</v>
      </c>
      <c r="D174" s="794">
        <v>828</v>
      </c>
      <c r="E174" s="794">
        <v>576</v>
      </c>
      <c r="F174" s="796">
        <f t="shared" si="2"/>
        <v>0.51888436955258577</v>
      </c>
    </row>
    <row r="175" spans="1:6">
      <c r="A175" s="322" t="s">
        <v>88</v>
      </c>
      <c r="B175" s="793">
        <v>44024</v>
      </c>
      <c r="C175" s="794">
        <v>617</v>
      </c>
      <c r="D175" s="794">
        <v>206</v>
      </c>
      <c r="E175" s="794">
        <v>133</v>
      </c>
      <c r="F175" s="796">
        <f t="shared" si="2"/>
        <v>0.66612641815235007</v>
      </c>
    </row>
    <row r="176" spans="1:6">
      <c r="A176" s="322" t="s">
        <v>87</v>
      </c>
      <c r="B176" s="793">
        <v>44025</v>
      </c>
      <c r="C176" s="794">
        <v>546</v>
      </c>
      <c r="D176" s="794">
        <v>211</v>
      </c>
      <c r="E176" s="794">
        <v>134</v>
      </c>
      <c r="F176" s="796">
        <f t="shared" si="2"/>
        <v>0.61355311355311359</v>
      </c>
    </row>
    <row r="177" spans="1:6">
      <c r="A177" s="322" t="s">
        <v>90</v>
      </c>
      <c r="B177" s="793">
        <v>44026</v>
      </c>
      <c r="C177" s="794">
        <v>360</v>
      </c>
      <c r="D177" s="794">
        <v>104</v>
      </c>
      <c r="E177" s="794">
        <v>66</v>
      </c>
      <c r="F177" s="796">
        <f t="shared" si="2"/>
        <v>0.71111111111111114</v>
      </c>
    </row>
    <row r="178" spans="1:6">
      <c r="A178" s="322" t="s">
        <v>91</v>
      </c>
      <c r="B178" s="793">
        <v>44027</v>
      </c>
      <c r="C178" s="794">
        <v>461</v>
      </c>
      <c r="D178" s="794">
        <v>104</v>
      </c>
      <c r="E178" s="794">
        <v>70</v>
      </c>
      <c r="F178" s="796">
        <f t="shared" si="2"/>
        <v>0.77440347071583515</v>
      </c>
    </row>
    <row r="179" spans="1:6">
      <c r="A179" s="322" t="s">
        <v>93</v>
      </c>
      <c r="B179" s="793">
        <v>44028</v>
      </c>
      <c r="C179" s="794">
        <v>532</v>
      </c>
      <c r="D179" s="794">
        <v>223</v>
      </c>
      <c r="E179" s="794">
        <v>149</v>
      </c>
      <c r="F179" s="796">
        <f t="shared" si="2"/>
        <v>0.58082706766917291</v>
      </c>
    </row>
    <row r="180" spans="1:6">
      <c r="A180" s="322" t="s">
        <v>94</v>
      </c>
      <c r="B180" s="793">
        <v>44029</v>
      </c>
      <c r="C180" s="794">
        <v>221</v>
      </c>
      <c r="D180" s="794">
        <v>82</v>
      </c>
      <c r="E180" s="794">
        <v>52</v>
      </c>
      <c r="F180" s="796">
        <f t="shared" si="2"/>
        <v>0.62895927601809953</v>
      </c>
    </row>
    <row r="181" spans="1:6">
      <c r="A181" s="322" t="s">
        <v>92</v>
      </c>
      <c r="B181" s="793">
        <v>44030</v>
      </c>
      <c r="C181" s="794">
        <v>2624</v>
      </c>
      <c r="D181" s="794">
        <v>1265</v>
      </c>
      <c r="E181" s="794">
        <v>815</v>
      </c>
      <c r="F181" s="796">
        <f t="shared" si="2"/>
        <v>0.51791158536585358</v>
      </c>
    </row>
    <row r="182" spans="1:6">
      <c r="A182" s="322" t="s">
        <v>95</v>
      </c>
      <c r="B182" s="793">
        <v>44031</v>
      </c>
      <c r="C182" s="794">
        <v>2738</v>
      </c>
      <c r="D182" s="794">
        <v>1173</v>
      </c>
      <c r="E182" s="794">
        <v>801</v>
      </c>
      <c r="F182" s="796">
        <f t="shared" si="2"/>
        <v>0.57158509861212559</v>
      </c>
    </row>
    <row r="183" spans="1:6">
      <c r="A183" s="322" t="s">
        <v>96</v>
      </c>
      <c r="B183" s="793">
        <v>44032</v>
      </c>
      <c r="C183" s="794">
        <v>282</v>
      </c>
      <c r="D183" s="794">
        <v>77</v>
      </c>
      <c r="E183" s="794">
        <v>51</v>
      </c>
      <c r="F183" s="796">
        <f t="shared" si="2"/>
        <v>0.72695035460992907</v>
      </c>
    </row>
    <row r="184" spans="1:6">
      <c r="A184" s="322" t="s">
        <v>98</v>
      </c>
      <c r="B184" s="793">
        <v>44033</v>
      </c>
      <c r="C184" s="794">
        <v>203</v>
      </c>
      <c r="D184" s="794">
        <v>61</v>
      </c>
      <c r="E184" s="794">
        <v>40</v>
      </c>
      <c r="F184" s="796">
        <f t="shared" si="2"/>
        <v>0.69950738916256161</v>
      </c>
    </row>
    <row r="185" spans="1:6">
      <c r="A185" s="322" t="s">
        <v>99</v>
      </c>
      <c r="B185" s="793">
        <v>44034</v>
      </c>
      <c r="C185" s="794">
        <v>55</v>
      </c>
      <c r="D185" s="794">
        <v>15</v>
      </c>
      <c r="E185" s="794">
        <v>10</v>
      </c>
      <c r="F185" s="796">
        <f t="shared" si="2"/>
        <v>0.72727272727272729</v>
      </c>
    </row>
    <row r="186" spans="1:6">
      <c r="A186" s="322" t="s">
        <v>97</v>
      </c>
      <c r="B186" s="793">
        <v>44035</v>
      </c>
      <c r="C186" s="794">
        <v>2613</v>
      </c>
      <c r="D186" s="794">
        <v>1046</v>
      </c>
      <c r="E186" s="794">
        <v>683</v>
      </c>
      <c r="F186" s="796">
        <f t="shared" si="2"/>
        <v>0.59969383849980873</v>
      </c>
    </row>
    <row r="187" spans="1:6">
      <c r="A187" s="322" t="s">
        <v>100</v>
      </c>
      <c r="B187" s="793">
        <v>44036</v>
      </c>
      <c r="C187" s="794">
        <v>1668</v>
      </c>
      <c r="D187" s="794">
        <v>722</v>
      </c>
      <c r="E187" s="794">
        <v>479</v>
      </c>
      <c r="F187" s="796">
        <f t="shared" si="2"/>
        <v>0.56714628297362113</v>
      </c>
    </row>
    <row r="188" spans="1:6">
      <c r="A188" s="322" t="s">
        <v>102</v>
      </c>
      <c r="B188" s="793">
        <v>44037</v>
      </c>
      <c r="C188" s="794">
        <v>156</v>
      </c>
      <c r="D188" s="794">
        <v>63</v>
      </c>
      <c r="E188" s="794">
        <v>40</v>
      </c>
      <c r="F188" s="796">
        <f t="shared" si="2"/>
        <v>0.59615384615384615</v>
      </c>
    </row>
    <row r="189" spans="1:6">
      <c r="A189" s="322" t="s">
        <v>101</v>
      </c>
      <c r="B189" s="793">
        <v>44038</v>
      </c>
      <c r="C189" s="794">
        <v>7282</v>
      </c>
      <c r="D189" s="794">
        <v>3619</v>
      </c>
      <c r="E189" s="794">
        <v>2236</v>
      </c>
      <c r="F189" s="796">
        <f t="shared" si="2"/>
        <v>0.50302114803625375</v>
      </c>
    </row>
    <row r="190" spans="1:6">
      <c r="A190" s="322" t="s">
        <v>103</v>
      </c>
      <c r="B190" s="793">
        <v>44039</v>
      </c>
      <c r="C190" s="794">
        <v>186</v>
      </c>
      <c r="D190" s="794">
        <v>47</v>
      </c>
      <c r="E190" s="794">
        <v>26</v>
      </c>
      <c r="F190" s="796">
        <f t="shared" si="2"/>
        <v>0.74731182795698925</v>
      </c>
    </row>
    <row r="191" spans="1:6">
      <c r="A191" s="322" t="s">
        <v>77</v>
      </c>
      <c r="B191" s="793">
        <v>44044</v>
      </c>
      <c r="C191" s="794">
        <v>123</v>
      </c>
      <c r="D191" s="794">
        <v>43</v>
      </c>
      <c r="E191" s="794">
        <v>29</v>
      </c>
      <c r="F191" s="796">
        <f t="shared" si="2"/>
        <v>0.65040650406504064</v>
      </c>
    </row>
    <row r="192" spans="1:6">
      <c r="A192" s="322" t="s">
        <v>78</v>
      </c>
      <c r="B192" s="793">
        <v>44045</v>
      </c>
      <c r="C192" s="794">
        <v>148</v>
      </c>
      <c r="D192" s="794">
        <v>50</v>
      </c>
      <c r="E192" s="794">
        <v>40</v>
      </c>
      <c r="F192" s="796">
        <f t="shared" si="2"/>
        <v>0.66216216216216217</v>
      </c>
    </row>
    <row r="193" spans="1:6">
      <c r="A193" s="322" t="s">
        <v>80</v>
      </c>
      <c r="B193" s="793">
        <v>44046</v>
      </c>
      <c r="C193" s="794">
        <v>227</v>
      </c>
      <c r="D193" s="794">
        <v>86</v>
      </c>
      <c r="E193" s="794">
        <v>61</v>
      </c>
      <c r="F193" s="796">
        <f t="shared" si="2"/>
        <v>0.62114537444933915</v>
      </c>
    </row>
    <row r="194" spans="1:6">
      <c r="A194" s="322" t="s">
        <v>79</v>
      </c>
      <c r="B194" s="793">
        <v>44047</v>
      </c>
      <c r="C194" s="794">
        <v>248</v>
      </c>
      <c r="D194" s="794">
        <v>60</v>
      </c>
      <c r="E194" s="794">
        <v>43</v>
      </c>
      <c r="F194" s="796">
        <f t="shared" ref="F194:F257" si="3">1-(D194/C194)</f>
        <v>0.75806451612903225</v>
      </c>
    </row>
    <row r="195" spans="1:6">
      <c r="A195" s="322" t="s">
        <v>81</v>
      </c>
      <c r="B195" s="793">
        <v>44048</v>
      </c>
      <c r="C195" s="794">
        <v>943</v>
      </c>
      <c r="D195" s="794">
        <v>353</v>
      </c>
      <c r="E195" s="794">
        <v>238</v>
      </c>
      <c r="F195" s="796">
        <f t="shared" si="3"/>
        <v>0.62566277836691409</v>
      </c>
    </row>
    <row r="196" spans="1:6">
      <c r="A196" s="322" t="s">
        <v>82</v>
      </c>
      <c r="B196" s="793">
        <v>44049</v>
      </c>
      <c r="C196" s="794">
        <v>377</v>
      </c>
      <c r="D196" s="794">
        <v>176</v>
      </c>
      <c r="E196" s="794">
        <v>124</v>
      </c>
      <c r="F196" s="796">
        <f t="shared" si="3"/>
        <v>0.53315649867374004</v>
      </c>
    </row>
    <row r="197" spans="1:6">
      <c r="A197" s="322" t="s">
        <v>83</v>
      </c>
      <c r="B197" s="793">
        <v>44050</v>
      </c>
      <c r="C197" s="794">
        <v>722</v>
      </c>
      <c r="D197" s="794">
        <v>277</v>
      </c>
      <c r="E197" s="794">
        <v>188</v>
      </c>
      <c r="F197" s="796">
        <f t="shared" si="3"/>
        <v>0.61634349030470914</v>
      </c>
    </row>
    <row r="198" spans="1:6">
      <c r="A198" s="322" t="s">
        <v>84</v>
      </c>
      <c r="B198" s="793">
        <v>44051</v>
      </c>
      <c r="C198" s="794">
        <v>439</v>
      </c>
      <c r="D198" s="794">
        <v>273</v>
      </c>
      <c r="E198" s="794">
        <v>194</v>
      </c>
      <c r="F198" s="796">
        <f t="shared" si="3"/>
        <v>0.37813211845102501</v>
      </c>
    </row>
    <row r="199" spans="1:6">
      <c r="A199" s="322" t="s">
        <v>85</v>
      </c>
      <c r="B199" s="793">
        <v>44052</v>
      </c>
      <c r="C199" s="794">
        <v>648</v>
      </c>
      <c r="D199" s="794">
        <v>284</v>
      </c>
      <c r="E199" s="794">
        <v>214</v>
      </c>
      <c r="F199" s="796">
        <f t="shared" si="3"/>
        <v>0.56172839506172845</v>
      </c>
    </row>
    <row r="200" spans="1:6">
      <c r="A200" s="322" t="s">
        <v>86</v>
      </c>
      <c r="B200" s="793">
        <v>44053</v>
      </c>
      <c r="C200" s="794">
        <v>264</v>
      </c>
      <c r="D200" s="794">
        <v>69</v>
      </c>
      <c r="E200" s="794">
        <v>49</v>
      </c>
      <c r="F200" s="796">
        <f t="shared" si="3"/>
        <v>0.73863636363636365</v>
      </c>
    </row>
    <row r="201" spans="1:6">
      <c r="A201" s="322" t="s">
        <v>89</v>
      </c>
      <c r="B201" s="793">
        <v>44054</v>
      </c>
      <c r="C201" s="794">
        <v>1689</v>
      </c>
      <c r="D201" s="794">
        <v>914</v>
      </c>
      <c r="E201" s="794">
        <v>649</v>
      </c>
      <c r="F201" s="796">
        <f t="shared" si="3"/>
        <v>0.45885139135583186</v>
      </c>
    </row>
    <row r="202" spans="1:6">
      <c r="A202" s="322" t="s">
        <v>88</v>
      </c>
      <c r="B202" s="793">
        <v>44055</v>
      </c>
      <c r="C202" s="794">
        <v>626</v>
      </c>
      <c r="D202" s="794">
        <v>228</v>
      </c>
      <c r="E202" s="794">
        <v>154</v>
      </c>
      <c r="F202" s="796">
        <f t="shared" si="3"/>
        <v>0.6357827476038338</v>
      </c>
    </row>
    <row r="203" spans="1:6">
      <c r="A203" s="322" t="s">
        <v>87</v>
      </c>
      <c r="B203" s="793">
        <v>44056</v>
      </c>
      <c r="C203" s="794">
        <v>568</v>
      </c>
      <c r="D203" s="794">
        <v>229</v>
      </c>
      <c r="E203" s="794">
        <v>147</v>
      </c>
      <c r="F203" s="796">
        <f t="shared" si="3"/>
        <v>0.596830985915493</v>
      </c>
    </row>
    <row r="204" spans="1:6">
      <c r="A204" s="322" t="s">
        <v>90</v>
      </c>
      <c r="B204" s="793">
        <v>44057</v>
      </c>
      <c r="C204" s="794">
        <v>375</v>
      </c>
      <c r="D204" s="794">
        <v>121</v>
      </c>
      <c r="E204" s="794">
        <v>79</v>
      </c>
      <c r="F204" s="796">
        <f t="shared" si="3"/>
        <v>0.67733333333333334</v>
      </c>
    </row>
    <row r="205" spans="1:6">
      <c r="A205" s="322" t="s">
        <v>91</v>
      </c>
      <c r="B205" s="793">
        <v>44058</v>
      </c>
      <c r="C205" s="794">
        <v>469</v>
      </c>
      <c r="D205" s="794">
        <v>109</v>
      </c>
      <c r="E205" s="794">
        <v>74</v>
      </c>
      <c r="F205" s="796">
        <f t="shared" si="3"/>
        <v>0.76759061833688702</v>
      </c>
    </row>
    <row r="206" spans="1:6">
      <c r="A206" s="322" t="s">
        <v>93</v>
      </c>
      <c r="B206" s="793">
        <v>44059</v>
      </c>
      <c r="C206" s="794">
        <v>529</v>
      </c>
      <c r="D206" s="794">
        <v>254</v>
      </c>
      <c r="E206" s="794">
        <v>171</v>
      </c>
      <c r="F206" s="796">
        <f t="shared" si="3"/>
        <v>0.51984877126654072</v>
      </c>
    </row>
    <row r="207" spans="1:6">
      <c r="A207" s="322" t="s">
        <v>94</v>
      </c>
      <c r="B207" s="793">
        <v>44060</v>
      </c>
      <c r="C207" s="794">
        <v>227</v>
      </c>
      <c r="D207" s="794">
        <v>93</v>
      </c>
      <c r="E207" s="794">
        <v>63</v>
      </c>
      <c r="F207" s="796">
        <f t="shared" si="3"/>
        <v>0.59030837004405279</v>
      </c>
    </row>
    <row r="208" spans="1:6">
      <c r="A208" s="322" t="s">
        <v>92</v>
      </c>
      <c r="B208" s="793">
        <v>44061</v>
      </c>
      <c r="C208" s="794">
        <v>2678</v>
      </c>
      <c r="D208" s="794">
        <v>1333</v>
      </c>
      <c r="E208" s="794">
        <v>857</v>
      </c>
      <c r="F208" s="796">
        <f t="shared" si="3"/>
        <v>0.50224047796863336</v>
      </c>
    </row>
    <row r="209" spans="1:6">
      <c r="A209" s="322" t="s">
        <v>95</v>
      </c>
      <c r="B209" s="793">
        <v>44062</v>
      </c>
      <c r="C209" s="794">
        <v>2756</v>
      </c>
      <c r="D209" s="794">
        <v>1281</v>
      </c>
      <c r="E209" s="794">
        <v>893</v>
      </c>
      <c r="F209" s="796">
        <f t="shared" si="3"/>
        <v>0.53519593613933236</v>
      </c>
    </row>
    <row r="210" spans="1:6">
      <c r="A210" s="322" t="s">
        <v>96</v>
      </c>
      <c r="B210" s="793">
        <v>44063</v>
      </c>
      <c r="C210" s="794">
        <v>287</v>
      </c>
      <c r="D210" s="794">
        <v>91</v>
      </c>
      <c r="E210" s="794">
        <v>60</v>
      </c>
      <c r="F210" s="796">
        <f t="shared" si="3"/>
        <v>0.68292682926829262</v>
      </c>
    </row>
    <row r="211" spans="1:6">
      <c r="A211" s="322" t="s">
        <v>98</v>
      </c>
      <c r="B211" s="793">
        <v>44064</v>
      </c>
      <c r="C211" s="794">
        <v>211</v>
      </c>
      <c r="D211" s="794">
        <v>71</v>
      </c>
      <c r="E211" s="794">
        <v>44</v>
      </c>
      <c r="F211" s="796">
        <f t="shared" si="3"/>
        <v>0.6635071090047393</v>
      </c>
    </row>
    <row r="212" spans="1:6">
      <c r="A212" s="322" t="s">
        <v>99</v>
      </c>
      <c r="B212" s="793">
        <v>44065</v>
      </c>
      <c r="C212" s="794">
        <v>56</v>
      </c>
      <c r="D212" s="794">
        <v>16</v>
      </c>
      <c r="E212" s="794">
        <v>10</v>
      </c>
      <c r="F212" s="796">
        <f t="shared" si="3"/>
        <v>0.7142857142857143</v>
      </c>
    </row>
    <row r="213" spans="1:6">
      <c r="A213" s="322" t="s">
        <v>97</v>
      </c>
      <c r="B213" s="793">
        <v>44066</v>
      </c>
      <c r="C213" s="794">
        <v>2650</v>
      </c>
      <c r="D213" s="794">
        <v>1192</v>
      </c>
      <c r="E213" s="794">
        <v>807</v>
      </c>
      <c r="F213" s="796">
        <f t="shared" si="3"/>
        <v>0.55018867924528303</v>
      </c>
    </row>
    <row r="214" spans="1:6">
      <c r="A214" s="322" t="s">
        <v>100</v>
      </c>
      <c r="B214" s="793">
        <v>44067</v>
      </c>
      <c r="C214" s="794">
        <v>1708</v>
      </c>
      <c r="D214" s="794">
        <v>807</v>
      </c>
      <c r="E214" s="794">
        <v>545</v>
      </c>
      <c r="F214" s="796">
        <f t="shared" si="3"/>
        <v>0.52751756440281028</v>
      </c>
    </row>
    <row r="215" spans="1:6">
      <c r="A215" s="322" t="s">
        <v>102</v>
      </c>
      <c r="B215" s="793">
        <v>44068</v>
      </c>
      <c r="C215" s="794">
        <v>160</v>
      </c>
      <c r="D215" s="794">
        <v>69</v>
      </c>
      <c r="E215" s="794">
        <v>46</v>
      </c>
      <c r="F215" s="796">
        <f t="shared" si="3"/>
        <v>0.56874999999999998</v>
      </c>
    </row>
    <row r="216" spans="1:6">
      <c r="A216" s="322" t="s">
        <v>101</v>
      </c>
      <c r="B216" s="793">
        <v>44069</v>
      </c>
      <c r="C216" s="794">
        <v>7360</v>
      </c>
      <c r="D216" s="794">
        <v>3925</v>
      </c>
      <c r="E216" s="794">
        <v>2482</v>
      </c>
      <c r="F216" s="796">
        <f t="shared" si="3"/>
        <v>0.46671195652173914</v>
      </c>
    </row>
    <row r="217" spans="1:6">
      <c r="A217" s="322" t="s">
        <v>103</v>
      </c>
      <c r="B217" s="793">
        <v>44070</v>
      </c>
      <c r="C217" s="794">
        <v>190</v>
      </c>
      <c r="D217" s="794">
        <v>56</v>
      </c>
      <c r="E217" s="794">
        <v>31</v>
      </c>
      <c r="F217" s="796">
        <f t="shared" si="3"/>
        <v>0.70526315789473681</v>
      </c>
    </row>
    <row r="218" spans="1:6">
      <c r="A218" s="322" t="s">
        <v>77</v>
      </c>
      <c r="B218" s="793">
        <v>44075</v>
      </c>
      <c r="C218" s="794">
        <v>127</v>
      </c>
      <c r="D218" s="794">
        <v>48</v>
      </c>
      <c r="E218" s="794">
        <v>32</v>
      </c>
      <c r="F218" s="796">
        <f t="shared" si="3"/>
        <v>0.62204724409448819</v>
      </c>
    </row>
    <row r="219" spans="1:6">
      <c r="A219" s="322" t="s">
        <v>78</v>
      </c>
      <c r="B219" s="793">
        <v>44076</v>
      </c>
      <c r="C219" s="794">
        <v>150</v>
      </c>
      <c r="D219" s="794">
        <v>58</v>
      </c>
      <c r="E219" s="794">
        <v>46</v>
      </c>
      <c r="F219" s="796">
        <f t="shared" si="3"/>
        <v>0.61333333333333329</v>
      </c>
    </row>
    <row r="220" spans="1:6">
      <c r="A220" s="322" t="s">
        <v>80</v>
      </c>
      <c r="B220" s="793">
        <v>44077</v>
      </c>
      <c r="C220" s="794">
        <v>231</v>
      </c>
      <c r="D220" s="794">
        <v>94</v>
      </c>
      <c r="E220" s="794">
        <v>64</v>
      </c>
      <c r="F220" s="796">
        <f t="shared" si="3"/>
        <v>0.59307359307359309</v>
      </c>
    </row>
    <row r="221" spans="1:6">
      <c r="A221" s="322" t="s">
        <v>79</v>
      </c>
      <c r="B221" s="793">
        <v>44078</v>
      </c>
      <c r="C221" s="794">
        <v>251</v>
      </c>
      <c r="D221" s="794">
        <v>66</v>
      </c>
      <c r="E221" s="794">
        <v>46</v>
      </c>
      <c r="F221" s="796">
        <f t="shared" si="3"/>
        <v>0.73705179282868527</v>
      </c>
    </row>
    <row r="222" spans="1:6">
      <c r="A222" s="322" t="s">
        <v>81</v>
      </c>
      <c r="B222" s="793">
        <v>44079</v>
      </c>
      <c r="C222" s="794">
        <v>948</v>
      </c>
      <c r="D222" s="794">
        <v>378</v>
      </c>
      <c r="E222" s="794">
        <v>252</v>
      </c>
      <c r="F222" s="796">
        <f t="shared" si="3"/>
        <v>0.60126582278481011</v>
      </c>
    </row>
    <row r="223" spans="1:6">
      <c r="A223" s="322" t="s">
        <v>82</v>
      </c>
      <c r="B223" s="793">
        <v>44080</v>
      </c>
      <c r="C223" s="794">
        <v>383</v>
      </c>
      <c r="D223" s="794">
        <v>194</v>
      </c>
      <c r="E223" s="794">
        <v>138</v>
      </c>
      <c r="F223" s="796">
        <f t="shared" si="3"/>
        <v>0.49347258485639689</v>
      </c>
    </row>
    <row r="224" spans="1:6">
      <c r="A224" s="322" t="s">
        <v>83</v>
      </c>
      <c r="B224" s="793">
        <v>44081</v>
      </c>
      <c r="C224" s="794">
        <v>723</v>
      </c>
      <c r="D224" s="794">
        <v>288</v>
      </c>
      <c r="E224" s="794">
        <v>193</v>
      </c>
      <c r="F224" s="796">
        <f t="shared" si="3"/>
        <v>0.60165975103734448</v>
      </c>
    </row>
    <row r="225" spans="1:6">
      <c r="A225" s="322" t="s">
        <v>84</v>
      </c>
      <c r="B225" s="793">
        <v>44082</v>
      </c>
      <c r="C225" s="794">
        <v>444</v>
      </c>
      <c r="D225" s="794">
        <v>290</v>
      </c>
      <c r="E225" s="794">
        <v>207</v>
      </c>
      <c r="F225" s="796">
        <f t="shared" si="3"/>
        <v>0.34684684684684686</v>
      </c>
    </row>
    <row r="226" spans="1:6">
      <c r="A226" s="322" t="s">
        <v>85</v>
      </c>
      <c r="B226" s="793">
        <v>44083</v>
      </c>
      <c r="C226" s="794">
        <v>657</v>
      </c>
      <c r="D226" s="794">
        <v>309</v>
      </c>
      <c r="E226" s="794">
        <v>230</v>
      </c>
      <c r="F226" s="796">
        <f t="shared" si="3"/>
        <v>0.52968036529680362</v>
      </c>
    </row>
    <row r="227" spans="1:6">
      <c r="A227" s="322" t="s">
        <v>86</v>
      </c>
      <c r="B227" s="793">
        <v>44084</v>
      </c>
      <c r="C227" s="794">
        <v>265</v>
      </c>
      <c r="D227" s="794">
        <v>76</v>
      </c>
      <c r="E227" s="794">
        <v>52</v>
      </c>
      <c r="F227" s="796">
        <f t="shared" si="3"/>
        <v>0.71320754716981138</v>
      </c>
    </row>
    <row r="228" spans="1:6">
      <c r="A228" s="322" t="s">
        <v>89</v>
      </c>
      <c r="B228" s="793">
        <v>44085</v>
      </c>
      <c r="C228" s="794">
        <v>1703</v>
      </c>
      <c r="D228" s="794">
        <v>958</v>
      </c>
      <c r="E228" s="794">
        <v>679</v>
      </c>
      <c r="F228" s="796">
        <f t="shared" si="3"/>
        <v>0.43746330005871992</v>
      </c>
    </row>
    <row r="229" spans="1:6">
      <c r="A229" s="322" t="s">
        <v>88</v>
      </c>
      <c r="B229" s="793">
        <v>44086</v>
      </c>
      <c r="C229" s="794">
        <v>628</v>
      </c>
      <c r="D229" s="794">
        <v>248</v>
      </c>
      <c r="E229" s="794">
        <v>165</v>
      </c>
      <c r="F229" s="796">
        <f t="shared" si="3"/>
        <v>0.60509554140127386</v>
      </c>
    </row>
    <row r="230" spans="1:6">
      <c r="A230" s="322" t="s">
        <v>87</v>
      </c>
      <c r="B230" s="793">
        <v>44087</v>
      </c>
      <c r="C230" s="794">
        <v>572</v>
      </c>
      <c r="D230" s="794">
        <v>240</v>
      </c>
      <c r="E230" s="794">
        <v>155</v>
      </c>
      <c r="F230" s="796">
        <f t="shared" si="3"/>
        <v>0.58041958041958042</v>
      </c>
    </row>
    <row r="231" spans="1:6">
      <c r="A231" s="322" t="s">
        <v>90</v>
      </c>
      <c r="B231" s="793">
        <v>44088</v>
      </c>
      <c r="C231" s="794">
        <v>378</v>
      </c>
      <c r="D231" s="794">
        <v>130</v>
      </c>
      <c r="E231" s="794">
        <v>85</v>
      </c>
      <c r="F231" s="796">
        <f t="shared" si="3"/>
        <v>0.65608465608465605</v>
      </c>
    </row>
    <row r="232" spans="1:6">
      <c r="A232" s="322" t="s">
        <v>91</v>
      </c>
      <c r="B232" s="793">
        <v>44089</v>
      </c>
      <c r="C232" s="794">
        <v>471</v>
      </c>
      <c r="D232" s="794">
        <v>116</v>
      </c>
      <c r="E232" s="794">
        <v>78</v>
      </c>
      <c r="F232" s="796">
        <f t="shared" si="3"/>
        <v>0.75371549893842893</v>
      </c>
    </row>
    <row r="233" spans="1:6">
      <c r="A233" s="322" t="s">
        <v>93</v>
      </c>
      <c r="B233" s="793">
        <v>44090</v>
      </c>
      <c r="C233" s="794">
        <v>527</v>
      </c>
      <c r="D233" s="794">
        <v>263</v>
      </c>
      <c r="E233" s="794">
        <v>178</v>
      </c>
      <c r="F233" s="796">
        <f t="shared" si="3"/>
        <v>0.50094876660341559</v>
      </c>
    </row>
    <row r="234" spans="1:6">
      <c r="A234" s="322" t="s">
        <v>94</v>
      </c>
      <c r="B234" s="793">
        <v>44091</v>
      </c>
      <c r="C234" s="794">
        <v>229</v>
      </c>
      <c r="D234" s="794">
        <v>98</v>
      </c>
      <c r="E234" s="794">
        <v>68</v>
      </c>
      <c r="F234" s="796">
        <f t="shared" si="3"/>
        <v>0.57205240174672489</v>
      </c>
    </row>
    <row r="235" spans="1:6">
      <c r="A235" s="322" t="s">
        <v>92</v>
      </c>
      <c r="B235" s="793">
        <v>44092</v>
      </c>
      <c r="C235" s="794">
        <v>2679</v>
      </c>
      <c r="D235" s="794">
        <v>1400</v>
      </c>
      <c r="E235" s="794">
        <v>893</v>
      </c>
      <c r="F235" s="796">
        <f t="shared" si="3"/>
        <v>0.47741694662187384</v>
      </c>
    </row>
    <row r="236" spans="1:6">
      <c r="A236" s="322" t="s">
        <v>95</v>
      </c>
      <c r="B236" s="793">
        <v>44093</v>
      </c>
      <c r="C236" s="794">
        <v>2766</v>
      </c>
      <c r="D236" s="794">
        <v>1331</v>
      </c>
      <c r="E236" s="794">
        <v>915</v>
      </c>
      <c r="F236" s="796">
        <f t="shared" si="3"/>
        <v>0.51879971077368037</v>
      </c>
    </row>
    <row r="237" spans="1:6">
      <c r="A237" s="322" t="s">
        <v>96</v>
      </c>
      <c r="B237" s="793">
        <v>44094</v>
      </c>
      <c r="C237" s="794">
        <v>289</v>
      </c>
      <c r="D237" s="794">
        <v>100</v>
      </c>
      <c r="E237" s="794">
        <v>63</v>
      </c>
      <c r="F237" s="796">
        <f t="shared" si="3"/>
        <v>0.65397923875432529</v>
      </c>
    </row>
    <row r="238" spans="1:6">
      <c r="A238" s="322" t="s">
        <v>98</v>
      </c>
      <c r="B238" s="793">
        <v>44095</v>
      </c>
      <c r="C238" s="794">
        <v>214</v>
      </c>
      <c r="D238" s="794">
        <v>76</v>
      </c>
      <c r="E238" s="794">
        <v>45</v>
      </c>
      <c r="F238" s="796">
        <f t="shared" si="3"/>
        <v>0.64485981308411211</v>
      </c>
    </row>
    <row r="239" spans="1:6">
      <c r="A239" s="322" t="s">
        <v>99</v>
      </c>
      <c r="B239" s="793">
        <v>44096</v>
      </c>
      <c r="C239" s="794">
        <v>56</v>
      </c>
      <c r="D239" s="794">
        <v>16</v>
      </c>
      <c r="E239" s="794">
        <v>10</v>
      </c>
      <c r="F239" s="796">
        <f t="shared" si="3"/>
        <v>0.7142857142857143</v>
      </c>
    </row>
    <row r="240" spans="1:6">
      <c r="A240" s="322" t="s">
        <v>97</v>
      </c>
      <c r="B240" s="793">
        <v>44097</v>
      </c>
      <c r="C240" s="794">
        <v>2660</v>
      </c>
      <c r="D240" s="794">
        <v>1273</v>
      </c>
      <c r="E240" s="794">
        <v>856</v>
      </c>
      <c r="F240" s="796">
        <f t="shared" si="3"/>
        <v>0.52142857142857135</v>
      </c>
    </row>
    <row r="241" spans="1:6">
      <c r="A241" s="322" t="s">
        <v>100</v>
      </c>
      <c r="B241" s="793">
        <v>44098</v>
      </c>
      <c r="C241" s="794">
        <v>1718</v>
      </c>
      <c r="D241" s="794">
        <v>841</v>
      </c>
      <c r="E241" s="794">
        <v>568</v>
      </c>
      <c r="F241" s="796">
        <f t="shared" si="3"/>
        <v>0.51047729918509899</v>
      </c>
    </row>
    <row r="242" spans="1:6">
      <c r="A242" s="322" t="s">
        <v>102</v>
      </c>
      <c r="B242" s="793">
        <v>44099</v>
      </c>
      <c r="C242" s="794">
        <v>161</v>
      </c>
      <c r="D242" s="794">
        <v>72</v>
      </c>
      <c r="E242" s="794">
        <v>47</v>
      </c>
      <c r="F242" s="796">
        <f t="shared" si="3"/>
        <v>0.55279503105590067</v>
      </c>
    </row>
    <row r="243" spans="1:6">
      <c r="A243" s="322" t="s">
        <v>101</v>
      </c>
      <c r="B243" s="793">
        <v>44100</v>
      </c>
      <c r="C243" s="794">
        <v>7402</v>
      </c>
      <c r="D243" s="794">
        <v>4095</v>
      </c>
      <c r="E243" s="794">
        <v>2594</v>
      </c>
      <c r="F243" s="796">
        <f t="shared" si="3"/>
        <v>0.44677114293434206</v>
      </c>
    </row>
    <row r="244" spans="1:6">
      <c r="A244" s="322" t="s">
        <v>103</v>
      </c>
      <c r="B244" s="793">
        <v>44101</v>
      </c>
      <c r="C244" s="794">
        <v>190</v>
      </c>
      <c r="D244" s="794">
        <v>60</v>
      </c>
      <c r="E244" s="794">
        <v>32</v>
      </c>
      <c r="F244" s="796">
        <f t="shared" si="3"/>
        <v>0.68421052631578949</v>
      </c>
    </row>
    <row r="245" spans="1:6">
      <c r="A245" s="322" t="s">
        <v>77</v>
      </c>
      <c r="B245" s="793">
        <v>44105</v>
      </c>
      <c r="C245" s="794">
        <v>128</v>
      </c>
      <c r="D245" s="794">
        <v>52</v>
      </c>
      <c r="E245" s="794">
        <v>35</v>
      </c>
      <c r="F245" s="796">
        <f t="shared" si="3"/>
        <v>0.59375</v>
      </c>
    </row>
    <row r="246" spans="1:6">
      <c r="A246" s="322" t="s">
        <v>78</v>
      </c>
      <c r="B246" s="793">
        <v>44106</v>
      </c>
      <c r="C246" s="794">
        <v>150</v>
      </c>
      <c r="D246" s="794">
        <v>59</v>
      </c>
      <c r="E246" s="794">
        <v>46</v>
      </c>
      <c r="F246" s="796">
        <f t="shared" si="3"/>
        <v>0.60666666666666669</v>
      </c>
    </row>
    <row r="247" spans="1:6">
      <c r="A247" s="322" t="s">
        <v>80</v>
      </c>
      <c r="B247" s="793">
        <v>44107</v>
      </c>
      <c r="C247" s="794">
        <v>232</v>
      </c>
      <c r="D247" s="794">
        <v>98</v>
      </c>
      <c r="E247" s="794">
        <v>66</v>
      </c>
      <c r="F247" s="796">
        <f t="shared" si="3"/>
        <v>0.57758620689655171</v>
      </c>
    </row>
    <row r="248" spans="1:6">
      <c r="A248" s="322" t="s">
        <v>79</v>
      </c>
      <c r="B248" s="793">
        <v>44108</v>
      </c>
      <c r="C248" s="794">
        <v>254</v>
      </c>
      <c r="D248" s="794">
        <v>71</v>
      </c>
      <c r="E248" s="794">
        <v>49</v>
      </c>
      <c r="F248" s="796">
        <f t="shared" si="3"/>
        <v>0.72047244094488194</v>
      </c>
    </row>
    <row r="249" spans="1:6">
      <c r="A249" s="322" t="s">
        <v>81</v>
      </c>
      <c r="B249" s="793">
        <v>44109</v>
      </c>
      <c r="C249" s="794">
        <v>951</v>
      </c>
      <c r="D249" s="794">
        <v>391</v>
      </c>
      <c r="E249" s="794">
        <v>260</v>
      </c>
      <c r="F249" s="796">
        <f t="shared" si="3"/>
        <v>0.58885383806519453</v>
      </c>
    </row>
    <row r="250" spans="1:6">
      <c r="A250" s="322" t="s">
        <v>82</v>
      </c>
      <c r="B250" s="793">
        <v>44110</v>
      </c>
      <c r="C250" s="794">
        <v>384</v>
      </c>
      <c r="D250" s="794">
        <v>199</v>
      </c>
      <c r="E250" s="794">
        <v>141</v>
      </c>
      <c r="F250" s="796">
        <f t="shared" si="3"/>
        <v>0.48177083333333337</v>
      </c>
    </row>
    <row r="251" spans="1:6">
      <c r="A251" s="322" t="s">
        <v>83</v>
      </c>
      <c r="B251" s="793">
        <v>44111</v>
      </c>
      <c r="C251" s="794">
        <v>724</v>
      </c>
      <c r="D251" s="794">
        <v>296</v>
      </c>
      <c r="E251" s="794">
        <v>199</v>
      </c>
      <c r="F251" s="796">
        <f t="shared" si="3"/>
        <v>0.59116022099447507</v>
      </c>
    </row>
    <row r="252" spans="1:6">
      <c r="A252" s="322" t="s">
        <v>84</v>
      </c>
      <c r="B252" s="793">
        <v>44112</v>
      </c>
      <c r="C252" s="794">
        <v>446</v>
      </c>
      <c r="D252" s="794">
        <v>294</v>
      </c>
      <c r="E252" s="794">
        <v>210</v>
      </c>
      <c r="F252" s="796">
        <f t="shared" si="3"/>
        <v>0.34080717488789236</v>
      </c>
    </row>
    <row r="253" spans="1:6">
      <c r="A253" s="322" t="s">
        <v>85</v>
      </c>
      <c r="B253" s="793">
        <v>44113</v>
      </c>
      <c r="C253" s="794">
        <v>662</v>
      </c>
      <c r="D253" s="794">
        <v>322</v>
      </c>
      <c r="E253" s="794">
        <v>241</v>
      </c>
      <c r="F253" s="796">
        <f t="shared" si="3"/>
        <v>0.51359516616314194</v>
      </c>
    </row>
    <row r="254" spans="1:6">
      <c r="A254" s="322" t="s">
        <v>86</v>
      </c>
      <c r="B254" s="793">
        <v>44114</v>
      </c>
      <c r="C254" s="794">
        <v>270</v>
      </c>
      <c r="D254" s="794">
        <v>79</v>
      </c>
      <c r="E254" s="794">
        <v>55</v>
      </c>
      <c r="F254" s="796">
        <f t="shared" si="3"/>
        <v>0.70740740740740748</v>
      </c>
    </row>
    <row r="255" spans="1:6">
      <c r="A255" s="322" t="s">
        <v>89</v>
      </c>
      <c r="B255" s="793">
        <v>44115</v>
      </c>
      <c r="C255" s="794">
        <v>1716</v>
      </c>
      <c r="D255" s="794">
        <v>1000</v>
      </c>
      <c r="E255" s="794">
        <v>709</v>
      </c>
      <c r="F255" s="796">
        <f t="shared" si="3"/>
        <v>0.41724941724941722</v>
      </c>
    </row>
    <row r="256" spans="1:6">
      <c r="A256" s="322" t="s">
        <v>88</v>
      </c>
      <c r="B256" s="793">
        <v>44116</v>
      </c>
      <c r="C256" s="794">
        <v>631</v>
      </c>
      <c r="D256" s="794">
        <v>256</v>
      </c>
      <c r="E256" s="794">
        <v>170</v>
      </c>
      <c r="F256" s="796">
        <f t="shared" si="3"/>
        <v>0.59429477020602217</v>
      </c>
    </row>
    <row r="257" spans="1:6">
      <c r="A257" s="322" t="s">
        <v>87</v>
      </c>
      <c r="B257" s="793">
        <v>44117</v>
      </c>
      <c r="C257" s="794">
        <v>575</v>
      </c>
      <c r="D257" s="794">
        <v>248</v>
      </c>
      <c r="E257" s="794">
        <v>160</v>
      </c>
      <c r="F257" s="796">
        <f t="shared" si="3"/>
        <v>0.56869565217391305</v>
      </c>
    </row>
    <row r="258" spans="1:6">
      <c r="A258" s="322" t="s">
        <v>90</v>
      </c>
      <c r="B258" s="793">
        <v>44118</v>
      </c>
      <c r="C258" s="794">
        <v>379</v>
      </c>
      <c r="D258" s="794">
        <v>133</v>
      </c>
      <c r="E258" s="794">
        <v>88</v>
      </c>
      <c r="F258" s="796">
        <f t="shared" ref="F258:F321" si="4">1-(D258/C258)</f>
        <v>0.64907651715039583</v>
      </c>
    </row>
    <row r="259" spans="1:6">
      <c r="A259" s="322" t="s">
        <v>91</v>
      </c>
      <c r="B259" s="793">
        <v>44119</v>
      </c>
      <c r="C259" s="794">
        <v>474</v>
      </c>
      <c r="D259" s="794">
        <v>119</v>
      </c>
      <c r="E259" s="794">
        <v>80</v>
      </c>
      <c r="F259" s="796">
        <f t="shared" si="4"/>
        <v>0.74894514767932496</v>
      </c>
    </row>
    <row r="260" spans="1:6">
      <c r="A260" s="322" t="s">
        <v>93</v>
      </c>
      <c r="B260" s="793">
        <v>44120</v>
      </c>
      <c r="C260" s="794">
        <v>521</v>
      </c>
      <c r="D260" s="794">
        <v>274</v>
      </c>
      <c r="E260" s="794">
        <v>184</v>
      </c>
      <c r="F260" s="796">
        <f t="shared" si="4"/>
        <v>0.47408829174664102</v>
      </c>
    </row>
    <row r="261" spans="1:6">
      <c r="A261" s="322" t="s">
        <v>94</v>
      </c>
      <c r="B261" s="793">
        <v>44121</v>
      </c>
      <c r="C261" s="794">
        <v>232</v>
      </c>
      <c r="D261" s="794">
        <v>105</v>
      </c>
      <c r="E261" s="794">
        <v>72</v>
      </c>
      <c r="F261" s="796">
        <f t="shared" si="4"/>
        <v>0.54741379310344829</v>
      </c>
    </row>
    <row r="262" spans="1:6">
      <c r="A262" s="322" t="s">
        <v>92</v>
      </c>
      <c r="B262" s="793">
        <v>44122</v>
      </c>
      <c r="C262" s="794">
        <v>2684</v>
      </c>
      <c r="D262" s="794">
        <v>1447</v>
      </c>
      <c r="E262" s="794">
        <v>928</v>
      </c>
      <c r="F262" s="796">
        <f t="shared" si="4"/>
        <v>0.46087928464977646</v>
      </c>
    </row>
    <row r="263" spans="1:6">
      <c r="A263" s="322" t="s">
        <v>95</v>
      </c>
      <c r="B263" s="793">
        <v>44123</v>
      </c>
      <c r="C263" s="794">
        <v>2778</v>
      </c>
      <c r="D263" s="794">
        <v>1387</v>
      </c>
      <c r="E263" s="794">
        <v>950</v>
      </c>
      <c r="F263" s="796">
        <f t="shared" si="4"/>
        <v>0.5007199424046076</v>
      </c>
    </row>
    <row r="264" spans="1:6">
      <c r="A264" s="322" t="s">
        <v>96</v>
      </c>
      <c r="B264" s="793">
        <v>44124</v>
      </c>
      <c r="C264" s="794">
        <v>291</v>
      </c>
      <c r="D264" s="794">
        <v>103</v>
      </c>
      <c r="E264" s="794">
        <v>65</v>
      </c>
      <c r="F264" s="796">
        <f t="shared" si="4"/>
        <v>0.64604810996563566</v>
      </c>
    </row>
    <row r="265" spans="1:6">
      <c r="A265" s="322" t="s">
        <v>98</v>
      </c>
      <c r="B265" s="793">
        <v>44125</v>
      </c>
      <c r="C265" s="794">
        <v>215</v>
      </c>
      <c r="D265" s="794">
        <v>78</v>
      </c>
      <c r="E265" s="794">
        <v>45</v>
      </c>
      <c r="F265" s="796">
        <f t="shared" si="4"/>
        <v>0.63720930232558137</v>
      </c>
    </row>
    <row r="266" spans="1:6">
      <c r="A266" s="322" t="s">
        <v>99</v>
      </c>
      <c r="B266" s="793">
        <v>44126</v>
      </c>
      <c r="C266" s="794">
        <v>57</v>
      </c>
      <c r="D266" s="794">
        <v>17</v>
      </c>
      <c r="E266" s="794">
        <v>10</v>
      </c>
      <c r="F266" s="796">
        <f t="shared" si="4"/>
        <v>0.70175438596491224</v>
      </c>
    </row>
    <row r="267" spans="1:6">
      <c r="A267" s="322" t="s">
        <v>97</v>
      </c>
      <c r="B267" s="793">
        <v>44127</v>
      </c>
      <c r="C267" s="794">
        <v>2667</v>
      </c>
      <c r="D267" s="794">
        <v>1321</v>
      </c>
      <c r="E267" s="794">
        <v>886</v>
      </c>
      <c r="F267" s="796">
        <f t="shared" si="4"/>
        <v>0.50468691413573308</v>
      </c>
    </row>
    <row r="268" spans="1:6">
      <c r="A268" s="322" t="s">
        <v>100</v>
      </c>
      <c r="B268" s="793">
        <v>44128</v>
      </c>
      <c r="C268" s="794">
        <v>1724</v>
      </c>
      <c r="D268" s="794">
        <v>864</v>
      </c>
      <c r="E268" s="794">
        <v>585</v>
      </c>
      <c r="F268" s="796">
        <f t="shared" si="4"/>
        <v>0.49883990719257543</v>
      </c>
    </row>
    <row r="269" spans="1:6">
      <c r="A269" s="322" t="s">
        <v>102</v>
      </c>
      <c r="B269" s="793">
        <v>44129</v>
      </c>
      <c r="C269" s="794">
        <v>162</v>
      </c>
      <c r="D269" s="794">
        <v>77</v>
      </c>
      <c r="E269" s="794">
        <v>50</v>
      </c>
      <c r="F269" s="796">
        <f t="shared" si="4"/>
        <v>0.52469135802469136</v>
      </c>
    </row>
    <row r="270" spans="1:6">
      <c r="A270" s="322" t="s">
        <v>101</v>
      </c>
      <c r="B270" s="793">
        <v>44130</v>
      </c>
      <c r="C270" s="794">
        <v>7455</v>
      </c>
      <c r="D270" s="794">
        <v>4249</v>
      </c>
      <c r="E270" s="794">
        <v>2695</v>
      </c>
      <c r="F270" s="796">
        <f t="shared" si="4"/>
        <v>0.43004694835680746</v>
      </c>
    </row>
    <row r="271" spans="1:6">
      <c r="A271" s="322" t="s">
        <v>103</v>
      </c>
      <c r="B271" s="793">
        <v>44131</v>
      </c>
      <c r="C271" s="794">
        <v>191</v>
      </c>
      <c r="D271" s="794">
        <v>66</v>
      </c>
      <c r="E271" s="794">
        <v>34</v>
      </c>
      <c r="F271" s="796">
        <f t="shared" si="4"/>
        <v>0.65445026178010468</v>
      </c>
    </row>
    <row r="272" spans="1:6">
      <c r="A272" s="322" t="s">
        <v>77</v>
      </c>
      <c r="B272" s="793">
        <v>44136</v>
      </c>
      <c r="C272" s="794">
        <v>130</v>
      </c>
      <c r="D272" s="794">
        <v>54</v>
      </c>
      <c r="E272" s="794">
        <v>35</v>
      </c>
      <c r="F272" s="796">
        <f t="shared" si="4"/>
        <v>0.58461538461538454</v>
      </c>
    </row>
    <row r="273" spans="1:6">
      <c r="A273" s="322" t="s">
        <v>78</v>
      </c>
      <c r="B273" s="793">
        <v>44137</v>
      </c>
      <c r="C273" s="794">
        <v>151</v>
      </c>
      <c r="D273" s="794">
        <v>64</v>
      </c>
      <c r="E273" s="794">
        <v>48</v>
      </c>
      <c r="F273" s="796">
        <f t="shared" si="4"/>
        <v>0.57615894039735105</v>
      </c>
    </row>
    <row r="274" spans="1:6">
      <c r="A274" s="322" t="s">
        <v>80</v>
      </c>
      <c r="B274" s="793">
        <v>44138</v>
      </c>
      <c r="C274" s="794">
        <v>236</v>
      </c>
      <c r="D274" s="794">
        <v>102</v>
      </c>
      <c r="E274" s="794">
        <v>68</v>
      </c>
      <c r="F274" s="796">
        <f t="shared" si="4"/>
        <v>0.56779661016949157</v>
      </c>
    </row>
    <row r="275" spans="1:6">
      <c r="A275" s="322" t="s">
        <v>79</v>
      </c>
      <c r="B275" s="793">
        <v>44139</v>
      </c>
      <c r="C275" s="794">
        <v>255</v>
      </c>
      <c r="D275" s="794">
        <v>76</v>
      </c>
      <c r="E275" s="794">
        <v>52</v>
      </c>
      <c r="F275" s="796">
        <f t="shared" si="4"/>
        <v>0.70196078431372544</v>
      </c>
    </row>
    <row r="276" spans="1:6">
      <c r="A276" s="322" t="s">
        <v>81</v>
      </c>
      <c r="B276" s="793">
        <v>44140</v>
      </c>
      <c r="C276" s="794">
        <v>955</v>
      </c>
      <c r="D276" s="794">
        <v>410</v>
      </c>
      <c r="E276" s="794">
        <v>271</v>
      </c>
      <c r="F276" s="796">
        <f t="shared" si="4"/>
        <v>0.5706806282722513</v>
      </c>
    </row>
    <row r="277" spans="1:6">
      <c r="A277" s="322" t="s">
        <v>82</v>
      </c>
      <c r="B277" s="793">
        <v>44141</v>
      </c>
      <c r="C277" s="794">
        <v>387</v>
      </c>
      <c r="D277" s="794">
        <v>208</v>
      </c>
      <c r="E277" s="794">
        <v>145</v>
      </c>
      <c r="F277" s="796">
        <f t="shared" si="4"/>
        <v>0.46253229974160204</v>
      </c>
    </row>
    <row r="278" spans="1:6">
      <c r="A278" s="322" t="s">
        <v>83</v>
      </c>
      <c r="B278" s="793">
        <v>44142</v>
      </c>
      <c r="C278" s="794">
        <v>731</v>
      </c>
      <c r="D278" s="794">
        <v>309</v>
      </c>
      <c r="E278" s="794">
        <v>208</v>
      </c>
      <c r="F278" s="796">
        <f t="shared" si="4"/>
        <v>0.57729138166894667</v>
      </c>
    </row>
    <row r="279" spans="1:6">
      <c r="A279" s="322" t="s">
        <v>84</v>
      </c>
      <c r="B279" s="793">
        <v>44143</v>
      </c>
      <c r="C279" s="794">
        <v>448</v>
      </c>
      <c r="D279" s="794">
        <v>305</v>
      </c>
      <c r="E279" s="794">
        <v>218</v>
      </c>
      <c r="F279" s="796">
        <f t="shared" si="4"/>
        <v>0.3191964285714286</v>
      </c>
    </row>
    <row r="280" spans="1:6">
      <c r="A280" s="322" t="s">
        <v>85</v>
      </c>
      <c r="B280" s="793">
        <v>44144</v>
      </c>
      <c r="C280" s="794">
        <v>665</v>
      </c>
      <c r="D280" s="794">
        <v>335</v>
      </c>
      <c r="E280" s="794">
        <v>252</v>
      </c>
      <c r="F280" s="796">
        <f t="shared" si="4"/>
        <v>0.49624060150375937</v>
      </c>
    </row>
    <row r="281" spans="1:6">
      <c r="A281" s="322" t="s">
        <v>86</v>
      </c>
      <c r="B281" s="793">
        <v>44145</v>
      </c>
      <c r="C281" s="794">
        <v>272</v>
      </c>
      <c r="D281" s="794">
        <v>82</v>
      </c>
      <c r="E281" s="794">
        <v>57</v>
      </c>
      <c r="F281" s="796">
        <f t="shared" si="4"/>
        <v>0.69852941176470584</v>
      </c>
    </row>
    <row r="282" spans="1:6">
      <c r="A282" s="322" t="s">
        <v>89</v>
      </c>
      <c r="B282" s="793">
        <v>44146</v>
      </c>
      <c r="C282" s="794">
        <v>1726</v>
      </c>
      <c r="D282" s="794">
        <v>1031</v>
      </c>
      <c r="E282" s="794">
        <v>734</v>
      </c>
      <c r="F282" s="796">
        <f t="shared" si="4"/>
        <v>0.40266512166859791</v>
      </c>
    </row>
    <row r="283" spans="1:6">
      <c r="A283" s="322" t="s">
        <v>88</v>
      </c>
      <c r="B283" s="793">
        <v>44147</v>
      </c>
      <c r="C283" s="794">
        <v>632</v>
      </c>
      <c r="D283" s="794">
        <v>267</v>
      </c>
      <c r="E283" s="794">
        <v>179</v>
      </c>
      <c r="F283" s="796">
        <f t="shared" si="4"/>
        <v>0.57753164556962022</v>
      </c>
    </row>
    <row r="284" spans="1:6">
      <c r="A284" s="322" t="s">
        <v>87</v>
      </c>
      <c r="B284" s="793">
        <v>44148</v>
      </c>
      <c r="C284" s="794">
        <v>579</v>
      </c>
      <c r="D284" s="794">
        <v>257</v>
      </c>
      <c r="E284" s="794">
        <v>167</v>
      </c>
      <c r="F284" s="796">
        <f t="shared" si="4"/>
        <v>0.55613126079447328</v>
      </c>
    </row>
    <row r="285" spans="1:6">
      <c r="A285" s="322" t="s">
        <v>90</v>
      </c>
      <c r="B285" s="793">
        <v>44149</v>
      </c>
      <c r="C285" s="794">
        <v>382</v>
      </c>
      <c r="D285" s="794">
        <v>139</v>
      </c>
      <c r="E285" s="794">
        <v>92</v>
      </c>
      <c r="F285" s="796">
        <f t="shared" si="4"/>
        <v>0.63612565445026181</v>
      </c>
    </row>
    <row r="286" spans="1:6">
      <c r="A286" s="322" t="s">
        <v>91</v>
      </c>
      <c r="B286" s="793">
        <v>44150</v>
      </c>
      <c r="C286" s="794">
        <v>477</v>
      </c>
      <c r="D286" s="794">
        <v>128</v>
      </c>
      <c r="E286" s="794">
        <v>88</v>
      </c>
      <c r="F286" s="796">
        <f t="shared" si="4"/>
        <v>0.73165618448637315</v>
      </c>
    </row>
    <row r="287" spans="1:6">
      <c r="A287" s="322" t="s">
        <v>93</v>
      </c>
      <c r="B287" s="793">
        <v>44151</v>
      </c>
      <c r="C287" s="794">
        <v>526</v>
      </c>
      <c r="D287" s="794">
        <v>285</v>
      </c>
      <c r="E287" s="794">
        <v>194</v>
      </c>
      <c r="F287" s="796">
        <f t="shared" si="4"/>
        <v>0.45817490494296575</v>
      </c>
    </row>
    <row r="288" spans="1:6">
      <c r="A288" s="322" t="s">
        <v>94</v>
      </c>
      <c r="B288" s="793">
        <v>44152</v>
      </c>
      <c r="C288" s="794">
        <v>236</v>
      </c>
      <c r="D288" s="794">
        <v>112</v>
      </c>
      <c r="E288" s="794">
        <v>77</v>
      </c>
      <c r="F288" s="796">
        <f t="shared" si="4"/>
        <v>0.52542372881355925</v>
      </c>
    </row>
    <row r="289" spans="1:6">
      <c r="A289" s="322" t="s">
        <v>92</v>
      </c>
      <c r="B289" s="793">
        <v>44153</v>
      </c>
      <c r="C289" s="794">
        <v>2673</v>
      </c>
      <c r="D289" s="794">
        <v>1504</v>
      </c>
      <c r="E289" s="794">
        <v>964</v>
      </c>
      <c r="F289" s="796">
        <f t="shared" si="4"/>
        <v>0.43733632622521512</v>
      </c>
    </row>
    <row r="290" spans="1:6">
      <c r="A290" s="322" t="s">
        <v>95</v>
      </c>
      <c r="B290" s="793">
        <v>44154</v>
      </c>
      <c r="C290" s="794">
        <v>2790</v>
      </c>
      <c r="D290" s="794">
        <v>1428</v>
      </c>
      <c r="E290" s="794">
        <v>982</v>
      </c>
      <c r="F290" s="796">
        <f t="shared" si="4"/>
        <v>0.48817204301075268</v>
      </c>
    </row>
    <row r="291" spans="1:6">
      <c r="A291" s="322" t="s">
        <v>96</v>
      </c>
      <c r="B291" s="793">
        <v>44155</v>
      </c>
      <c r="C291" s="794">
        <v>291</v>
      </c>
      <c r="D291" s="794">
        <v>104</v>
      </c>
      <c r="E291" s="794">
        <v>66</v>
      </c>
      <c r="F291" s="796">
        <f t="shared" si="4"/>
        <v>0.64261168384879719</v>
      </c>
    </row>
    <row r="292" spans="1:6">
      <c r="A292" s="322" t="s">
        <v>98</v>
      </c>
      <c r="B292" s="793">
        <v>44156</v>
      </c>
      <c r="C292" s="794">
        <v>216</v>
      </c>
      <c r="D292" s="794">
        <v>80</v>
      </c>
      <c r="E292" s="794">
        <v>46</v>
      </c>
      <c r="F292" s="796">
        <f t="shared" si="4"/>
        <v>0.62962962962962965</v>
      </c>
    </row>
    <row r="293" spans="1:6">
      <c r="A293" s="322" t="s">
        <v>99</v>
      </c>
      <c r="B293" s="793">
        <v>44157</v>
      </c>
      <c r="C293" s="794">
        <v>59</v>
      </c>
      <c r="D293" s="794">
        <v>19</v>
      </c>
      <c r="E293" s="794">
        <v>12</v>
      </c>
      <c r="F293" s="796">
        <f t="shared" si="4"/>
        <v>0.67796610169491522</v>
      </c>
    </row>
    <row r="294" spans="1:6">
      <c r="A294" s="322" t="s">
        <v>97</v>
      </c>
      <c r="B294" s="793">
        <v>44158</v>
      </c>
      <c r="C294" s="794">
        <v>2684</v>
      </c>
      <c r="D294" s="794">
        <v>1406</v>
      </c>
      <c r="E294" s="794">
        <v>945</v>
      </c>
      <c r="F294" s="796">
        <f t="shared" si="4"/>
        <v>0.47615499254843519</v>
      </c>
    </row>
    <row r="295" spans="1:6">
      <c r="A295" s="322" t="s">
        <v>100</v>
      </c>
      <c r="B295" s="793">
        <v>44159</v>
      </c>
      <c r="C295" s="794">
        <v>1727</v>
      </c>
      <c r="D295" s="794">
        <v>880</v>
      </c>
      <c r="E295" s="794">
        <v>595</v>
      </c>
      <c r="F295" s="796">
        <f t="shared" si="4"/>
        <v>0.49044585987261147</v>
      </c>
    </row>
    <row r="296" spans="1:6">
      <c r="A296" s="322" t="s">
        <v>102</v>
      </c>
      <c r="B296" s="793">
        <v>44160</v>
      </c>
      <c r="C296" s="794">
        <v>162</v>
      </c>
      <c r="D296" s="794">
        <v>78</v>
      </c>
      <c r="E296" s="794">
        <v>50</v>
      </c>
      <c r="F296" s="796">
        <f t="shared" si="4"/>
        <v>0.5185185185185186</v>
      </c>
    </row>
    <row r="297" spans="1:6">
      <c r="A297" s="322" t="s">
        <v>101</v>
      </c>
      <c r="B297" s="793">
        <v>44161</v>
      </c>
      <c r="C297" s="794">
        <v>7487</v>
      </c>
      <c r="D297" s="794">
        <v>4353</v>
      </c>
      <c r="E297" s="794">
        <v>2776</v>
      </c>
      <c r="F297" s="796">
        <f t="shared" si="4"/>
        <v>0.41859222652597838</v>
      </c>
    </row>
    <row r="298" spans="1:6">
      <c r="A298" s="322" t="s">
        <v>103</v>
      </c>
      <c r="B298" s="793">
        <v>44162</v>
      </c>
      <c r="C298" s="794">
        <v>192</v>
      </c>
      <c r="D298" s="794">
        <v>69</v>
      </c>
      <c r="E298" s="794">
        <v>37</v>
      </c>
      <c r="F298" s="796">
        <f t="shared" si="4"/>
        <v>0.640625</v>
      </c>
    </row>
    <row r="299" spans="1:6">
      <c r="A299" s="322" t="s">
        <v>77</v>
      </c>
      <c r="B299" s="793">
        <v>44166</v>
      </c>
      <c r="C299" s="794">
        <v>132</v>
      </c>
      <c r="D299" s="794">
        <v>56</v>
      </c>
      <c r="E299" s="794">
        <v>37</v>
      </c>
      <c r="F299" s="796">
        <f t="shared" si="4"/>
        <v>0.57575757575757569</v>
      </c>
    </row>
    <row r="300" spans="1:6">
      <c r="A300" s="322" t="s">
        <v>78</v>
      </c>
      <c r="B300" s="793">
        <v>44167</v>
      </c>
      <c r="C300" s="794">
        <v>152</v>
      </c>
      <c r="D300" s="794">
        <v>67</v>
      </c>
      <c r="E300" s="794">
        <v>50</v>
      </c>
      <c r="F300" s="796">
        <f t="shared" si="4"/>
        <v>0.55921052631578949</v>
      </c>
    </row>
    <row r="301" spans="1:6">
      <c r="A301" s="322" t="s">
        <v>80</v>
      </c>
      <c r="B301" s="793">
        <v>44168</v>
      </c>
      <c r="C301" s="794">
        <v>238</v>
      </c>
      <c r="D301" s="794">
        <v>105</v>
      </c>
      <c r="E301" s="794">
        <v>70</v>
      </c>
      <c r="F301" s="796">
        <f t="shared" si="4"/>
        <v>0.55882352941176472</v>
      </c>
    </row>
    <row r="302" spans="1:6">
      <c r="A302" s="322" t="s">
        <v>79</v>
      </c>
      <c r="B302" s="793">
        <v>44169</v>
      </c>
      <c r="C302" s="794">
        <v>256</v>
      </c>
      <c r="D302" s="794">
        <v>81</v>
      </c>
      <c r="E302" s="794">
        <v>55</v>
      </c>
      <c r="F302" s="796">
        <f t="shared" si="4"/>
        <v>0.68359375</v>
      </c>
    </row>
    <row r="303" spans="1:6">
      <c r="A303" s="322" t="s">
        <v>81</v>
      </c>
      <c r="B303" s="793">
        <v>44170</v>
      </c>
      <c r="C303" s="794">
        <v>957</v>
      </c>
      <c r="D303" s="794">
        <v>425</v>
      </c>
      <c r="E303" s="794">
        <v>281</v>
      </c>
      <c r="F303" s="796">
        <f t="shared" si="4"/>
        <v>0.55590386624869381</v>
      </c>
    </row>
    <row r="304" spans="1:6">
      <c r="A304" s="322" t="s">
        <v>82</v>
      </c>
      <c r="B304" s="793">
        <v>44171</v>
      </c>
      <c r="C304" s="794">
        <v>390</v>
      </c>
      <c r="D304" s="794">
        <v>214</v>
      </c>
      <c r="E304" s="794">
        <v>147</v>
      </c>
      <c r="F304" s="796">
        <f t="shared" si="4"/>
        <v>0.45128205128205123</v>
      </c>
    </row>
    <row r="305" spans="1:6">
      <c r="A305" s="322" t="s">
        <v>83</v>
      </c>
      <c r="B305" s="793">
        <v>44172</v>
      </c>
      <c r="C305" s="794">
        <v>734</v>
      </c>
      <c r="D305" s="794">
        <v>321</v>
      </c>
      <c r="E305" s="794">
        <v>220</v>
      </c>
      <c r="F305" s="796">
        <f t="shared" si="4"/>
        <v>0.56267029972752036</v>
      </c>
    </row>
    <row r="306" spans="1:6">
      <c r="A306" s="322" t="s">
        <v>84</v>
      </c>
      <c r="B306" s="793">
        <v>44173</v>
      </c>
      <c r="C306" s="794">
        <v>452</v>
      </c>
      <c r="D306" s="794">
        <v>321</v>
      </c>
      <c r="E306" s="794">
        <v>229</v>
      </c>
      <c r="F306" s="796">
        <f t="shared" si="4"/>
        <v>0.28982300884955747</v>
      </c>
    </row>
    <row r="307" spans="1:6">
      <c r="A307" s="322" t="s">
        <v>85</v>
      </c>
      <c r="B307" s="793">
        <v>44174</v>
      </c>
      <c r="C307" s="794">
        <v>670</v>
      </c>
      <c r="D307" s="794">
        <v>344</v>
      </c>
      <c r="E307" s="794">
        <v>258</v>
      </c>
      <c r="F307" s="796">
        <f t="shared" si="4"/>
        <v>0.48656716417910451</v>
      </c>
    </row>
    <row r="308" spans="1:6">
      <c r="A308" s="322" t="s">
        <v>86</v>
      </c>
      <c r="B308" s="793">
        <v>44175</v>
      </c>
      <c r="C308" s="794">
        <v>272</v>
      </c>
      <c r="D308" s="794">
        <v>85</v>
      </c>
      <c r="E308" s="794">
        <v>58</v>
      </c>
      <c r="F308" s="796">
        <f t="shared" si="4"/>
        <v>0.6875</v>
      </c>
    </row>
    <row r="309" spans="1:6">
      <c r="A309" s="322" t="s">
        <v>89</v>
      </c>
      <c r="B309" s="793">
        <v>44176</v>
      </c>
      <c r="C309" s="794">
        <v>1738</v>
      </c>
      <c r="D309" s="794">
        <v>1076</v>
      </c>
      <c r="E309" s="794">
        <v>765</v>
      </c>
      <c r="F309" s="796">
        <f t="shared" si="4"/>
        <v>0.38089758342922897</v>
      </c>
    </row>
    <row r="310" spans="1:6">
      <c r="A310" s="322" t="s">
        <v>88</v>
      </c>
      <c r="B310" s="793">
        <v>44177</v>
      </c>
      <c r="C310" s="794">
        <v>638</v>
      </c>
      <c r="D310" s="794">
        <v>278</v>
      </c>
      <c r="E310" s="794">
        <v>187</v>
      </c>
      <c r="F310" s="796">
        <f t="shared" si="4"/>
        <v>0.5642633228840126</v>
      </c>
    </row>
    <row r="311" spans="1:6">
      <c r="A311" s="322" t="s">
        <v>87</v>
      </c>
      <c r="B311" s="793">
        <v>44178</v>
      </c>
      <c r="C311" s="794">
        <v>585</v>
      </c>
      <c r="D311" s="794">
        <v>265</v>
      </c>
      <c r="E311" s="794">
        <v>174</v>
      </c>
      <c r="F311" s="796">
        <f t="shared" si="4"/>
        <v>0.54700854700854706</v>
      </c>
    </row>
    <row r="312" spans="1:6">
      <c r="A312" s="322" t="s">
        <v>90</v>
      </c>
      <c r="B312" s="793">
        <v>44179</v>
      </c>
      <c r="C312" s="794">
        <v>382</v>
      </c>
      <c r="D312" s="794">
        <v>140</v>
      </c>
      <c r="E312" s="794">
        <v>92</v>
      </c>
      <c r="F312" s="796">
        <f t="shared" si="4"/>
        <v>0.63350785340314131</v>
      </c>
    </row>
    <row r="313" spans="1:6">
      <c r="A313" s="322" t="s">
        <v>91</v>
      </c>
      <c r="B313" s="793">
        <v>44180</v>
      </c>
      <c r="C313" s="794">
        <v>480</v>
      </c>
      <c r="D313" s="794">
        <v>135</v>
      </c>
      <c r="E313" s="794">
        <v>93</v>
      </c>
      <c r="F313" s="796">
        <f t="shared" si="4"/>
        <v>0.71875</v>
      </c>
    </row>
    <row r="314" spans="1:6">
      <c r="A314" s="322" t="s">
        <v>93</v>
      </c>
      <c r="B314" s="793">
        <v>44181</v>
      </c>
      <c r="C314" s="794">
        <v>528</v>
      </c>
      <c r="D314" s="794">
        <v>294</v>
      </c>
      <c r="E314" s="794">
        <v>202</v>
      </c>
      <c r="F314" s="796">
        <f t="shared" si="4"/>
        <v>0.44318181818181823</v>
      </c>
    </row>
    <row r="315" spans="1:6">
      <c r="A315" s="322" t="s">
        <v>94</v>
      </c>
      <c r="B315" s="793">
        <v>44182</v>
      </c>
      <c r="C315" s="794">
        <v>239</v>
      </c>
      <c r="D315" s="794">
        <v>122</v>
      </c>
      <c r="E315" s="794">
        <v>82</v>
      </c>
      <c r="F315" s="796">
        <f t="shared" si="4"/>
        <v>0.4895397489539749</v>
      </c>
    </row>
    <row r="316" spans="1:6">
      <c r="A316" s="322" t="s">
        <v>92</v>
      </c>
      <c r="B316" s="793">
        <v>44183</v>
      </c>
      <c r="C316" s="794">
        <v>2666</v>
      </c>
      <c r="D316" s="794">
        <v>1532</v>
      </c>
      <c r="E316" s="794">
        <v>987</v>
      </c>
      <c r="F316" s="796">
        <f t="shared" si="4"/>
        <v>0.42535633908477122</v>
      </c>
    </row>
    <row r="317" spans="1:6">
      <c r="A317" s="322" t="s">
        <v>95</v>
      </c>
      <c r="B317" s="793">
        <v>44184</v>
      </c>
      <c r="C317" s="794">
        <v>2780</v>
      </c>
      <c r="D317" s="794">
        <v>1460</v>
      </c>
      <c r="E317" s="794">
        <v>1008</v>
      </c>
      <c r="F317" s="796">
        <f t="shared" si="4"/>
        <v>0.47482014388489213</v>
      </c>
    </row>
    <row r="318" spans="1:6">
      <c r="A318" s="322" t="s">
        <v>96</v>
      </c>
      <c r="B318" s="793">
        <v>44185</v>
      </c>
      <c r="C318" s="794">
        <v>295</v>
      </c>
      <c r="D318" s="794">
        <v>110</v>
      </c>
      <c r="E318" s="794">
        <v>70</v>
      </c>
      <c r="F318" s="796">
        <f t="shared" si="4"/>
        <v>0.6271186440677966</v>
      </c>
    </row>
    <row r="319" spans="1:6">
      <c r="A319" s="322" t="s">
        <v>98</v>
      </c>
      <c r="B319" s="793">
        <v>44186</v>
      </c>
      <c r="C319" s="794">
        <v>216</v>
      </c>
      <c r="D319" s="794">
        <v>82</v>
      </c>
      <c r="E319" s="794">
        <v>46</v>
      </c>
      <c r="F319" s="796">
        <f t="shared" si="4"/>
        <v>0.62037037037037035</v>
      </c>
    </row>
    <row r="320" spans="1:6">
      <c r="A320" s="322" t="s">
        <v>99</v>
      </c>
      <c r="B320" s="793">
        <v>44187</v>
      </c>
      <c r="C320" s="794">
        <v>59</v>
      </c>
      <c r="D320" s="794">
        <v>19</v>
      </c>
      <c r="E320" s="794">
        <v>12</v>
      </c>
      <c r="F320" s="796">
        <f t="shared" si="4"/>
        <v>0.67796610169491522</v>
      </c>
    </row>
    <row r="321" spans="1:6">
      <c r="A321" s="322" t="s">
        <v>97</v>
      </c>
      <c r="B321" s="793">
        <v>44188</v>
      </c>
      <c r="C321" s="794">
        <v>2709</v>
      </c>
      <c r="D321" s="794">
        <v>1442</v>
      </c>
      <c r="E321" s="794">
        <v>977</v>
      </c>
      <c r="F321" s="796">
        <f t="shared" si="4"/>
        <v>0.46770025839793283</v>
      </c>
    </row>
    <row r="322" spans="1:6">
      <c r="A322" s="322" t="s">
        <v>100</v>
      </c>
      <c r="B322" s="793">
        <v>44189</v>
      </c>
      <c r="C322" s="794">
        <v>1733</v>
      </c>
      <c r="D322" s="794">
        <v>907</v>
      </c>
      <c r="E322" s="794">
        <v>612</v>
      </c>
      <c r="F322" s="796">
        <f t="shared" ref="F322:F385" si="5">1-(D322/C322)</f>
        <v>0.47663012117714942</v>
      </c>
    </row>
    <row r="323" spans="1:6">
      <c r="A323" s="322" t="s">
        <v>102</v>
      </c>
      <c r="B323" s="793">
        <v>44190</v>
      </c>
      <c r="C323" s="794">
        <v>161</v>
      </c>
      <c r="D323" s="794">
        <v>81</v>
      </c>
      <c r="E323" s="794">
        <v>52</v>
      </c>
      <c r="F323" s="796">
        <f t="shared" si="5"/>
        <v>0.49689440993788825</v>
      </c>
    </row>
    <row r="324" spans="1:6">
      <c r="A324" s="322" t="s">
        <v>101</v>
      </c>
      <c r="B324" s="793">
        <v>44191</v>
      </c>
      <c r="C324" s="794">
        <v>7514</v>
      </c>
      <c r="D324" s="794">
        <v>4480</v>
      </c>
      <c r="E324" s="794">
        <v>2873</v>
      </c>
      <c r="F324" s="796">
        <f t="shared" si="5"/>
        <v>0.40377961139206819</v>
      </c>
    </row>
    <row r="325" spans="1:6">
      <c r="A325" s="322" t="s">
        <v>103</v>
      </c>
      <c r="B325" s="793">
        <v>44192</v>
      </c>
      <c r="C325" s="794">
        <v>190</v>
      </c>
      <c r="D325" s="794">
        <v>71</v>
      </c>
      <c r="E325" s="794">
        <v>39</v>
      </c>
      <c r="F325" s="796">
        <f t="shared" si="5"/>
        <v>0.62631578947368416</v>
      </c>
    </row>
    <row r="326" spans="1:6">
      <c r="A326" s="322" t="s">
        <v>77</v>
      </c>
      <c r="B326" s="793">
        <v>44197</v>
      </c>
      <c r="C326" s="794">
        <v>132</v>
      </c>
      <c r="D326" s="794">
        <v>5</v>
      </c>
      <c r="E326" s="794">
        <v>5</v>
      </c>
      <c r="F326" s="796">
        <f t="shared" si="5"/>
        <v>0.96212121212121215</v>
      </c>
    </row>
    <row r="327" spans="1:6">
      <c r="A327" s="322" t="s">
        <v>78</v>
      </c>
      <c r="B327" s="793">
        <v>44197</v>
      </c>
      <c r="C327" s="794">
        <v>154</v>
      </c>
      <c r="D327" s="794">
        <v>7</v>
      </c>
      <c r="E327" s="794">
        <v>6</v>
      </c>
      <c r="F327" s="796">
        <f t="shared" si="5"/>
        <v>0.95454545454545459</v>
      </c>
    </row>
    <row r="328" spans="1:6">
      <c r="A328" s="322" t="s">
        <v>80</v>
      </c>
      <c r="B328" s="793">
        <v>44197</v>
      </c>
      <c r="C328" s="794">
        <v>239</v>
      </c>
      <c r="D328" s="794">
        <v>6</v>
      </c>
      <c r="E328" s="794">
        <v>6</v>
      </c>
      <c r="F328" s="796">
        <f t="shared" si="5"/>
        <v>0.97489539748953979</v>
      </c>
    </row>
    <row r="329" spans="1:6">
      <c r="A329" s="322" t="s">
        <v>79</v>
      </c>
      <c r="B329" s="793">
        <v>44197</v>
      </c>
      <c r="C329" s="794">
        <v>258</v>
      </c>
      <c r="D329" s="794">
        <v>7</v>
      </c>
      <c r="E329" s="794">
        <v>6</v>
      </c>
      <c r="F329" s="796">
        <f t="shared" si="5"/>
        <v>0.97286821705426352</v>
      </c>
    </row>
    <row r="330" spans="1:6">
      <c r="A330" s="322" t="s">
        <v>81</v>
      </c>
      <c r="B330" s="793">
        <v>44197</v>
      </c>
      <c r="C330" s="794">
        <v>958</v>
      </c>
      <c r="D330" s="794">
        <v>30</v>
      </c>
      <c r="E330" s="794">
        <v>27</v>
      </c>
      <c r="F330" s="796">
        <f t="shared" si="5"/>
        <v>0.96868475991649272</v>
      </c>
    </row>
    <row r="331" spans="1:6">
      <c r="A331" s="322" t="s">
        <v>82</v>
      </c>
      <c r="B331" s="793">
        <v>44197</v>
      </c>
      <c r="C331" s="794">
        <v>390</v>
      </c>
      <c r="D331" s="794">
        <v>18</v>
      </c>
      <c r="E331" s="794">
        <v>14</v>
      </c>
      <c r="F331" s="796">
        <f t="shared" si="5"/>
        <v>0.95384615384615379</v>
      </c>
    </row>
    <row r="332" spans="1:6">
      <c r="A332" s="322" t="s">
        <v>83</v>
      </c>
      <c r="B332" s="793">
        <v>44197</v>
      </c>
      <c r="C332" s="794">
        <v>735</v>
      </c>
      <c r="D332" s="794">
        <v>18</v>
      </c>
      <c r="E332" s="794">
        <v>18</v>
      </c>
      <c r="F332" s="796">
        <f t="shared" si="5"/>
        <v>0.97551020408163269</v>
      </c>
    </row>
    <row r="333" spans="1:6">
      <c r="A333" s="322" t="s">
        <v>84</v>
      </c>
      <c r="B333" s="793">
        <v>44197</v>
      </c>
      <c r="C333" s="794">
        <v>453</v>
      </c>
      <c r="D333" s="794">
        <v>18</v>
      </c>
      <c r="E333" s="794">
        <v>18</v>
      </c>
      <c r="F333" s="796">
        <f t="shared" si="5"/>
        <v>0.96026490066225167</v>
      </c>
    </row>
    <row r="334" spans="1:6">
      <c r="A334" s="322" t="s">
        <v>85</v>
      </c>
      <c r="B334" s="793">
        <v>44197</v>
      </c>
      <c r="C334" s="794">
        <v>668</v>
      </c>
      <c r="D334" s="794">
        <v>22</v>
      </c>
      <c r="E334" s="794">
        <v>15</v>
      </c>
      <c r="F334" s="796">
        <f t="shared" si="5"/>
        <v>0.96706586826347307</v>
      </c>
    </row>
    <row r="335" spans="1:6">
      <c r="A335" s="322" t="s">
        <v>86</v>
      </c>
      <c r="B335" s="793">
        <v>44197</v>
      </c>
      <c r="C335" s="794">
        <v>274</v>
      </c>
      <c r="D335" s="794">
        <v>13</v>
      </c>
      <c r="E335" s="794">
        <v>11</v>
      </c>
      <c r="F335" s="796">
        <f t="shared" si="5"/>
        <v>0.95255474452554745</v>
      </c>
    </row>
    <row r="336" spans="1:6">
      <c r="A336" s="322" t="s">
        <v>89</v>
      </c>
      <c r="B336" s="793">
        <v>44197</v>
      </c>
      <c r="C336" s="794">
        <v>1734</v>
      </c>
      <c r="D336" s="794">
        <v>83</v>
      </c>
      <c r="E336" s="794">
        <v>81</v>
      </c>
      <c r="F336" s="796">
        <f t="shared" si="5"/>
        <v>0.95213379469434833</v>
      </c>
    </row>
    <row r="337" spans="1:6">
      <c r="A337" s="322" t="s">
        <v>88</v>
      </c>
      <c r="B337" s="793">
        <v>44197</v>
      </c>
      <c r="C337" s="794">
        <v>641</v>
      </c>
      <c r="D337" s="794">
        <v>18</v>
      </c>
      <c r="E337" s="794">
        <v>17</v>
      </c>
      <c r="F337" s="796">
        <f t="shared" si="5"/>
        <v>0.97191887675507016</v>
      </c>
    </row>
    <row r="338" spans="1:6">
      <c r="A338" s="322" t="s">
        <v>87</v>
      </c>
      <c r="B338" s="793">
        <v>44197</v>
      </c>
      <c r="C338" s="794">
        <v>586</v>
      </c>
      <c r="D338" s="794">
        <v>18</v>
      </c>
      <c r="E338" s="794">
        <v>15</v>
      </c>
      <c r="F338" s="796">
        <f t="shared" si="5"/>
        <v>0.96928327645051193</v>
      </c>
    </row>
    <row r="339" spans="1:6">
      <c r="A339" s="322" t="s">
        <v>90</v>
      </c>
      <c r="B339" s="793">
        <v>44197</v>
      </c>
      <c r="C339" s="794">
        <v>380</v>
      </c>
      <c r="D339" s="794">
        <v>10</v>
      </c>
      <c r="E339" s="794">
        <v>9</v>
      </c>
      <c r="F339" s="796">
        <f t="shared" si="5"/>
        <v>0.97368421052631582</v>
      </c>
    </row>
    <row r="340" spans="1:6">
      <c r="A340" s="322" t="s">
        <v>91</v>
      </c>
      <c r="B340" s="793">
        <v>44197</v>
      </c>
      <c r="C340" s="794">
        <v>477</v>
      </c>
      <c r="D340" s="794">
        <v>13</v>
      </c>
      <c r="E340" s="794">
        <v>12</v>
      </c>
      <c r="F340" s="796">
        <f t="shared" si="5"/>
        <v>0.97274633123689724</v>
      </c>
    </row>
    <row r="341" spans="1:6">
      <c r="A341" s="322" t="s">
        <v>93</v>
      </c>
      <c r="B341" s="793">
        <v>44197</v>
      </c>
      <c r="C341" s="794">
        <v>526</v>
      </c>
      <c r="D341" s="794">
        <v>32</v>
      </c>
      <c r="E341" s="794">
        <v>31</v>
      </c>
      <c r="F341" s="796">
        <f t="shared" si="5"/>
        <v>0.93916349809885935</v>
      </c>
    </row>
    <row r="342" spans="1:6">
      <c r="A342" s="322" t="s">
        <v>94</v>
      </c>
      <c r="B342" s="793">
        <v>44197</v>
      </c>
      <c r="C342" s="794">
        <v>245</v>
      </c>
      <c r="D342" s="794">
        <v>21</v>
      </c>
      <c r="E342" s="794">
        <v>18</v>
      </c>
      <c r="F342" s="796">
        <f t="shared" si="5"/>
        <v>0.91428571428571426</v>
      </c>
    </row>
    <row r="343" spans="1:6">
      <c r="A343" s="322" t="s">
        <v>92</v>
      </c>
      <c r="B343" s="793">
        <v>44197</v>
      </c>
      <c r="C343" s="794">
        <v>2668</v>
      </c>
      <c r="D343" s="794">
        <v>127</v>
      </c>
      <c r="E343" s="794">
        <v>113</v>
      </c>
      <c r="F343" s="796">
        <f t="shared" si="5"/>
        <v>0.95239880059970017</v>
      </c>
    </row>
    <row r="344" spans="1:6">
      <c r="A344" s="322" t="s">
        <v>95</v>
      </c>
      <c r="B344" s="793">
        <v>44197</v>
      </c>
      <c r="C344" s="794">
        <v>2780</v>
      </c>
      <c r="D344" s="794">
        <v>147</v>
      </c>
      <c r="E344" s="794">
        <v>134</v>
      </c>
      <c r="F344" s="796">
        <f t="shared" si="5"/>
        <v>0.94712230215827342</v>
      </c>
    </row>
    <row r="345" spans="1:6">
      <c r="A345" s="322" t="s">
        <v>96</v>
      </c>
      <c r="B345" s="793">
        <v>44197</v>
      </c>
      <c r="C345" s="794">
        <v>295</v>
      </c>
      <c r="D345" s="794">
        <v>4</v>
      </c>
      <c r="E345" s="794">
        <v>4</v>
      </c>
      <c r="F345" s="796">
        <f t="shared" si="5"/>
        <v>0.98644067796610169</v>
      </c>
    </row>
    <row r="346" spans="1:6">
      <c r="A346" s="322" t="s">
        <v>98</v>
      </c>
      <c r="B346" s="793">
        <v>44197</v>
      </c>
      <c r="C346" s="794">
        <v>216</v>
      </c>
      <c r="D346" s="794">
        <v>9</v>
      </c>
      <c r="E346" s="794">
        <v>9</v>
      </c>
      <c r="F346" s="796">
        <f t="shared" si="5"/>
        <v>0.95833333333333337</v>
      </c>
    </row>
    <row r="347" spans="1:6">
      <c r="A347" s="322" t="s">
        <v>99</v>
      </c>
      <c r="B347" s="793">
        <v>44197</v>
      </c>
      <c r="C347" s="794">
        <v>59</v>
      </c>
      <c r="D347" s="794">
        <v>2</v>
      </c>
      <c r="E347" s="794">
        <v>1</v>
      </c>
      <c r="F347" s="796">
        <f t="shared" si="5"/>
        <v>0.96610169491525422</v>
      </c>
    </row>
    <row r="348" spans="1:6">
      <c r="A348" s="322" t="s">
        <v>97</v>
      </c>
      <c r="B348" s="793">
        <v>44197</v>
      </c>
      <c r="C348" s="794">
        <v>2710</v>
      </c>
      <c r="D348" s="794">
        <v>98</v>
      </c>
      <c r="E348" s="794">
        <v>92</v>
      </c>
      <c r="F348" s="796">
        <f t="shared" si="5"/>
        <v>0.96383763837638381</v>
      </c>
    </row>
    <row r="349" spans="1:6">
      <c r="A349" s="322" t="s">
        <v>100</v>
      </c>
      <c r="B349" s="793">
        <v>44197</v>
      </c>
      <c r="C349" s="794">
        <v>1734</v>
      </c>
      <c r="D349" s="794">
        <v>65</v>
      </c>
      <c r="E349" s="794">
        <v>61</v>
      </c>
      <c r="F349" s="796">
        <f t="shared" si="5"/>
        <v>0.96251441753171862</v>
      </c>
    </row>
    <row r="350" spans="1:6">
      <c r="A350" s="322" t="s">
        <v>102</v>
      </c>
      <c r="B350" s="793">
        <v>44197</v>
      </c>
      <c r="C350" s="794">
        <v>163</v>
      </c>
      <c r="D350" s="794">
        <v>5</v>
      </c>
      <c r="E350" s="794">
        <v>5</v>
      </c>
      <c r="F350" s="796">
        <f t="shared" si="5"/>
        <v>0.96932515337423308</v>
      </c>
    </row>
    <row r="351" spans="1:6">
      <c r="A351" s="322" t="s">
        <v>101</v>
      </c>
      <c r="B351" s="793">
        <v>44197</v>
      </c>
      <c r="C351" s="794">
        <v>7511</v>
      </c>
      <c r="D351" s="794">
        <v>433</v>
      </c>
      <c r="E351" s="794">
        <v>389</v>
      </c>
      <c r="F351" s="796">
        <f t="shared" si="5"/>
        <v>0.94235121821328716</v>
      </c>
    </row>
    <row r="352" spans="1:6">
      <c r="A352" s="322" t="s">
        <v>103</v>
      </c>
      <c r="B352" s="793">
        <v>44197</v>
      </c>
      <c r="C352" s="794">
        <v>191</v>
      </c>
      <c r="D352" s="794">
        <v>8</v>
      </c>
      <c r="E352" s="794">
        <v>7</v>
      </c>
      <c r="F352" s="796">
        <f t="shared" si="5"/>
        <v>0.95811518324607325</v>
      </c>
    </row>
    <row r="353" spans="1:6">
      <c r="A353" s="322" t="s">
        <v>77</v>
      </c>
      <c r="B353" s="793">
        <v>44228</v>
      </c>
      <c r="C353" s="794">
        <v>132</v>
      </c>
      <c r="D353" s="794">
        <v>6</v>
      </c>
      <c r="E353" s="794">
        <v>6</v>
      </c>
      <c r="F353" s="796">
        <f t="shared" si="5"/>
        <v>0.95454545454545459</v>
      </c>
    </row>
    <row r="354" spans="1:6">
      <c r="A354" s="322" t="s">
        <v>78</v>
      </c>
      <c r="B354" s="793">
        <v>44229</v>
      </c>
      <c r="C354" s="794">
        <v>157</v>
      </c>
      <c r="D354" s="794">
        <v>15</v>
      </c>
      <c r="E354" s="794">
        <v>14</v>
      </c>
      <c r="F354" s="796">
        <f t="shared" si="5"/>
        <v>0.90445859872611467</v>
      </c>
    </row>
    <row r="355" spans="1:6">
      <c r="A355" s="322" t="s">
        <v>80</v>
      </c>
      <c r="B355" s="793">
        <v>44230</v>
      </c>
      <c r="C355" s="794">
        <v>238</v>
      </c>
      <c r="D355" s="794">
        <v>15</v>
      </c>
      <c r="E355" s="794">
        <v>14</v>
      </c>
      <c r="F355" s="796">
        <f t="shared" si="5"/>
        <v>0.93697478991596639</v>
      </c>
    </row>
    <row r="356" spans="1:6">
      <c r="A356" s="322" t="s">
        <v>79</v>
      </c>
      <c r="B356" s="793">
        <v>44231</v>
      </c>
      <c r="C356" s="794">
        <v>260</v>
      </c>
      <c r="D356" s="794">
        <v>10</v>
      </c>
      <c r="E356" s="794">
        <v>8</v>
      </c>
      <c r="F356" s="796">
        <f t="shared" si="5"/>
        <v>0.96153846153846156</v>
      </c>
    </row>
    <row r="357" spans="1:6">
      <c r="A357" s="322" t="s">
        <v>81</v>
      </c>
      <c r="B357" s="793">
        <v>44232</v>
      </c>
      <c r="C357" s="794">
        <v>958</v>
      </c>
      <c r="D357" s="794">
        <v>55</v>
      </c>
      <c r="E357" s="794">
        <v>51</v>
      </c>
      <c r="F357" s="796">
        <f t="shared" si="5"/>
        <v>0.94258872651356995</v>
      </c>
    </row>
    <row r="358" spans="1:6">
      <c r="A358" s="322" t="s">
        <v>82</v>
      </c>
      <c r="B358" s="793">
        <v>44233</v>
      </c>
      <c r="C358" s="794">
        <v>389</v>
      </c>
      <c r="D358" s="794">
        <v>32</v>
      </c>
      <c r="E358" s="794">
        <v>27</v>
      </c>
      <c r="F358" s="796">
        <f t="shared" si="5"/>
        <v>0.9177377892030848</v>
      </c>
    </row>
    <row r="359" spans="1:6">
      <c r="A359" s="322" t="s">
        <v>83</v>
      </c>
      <c r="B359" s="793">
        <v>44234</v>
      </c>
      <c r="C359" s="794">
        <v>734</v>
      </c>
      <c r="D359" s="794">
        <v>48</v>
      </c>
      <c r="E359" s="794">
        <v>47</v>
      </c>
      <c r="F359" s="796">
        <f t="shared" si="5"/>
        <v>0.93460490463215262</v>
      </c>
    </row>
    <row r="360" spans="1:6">
      <c r="A360" s="322" t="s">
        <v>84</v>
      </c>
      <c r="B360" s="793">
        <v>44235</v>
      </c>
      <c r="C360" s="794">
        <v>448</v>
      </c>
      <c r="D360" s="794">
        <v>54</v>
      </c>
      <c r="E360" s="794">
        <v>52</v>
      </c>
      <c r="F360" s="796">
        <f t="shared" si="5"/>
        <v>0.8794642857142857</v>
      </c>
    </row>
    <row r="361" spans="1:6">
      <c r="A361" s="322" t="s">
        <v>85</v>
      </c>
      <c r="B361" s="793">
        <v>44236</v>
      </c>
      <c r="C361" s="794">
        <v>669</v>
      </c>
      <c r="D361" s="794">
        <v>42</v>
      </c>
      <c r="E361" s="794">
        <v>32</v>
      </c>
      <c r="F361" s="796">
        <f t="shared" si="5"/>
        <v>0.93721973094170408</v>
      </c>
    </row>
    <row r="362" spans="1:6">
      <c r="A362" s="322" t="s">
        <v>86</v>
      </c>
      <c r="B362" s="793">
        <v>44237</v>
      </c>
      <c r="C362" s="794">
        <v>277</v>
      </c>
      <c r="D362" s="794">
        <v>20</v>
      </c>
      <c r="E362" s="794">
        <v>17</v>
      </c>
      <c r="F362" s="796">
        <f t="shared" si="5"/>
        <v>0.92779783393501802</v>
      </c>
    </row>
    <row r="363" spans="1:6">
      <c r="A363" s="322" t="s">
        <v>89</v>
      </c>
      <c r="B363" s="793">
        <v>44238</v>
      </c>
      <c r="C363" s="794">
        <v>1735</v>
      </c>
      <c r="D363" s="794">
        <v>157</v>
      </c>
      <c r="E363" s="794">
        <v>148</v>
      </c>
      <c r="F363" s="796">
        <f t="shared" si="5"/>
        <v>0.90951008645533138</v>
      </c>
    </row>
    <row r="364" spans="1:6">
      <c r="A364" s="322" t="s">
        <v>88</v>
      </c>
      <c r="B364" s="793">
        <v>44239</v>
      </c>
      <c r="C364" s="794">
        <v>641</v>
      </c>
      <c r="D364" s="794">
        <v>39</v>
      </c>
      <c r="E364" s="794">
        <v>35</v>
      </c>
      <c r="F364" s="796">
        <f t="shared" si="5"/>
        <v>0.93915756630265212</v>
      </c>
    </row>
    <row r="365" spans="1:6">
      <c r="A365" s="322" t="s">
        <v>87</v>
      </c>
      <c r="B365" s="793">
        <v>44240</v>
      </c>
      <c r="C365" s="794">
        <v>587</v>
      </c>
      <c r="D365" s="794">
        <v>34</v>
      </c>
      <c r="E365" s="794">
        <v>29</v>
      </c>
      <c r="F365" s="796">
        <f t="shared" si="5"/>
        <v>0.94207836456558769</v>
      </c>
    </row>
    <row r="366" spans="1:6">
      <c r="A366" s="322" t="s">
        <v>90</v>
      </c>
      <c r="B366" s="793">
        <v>44241</v>
      </c>
      <c r="C366" s="794">
        <v>382</v>
      </c>
      <c r="D366" s="794">
        <v>19</v>
      </c>
      <c r="E366" s="794">
        <v>17</v>
      </c>
      <c r="F366" s="796">
        <f t="shared" si="5"/>
        <v>0.95026178010471207</v>
      </c>
    </row>
    <row r="367" spans="1:6">
      <c r="A367" s="322" t="s">
        <v>91</v>
      </c>
      <c r="B367" s="793">
        <v>44242</v>
      </c>
      <c r="C367" s="794">
        <v>478</v>
      </c>
      <c r="D367" s="794">
        <v>21</v>
      </c>
      <c r="E367" s="794">
        <v>17</v>
      </c>
      <c r="F367" s="796">
        <f t="shared" si="5"/>
        <v>0.95606694560669458</v>
      </c>
    </row>
    <row r="368" spans="1:6">
      <c r="A368" s="322" t="s">
        <v>93</v>
      </c>
      <c r="B368" s="793">
        <v>44243</v>
      </c>
      <c r="C368" s="794">
        <v>530</v>
      </c>
      <c r="D368" s="794">
        <v>77</v>
      </c>
      <c r="E368" s="794">
        <v>70</v>
      </c>
      <c r="F368" s="796">
        <f t="shared" si="5"/>
        <v>0.8547169811320755</v>
      </c>
    </row>
    <row r="369" spans="1:6">
      <c r="A369" s="322" t="s">
        <v>94</v>
      </c>
      <c r="B369" s="793">
        <v>44244</v>
      </c>
      <c r="C369" s="794">
        <v>247</v>
      </c>
      <c r="D369" s="794">
        <v>29</v>
      </c>
      <c r="E369" s="794">
        <v>23</v>
      </c>
      <c r="F369" s="796">
        <f t="shared" si="5"/>
        <v>0.88259109311740891</v>
      </c>
    </row>
    <row r="370" spans="1:6">
      <c r="A370" s="322" t="s">
        <v>92</v>
      </c>
      <c r="B370" s="793">
        <v>44245</v>
      </c>
      <c r="C370" s="794">
        <v>2658</v>
      </c>
      <c r="D370" s="794">
        <v>206</v>
      </c>
      <c r="E370" s="794">
        <v>175</v>
      </c>
      <c r="F370" s="796">
        <f t="shared" si="5"/>
        <v>0.92249811888638078</v>
      </c>
    </row>
    <row r="371" spans="1:6">
      <c r="A371" s="322" t="s">
        <v>95</v>
      </c>
      <c r="B371" s="793">
        <v>44246</v>
      </c>
      <c r="C371" s="794">
        <v>2783</v>
      </c>
      <c r="D371" s="794">
        <v>301</v>
      </c>
      <c r="E371" s="794">
        <v>265</v>
      </c>
      <c r="F371" s="796">
        <f t="shared" si="5"/>
        <v>0.89184333453108156</v>
      </c>
    </row>
    <row r="372" spans="1:6">
      <c r="A372" s="322" t="s">
        <v>96</v>
      </c>
      <c r="B372" s="793">
        <v>44247</v>
      </c>
      <c r="C372" s="794">
        <v>297</v>
      </c>
      <c r="D372" s="794">
        <v>10</v>
      </c>
      <c r="E372" s="794">
        <v>10</v>
      </c>
      <c r="F372" s="796">
        <f t="shared" si="5"/>
        <v>0.96632996632996637</v>
      </c>
    </row>
    <row r="373" spans="1:6">
      <c r="A373" s="322" t="s">
        <v>98</v>
      </c>
      <c r="B373" s="793">
        <v>44248</v>
      </c>
      <c r="C373" s="794">
        <v>216</v>
      </c>
      <c r="D373" s="794">
        <v>13</v>
      </c>
      <c r="E373" s="794">
        <v>12</v>
      </c>
      <c r="F373" s="796">
        <f t="shared" si="5"/>
        <v>0.93981481481481477</v>
      </c>
    </row>
    <row r="374" spans="1:6">
      <c r="A374" s="322" t="s">
        <v>99</v>
      </c>
      <c r="B374" s="793">
        <v>44249</v>
      </c>
      <c r="C374" s="794">
        <v>59</v>
      </c>
      <c r="D374" s="794">
        <v>2</v>
      </c>
      <c r="E374" s="794">
        <v>1</v>
      </c>
      <c r="F374" s="796">
        <f t="shared" si="5"/>
        <v>0.96610169491525422</v>
      </c>
    </row>
    <row r="375" spans="1:6">
      <c r="A375" s="322" t="s">
        <v>97</v>
      </c>
      <c r="B375" s="793">
        <v>44250</v>
      </c>
      <c r="C375" s="794">
        <v>2693</v>
      </c>
      <c r="D375" s="794">
        <v>179</v>
      </c>
      <c r="E375" s="794">
        <v>161</v>
      </c>
      <c r="F375" s="796">
        <f t="shared" si="5"/>
        <v>0.93353137764574823</v>
      </c>
    </row>
    <row r="376" spans="1:6">
      <c r="A376" s="322" t="s">
        <v>100</v>
      </c>
      <c r="B376" s="793">
        <v>44251</v>
      </c>
      <c r="C376" s="794">
        <v>1733</v>
      </c>
      <c r="D376" s="794">
        <v>136</v>
      </c>
      <c r="E376" s="794">
        <v>122</v>
      </c>
      <c r="F376" s="796">
        <f t="shared" si="5"/>
        <v>0.92152336987882288</v>
      </c>
    </row>
    <row r="377" spans="1:6">
      <c r="A377" s="322" t="s">
        <v>102</v>
      </c>
      <c r="B377" s="793">
        <v>44252</v>
      </c>
      <c r="C377" s="794">
        <v>164</v>
      </c>
      <c r="D377" s="794">
        <v>11</v>
      </c>
      <c r="E377" s="794">
        <v>10</v>
      </c>
      <c r="F377" s="796">
        <f t="shared" si="5"/>
        <v>0.93292682926829262</v>
      </c>
    </row>
    <row r="378" spans="1:6">
      <c r="A378" s="322" t="s">
        <v>101</v>
      </c>
      <c r="B378" s="793">
        <v>44253</v>
      </c>
      <c r="C378" s="794">
        <v>7525</v>
      </c>
      <c r="D378" s="794">
        <v>933</v>
      </c>
      <c r="E378" s="794">
        <v>817</v>
      </c>
      <c r="F378" s="796">
        <f t="shared" si="5"/>
        <v>0.87601328903654485</v>
      </c>
    </row>
    <row r="379" spans="1:6">
      <c r="A379" s="322" t="s">
        <v>103</v>
      </c>
      <c r="B379" s="793">
        <v>44254</v>
      </c>
      <c r="C379" s="794">
        <v>193</v>
      </c>
      <c r="D379" s="794">
        <v>15</v>
      </c>
      <c r="E379" s="794">
        <v>14</v>
      </c>
      <c r="F379" s="796">
        <f t="shared" si="5"/>
        <v>0.92227979274611394</v>
      </c>
    </row>
    <row r="380" spans="1:6">
      <c r="A380" s="322" t="s">
        <v>77</v>
      </c>
      <c r="B380" s="793">
        <v>44256</v>
      </c>
      <c r="C380" s="794">
        <v>133</v>
      </c>
      <c r="D380" s="794">
        <v>11</v>
      </c>
      <c r="E380" s="794">
        <v>11</v>
      </c>
      <c r="F380" s="796">
        <f t="shared" si="5"/>
        <v>0.91729323308270683</v>
      </c>
    </row>
    <row r="381" spans="1:6">
      <c r="A381" s="322" t="s">
        <v>78</v>
      </c>
      <c r="B381" s="793">
        <v>44257</v>
      </c>
      <c r="C381" s="794">
        <v>157</v>
      </c>
      <c r="D381" s="794">
        <v>20</v>
      </c>
      <c r="E381" s="794">
        <v>16</v>
      </c>
      <c r="F381" s="796">
        <f t="shared" si="5"/>
        <v>0.87261146496815289</v>
      </c>
    </row>
    <row r="382" spans="1:6">
      <c r="A382" s="322" t="s">
        <v>80</v>
      </c>
      <c r="B382" s="793">
        <v>44258</v>
      </c>
      <c r="C382" s="794">
        <v>241</v>
      </c>
      <c r="D382" s="794">
        <v>32</v>
      </c>
      <c r="E382" s="794">
        <v>29</v>
      </c>
      <c r="F382" s="796">
        <f t="shared" si="5"/>
        <v>0.86721991701244816</v>
      </c>
    </row>
    <row r="383" spans="1:6">
      <c r="A383" s="322" t="s">
        <v>79</v>
      </c>
      <c r="B383" s="793">
        <v>44259</v>
      </c>
      <c r="C383" s="794">
        <v>265</v>
      </c>
      <c r="D383" s="794">
        <v>21</v>
      </c>
      <c r="E383" s="794">
        <v>16</v>
      </c>
      <c r="F383" s="796">
        <f t="shared" si="5"/>
        <v>0.92075471698113209</v>
      </c>
    </row>
    <row r="384" spans="1:6">
      <c r="A384" s="322" t="s">
        <v>81</v>
      </c>
      <c r="B384" s="793">
        <v>44260</v>
      </c>
      <c r="C384" s="794">
        <v>961</v>
      </c>
      <c r="D384" s="794">
        <v>79</v>
      </c>
      <c r="E384" s="794">
        <v>71</v>
      </c>
      <c r="F384" s="796">
        <f t="shared" si="5"/>
        <v>0.91779396462018736</v>
      </c>
    </row>
    <row r="385" spans="1:6">
      <c r="A385" s="322" t="s">
        <v>82</v>
      </c>
      <c r="B385" s="793">
        <v>44261</v>
      </c>
      <c r="C385" s="794">
        <v>397</v>
      </c>
      <c r="D385" s="794">
        <v>52</v>
      </c>
      <c r="E385" s="794">
        <v>45</v>
      </c>
      <c r="F385" s="796">
        <f t="shared" si="5"/>
        <v>0.86901763224181361</v>
      </c>
    </row>
    <row r="386" spans="1:6">
      <c r="A386" s="322" t="s">
        <v>83</v>
      </c>
      <c r="B386" s="793">
        <v>44262</v>
      </c>
      <c r="C386" s="794">
        <v>737</v>
      </c>
      <c r="D386" s="794">
        <v>63</v>
      </c>
      <c r="E386" s="794">
        <v>59</v>
      </c>
      <c r="F386" s="796">
        <f t="shared" ref="F386:F449" si="6">1-(D386/C386)</f>
        <v>0.91451831750339219</v>
      </c>
    </row>
    <row r="387" spans="1:6">
      <c r="A387" s="322" t="s">
        <v>84</v>
      </c>
      <c r="B387" s="793">
        <v>44263</v>
      </c>
      <c r="C387" s="794">
        <v>446</v>
      </c>
      <c r="D387" s="794">
        <v>73</v>
      </c>
      <c r="E387" s="794">
        <v>68</v>
      </c>
      <c r="F387" s="796">
        <f t="shared" si="6"/>
        <v>0.83632286995515692</v>
      </c>
    </row>
    <row r="388" spans="1:6">
      <c r="A388" s="322" t="s">
        <v>85</v>
      </c>
      <c r="B388" s="793">
        <v>44264</v>
      </c>
      <c r="C388" s="794">
        <v>673</v>
      </c>
      <c r="D388" s="794">
        <v>69</v>
      </c>
      <c r="E388" s="794">
        <v>51</v>
      </c>
      <c r="F388" s="796">
        <f t="shared" si="6"/>
        <v>0.89747399702823183</v>
      </c>
    </row>
    <row r="389" spans="1:6">
      <c r="A389" s="322" t="s">
        <v>86</v>
      </c>
      <c r="B389" s="793">
        <v>44265</v>
      </c>
      <c r="C389" s="794">
        <v>279</v>
      </c>
      <c r="D389" s="794">
        <v>28</v>
      </c>
      <c r="E389" s="794">
        <v>25</v>
      </c>
      <c r="F389" s="796">
        <f t="shared" si="6"/>
        <v>0.89964157706093184</v>
      </c>
    </row>
    <row r="390" spans="1:6">
      <c r="A390" s="322" t="s">
        <v>89</v>
      </c>
      <c r="B390" s="793">
        <v>44266</v>
      </c>
      <c r="C390" s="794">
        <v>1739</v>
      </c>
      <c r="D390" s="794">
        <v>261</v>
      </c>
      <c r="E390" s="794">
        <v>239</v>
      </c>
      <c r="F390" s="796">
        <f t="shared" si="6"/>
        <v>0.84991374353076488</v>
      </c>
    </row>
    <row r="391" spans="1:6">
      <c r="A391" s="322" t="s">
        <v>88</v>
      </c>
      <c r="B391" s="793">
        <v>44267</v>
      </c>
      <c r="C391" s="794">
        <v>642</v>
      </c>
      <c r="D391" s="794">
        <v>58</v>
      </c>
      <c r="E391" s="794">
        <v>49</v>
      </c>
      <c r="F391" s="796">
        <f t="shared" si="6"/>
        <v>0.90965732087227413</v>
      </c>
    </row>
    <row r="392" spans="1:6">
      <c r="A392" s="322" t="s">
        <v>87</v>
      </c>
      <c r="B392" s="793">
        <v>44268</v>
      </c>
      <c r="C392" s="794">
        <v>588</v>
      </c>
      <c r="D392" s="794">
        <v>62</v>
      </c>
      <c r="E392" s="794">
        <v>51</v>
      </c>
      <c r="F392" s="796">
        <f t="shared" si="6"/>
        <v>0.89455782312925169</v>
      </c>
    </row>
    <row r="393" spans="1:6">
      <c r="A393" s="322" t="s">
        <v>90</v>
      </c>
      <c r="B393" s="793">
        <v>44269</v>
      </c>
      <c r="C393" s="794">
        <v>386</v>
      </c>
      <c r="D393" s="794">
        <v>28</v>
      </c>
      <c r="E393" s="794">
        <v>23</v>
      </c>
      <c r="F393" s="796">
        <f t="shared" si="6"/>
        <v>0.92746113989637302</v>
      </c>
    </row>
    <row r="394" spans="1:6">
      <c r="A394" s="322" t="s">
        <v>91</v>
      </c>
      <c r="B394" s="793">
        <v>44270</v>
      </c>
      <c r="C394" s="794">
        <v>482</v>
      </c>
      <c r="D394" s="794">
        <v>39</v>
      </c>
      <c r="E394" s="794">
        <v>33</v>
      </c>
      <c r="F394" s="796">
        <f t="shared" si="6"/>
        <v>0.91908713692946054</v>
      </c>
    </row>
    <row r="395" spans="1:6">
      <c r="A395" s="322" t="s">
        <v>93</v>
      </c>
      <c r="B395" s="793">
        <v>44271</v>
      </c>
      <c r="C395" s="794">
        <v>526</v>
      </c>
      <c r="D395" s="794">
        <v>105</v>
      </c>
      <c r="E395" s="794">
        <v>91</v>
      </c>
      <c r="F395" s="796">
        <f t="shared" si="6"/>
        <v>0.80038022813688214</v>
      </c>
    </row>
    <row r="396" spans="1:6">
      <c r="A396" s="322" t="s">
        <v>94</v>
      </c>
      <c r="B396" s="793">
        <v>44272</v>
      </c>
      <c r="C396" s="794">
        <v>246</v>
      </c>
      <c r="D396" s="794">
        <v>39</v>
      </c>
      <c r="E396" s="794">
        <v>30</v>
      </c>
      <c r="F396" s="796">
        <f t="shared" si="6"/>
        <v>0.84146341463414631</v>
      </c>
    </row>
    <row r="397" spans="1:6">
      <c r="A397" s="322" t="s">
        <v>92</v>
      </c>
      <c r="B397" s="793">
        <v>44273</v>
      </c>
      <c r="C397" s="794">
        <v>2679</v>
      </c>
      <c r="D397" s="794">
        <v>366</v>
      </c>
      <c r="E397" s="794">
        <v>314</v>
      </c>
      <c r="F397" s="796">
        <f t="shared" si="6"/>
        <v>0.86338185890257557</v>
      </c>
    </row>
    <row r="398" spans="1:6">
      <c r="A398" s="322" t="s">
        <v>95</v>
      </c>
      <c r="B398" s="793">
        <v>44274</v>
      </c>
      <c r="C398" s="794">
        <v>2784</v>
      </c>
      <c r="D398" s="794">
        <v>376</v>
      </c>
      <c r="E398" s="794">
        <v>323</v>
      </c>
      <c r="F398" s="796">
        <f t="shared" si="6"/>
        <v>0.86494252873563215</v>
      </c>
    </row>
    <row r="399" spans="1:6">
      <c r="A399" s="322" t="s">
        <v>96</v>
      </c>
      <c r="B399" s="793">
        <v>44275</v>
      </c>
      <c r="C399" s="794">
        <v>296</v>
      </c>
      <c r="D399" s="794">
        <v>12</v>
      </c>
      <c r="E399" s="794">
        <v>11</v>
      </c>
      <c r="F399" s="796">
        <f t="shared" si="6"/>
        <v>0.95945945945945943</v>
      </c>
    </row>
    <row r="400" spans="1:6">
      <c r="A400" s="322" t="s">
        <v>98</v>
      </c>
      <c r="B400" s="793">
        <v>44276</v>
      </c>
      <c r="C400" s="794">
        <v>220</v>
      </c>
      <c r="D400" s="794">
        <v>19</v>
      </c>
      <c r="E400" s="794">
        <v>17</v>
      </c>
      <c r="F400" s="796">
        <f t="shared" si="6"/>
        <v>0.91363636363636358</v>
      </c>
    </row>
    <row r="401" spans="1:6">
      <c r="A401" s="322" t="s">
        <v>99</v>
      </c>
      <c r="B401" s="793">
        <v>44277</v>
      </c>
      <c r="C401" s="794">
        <v>59</v>
      </c>
      <c r="D401" s="794">
        <v>8</v>
      </c>
      <c r="E401" s="794">
        <v>5</v>
      </c>
      <c r="F401" s="796">
        <f t="shared" si="6"/>
        <v>0.86440677966101698</v>
      </c>
    </row>
    <row r="402" spans="1:6">
      <c r="A402" s="322" t="s">
        <v>97</v>
      </c>
      <c r="B402" s="793">
        <v>44278</v>
      </c>
      <c r="C402" s="794">
        <v>2695</v>
      </c>
      <c r="D402" s="794">
        <v>258</v>
      </c>
      <c r="E402" s="794">
        <v>237</v>
      </c>
      <c r="F402" s="796">
        <f t="shared" si="6"/>
        <v>0.90426716141001851</v>
      </c>
    </row>
    <row r="403" spans="1:6">
      <c r="A403" s="322" t="s">
        <v>100</v>
      </c>
      <c r="B403" s="793">
        <v>44279</v>
      </c>
      <c r="C403" s="794">
        <v>1735</v>
      </c>
      <c r="D403" s="794">
        <v>180</v>
      </c>
      <c r="E403" s="794">
        <v>158</v>
      </c>
      <c r="F403" s="796">
        <f t="shared" si="6"/>
        <v>0.89625360230547546</v>
      </c>
    </row>
    <row r="404" spans="1:6">
      <c r="A404" s="322" t="s">
        <v>102</v>
      </c>
      <c r="B404" s="793">
        <v>44280</v>
      </c>
      <c r="C404" s="794">
        <v>166</v>
      </c>
      <c r="D404" s="794">
        <v>21</v>
      </c>
      <c r="E404" s="794">
        <v>19</v>
      </c>
      <c r="F404" s="796">
        <f t="shared" si="6"/>
        <v>0.87349397590361444</v>
      </c>
    </row>
    <row r="405" spans="1:6">
      <c r="A405" s="322" t="s">
        <v>101</v>
      </c>
      <c r="B405" s="793">
        <v>44281</v>
      </c>
      <c r="C405" s="794">
        <v>7561</v>
      </c>
      <c r="D405" s="794">
        <v>1282</v>
      </c>
      <c r="E405" s="794">
        <v>1109</v>
      </c>
      <c r="F405" s="796">
        <f t="shared" si="6"/>
        <v>0.8304457082396508</v>
      </c>
    </row>
    <row r="406" spans="1:6">
      <c r="A406" s="322" t="s">
        <v>103</v>
      </c>
      <c r="B406" s="793">
        <v>44282</v>
      </c>
      <c r="C406" s="794">
        <v>195</v>
      </c>
      <c r="D406" s="794">
        <v>16</v>
      </c>
      <c r="E406" s="794">
        <v>15</v>
      </c>
      <c r="F406" s="796">
        <f t="shared" si="6"/>
        <v>0.91794871794871791</v>
      </c>
    </row>
    <row r="407" spans="1:6">
      <c r="A407" s="322" t="s">
        <v>77</v>
      </c>
      <c r="B407" s="793">
        <v>44287</v>
      </c>
      <c r="C407" s="794">
        <v>133</v>
      </c>
      <c r="D407" s="794">
        <v>16</v>
      </c>
      <c r="E407" s="794">
        <v>16</v>
      </c>
      <c r="F407" s="796">
        <f t="shared" si="6"/>
        <v>0.87969924812030076</v>
      </c>
    </row>
    <row r="408" spans="1:6">
      <c r="A408" s="322" t="s">
        <v>78</v>
      </c>
      <c r="B408" s="793">
        <v>44288</v>
      </c>
      <c r="C408" s="794">
        <v>157</v>
      </c>
      <c r="D408" s="794">
        <v>26</v>
      </c>
      <c r="E408" s="794">
        <v>21</v>
      </c>
      <c r="F408" s="796">
        <f t="shared" si="6"/>
        <v>0.83439490445859876</v>
      </c>
    </row>
    <row r="409" spans="1:6">
      <c r="A409" s="322" t="s">
        <v>80</v>
      </c>
      <c r="B409" s="793">
        <v>44289</v>
      </c>
      <c r="C409" s="794">
        <v>241</v>
      </c>
      <c r="D409" s="794">
        <v>38</v>
      </c>
      <c r="E409" s="794">
        <v>34</v>
      </c>
      <c r="F409" s="796">
        <f t="shared" si="6"/>
        <v>0.84232365145228216</v>
      </c>
    </row>
    <row r="410" spans="1:6">
      <c r="A410" s="322" t="s">
        <v>79</v>
      </c>
      <c r="B410" s="793">
        <v>44290</v>
      </c>
      <c r="C410" s="794">
        <v>266</v>
      </c>
      <c r="D410" s="794">
        <v>25</v>
      </c>
      <c r="E410" s="794">
        <v>19</v>
      </c>
      <c r="F410" s="796">
        <f t="shared" si="6"/>
        <v>0.90601503759398494</v>
      </c>
    </row>
    <row r="411" spans="1:6">
      <c r="A411" s="322" t="s">
        <v>81</v>
      </c>
      <c r="B411" s="793">
        <v>44291</v>
      </c>
      <c r="C411" s="794">
        <v>903</v>
      </c>
      <c r="D411" s="794">
        <v>84</v>
      </c>
      <c r="E411" s="794">
        <v>75</v>
      </c>
      <c r="F411" s="796">
        <f t="shared" si="6"/>
        <v>0.90697674418604657</v>
      </c>
    </row>
    <row r="412" spans="1:6">
      <c r="A412" s="322" t="s">
        <v>82</v>
      </c>
      <c r="B412" s="793">
        <v>44292</v>
      </c>
      <c r="C412" s="794">
        <v>396</v>
      </c>
      <c r="D412" s="794">
        <v>62</v>
      </c>
      <c r="E412" s="794">
        <v>53</v>
      </c>
      <c r="F412" s="796">
        <f t="shared" si="6"/>
        <v>0.84343434343434343</v>
      </c>
    </row>
    <row r="413" spans="1:6">
      <c r="A413" s="322" t="s">
        <v>83</v>
      </c>
      <c r="B413" s="793">
        <v>44293</v>
      </c>
      <c r="C413" s="794">
        <v>729</v>
      </c>
      <c r="D413" s="794">
        <v>77</v>
      </c>
      <c r="E413" s="794">
        <v>68</v>
      </c>
      <c r="F413" s="796">
        <f t="shared" si="6"/>
        <v>0.8943758573388203</v>
      </c>
    </row>
    <row r="414" spans="1:6">
      <c r="A414" s="322" t="s">
        <v>84</v>
      </c>
      <c r="B414" s="793">
        <v>44294</v>
      </c>
      <c r="C414" s="794">
        <v>438</v>
      </c>
      <c r="D414" s="794">
        <v>83</v>
      </c>
      <c r="E414" s="794">
        <v>77</v>
      </c>
      <c r="F414" s="796">
        <f t="shared" si="6"/>
        <v>0.81050228310502281</v>
      </c>
    </row>
    <row r="415" spans="1:6">
      <c r="A415" s="322" t="s">
        <v>85</v>
      </c>
      <c r="B415" s="793">
        <v>44295</v>
      </c>
      <c r="C415" s="794">
        <v>673</v>
      </c>
      <c r="D415" s="794">
        <v>91</v>
      </c>
      <c r="E415" s="794">
        <v>71</v>
      </c>
      <c r="F415" s="796">
        <f t="shared" si="6"/>
        <v>0.86478454680534922</v>
      </c>
    </row>
    <row r="416" spans="1:6">
      <c r="A416" s="322" t="s">
        <v>86</v>
      </c>
      <c r="B416" s="793">
        <v>44296</v>
      </c>
      <c r="C416" s="794">
        <v>270</v>
      </c>
      <c r="D416" s="794">
        <v>32</v>
      </c>
      <c r="E416" s="794">
        <v>28</v>
      </c>
      <c r="F416" s="796">
        <f t="shared" si="6"/>
        <v>0.88148148148148153</v>
      </c>
    </row>
    <row r="417" spans="1:6">
      <c r="A417" s="322" t="s">
        <v>89</v>
      </c>
      <c r="B417" s="793">
        <v>44297</v>
      </c>
      <c r="C417" s="794">
        <v>1745</v>
      </c>
      <c r="D417" s="794">
        <v>314</v>
      </c>
      <c r="E417" s="794">
        <v>283</v>
      </c>
      <c r="F417" s="796">
        <f t="shared" si="6"/>
        <v>0.82005730659025788</v>
      </c>
    </row>
    <row r="418" spans="1:6">
      <c r="A418" s="322" t="s">
        <v>88</v>
      </c>
      <c r="B418" s="793">
        <v>44298</v>
      </c>
      <c r="C418" s="794">
        <v>625</v>
      </c>
      <c r="D418" s="794">
        <v>69</v>
      </c>
      <c r="E418" s="794">
        <v>59</v>
      </c>
      <c r="F418" s="796">
        <f t="shared" si="6"/>
        <v>0.88959999999999995</v>
      </c>
    </row>
    <row r="419" spans="1:6">
      <c r="A419" s="322" t="s">
        <v>87</v>
      </c>
      <c r="B419" s="793">
        <v>44299</v>
      </c>
      <c r="C419" s="794">
        <v>590</v>
      </c>
      <c r="D419" s="794">
        <v>79</v>
      </c>
      <c r="E419" s="794">
        <v>65</v>
      </c>
      <c r="F419" s="796">
        <f t="shared" si="6"/>
        <v>0.86610169491525424</v>
      </c>
    </row>
    <row r="420" spans="1:6">
      <c r="A420" s="322" t="s">
        <v>90</v>
      </c>
      <c r="B420" s="793">
        <v>44300</v>
      </c>
      <c r="C420" s="794">
        <v>382</v>
      </c>
      <c r="D420" s="794">
        <v>36</v>
      </c>
      <c r="E420" s="794">
        <v>27</v>
      </c>
      <c r="F420" s="796">
        <f t="shared" si="6"/>
        <v>0.90575916230366493</v>
      </c>
    </row>
    <row r="421" spans="1:6">
      <c r="A421" s="322" t="s">
        <v>91</v>
      </c>
      <c r="B421" s="793">
        <v>44301</v>
      </c>
      <c r="C421" s="794">
        <v>481</v>
      </c>
      <c r="D421" s="794">
        <v>49</v>
      </c>
      <c r="E421" s="794">
        <v>40</v>
      </c>
      <c r="F421" s="796">
        <f t="shared" si="6"/>
        <v>0.89812889812889818</v>
      </c>
    </row>
    <row r="422" spans="1:6">
      <c r="A422" s="322" t="s">
        <v>93</v>
      </c>
      <c r="B422" s="793">
        <v>44302</v>
      </c>
      <c r="C422" s="794">
        <v>525</v>
      </c>
      <c r="D422" s="794">
        <v>118</v>
      </c>
      <c r="E422" s="794">
        <v>101</v>
      </c>
      <c r="F422" s="796">
        <f t="shared" si="6"/>
        <v>0.77523809523809528</v>
      </c>
    </row>
    <row r="423" spans="1:6">
      <c r="A423" s="322" t="s">
        <v>94</v>
      </c>
      <c r="B423" s="793">
        <v>44303</v>
      </c>
      <c r="C423" s="794">
        <v>244</v>
      </c>
      <c r="D423" s="794">
        <v>45</v>
      </c>
      <c r="E423" s="794">
        <v>36</v>
      </c>
      <c r="F423" s="796">
        <f t="shared" si="6"/>
        <v>0.81557377049180324</v>
      </c>
    </row>
    <row r="424" spans="1:6">
      <c r="A424" s="322" t="s">
        <v>92</v>
      </c>
      <c r="B424" s="793">
        <v>44304</v>
      </c>
      <c r="C424" s="794">
        <v>2662</v>
      </c>
      <c r="D424" s="794">
        <v>432</v>
      </c>
      <c r="E424" s="794">
        <v>366</v>
      </c>
      <c r="F424" s="796">
        <f t="shared" si="6"/>
        <v>0.83771600300525917</v>
      </c>
    </row>
    <row r="425" spans="1:6">
      <c r="A425" s="322" t="s">
        <v>95</v>
      </c>
      <c r="B425" s="793">
        <v>44305</v>
      </c>
      <c r="C425" s="794">
        <v>2784</v>
      </c>
      <c r="D425" s="794">
        <v>449</v>
      </c>
      <c r="E425" s="794">
        <v>379</v>
      </c>
      <c r="F425" s="796">
        <f t="shared" si="6"/>
        <v>0.83872126436781613</v>
      </c>
    </row>
    <row r="426" spans="1:6">
      <c r="A426" s="322" t="s">
        <v>96</v>
      </c>
      <c r="B426" s="793">
        <v>44306</v>
      </c>
      <c r="C426" s="794">
        <v>292</v>
      </c>
      <c r="D426" s="794">
        <v>15</v>
      </c>
      <c r="E426" s="794">
        <v>14</v>
      </c>
      <c r="F426" s="796">
        <f t="shared" si="6"/>
        <v>0.94863013698630139</v>
      </c>
    </row>
    <row r="427" spans="1:6">
      <c r="A427" s="322" t="s">
        <v>98</v>
      </c>
      <c r="B427" s="793">
        <v>44307</v>
      </c>
      <c r="C427" s="794">
        <v>216</v>
      </c>
      <c r="D427" s="794">
        <v>21</v>
      </c>
      <c r="E427" s="794">
        <v>18</v>
      </c>
      <c r="F427" s="796">
        <f t="shared" si="6"/>
        <v>0.90277777777777779</v>
      </c>
    </row>
    <row r="428" spans="1:6">
      <c r="A428" s="322" t="s">
        <v>99</v>
      </c>
      <c r="B428" s="793">
        <v>44308</v>
      </c>
      <c r="C428" s="794">
        <v>58</v>
      </c>
      <c r="D428" s="794">
        <v>9</v>
      </c>
      <c r="E428" s="794">
        <v>6</v>
      </c>
      <c r="F428" s="796">
        <f t="shared" si="6"/>
        <v>0.84482758620689657</v>
      </c>
    </row>
    <row r="429" spans="1:6">
      <c r="A429" s="322" t="s">
        <v>97</v>
      </c>
      <c r="B429" s="793">
        <v>44309</v>
      </c>
      <c r="C429" s="794">
        <v>2693</v>
      </c>
      <c r="D429" s="794">
        <v>324</v>
      </c>
      <c r="E429" s="794">
        <v>294</v>
      </c>
      <c r="F429" s="796">
        <f t="shared" si="6"/>
        <v>0.87968808020794653</v>
      </c>
    </row>
    <row r="430" spans="1:6">
      <c r="A430" s="322" t="s">
        <v>100</v>
      </c>
      <c r="B430" s="793">
        <v>44310</v>
      </c>
      <c r="C430" s="794">
        <v>1728</v>
      </c>
      <c r="D430" s="794">
        <v>207</v>
      </c>
      <c r="E430" s="794">
        <v>183</v>
      </c>
      <c r="F430" s="796">
        <f t="shared" si="6"/>
        <v>0.88020833333333337</v>
      </c>
    </row>
    <row r="431" spans="1:6">
      <c r="A431" s="322" t="s">
        <v>102</v>
      </c>
      <c r="B431" s="793">
        <v>44311</v>
      </c>
      <c r="C431" s="794">
        <v>163</v>
      </c>
      <c r="D431" s="794">
        <v>28</v>
      </c>
      <c r="E431" s="794">
        <v>24</v>
      </c>
      <c r="F431" s="796">
        <f t="shared" si="6"/>
        <v>0.82822085889570551</v>
      </c>
    </row>
    <row r="432" spans="1:6">
      <c r="A432" s="322" t="s">
        <v>101</v>
      </c>
      <c r="B432" s="793">
        <v>44312</v>
      </c>
      <c r="C432" s="794">
        <v>7580</v>
      </c>
      <c r="D432" s="794">
        <v>1538</v>
      </c>
      <c r="E432" s="794">
        <v>1326</v>
      </c>
      <c r="F432" s="796">
        <f t="shared" si="6"/>
        <v>0.79709762532981532</v>
      </c>
    </row>
    <row r="433" spans="1:6">
      <c r="A433" s="322" t="s">
        <v>103</v>
      </c>
      <c r="B433" s="793">
        <v>44313</v>
      </c>
      <c r="C433" s="794">
        <v>186</v>
      </c>
      <c r="D433" s="794">
        <v>16</v>
      </c>
      <c r="E433" s="794">
        <v>15</v>
      </c>
      <c r="F433" s="796">
        <f t="shared" si="6"/>
        <v>0.91397849462365588</v>
      </c>
    </row>
    <row r="434" spans="1:6">
      <c r="A434" s="322" t="s">
        <v>77</v>
      </c>
      <c r="B434" s="793">
        <v>44317</v>
      </c>
      <c r="C434" s="794">
        <v>135</v>
      </c>
      <c r="D434" s="794">
        <v>22</v>
      </c>
      <c r="E434" s="794">
        <v>20</v>
      </c>
      <c r="F434" s="796">
        <f t="shared" si="6"/>
        <v>0.83703703703703702</v>
      </c>
    </row>
    <row r="435" spans="1:6">
      <c r="A435" s="322" t="s">
        <v>78</v>
      </c>
      <c r="B435" s="793">
        <v>44318</v>
      </c>
      <c r="C435" s="794">
        <v>159</v>
      </c>
      <c r="D435" s="794">
        <v>32</v>
      </c>
      <c r="E435" s="794">
        <v>26</v>
      </c>
      <c r="F435" s="796">
        <f t="shared" si="6"/>
        <v>0.79874213836477992</v>
      </c>
    </row>
    <row r="436" spans="1:6">
      <c r="A436" s="322" t="s">
        <v>80</v>
      </c>
      <c r="B436" s="793">
        <v>44319</v>
      </c>
      <c r="C436" s="794">
        <v>243</v>
      </c>
      <c r="D436" s="794">
        <v>44</v>
      </c>
      <c r="E436" s="794">
        <v>39</v>
      </c>
      <c r="F436" s="796">
        <f t="shared" si="6"/>
        <v>0.81893004115226331</v>
      </c>
    </row>
    <row r="437" spans="1:6">
      <c r="A437" s="322" t="s">
        <v>79</v>
      </c>
      <c r="B437" s="793">
        <v>44320</v>
      </c>
      <c r="C437" s="794">
        <v>268</v>
      </c>
      <c r="D437" s="794">
        <v>34</v>
      </c>
      <c r="E437" s="794">
        <v>27</v>
      </c>
      <c r="F437" s="796">
        <f t="shared" si="6"/>
        <v>0.87313432835820892</v>
      </c>
    </row>
    <row r="438" spans="1:6">
      <c r="A438" s="322" t="s">
        <v>81</v>
      </c>
      <c r="B438" s="793">
        <v>44321</v>
      </c>
      <c r="C438" s="794">
        <v>907</v>
      </c>
      <c r="D438" s="794">
        <v>98</v>
      </c>
      <c r="E438" s="794">
        <v>87</v>
      </c>
      <c r="F438" s="796">
        <f t="shared" si="6"/>
        <v>0.8919514884233738</v>
      </c>
    </row>
    <row r="439" spans="1:6">
      <c r="A439" s="322" t="s">
        <v>82</v>
      </c>
      <c r="B439" s="793">
        <v>44322</v>
      </c>
      <c r="C439" s="794">
        <v>401</v>
      </c>
      <c r="D439" s="794">
        <v>76</v>
      </c>
      <c r="E439" s="794">
        <v>61</v>
      </c>
      <c r="F439" s="796">
        <f t="shared" si="6"/>
        <v>0.81047381546134667</v>
      </c>
    </row>
    <row r="440" spans="1:6">
      <c r="A440" s="322" t="s">
        <v>83</v>
      </c>
      <c r="B440" s="793">
        <v>44323</v>
      </c>
      <c r="C440" s="794">
        <v>735</v>
      </c>
      <c r="D440" s="794">
        <v>96</v>
      </c>
      <c r="E440" s="794">
        <v>85</v>
      </c>
      <c r="F440" s="796">
        <f t="shared" si="6"/>
        <v>0.8693877551020408</v>
      </c>
    </row>
    <row r="441" spans="1:6">
      <c r="A441" s="322" t="s">
        <v>84</v>
      </c>
      <c r="B441" s="793">
        <v>44324</v>
      </c>
      <c r="C441" s="794">
        <v>439</v>
      </c>
      <c r="D441" s="794">
        <v>89</v>
      </c>
      <c r="E441" s="794">
        <v>82</v>
      </c>
      <c r="F441" s="796">
        <f t="shared" si="6"/>
        <v>0.79726651480637811</v>
      </c>
    </row>
    <row r="442" spans="1:6">
      <c r="A442" s="322" t="s">
        <v>85</v>
      </c>
      <c r="B442" s="793">
        <v>44325</v>
      </c>
      <c r="C442" s="794">
        <v>672</v>
      </c>
      <c r="D442" s="794">
        <v>105</v>
      </c>
      <c r="E442" s="794">
        <v>84</v>
      </c>
      <c r="F442" s="796">
        <f t="shared" si="6"/>
        <v>0.84375</v>
      </c>
    </row>
    <row r="443" spans="1:6">
      <c r="A443" s="322" t="s">
        <v>86</v>
      </c>
      <c r="B443" s="793">
        <v>44326</v>
      </c>
      <c r="C443" s="794">
        <v>271</v>
      </c>
      <c r="D443" s="794">
        <v>35</v>
      </c>
      <c r="E443" s="794">
        <v>31</v>
      </c>
      <c r="F443" s="796">
        <f t="shared" si="6"/>
        <v>0.87084870848708484</v>
      </c>
    </row>
    <row r="444" spans="1:6">
      <c r="A444" s="322" t="s">
        <v>89</v>
      </c>
      <c r="B444" s="793">
        <v>44327</v>
      </c>
      <c r="C444" s="794">
        <v>1751</v>
      </c>
      <c r="D444" s="794">
        <v>380</v>
      </c>
      <c r="E444" s="794">
        <v>338</v>
      </c>
      <c r="F444" s="796">
        <f t="shared" si="6"/>
        <v>0.78298115362649912</v>
      </c>
    </row>
    <row r="445" spans="1:6">
      <c r="A445" s="322" t="s">
        <v>88</v>
      </c>
      <c r="B445" s="793">
        <v>44328</v>
      </c>
      <c r="C445" s="794">
        <v>626</v>
      </c>
      <c r="D445" s="794">
        <v>76</v>
      </c>
      <c r="E445" s="794">
        <v>65</v>
      </c>
      <c r="F445" s="796">
        <f t="shared" si="6"/>
        <v>0.87859424920127793</v>
      </c>
    </row>
    <row r="446" spans="1:6">
      <c r="A446" s="322" t="s">
        <v>87</v>
      </c>
      <c r="B446" s="793">
        <v>44329</v>
      </c>
      <c r="C446" s="794">
        <v>593</v>
      </c>
      <c r="D446" s="794">
        <v>96</v>
      </c>
      <c r="E446" s="794">
        <v>76</v>
      </c>
      <c r="F446" s="796">
        <f t="shared" si="6"/>
        <v>0.83811129848229338</v>
      </c>
    </row>
    <row r="447" spans="1:6">
      <c r="A447" s="322" t="s">
        <v>90</v>
      </c>
      <c r="B447" s="793">
        <v>44330</v>
      </c>
      <c r="C447" s="794">
        <v>393</v>
      </c>
      <c r="D447" s="794">
        <v>52</v>
      </c>
      <c r="E447" s="794">
        <v>42</v>
      </c>
      <c r="F447" s="796">
        <f t="shared" si="6"/>
        <v>0.86768447837150131</v>
      </c>
    </row>
    <row r="448" spans="1:6">
      <c r="A448" s="322" t="s">
        <v>91</v>
      </c>
      <c r="B448" s="793">
        <v>44331</v>
      </c>
      <c r="C448" s="794">
        <v>483</v>
      </c>
      <c r="D448" s="794">
        <v>54</v>
      </c>
      <c r="E448" s="794">
        <v>44</v>
      </c>
      <c r="F448" s="796">
        <f t="shared" si="6"/>
        <v>0.88819875776397517</v>
      </c>
    </row>
    <row r="449" spans="1:6">
      <c r="A449" s="322" t="s">
        <v>93</v>
      </c>
      <c r="B449" s="793">
        <v>44332</v>
      </c>
      <c r="C449" s="794">
        <v>520</v>
      </c>
      <c r="D449" s="794">
        <v>130</v>
      </c>
      <c r="E449" s="794">
        <v>112</v>
      </c>
      <c r="F449" s="796">
        <f t="shared" si="6"/>
        <v>0.75</v>
      </c>
    </row>
    <row r="450" spans="1:6">
      <c r="A450" s="322" t="s">
        <v>94</v>
      </c>
      <c r="B450" s="793">
        <v>44333</v>
      </c>
      <c r="C450" s="794">
        <v>249</v>
      </c>
      <c r="D450" s="794">
        <v>55</v>
      </c>
      <c r="E450" s="794">
        <v>43</v>
      </c>
      <c r="F450" s="796">
        <f t="shared" ref="F450:F513" si="7">1-(D450/C450)</f>
        <v>0.77911646586345384</v>
      </c>
    </row>
    <row r="451" spans="1:6">
      <c r="A451" s="322" t="s">
        <v>92</v>
      </c>
      <c r="B451" s="793">
        <v>44334</v>
      </c>
      <c r="C451" s="794">
        <v>2681</v>
      </c>
      <c r="D451" s="794">
        <v>484</v>
      </c>
      <c r="E451" s="794">
        <v>411</v>
      </c>
      <c r="F451" s="796">
        <f t="shared" si="7"/>
        <v>0.81947034688549047</v>
      </c>
    </row>
    <row r="452" spans="1:6">
      <c r="A452" s="322" t="s">
        <v>95</v>
      </c>
      <c r="B452" s="793">
        <v>44335</v>
      </c>
      <c r="C452" s="794">
        <v>2780</v>
      </c>
      <c r="D452" s="794">
        <v>524</v>
      </c>
      <c r="E452" s="794">
        <v>444</v>
      </c>
      <c r="F452" s="796">
        <f t="shared" si="7"/>
        <v>0.81151079136690651</v>
      </c>
    </row>
    <row r="453" spans="1:6">
      <c r="A453" s="322" t="s">
        <v>96</v>
      </c>
      <c r="B453" s="793">
        <v>44336</v>
      </c>
      <c r="C453" s="794">
        <v>292</v>
      </c>
      <c r="D453" s="794">
        <v>16</v>
      </c>
      <c r="E453" s="794">
        <v>15</v>
      </c>
      <c r="F453" s="796">
        <f t="shared" si="7"/>
        <v>0.9452054794520548</v>
      </c>
    </row>
    <row r="454" spans="1:6">
      <c r="A454" s="322" t="s">
        <v>98</v>
      </c>
      <c r="B454" s="793">
        <v>44337</v>
      </c>
      <c r="C454" s="794">
        <v>215</v>
      </c>
      <c r="D454" s="794">
        <v>25</v>
      </c>
      <c r="E454" s="794">
        <v>21</v>
      </c>
      <c r="F454" s="796">
        <f t="shared" si="7"/>
        <v>0.88372093023255816</v>
      </c>
    </row>
    <row r="455" spans="1:6">
      <c r="A455" s="322" t="s">
        <v>99</v>
      </c>
      <c r="B455" s="793">
        <v>44338</v>
      </c>
      <c r="C455" s="794">
        <v>58</v>
      </c>
      <c r="D455" s="794">
        <v>9</v>
      </c>
      <c r="E455" s="794">
        <v>6</v>
      </c>
      <c r="F455" s="796">
        <f t="shared" si="7"/>
        <v>0.84482758620689657</v>
      </c>
    </row>
    <row r="456" spans="1:6">
      <c r="A456" s="322" t="s">
        <v>97</v>
      </c>
      <c r="B456" s="793">
        <v>44339</v>
      </c>
      <c r="C456" s="794">
        <v>2698</v>
      </c>
      <c r="D456" s="794">
        <v>399</v>
      </c>
      <c r="E456" s="794">
        <v>356</v>
      </c>
      <c r="F456" s="796">
        <f t="shared" si="7"/>
        <v>0.852112676056338</v>
      </c>
    </row>
    <row r="457" spans="1:6">
      <c r="A457" s="322" t="s">
        <v>100</v>
      </c>
      <c r="B457" s="793">
        <v>44340</v>
      </c>
      <c r="C457" s="794">
        <v>1743</v>
      </c>
      <c r="D457" s="794">
        <v>247</v>
      </c>
      <c r="E457" s="794">
        <v>220</v>
      </c>
      <c r="F457" s="796">
        <f t="shared" si="7"/>
        <v>0.85829030407343665</v>
      </c>
    </row>
    <row r="458" spans="1:6">
      <c r="A458" s="322" t="s">
        <v>102</v>
      </c>
      <c r="B458" s="793">
        <v>44341</v>
      </c>
      <c r="C458" s="794">
        <v>165</v>
      </c>
      <c r="D458" s="794">
        <v>34</v>
      </c>
      <c r="E458" s="794">
        <v>29</v>
      </c>
      <c r="F458" s="796">
        <f t="shared" si="7"/>
        <v>0.79393939393939394</v>
      </c>
    </row>
    <row r="459" spans="1:6">
      <c r="A459" s="322" t="s">
        <v>101</v>
      </c>
      <c r="B459" s="793">
        <v>44342</v>
      </c>
      <c r="C459" s="794">
        <v>7570</v>
      </c>
      <c r="D459" s="794">
        <v>1654</v>
      </c>
      <c r="E459" s="794">
        <v>1422</v>
      </c>
      <c r="F459" s="796">
        <f t="shared" si="7"/>
        <v>0.78150594451783362</v>
      </c>
    </row>
    <row r="460" spans="1:6">
      <c r="A460" s="322" t="s">
        <v>103</v>
      </c>
      <c r="B460" s="793">
        <v>44343</v>
      </c>
      <c r="C460" s="794">
        <v>188</v>
      </c>
      <c r="D460" s="794">
        <v>20</v>
      </c>
      <c r="E460" s="794">
        <v>19</v>
      </c>
      <c r="F460" s="796">
        <f t="shared" si="7"/>
        <v>0.8936170212765957</v>
      </c>
    </row>
    <row r="461" spans="1:6">
      <c r="A461" s="322" t="s">
        <v>77</v>
      </c>
      <c r="B461" s="793">
        <v>44348</v>
      </c>
      <c r="C461" s="794">
        <v>137</v>
      </c>
      <c r="D461" s="794">
        <v>26</v>
      </c>
      <c r="E461" s="794">
        <v>24</v>
      </c>
      <c r="F461" s="796">
        <f t="shared" si="7"/>
        <v>0.81021897810218979</v>
      </c>
    </row>
    <row r="462" spans="1:6">
      <c r="A462" s="322" t="s">
        <v>78</v>
      </c>
      <c r="B462" s="793">
        <v>44349</v>
      </c>
      <c r="C462" s="794">
        <v>161</v>
      </c>
      <c r="D462" s="794">
        <v>36</v>
      </c>
      <c r="E462" s="794">
        <v>30</v>
      </c>
      <c r="F462" s="796">
        <f t="shared" si="7"/>
        <v>0.77639751552795033</v>
      </c>
    </row>
    <row r="463" spans="1:6">
      <c r="A463" s="322" t="s">
        <v>80</v>
      </c>
      <c r="B463" s="793">
        <v>44350</v>
      </c>
      <c r="C463" s="794">
        <v>246</v>
      </c>
      <c r="D463" s="794">
        <v>49</v>
      </c>
      <c r="E463" s="794">
        <v>44</v>
      </c>
      <c r="F463" s="796">
        <f t="shared" si="7"/>
        <v>0.80081300813008127</v>
      </c>
    </row>
    <row r="464" spans="1:6">
      <c r="A464" s="322" t="s">
        <v>79</v>
      </c>
      <c r="B464" s="793">
        <v>44351</v>
      </c>
      <c r="C464" s="794">
        <v>270</v>
      </c>
      <c r="D464" s="794">
        <v>38</v>
      </c>
      <c r="E464" s="794">
        <v>31</v>
      </c>
      <c r="F464" s="796">
        <f t="shared" si="7"/>
        <v>0.85925925925925928</v>
      </c>
    </row>
    <row r="465" spans="1:6">
      <c r="A465" s="322" t="s">
        <v>81</v>
      </c>
      <c r="B465" s="793">
        <v>44352</v>
      </c>
      <c r="C465" s="794">
        <v>913</v>
      </c>
      <c r="D465" s="794">
        <v>129</v>
      </c>
      <c r="E465" s="794">
        <v>113</v>
      </c>
      <c r="F465" s="796">
        <f t="shared" si="7"/>
        <v>0.85870755750273819</v>
      </c>
    </row>
    <row r="466" spans="1:6">
      <c r="A466" s="322" t="s">
        <v>82</v>
      </c>
      <c r="B466" s="793">
        <v>44353</v>
      </c>
      <c r="C466" s="794">
        <v>406</v>
      </c>
      <c r="D466" s="794">
        <v>87</v>
      </c>
      <c r="E466" s="794">
        <v>70</v>
      </c>
      <c r="F466" s="796">
        <f t="shared" si="7"/>
        <v>0.7857142857142857</v>
      </c>
    </row>
    <row r="467" spans="1:6">
      <c r="A467" s="322" t="s">
        <v>83</v>
      </c>
      <c r="B467" s="793">
        <v>44354</v>
      </c>
      <c r="C467" s="794">
        <v>747</v>
      </c>
      <c r="D467" s="794">
        <v>127</v>
      </c>
      <c r="E467" s="794">
        <v>110</v>
      </c>
      <c r="F467" s="796">
        <f t="shared" si="7"/>
        <v>0.82998661311914324</v>
      </c>
    </row>
    <row r="468" spans="1:6">
      <c r="A468" s="322" t="s">
        <v>84</v>
      </c>
      <c r="B468" s="793">
        <v>44355</v>
      </c>
      <c r="C468" s="794">
        <v>439</v>
      </c>
      <c r="D468" s="794">
        <v>99</v>
      </c>
      <c r="E468" s="794">
        <v>90</v>
      </c>
      <c r="F468" s="796">
        <f t="shared" si="7"/>
        <v>0.7744874715261959</v>
      </c>
    </row>
    <row r="469" spans="1:6">
      <c r="A469" s="322" t="s">
        <v>85</v>
      </c>
      <c r="B469" s="793">
        <v>44356</v>
      </c>
      <c r="C469" s="794">
        <v>678</v>
      </c>
      <c r="D469" s="794">
        <v>130</v>
      </c>
      <c r="E469" s="794">
        <v>103</v>
      </c>
      <c r="F469" s="796">
        <f t="shared" si="7"/>
        <v>0.80825958702064893</v>
      </c>
    </row>
    <row r="470" spans="1:6">
      <c r="A470" s="322" t="s">
        <v>86</v>
      </c>
      <c r="B470" s="793">
        <v>44357</v>
      </c>
      <c r="C470" s="794">
        <v>273</v>
      </c>
      <c r="D470" s="794">
        <v>38</v>
      </c>
      <c r="E470" s="794">
        <v>33</v>
      </c>
      <c r="F470" s="796">
        <f t="shared" si="7"/>
        <v>0.86080586080586086</v>
      </c>
    </row>
    <row r="471" spans="1:6">
      <c r="A471" s="322" t="s">
        <v>89</v>
      </c>
      <c r="B471" s="793">
        <v>44358</v>
      </c>
      <c r="C471" s="794">
        <v>1761</v>
      </c>
      <c r="D471" s="794">
        <v>448</v>
      </c>
      <c r="E471" s="794">
        <v>397</v>
      </c>
      <c r="F471" s="796">
        <f t="shared" si="7"/>
        <v>0.74559909142532654</v>
      </c>
    </row>
    <row r="472" spans="1:6">
      <c r="A472" s="322" t="s">
        <v>88</v>
      </c>
      <c r="B472" s="793">
        <v>44359</v>
      </c>
      <c r="C472" s="794">
        <v>632</v>
      </c>
      <c r="D472" s="794">
        <v>89</v>
      </c>
      <c r="E472" s="794">
        <v>74</v>
      </c>
      <c r="F472" s="796">
        <f t="shared" si="7"/>
        <v>0.85917721518987344</v>
      </c>
    </row>
    <row r="473" spans="1:6">
      <c r="A473" s="322" t="s">
        <v>87</v>
      </c>
      <c r="B473" s="793">
        <v>44360</v>
      </c>
      <c r="C473" s="794">
        <v>597</v>
      </c>
      <c r="D473" s="794">
        <v>116</v>
      </c>
      <c r="E473" s="794">
        <v>88</v>
      </c>
      <c r="F473" s="796">
        <f t="shared" si="7"/>
        <v>0.80569514237855944</v>
      </c>
    </row>
    <row r="474" spans="1:6">
      <c r="A474" s="322" t="s">
        <v>90</v>
      </c>
      <c r="B474" s="793">
        <v>44361</v>
      </c>
      <c r="C474" s="794">
        <v>399</v>
      </c>
      <c r="D474" s="794">
        <v>64</v>
      </c>
      <c r="E474" s="794">
        <v>53</v>
      </c>
      <c r="F474" s="796">
        <f t="shared" si="7"/>
        <v>0.83959899749373434</v>
      </c>
    </row>
    <row r="475" spans="1:6">
      <c r="A475" s="322" t="s">
        <v>91</v>
      </c>
      <c r="B475" s="793">
        <v>44362</v>
      </c>
      <c r="C475" s="794">
        <v>485</v>
      </c>
      <c r="D475" s="794">
        <v>60</v>
      </c>
      <c r="E475" s="794">
        <v>50</v>
      </c>
      <c r="F475" s="796">
        <f t="shared" si="7"/>
        <v>0.87628865979381443</v>
      </c>
    </row>
    <row r="476" spans="1:6">
      <c r="A476" s="322" t="s">
        <v>93</v>
      </c>
      <c r="B476" s="793">
        <v>44363</v>
      </c>
      <c r="C476" s="794">
        <v>515</v>
      </c>
      <c r="D476" s="794">
        <v>141</v>
      </c>
      <c r="E476" s="794">
        <v>118</v>
      </c>
      <c r="F476" s="796">
        <f t="shared" si="7"/>
        <v>0.72621359223300974</v>
      </c>
    </row>
    <row r="477" spans="1:6">
      <c r="A477" s="322" t="s">
        <v>94</v>
      </c>
      <c r="B477" s="793">
        <v>44364</v>
      </c>
      <c r="C477" s="794">
        <v>252</v>
      </c>
      <c r="D477" s="794">
        <v>60</v>
      </c>
      <c r="E477" s="794">
        <v>47</v>
      </c>
      <c r="F477" s="796">
        <f t="shared" si="7"/>
        <v>0.76190476190476186</v>
      </c>
    </row>
    <row r="478" spans="1:6">
      <c r="A478" s="322" t="s">
        <v>92</v>
      </c>
      <c r="B478" s="793">
        <v>44365</v>
      </c>
      <c r="C478" s="794">
        <v>2696</v>
      </c>
      <c r="D478" s="794">
        <v>568</v>
      </c>
      <c r="E478" s="794">
        <v>486</v>
      </c>
      <c r="F478" s="796">
        <f t="shared" si="7"/>
        <v>0.78931750741839757</v>
      </c>
    </row>
    <row r="479" spans="1:6">
      <c r="A479" s="322" t="s">
        <v>95</v>
      </c>
      <c r="B479" s="793">
        <v>44366</v>
      </c>
      <c r="C479" s="794">
        <v>2787</v>
      </c>
      <c r="D479" s="794">
        <v>601</v>
      </c>
      <c r="E479" s="794">
        <v>508</v>
      </c>
      <c r="F479" s="796">
        <f t="shared" si="7"/>
        <v>0.78435593828489414</v>
      </c>
    </row>
    <row r="480" spans="1:6">
      <c r="A480" s="322" t="s">
        <v>96</v>
      </c>
      <c r="B480" s="793">
        <v>44367</v>
      </c>
      <c r="C480" s="794">
        <v>293</v>
      </c>
      <c r="D480" s="794">
        <v>20</v>
      </c>
      <c r="E480" s="794">
        <v>18</v>
      </c>
      <c r="F480" s="796">
        <f t="shared" si="7"/>
        <v>0.93174061433447097</v>
      </c>
    </row>
    <row r="481" spans="1:6">
      <c r="A481" s="322" t="s">
        <v>98</v>
      </c>
      <c r="B481" s="793">
        <v>44368</v>
      </c>
      <c r="C481" s="794">
        <v>220</v>
      </c>
      <c r="D481" s="794">
        <v>35</v>
      </c>
      <c r="E481" s="794">
        <v>28</v>
      </c>
      <c r="F481" s="796">
        <f t="shared" si="7"/>
        <v>0.84090909090909094</v>
      </c>
    </row>
    <row r="482" spans="1:6">
      <c r="A482" s="322" t="s">
        <v>99</v>
      </c>
      <c r="B482" s="793">
        <v>44369</v>
      </c>
      <c r="C482" s="794">
        <v>58</v>
      </c>
      <c r="D482" s="794">
        <v>9</v>
      </c>
      <c r="E482" s="794">
        <v>6</v>
      </c>
      <c r="F482" s="796">
        <f t="shared" si="7"/>
        <v>0.84482758620689657</v>
      </c>
    </row>
    <row r="483" spans="1:6">
      <c r="A483" s="322" t="s">
        <v>97</v>
      </c>
      <c r="B483" s="793">
        <v>44370</v>
      </c>
      <c r="C483" s="794">
        <v>2717</v>
      </c>
      <c r="D483" s="794">
        <v>479</v>
      </c>
      <c r="E483" s="794">
        <v>426</v>
      </c>
      <c r="F483" s="796">
        <f t="shared" si="7"/>
        <v>0.82370261317629745</v>
      </c>
    </row>
    <row r="484" spans="1:6">
      <c r="A484" s="322" t="s">
        <v>100</v>
      </c>
      <c r="B484" s="793">
        <v>44371</v>
      </c>
      <c r="C484" s="794">
        <v>1753</v>
      </c>
      <c r="D484" s="794">
        <v>303</v>
      </c>
      <c r="E484" s="794">
        <v>267</v>
      </c>
      <c r="F484" s="796">
        <f t="shared" si="7"/>
        <v>0.82715345122646888</v>
      </c>
    </row>
    <row r="485" spans="1:6">
      <c r="A485" s="322" t="s">
        <v>102</v>
      </c>
      <c r="B485" s="793">
        <v>44372</v>
      </c>
      <c r="C485" s="794">
        <v>163</v>
      </c>
      <c r="D485" s="794">
        <v>39</v>
      </c>
      <c r="E485" s="794">
        <v>32</v>
      </c>
      <c r="F485" s="796">
        <f t="shared" si="7"/>
        <v>0.76073619631901845</v>
      </c>
    </row>
    <row r="486" spans="1:6">
      <c r="A486" s="322" t="s">
        <v>101</v>
      </c>
      <c r="B486" s="793">
        <v>44373</v>
      </c>
      <c r="C486" s="794">
        <v>7613</v>
      </c>
      <c r="D486" s="794">
        <v>1871</v>
      </c>
      <c r="E486" s="794">
        <v>1599</v>
      </c>
      <c r="F486" s="796">
        <f t="shared" si="7"/>
        <v>0.75423617496387751</v>
      </c>
    </row>
    <row r="487" spans="1:6">
      <c r="A487" s="322" t="s">
        <v>103</v>
      </c>
      <c r="B487" s="793">
        <v>44374</v>
      </c>
      <c r="C487" s="794">
        <v>190</v>
      </c>
      <c r="D487" s="794">
        <v>24</v>
      </c>
      <c r="E487" s="794">
        <v>22</v>
      </c>
      <c r="F487" s="796">
        <f t="shared" si="7"/>
        <v>0.87368421052631584</v>
      </c>
    </row>
    <row r="488" spans="1:6">
      <c r="A488" s="322" t="s">
        <v>77</v>
      </c>
      <c r="B488" s="793">
        <v>44378</v>
      </c>
      <c r="C488" s="794">
        <v>138</v>
      </c>
      <c r="D488" s="794">
        <v>29</v>
      </c>
      <c r="E488" s="794">
        <v>26</v>
      </c>
      <c r="F488" s="796">
        <f t="shared" si="7"/>
        <v>0.78985507246376807</v>
      </c>
    </row>
    <row r="489" spans="1:6">
      <c r="A489" s="322" t="s">
        <v>78</v>
      </c>
      <c r="B489" s="793">
        <v>44379</v>
      </c>
      <c r="C489" s="794">
        <v>163</v>
      </c>
      <c r="D489" s="794">
        <v>39</v>
      </c>
      <c r="E489" s="794">
        <v>32</v>
      </c>
      <c r="F489" s="796">
        <f t="shared" si="7"/>
        <v>0.76073619631901845</v>
      </c>
    </row>
    <row r="490" spans="1:6">
      <c r="A490" s="322" t="s">
        <v>80</v>
      </c>
      <c r="B490" s="793">
        <v>44380</v>
      </c>
      <c r="C490" s="794">
        <v>247</v>
      </c>
      <c r="D490" s="794">
        <v>53</v>
      </c>
      <c r="E490" s="794">
        <v>45</v>
      </c>
      <c r="F490" s="796">
        <f t="shared" si="7"/>
        <v>0.78542510121457487</v>
      </c>
    </row>
    <row r="491" spans="1:6">
      <c r="A491" s="322" t="s">
        <v>79</v>
      </c>
      <c r="B491" s="793">
        <v>44381</v>
      </c>
      <c r="C491" s="794">
        <v>275</v>
      </c>
      <c r="D491" s="794">
        <v>44</v>
      </c>
      <c r="E491" s="794">
        <v>36</v>
      </c>
      <c r="F491" s="796">
        <f t="shared" si="7"/>
        <v>0.84</v>
      </c>
    </row>
    <row r="492" spans="1:6">
      <c r="A492" s="322" t="s">
        <v>81</v>
      </c>
      <c r="B492" s="793">
        <v>44382</v>
      </c>
      <c r="C492" s="794">
        <v>926</v>
      </c>
      <c r="D492" s="794">
        <v>170</v>
      </c>
      <c r="E492" s="794">
        <v>147</v>
      </c>
      <c r="F492" s="796">
        <f t="shared" si="7"/>
        <v>0.81641468682505403</v>
      </c>
    </row>
    <row r="493" spans="1:6">
      <c r="A493" s="322" t="s">
        <v>82</v>
      </c>
      <c r="B493" s="793">
        <v>44383</v>
      </c>
      <c r="C493" s="794">
        <v>412</v>
      </c>
      <c r="D493" s="794">
        <v>103</v>
      </c>
      <c r="E493" s="794">
        <v>84</v>
      </c>
      <c r="F493" s="796">
        <f t="shared" si="7"/>
        <v>0.75</v>
      </c>
    </row>
    <row r="494" spans="1:6">
      <c r="A494" s="322" t="s">
        <v>83</v>
      </c>
      <c r="B494" s="793">
        <v>44384</v>
      </c>
      <c r="C494" s="794">
        <v>756</v>
      </c>
      <c r="D494" s="794">
        <v>153</v>
      </c>
      <c r="E494" s="794">
        <v>133</v>
      </c>
      <c r="F494" s="796">
        <f t="shared" si="7"/>
        <v>0.79761904761904767</v>
      </c>
    </row>
    <row r="495" spans="1:6">
      <c r="A495" s="322" t="s">
        <v>84</v>
      </c>
      <c r="B495" s="793">
        <v>44385</v>
      </c>
      <c r="C495" s="794">
        <v>446</v>
      </c>
      <c r="D495" s="794">
        <v>132</v>
      </c>
      <c r="E495" s="794">
        <v>112</v>
      </c>
      <c r="F495" s="796">
        <f t="shared" si="7"/>
        <v>0.70403587443946192</v>
      </c>
    </row>
    <row r="496" spans="1:6">
      <c r="A496" s="322" t="s">
        <v>85</v>
      </c>
      <c r="B496" s="793">
        <v>44386</v>
      </c>
      <c r="C496" s="794">
        <v>684</v>
      </c>
      <c r="D496" s="794">
        <v>155</v>
      </c>
      <c r="E496" s="794">
        <v>120</v>
      </c>
      <c r="F496" s="796">
        <f t="shared" si="7"/>
        <v>0.77339181286549707</v>
      </c>
    </row>
    <row r="497" spans="1:6">
      <c r="A497" s="322" t="s">
        <v>86</v>
      </c>
      <c r="B497" s="793">
        <v>44387</v>
      </c>
      <c r="C497" s="794">
        <v>273</v>
      </c>
      <c r="D497" s="794">
        <v>42</v>
      </c>
      <c r="E497" s="794">
        <v>36</v>
      </c>
      <c r="F497" s="796">
        <f t="shared" si="7"/>
        <v>0.84615384615384615</v>
      </c>
    </row>
    <row r="498" spans="1:6">
      <c r="A498" s="322" t="s">
        <v>89</v>
      </c>
      <c r="B498" s="793">
        <v>44388</v>
      </c>
      <c r="C498" s="794">
        <v>1786</v>
      </c>
      <c r="D498" s="794">
        <v>539</v>
      </c>
      <c r="E498" s="794">
        <v>471</v>
      </c>
      <c r="F498" s="796">
        <f t="shared" si="7"/>
        <v>0.69820828667413215</v>
      </c>
    </row>
    <row r="499" spans="1:6">
      <c r="A499" s="322" t="s">
        <v>88</v>
      </c>
      <c r="B499" s="793">
        <v>44389</v>
      </c>
      <c r="C499" s="794">
        <v>638</v>
      </c>
      <c r="D499" s="794">
        <v>102</v>
      </c>
      <c r="E499" s="794">
        <v>82</v>
      </c>
      <c r="F499" s="796">
        <f t="shared" si="7"/>
        <v>0.84012539184952972</v>
      </c>
    </row>
    <row r="500" spans="1:6">
      <c r="A500" s="322" t="s">
        <v>87</v>
      </c>
      <c r="B500" s="793">
        <v>44390</v>
      </c>
      <c r="C500" s="794">
        <v>604</v>
      </c>
      <c r="D500" s="794">
        <v>139</v>
      </c>
      <c r="E500" s="794">
        <v>105</v>
      </c>
      <c r="F500" s="796">
        <f t="shared" si="7"/>
        <v>0.76986754966887416</v>
      </c>
    </row>
    <row r="501" spans="1:6">
      <c r="A501" s="322" t="s">
        <v>90</v>
      </c>
      <c r="B501" s="793">
        <v>44391</v>
      </c>
      <c r="C501" s="794">
        <v>403</v>
      </c>
      <c r="D501" s="794">
        <v>81</v>
      </c>
      <c r="E501" s="794">
        <v>65</v>
      </c>
      <c r="F501" s="796">
        <f t="shared" si="7"/>
        <v>0.79900744416873448</v>
      </c>
    </row>
    <row r="502" spans="1:6">
      <c r="A502" s="322" t="s">
        <v>91</v>
      </c>
      <c r="B502" s="793">
        <v>44392</v>
      </c>
      <c r="C502" s="794">
        <v>488</v>
      </c>
      <c r="D502" s="794">
        <v>72</v>
      </c>
      <c r="E502" s="794">
        <v>62</v>
      </c>
      <c r="F502" s="796">
        <f t="shared" si="7"/>
        <v>0.85245901639344268</v>
      </c>
    </row>
    <row r="503" spans="1:6">
      <c r="A503" s="322" t="s">
        <v>93</v>
      </c>
      <c r="B503" s="793">
        <v>44393</v>
      </c>
      <c r="C503" s="794">
        <v>515</v>
      </c>
      <c r="D503" s="794">
        <v>159</v>
      </c>
      <c r="E503" s="794">
        <v>127</v>
      </c>
      <c r="F503" s="796">
        <f t="shared" si="7"/>
        <v>0.6912621359223301</v>
      </c>
    </row>
    <row r="504" spans="1:6">
      <c r="A504" s="322" t="s">
        <v>94</v>
      </c>
      <c r="B504" s="793">
        <v>44394</v>
      </c>
      <c r="C504" s="794">
        <v>253</v>
      </c>
      <c r="D504" s="794">
        <v>70</v>
      </c>
      <c r="E504" s="794">
        <v>56</v>
      </c>
      <c r="F504" s="796">
        <f t="shared" si="7"/>
        <v>0.72332015810276684</v>
      </c>
    </row>
    <row r="505" spans="1:6">
      <c r="A505" s="322" t="s">
        <v>92</v>
      </c>
      <c r="B505" s="793">
        <v>44395</v>
      </c>
      <c r="C505" s="794">
        <v>2660</v>
      </c>
      <c r="D505" s="794">
        <v>672</v>
      </c>
      <c r="E505" s="794">
        <v>569</v>
      </c>
      <c r="F505" s="796">
        <f t="shared" si="7"/>
        <v>0.74736842105263157</v>
      </c>
    </row>
    <row r="506" spans="1:6">
      <c r="A506" s="322" t="s">
        <v>95</v>
      </c>
      <c r="B506" s="793">
        <v>44396</v>
      </c>
      <c r="C506" s="794">
        <v>2802</v>
      </c>
      <c r="D506" s="794">
        <v>704</v>
      </c>
      <c r="E506" s="794">
        <v>588</v>
      </c>
      <c r="F506" s="796">
        <f t="shared" si="7"/>
        <v>0.74875089221984292</v>
      </c>
    </row>
    <row r="507" spans="1:6">
      <c r="A507" s="322" t="s">
        <v>96</v>
      </c>
      <c r="B507" s="793">
        <v>44397</v>
      </c>
      <c r="C507" s="794">
        <v>295</v>
      </c>
      <c r="D507" s="794">
        <v>33</v>
      </c>
      <c r="E507" s="794">
        <v>29</v>
      </c>
      <c r="F507" s="796">
        <f t="shared" si="7"/>
        <v>0.88813559322033897</v>
      </c>
    </row>
    <row r="508" spans="1:6">
      <c r="A508" s="322" t="s">
        <v>98</v>
      </c>
      <c r="B508" s="793">
        <v>44398</v>
      </c>
      <c r="C508" s="794">
        <v>222</v>
      </c>
      <c r="D508" s="794">
        <v>38</v>
      </c>
      <c r="E508" s="794">
        <v>31</v>
      </c>
      <c r="F508" s="796">
        <f t="shared" si="7"/>
        <v>0.8288288288288288</v>
      </c>
    </row>
    <row r="509" spans="1:6">
      <c r="A509" s="322" t="s">
        <v>99</v>
      </c>
      <c r="B509" s="793">
        <v>44399</v>
      </c>
      <c r="C509" s="794">
        <v>58</v>
      </c>
      <c r="D509" s="794">
        <v>9</v>
      </c>
      <c r="E509" s="794">
        <v>6</v>
      </c>
      <c r="F509" s="796">
        <f t="shared" si="7"/>
        <v>0.84482758620689657</v>
      </c>
    </row>
    <row r="510" spans="1:6">
      <c r="A510" s="322" t="s">
        <v>97</v>
      </c>
      <c r="B510" s="793">
        <v>44400</v>
      </c>
      <c r="C510" s="794">
        <v>2746</v>
      </c>
      <c r="D510" s="794">
        <v>592</v>
      </c>
      <c r="E510" s="794">
        <v>520</v>
      </c>
      <c r="F510" s="796">
        <f t="shared" si="7"/>
        <v>0.78441369264384564</v>
      </c>
    </row>
    <row r="511" spans="1:6">
      <c r="A511" s="322" t="s">
        <v>100</v>
      </c>
      <c r="B511" s="793">
        <v>44401</v>
      </c>
      <c r="C511" s="794">
        <v>1761</v>
      </c>
      <c r="D511" s="794">
        <v>373</v>
      </c>
      <c r="E511" s="794">
        <v>316</v>
      </c>
      <c r="F511" s="796">
        <f t="shared" si="7"/>
        <v>0.78818852924474725</v>
      </c>
    </row>
    <row r="512" spans="1:6">
      <c r="A512" s="322" t="s">
        <v>102</v>
      </c>
      <c r="B512" s="793">
        <v>44402</v>
      </c>
      <c r="C512" s="794">
        <v>164</v>
      </c>
      <c r="D512" s="794">
        <v>45</v>
      </c>
      <c r="E512" s="794">
        <v>35</v>
      </c>
      <c r="F512" s="796">
        <f t="shared" si="7"/>
        <v>0.72560975609756095</v>
      </c>
    </row>
    <row r="513" spans="1:6">
      <c r="A513" s="322" t="s">
        <v>101</v>
      </c>
      <c r="B513" s="793">
        <v>44403</v>
      </c>
      <c r="C513" s="794">
        <v>7663</v>
      </c>
      <c r="D513" s="794">
        <v>2155</v>
      </c>
      <c r="E513" s="794">
        <v>1807</v>
      </c>
      <c r="F513" s="796">
        <f t="shared" si="7"/>
        <v>0.71877854626125537</v>
      </c>
    </row>
    <row r="514" spans="1:6">
      <c r="A514" s="322" t="s">
        <v>103</v>
      </c>
      <c r="B514" s="793">
        <v>44404</v>
      </c>
      <c r="C514" s="794">
        <v>191</v>
      </c>
      <c r="D514" s="794">
        <v>29</v>
      </c>
      <c r="E514" s="794">
        <v>26</v>
      </c>
      <c r="F514" s="796">
        <f t="shared" ref="F514:F577" si="8">1-(D514/C514)</f>
        <v>0.84816753926701571</v>
      </c>
    </row>
    <row r="515" spans="1:6">
      <c r="A515" s="322" t="s">
        <v>77</v>
      </c>
      <c r="B515" s="793">
        <v>44409</v>
      </c>
      <c r="C515" s="794">
        <v>142</v>
      </c>
      <c r="D515" s="794">
        <v>40</v>
      </c>
      <c r="E515" s="794">
        <v>33</v>
      </c>
      <c r="F515" s="796">
        <f t="shared" si="8"/>
        <v>0.71830985915492951</v>
      </c>
    </row>
    <row r="516" spans="1:6">
      <c r="A516" s="322" t="s">
        <v>78</v>
      </c>
      <c r="B516" s="793">
        <v>44410</v>
      </c>
      <c r="C516" s="794">
        <v>167</v>
      </c>
      <c r="D516" s="794">
        <v>62</v>
      </c>
      <c r="E516" s="794">
        <v>44</v>
      </c>
      <c r="F516" s="796">
        <f t="shared" si="8"/>
        <v>0.62874251497005984</v>
      </c>
    </row>
    <row r="517" spans="1:6">
      <c r="A517" s="322" t="s">
        <v>80</v>
      </c>
      <c r="B517" s="793">
        <v>44411</v>
      </c>
      <c r="C517" s="794">
        <v>252</v>
      </c>
      <c r="D517" s="794">
        <v>68</v>
      </c>
      <c r="E517" s="794">
        <v>52</v>
      </c>
      <c r="F517" s="796">
        <f t="shared" si="8"/>
        <v>0.73015873015873023</v>
      </c>
    </row>
    <row r="518" spans="1:6">
      <c r="A518" s="322" t="s">
        <v>79</v>
      </c>
      <c r="B518" s="793">
        <v>44412</v>
      </c>
      <c r="C518" s="794">
        <v>283</v>
      </c>
      <c r="D518" s="794">
        <v>58</v>
      </c>
      <c r="E518" s="794">
        <v>44</v>
      </c>
      <c r="F518" s="796">
        <f t="shared" si="8"/>
        <v>0.79505300353356889</v>
      </c>
    </row>
    <row r="519" spans="1:6">
      <c r="A519" s="322" t="s">
        <v>81</v>
      </c>
      <c r="B519" s="793">
        <v>44413</v>
      </c>
      <c r="C519" s="794">
        <v>936</v>
      </c>
      <c r="D519" s="794">
        <v>272</v>
      </c>
      <c r="E519" s="794">
        <v>209</v>
      </c>
      <c r="F519" s="796">
        <f t="shared" si="8"/>
        <v>0.70940170940170932</v>
      </c>
    </row>
    <row r="520" spans="1:6">
      <c r="A520" s="322" t="s">
        <v>82</v>
      </c>
      <c r="B520" s="793">
        <v>44414</v>
      </c>
      <c r="C520" s="794">
        <v>420</v>
      </c>
      <c r="D520" s="794">
        <v>154</v>
      </c>
      <c r="E520" s="794">
        <v>118</v>
      </c>
      <c r="F520" s="796">
        <f t="shared" si="8"/>
        <v>0.6333333333333333</v>
      </c>
    </row>
    <row r="521" spans="1:6">
      <c r="A521" s="322" t="s">
        <v>83</v>
      </c>
      <c r="B521" s="793">
        <v>44415</v>
      </c>
      <c r="C521" s="794">
        <v>769</v>
      </c>
      <c r="D521" s="794">
        <v>244</v>
      </c>
      <c r="E521" s="794">
        <v>193</v>
      </c>
      <c r="F521" s="796">
        <f t="shared" si="8"/>
        <v>0.68270481144343309</v>
      </c>
    </row>
    <row r="522" spans="1:6">
      <c r="A522" s="322" t="s">
        <v>84</v>
      </c>
      <c r="B522" s="793">
        <v>44416</v>
      </c>
      <c r="C522" s="794">
        <v>464</v>
      </c>
      <c r="D522" s="794">
        <v>220</v>
      </c>
      <c r="E522" s="794">
        <v>174</v>
      </c>
      <c r="F522" s="796">
        <f t="shared" si="8"/>
        <v>0.52586206896551724</v>
      </c>
    </row>
    <row r="523" spans="1:6">
      <c r="A523" s="322" t="s">
        <v>85</v>
      </c>
      <c r="B523" s="793">
        <v>44417</v>
      </c>
      <c r="C523" s="794">
        <v>692</v>
      </c>
      <c r="D523" s="794">
        <v>238</v>
      </c>
      <c r="E523" s="794">
        <v>180</v>
      </c>
      <c r="F523" s="796">
        <f t="shared" si="8"/>
        <v>0.65606936416184969</v>
      </c>
    </row>
    <row r="524" spans="1:6">
      <c r="A524" s="322" t="s">
        <v>86</v>
      </c>
      <c r="B524" s="793">
        <v>44418</v>
      </c>
      <c r="C524" s="794">
        <v>277</v>
      </c>
      <c r="D524" s="794">
        <v>68</v>
      </c>
      <c r="E524" s="794">
        <v>50</v>
      </c>
      <c r="F524" s="796">
        <f t="shared" si="8"/>
        <v>0.75451263537906144</v>
      </c>
    </row>
    <row r="525" spans="1:6">
      <c r="A525" s="322" t="s">
        <v>89</v>
      </c>
      <c r="B525" s="793">
        <v>44419</v>
      </c>
      <c r="C525" s="794">
        <v>1827</v>
      </c>
      <c r="D525" s="794">
        <v>855</v>
      </c>
      <c r="E525" s="794">
        <v>684</v>
      </c>
      <c r="F525" s="796">
        <f t="shared" si="8"/>
        <v>0.53201970443349755</v>
      </c>
    </row>
    <row r="526" spans="1:6">
      <c r="A526" s="322" t="s">
        <v>88</v>
      </c>
      <c r="B526" s="793">
        <v>44420</v>
      </c>
      <c r="C526" s="794">
        <v>645</v>
      </c>
      <c r="D526" s="794">
        <v>165</v>
      </c>
      <c r="E526" s="794">
        <v>125</v>
      </c>
      <c r="F526" s="796">
        <f t="shared" si="8"/>
        <v>0.7441860465116279</v>
      </c>
    </row>
    <row r="527" spans="1:6">
      <c r="A527" s="322" t="s">
        <v>87</v>
      </c>
      <c r="B527" s="793">
        <v>44421</v>
      </c>
      <c r="C527" s="794">
        <v>617</v>
      </c>
      <c r="D527" s="794">
        <v>210</v>
      </c>
      <c r="E527" s="794">
        <v>151</v>
      </c>
      <c r="F527" s="796">
        <f t="shared" si="8"/>
        <v>0.65964343598055097</v>
      </c>
    </row>
    <row r="528" spans="1:6">
      <c r="A528" s="322" t="s">
        <v>90</v>
      </c>
      <c r="B528" s="793">
        <v>44422</v>
      </c>
      <c r="C528" s="794">
        <v>413</v>
      </c>
      <c r="D528" s="794">
        <v>121</v>
      </c>
      <c r="E528" s="794">
        <v>84</v>
      </c>
      <c r="F528" s="796">
        <f t="shared" si="8"/>
        <v>0.70702179176755453</v>
      </c>
    </row>
    <row r="529" spans="1:6">
      <c r="A529" s="322" t="s">
        <v>91</v>
      </c>
      <c r="B529" s="793">
        <v>44423</v>
      </c>
      <c r="C529" s="794">
        <v>492</v>
      </c>
      <c r="D529" s="794">
        <v>92</v>
      </c>
      <c r="E529" s="794">
        <v>76</v>
      </c>
      <c r="F529" s="796">
        <f t="shared" si="8"/>
        <v>0.81300813008130079</v>
      </c>
    </row>
    <row r="530" spans="1:6">
      <c r="A530" s="322" t="s">
        <v>93</v>
      </c>
      <c r="B530" s="793">
        <v>44424</v>
      </c>
      <c r="C530" s="794">
        <v>520</v>
      </c>
      <c r="D530" s="794">
        <v>225</v>
      </c>
      <c r="E530" s="794">
        <v>169</v>
      </c>
      <c r="F530" s="796">
        <f t="shared" si="8"/>
        <v>0.56730769230769229</v>
      </c>
    </row>
    <row r="531" spans="1:6">
      <c r="A531" s="322" t="s">
        <v>94</v>
      </c>
      <c r="B531" s="793">
        <v>44425</v>
      </c>
      <c r="C531" s="794">
        <v>262</v>
      </c>
      <c r="D531" s="794">
        <v>100</v>
      </c>
      <c r="E531" s="794">
        <v>71</v>
      </c>
      <c r="F531" s="796">
        <f t="shared" si="8"/>
        <v>0.61832061068702293</v>
      </c>
    </row>
    <row r="532" spans="1:6">
      <c r="A532" s="322" t="s">
        <v>92</v>
      </c>
      <c r="B532" s="793">
        <v>44426</v>
      </c>
      <c r="C532" s="794">
        <v>2664</v>
      </c>
      <c r="D532" s="794">
        <v>1059</v>
      </c>
      <c r="E532" s="794">
        <v>795</v>
      </c>
      <c r="F532" s="796">
        <f t="shared" si="8"/>
        <v>0.60247747747747749</v>
      </c>
    </row>
    <row r="533" spans="1:6">
      <c r="A533" s="322" t="s">
        <v>95</v>
      </c>
      <c r="B533" s="793">
        <v>44427</v>
      </c>
      <c r="C533" s="794">
        <v>2827</v>
      </c>
      <c r="D533" s="794">
        <v>1066</v>
      </c>
      <c r="E533" s="794">
        <v>798</v>
      </c>
      <c r="F533" s="796">
        <f t="shared" si="8"/>
        <v>0.62292182525645567</v>
      </c>
    </row>
    <row r="534" spans="1:6">
      <c r="A534" s="322" t="s">
        <v>96</v>
      </c>
      <c r="B534" s="793">
        <v>44428</v>
      </c>
      <c r="C534" s="794">
        <v>299</v>
      </c>
      <c r="D534" s="794">
        <v>64</v>
      </c>
      <c r="E534" s="794">
        <v>52</v>
      </c>
      <c r="F534" s="796">
        <f t="shared" si="8"/>
        <v>0.78595317725752512</v>
      </c>
    </row>
    <row r="535" spans="1:6">
      <c r="A535" s="322" t="s">
        <v>98</v>
      </c>
      <c r="B535" s="793">
        <v>44429</v>
      </c>
      <c r="C535" s="794">
        <v>225</v>
      </c>
      <c r="D535" s="794">
        <v>54</v>
      </c>
      <c r="E535" s="794">
        <v>40</v>
      </c>
      <c r="F535" s="796">
        <f t="shared" si="8"/>
        <v>0.76</v>
      </c>
    </row>
    <row r="536" spans="1:6">
      <c r="A536" s="322" t="s">
        <v>99</v>
      </c>
      <c r="B536" s="793">
        <v>44430</v>
      </c>
      <c r="C536" s="794">
        <v>59</v>
      </c>
      <c r="D536" s="794">
        <v>14</v>
      </c>
      <c r="E536" s="794">
        <v>9</v>
      </c>
      <c r="F536" s="796">
        <f t="shared" si="8"/>
        <v>0.76271186440677963</v>
      </c>
    </row>
    <row r="537" spans="1:6">
      <c r="A537" s="322" t="s">
        <v>97</v>
      </c>
      <c r="B537" s="793">
        <v>44431</v>
      </c>
      <c r="C537" s="794">
        <v>2826</v>
      </c>
      <c r="D537" s="794">
        <v>1006</v>
      </c>
      <c r="E537" s="794">
        <v>791</v>
      </c>
      <c r="F537" s="796">
        <f t="shared" si="8"/>
        <v>0.64401981599433822</v>
      </c>
    </row>
    <row r="538" spans="1:6">
      <c r="A538" s="322" t="s">
        <v>100</v>
      </c>
      <c r="B538" s="793">
        <v>44432</v>
      </c>
      <c r="C538" s="794">
        <v>1807</v>
      </c>
      <c r="D538" s="794">
        <v>652</v>
      </c>
      <c r="E538" s="794">
        <v>492</v>
      </c>
      <c r="F538" s="796">
        <f t="shared" si="8"/>
        <v>0.63918096292197013</v>
      </c>
    </row>
    <row r="539" spans="1:6">
      <c r="A539" s="322" t="s">
        <v>102</v>
      </c>
      <c r="B539" s="793">
        <v>44433</v>
      </c>
      <c r="C539" s="794">
        <v>167</v>
      </c>
      <c r="D539" s="794">
        <v>61</v>
      </c>
      <c r="E539" s="794">
        <v>46</v>
      </c>
      <c r="F539" s="796">
        <f t="shared" si="8"/>
        <v>0.6347305389221557</v>
      </c>
    </row>
    <row r="540" spans="1:6">
      <c r="A540" s="322" t="s">
        <v>101</v>
      </c>
      <c r="B540" s="793">
        <v>44434</v>
      </c>
      <c r="C540" s="794">
        <v>7792</v>
      </c>
      <c r="D540" s="794">
        <v>3294</v>
      </c>
      <c r="E540" s="794">
        <v>2492</v>
      </c>
      <c r="F540" s="796">
        <f t="shared" si="8"/>
        <v>0.57725872689938396</v>
      </c>
    </row>
    <row r="541" spans="1:6">
      <c r="A541" s="322" t="s">
        <v>103</v>
      </c>
      <c r="B541" s="793">
        <v>44435</v>
      </c>
      <c r="C541" s="794">
        <v>196</v>
      </c>
      <c r="D541" s="794">
        <v>42</v>
      </c>
      <c r="E541" s="794">
        <v>36</v>
      </c>
      <c r="F541" s="796">
        <f t="shared" si="8"/>
        <v>0.7857142857142857</v>
      </c>
    </row>
    <row r="542" spans="1:6">
      <c r="A542" s="322" t="s">
        <v>77</v>
      </c>
      <c r="B542" s="793">
        <v>44440</v>
      </c>
      <c r="C542" s="794">
        <v>146</v>
      </c>
      <c r="D542" s="794">
        <v>47</v>
      </c>
      <c r="E542" s="794">
        <v>38</v>
      </c>
      <c r="F542" s="796">
        <f t="shared" si="8"/>
        <v>0.67808219178082196</v>
      </c>
    </row>
    <row r="543" spans="1:6">
      <c r="A543" s="322" t="s">
        <v>78</v>
      </c>
      <c r="B543" s="793">
        <v>44441</v>
      </c>
      <c r="C543" s="794">
        <v>170</v>
      </c>
      <c r="D543" s="794">
        <v>68</v>
      </c>
      <c r="E543" s="794">
        <v>58</v>
      </c>
      <c r="F543" s="796">
        <f t="shared" si="8"/>
        <v>0.6</v>
      </c>
    </row>
    <row r="544" spans="1:6">
      <c r="A544" s="322" t="s">
        <v>80</v>
      </c>
      <c r="B544" s="793">
        <v>44442</v>
      </c>
      <c r="C544" s="794">
        <v>254</v>
      </c>
      <c r="D544" s="794">
        <v>87</v>
      </c>
      <c r="E544" s="794">
        <v>58</v>
      </c>
      <c r="F544" s="796">
        <f t="shared" si="8"/>
        <v>0.65748031496062986</v>
      </c>
    </row>
    <row r="545" spans="1:6">
      <c r="A545" s="322" t="s">
        <v>79</v>
      </c>
      <c r="B545" s="793">
        <v>44443</v>
      </c>
      <c r="C545" s="794">
        <v>289</v>
      </c>
      <c r="D545" s="794">
        <v>78</v>
      </c>
      <c r="E545" s="794">
        <v>53</v>
      </c>
      <c r="F545" s="796">
        <f t="shared" si="8"/>
        <v>0.73010380622837368</v>
      </c>
    </row>
    <row r="546" spans="1:6">
      <c r="A546" s="322" t="s">
        <v>81</v>
      </c>
      <c r="B546" s="793">
        <v>44444</v>
      </c>
      <c r="C546" s="794">
        <v>1007</v>
      </c>
      <c r="D546" s="794">
        <v>343</v>
      </c>
      <c r="E546" s="794">
        <v>254</v>
      </c>
      <c r="F546" s="796">
        <f t="shared" si="8"/>
        <v>0.65938430983118179</v>
      </c>
    </row>
    <row r="547" spans="1:6">
      <c r="A547" s="322" t="s">
        <v>82</v>
      </c>
      <c r="B547" s="793">
        <v>44445</v>
      </c>
      <c r="C547" s="794">
        <v>433</v>
      </c>
      <c r="D547" s="794">
        <v>193</v>
      </c>
      <c r="E547" s="794">
        <v>145</v>
      </c>
      <c r="F547" s="796">
        <f t="shared" si="8"/>
        <v>0.55427251732101612</v>
      </c>
    </row>
    <row r="548" spans="1:6">
      <c r="A548" s="322" t="s">
        <v>83</v>
      </c>
      <c r="B548" s="793">
        <v>44446</v>
      </c>
      <c r="C548" s="794">
        <v>788</v>
      </c>
      <c r="D548" s="794">
        <v>285</v>
      </c>
      <c r="E548" s="794">
        <v>229</v>
      </c>
      <c r="F548" s="796">
        <f t="shared" si="8"/>
        <v>0.6383248730964467</v>
      </c>
    </row>
    <row r="549" spans="1:6">
      <c r="A549" s="322" t="s">
        <v>84</v>
      </c>
      <c r="B549" s="793">
        <v>44447</v>
      </c>
      <c r="C549" s="794">
        <v>473</v>
      </c>
      <c r="D549" s="794">
        <v>274</v>
      </c>
      <c r="E549" s="794">
        <v>207</v>
      </c>
      <c r="F549" s="796">
        <f t="shared" si="8"/>
        <v>0.42071881606765327</v>
      </c>
    </row>
    <row r="550" spans="1:6">
      <c r="A550" s="322" t="s">
        <v>85</v>
      </c>
      <c r="B550" s="793">
        <v>44448</v>
      </c>
      <c r="C550" s="794">
        <v>702</v>
      </c>
      <c r="D550" s="794">
        <v>273</v>
      </c>
      <c r="E550" s="794">
        <v>209</v>
      </c>
      <c r="F550" s="796">
        <f t="shared" si="8"/>
        <v>0.61111111111111116</v>
      </c>
    </row>
    <row r="551" spans="1:6">
      <c r="A551" s="322" t="s">
        <v>86</v>
      </c>
      <c r="B551" s="793">
        <v>44449</v>
      </c>
      <c r="C551" s="794">
        <v>291</v>
      </c>
      <c r="D551" s="794">
        <v>81</v>
      </c>
      <c r="E551" s="794">
        <v>53</v>
      </c>
      <c r="F551" s="796">
        <f t="shared" si="8"/>
        <v>0.72164948453608246</v>
      </c>
    </row>
    <row r="552" spans="1:6">
      <c r="A552" s="322" t="s">
        <v>89</v>
      </c>
      <c r="B552" s="793">
        <v>44450</v>
      </c>
      <c r="C552" s="794">
        <v>1858</v>
      </c>
      <c r="D552" s="794">
        <v>966</v>
      </c>
      <c r="E552" s="794">
        <v>773</v>
      </c>
      <c r="F552" s="796">
        <f t="shared" si="8"/>
        <v>0.48008611410118407</v>
      </c>
    </row>
    <row r="553" spans="1:6">
      <c r="A553" s="322" t="s">
        <v>88</v>
      </c>
      <c r="B553" s="793">
        <v>44451</v>
      </c>
      <c r="C553" s="794">
        <v>667</v>
      </c>
      <c r="D553" s="794">
        <v>204</v>
      </c>
      <c r="E553" s="794">
        <v>152</v>
      </c>
      <c r="F553" s="796">
        <f t="shared" si="8"/>
        <v>0.69415292353823088</v>
      </c>
    </row>
    <row r="554" spans="1:6">
      <c r="A554" s="322" t="s">
        <v>87</v>
      </c>
      <c r="B554" s="793">
        <v>44452</v>
      </c>
      <c r="C554" s="794">
        <v>632</v>
      </c>
      <c r="D554" s="794">
        <v>266</v>
      </c>
      <c r="E554" s="794">
        <v>193</v>
      </c>
      <c r="F554" s="796">
        <f t="shared" si="8"/>
        <v>0.57911392405063289</v>
      </c>
    </row>
    <row r="555" spans="1:6">
      <c r="A555" s="322" t="s">
        <v>90</v>
      </c>
      <c r="B555" s="793">
        <v>44453</v>
      </c>
      <c r="C555" s="794">
        <v>429</v>
      </c>
      <c r="D555" s="794">
        <v>151</v>
      </c>
      <c r="E555" s="794">
        <v>103</v>
      </c>
      <c r="F555" s="796">
        <f t="shared" si="8"/>
        <v>0.64801864801864806</v>
      </c>
    </row>
    <row r="556" spans="1:6">
      <c r="A556" s="322" t="s">
        <v>91</v>
      </c>
      <c r="B556" s="793">
        <v>44454</v>
      </c>
      <c r="C556" s="794">
        <v>498</v>
      </c>
      <c r="D556" s="794">
        <v>111</v>
      </c>
      <c r="E556" s="794">
        <v>89</v>
      </c>
      <c r="F556" s="796">
        <f t="shared" si="8"/>
        <v>0.77710843373493976</v>
      </c>
    </row>
    <row r="557" spans="1:6">
      <c r="A557" s="322" t="s">
        <v>93</v>
      </c>
      <c r="B557" s="793">
        <v>44455</v>
      </c>
      <c r="C557" s="794">
        <v>533</v>
      </c>
      <c r="D557" s="794">
        <v>255</v>
      </c>
      <c r="E557" s="794">
        <v>195</v>
      </c>
      <c r="F557" s="796">
        <f t="shared" si="8"/>
        <v>0.52157598499061919</v>
      </c>
    </row>
    <row r="558" spans="1:6">
      <c r="A558" s="322" t="s">
        <v>94</v>
      </c>
      <c r="B558" s="793">
        <v>44456</v>
      </c>
      <c r="C558" s="794">
        <v>276</v>
      </c>
      <c r="D558" s="794">
        <v>123</v>
      </c>
      <c r="E558" s="794">
        <v>86</v>
      </c>
      <c r="F558" s="796">
        <f t="shared" si="8"/>
        <v>0.55434782608695654</v>
      </c>
    </row>
    <row r="559" spans="1:6">
      <c r="A559" s="322" t="s">
        <v>92</v>
      </c>
      <c r="B559" s="793">
        <v>44457</v>
      </c>
      <c r="C559" s="794">
        <v>2638</v>
      </c>
      <c r="D559" s="794">
        <v>1264</v>
      </c>
      <c r="E559" s="794">
        <v>897</v>
      </c>
      <c r="F559" s="796">
        <f t="shared" si="8"/>
        <v>0.52084912812736928</v>
      </c>
    </row>
    <row r="560" spans="1:6">
      <c r="A560" s="322" t="s">
        <v>95</v>
      </c>
      <c r="B560" s="793">
        <v>44458</v>
      </c>
      <c r="C560" s="794">
        <v>2850</v>
      </c>
      <c r="D560" s="794">
        <v>1300</v>
      </c>
      <c r="E560" s="794">
        <v>910</v>
      </c>
      <c r="F560" s="796">
        <f t="shared" si="8"/>
        <v>0.54385964912280704</v>
      </c>
    </row>
    <row r="561" spans="1:6">
      <c r="A561" s="322" t="s">
        <v>96</v>
      </c>
      <c r="B561" s="793">
        <v>44459</v>
      </c>
      <c r="C561" s="794">
        <v>307</v>
      </c>
      <c r="D561" s="794">
        <v>84</v>
      </c>
      <c r="E561" s="794">
        <v>65</v>
      </c>
      <c r="F561" s="796">
        <f t="shared" si="8"/>
        <v>0.7263843648208469</v>
      </c>
    </row>
    <row r="562" spans="1:6">
      <c r="A562" s="322" t="s">
        <v>98</v>
      </c>
      <c r="B562" s="793">
        <v>44460</v>
      </c>
      <c r="C562" s="794">
        <v>230</v>
      </c>
      <c r="D562" s="794">
        <v>62</v>
      </c>
      <c r="E562" s="794">
        <v>49</v>
      </c>
      <c r="F562" s="796">
        <f t="shared" si="8"/>
        <v>0.73043478260869565</v>
      </c>
    </row>
    <row r="563" spans="1:6">
      <c r="A563" s="322" t="s">
        <v>99</v>
      </c>
      <c r="B563" s="793">
        <v>44461</v>
      </c>
      <c r="C563" s="794">
        <v>60</v>
      </c>
      <c r="D563" s="794">
        <v>15</v>
      </c>
      <c r="E563" s="794">
        <v>10</v>
      </c>
      <c r="F563" s="796">
        <f t="shared" si="8"/>
        <v>0.75</v>
      </c>
    </row>
    <row r="564" spans="1:6">
      <c r="A564" s="322" t="s">
        <v>97</v>
      </c>
      <c r="B564" s="793">
        <v>44462</v>
      </c>
      <c r="C564" s="794">
        <v>2865</v>
      </c>
      <c r="D564" s="794">
        <v>1240</v>
      </c>
      <c r="E564" s="794">
        <v>947</v>
      </c>
      <c r="F564" s="796">
        <f t="shared" si="8"/>
        <v>0.56719022687609078</v>
      </c>
    </row>
    <row r="565" spans="1:6">
      <c r="A565" s="322" t="s">
        <v>100</v>
      </c>
      <c r="B565" s="793">
        <v>44463</v>
      </c>
      <c r="C565" s="794">
        <v>1855</v>
      </c>
      <c r="D565" s="794">
        <v>776</v>
      </c>
      <c r="E565" s="794">
        <v>572</v>
      </c>
      <c r="F565" s="796">
        <f t="shared" si="8"/>
        <v>0.58167115902964961</v>
      </c>
    </row>
    <row r="566" spans="1:6">
      <c r="A566" s="322" t="s">
        <v>102</v>
      </c>
      <c r="B566" s="793">
        <v>44464</v>
      </c>
      <c r="C566" s="794">
        <v>172</v>
      </c>
      <c r="D566" s="794">
        <v>75</v>
      </c>
      <c r="E566" s="794">
        <v>55</v>
      </c>
      <c r="F566" s="796">
        <f t="shared" si="8"/>
        <v>0.56395348837209303</v>
      </c>
    </row>
    <row r="567" spans="1:6">
      <c r="A567" s="322" t="s">
        <v>101</v>
      </c>
      <c r="B567" s="793">
        <v>44465</v>
      </c>
      <c r="C567" s="794">
        <v>7882</v>
      </c>
      <c r="D567" s="794">
        <v>3959</v>
      </c>
      <c r="E567" s="794">
        <v>2973</v>
      </c>
      <c r="F567" s="796">
        <f t="shared" si="8"/>
        <v>0.49771631565592489</v>
      </c>
    </row>
    <row r="568" spans="1:6">
      <c r="A568" s="322" t="s">
        <v>103</v>
      </c>
      <c r="B568" s="793">
        <v>44466</v>
      </c>
      <c r="C568" s="794">
        <v>207</v>
      </c>
      <c r="D568" s="794">
        <v>54</v>
      </c>
      <c r="E568" s="794">
        <v>40</v>
      </c>
      <c r="F568" s="796">
        <f t="shared" si="8"/>
        <v>0.73913043478260865</v>
      </c>
    </row>
    <row r="569" spans="1:6">
      <c r="A569" s="322" t="s">
        <v>77</v>
      </c>
      <c r="B569" s="793">
        <v>44470</v>
      </c>
      <c r="C569" s="794">
        <v>148</v>
      </c>
      <c r="D569" s="794">
        <v>53</v>
      </c>
      <c r="E569" s="794">
        <v>44</v>
      </c>
      <c r="F569" s="796">
        <f t="shared" si="8"/>
        <v>0.64189189189189189</v>
      </c>
    </row>
    <row r="570" spans="1:6">
      <c r="A570" s="322" t="s">
        <v>78</v>
      </c>
      <c r="B570" s="793">
        <v>44471</v>
      </c>
      <c r="C570" s="794">
        <v>170</v>
      </c>
      <c r="D570" s="794">
        <v>70</v>
      </c>
      <c r="E570" s="794">
        <v>60</v>
      </c>
      <c r="F570" s="796">
        <f t="shared" si="8"/>
        <v>0.58823529411764708</v>
      </c>
    </row>
    <row r="571" spans="1:6">
      <c r="A571" s="322" t="s">
        <v>80</v>
      </c>
      <c r="B571" s="793">
        <v>44472</v>
      </c>
      <c r="C571" s="794">
        <v>255</v>
      </c>
      <c r="D571" s="794">
        <v>92</v>
      </c>
      <c r="E571" s="794">
        <v>61</v>
      </c>
      <c r="F571" s="796">
        <f t="shared" si="8"/>
        <v>0.63921568627450975</v>
      </c>
    </row>
    <row r="572" spans="1:6">
      <c r="A572" s="322" t="s">
        <v>79</v>
      </c>
      <c r="B572" s="793">
        <v>44473</v>
      </c>
      <c r="C572" s="794">
        <v>298</v>
      </c>
      <c r="D572" s="794">
        <v>98</v>
      </c>
      <c r="E572" s="794">
        <v>66</v>
      </c>
      <c r="F572" s="796">
        <f t="shared" si="8"/>
        <v>0.67114093959731536</v>
      </c>
    </row>
    <row r="573" spans="1:6">
      <c r="A573" s="322" t="s">
        <v>81</v>
      </c>
      <c r="B573" s="793">
        <v>44474</v>
      </c>
      <c r="C573" s="794">
        <v>1013</v>
      </c>
      <c r="D573" s="794">
        <v>398</v>
      </c>
      <c r="E573" s="794">
        <v>283</v>
      </c>
      <c r="F573" s="796">
        <f t="shared" si="8"/>
        <v>0.60710760118460017</v>
      </c>
    </row>
    <row r="574" spans="1:6">
      <c r="A574" s="322" t="s">
        <v>82</v>
      </c>
      <c r="B574" s="793">
        <v>44475</v>
      </c>
      <c r="C574" s="794">
        <v>437</v>
      </c>
      <c r="D574" s="794">
        <v>200</v>
      </c>
      <c r="E574" s="794">
        <v>151</v>
      </c>
      <c r="F574" s="796">
        <f t="shared" si="8"/>
        <v>0.54233409610983974</v>
      </c>
    </row>
    <row r="575" spans="1:6">
      <c r="A575" s="322" t="s">
        <v>83</v>
      </c>
      <c r="B575" s="793">
        <v>44476</v>
      </c>
      <c r="C575" s="794">
        <v>798</v>
      </c>
      <c r="D575" s="794">
        <v>309</v>
      </c>
      <c r="E575" s="794">
        <v>250</v>
      </c>
      <c r="F575" s="796">
        <f t="shared" si="8"/>
        <v>0.61278195488721798</v>
      </c>
    </row>
    <row r="576" spans="1:6">
      <c r="A576" s="322" t="s">
        <v>84</v>
      </c>
      <c r="B576" s="793">
        <v>44477</v>
      </c>
      <c r="C576" s="794">
        <v>476</v>
      </c>
      <c r="D576" s="794">
        <v>302</v>
      </c>
      <c r="E576" s="794">
        <v>221</v>
      </c>
      <c r="F576" s="796">
        <f t="shared" si="8"/>
        <v>0.36554621848739499</v>
      </c>
    </row>
    <row r="577" spans="1:6">
      <c r="A577" s="322" t="s">
        <v>85</v>
      </c>
      <c r="B577" s="793">
        <v>44478</v>
      </c>
      <c r="C577" s="794">
        <v>703</v>
      </c>
      <c r="D577" s="794">
        <v>291</v>
      </c>
      <c r="E577" s="794">
        <v>222</v>
      </c>
      <c r="F577" s="796">
        <f t="shared" si="8"/>
        <v>0.58605974395448079</v>
      </c>
    </row>
    <row r="578" spans="1:6">
      <c r="A578" s="322" t="s">
        <v>86</v>
      </c>
      <c r="B578" s="793">
        <v>44479</v>
      </c>
      <c r="C578" s="794">
        <v>294</v>
      </c>
      <c r="D578" s="794">
        <v>88</v>
      </c>
      <c r="E578" s="794">
        <v>56</v>
      </c>
      <c r="F578" s="796">
        <f t="shared" ref="F578:F641" si="9">1-(D578/C578)</f>
        <v>0.70068027210884354</v>
      </c>
    </row>
    <row r="579" spans="1:6">
      <c r="A579" s="322" t="s">
        <v>89</v>
      </c>
      <c r="B579" s="793">
        <v>44480</v>
      </c>
      <c r="C579" s="794">
        <v>1874</v>
      </c>
      <c r="D579" s="794">
        <v>1017</v>
      </c>
      <c r="E579" s="794">
        <v>804</v>
      </c>
      <c r="F579" s="796">
        <f t="shared" si="9"/>
        <v>0.45731056563500538</v>
      </c>
    </row>
    <row r="580" spans="1:6">
      <c r="A580" s="322" t="s">
        <v>88</v>
      </c>
      <c r="B580" s="793">
        <v>44481</v>
      </c>
      <c r="C580" s="794">
        <v>655</v>
      </c>
      <c r="D580" s="794">
        <v>222</v>
      </c>
      <c r="E580" s="794">
        <v>166</v>
      </c>
      <c r="F580" s="796">
        <f t="shared" si="9"/>
        <v>0.6610687022900763</v>
      </c>
    </row>
    <row r="581" spans="1:6">
      <c r="A581" s="322" t="s">
        <v>87</v>
      </c>
      <c r="B581" s="793">
        <v>44482</v>
      </c>
      <c r="C581" s="794">
        <v>641</v>
      </c>
      <c r="D581" s="794">
        <v>287</v>
      </c>
      <c r="E581" s="794">
        <v>206</v>
      </c>
      <c r="F581" s="796">
        <f t="shared" si="9"/>
        <v>0.55226209048361929</v>
      </c>
    </row>
    <row r="582" spans="1:6">
      <c r="A582" s="322" t="s">
        <v>90</v>
      </c>
      <c r="B582" s="793">
        <v>44483</v>
      </c>
      <c r="C582" s="794">
        <v>442</v>
      </c>
      <c r="D582" s="794">
        <v>167</v>
      </c>
      <c r="E582" s="794">
        <v>115</v>
      </c>
      <c r="F582" s="796">
        <f t="shared" si="9"/>
        <v>0.62217194570135748</v>
      </c>
    </row>
    <row r="583" spans="1:6">
      <c r="A583" s="322" t="s">
        <v>91</v>
      </c>
      <c r="B583" s="793">
        <v>44484</v>
      </c>
      <c r="C583" s="794">
        <v>496</v>
      </c>
      <c r="D583" s="794">
        <v>120</v>
      </c>
      <c r="E583" s="794">
        <v>96</v>
      </c>
      <c r="F583" s="796">
        <f t="shared" si="9"/>
        <v>0.75806451612903225</v>
      </c>
    </row>
    <row r="584" spans="1:6">
      <c r="A584" s="322" t="s">
        <v>93</v>
      </c>
      <c r="B584" s="793">
        <v>44485</v>
      </c>
      <c r="C584" s="794">
        <v>540</v>
      </c>
      <c r="D584" s="794">
        <v>279</v>
      </c>
      <c r="E584" s="794">
        <v>210</v>
      </c>
      <c r="F584" s="796">
        <f t="shared" si="9"/>
        <v>0.48333333333333328</v>
      </c>
    </row>
    <row r="585" spans="1:6">
      <c r="A585" s="322" t="s">
        <v>94</v>
      </c>
      <c r="B585" s="793">
        <v>44486</v>
      </c>
      <c r="C585" s="794">
        <v>282</v>
      </c>
      <c r="D585" s="794">
        <v>136</v>
      </c>
      <c r="E585" s="794">
        <v>96</v>
      </c>
      <c r="F585" s="796">
        <f t="shared" si="9"/>
        <v>0.51773049645390068</v>
      </c>
    </row>
    <row r="586" spans="1:6">
      <c r="A586" s="322" t="s">
        <v>92</v>
      </c>
      <c r="B586" s="793">
        <v>44487</v>
      </c>
      <c r="C586" s="794">
        <v>2591</v>
      </c>
      <c r="D586" s="794">
        <v>1345</v>
      </c>
      <c r="E586" s="794">
        <v>948</v>
      </c>
      <c r="F586" s="796">
        <f t="shared" si="9"/>
        <v>0.4808954071786955</v>
      </c>
    </row>
    <row r="587" spans="1:6">
      <c r="A587" s="322" t="s">
        <v>95</v>
      </c>
      <c r="B587" s="793">
        <v>44488</v>
      </c>
      <c r="C587" s="794">
        <v>2875</v>
      </c>
      <c r="D587" s="794">
        <v>1362</v>
      </c>
      <c r="E587" s="794">
        <v>963</v>
      </c>
      <c r="F587" s="796">
        <f t="shared" si="9"/>
        <v>0.52626086956521734</v>
      </c>
    </row>
    <row r="588" spans="1:6">
      <c r="A588" s="322" t="s">
        <v>96</v>
      </c>
      <c r="B588" s="793">
        <v>44489</v>
      </c>
      <c r="C588" s="794">
        <v>307</v>
      </c>
      <c r="D588" s="794">
        <v>86</v>
      </c>
      <c r="E588" s="794">
        <v>68</v>
      </c>
      <c r="F588" s="796">
        <f t="shared" si="9"/>
        <v>0.71986970684039087</v>
      </c>
    </row>
    <row r="589" spans="1:6">
      <c r="A589" s="322" t="s">
        <v>98</v>
      </c>
      <c r="B589" s="793">
        <v>44490</v>
      </c>
      <c r="C589" s="794">
        <v>230</v>
      </c>
      <c r="D589" s="794">
        <v>65</v>
      </c>
      <c r="E589" s="794">
        <v>52</v>
      </c>
      <c r="F589" s="796">
        <f t="shared" si="9"/>
        <v>0.71739130434782616</v>
      </c>
    </row>
    <row r="590" spans="1:6">
      <c r="A590" s="322" t="s">
        <v>99</v>
      </c>
      <c r="B590" s="793">
        <v>44491</v>
      </c>
      <c r="C590" s="794">
        <v>60</v>
      </c>
      <c r="D590" s="794">
        <v>15</v>
      </c>
      <c r="E590" s="794">
        <v>10</v>
      </c>
      <c r="F590" s="796">
        <f t="shared" si="9"/>
        <v>0.75</v>
      </c>
    </row>
    <row r="591" spans="1:6">
      <c r="A591" s="322" t="s">
        <v>97</v>
      </c>
      <c r="B591" s="793">
        <v>44492</v>
      </c>
      <c r="C591" s="794">
        <v>2908</v>
      </c>
      <c r="D591" s="794">
        <v>1347</v>
      </c>
      <c r="E591" s="794">
        <v>1023</v>
      </c>
      <c r="F591" s="796">
        <f t="shared" si="9"/>
        <v>0.53679504814305368</v>
      </c>
    </row>
    <row r="592" spans="1:6">
      <c r="A592" s="322" t="s">
        <v>100</v>
      </c>
      <c r="B592" s="793">
        <v>44493</v>
      </c>
      <c r="C592" s="794">
        <v>1875</v>
      </c>
      <c r="D592" s="794">
        <v>835</v>
      </c>
      <c r="E592" s="794">
        <v>626</v>
      </c>
      <c r="F592" s="796">
        <f t="shared" si="9"/>
        <v>0.55466666666666664</v>
      </c>
    </row>
    <row r="593" spans="1:6">
      <c r="A593" s="322" t="s">
        <v>102</v>
      </c>
      <c r="B593" s="793">
        <v>44494</v>
      </c>
      <c r="C593" s="794">
        <v>175</v>
      </c>
      <c r="D593" s="794">
        <v>85</v>
      </c>
      <c r="E593" s="794">
        <v>60</v>
      </c>
      <c r="F593" s="796">
        <f t="shared" si="9"/>
        <v>0.51428571428571423</v>
      </c>
    </row>
    <row r="594" spans="1:6">
      <c r="A594" s="322" t="s">
        <v>101</v>
      </c>
      <c r="B594" s="793">
        <v>44495</v>
      </c>
      <c r="C594" s="794">
        <v>7940</v>
      </c>
      <c r="D594" s="794">
        <v>4163</v>
      </c>
      <c r="E594" s="794">
        <v>3130</v>
      </c>
      <c r="F594" s="796">
        <f t="shared" si="9"/>
        <v>0.47569269521410584</v>
      </c>
    </row>
    <row r="595" spans="1:6">
      <c r="A595" s="322" t="s">
        <v>103</v>
      </c>
      <c r="B595" s="793">
        <v>44496</v>
      </c>
      <c r="C595" s="794">
        <v>210</v>
      </c>
      <c r="D595" s="794">
        <v>62</v>
      </c>
      <c r="E595" s="794">
        <v>45</v>
      </c>
      <c r="F595" s="796">
        <f t="shared" si="9"/>
        <v>0.7047619047619047</v>
      </c>
    </row>
    <row r="596" spans="1:6">
      <c r="A596" s="322" t="s">
        <v>77</v>
      </c>
      <c r="B596" s="793">
        <v>44501</v>
      </c>
      <c r="C596" s="794">
        <v>151</v>
      </c>
      <c r="D596" s="794">
        <v>60</v>
      </c>
      <c r="E596" s="794">
        <v>48</v>
      </c>
      <c r="F596" s="796">
        <f t="shared" si="9"/>
        <v>0.60264900662251653</v>
      </c>
    </row>
    <row r="597" spans="1:6">
      <c r="A597" s="322" t="s">
        <v>78</v>
      </c>
      <c r="B597" s="793">
        <v>44502</v>
      </c>
      <c r="C597" s="794">
        <v>170</v>
      </c>
      <c r="D597" s="794">
        <v>70</v>
      </c>
      <c r="E597" s="794">
        <v>60</v>
      </c>
      <c r="F597" s="796">
        <f t="shared" si="9"/>
        <v>0.58823529411764708</v>
      </c>
    </row>
    <row r="598" spans="1:6">
      <c r="A598" s="322" t="s">
        <v>80</v>
      </c>
      <c r="B598" s="793">
        <v>44503</v>
      </c>
      <c r="C598" s="794">
        <v>257</v>
      </c>
      <c r="D598" s="794">
        <v>98</v>
      </c>
      <c r="E598" s="794">
        <v>65</v>
      </c>
      <c r="F598" s="796">
        <f t="shared" si="9"/>
        <v>0.61867704280155644</v>
      </c>
    </row>
    <row r="599" spans="1:6">
      <c r="A599" s="322" t="s">
        <v>79</v>
      </c>
      <c r="B599" s="793">
        <v>44504</v>
      </c>
      <c r="C599" s="794">
        <v>302</v>
      </c>
      <c r="D599" s="794">
        <v>106</v>
      </c>
      <c r="E599" s="794">
        <v>71</v>
      </c>
      <c r="F599" s="796">
        <f t="shared" si="9"/>
        <v>0.64900662251655628</v>
      </c>
    </row>
    <row r="600" spans="1:6">
      <c r="A600" s="322" t="s">
        <v>81</v>
      </c>
      <c r="B600" s="793">
        <v>44505</v>
      </c>
      <c r="C600" s="794">
        <v>1015</v>
      </c>
      <c r="D600" s="794">
        <v>422</v>
      </c>
      <c r="E600" s="794">
        <v>297</v>
      </c>
      <c r="F600" s="796">
        <f t="shared" si="9"/>
        <v>0.58423645320197037</v>
      </c>
    </row>
    <row r="601" spans="1:6">
      <c r="A601" s="322" t="s">
        <v>82</v>
      </c>
      <c r="B601" s="793">
        <v>44506</v>
      </c>
      <c r="C601" s="794">
        <v>443</v>
      </c>
      <c r="D601" s="794">
        <v>213</v>
      </c>
      <c r="E601" s="794">
        <v>161</v>
      </c>
      <c r="F601" s="796">
        <f t="shared" si="9"/>
        <v>0.5191873589164786</v>
      </c>
    </row>
    <row r="602" spans="1:6">
      <c r="A602" s="322" t="s">
        <v>83</v>
      </c>
      <c r="B602" s="793">
        <v>44507</v>
      </c>
      <c r="C602" s="794">
        <v>798</v>
      </c>
      <c r="D602" s="794">
        <v>321</v>
      </c>
      <c r="E602" s="794">
        <v>260</v>
      </c>
      <c r="F602" s="796">
        <f t="shared" si="9"/>
        <v>0.59774436090225569</v>
      </c>
    </row>
    <row r="603" spans="1:6">
      <c r="A603" s="322" t="s">
        <v>84</v>
      </c>
      <c r="B603" s="793">
        <v>44508</v>
      </c>
      <c r="C603" s="794">
        <v>477</v>
      </c>
      <c r="D603" s="794">
        <v>319</v>
      </c>
      <c r="E603" s="794">
        <v>233</v>
      </c>
      <c r="F603" s="796">
        <f t="shared" si="9"/>
        <v>0.33123689727463312</v>
      </c>
    </row>
    <row r="604" spans="1:6">
      <c r="A604" s="322" t="s">
        <v>85</v>
      </c>
      <c r="B604" s="793">
        <v>44509</v>
      </c>
      <c r="C604" s="794">
        <v>711</v>
      </c>
      <c r="D604" s="794">
        <v>311</v>
      </c>
      <c r="E604" s="794">
        <v>235</v>
      </c>
      <c r="F604" s="796">
        <f t="shared" si="9"/>
        <v>0.56258790436005623</v>
      </c>
    </row>
    <row r="605" spans="1:6">
      <c r="A605" s="322" t="s">
        <v>86</v>
      </c>
      <c r="B605" s="793">
        <v>44510</v>
      </c>
      <c r="C605" s="794">
        <v>298</v>
      </c>
      <c r="D605" s="794">
        <v>93</v>
      </c>
      <c r="E605" s="794">
        <v>59</v>
      </c>
      <c r="F605" s="796">
        <f t="shared" si="9"/>
        <v>0.68791946308724827</v>
      </c>
    </row>
    <row r="606" spans="1:6">
      <c r="A606" s="322" t="s">
        <v>89</v>
      </c>
      <c r="B606" s="793">
        <v>44511</v>
      </c>
      <c r="C606" s="794">
        <v>1887</v>
      </c>
      <c r="D606" s="794">
        <v>1052</v>
      </c>
      <c r="E606" s="794">
        <v>828</v>
      </c>
      <c r="F606" s="796">
        <f t="shared" si="9"/>
        <v>0.44250132485426608</v>
      </c>
    </row>
    <row r="607" spans="1:6">
      <c r="A607" s="322" t="s">
        <v>88</v>
      </c>
      <c r="B607" s="793">
        <v>44512</v>
      </c>
      <c r="C607" s="794">
        <v>658</v>
      </c>
      <c r="D607" s="794">
        <v>236</v>
      </c>
      <c r="E607" s="794">
        <v>172</v>
      </c>
      <c r="F607" s="796">
        <f t="shared" si="9"/>
        <v>0.64133738601823709</v>
      </c>
    </row>
    <row r="608" spans="1:6">
      <c r="A608" s="322" t="s">
        <v>87</v>
      </c>
      <c r="B608" s="793">
        <v>44513</v>
      </c>
      <c r="C608" s="794">
        <v>649</v>
      </c>
      <c r="D608" s="794">
        <v>301</v>
      </c>
      <c r="E608" s="794">
        <v>216</v>
      </c>
      <c r="F608" s="796">
        <f t="shared" si="9"/>
        <v>0.53620955315870567</v>
      </c>
    </row>
    <row r="609" spans="1:6">
      <c r="A609" s="322" t="s">
        <v>90</v>
      </c>
      <c r="B609" s="793">
        <v>44514</v>
      </c>
      <c r="C609" s="794">
        <v>446</v>
      </c>
      <c r="D609" s="794">
        <v>174</v>
      </c>
      <c r="E609" s="794">
        <v>119</v>
      </c>
      <c r="F609" s="796">
        <f t="shared" si="9"/>
        <v>0.60986547085201792</v>
      </c>
    </row>
    <row r="610" spans="1:6">
      <c r="A610" s="322" t="s">
        <v>91</v>
      </c>
      <c r="B610" s="793">
        <v>44515</v>
      </c>
      <c r="C610" s="794">
        <v>504</v>
      </c>
      <c r="D610" s="794">
        <v>136</v>
      </c>
      <c r="E610" s="794">
        <v>108</v>
      </c>
      <c r="F610" s="796">
        <f t="shared" si="9"/>
        <v>0.73015873015873023</v>
      </c>
    </row>
    <row r="611" spans="1:6">
      <c r="A611" s="322" t="s">
        <v>93</v>
      </c>
      <c r="B611" s="793">
        <v>44516</v>
      </c>
      <c r="C611" s="794">
        <v>550</v>
      </c>
      <c r="D611" s="794">
        <v>296</v>
      </c>
      <c r="E611" s="794">
        <v>224</v>
      </c>
      <c r="F611" s="796">
        <f t="shared" si="9"/>
        <v>0.46181818181818179</v>
      </c>
    </row>
    <row r="612" spans="1:6">
      <c r="A612" s="322" t="s">
        <v>94</v>
      </c>
      <c r="B612" s="793">
        <v>44517</v>
      </c>
      <c r="C612" s="794">
        <v>286</v>
      </c>
      <c r="D612" s="794">
        <v>141</v>
      </c>
      <c r="E612" s="794">
        <v>101</v>
      </c>
      <c r="F612" s="796">
        <f t="shared" si="9"/>
        <v>0.50699300699300698</v>
      </c>
    </row>
    <row r="613" spans="1:6">
      <c r="A613" s="322" t="s">
        <v>92</v>
      </c>
      <c r="B613" s="793">
        <v>44518</v>
      </c>
      <c r="C613" s="794">
        <v>2567</v>
      </c>
      <c r="D613" s="794">
        <v>1398</v>
      </c>
      <c r="E613" s="794">
        <v>980</v>
      </c>
      <c r="F613" s="796">
        <f t="shared" si="9"/>
        <v>0.45539540319439031</v>
      </c>
    </row>
    <row r="614" spans="1:6">
      <c r="A614" s="322" t="s">
        <v>95</v>
      </c>
      <c r="B614" s="793">
        <v>44519</v>
      </c>
      <c r="C614" s="794">
        <v>2891</v>
      </c>
      <c r="D614" s="794">
        <v>1427</v>
      </c>
      <c r="E614" s="794">
        <v>993</v>
      </c>
      <c r="F614" s="796">
        <f t="shared" si="9"/>
        <v>0.5063991698374265</v>
      </c>
    </row>
    <row r="615" spans="1:6">
      <c r="A615" s="322" t="s">
        <v>96</v>
      </c>
      <c r="B615" s="793">
        <v>44520</v>
      </c>
      <c r="C615" s="794">
        <v>308</v>
      </c>
      <c r="D615" s="794">
        <v>92</v>
      </c>
      <c r="E615" s="794">
        <v>73</v>
      </c>
      <c r="F615" s="796">
        <f t="shared" si="9"/>
        <v>0.70129870129870131</v>
      </c>
    </row>
    <row r="616" spans="1:6">
      <c r="A616" s="322" t="s">
        <v>98</v>
      </c>
      <c r="B616" s="793">
        <v>44521</v>
      </c>
      <c r="C616" s="794">
        <v>231</v>
      </c>
      <c r="D616" s="794">
        <v>73</v>
      </c>
      <c r="E616" s="794">
        <v>56</v>
      </c>
      <c r="F616" s="796">
        <f t="shared" si="9"/>
        <v>0.68398268398268391</v>
      </c>
    </row>
    <row r="617" spans="1:6">
      <c r="A617" s="322" t="s">
        <v>99</v>
      </c>
      <c r="B617" s="793">
        <v>44522</v>
      </c>
      <c r="C617" s="794">
        <v>62</v>
      </c>
      <c r="D617" s="794">
        <v>17</v>
      </c>
      <c r="E617" s="794">
        <v>12</v>
      </c>
      <c r="F617" s="796">
        <f t="shared" si="9"/>
        <v>0.72580645161290325</v>
      </c>
    </row>
    <row r="618" spans="1:6">
      <c r="A618" s="322" t="s">
        <v>97</v>
      </c>
      <c r="B618" s="793">
        <v>44523</v>
      </c>
      <c r="C618" s="794">
        <v>2958</v>
      </c>
      <c r="D618" s="794">
        <v>1445</v>
      </c>
      <c r="E618" s="794">
        <v>1095</v>
      </c>
      <c r="F618" s="796">
        <f t="shared" si="9"/>
        <v>0.5114942528735632</v>
      </c>
    </row>
    <row r="619" spans="1:6">
      <c r="A619" s="322" t="s">
        <v>100</v>
      </c>
      <c r="B619" s="793">
        <v>44524</v>
      </c>
      <c r="C619" s="794">
        <v>1888</v>
      </c>
      <c r="D619" s="794">
        <v>863</v>
      </c>
      <c r="E619" s="794">
        <v>648</v>
      </c>
      <c r="F619" s="796">
        <f t="shared" si="9"/>
        <v>0.54290254237288138</v>
      </c>
    </row>
    <row r="620" spans="1:6">
      <c r="A620" s="322" t="s">
        <v>102</v>
      </c>
      <c r="B620" s="793">
        <v>44525</v>
      </c>
      <c r="C620" s="794">
        <v>178</v>
      </c>
      <c r="D620" s="794">
        <v>93</v>
      </c>
      <c r="E620" s="794">
        <v>63</v>
      </c>
      <c r="F620" s="796">
        <f t="shared" si="9"/>
        <v>0.47752808988764039</v>
      </c>
    </row>
    <row r="621" spans="1:6">
      <c r="A621" s="322" t="s">
        <v>101</v>
      </c>
      <c r="B621" s="793">
        <v>44526</v>
      </c>
      <c r="C621" s="794">
        <v>8002</v>
      </c>
      <c r="D621" s="794">
        <v>4319</v>
      </c>
      <c r="E621" s="794">
        <v>3214</v>
      </c>
      <c r="F621" s="796">
        <f t="shared" si="9"/>
        <v>0.46025993501624596</v>
      </c>
    </row>
    <row r="622" spans="1:6">
      <c r="A622" s="322" t="s">
        <v>103</v>
      </c>
      <c r="B622" s="793">
        <v>44527</v>
      </c>
      <c r="C622" s="794">
        <v>210</v>
      </c>
      <c r="D622" s="794">
        <v>65</v>
      </c>
      <c r="E622" s="794">
        <v>47</v>
      </c>
      <c r="F622" s="796">
        <f t="shared" si="9"/>
        <v>0.69047619047619047</v>
      </c>
    </row>
    <row r="623" spans="1:6">
      <c r="A623" s="322" t="s">
        <v>77</v>
      </c>
      <c r="B623" s="793">
        <v>44531</v>
      </c>
      <c r="C623" s="794">
        <v>152</v>
      </c>
      <c r="D623" s="794">
        <v>63</v>
      </c>
      <c r="E623" s="794">
        <v>51</v>
      </c>
      <c r="F623" s="796">
        <f t="shared" si="9"/>
        <v>0.58552631578947367</v>
      </c>
    </row>
    <row r="624" spans="1:6">
      <c r="A624" s="322" t="s">
        <v>78</v>
      </c>
      <c r="B624" s="793">
        <v>44532</v>
      </c>
      <c r="C624" s="794">
        <v>170</v>
      </c>
      <c r="D624" s="794">
        <v>73</v>
      </c>
      <c r="E624" s="794">
        <v>63</v>
      </c>
      <c r="F624" s="796">
        <f t="shared" si="9"/>
        <v>0.57058823529411762</v>
      </c>
    </row>
    <row r="625" spans="1:6">
      <c r="A625" s="322" t="s">
        <v>80</v>
      </c>
      <c r="B625" s="793">
        <v>44533</v>
      </c>
      <c r="C625" s="794">
        <v>261</v>
      </c>
      <c r="D625" s="794">
        <v>103</v>
      </c>
      <c r="E625" s="794">
        <v>68</v>
      </c>
      <c r="F625" s="796">
        <f t="shared" si="9"/>
        <v>0.6053639846743295</v>
      </c>
    </row>
    <row r="626" spans="1:6">
      <c r="A626" s="322" t="s">
        <v>79</v>
      </c>
      <c r="B626" s="793">
        <v>44534</v>
      </c>
      <c r="C626" s="794">
        <v>307</v>
      </c>
      <c r="D626" s="794">
        <v>113</v>
      </c>
      <c r="E626" s="794">
        <v>76</v>
      </c>
      <c r="F626" s="796">
        <f t="shared" si="9"/>
        <v>0.63192182410423459</v>
      </c>
    </row>
    <row r="627" spans="1:6">
      <c r="A627" s="322" t="s">
        <v>81</v>
      </c>
      <c r="B627" s="793">
        <v>44535</v>
      </c>
      <c r="C627" s="794">
        <v>1022</v>
      </c>
      <c r="D627" s="794">
        <v>444</v>
      </c>
      <c r="E627" s="794">
        <v>314</v>
      </c>
      <c r="F627" s="796">
        <f t="shared" si="9"/>
        <v>0.56555772994129161</v>
      </c>
    </row>
    <row r="628" spans="1:6">
      <c r="A628" s="322" t="s">
        <v>82</v>
      </c>
      <c r="B628" s="793">
        <v>44536</v>
      </c>
      <c r="C628" s="794">
        <v>452</v>
      </c>
      <c r="D628" s="794">
        <v>236</v>
      </c>
      <c r="E628" s="794">
        <v>178</v>
      </c>
      <c r="F628" s="796">
        <f t="shared" si="9"/>
        <v>0.47787610619469023</v>
      </c>
    </row>
    <row r="629" spans="1:6">
      <c r="A629" s="322" t="s">
        <v>83</v>
      </c>
      <c r="B629" s="793">
        <v>44537</v>
      </c>
      <c r="C629" s="794">
        <v>805</v>
      </c>
      <c r="D629" s="794">
        <v>336</v>
      </c>
      <c r="E629" s="794">
        <v>269</v>
      </c>
      <c r="F629" s="796">
        <f t="shared" si="9"/>
        <v>0.58260869565217388</v>
      </c>
    </row>
    <row r="630" spans="1:6">
      <c r="A630" s="322" t="s">
        <v>84</v>
      </c>
      <c r="B630" s="793">
        <v>44538</v>
      </c>
      <c r="C630" s="794">
        <v>478</v>
      </c>
      <c r="D630" s="794">
        <v>333</v>
      </c>
      <c r="E630" s="794">
        <v>242</v>
      </c>
      <c r="F630" s="796">
        <f t="shared" si="9"/>
        <v>0.30334728033472802</v>
      </c>
    </row>
    <row r="631" spans="1:6">
      <c r="A631" s="322" t="s">
        <v>85</v>
      </c>
      <c r="B631" s="793">
        <v>44539</v>
      </c>
      <c r="C631" s="794">
        <v>718</v>
      </c>
      <c r="D631" s="794">
        <v>325</v>
      </c>
      <c r="E631" s="794">
        <v>241</v>
      </c>
      <c r="F631" s="796">
        <f t="shared" si="9"/>
        <v>0.5473537604456824</v>
      </c>
    </row>
    <row r="632" spans="1:6">
      <c r="A632" s="322" t="s">
        <v>86</v>
      </c>
      <c r="B632" s="793">
        <v>44540</v>
      </c>
      <c r="C632" s="794">
        <v>300</v>
      </c>
      <c r="D632" s="794">
        <v>100</v>
      </c>
      <c r="E632" s="794">
        <v>64</v>
      </c>
      <c r="F632" s="796">
        <f t="shared" si="9"/>
        <v>0.66666666666666674</v>
      </c>
    </row>
    <row r="633" spans="1:6">
      <c r="A633" s="322" t="s">
        <v>89</v>
      </c>
      <c r="B633" s="793">
        <v>44541</v>
      </c>
      <c r="C633" s="794">
        <v>1891</v>
      </c>
      <c r="D633" s="794">
        <v>1089</v>
      </c>
      <c r="E633" s="794">
        <v>861</v>
      </c>
      <c r="F633" s="796">
        <f t="shared" si="9"/>
        <v>0.42411422527763087</v>
      </c>
    </row>
    <row r="634" spans="1:6">
      <c r="A634" s="322" t="s">
        <v>88</v>
      </c>
      <c r="B634" s="793">
        <v>44542</v>
      </c>
      <c r="C634" s="794">
        <v>665</v>
      </c>
      <c r="D634" s="794">
        <v>247</v>
      </c>
      <c r="E634" s="794">
        <v>180</v>
      </c>
      <c r="F634" s="796">
        <f t="shared" si="9"/>
        <v>0.62857142857142856</v>
      </c>
    </row>
    <row r="635" spans="1:6">
      <c r="A635" s="322" t="s">
        <v>87</v>
      </c>
      <c r="B635" s="793">
        <v>44543</v>
      </c>
      <c r="C635" s="794">
        <v>661</v>
      </c>
      <c r="D635" s="794">
        <v>335</v>
      </c>
      <c r="E635" s="794">
        <v>237</v>
      </c>
      <c r="F635" s="796">
        <f t="shared" si="9"/>
        <v>0.4931921331316188</v>
      </c>
    </row>
    <row r="636" spans="1:6">
      <c r="A636" s="322" t="s">
        <v>90</v>
      </c>
      <c r="B636" s="793">
        <v>44544</v>
      </c>
      <c r="C636" s="794">
        <v>452</v>
      </c>
      <c r="D636" s="794">
        <v>184</v>
      </c>
      <c r="E636" s="794">
        <v>128</v>
      </c>
      <c r="F636" s="796">
        <f t="shared" si="9"/>
        <v>0.59292035398230092</v>
      </c>
    </row>
    <row r="637" spans="1:6">
      <c r="A637" s="322" t="s">
        <v>91</v>
      </c>
      <c r="B637" s="793">
        <v>44545</v>
      </c>
      <c r="C637" s="794">
        <v>509</v>
      </c>
      <c r="D637" s="794">
        <v>151</v>
      </c>
      <c r="E637" s="794">
        <v>121</v>
      </c>
      <c r="F637" s="796">
        <f t="shared" si="9"/>
        <v>0.70333988212180754</v>
      </c>
    </row>
    <row r="638" spans="1:6">
      <c r="A638" s="322" t="s">
        <v>93</v>
      </c>
      <c r="B638" s="793">
        <v>44546</v>
      </c>
      <c r="C638" s="794">
        <v>554</v>
      </c>
      <c r="D638" s="794">
        <v>314</v>
      </c>
      <c r="E638" s="794">
        <v>238</v>
      </c>
      <c r="F638" s="796">
        <f t="shared" si="9"/>
        <v>0.43321299638989175</v>
      </c>
    </row>
    <row r="639" spans="1:6">
      <c r="A639" s="322" t="s">
        <v>94</v>
      </c>
      <c r="B639" s="793">
        <v>44547</v>
      </c>
      <c r="C639" s="794">
        <v>290</v>
      </c>
      <c r="D639" s="794">
        <v>147</v>
      </c>
      <c r="E639" s="794">
        <v>105</v>
      </c>
      <c r="F639" s="796">
        <f t="shared" si="9"/>
        <v>0.49310344827586206</v>
      </c>
    </row>
    <row r="640" spans="1:6">
      <c r="A640" s="322" t="s">
        <v>92</v>
      </c>
      <c r="B640" s="793">
        <v>44548</v>
      </c>
      <c r="C640" s="794">
        <v>2584</v>
      </c>
      <c r="D640" s="794">
        <v>1439</v>
      </c>
      <c r="E640" s="794">
        <v>1013</v>
      </c>
      <c r="F640" s="796">
        <f t="shared" si="9"/>
        <v>0.44311145510835914</v>
      </c>
    </row>
    <row r="641" spans="1:6">
      <c r="A641" s="322" t="s">
        <v>95</v>
      </c>
      <c r="B641" s="793">
        <v>44549</v>
      </c>
      <c r="C641" s="794">
        <v>2896</v>
      </c>
      <c r="D641" s="794">
        <v>1498</v>
      </c>
      <c r="E641" s="794">
        <v>1057</v>
      </c>
      <c r="F641" s="796">
        <f t="shared" si="9"/>
        <v>0.48273480662983426</v>
      </c>
    </row>
    <row r="642" spans="1:6">
      <c r="A642" s="322" t="s">
        <v>96</v>
      </c>
      <c r="B642" s="793">
        <v>44550</v>
      </c>
      <c r="C642" s="794">
        <v>312</v>
      </c>
      <c r="D642" s="794">
        <v>97</v>
      </c>
      <c r="E642" s="794">
        <v>77</v>
      </c>
      <c r="F642" s="796">
        <f t="shared" ref="F642:F650" si="10">1-(D642/C642)</f>
        <v>0.6891025641025641</v>
      </c>
    </row>
    <row r="643" spans="1:6">
      <c r="A643" s="322" t="s">
        <v>98</v>
      </c>
      <c r="B643" s="793">
        <v>44551</v>
      </c>
      <c r="C643" s="794">
        <v>233</v>
      </c>
      <c r="D643" s="794">
        <v>77</v>
      </c>
      <c r="E643" s="794">
        <v>57</v>
      </c>
      <c r="F643" s="796">
        <f t="shared" si="10"/>
        <v>0.66952789699570814</v>
      </c>
    </row>
    <row r="644" spans="1:6">
      <c r="A644" s="322" t="s">
        <v>99</v>
      </c>
      <c r="B644" s="793">
        <v>44552</v>
      </c>
      <c r="C644" s="794">
        <v>63</v>
      </c>
      <c r="D644" s="794">
        <v>18</v>
      </c>
      <c r="E644" s="794">
        <v>13</v>
      </c>
      <c r="F644" s="796">
        <f t="shared" si="10"/>
        <v>0.7142857142857143</v>
      </c>
    </row>
    <row r="645" spans="1:6">
      <c r="A645" s="322" t="s">
        <v>97</v>
      </c>
      <c r="B645" s="793">
        <v>44553</v>
      </c>
      <c r="C645" s="794">
        <v>2995</v>
      </c>
      <c r="D645" s="794">
        <v>1528</v>
      </c>
      <c r="E645" s="794">
        <v>1160</v>
      </c>
      <c r="F645" s="796">
        <f t="shared" si="10"/>
        <v>0.48981636060100164</v>
      </c>
    </row>
    <row r="646" spans="1:6">
      <c r="A646" s="322" t="s">
        <v>100</v>
      </c>
      <c r="B646" s="793">
        <v>44554</v>
      </c>
      <c r="C646" s="794">
        <v>1906</v>
      </c>
      <c r="D646" s="794">
        <v>895</v>
      </c>
      <c r="E646" s="794">
        <v>675</v>
      </c>
      <c r="F646" s="796">
        <f t="shared" si="10"/>
        <v>0.53043022035676812</v>
      </c>
    </row>
    <row r="647" spans="1:6">
      <c r="A647" s="322" t="s">
        <v>102</v>
      </c>
      <c r="B647" s="793">
        <v>44555</v>
      </c>
      <c r="C647" s="794">
        <v>180</v>
      </c>
      <c r="D647" s="794">
        <v>97</v>
      </c>
      <c r="E647" s="794">
        <v>67</v>
      </c>
      <c r="F647" s="796">
        <f t="shared" si="10"/>
        <v>0.46111111111111114</v>
      </c>
    </row>
    <row r="648" spans="1:6">
      <c r="A648" s="322" t="s">
        <v>101</v>
      </c>
      <c r="B648" s="793">
        <v>44556</v>
      </c>
      <c r="C648" s="794">
        <v>8045</v>
      </c>
      <c r="D648" s="794">
        <v>4442</v>
      </c>
      <c r="E648" s="794">
        <v>3339</v>
      </c>
      <c r="F648" s="796">
        <f t="shared" si="10"/>
        <v>0.44785581106277195</v>
      </c>
    </row>
    <row r="649" spans="1:6">
      <c r="A649" s="322" t="s">
        <v>103</v>
      </c>
      <c r="B649" s="793">
        <v>44557</v>
      </c>
      <c r="C649" s="794">
        <v>217</v>
      </c>
      <c r="D649" s="794">
        <v>66</v>
      </c>
      <c r="E649" s="794">
        <v>47</v>
      </c>
      <c r="F649" s="796">
        <f t="shared" si="10"/>
        <v>0.69585253456221197</v>
      </c>
    </row>
    <row r="650" spans="1:6">
      <c r="A650" s="322" t="s">
        <v>77</v>
      </c>
      <c r="B650" s="793">
        <v>44562</v>
      </c>
      <c r="C650" s="794">
        <v>153</v>
      </c>
      <c r="D650" s="794">
        <v>7</v>
      </c>
      <c r="E650" s="794">
        <v>7</v>
      </c>
      <c r="F650" s="796">
        <f t="shared" si="10"/>
        <v>0.95424836601307195</v>
      </c>
    </row>
    <row r="651" spans="1:6">
      <c r="A651" s="322" t="s">
        <v>78</v>
      </c>
      <c r="B651" s="793">
        <v>44562</v>
      </c>
      <c r="C651" s="794">
        <v>171</v>
      </c>
      <c r="D651" s="794">
        <v>16</v>
      </c>
      <c r="E651" s="794">
        <v>14</v>
      </c>
      <c r="F651" s="796">
        <f t="shared" ref="F651:F714" si="11">1-(D651/C651)</f>
        <v>0.9064327485380117</v>
      </c>
    </row>
    <row r="652" spans="1:6">
      <c r="A652" s="322" t="s">
        <v>80</v>
      </c>
      <c r="B652" s="793">
        <v>44562</v>
      </c>
      <c r="C652" s="794">
        <v>264</v>
      </c>
      <c r="D652" s="794">
        <v>9</v>
      </c>
      <c r="E652" s="794">
        <v>9</v>
      </c>
      <c r="F652" s="796">
        <f t="shared" si="11"/>
        <v>0.96590909090909094</v>
      </c>
    </row>
    <row r="653" spans="1:6">
      <c r="A653" s="322" t="s">
        <v>79</v>
      </c>
      <c r="B653" s="793">
        <v>44562</v>
      </c>
      <c r="C653" s="794">
        <v>312</v>
      </c>
      <c r="D653" s="794">
        <v>12</v>
      </c>
      <c r="E653" s="794">
        <v>10</v>
      </c>
      <c r="F653" s="796">
        <f t="shared" si="11"/>
        <v>0.96153846153846156</v>
      </c>
    </row>
    <row r="654" spans="1:6">
      <c r="A654" s="322" t="s">
        <v>81</v>
      </c>
      <c r="B654" s="793">
        <v>44562</v>
      </c>
      <c r="C654" s="794">
        <v>1026</v>
      </c>
      <c r="D654" s="794">
        <v>68</v>
      </c>
      <c r="E654" s="794">
        <v>64</v>
      </c>
      <c r="F654" s="796">
        <f t="shared" si="11"/>
        <v>0.93372319688109162</v>
      </c>
    </row>
    <row r="655" spans="1:6">
      <c r="A655" s="322" t="s">
        <v>82</v>
      </c>
      <c r="B655" s="793">
        <v>44562</v>
      </c>
      <c r="C655" s="794">
        <v>457</v>
      </c>
      <c r="D655" s="794">
        <v>46</v>
      </c>
      <c r="E655" s="794">
        <v>41</v>
      </c>
      <c r="F655" s="796">
        <f t="shared" si="11"/>
        <v>0.89934354485776802</v>
      </c>
    </row>
    <row r="656" spans="1:6">
      <c r="A656" s="322" t="s">
        <v>83</v>
      </c>
      <c r="B656" s="793">
        <v>44562</v>
      </c>
      <c r="C656" s="794">
        <v>811</v>
      </c>
      <c r="D656" s="794">
        <v>66</v>
      </c>
      <c r="E656" s="794">
        <v>62</v>
      </c>
      <c r="F656" s="796">
        <f t="shared" si="11"/>
        <v>0.91861898890258942</v>
      </c>
    </row>
    <row r="657" spans="1:6">
      <c r="A657" s="322" t="s">
        <v>84</v>
      </c>
      <c r="B657" s="793">
        <v>44562</v>
      </c>
      <c r="C657" s="794">
        <v>473</v>
      </c>
      <c r="D657" s="794">
        <v>42</v>
      </c>
      <c r="E657" s="794">
        <v>40</v>
      </c>
      <c r="F657" s="796">
        <f t="shared" si="11"/>
        <v>0.91120507399577166</v>
      </c>
    </row>
    <row r="658" spans="1:6">
      <c r="A658" s="322" t="s">
        <v>85</v>
      </c>
      <c r="B658" s="793">
        <v>44562</v>
      </c>
      <c r="C658" s="794">
        <v>728</v>
      </c>
      <c r="D658" s="794">
        <v>55</v>
      </c>
      <c r="E658" s="794">
        <v>50</v>
      </c>
      <c r="F658" s="796">
        <f t="shared" si="11"/>
        <v>0.9244505494505495</v>
      </c>
    </row>
    <row r="659" spans="1:6">
      <c r="A659" s="322" t="s">
        <v>86</v>
      </c>
      <c r="B659" s="793">
        <v>44562</v>
      </c>
      <c r="C659" s="794">
        <v>299</v>
      </c>
      <c r="D659" s="794">
        <v>19</v>
      </c>
      <c r="E659" s="794">
        <v>17</v>
      </c>
      <c r="F659" s="796">
        <f t="shared" si="11"/>
        <v>0.9364548494983278</v>
      </c>
    </row>
    <row r="660" spans="1:6">
      <c r="A660" s="322" t="s">
        <v>89</v>
      </c>
      <c r="B660" s="793">
        <v>44562</v>
      </c>
      <c r="C660" s="794">
        <v>1898</v>
      </c>
      <c r="D660" s="794">
        <v>218</v>
      </c>
      <c r="E660" s="794">
        <v>206</v>
      </c>
      <c r="F660" s="796">
        <f t="shared" si="11"/>
        <v>0.88514225500526866</v>
      </c>
    </row>
    <row r="661" spans="1:6">
      <c r="A661" s="322" t="s">
        <v>88</v>
      </c>
      <c r="B661" s="793">
        <v>44562</v>
      </c>
      <c r="C661" s="794">
        <v>665</v>
      </c>
      <c r="D661" s="794">
        <v>49</v>
      </c>
      <c r="E661" s="794">
        <v>45</v>
      </c>
      <c r="F661" s="796">
        <f t="shared" si="11"/>
        <v>0.9263157894736842</v>
      </c>
    </row>
    <row r="662" spans="1:6">
      <c r="A662" s="322" t="s">
        <v>87</v>
      </c>
      <c r="B662" s="793">
        <v>44562</v>
      </c>
      <c r="C662" s="794">
        <v>668</v>
      </c>
      <c r="D662" s="794">
        <v>42</v>
      </c>
      <c r="E662" s="794">
        <v>38</v>
      </c>
      <c r="F662" s="796">
        <f t="shared" si="11"/>
        <v>0.93712574850299402</v>
      </c>
    </row>
    <row r="663" spans="1:6">
      <c r="A663" s="322" t="s">
        <v>90</v>
      </c>
      <c r="B663" s="793">
        <v>44562</v>
      </c>
      <c r="C663" s="794">
        <v>452</v>
      </c>
      <c r="D663" s="794">
        <v>21</v>
      </c>
      <c r="E663" s="794">
        <v>18</v>
      </c>
      <c r="F663" s="796">
        <f t="shared" si="11"/>
        <v>0.95353982300884954</v>
      </c>
    </row>
    <row r="664" spans="1:6">
      <c r="A664" s="322" t="s">
        <v>91</v>
      </c>
      <c r="B664" s="793">
        <v>44562</v>
      </c>
      <c r="C664" s="794">
        <v>508</v>
      </c>
      <c r="D664" s="794">
        <v>23</v>
      </c>
      <c r="E664" s="794">
        <v>23</v>
      </c>
      <c r="F664" s="796">
        <f t="shared" si="11"/>
        <v>0.95472440944881887</v>
      </c>
    </row>
    <row r="665" spans="1:6">
      <c r="A665" s="322" t="s">
        <v>93</v>
      </c>
      <c r="B665" s="793">
        <v>44562</v>
      </c>
      <c r="C665" s="794">
        <v>553</v>
      </c>
      <c r="D665" s="794">
        <v>79</v>
      </c>
      <c r="E665" s="794">
        <v>72</v>
      </c>
      <c r="F665" s="796">
        <f t="shared" si="11"/>
        <v>0.85714285714285721</v>
      </c>
    </row>
    <row r="666" spans="1:6">
      <c r="A666" s="322" t="s">
        <v>94</v>
      </c>
      <c r="B666" s="793">
        <v>44562</v>
      </c>
      <c r="C666" s="794">
        <v>294</v>
      </c>
      <c r="D666" s="794">
        <v>24</v>
      </c>
      <c r="E666" s="794">
        <v>24</v>
      </c>
      <c r="F666" s="796">
        <f t="shared" si="11"/>
        <v>0.91836734693877553</v>
      </c>
    </row>
    <row r="667" spans="1:6">
      <c r="A667" s="322" t="s">
        <v>92</v>
      </c>
      <c r="B667" s="793">
        <v>44562</v>
      </c>
      <c r="C667" s="794">
        <v>2595</v>
      </c>
      <c r="D667" s="794">
        <v>279</v>
      </c>
      <c r="E667" s="794">
        <v>262</v>
      </c>
      <c r="F667" s="796">
        <f t="shared" si="11"/>
        <v>0.89248554913294798</v>
      </c>
    </row>
    <row r="668" spans="1:6">
      <c r="A668" s="322" t="s">
        <v>95</v>
      </c>
      <c r="B668" s="793">
        <v>44562</v>
      </c>
      <c r="C668" s="794">
        <v>2904</v>
      </c>
      <c r="D668" s="794">
        <v>317</v>
      </c>
      <c r="E668" s="794">
        <v>297</v>
      </c>
      <c r="F668" s="796">
        <f t="shared" si="11"/>
        <v>0.8908402203856749</v>
      </c>
    </row>
    <row r="669" spans="1:6">
      <c r="A669" s="322" t="s">
        <v>96</v>
      </c>
      <c r="B669" s="793">
        <v>44562</v>
      </c>
      <c r="C669" s="794">
        <v>314</v>
      </c>
      <c r="D669" s="794">
        <v>16</v>
      </c>
      <c r="E669" s="794">
        <v>16</v>
      </c>
      <c r="F669" s="796">
        <f t="shared" si="11"/>
        <v>0.94904458598726116</v>
      </c>
    </row>
    <row r="670" spans="1:6">
      <c r="A670" s="322" t="s">
        <v>98</v>
      </c>
      <c r="B670" s="793">
        <v>44562</v>
      </c>
      <c r="C670" s="794">
        <v>233</v>
      </c>
      <c r="D670" s="794">
        <v>12</v>
      </c>
      <c r="E670" s="794">
        <v>11</v>
      </c>
      <c r="F670" s="796">
        <f t="shared" si="11"/>
        <v>0.94849785407725318</v>
      </c>
    </row>
    <row r="671" spans="1:6">
      <c r="A671" s="322" t="s">
        <v>99</v>
      </c>
      <c r="B671" s="793">
        <v>44562</v>
      </c>
      <c r="C671" s="794">
        <v>64</v>
      </c>
      <c r="D671" s="794">
        <v>4</v>
      </c>
      <c r="E671" s="794">
        <v>4</v>
      </c>
      <c r="F671" s="796">
        <f t="shared" si="11"/>
        <v>0.9375</v>
      </c>
    </row>
    <row r="672" spans="1:6">
      <c r="A672" s="322" t="s">
        <v>97</v>
      </c>
      <c r="B672" s="793">
        <v>44562</v>
      </c>
      <c r="C672" s="794">
        <v>3043</v>
      </c>
      <c r="D672" s="794">
        <v>389</v>
      </c>
      <c r="E672" s="794">
        <v>348</v>
      </c>
      <c r="F672" s="796">
        <f t="shared" si="11"/>
        <v>0.87216562602694703</v>
      </c>
    </row>
    <row r="673" spans="1:6">
      <c r="A673" s="322" t="s">
        <v>100</v>
      </c>
      <c r="B673" s="793">
        <v>44562</v>
      </c>
      <c r="C673" s="794">
        <v>1913</v>
      </c>
      <c r="D673" s="794">
        <v>166</v>
      </c>
      <c r="E673" s="794">
        <v>156</v>
      </c>
      <c r="F673" s="796">
        <f t="shared" si="11"/>
        <v>0.91322530057501305</v>
      </c>
    </row>
    <row r="674" spans="1:6">
      <c r="A674" s="322" t="s">
        <v>102</v>
      </c>
      <c r="B674" s="793">
        <v>44562</v>
      </c>
      <c r="C674" s="794">
        <v>182</v>
      </c>
      <c r="D674" s="794">
        <v>20</v>
      </c>
      <c r="E674" s="794">
        <v>19</v>
      </c>
      <c r="F674" s="796">
        <f t="shared" si="11"/>
        <v>0.89010989010989006</v>
      </c>
    </row>
    <row r="675" spans="1:6">
      <c r="A675" s="322" t="s">
        <v>101</v>
      </c>
      <c r="B675" s="793">
        <v>44562</v>
      </c>
      <c r="C675" s="794">
        <v>8070</v>
      </c>
      <c r="D675" s="794">
        <v>962</v>
      </c>
      <c r="E675" s="794">
        <v>668</v>
      </c>
      <c r="F675" s="796">
        <f t="shared" si="11"/>
        <v>0.88079306071871133</v>
      </c>
    </row>
    <row r="676" spans="1:6">
      <c r="A676" s="322" t="s">
        <v>103</v>
      </c>
      <c r="B676" s="793">
        <v>44562</v>
      </c>
      <c r="C676" s="794">
        <v>218</v>
      </c>
      <c r="D676" s="794">
        <v>9</v>
      </c>
      <c r="E676" s="794">
        <v>9</v>
      </c>
      <c r="F676" s="796">
        <f t="shared" si="11"/>
        <v>0.95871559633027525</v>
      </c>
    </row>
    <row r="677" spans="1:6">
      <c r="A677" s="322" t="s">
        <v>77</v>
      </c>
      <c r="B677" s="793">
        <v>44593</v>
      </c>
      <c r="C677" s="794">
        <v>154</v>
      </c>
      <c r="D677" s="794">
        <v>11</v>
      </c>
      <c r="E677" s="794">
        <v>10</v>
      </c>
      <c r="F677" s="796">
        <f t="shared" si="11"/>
        <v>0.9285714285714286</v>
      </c>
    </row>
    <row r="678" spans="1:6">
      <c r="A678" s="322" t="s">
        <v>78</v>
      </c>
      <c r="B678" s="793">
        <v>44594</v>
      </c>
      <c r="C678" s="794">
        <v>174</v>
      </c>
      <c r="D678" s="794">
        <v>22</v>
      </c>
      <c r="E678" s="794">
        <v>18</v>
      </c>
      <c r="F678" s="796">
        <f t="shared" si="11"/>
        <v>0.87356321839080464</v>
      </c>
    </row>
    <row r="679" spans="1:6">
      <c r="A679" s="322" t="s">
        <v>80</v>
      </c>
      <c r="B679" s="793">
        <v>44595</v>
      </c>
      <c r="C679" s="794">
        <v>265</v>
      </c>
      <c r="D679" s="794">
        <v>18</v>
      </c>
      <c r="E679" s="794">
        <v>14</v>
      </c>
      <c r="F679" s="796">
        <f t="shared" si="11"/>
        <v>0.93207547169811322</v>
      </c>
    </row>
    <row r="680" spans="1:6">
      <c r="A680" s="322" t="s">
        <v>79</v>
      </c>
      <c r="B680" s="793">
        <v>44596</v>
      </c>
      <c r="C680" s="794">
        <v>314</v>
      </c>
      <c r="D680" s="794">
        <v>19</v>
      </c>
      <c r="E680" s="794">
        <v>13</v>
      </c>
      <c r="F680" s="796">
        <f t="shared" si="11"/>
        <v>0.93949044585987262</v>
      </c>
    </row>
    <row r="681" spans="1:6">
      <c r="A681" s="322" t="s">
        <v>81</v>
      </c>
      <c r="B681" s="793">
        <v>44597</v>
      </c>
      <c r="C681" s="794">
        <v>1026</v>
      </c>
      <c r="D681" s="794">
        <v>94</v>
      </c>
      <c r="E681" s="794">
        <v>79</v>
      </c>
      <c r="F681" s="796">
        <f t="shared" si="11"/>
        <v>0.90838206627680318</v>
      </c>
    </row>
    <row r="682" spans="1:6">
      <c r="A682" s="322" t="s">
        <v>82</v>
      </c>
      <c r="B682" s="793">
        <v>44598</v>
      </c>
      <c r="C682" s="794">
        <v>453</v>
      </c>
      <c r="D682" s="794">
        <v>61</v>
      </c>
      <c r="E682" s="794">
        <v>42</v>
      </c>
      <c r="F682" s="796">
        <f t="shared" si="11"/>
        <v>0.86534216335540837</v>
      </c>
    </row>
    <row r="683" spans="1:6">
      <c r="A683" s="322" t="s">
        <v>83</v>
      </c>
      <c r="B683" s="793">
        <v>44599</v>
      </c>
      <c r="C683" s="794">
        <v>822</v>
      </c>
      <c r="D683" s="794">
        <v>108</v>
      </c>
      <c r="E683" s="794">
        <v>86</v>
      </c>
      <c r="F683" s="796">
        <f t="shared" si="11"/>
        <v>0.86861313868613133</v>
      </c>
    </row>
    <row r="684" spans="1:6">
      <c r="A684" s="322" t="s">
        <v>84</v>
      </c>
      <c r="B684" s="793">
        <v>44600</v>
      </c>
      <c r="C684" s="794">
        <v>473</v>
      </c>
      <c r="D684" s="794">
        <v>81</v>
      </c>
      <c r="E684" s="794">
        <v>65</v>
      </c>
      <c r="F684" s="796">
        <f t="shared" si="11"/>
        <v>0.82875264270613114</v>
      </c>
    </row>
    <row r="685" spans="1:6">
      <c r="A685" s="322" t="s">
        <v>85</v>
      </c>
      <c r="B685" s="793">
        <v>44601</v>
      </c>
      <c r="C685" s="794">
        <v>730</v>
      </c>
      <c r="D685" s="794">
        <v>92</v>
      </c>
      <c r="E685" s="794">
        <v>71</v>
      </c>
      <c r="F685" s="796">
        <f t="shared" si="11"/>
        <v>0.87397260273972599</v>
      </c>
    </row>
    <row r="686" spans="1:6">
      <c r="A686" s="322" t="s">
        <v>86</v>
      </c>
      <c r="B686" s="793">
        <v>44602</v>
      </c>
      <c r="C686" s="794">
        <v>302</v>
      </c>
      <c r="D686" s="794">
        <v>28</v>
      </c>
      <c r="E686" s="794">
        <v>27</v>
      </c>
      <c r="F686" s="796">
        <f t="shared" si="11"/>
        <v>0.9072847682119205</v>
      </c>
    </row>
    <row r="687" spans="1:6">
      <c r="A687" s="322" t="s">
        <v>89</v>
      </c>
      <c r="B687" s="793">
        <v>44603</v>
      </c>
      <c r="C687" s="794">
        <v>1911</v>
      </c>
      <c r="D687" s="794">
        <v>307</v>
      </c>
      <c r="E687" s="794">
        <v>243</v>
      </c>
      <c r="F687" s="796">
        <f t="shared" si="11"/>
        <v>0.83935112506541076</v>
      </c>
    </row>
    <row r="688" spans="1:6">
      <c r="A688" s="322" t="s">
        <v>88</v>
      </c>
      <c r="B688" s="793">
        <v>44604</v>
      </c>
      <c r="C688" s="794">
        <v>666</v>
      </c>
      <c r="D688" s="794">
        <v>67</v>
      </c>
      <c r="E688" s="794">
        <v>44</v>
      </c>
      <c r="F688" s="796">
        <f t="shared" si="11"/>
        <v>0.89939939939939939</v>
      </c>
    </row>
    <row r="689" spans="1:6">
      <c r="A689" s="322" t="s">
        <v>87</v>
      </c>
      <c r="B689" s="793">
        <v>44605</v>
      </c>
      <c r="C689" s="794">
        <v>673</v>
      </c>
      <c r="D689" s="794">
        <v>67</v>
      </c>
      <c r="E689" s="794">
        <v>48</v>
      </c>
      <c r="F689" s="796">
        <f t="shared" si="11"/>
        <v>0.90044576523031206</v>
      </c>
    </row>
    <row r="690" spans="1:6">
      <c r="A690" s="322" t="s">
        <v>90</v>
      </c>
      <c r="B690" s="793">
        <v>44606</v>
      </c>
      <c r="C690" s="794">
        <v>457</v>
      </c>
      <c r="D690" s="794">
        <v>33</v>
      </c>
      <c r="E690" s="794">
        <v>27</v>
      </c>
      <c r="F690" s="796">
        <f t="shared" si="11"/>
        <v>0.92778993435448576</v>
      </c>
    </row>
    <row r="691" spans="1:6">
      <c r="A691" s="322" t="s">
        <v>91</v>
      </c>
      <c r="B691" s="793">
        <v>44607</v>
      </c>
      <c r="C691" s="794">
        <v>510</v>
      </c>
      <c r="D691" s="794">
        <v>31</v>
      </c>
      <c r="E691" s="794">
        <v>24</v>
      </c>
      <c r="F691" s="796">
        <f t="shared" si="11"/>
        <v>0.9392156862745098</v>
      </c>
    </row>
    <row r="692" spans="1:6">
      <c r="A692" s="322" t="s">
        <v>93</v>
      </c>
      <c r="B692" s="793">
        <v>44608</v>
      </c>
      <c r="C692" s="794">
        <v>557</v>
      </c>
      <c r="D692" s="794">
        <v>102</v>
      </c>
      <c r="E692" s="794">
        <v>72</v>
      </c>
      <c r="F692" s="796">
        <f t="shared" si="11"/>
        <v>0.81687612208258531</v>
      </c>
    </row>
    <row r="693" spans="1:6">
      <c r="A693" s="322" t="s">
        <v>94</v>
      </c>
      <c r="B693" s="793">
        <v>44609</v>
      </c>
      <c r="C693" s="794">
        <v>295</v>
      </c>
      <c r="D693" s="794">
        <v>33</v>
      </c>
      <c r="E693" s="794">
        <v>28</v>
      </c>
      <c r="F693" s="796">
        <f t="shared" si="11"/>
        <v>0.88813559322033897</v>
      </c>
    </row>
    <row r="694" spans="1:6">
      <c r="A694" s="322" t="s">
        <v>92</v>
      </c>
      <c r="B694" s="793">
        <v>44610</v>
      </c>
      <c r="C694" s="794">
        <v>2598</v>
      </c>
      <c r="D694" s="794">
        <v>377</v>
      </c>
      <c r="E694" s="794">
        <v>286</v>
      </c>
      <c r="F694" s="796">
        <f t="shared" si="11"/>
        <v>0.8548883756735951</v>
      </c>
    </row>
    <row r="695" spans="1:6">
      <c r="A695" s="322" t="s">
        <v>95</v>
      </c>
      <c r="B695" s="793">
        <v>44611</v>
      </c>
      <c r="C695" s="794">
        <v>2907</v>
      </c>
      <c r="D695" s="794">
        <v>427</v>
      </c>
      <c r="E695" s="794">
        <v>368</v>
      </c>
      <c r="F695" s="796">
        <f t="shared" si="11"/>
        <v>0.85311317509459927</v>
      </c>
    </row>
    <row r="696" spans="1:6">
      <c r="A696" s="322" t="s">
        <v>96</v>
      </c>
      <c r="B696" s="793">
        <v>44612</v>
      </c>
      <c r="C696" s="794">
        <v>314</v>
      </c>
      <c r="D696" s="794">
        <v>24</v>
      </c>
      <c r="E696" s="794">
        <v>17</v>
      </c>
      <c r="F696" s="796">
        <f t="shared" si="11"/>
        <v>0.92356687898089174</v>
      </c>
    </row>
    <row r="697" spans="1:6">
      <c r="A697" s="322" t="s">
        <v>98</v>
      </c>
      <c r="B697" s="793">
        <v>44613</v>
      </c>
      <c r="C697" s="794">
        <v>234</v>
      </c>
      <c r="D697" s="794">
        <v>16</v>
      </c>
      <c r="E697" s="794">
        <v>13</v>
      </c>
      <c r="F697" s="796">
        <f t="shared" si="11"/>
        <v>0.93162393162393164</v>
      </c>
    </row>
    <row r="698" spans="1:6">
      <c r="A698" s="322" t="s">
        <v>99</v>
      </c>
      <c r="B698" s="793">
        <v>44614</v>
      </c>
      <c r="C698" s="794">
        <v>63</v>
      </c>
      <c r="D698" s="794">
        <v>5</v>
      </c>
      <c r="E698" s="794">
        <v>4</v>
      </c>
      <c r="F698" s="796">
        <f t="shared" si="11"/>
        <v>0.92063492063492069</v>
      </c>
    </row>
    <row r="699" spans="1:6">
      <c r="A699" s="322" t="s">
        <v>97</v>
      </c>
      <c r="B699" s="793">
        <v>44615</v>
      </c>
      <c r="C699" s="794">
        <v>3055</v>
      </c>
      <c r="D699" s="794">
        <v>510</v>
      </c>
      <c r="E699" s="794">
        <v>393</v>
      </c>
      <c r="F699" s="796">
        <f t="shared" si="11"/>
        <v>0.83306055646481181</v>
      </c>
    </row>
    <row r="700" spans="1:6">
      <c r="A700" s="322" t="s">
        <v>100</v>
      </c>
      <c r="B700" s="793">
        <v>44616</v>
      </c>
      <c r="C700" s="794">
        <v>1922</v>
      </c>
      <c r="D700" s="794">
        <v>238</v>
      </c>
      <c r="E700" s="794">
        <v>193</v>
      </c>
      <c r="F700" s="796">
        <f t="shared" si="11"/>
        <v>0.8761706555671176</v>
      </c>
    </row>
    <row r="701" spans="1:6">
      <c r="A701" s="322" t="s">
        <v>102</v>
      </c>
      <c r="B701" s="793">
        <v>44617</v>
      </c>
      <c r="C701" s="794">
        <v>181</v>
      </c>
      <c r="D701" s="794">
        <v>23</v>
      </c>
      <c r="E701" s="794">
        <v>17</v>
      </c>
      <c r="F701" s="796">
        <f t="shared" si="11"/>
        <v>0.8729281767955801</v>
      </c>
    </row>
    <row r="702" spans="1:6">
      <c r="A702" s="322" t="s">
        <v>101</v>
      </c>
      <c r="B702" s="793">
        <v>44618</v>
      </c>
      <c r="C702" s="794">
        <v>8072</v>
      </c>
      <c r="D702" s="794">
        <v>1277</v>
      </c>
      <c r="E702" s="794">
        <v>988</v>
      </c>
      <c r="F702" s="796">
        <f t="shared" si="11"/>
        <v>0.84179881070366702</v>
      </c>
    </row>
    <row r="703" spans="1:6">
      <c r="A703" s="322" t="s">
        <v>103</v>
      </c>
      <c r="B703" s="793">
        <v>44619</v>
      </c>
      <c r="C703" s="794">
        <v>219</v>
      </c>
      <c r="D703" s="794">
        <v>14</v>
      </c>
      <c r="E703" s="794">
        <v>9</v>
      </c>
      <c r="F703" s="796">
        <f t="shared" si="11"/>
        <v>0.9360730593607306</v>
      </c>
    </row>
    <row r="704" spans="1:6">
      <c r="A704" s="322" t="s">
        <v>77</v>
      </c>
      <c r="B704" s="793">
        <v>44621</v>
      </c>
      <c r="C704" s="794">
        <v>155</v>
      </c>
      <c r="D704" s="794">
        <v>16</v>
      </c>
      <c r="E704" s="794">
        <v>13</v>
      </c>
      <c r="F704" s="796">
        <f t="shared" si="11"/>
        <v>0.89677419354838706</v>
      </c>
    </row>
    <row r="705" spans="1:6">
      <c r="A705" s="322" t="s">
        <v>78</v>
      </c>
      <c r="B705" s="793">
        <v>44622</v>
      </c>
      <c r="C705" s="794">
        <v>173</v>
      </c>
      <c r="D705" s="794">
        <v>24</v>
      </c>
      <c r="E705" s="794">
        <v>19</v>
      </c>
      <c r="F705" s="796">
        <f t="shared" si="11"/>
        <v>0.8612716763005781</v>
      </c>
    </row>
    <row r="706" spans="1:6">
      <c r="A706" s="322" t="s">
        <v>80</v>
      </c>
      <c r="B706" s="793">
        <v>44623</v>
      </c>
      <c r="C706" s="794">
        <v>265</v>
      </c>
      <c r="D706" s="794">
        <v>29</v>
      </c>
      <c r="E706" s="794">
        <v>23</v>
      </c>
      <c r="F706" s="796">
        <f t="shared" si="11"/>
        <v>0.89056603773584908</v>
      </c>
    </row>
    <row r="707" spans="1:6">
      <c r="A707" s="322" t="s">
        <v>79</v>
      </c>
      <c r="B707" s="793">
        <v>44624</v>
      </c>
      <c r="C707" s="794">
        <v>316</v>
      </c>
      <c r="D707" s="794">
        <v>28</v>
      </c>
      <c r="E707" s="794">
        <v>21</v>
      </c>
      <c r="F707" s="796">
        <f t="shared" si="11"/>
        <v>0.91139240506329111</v>
      </c>
    </row>
    <row r="708" spans="1:6">
      <c r="A708" s="322" t="s">
        <v>81</v>
      </c>
      <c r="B708" s="793">
        <v>44625</v>
      </c>
      <c r="C708" s="794">
        <v>1031</v>
      </c>
      <c r="D708" s="794">
        <v>120</v>
      </c>
      <c r="E708" s="794">
        <v>102</v>
      </c>
      <c r="F708" s="796">
        <f t="shared" si="11"/>
        <v>0.88360814742967997</v>
      </c>
    </row>
    <row r="709" spans="1:6">
      <c r="A709" s="322" t="s">
        <v>82</v>
      </c>
      <c r="B709" s="793">
        <v>44626</v>
      </c>
      <c r="C709" s="794">
        <v>452</v>
      </c>
      <c r="D709" s="794">
        <v>72</v>
      </c>
      <c r="E709" s="794">
        <v>54</v>
      </c>
      <c r="F709" s="796">
        <f t="shared" si="11"/>
        <v>0.84070796460176989</v>
      </c>
    </row>
    <row r="710" spans="1:6">
      <c r="A710" s="322" t="s">
        <v>83</v>
      </c>
      <c r="B710" s="793">
        <v>44627</v>
      </c>
      <c r="C710" s="794">
        <v>831</v>
      </c>
      <c r="D710" s="794">
        <v>131</v>
      </c>
      <c r="E710" s="794">
        <v>109</v>
      </c>
      <c r="F710" s="796">
        <f t="shared" si="11"/>
        <v>0.84235860409145613</v>
      </c>
    </row>
    <row r="711" spans="1:6">
      <c r="A711" s="322" t="s">
        <v>84</v>
      </c>
      <c r="B711" s="793">
        <v>44628</v>
      </c>
      <c r="C711" s="794">
        <v>475</v>
      </c>
      <c r="D711" s="794">
        <v>109</v>
      </c>
      <c r="E711" s="794">
        <v>96</v>
      </c>
      <c r="F711" s="796">
        <f t="shared" si="11"/>
        <v>0.77052631578947373</v>
      </c>
    </row>
    <row r="712" spans="1:6">
      <c r="A712" s="322" t="s">
        <v>85</v>
      </c>
      <c r="B712" s="793">
        <v>44629</v>
      </c>
      <c r="C712" s="794">
        <v>733</v>
      </c>
      <c r="D712" s="794">
        <v>114</v>
      </c>
      <c r="E712" s="794">
        <v>92</v>
      </c>
      <c r="F712" s="796">
        <f t="shared" si="11"/>
        <v>0.844474761255116</v>
      </c>
    </row>
    <row r="713" spans="1:6">
      <c r="A713" s="322" t="s">
        <v>86</v>
      </c>
      <c r="B713" s="793">
        <v>44630</v>
      </c>
      <c r="C713" s="794">
        <v>306</v>
      </c>
      <c r="D713" s="794">
        <v>37</v>
      </c>
      <c r="E713" s="794">
        <v>36</v>
      </c>
      <c r="F713" s="796">
        <f t="shared" si="11"/>
        <v>0.87908496732026142</v>
      </c>
    </row>
    <row r="714" spans="1:6">
      <c r="A714" s="322" t="s">
        <v>89</v>
      </c>
      <c r="B714" s="793">
        <v>44631</v>
      </c>
      <c r="C714" s="794">
        <v>1928</v>
      </c>
      <c r="D714" s="794">
        <v>383</v>
      </c>
      <c r="E714" s="794">
        <v>338</v>
      </c>
      <c r="F714" s="796">
        <f t="shared" si="11"/>
        <v>0.80134854771784236</v>
      </c>
    </row>
    <row r="715" spans="1:6">
      <c r="A715" s="322" t="s">
        <v>88</v>
      </c>
      <c r="B715" s="793">
        <v>44632</v>
      </c>
      <c r="C715" s="794">
        <v>668</v>
      </c>
      <c r="D715" s="794">
        <v>82</v>
      </c>
      <c r="E715" s="794">
        <v>63</v>
      </c>
      <c r="F715" s="796">
        <f t="shared" ref="F715:F778" si="12">1-(D715/C715)</f>
        <v>0.8772455089820359</v>
      </c>
    </row>
    <row r="716" spans="1:6">
      <c r="A716" s="322" t="s">
        <v>87</v>
      </c>
      <c r="B716" s="793">
        <v>44633</v>
      </c>
      <c r="C716" s="794">
        <v>680</v>
      </c>
      <c r="D716" s="794">
        <v>85</v>
      </c>
      <c r="E716" s="794">
        <v>69</v>
      </c>
      <c r="F716" s="796">
        <f t="shared" si="12"/>
        <v>0.875</v>
      </c>
    </row>
    <row r="717" spans="1:6">
      <c r="A717" s="322" t="s">
        <v>90</v>
      </c>
      <c r="B717" s="793">
        <v>44634</v>
      </c>
      <c r="C717" s="794">
        <v>459</v>
      </c>
      <c r="D717" s="794">
        <v>47</v>
      </c>
      <c r="E717" s="794">
        <v>38</v>
      </c>
      <c r="F717" s="796">
        <f t="shared" si="12"/>
        <v>0.89760348583877991</v>
      </c>
    </row>
    <row r="718" spans="1:6">
      <c r="A718" s="322" t="s">
        <v>91</v>
      </c>
      <c r="B718" s="793">
        <v>44635</v>
      </c>
      <c r="C718" s="794">
        <v>511</v>
      </c>
      <c r="D718" s="794">
        <v>36</v>
      </c>
      <c r="E718" s="794">
        <v>27</v>
      </c>
      <c r="F718" s="796">
        <f t="shared" si="12"/>
        <v>0.92954990215264188</v>
      </c>
    </row>
    <row r="719" spans="1:6">
      <c r="A719" s="322" t="s">
        <v>93</v>
      </c>
      <c r="B719" s="793">
        <v>44636</v>
      </c>
      <c r="C719" s="794">
        <v>563</v>
      </c>
      <c r="D719" s="794">
        <v>123</v>
      </c>
      <c r="E719" s="794">
        <v>96</v>
      </c>
      <c r="F719" s="796">
        <f t="shared" si="12"/>
        <v>0.78152753108348139</v>
      </c>
    </row>
    <row r="720" spans="1:6">
      <c r="A720" s="322" t="s">
        <v>94</v>
      </c>
      <c r="B720" s="793">
        <v>44637</v>
      </c>
      <c r="C720" s="794">
        <v>294</v>
      </c>
      <c r="D720" s="794">
        <v>37</v>
      </c>
      <c r="E720" s="794">
        <v>32</v>
      </c>
      <c r="F720" s="796">
        <f t="shared" si="12"/>
        <v>0.87414965986394555</v>
      </c>
    </row>
    <row r="721" spans="1:6">
      <c r="A721" s="322" t="s">
        <v>92</v>
      </c>
      <c r="B721" s="793">
        <v>44638</v>
      </c>
      <c r="C721" s="794">
        <v>2601</v>
      </c>
      <c r="D721" s="794">
        <v>471</v>
      </c>
      <c r="E721" s="794">
        <v>405</v>
      </c>
      <c r="F721" s="796">
        <f t="shared" si="12"/>
        <v>0.81891580161476352</v>
      </c>
    </row>
    <row r="722" spans="1:6">
      <c r="A722" s="322" t="s">
        <v>95</v>
      </c>
      <c r="B722" s="793">
        <v>44639</v>
      </c>
      <c r="C722" s="794">
        <v>2923</v>
      </c>
      <c r="D722" s="794">
        <v>527</v>
      </c>
      <c r="E722" s="794">
        <v>463</v>
      </c>
      <c r="F722" s="796">
        <f t="shared" si="12"/>
        <v>0.8197057817310982</v>
      </c>
    </row>
    <row r="723" spans="1:6">
      <c r="A723" s="322" t="s">
        <v>96</v>
      </c>
      <c r="B723" s="793">
        <v>44640</v>
      </c>
      <c r="C723" s="794">
        <v>316</v>
      </c>
      <c r="D723" s="794">
        <v>28</v>
      </c>
      <c r="E723" s="794">
        <v>21</v>
      </c>
      <c r="F723" s="796">
        <f t="shared" si="12"/>
        <v>0.91139240506329111</v>
      </c>
    </row>
    <row r="724" spans="1:6">
      <c r="A724" s="322" t="s">
        <v>98</v>
      </c>
      <c r="B724" s="793">
        <v>44641</v>
      </c>
      <c r="C724" s="794">
        <v>236</v>
      </c>
      <c r="D724" s="794">
        <v>19</v>
      </c>
      <c r="E724" s="794">
        <v>16</v>
      </c>
      <c r="F724" s="796">
        <f t="shared" si="12"/>
        <v>0.91949152542372881</v>
      </c>
    </row>
    <row r="725" spans="1:6">
      <c r="A725" s="322" t="s">
        <v>99</v>
      </c>
      <c r="B725" s="793">
        <v>44642</v>
      </c>
      <c r="C725" s="794">
        <v>63</v>
      </c>
      <c r="D725" s="794">
        <v>7</v>
      </c>
      <c r="E725" s="794">
        <v>6</v>
      </c>
      <c r="F725" s="796">
        <f t="shared" si="12"/>
        <v>0.88888888888888884</v>
      </c>
    </row>
    <row r="726" spans="1:6">
      <c r="A726" s="322" t="s">
        <v>97</v>
      </c>
      <c r="B726" s="793">
        <v>44643</v>
      </c>
      <c r="C726" s="794">
        <v>3080</v>
      </c>
      <c r="D726" s="794">
        <v>578</v>
      </c>
      <c r="E726" s="794">
        <v>540</v>
      </c>
      <c r="F726" s="796">
        <f t="shared" si="12"/>
        <v>0.81233766233766236</v>
      </c>
    </row>
    <row r="727" spans="1:6">
      <c r="A727" s="322" t="s">
        <v>100</v>
      </c>
      <c r="B727" s="793">
        <v>44644</v>
      </c>
      <c r="C727" s="794">
        <v>1944</v>
      </c>
      <c r="D727" s="794">
        <v>304</v>
      </c>
      <c r="E727" s="794">
        <v>266</v>
      </c>
      <c r="F727" s="796">
        <f t="shared" si="12"/>
        <v>0.84362139917695478</v>
      </c>
    </row>
    <row r="728" spans="1:6">
      <c r="A728" s="322" t="s">
        <v>102</v>
      </c>
      <c r="B728" s="793">
        <v>44645</v>
      </c>
      <c r="C728" s="794">
        <v>182</v>
      </c>
      <c r="D728" s="794">
        <v>31</v>
      </c>
      <c r="E728" s="794">
        <v>24</v>
      </c>
      <c r="F728" s="796">
        <f t="shared" si="12"/>
        <v>0.82967032967032961</v>
      </c>
    </row>
    <row r="729" spans="1:6">
      <c r="A729" s="322" t="s">
        <v>101</v>
      </c>
      <c r="B729" s="793">
        <v>44646</v>
      </c>
      <c r="C729" s="794">
        <v>8102</v>
      </c>
      <c r="D729" s="794">
        <v>1558</v>
      </c>
      <c r="E729" s="794">
        <v>1287</v>
      </c>
      <c r="F729" s="796">
        <f t="shared" si="12"/>
        <v>0.80770180202419151</v>
      </c>
    </row>
    <row r="730" spans="1:6">
      <c r="A730" s="322" t="s">
        <v>103</v>
      </c>
      <c r="B730" s="793">
        <v>44647</v>
      </c>
      <c r="C730" s="794">
        <v>218</v>
      </c>
      <c r="D730" s="794">
        <v>14</v>
      </c>
      <c r="E730" s="794">
        <v>9</v>
      </c>
      <c r="F730" s="796">
        <f t="shared" si="12"/>
        <v>0.93577981651376141</v>
      </c>
    </row>
    <row r="731" spans="1:6">
      <c r="A731" s="322" t="s">
        <v>77</v>
      </c>
      <c r="B731" s="793">
        <v>44652</v>
      </c>
      <c r="C731" s="794">
        <v>156</v>
      </c>
      <c r="D731" s="794">
        <v>22</v>
      </c>
      <c r="E731" s="794">
        <v>18</v>
      </c>
      <c r="F731" s="796">
        <f t="shared" si="12"/>
        <v>0.85897435897435903</v>
      </c>
    </row>
    <row r="732" spans="1:6">
      <c r="A732" s="322" t="s">
        <v>78</v>
      </c>
      <c r="B732" s="793">
        <v>44653</v>
      </c>
      <c r="C732" s="794">
        <v>174</v>
      </c>
      <c r="D732" s="794">
        <v>29</v>
      </c>
      <c r="E732" s="794">
        <v>23</v>
      </c>
      <c r="F732" s="796">
        <f t="shared" si="12"/>
        <v>0.83333333333333337</v>
      </c>
    </row>
    <row r="733" spans="1:6">
      <c r="A733" s="322" t="s">
        <v>80</v>
      </c>
      <c r="B733" s="793">
        <v>44654</v>
      </c>
      <c r="C733" s="794">
        <v>265</v>
      </c>
      <c r="D733" s="794">
        <v>38</v>
      </c>
      <c r="E733" s="794">
        <v>33</v>
      </c>
      <c r="F733" s="796">
        <f t="shared" si="12"/>
        <v>0.85660377358490569</v>
      </c>
    </row>
    <row r="734" spans="1:6">
      <c r="A734" s="322" t="s">
        <v>79</v>
      </c>
      <c r="B734" s="793">
        <v>44655</v>
      </c>
      <c r="C734" s="794">
        <v>318</v>
      </c>
      <c r="D734" s="794">
        <v>38</v>
      </c>
      <c r="E734" s="794">
        <v>26</v>
      </c>
      <c r="F734" s="796">
        <f t="shared" si="12"/>
        <v>0.88050314465408808</v>
      </c>
    </row>
    <row r="735" spans="1:6">
      <c r="A735" s="322" t="s">
        <v>81</v>
      </c>
      <c r="B735" s="793">
        <v>44656</v>
      </c>
      <c r="C735" s="794">
        <v>1036</v>
      </c>
      <c r="D735" s="794">
        <v>150</v>
      </c>
      <c r="E735" s="794">
        <v>130</v>
      </c>
      <c r="F735" s="796">
        <f t="shared" si="12"/>
        <v>0.85521235521235517</v>
      </c>
    </row>
    <row r="736" spans="1:6">
      <c r="A736" s="322" t="s">
        <v>82</v>
      </c>
      <c r="B736" s="793">
        <v>44657</v>
      </c>
      <c r="C736" s="794">
        <v>454</v>
      </c>
      <c r="D736" s="794">
        <v>77</v>
      </c>
      <c r="E736" s="794">
        <v>58</v>
      </c>
      <c r="F736" s="796">
        <f t="shared" si="12"/>
        <v>0.83039647577092512</v>
      </c>
    </row>
    <row r="737" spans="1:6">
      <c r="A737" s="322" t="s">
        <v>83</v>
      </c>
      <c r="B737" s="793">
        <v>44658</v>
      </c>
      <c r="C737" s="794">
        <v>840</v>
      </c>
      <c r="D737" s="794">
        <v>155</v>
      </c>
      <c r="E737" s="794">
        <v>134</v>
      </c>
      <c r="F737" s="796">
        <f t="shared" si="12"/>
        <v>0.81547619047619047</v>
      </c>
    </row>
    <row r="738" spans="1:6">
      <c r="A738" s="322" t="s">
        <v>84</v>
      </c>
      <c r="B738" s="793">
        <v>44659</v>
      </c>
      <c r="C738" s="794">
        <v>477</v>
      </c>
      <c r="D738" s="794">
        <v>124</v>
      </c>
      <c r="E738" s="794">
        <v>111</v>
      </c>
      <c r="F738" s="796">
        <f t="shared" si="12"/>
        <v>0.74004192872117402</v>
      </c>
    </row>
    <row r="739" spans="1:6">
      <c r="A739" s="322" t="s">
        <v>85</v>
      </c>
      <c r="B739" s="793">
        <v>44660</v>
      </c>
      <c r="C739" s="794">
        <v>737</v>
      </c>
      <c r="D739" s="794">
        <v>133</v>
      </c>
      <c r="E739" s="794">
        <v>111</v>
      </c>
      <c r="F739" s="796">
        <f t="shared" si="12"/>
        <v>0.81953867028493899</v>
      </c>
    </row>
    <row r="740" spans="1:6">
      <c r="A740" s="322" t="s">
        <v>86</v>
      </c>
      <c r="B740" s="793">
        <v>44661</v>
      </c>
      <c r="C740" s="794">
        <v>309</v>
      </c>
      <c r="D740" s="794">
        <v>41</v>
      </c>
      <c r="E740" s="794">
        <v>39</v>
      </c>
      <c r="F740" s="796">
        <f t="shared" si="12"/>
        <v>0.8673139158576052</v>
      </c>
    </row>
    <row r="741" spans="1:6">
      <c r="A741" s="322" t="s">
        <v>89</v>
      </c>
      <c r="B741" s="793">
        <v>44662</v>
      </c>
      <c r="C741" s="794">
        <v>1934</v>
      </c>
      <c r="D741" s="794">
        <v>431</v>
      </c>
      <c r="E741" s="794">
        <v>377</v>
      </c>
      <c r="F741" s="796">
        <f t="shared" si="12"/>
        <v>0.7771458117890383</v>
      </c>
    </row>
    <row r="742" spans="1:6">
      <c r="A742" s="322" t="s">
        <v>88</v>
      </c>
      <c r="B742" s="793">
        <v>44663</v>
      </c>
      <c r="C742" s="794">
        <v>670</v>
      </c>
      <c r="D742" s="794">
        <v>95</v>
      </c>
      <c r="E742" s="794">
        <v>75</v>
      </c>
      <c r="F742" s="796">
        <f t="shared" si="12"/>
        <v>0.85820895522388063</v>
      </c>
    </row>
    <row r="743" spans="1:6">
      <c r="A743" s="322" t="s">
        <v>87</v>
      </c>
      <c r="B743" s="793">
        <v>44664</v>
      </c>
      <c r="C743" s="794">
        <v>687</v>
      </c>
      <c r="D743" s="794">
        <v>103</v>
      </c>
      <c r="E743" s="794">
        <v>84</v>
      </c>
      <c r="F743" s="796">
        <f t="shared" si="12"/>
        <v>0.85007278020378463</v>
      </c>
    </row>
    <row r="744" spans="1:6">
      <c r="A744" s="322" t="s">
        <v>90</v>
      </c>
      <c r="B744" s="793">
        <v>44665</v>
      </c>
      <c r="C744" s="794">
        <v>466</v>
      </c>
      <c r="D744" s="794">
        <v>61</v>
      </c>
      <c r="E744" s="794">
        <v>49</v>
      </c>
      <c r="F744" s="796">
        <f t="shared" si="12"/>
        <v>0.86909871244635195</v>
      </c>
    </row>
    <row r="745" spans="1:6">
      <c r="A745" s="322" t="s">
        <v>91</v>
      </c>
      <c r="B745" s="793">
        <v>44666</v>
      </c>
      <c r="C745" s="794">
        <v>511</v>
      </c>
      <c r="D745" s="794">
        <v>42</v>
      </c>
      <c r="E745" s="794">
        <v>30</v>
      </c>
      <c r="F745" s="796">
        <f t="shared" si="12"/>
        <v>0.9178082191780822</v>
      </c>
    </row>
    <row r="746" spans="1:6">
      <c r="A746" s="322" t="s">
        <v>93</v>
      </c>
      <c r="B746" s="793">
        <v>44667</v>
      </c>
      <c r="C746" s="794">
        <v>568</v>
      </c>
      <c r="D746" s="794">
        <v>130</v>
      </c>
      <c r="E746" s="794">
        <v>104</v>
      </c>
      <c r="F746" s="796">
        <f t="shared" si="12"/>
        <v>0.77112676056338025</v>
      </c>
    </row>
    <row r="747" spans="1:6">
      <c r="A747" s="322" t="s">
        <v>94</v>
      </c>
      <c r="B747" s="793">
        <v>44668</v>
      </c>
      <c r="C747" s="794">
        <v>303</v>
      </c>
      <c r="D747" s="794">
        <v>47</v>
      </c>
      <c r="E747" s="794">
        <v>41</v>
      </c>
      <c r="F747" s="796">
        <f t="shared" si="12"/>
        <v>0.84488448844884489</v>
      </c>
    </row>
    <row r="748" spans="1:6">
      <c r="A748" s="322" t="s">
        <v>92</v>
      </c>
      <c r="B748" s="793">
        <v>44669</v>
      </c>
      <c r="C748" s="794">
        <v>2629</v>
      </c>
      <c r="D748" s="794">
        <v>551</v>
      </c>
      <c r="E748" s="794">
        <v>473</v>
      </c>
      <c r="F748" s="796">
        <f t="shared" si="12"/>
        <v>0.79041460631418792</v>
      </c>
    </row>
    <row r="749" spans="1:6">
      <c r="A749" s="322" t="s">
        <v>95</v>
      </c>
      <c r="B749" s="793">
        <v>44670</v>
      </c>
      <c r="C749" s="794">
        <v>2933</v>
      </c>
      <c r="D749" s="794">
        <v>593</v>
      </c>
      <c r="E749" s="794">
        <v>530</v>
      </c>
      <c r="F749" s="796">
        <f t="shared" si="12"/>
        <v>0.79781793385611999</v>
      </c>
    </row>
    <row r="750" spans="1:6">
      <c r="A750" s="322" t="s">
        <v>96</v>
      </c>
      <c r="B750" s="793">
        <v>44671</v>
      </c>
      <c r="C750" s="794">
        <v>316</v>
      </c>
      <c r="D750" s="794">
        <v>29</v>
      </c>
      <c r="E750" s="794">
        <v>22</v>
      </c>
      <c r="F750" s="796">
        <f t="shared" si="12"/>
        <v>0.90822784810126578</v>
      </c>
    </row>
    <row r="751" spans="1:6">
      <c r="A751" s="322" t="s">
        <v>98</v>
      </c>
      <c r="B751" s="793">
        <v>44672</v>
      </c>
      <c r="C751" s="794">
        <v>237</v>
      </c>
      <c r="D751" s="794">
        <v>22</v>
      </c>
      <c r="E751" s="794">
        <v>18</v>
      </c>
      <c r="F751" s="796">
        <f t="shared" si="12"/>
        <v>0.90717299578059074</v>
      </c>
    </row>
    <row r="752" spans="1:6">
      <c r="A752" s="322" t="s">
        <v>99</v>
      </c>
      <c r="B752" s="793">
        <v>44673</v>
      </c>
      <c r="C752" s="794">
        <v>63</v>
      </c>
      <c r="D752" s="794">
        <v>8</v>
      </c>
      <c r="E752" s="794">
        <v>7</v>
      </c>
      <c r="F752" s="796">
        <f t="shared" si="12"/>
        <v>0.87301587301587302</v>
      </c>
    </row>
    <row r="753" spans="1:6">
      <c r="A753" s="322" t="s">
        <v>97</v>
      </c>
      <c r="B753" s="793">
        <v>44674</v>
      </c>
      <c r="C753" s="794">
        <v>3103</v>
      </c>
      <c r="D753" s="794">
        <v>654</v>
      </c>
      <c r="E753" s="794">
        <v>609</v>
      </c>
      <c r="F753" s="796">
        <f t="shared" si="12"/>
        <v>0.7892362230099903</v>
      </c>
    </row>
    <row r="754" spans="1:6">
      <c r="A754" s="322" t="s">
        <v>100</v>
      </c>
      <c r="B754" s="793">
        <v>44675</v>
      </c>
      <c r="C754" s="794">
        <v>1963</v>
      </c>
      <c r="D754" s="794">
        <v>356</v>
      </c>
      <c r="E754" s="794">
        <v>313</v>
      </c>
      <c r="F754" s="796">
        <f t="shared" si="12"/>
        <v>0.81864493122771265</v>
      </c>
    </row>
    <row r="755" spans="1:6">
      <c r="A755" s="322" t="s">
        <v>102</v>
      </c>
      <c r="B755" s="793">
        <v>44676</v>
      </c>
      <c r="C755" s="794">
        <v>183</v>
      </c>
      <c r="D755" s="794">
        <v>40</v>
      </c>
      <c r="E755" s="794">
        <v>33</v>
      </c>
      <c r="F755" s="796">
        <f t="shared" si="12"/>
        <v>0.78142076502732238</v>
      </c>
    </row>
    <row r="756" spans="1:6">
      <c r="A756" s="322" t="s">
        <v>101</v>
      </c>
      <c r="B756" s="793">
        <v>44677</v>
      </c>
      <c r="C756" s="794">
        <v>8138</v>
      </c>
      <c r="D756" s="794">
        <v>1745</v>
      </c>
      <c r="E756" s="794">
        <v>1468</v>
      </c>
      <c r="F756" s="796">
        <f t="shared" si="12"/>
        <v>0.78557385106905875</v>
      </c>
    </row>
    <row r="757" spans="1:6">
      <c r="A757" s="322" t="s">
        <v>103</v>
      </c>
      <c r="B757" s="793">
        <v>44678</v>
      </c>
      <c r="C757" s="794">
        <v>219</v>
      </c>
      <c r="D757" s="794">
        <v>20</v>
      </c>
      <c r="E757" s="794">
        <v>18</v>
      </c>
      <c r="F757" s="796">
        <f t="shared" si="12"/>
        <v>0.908675799086758</v>
      </c>
    </row>
    <row r="758" spans="1:6">
      <c r="A758" s="322" t="s">
        <v>77</v>
      </c>
      <c r="B758" s="793">
        <v>44682</v>
      </c>
      <c r="C758" s="794">
        <v>158</v>
      </c>
      <c r="D758" s="794">
        <v>26</v>
      </c>
      <c r="E758" s="794">
        <v>21</v>
      </c>
      <c r="F758" s="796">
        <f t="shared" si="12"/>
        <v>0.83544303797468356</v>
      </c>
    </row>
    <row r="759" spans="1:6">
      <c r="A759" s="322" t="s">
        <v>78</v>
      </c>
      <c r="B759" s="793">
        <v>44683</v>
      </c>
      <c r="C759" s="794">
        <v>174</v>
      </c>
      <c r="D759" s="794">
        <v>32</v>
      </c>
      <c r="E759" s="794">
        <v>26</v>
      </c>
      <c r="F759" s="796">
        <f t="shared" si="12"/>
        <v>0.81609195402298851</v>
      </c>
    </row>
    <row r="760" spans="1:6">
      <c r="A760" s="322" t="s">
        <v>80</v>
      </c>
      <c r="B760" s="793">
        <v>44684</v>
      </c>
      <c r="C760" s="794">
        <v>265</v>
      </c>
      <c r="D760" s="794">
        <v>43</v>
      </c>
      <c r="E760" s="794">
        <v>36</v>
      </c>
      <c r="F760" s="796">
        <f t="shared" si="12"/>
        <v>0.83773584905660381</v>
      </c>
    </row>
    <row r="761" spans="1:6">
      <c r="A761" s="322" t="s">
        <v>79</v>
      </c>
      <c r="B761" s="793">
        <v>44685</v>
      </c>
      <c r="C761" s="794">
        <v>322</v>
      </c>
      <c r="D761" s="794">
        <v>47</v>
      </c>
      <c r="E761" s="794">
        <v>35</v>
      </c>
      <c r="F761" s="796">
        <f t="shared" si="12"/>
        <v>0.85403726708074534</v>
      </c>
    </row>
    <row r="762" spans="1:6">
      <c r="A762" s="322" t="s">
        <v>81</v>
      </c>
      <c r="B762" s="793">
        <v>44686</v>
      </c>
      <c r="C762" s="794">
        <v>1034</v>
      </c>
      <c r="D762" s="794">
        <v>162</v>
      </c>
      <c r="E762" s="794">
        <v>147</v>
      </c>
      <c r="F762" s="796">
        <f t="shared" si="12"/>
        <v>0.84332688588007731</v>
      </c>
    </row>
    <row r="763" spans="1:6">
      <c r="A763" s="322" t="s">
        <v>82</v>
      </c>
      <c r="B763" s="793">
        <v>44687</v>
      </c>
      <c r="C763" s="794">
        <v>455</v>
      </c>
      <c r="D763" s="794">
        <v>92</v>
      </c>
      <c r="E763" s="794">
        <v>73</v>
      </c>
      <c r="F763" s="796">
        <f t="shared" si="12"/>
        <v>0.79780219780219785</v>
      </c>
    </row>
    <row r="764" spans="1:6">
      <c r="A764" s="322" t="s">
        <v>83</v>
      </c>
      <c r="B764" s="793">
        <v>44688</v>
      </c>
      <c r="C764" s="794">
        <v>842</v>
      </c>
      <c r="D764" s="794">
        <v>168</v>
      </c>
      <c r="E764" s="794">
        <v>145</v>
      </c>
      <c r="F764" s="796">
        <f t="shared" si="12"/>
        <v>0.8004750593824228</v>
      </c>
    </row>
    <row r="765" spans="1:6">
      <c r="A765" s="322" t="s">
        <v>84</v>
      </c>
      <c r="B765" s="793">
        <v>44689</v>
      </c>
      <c r="C765" s="794">
        <v>475</v>
      </c>
      <c r="D765" s="794">
        <v>134</v>
      </c>
      <c r="E765" s="794">
        <v>120</v>
      </c>
      <c r="F765" s="796">
        <f t="shared" si="12"/>
        <v>0.71789473684210525</v>
      </c>
    </row>
    <row r="766" spans="1:6">
      <c r="A766" s="322" t="s">
        <v>85</v>
      </c>
      <c r="B766" s="793">
        <v>44690</v>
      </c>
      <c r="C766" s="794">
        <v>743</v>
      </c>
      <c r="D766" s="794">
        <v>152</v>
      </c>
      <c r="E766" s="794">
        <v>130</v>
      </c>
      <c r="F766" s="796">
        <f t="shared" si="12"/>
        <v>0.79542395693135937</v>
      </c>
    </row>
    <row r="767" spans="1:6">
      <c r="A767" s="322" t="s">
        <v>86</v>
      </c>
      <c r="B767" s="793">
        <v>44691</v>
      </c>
      <c r="C767" s="794">
        <v>313</v>
      </c>
      <c r="D767" s="794">
        <v>47</v>
      </c>
      <c r="E767" s="794">
        <v>44</v>
      </c>
      <c r="F767" s="796">
        <f t="shared" si="12"/>
        <v>0.84984025559105425</v>
      </c>
    </row>
    <row r="768" spans="1:6">
      <c r="A768" s="322" t="s">
        <v>89</v>
      </c>
      <c r="B768" s="793">
        <v>44692</v>
      </c>
      <c r="C768" s="794">
        <v>1947</v>
      </c>
      <c r="D768" s="794">
        <v>474</v>
      </c>
      <c r="E768" s="794">
        <v>421</v>
      </c>
      <c r="F768" s="796">
        <f t="shared" si="12"/>
        <v>0.7565485362095532</v>
      </c>
    </row>
    <row r="769" spans="1:6">
      <c r="A769" s="322" t="s">
        <v>88</v>
      </c>
      <c r="B769" s="793">
        <v>44693</v>
      </c>
      <c r="C769" s="794">
        <v>675</v>
      </c>
      <c r="D769" s="794">
        <v>105</v>
      </c>
      <c r="E769" s="794">
        <v>86</v>
      </c>
      <c r="F769" s="796">
        <f t="shared" si="12"/>
        <v>0.84444444444444444</v>
      </c>
    </row>
    <row r="770" spans="1:6">
      <c r="A770" s="322" t="s">
        <v>87</v>
      </c>
      <c r="B770" s="793">
        <v>44694</v>
      </c>
      <c r="C770" s="794">
        <v>690</v>
      </c>
      <c r="D770" s="794">
        <v>119</v>
      </c>
      <c r="E770" s="794">
        <v>96</v>
      </c>
      <c r="F770" s="796">
        <f t="shared" si="12"/>
        <v>0.827536231884058</v>
      </c>
    </row>
    <row r="771" spans="1:6">
      <c r="A771" s="322" t="s">
        <v>90</v>
      </c>
      <c r="B771" s="793">
        <v>44695</v>
      </c>
      <c r="C771" s="794">
        <v>467</v>
      </c>
      <c r="D771" s="794">
        <v>72</v>
      </c>
      <c r="E771" s="794">
        <v>59</v>
      </c>
      <c r="F771" s="796">
        <f t="shared" si="12"/>
        <v>0.84582441113490359</v>
      </c>
    </row>
    <row r="772" spans="1:6">
      <c r="A772" s="322" t="s">
        <v>91</v>
      </c>
      <c r="B772" s="793">
        <v>44696</v>
      </c>
      <c r="C772" s="794">
        <v>507</v>
      </c>
      <c r="D772" s="794">
        <v>51</v>
      </c>
      <c r="E772" s="794">
        <v>39</v>
      </c>
      <c r="F772" s="796">
        <f t="shared" si="12"/>
        <v>0.89940828402366868</v>
      </c>
    </row>
    <row r="773" spans="1:6">
      <c r="A773" s="322" t="s">
        <v>93</v>
      </c>
      <c r="B773" s="793">
        <v>44697</v>
      </c>
      <c r="C773" s="794">
        <v>569</v>
      </c>
      <c r="D773" s="794">
        <v>143</v>
      </c>
      <c r="E773" s="794">
        <v>112</v>
      </c>
      <c r="F773" s="796">
        <f t="shared" si="12"/>
        <v>0.74868189806678376</v>
      </c>
    </row>
    <row r="774" spans="1:6">
      <c r="A774" s="322" t="s">
        <v>94</v>
      </c>
      <c r="B774" s="793">
        <v>44698</v>
      </c>
      <c r="C774" s="794">
        <v>298</v>
      </c>
      <c r="D774" s="794">
        <v>52</v>
      </c>
      <c r="E774" s="794">
        <v>46</v>
      </c>
      <c r="F774" s="796">
        <f t="shared" si="12"/>
        <v>0.82550335570469802</v>
      </c>
    </row>
    <row r="775" spans="1:6">
      <c r="A775" s="322" t="s">
        <v>92</v>
      </c>
      <c r="B775" s="793">
        <v>44699</v>
      </c>
      <c r="C775" s="794">
        <v>2647</v>
      </c>
      <c r="D775" s="794">
        <v>603</v>
      </c>
      <c r="E775" s="794">
        <v>516</v>
      </c>
      <c r="F775" s="796">
        <f t="shared" si="12"/>
        <v>0.77219493766528147</v>
      </c>
    </row>
    <row r="776" spans="1:6">
      <c r="A776" s="322" t="s">
        <v>95</v>
      </c>
      <c r="B776" s="793">
        <v>44700</v>
      </c>
      <c r="C776" s="794">
        <v>2936</v>
      </c>
      <c r="D776" s="794">
        <v>657</v>
      </c>
      <c r="E776" s="794">
        <v>591</v>
      </c>
      <c r="F776" s="796">
        <f t="shared" si="12"/>
        <v>0.7762261580381471</v>
      </c>
    </row>
    <row r="777" spans="1:6">
      <c r="A777" s="322" t="s">
        <v>96</v>
      </c>
      <c r="B777" s="793">
        <v>44701</v>
      </c>
      <c r="C777" s="794">
        <v>318</v>
      </c>
      <c r="D777" s="794">
        <v>36</v>
      </c>
      <c r="E777" s="794">
        <v>29</v>
      </c>
      <c r="F777" s="796">
        <f t="shared" si="12"/>
        <v>0.8867924528301887</v>
      </c>
    </row>
    <row r="778" spans="1:6">
      <c r="A778" s="322" t="s">
        <v>98</v>
      </c>
      <c r="B778" s="793">
        <v>44702</v>
      </c>
      <c r="C778" s="794">
        <v>237</v>
      </c>
      <c r="D778" s="794">
        <v>24</v>
      </c>
      <c r="E778" s="794">
        <v>20</v>
      </c>
      <c r="F778" s="796">
        <f t="shared" si="12"/>
        <v>0.89873417721518989</v>
      </c>
    </row>
    <row r="779" spans="1:6">
      <c r="A779" s="322" t="s">
        <v>99</v>
      </c>
      <c r="B779" s="793">
        <v>44703</v>
      </c>
      <c r="C779" s="794">
        <v>65</v>
      </c>
      <c r="D779" s="794">
        <v>10</v>
      </c>
      <c r="E779" s="794">
        <v>9</v>
      </c>
      <c r="F779" s="796">
        <f t="shared" ref="F779:F842" si="13">1-(D779/C779)</f>
        <v>0.84615384615384615</v>
      </c>
    </row>
    <row r="780" spans="1:6">
      <c r="A780" s="322" t="s">
        <v>97</v>
      </c>
      <c r="B780" s="793">
        <v>44704</v>
      </c>
      <c r="C780" s="794">
        <v>3131</v>
      </c>
      <c r="D780" s="794">
        <v>730</v>
      </c>
      <c r="E780" s="794">
        <v>676</v>
      </c>
      <c r="F780" s="796">
        <f t="shared" si="13"/>
        <v>0.76684765250718623</v>
      </c>
    </row>
    <row r="781" spans="1:6">
      <c r="A781" s="322" t="s">
        <v>100</v>
      </c>
      <c r="B781" s="793">
        <v>44705</v>
      </c>
      <c r="C781" s="794">
        <v>1973</v>
      </c>
      <c r="D781" s="794">
        <v>405</v>
      </c>
      <c r="E781" s="794">
        <v>350</v>
      </c>
      <c r="F781" s="796">
        <f t="shared" si="13"/>
        <v>0.79472883933096805</v>
      </c>
    </row>
    <row r="782" spans="1:6">
      <c r="A782" s="322" t="s">
        <v>102</v>
      </c>
      <c r="B782" s="793">
        <v>44706</v>
      </c>
      <c r="C782" s="794">
        <v>185</v>
      </c>
      <c r="D782" s="794">
        <v>49</v>
      </c>
      <c r="E782" s="794">
        <v>41</v>
      </c>
      <c r="F782" s="796">
        <f t="shared" si="13"/>
        <v>0.73513513513513518</v>
      </c>
    </row>
    <row r="783" spans="1:6">
      <c r="A783" s="322" t="s">
        <v>101</v>
      </c>
      <c r="B783" s="793">
        <v>44707</v>
      </c>
      <c r="C783" s="794">
        <v>8181</v>
      </c>
      <c r="D783" s="794">
        <v>1974</v>
      </c>
      <c r="E783" s="794">
        <v>1732</v>
      </c>
      <c r="F783" s="796">
        <f t="shared" si="13"/>
        <v>0.75870920425375865</v>
      </c>
    </row>
    <row r="784" spans="1:6">
      <c r="A784" s="322" t="s">
        <v>103</v>
      </c>
      <c r="B784" s="793">
        <v>44708</v>
      </c>
      <c r="C784" s="794">
        <v>222</v>
      </c>
      <c r="D784" s="794">
        <v>26</v>
      </c>
      <c r="E784" s="794">
        <v>24</v>
      </c>
      <c r="F784" s="796">
        <f t="shared" si="13"/>
        <v>0.88288288288288286</v>
      </c>
    </row>
    <row r="785" spans="1:6">
      <c r="A785" s="322" t="s">
        <v>77</v>
      </c>
      <c r="B785" s="793">
        <v>44713</v>
      </c>
      <c r="C785" s="794">
        <v>160</v>
      </c>
      <c r="D785" s="794">
        <v>31</v>
      </c>
      <c r="E785" s="794">
        <v>25</v>
      </c>
      <c r="F785" s="796">
        <f t="shared" si="13"/>
        <v>0.80625000000000002</v>
      </c>
    </row>
    <row r="786" spans="1:6">
      <c r="A786" s="322" t="s">
        <v>78</v>
      </c>
      <c r="B786" s="793">
        <v>44714</v>
      </c>
      <c r="C786" s="794">
        <v>175</v>
      </c>
      <c r="D786" s="794">
        <v>35</v>
      </c>
      <c r="E786" s="794">
        <v>29</v>
      </c>
      <c r="F786" s="796">
        <f t="shared" si="13"/>
        <v>0.8</v>
      </c>
    </row>
    <row r="787" spans="1:6">
      <c r="A787" s="322" t="s">
        <v>80</v>
      </c>
      <c r="B787" s="793">
        <v>44715</v>
      </c>
      <c r="C787" s="794">
        <v>305</v>
      </c>
      <c r="D787" s="794">
        <v>48</v>
      </c>
      <c r="E787" s="794">
        <v>41</v>
      </c>
      <c r="F787" s="796">
        <f t="shared" si="13"/>
        <v>0.84262295081967209</v>
      </c>
    </row>
    <row r="788" spans="1:6">
      <c r="A788" s="322" t="s">
        <v>79</v>
      </c>
      <c r="B788" s="793">
        <v>44716</v>
      </c>
      <c r="C788" s="794">
        <v>327</v>
      </c>
      <c r="D788" s="794">
        <v>55</v>
      </c>
      <c r="E788" s="794">
        <v>41</v>
      </c>
      <c r="F788" s="796">
        <f t="shared" si="13"/>
        <v>0.83180428134556572</v>
      </c>
    </row>
    <row r="789" spans="1:6">
      <c r="A789" s="322" t="s">
        <v>81</v>
      </c>
      <c r="B789" s="793">
        <v>44717</v>
      </c>
      <c r="C789" s="794">
        <v>1039</v>
      </c>
      <c r="D789" s="794">
        <v>181</v>
      </c>
      <c r="E789" s="794">
        <v>161</v>
      </c>
      <c r="F789" s="796">
        <f t="shared" si="13"/>
        <v>0.82579403272377283</v>
      </c>
    </row>
    <row r="790" spans="1:6">
      <c r="A790" s="322" t="s">
        <v>82</v>
      </c>
      <c r="B790" s="793">
        <v>44718</v>
      </c>
      <c r="C790" s="794">
        <v>437</v>
      </c>
      <c r="D790" s="794">
        <v>108</v>
      </c>
      <c r="E790" s="794">
        <v>88</v>
      </c>
      <c r="F790" s="796">
        <f t="shared" si="13"/>
        <v>0.75286041189931352</v>
      </c>
    </row>
    <row r="791" spans="1:6">
      <c r="A791" s="322" t="s">
        <v>83</v>
      </c>
      <c r="B791" s="793">
        <v>44719</v>
      </c>
      <c r="C791" s="794">
        <v>846</v>
      </c>
      <c r="D791" s="794">
        <v>183</v>
      </c>
      <c r="E791" s="794">
        <v>158</v>
      </c>
      <c r="F791" s="796">
        <f t="shared" si="13"/>
        <v>0.78368794326241131</v>
      </c>
    </row>
    <row r="792" spans="1:6">
      <c r="A792" s="322" t="s">
        <v>84</v>
      </c>
      <c r="B792" s="793">
        <v>44720</v>
      </c>
      <c r="C792" s="794">
        <v>478</v>
      </c>
      <c r="D792" s="794">
        <v>150</v>
      </c>
      <c r="E792" s="794">
        <v>136</v>
      </c>
      <c r="F792" s="796">
        <f t="shared" si="13"/>
        <v>0.68619246861924688</v>
      </c>
    </row>
    <row r="793" spans="1:6">
      <c r="A793" s="322" t="s">
        <v>85</v>
      </c>
      <c r="B793" s="793">
        <v>44721</v>
      </c>
      <c r="C793" s="794">
        <v>750</v>
      </c>
      <c r="D793" s="794">
        <v>176</v>
      </c>
      <c r="E793" s="794">
        <v>152</v>
      </c>
      <c r="F793" s="796">
        <f t="shared" si="13"/>
        <v>0.76533333333333331</v>
      </c>
    </row>
    <row r="794" spans="1:6">
      <c r="A794" s="322" t="s">
        <v>86</v>
      </c>
      <c r="B794" s="793">
        <v>44722</v>
      </c>
      <c r="C794" s="794">
        <v>316</v>
      </c>
      <c r="D794" s="794">
        <v>56</v>
      </c>
      <c r="E794" s="794">
        <v>53</v>
      </c>
      <c r="F794" s="796">
        <f t="shared" si="13"/>
        <v>0.82278481012658222</v>
      </c>
    </row>
    <row r="795" spans="1:6">
      <c r="A795" s="322" t="s">
        <v>89</v>
      </c>
      <c r="B795" s="793">
        <v>44723</v>
      </c>
      <c r="C795" s="794">
        <v>1970</v>
      </c>
      <c r="D795" s="794">
        <v>552</v>
      </c>
      <c r="E795" s="794">
        <v>500</v>
      </c>
      <c r="F795" s="796">
        <f t="shared" si="13"/>
        <v>0.71979695431472079</v>
      </c>
    </row>
    <row r="796" spans="1:6">
      <c r="A796" s="322" t="s">
        <v>88</v>
      </c>
      <c r="B796" s="793">
        <v>44724</v>
      </c>
      <c r="C796" s="794">
        <v>681</v>
      </c>
      <c r="D796" s="794">
        <v>130</v>
      </c>
      <c r="E796" s="794">
        <v>108</v>
      </c>
      <c r="F796" s="796">
        <f t="shared" si="13"/>
        <v>0.80910425844346545</v>
      </c>
    </row>
    <row r="797" spans="1:6">
      <c r="A797" s="322" t="s">
        <v>87</v>
      </c>
      <c r="B797" s="793">
        <v>44725</v>
      </c>
      <c r="C797" s="794">
        <v>688</v>
      </c>
      <c r="D797" s="794">
        <v>133</v>
      </c>
      <c r="E797" s="794">
        <v>110</v>
      </c>
      <c r="F797" s="796">
        <f t="shared" si="13"/>
        <v>0.8066860465116279</v>
      </c>
    </row>
    <row r="798" spans="1:6">
      <c r="A798" s="322" t="s">
        <v>90</v>
      </c>
      <c r="B798" s="793">
        <v>44726</v>
      </c>
      <c r="C798" s="794">
        <v>472</v>
      </c>
      <c r="D798" s="794">
        <v>80</v>
      </c>
      <c r="E798" s="794">
        <v>67</v>
      </c>
      <c r="F798" s="796">
        <f t="shared" si="13"/>
        <v>0.83050847457627119</v>
      </c>
    </row>
    <row r="799" spans="1:6">
      <c r="A799" s="322" t="s">
        <v>91</v>
      </c>
      <c r="B799" s="793">
        <v>44727</v>
      </c>
      <c r="C799" s="794">
        <v>507</v>
      </c>
      <c r="D799" s="794">
        <v>57</v>
      </c>
      <c r="E799" s="794">
        <v>44</v>
      </c>
      <c r="F799" s="796">
        <f t="shared" si="13"/>
        <v>0.8875739644970414</v>
      </c>
    </row>
    <row r="800" spans="1:6">
      <c r="A800" s="322" t="s">
        <v>93</v>
      </c>
      <c r="B800" s="793">
        <v>44728</v>
      </c>
      <c r="C800" s="794">
        <v>561</v>
      </c>
      <c r="D800" s="794">
        <v>154</v>
      </c>
      <c r="E800" s="794">
        <v>124</v>
      </c>
      <c r="F800" s="796">
        <f t="shared" si="13"/>
        <v>0.72549019607843135</v>
      </c>
    </row>
    <row r="801" spans="1:6">
      <c r="A801" s="322" t="s">
        <v>94</v>
      </c>
      <c r="B801" s="793">
        <v>44729</v>
      </c>
      <c r="C801" s="794">
        <v>302</v>
      </c>
      <c r="D801" s="794">
        <v>56</v>
      </c>
      <c r="E801" s="794">
        <v>50</v>
      </c>
      <c r="F801" s="796">
        <f t="shared" si="13"/>
        <v>0.814569536423841</v>
      </c>
    </row>
    <row r="802" spans="1:6">
      <c r="A802" s="322" t="s">
        <v>92</v>
      </c>
      <c r="B802" s="793">
        <v>44730</v>
      </c>
      <c r="C802" s="794">
        <v>2673</v>
      </c>
      <c r="D802" s="794">
        <v>672</v>
      </c>
      <c r="E802" s="794">
        <v>579</v>
      </c>
      <c r="F802" s="796">
        <f t="shared" si="13"/>
        <v>0.7485970819304153</v>
      </c>
    </row>
    <row r="803" spans="1:6">
      <c r="A803" s="322" t="s">
        <v>95</v>
      </c>
      <c r="B803" s="793">
        <v>44731</v>
      </c>
      <c r="C803" s="794">
        <v>2951</v>
      </c>
      <c r="D803" s="794">
        <v>708</v>
      </c>
      <c r="E803" s="794">
        <v>639</v>
      </c>
      <c r="F803" s="796">
        <f t="shared" si="13"/>
        <v>0.7600813283632667</v>
      </c>
    </row>
    <row r="804" spans="1:6">
      <c r="A804" s="322" t="s">
        <v>96</v>
      </c>
      <c r="B804" s="793">
        <v>44732</v>
      </c>
      <c r="C804" s="794">
        <v>320</v>
      </c>
      <c r="D804" s="794">
        <v>41</v>
      </c>
      <c r="E804" s="794">
        <v>35</v>
      </c>
      <c r="F804" s="796">
        <f t="shared" si="13"/>
        <v>0.87187499999999996</v>
      </c>
    </row>
    <row r="805" spans="1:6">
      <c r="A805" s="322" t="s">
        <v>98</v>
      </c>
      <c r="B805" s="793">
        <v>44733</v>
      </c>
      <c r="C805" s="794">
        <v>238</v>
      </c>
      <c r="D805" s="794">
        <v>32</v>
      </c>
      <c r="E805" s="794">
        <v>27</v>
      </c>
      <c r="F805" s="796">
        <f t="shared" si="13"/>
        <v>0.86554621848739499</v>
      </c>
    </row>
    <row r="806" spans="1:6">
      <c r="A806" s="322" t="s">
        <v>99</v>
      </c>
      <c r="B806" s="793">
        <v>44734</v>
      </c>
      <c r="C806" s="794">
        <v>66</v>
      </c>
      <c r="D806" s="794">
        <v>10</v>
      </c>
      <c r="E806" s="794">
        <v>9</v>
      </c>
      <c r="F806" s="796">
        <f t="shared" si="13"/>
        <v>0.84848484848484851</v>
      </c>
    </row>
    <row r="807" spans="1:6">
      <c r="A807" s="322" t="s">
        <v>97</v>
      </c>
      <c r="B807" s="793">
        <v>44735</v>
      </c>
      <c r="C807" s="794">
        <v>3146</v>
      </c>
      <c r="D807" s="794">
        <v>813</v>
      </c>
      <c r="E807" s="794">
        <v>759</v>
      </c>
      <c r="F807" s="796">
        <f t="shared" si="13"/>
        <v>0.74157660521296886</v>
      </c>
    </row>
    <row r="808" spans="1:6">
      <c r="A808" s="322" t="s">
        <v>100</v>
      </c>
      <c r="B808" s="793">
        <v>44736</v>
      </c>
      <c r="C808" s="794">
        <v>1997</v>
      </c>
      <c r="D808" s="794">
        <v>464</v>
      </c>
      <c r="E808" s="794">
        <v>407</v>
      </c>
      <c r="F808" s="796">
        <f t="shared" si="13"/>
        <v>0.76765147721582372</v>
      </c>
    </row>
    <row r="809" spans="1:6">
      <c r="A809" s="322" t="s">
        <v>102</v>
      </c>
      <c r="B809" s="793">
        <v>44737</v>
      </c>
      <c r="C809" s="794">
        <v>188</v>
      </c>
      <c r="D809" s="794">
        <v>57</v>
      </c>
      <c r="E809" s="794">
        <v>49</v>
      </c>
      <c r="F809" s="796">
        <f t="shared" si="13"/>
        <v>0.69680851063829785</v>
      </c>
    </row>
    <row r="810" spans="1:6">
      <c r="A810" s="322" t="s">
        <v>101</v>
      </c>
      <c r="B810" s="793">
        <v>44738</v>
      </c>
      <c r="C810" s="794">
        <v>8249</v>
      </c>
      <c r="D810" s="794">
        <v>2213</v>
      </c>
      <c r="E810" s="794">
        <v>1957</v>
      </c>
      <c r="F810" s="796">
        <f t="shared" si="13"/>
        <v>0.73172505758273731</v>
      </c>
    </row>
    <row r="811" spans="1:6">
      <c r="A811" s="322" t="s">
        <v>103</v>
      </c>
      <c r="B811" s="793">
        <v>44739</v>
      </c>
      <c r="C811" s="794">
        <v>223</v>
      </c>
      <c r="D811" s="794">
        <v>30</v>
      </c>
      <c r="E811" s="794">
        <v>27</v>
      </c>
      <c r="F811" s="796">
        <f t="shared" si="13"/>
        <v>0.86547085201793728</v>
      </c>
    </row>
    <row r="812" spans="1:6">
      <c r="A812" s="322" t="s">
        <v>77</v>
      </c>
      <c r="B812" s="793">
        <v>44743</v>
      </c>
      <c r="C812" s="794">
        <f>'Relatórios - SICCAU e IGEO'!I3</f>
        <v>152</v>
      </c>
      <c r="D812" s="794">
        <f>'Anuid PJ'!G5</f>
        <v>53</v>
      </c>
      <c r="E812" s="794">
        <f>'Anuid PJ'!H5</f>
        <v>36</v>
      </c>
      <c r="F812" s="796">
        <f t="shared" si="13"/>
        <v>0.65131578947368429</v>
      </c>
    </row>
    <row r="813" spans="1:6">
      <c r="A813" s="322" t="s">
        <v>78</v>
      </c>
      <c r="B813" s="793">
        <v>44744</v>
      </c>
      <c r="C813" s="794">
        <f>'Relatórios - SICCAU e IGEO'!I4</f>
        <v>170</v>
      </c>
      <c r="D813" s="794">
        <f>'Anuid PJ'!G6</f>
        <v>64</v>
      </c>
      <c r="E813" s="794">
        <f>'Anuid PJ'!H6</f>
        <v>56</v>
      </c>
      <c r="F813" s="796">
        <f t="shared" si="13"/>
        <v>0.62352941176470589</v>
      </c>
    </row>
    <row r="814" spans="1:6">
      <c r="A814" s="322" t="s">
        <v>80</v>
      </c>
      <c r="B814" s="793">
        <v>44745</v>
      </c>
      <c r="C814" s="794">
        <f>'Relatórios - SICCAU e IGEO'!I5</f>
        <v>261</v>
      </c>
      <c r="D814" s="794">
        <f>'Anuid PJ'!G7</f>
        <v>83</v>
      </c>
      <c r="E814" s="794">
        <f>'Anuid PJ'!H7</f>
        <v>60</v>
      </c>
      <c r="F814" s="796">
        <f t="shared" si="13"/>
        <v>0.68199233716475094</v>
      </c>
    </row>
    <row r="815" spans="1:6">
      <c r="A815" s="322" t="s">
        <v>79</v>
      </c>
      <c r="B815" s="793">
        <v>44746</v>
      </c>
      <c r="C815" s="794">
        <f>'Relatórios - SICCAU e IGEO'!I6</f>
        <v>307</v>
      </c>
      <c r="D815" s="794">
        <f>'Anuid PJ'!G8</f>
        <v>82</v>
      </c>
      <c r="E815" s="794">
        <f>'Anuid PJ'!H8</f>
        <v>59</v>
      </c>
      <c r="F815" s="796">
        <f t="shared" si="13"/>
        <v>0.73289902280130292</v>
      </c>
    </row>
    <row r="816" spans="1:6">
      <c r="A816" s="322" t="s">
        <v>81</v>
      </c>
      <c r="B816" s="793">
        <v>44747</v>
      </c>
      <c r="C816" s="794">
        <f>'Relatórios - SICCAU e IGEO'!I7</f>
        <v>1022</v>
      </c>
      <c r="D816" s="794">
        <f>'Anuid PJ'!G9</f>
        <v>357</v>
      </c>
      <c r="E816" s="794">
        <f>'Anuid PJ'!H9</f>
        <v>280</v>
      </c>
      <c r="F816" s="796">
        <f t="shared" si="13"/>
        <v>0.65068493150684925</v>
      </c>
    </row>
    <row r="817" spans="1:6">
      <c r="A817" s="322" t="s">
        <v>82</v>
      </c>
      <c r="B817" s="793">
        <v>44748</v>
      </c>
      <c r="C817" s="794">
        <f>'Relatórios - SICCAU e IGEO'!I8</f>
        <v>452</v>
      </c>
      <c r="D817" s="794">
        <f>'Anuid PJ'!G10</f>
        <v>226</v>
      </c>
      <c r="E817" s="794">
        <f>'Anuid PJ'!H10</f>
        <v>181</v>
      </c>
      <c r="F817" s="796">
        <f t="shared" si="13"/>
        <v>0.5</v>
      </c>
    </row>
    <row r="818" spans="1:6">
      <c r="A818" s="322" t="s">
        <v>83</v>
      </c>
      <c r="B818" s="793">
        <v>44749</v>
      </c>
      <c r="C818" s="794">
        <f>'Relatórios - SICCAU e IGEO'!I9</f>
        <v>805</v>
      </c>
      <c r="D818" s="794">
        <f>'Anuid PJ'!G11</f>
        <v>379</v>
      </c>
      <c r="E818" s="794">
        <f>'Anuid PJ'!H11</f>
        <v>308</v>
      </c>
      <c r="F818" s="796">
        <f t="shared" si="13"/>
        <v>0.52919254658385095</v>
      </c>
    </row>
    <row r="819" spans="1:6">
      <c r="A819" s="322" t="s">
        <v>84</v>
      </c>
      <c r="B819" s="793">
        <v>44750</v>
      </c>
      <c r="C819" s="794">
        <f>'Relatórios - SICCAU e IGEO'!I10</f>
        <v>478</v>
      </c>
      <c r="D819" s="794">
        <f>'Anuid PJ'!G12</f>
        <v>313</v>
      </c>
      <c r="E819" s="794">
        <f>'Anuid PJ'!H12</f>
        <v>254</v>
      </c>
      <c r="F819" s="796">
        <f t="shared" si="13"/>
        <v>0.34518828451882844</v>
      </c>
    </row>
    <row r="820" spans="1:6">
      <c r="A820" s="322" t="s">
        <v>85</v>
      </c>
      <c r="B820" s="793">
        <v>44751</v>
      </c>
      <c r="C820" s="794">
        <f>'Relatórios - SICCAU e IGEO'!I11</f>
        <v>718</v>
      </c>
      <c r="D820" s="794">
        <f>'Anuid PJ'!G13</f>
        <v>301</v>
      </c>
      <c r="E820" s="794">
        <f>'Anuid PJ'!H13</f>
        <v>246</v>
      </c>
      <c r="F820" s="796">
        <f t="shared" si="13"/>
        <v>0.58077994428969359</v>
      </c>
    </row>
    <row r="821" spans="1:6">
      <c r="A821" s="322" t="s">
        <v>86</v>
      </c>
      <c r="B821" s="793">
        <v>44752</v>
      </c>
      <c r="C821" s="794">
        <f>'Relatórios - SICCAU e IGEO'!I12</f>
        <v>300</v>
      </c>
      <c r="D821" s="794">
        <f>'Anuid PJ'!G14</f>
        <v>96</v>
      </c>
      <c r="E821" s="794">
        <f>'Anuid PJ'!H14</f>
        <v>76</v>
      </c>
      <c r="F821" s="796">
        <f t="shared" si="13"/>
        <v>0.67999999999999994</v>
      </c>
    </row>
    <row r="822" spans="1:6">
      <c r="A822" s="322" t="s">
        <v>89</v>
      </c>
      <c r="B822" s="793">
        <v>44753</v>
      </c>
      <c r="C822" s="794">
        <f>'Relatórios - SICCAU e IGEO'!I13</f>
        <v>1891</v>
      </c>
      <c r="D822" s="794">
        <f>'Anuid PJ'!G15</f>
        <v>1071</v>
      </c>
      <c r="E822" s="794">
        <f>'Anuid PJ'!H15</f>
        <v>893</v>
      </c>
      <c r="F822" s="796">
        <f t="shared" si="13"/>
        <v>0.43363299841353786</v>
      </c>
    </row>
    <row r="823" spans="1:6">
      <c r="A823" s="322" t="s">
        <v>88</v>
      </c>
      <c r="B823" s="793">
        <v>44754</v>
      </c>
      <c r="C823" s="794">
        <f>'Relatórios - SICCAU e IGEO'!I14</f>
        <v>665</v>
      </c>
      <c r="D823" s="794">
        <f>'Anuid PJ'!G16</f>
        <v>232</v>
      </c>
      <c r="E823" s="794">
        <f>'Anuid PJ'!H16</f>
        <v>183</v>
      </c>
      <c r="F823" s="796">
        <f t="shared" si="13"/>
        <v>0.65112781954887211</v>
      </c>
    </row>
    <row r="824" spans="1:6">
      <c r="A824" s="322" t="s">
        <v>87</v>
      </c>
      <c r="B824" s="793">
        <v>44755</v>
      </c>
      <c r="C824" s="794">
        <f>'Relatórios - SICCAU e IGEO'!I15</f>
        <v>661</v>
      </c>
      <c r="D824" s="794">
        <f>'Anuid PJ'!G17</f>
        <v>307</v>
      </c>
      <c r="E824" s="794">
        <f>'Anuid PJ'!H17</f>
        <v>232</v>
      </c>
      <c r="F824" s="796">
        <f t="shared" si="13"/>
        <v>0.53555219364599094</v>
      </c>
    </row>
    <row r="825" spans="1:6">
      <c r="A825" s="322" t="s">
        <v>90</v>
      </c>
      <c r="B825" s="793">
        <v>44756</v>
      </c>
      <c r="C825" s="794">
        <f>'Relatórios - SICCAU e IGEO'!I16</f>
        <v>452</v>
      </c>
      <c r="D825" s="794">
        <f>'Anuid PJ'!G18</f>
        <v>150</v>
      </c>
      <c r="E825" s="794">
        <f>'Anuid PJ'!H18</f>
        <v>114</v>
      </c>
      <c r="F825" s="796">
        <f t="shared" si="13"/>
        <v>0.66814159292035402</v>
      </c>
    </row>
    <row r="826" spans="1:6">
      <c r="A826" s="322" t="s">
        <v>91</v>
      </c>
      <c r="B826" s="793">
        <v>44757</v>
      </c>
      <c r="C826" s="794">
        <f>'Relatórios - SICCAU e IGEO'!I17</f>
        <v>509</v>
      </c>
      <c r="D826" s="794">
        <f>'Anuid PJ'!G19</f>
        <v>116</v>
      </c>
      <c r="E826" s="794">
        <f>'Anuid PJ'!H19</f>
        <v>89</v>
      </c>
      <c r="F826" s="796">
        <f t="shared" si="13"/>
        <v>0.77210216110019647</v>
      </c>
    </row>
    <row r="827" spans="1:6">
      <c r="A827" s="322" t="s">
        <v>93</v>
      </c>
      <c r="B827" s="793">
        <v>44758</v>
      </c>
      <c r="C827" s="794">
        <f>'Relatórios - SICCAU e IGEO'!I18</f>
        <v>554</v>
      </c>
      <c r="D827" s="794">
        <f>'Anuid PJ'!G20</f>
        <v>294</v>
      </c>
      <c r="E827" s="794">
        <f>'Anuid PJ'!H20</f>
        <v>220</v>
      </c>
      <c r="F827" s="796">
        <f t="shared" si="13"/>
        <v>0.46931407942238268</v>
      </c>
    </row>
    <row r="828" spans="1:6">
      <c r="A828" s="322" t="s">
        <v>94</v>
      </c>
      <c r="B828" s="793">
        <v>44759</v>
      </c>
      <c r="C828" s="794">
        <f>'Relatórios - SICCAU e IGEO'!I19</f>
        <v>290</v>
      </c>
      <c r="D828" s="794">
        <f>'Anuid PJ'!G21</f>
        <v>121</v>
      </c>
      <c r="E828" s="794">
        <f>'Anuid PJ'!H21</f>
        <v>91</v>
      </c>
      <c r="F828" s="796">
        <f t="shared" si="13"/>
        <v>0.58275862068965512</v>
      </c>
    </row>
    <row r="829" spans="1:6">
      <c r="A829" s="322" t="s">
        <v>92</v>
      </c>
      <c r="B829" s="793">
        <v>44760</v>
      </c>
      <c r="C829" s="794">
        <f>'Relatórios - SICCAU e IGEO'!I20</f>
        <v>2584</v>
      </c>
      <c r="D829" s="794">
        <f>'Anuid PJ'!G22</f>
        <v>1556</v>
      </c>
      <c r="E829" s="794">
        <f>'Anuid PJ'!H22</f>
        <v>1183</v>
      </c>
      <c r="F829" s="796">
        <f t="shared" si="13"/>
        <v>0.39783281733746134</v>
      </c>
    </row>
    <row r="830" spans="1:6">
      <c r="A830" s="322" t="s">
        <v>95</v>
      </c>
      <c r="B830" s="793">
        <v>44761</v>
      </c>
      <c r="C830" s="794">
        <f>'Relatórios - SICCAU e IGEO'!I21</f>
        <v>2896</v>
      </c>
      <c r="D830" s="794">
        <f>'Anuid PJ'!G23</f>
        <v>1293</v>
      </c>
      <c r="E830" s="794">
        <f>'Anuid PJ'!H23</f>
        <v>1007</v>
      </c>
      <c r="F830" s="796">
        <f t="shared" si="13"/>
        <v>0.55352209944751385</v>
      </c>
    </row>
    <row r="831" spans="1:6">
      <c r="A831" s="322" t="s">
        <v>96</v>
      </c>
      <c r="B831" s="793">
        <v>44762</v>
      </c>
      <c r="C831" s="794">
        <f>'Relatórios - SICCAU e IGEO'!I22</f>
        <v>312</v>
      </c>
      <c r="D831" s="794">
        <f>'Anuid PJ'!G24</f>
        <v>94</v>
      </c>
      <c r="E831" s="794">
        <f>'Anuid PJ'!H24</f>
        <v>74</v>
      </c>
      <c r="F831" s="796">
        <f t="shared" si="13"/>
        <v>0.69871794871794868</v>
      </c>
    </row>
    <row r="832" spans="1:6">
      <c r="A832" s="322" t="s">
        <v>98</v>
      </c>
      <c r="B832" s="793">
        <v>44763</v>
      </c>
      <c r="C832" s="794">
        <f>'Relatórios - SICCAU e IGEO'!I23</f>
        <v>233</v>
      </c>
      <c r="D832" s="794">
        <f>'Anuid PJ'!G25</f>
        <v>74</v>
      </c>
      <c r="E832" s="794">
        <f>'Anuid PJ'!H25</f>
        <v>53</v>
      </c>
      <c r="F832" s="796">
        <f t="shared" si="13"/>
        <v>0.68240343347639487</v>
      </c>
    </row>
    <row r="833" spans="1:6">
      <c r="A833" s="322" t="s">
        <v>99</v>
      </c>
      <c r="B833" s="793">
        <v>44764</v>
      </c>
      <c r="C833" s="794">
        <f>'Relatórios - SICCAU e IGEO'!I24</f>
        <v>63</v>
      </c>
      <c r="D833" s="794">
        <f>'Anuid PJ'!G26</f>
        <v>15</v>
      </c>
      <c r="E833" s="794">
        <f>'Anuid PJ'!H26</f>
        <v>12</v>
      </c>
      <c r="F833" s="796">
        <f t="shared" si="13"/>
        <v>0.76190476190476186</v>
      </c>
    </row>
    <row r="834" spans="1:6">
      <c r="A834" s="322" t="s">
        <v>97</v>
      </c>
      <c r="B834" s="793">
        <v>44765</v>
      </c>
      <c r="C834" s="794">
        <f>'Relatórios - SICCAU e IGEO'!I25</f>
        <v>2995</v>
      </c>
      <c r="D834" s="794">
        <f>'Anuid PJ'!G27</f>
        <v>1725</v>
      </c>
      <c r="E834" s="794">
        <f>'Anuid PJ'!H27</f>
        <v>1356</v>
      </c>
      <c r="F834" s="796">
        <f t="shared" si="13"/>
        <v>0.42404006677796324</v>
      </c>
    </row>
    <row r="835" spans="1:6">
      <c r="A835" s="322" t="s">
        <v>100</v>
      </c>
      <c r="B835" s="793">
        <v>44766</v>
      </c>
      <c r="C835" s="794">
        <f>'Relatórios - SICCAU e IGEO'!I26</f>
        <v>1906</v>
      </c>
      <c r="D835" s="794">
        <f>'Anuid PJ'!G28</f>
        <v>1048</v>
      </c>
      <c r="E835" s="794">
        <f>'Anuid PJ'!H28</f>
        <v>832</v>
      </c>
      <c r="F835" s="796">
        <f t="shared" si="13"/>
        <v>0.45015739769150054</v>
      </c>
    </row>
    <row r="836" spans="1:6">
      <c r="A836" s="322" t="s">
        <v>102</v>
      </c>
      <c r="B836" s="793">
        <v>44767</v>
      </c>
      <c r="C836" s="794">
        <f>'Relatórios - SICCAU e IGEO'!I27</f>
        <v>180</v>
      </c>
      <c r="D836" s="794">
        <f>'Anuid PJ'!G29</f>
        <v>93</v>
      </c>
      <c r="E836" s="794">
        <f>'Anuid PJ'!H29</f>
        <v>74</v>
      </c>
      <c r="F836" s="796">
        <f t="shared" si="13"/>
        <v>0.48333333333333328</v>
      </c>
    </row>
    <row r="837" spans="1:6">
      <c r="A837" s="322" t="s">
        <v>101</v>
      </c>
      <c r="B837" s="793">
        <v>44768</v>
      </c>
      <c r="C837" s="794">
        <f>'Relatórios - SICCAU e IGEO'!I28</f>
        <v>8045</v>
      </c>
      <c r="D837" s="794">
        <f>'Anuid PJ'!G30</f>
        <v>4432</v>
      </c>
      <c r="E837" s="794">
        <f>'Anuid PJ'!H30</f>
        <v>3425</v>
      </c>
      <c r="F837" s="796">
        <f t="shared" si="13"/>
        <v>0.44909881914232441</v>
      </c>
    </row>
    <row r="838" spans="1:6">
      <c r="A838" s="322" t="s">
        <v>103</v>
      </c>
      <c r="B838" s="793">
        <v>44769</v>
      </c>
      <c r="C838" s="794">
        <f>'Relatórios - SICCAU e IGEO'!I29</f>
        <v>217</v>
      </c>
      <c r="D838" s="794">
        <f>'Anuid PJ'!G31</f>
        <v>65</v>
      </c>
      <c r="E838" s="794">
        <f>'Anuid PJ'!H31</f>
        <v>54</v>
      </c>
      <c r="F838" s="796">
        <f t="shared" si="13"/>
        <v>0.70046082949308763</v>
      </c>
    </row>
    <row r="839" spans="1:6">
      <c r="A839" s="322" t="s">
        <v>77</v>
      </c>
      <c r="B839" s="793">
        <v>44774</v>
      </c>
      <c r="C839" s="794">
        <v>166</v>
      </c>
      <c r="D839" s="794">
        <v>53</v>
      </c>
      <c r="E839" s="794">
        <v>35</v>
      </c>
      <c r="F839" s="796">
        <f t="shared" si="13"/>
        <v>0.68072289156626509</v>
      </c>
    </row>
    <row r="840" spans="1:6">
      <c r="A840" s="322" t="s">
        <v>78</v>
      </c>
      <c r="B840" s="793">
        <v>44775</v>
      </c>
      <c r="C840" s="794">
        <v>179</v>
      </c>
      <c r="D840" s="794">
        <v>61</v>
      </c>
      <c r="E840" s="794">
        <v>53</v>
      </c>
      <c r="F840" s="796">
        <f t="shared" si="13"/>
        <v>0.65921787709497215</v>
      </c>
    </row>
    <row r="841" spans="1:6">
      <c r="A841" s="322" t="s">
        <v>80</v>
      </c>
      <c r="B841" s="793">
        <v>44776</v>
      </c>
      <c r="C841" s="794">
        <v>310</v>
      </c>
      <c r="D841" s="794">
        <v>80</v>
      </c>
      <c r="E841" s="794">
        <v>59</v>
      </c>
      <c r="F841" s="796">
        <f t="shared" si="13"/>
        <v>0.74193548387096775</v>
      </c>
    </row>
    <row r="842" spans="1:6">
      <c r="A842" s="322" t="s">
        <v>79</v>
      </c>
      <c r="B842" s="793">
        <v>44777</v>
      </c>
      <c r="C842" s="794">
        <v>332</v>
      </c>
      <c r="D842" s="794">
        <v>73</v>
      </c>
      <c r="E842" s="794">
        <v>54</v>
      </c>
      <c r="F842" s="796">
        <f t="shared" si="13"/>
        <v>0.78012048192771088</v>
      </c>
    </row>
    <row r="843" spans="1:6">
      <c r="A843" s="322" t="s">
        <v>81</v>
      </c>
      <c r="B843" s="793">
        <v>44778</v>
      </c>
      <c r="C843" s="794">
        <v>1064</v>
      </c>
      <c r="D843" s="794">
        <v>334</v>
      </c>
      <c r="E843" s="794">
        <v>265</v>
      </c>
      <c r="F843" s="796">
        <f t="shared" ref="F843:F892" si="14">1-(D843/C843)</f>
        <v>0.68609022556390975</v>
      </c>
    </row>
    <row r="844" spans="1:6">
      <c r="A844" s="322" t="s">
        <v>82</v>
      </c>
      <c r="B844" s="793">
        <v>44779</v>
      </c>
      <c r="C844" s="794">
        <v>464</v>
      </c>
      <c r="D844" s="794">
        <v>213</v>
      </c>
      <c r="E844" s="794">
        <v>172</v>
      </c>
      <c r="F844" s="796">
        <f t="shared" si="14"/>
        <v>0.54094827586206895</v>
      </c>
    </row>
    <row r="845" spans="1:6">
      <c r="A845" s="322" t="s">
        <v>83</v>
      </c>
      <c r="B845" s="793">
        <v>44780</v>
      </c>
      <c r="C845" s="794">
        <v>826</v>
      </c>
      <c r="D845" s="794">
        <v>350</v>
      </c>
      <c r="E845" s="794">
        <v>292</v>
      </c>
      <c r="F845" s="796">
        <f t="shared" si="14"/>
        <v>0.57627118644067798</v>
      </c>
    </row>
    <row r="846" spans="1:6">
      <c r="A846" s="322" t="s">
        <v>84</v>
      </c>
      <c r="B846" s="793">
        <v>44781</v>
      </c>
      <c r="C846" s="794">
        <v>488</v>
      </c>
      <c r="D846" s="794">
        <v>298</v>
      </c>
      <c r="E846" s="794">
        <v>243</v>
      </c>
      <c r="F846" s="796">
        <f t="shared" si="14"/>
        <v>0.38934426229508201</v>
      </c>
    </row>
    <row r="847" spans="1:6">
      <c r="A847" s="322" t="s">
        <v>85</v>
      </c>
      <c r="B847" s="793">
        <v>44782</v>
      </c>
      <c r="C847" s="794">
        <v>769</v>
      </c>
      <c r="D847" s="794">
        <v>285</v>
      </c>
      <c r="E847" s="794">
        <v>233</v>
      </c>
      <c r="F847" s="796">
        <f t="shared" si="14"/>
        <v>0.62938881664499347</v>
      </c>
    </row>
    <row r="848" spans="1:6">
      <c r="A848" s="322" t="s">
        <v>86</v>
      </c>
      <c r="B848" s="793">
        <v>44783</v>
      </c>
      <c r="C848" s="794">
        <v>322</v>
      </c>
      <c r="D848" s="794">
        <v>88</v>
      </c>
      <c r="E848" s="794">
        <v>72</v>
      </c>
      <c r="F848" s="796">
        <f t="shared" si="14"/>
        <v>0.72670807453416142</v>
      </c>
    </row>
    <row r="849" spans="1:6">
      <c r="A849" s="322" t="s">
        <v>89</v>
      </c>
      <c r="B849" s="793">
        <v>44784</v>
      </c>
      <c r="C849" s="794">
        <v>2018</v>
      </c>
      <c r="D849" s="794">
        <v>1021</v>
      </c>
      <c r="E849" s="794">
        <v>858</v>
      </c>
      <c r="F849" s="796">
        <f t="shared" si="14"/>
        <v>0.49405351833498512</v>
      </c>
    </row>
    <row r="850" spans="1:6">
      <c r="A850" s="322" t="s">
        <v>88</v>
      </c>
      <c r="B850" s="793">
        <v>44785</v>
      </c>
      <c r="C850" s="794">
        <v>692</v>
      </c>
      <c r="D850" s="794">
        <v>212</v>
      </c>
      <c r="E850" s="794">
        <v>166</v>
      </c>
      <c r="F850" s="796">
        <f t="shared" si="14"/>
        <v>0.69364161849710981</v>
      </c>
    </row>
    <row r="851" spans="1:6">
      <c r="A851" s="322" t="s">
        <v>87</v>
      </c>
      <c r="B851" s="793">
        <v>44786</v>
      </c>
      <c r="C851" s="794">
        <v>705</v>
      </c>
      <c r="D851" s="794">
        <v>257</v>
      </c>
      <c r="E851" s="794">
        <v>202</v>
      </c>
      <c r="F851" s="796">
        <f t="shared" si="14"/>
        <v>0.63546099290780145</v>
      </c>
    </row>
    <row r="852" spans="1:6">
      <c r="A852" s="322" t="s">
        <v>90</v>
      </c>
      <c r="B852" s="793">
        <v>44787</v>
      </c>
      <c r="C852" s="794">
        <v>483</v>
      </c>
      <c r="D852" s="794">
        <v>138</v>
      </c>
      <c r="E852" s="794">
        <v>104</v>
      </c>
      <c r="F852" s="796">
        <f t="shared" si="14"/>
        <v>0.7142857142857143</v>
      </c>
    </row>
    <row r="853" spans="1:6">
      <c r="A853" s="322" t="s">
        <v>91</v>
      </c>
      <c r="B853" s="793">
        <v>44788</v>
      </c>
      <c r="C853" s="794">
        <v>510</v>
      </c>
      <c r="D853" s="794">
        <v>103</v>
      </c>
      <c r="E853" s="794">
        <v>77</v>
      </c>
      <c r="F853" s="796">
        <f t="shared" si="14"/>
        <v>0.79803921568627456</v>
      </c>
    </row>
    <row r="854" spans="1:6">
      <c r="A854" s="322" t="s">
        <v>93</v>
      </c>
      <c r="B854" s="793">
        <v>44789</v>
      </c>
      <c r="C854" s="794">
        <v>587</v>
      </c>
      <c r="D854" s="794">
        <v>283</v>
      </c>
      <c r="E854" s="794">
        <v>214</v>
      </c>
      <c r="F854" s="796">
        <f t="shared" si="14"/>
        <v>0.51788756388415669</v>
      </c>
    </row>
    <row r="855" spans="1:6">
      <c r="A855" s="322" t="s">
        <v>94</v>
      </c>
      <c r="B855" s="793">
        <v>44790</v>
      </c>
      <c r="C855" s="794">
        <v>315</v>
      </c>
      <c r="D855" s="794">
        <v>109</v>
      </c>
      <c r="E855" s="794">
        <v>85</v>
      </c>
      <c r="F855" s="796">
        <f t="shared" si="14"/>
        <v>0.65396825396825398</v>
      </c>
    </row>
    <row r="856" spans="1:6">
      <c r="A856" s="322" t="s">
        <v>92</v>
      </c>
      <c r="B856" s="793">
        <v>44791</v>
      </c>
      <c r="C856" s="794">
        <v>2797</v>
      </c>
      <c r="D856" s="794">
        <v>1467</v>
      </c>
      <c r="E856" s="794">
        <v>1143</v>
      </c>
      <c r="F856" s="796">
        <f t="shared" si="14"/>
        <v>0.47550947443689673</v>
      </c>
    </row>
    <row r="857" spans="1:6">
      <c r="A857" s="322" t="s">
        <v>95</v>
      </c>
      <c r="B857" s="793">
        <v>44792</v>
      </c>
      <c r="C857" s="794">
        <v>2985</v>
      </c>
      <c r="D857" s="794">
        <v>1230</v>
      </c>
      <c r="E857" s="794">
        <v>923</v>
      </c>
      <c r="F857" s="796">
        <f t="shared" si="14"/>
        <v>0.5879396984924623</v>
      </c>
    </row>
    <row r="858" spans="1:6">
      <c r="A858" s="322" t="s">
        <v>96</v>
      </c>
      <c r="B858" s="793">
        <v>44793</v>
      </c>
      <c r="C858" s="794">
        <v>324</v>
      </c>
      <c r="D858" s="794">
        <v>83</v>
      </c>
      <c r="E858" s="794">
        <v>66</v>
      </c>
      <c r="F858" s="796">
        <f t="shared" si="14"/>
        <v>0.74382716049382713</v>
      </c>
    </row>
    <row r="859" spans="1:6">
      <c r="A859" s="322" t="s">
        <v>98</v>
      </c>
      <c r="B859" s="793">
        <v>44794</v>
      </c>
      <c r="C859" s="794">
        <v>244</v>
      </c>
      <c r="D859" s="794">
        <v>61</v>
      </c>
      <c r="E859" s="794">
        <v>48</v>
      </c>
      <c r="F859" s="796">
        <f t="shared" si="14"/>
        <v>0.75</v>
      </c>
    </row>
    <row r="860" spans="1:6">
      <c r="A860" s="322" t="s">
        <v>99</v>
      </c>
      <c r="B860" s="793">
        <v>44795</v>
      </c>
      <c r="C860" s="794">
        <v>67</v>
      </c>
      <c r="D860" s="794">
        <v>15</v>
      </c>
      <c r="E860" s="794">
        <v>12</v>
      </c>
      <c r="F860" s="796">
        <f t="shared" si="14"/>
        <v>0.77611940298507465</v>
      </c>
    </row>
    <row r="861" spans="1:6">
      <c r="A861" s="322" t="s">
        <v>97</v>
      </c>
      <c r="B861" s="793">
        <v>44796</v>
      </c>
      <c r="C861" s="794">
        <v>3275</v>
      </c>
      <c r="D861" s="794">
        <v>1644</v>
      </c>
      <c r="E861" s="794">
        <v>1306</v>
      </c>
      <c r="F861" s="796">
        <f t="shared" si="14"/>
        <v>0.49801526717557254</v>
      </c>
    </row>
    <row r="862" spans="1:6">
      <c r="A862" s="322" t="s">
        <v>100</v>
      </c>
      <c r="B862" s="793">
        <v>44797</v>
      </c>
      <c r="C862" s="794">
        <v>2079</v>
      </c>
      <c r="D862" s="794">
        <v>956</v>
      </c>
      <c r="E862" s="794">
        <v>753</v>
      </c>
      <c r="F862" s="796">
        <f t="shared" si="14"/>
        <v>0.54016354016354018</v>
      </c>
    </row>
    <row r="863" spans="1:6">
      <c r="A863" s="322" t="s">
        <v>102</v>
      </c>
      <c r="B863" s="793">
        <v>44798</v>
      </c>
      <c r="C863" s="794">
        <v>194</v>
      </c>
      <c r="D863" s="794">
        <v>90</v>
      </c>
      <c r="E863" s="794">
        <v>72</v>
      </c>
      <c r="F863" s="796">
        <f t="shared" si="14"/>
        <v>0.53608247422680411</v>
      </c>
    </row>
    <row r="864" spans="1:6">
      <c r="A864" s="322" t="s">
        <v>101</v>
      </c>
      <c r="B864" s="793">
        <v>44799</v>
      </c>
      <c r="C864" s="794">
        <v>8389</v>
      </c>
      <c r="D864" s="794">
        <v>4058</v>
      </c>
      <c r="E864" s="794">
        <v>3163</v>
      </c>
      <c r="F864" s="796">
        <f t="shared" si="14"/>
        <v>0.51627130766479912</v>
      </c>
    </row>
    <row r="865" spans="1:6">
      <c r="A865" s="322" t="s">
        <v>103</v>
      </c>
      <c r="B865" s="793">
        <v>44800</v>
      </c>
      <c r="C865" s="794">
        <v>233</v>
      </c>
      <c r="D865" s="794">
        <v>61</v>
      </c>
      <c r="E865" s="794">
        <v>52</v>
      </c>
      <c r="F865" s="796">
        <f t="shared" si="14"/>
        <v>0.7381974248927039</v>
      </c>
    </row>
    <row r="866" spans="1:6">
      <c r="A866" s="322" t="s">
        <v>77</v>
      </c>
      <c r="B866" s="793">
        <v>44805</v>
      </c>
      <c r="C866" s="794">
        <v>165</v>
      </c>
      <c r="D866" s="794">
        <v>53</v>
      </c>
      <c r="E866" s="794">
        <v>36</v>
      </c>
      <c r="F866" s="796">
        <f t="shared" si="14"/>
        <v>0.67878787878787872</v>
      </c>
    </row>
    <row r="867" spans="1:6">
      <c r="A867" s="322" t="s">
        <v>78</v>
      </c>
      <c r="B867" s="793">
        <v>44806</v>
      </c>
      <c r="C867" s="794">
        <v>181</v>
      </c>
      <c r="D867" s="794">
        <v>64</v>
      </c>
      <c r="E867" s="794">
        <v>56</v>
      </c>
      <c r="F867" s="796">
        <f t="shared" si="14"/>
        <v>0.64640883977900554</v>
      </c>
    </row>
    <row r="868" spans="1:6">
      <c r="A868" s="322" t="s">
        <v>80</v>
      </c>
      <c r="B868" s="793">
        <v>44807</v>
      </c>
      <c r="C868" s="794">
        <v>308</v>
      </c>
      <c r="D868" s="794">
        <v>83</v>
      </c>
      <c r="E868" s="794">
        <v>60</v>
      </c>
      <c r="F868" s="796">
        <f t="shared" si="14"/>
        <v>0.73051948051948057</v>
      </c>
    </row>
    <row r="869" spans="1:6">
      <c r="A869" s="322" t="s">
        <v>79</v>
      </c>
      <c r="B869" s="793">
        <v>44808</v>
      </c>
      <c r="C869" s="794">
        <v>336</v>
      </c>
      <c r="D869" s="794">
        <v>82</v>
      </c>
      <c r="E869" s="794">
        <v>59</v>
      </c>
      <c r="F869" s="796">
        <f t="shared" si="14"/>
        <v>0.75595238095238093</v>
      </c>
    </row>
    <row r="870" spans="1:6">
      <c r="A870" s="322" t="s">
        <v>81</v>
      </c>
      <c r="B870" s="793">
        <v>44809</v>
      </c>
      <c r="C870" s="794">
        <v>1068</v>
      </c>
      <c r="D870" s="794">
        <v>357</v>
      </c>
      <c r="E870" s="794">
        <v>280</v>
      </c>
      <c r="F870" s="796">
        <f t="shared" si="14"/>
        <v>0.6657303370786517</v>
      </c>
    </row>
    <row r="871" spans="1:6">
      <c r="A871" s="322" t="s">
        <v>82</v>
      </c>
      <c r="B871" s="793">
        <v>44810</v>
      </c>
      <c r="C871" s="794">
        <v>470</v>
      </c>
      <c r="D871" s="794">
        <v>226</v>
      </c>
      <c r="E871" s="794">
        <v>181</v>
      </c>
      <c r="F871" s="796">
        <f t="shared" si="14"/>
        <v>0.51914893617021285</v>
      </c>
    </row>
    <row r="872" spans="1:6">
      <c r="A872" s="322" t="s">
        <v>83</v>
      </c>
      <c r="B872" s="793">
        <v>44811</v>
      </c>
      <c r="C872" s="794">
        <v>833</v>
      </c>
      <c r="D872" s="794">
        <v>379</v>
      </c>
      <c r="E872" s="794">
        <v>308</v>
      </c>
      <c r="F872" s="796">
        <f t="shared" si="14"/>
        <v>0.54501800720288118</v>
      </c>
    </row>
    <row r="873" spans="1:6">
      <c r="A873" s="322" t="s">
        <v>84</v>
      </c>
      <c r="B873" s="793">
        <v>44812</v>
      </c>
      <c r="C873" s="794">
        <v>493</v>
      </c>
      <c r="D873" s="794">
        <v>313</v>
      </c>
      <c r="E873" s="794">
        <v>254</v>
      </c>
      <c r="F873" s="796">
        <f t="shared" si="14"/>
        <v>0.36511156186612581</v>
      </c>
    </row>
    <row r="874" spans="1:6">
      <c r="A874" s="322" t="s">
        <v>85</v>
      </c>
      <c r="B874" s="793">
        <v>44813</v>
      </c>
      <c r="C874" s="794">
        <v>773</v>
      </c>
      <c r="D874" s="794">
        <v>301</v>
      </c>
      <c r="E874" s="794">
        <v>246</v>
      </c>
      <c r="F874" s="796">
        <f t="shared" si="14"/>
        <v>0.61060802069857689</v>
      </c>
    </row>
    <row r="875" spans="1:6">
      <c r="A875" s="322" t="s">
        <v>86</v>
      </c>
      <c r="B875" s="793">
        <v>44814</v>
      </c>
      <c r="C875" s="794">
        <v>329</v>
      </c>
      <c r="D875" s="794">
        <v>96</v>
      </c>
      <c r="E875" s="794">
        <v>76</v>
      </c>
      <c r="F875" s="796">
        <f t="shared" si="14"/>
        <v>0.70820668693009114</v>
      </c>
    </row>
    <row r="876" spans="1:6">
      <c r="A876" s="322" t="s">
        <v>89</v>
      </c>
      <c r="B876" s="793">
        <v>44815</v>
      </c>
      <c r="C876" s="794">
        <v>2035</v>
      </c>
      <c r="D876" s="794">
        <v>1071</v>
      </c>
      <c r="E876" s="794">
        <v>893</v>
      </c>
      <c r="F876" s="796">
        <f t="shared" si="14"/>
        <v>0.47371007371007368</v>
      </c>
    </row>
    <row r="877" spans="1:6">
      <c r="A877" s="322" t="s">
        <v>88</v>
      </c>
      <c r="B877" s="793">
        <v>44816</v>
      </c>
      <c r="C877" s="794">
        <v>698</v>
      </c>
      <c r="D877" s="794">
        <v>232</v>
      </c>
      <c r="E877" s="794">
        <v>183</v>
      </c>
      <c r="F877" s="796">
        <f t="shared" si="14"/>
        <v>0.66762177650429799</v>
      </c>
    </row>
    <row r="878" spans="1:6">
      <c r="A878" s="322" t="s">
        <v>87</v>
      </c>
      <c r="B878" s="793">
        <v>44817</v>
      </c>
      <c r="C878" s="794">
        <v>710</v>
      </c>
      <c r="D878" s="794">
        <v>307</v>
      </c>
      <c r="E878" s="794">
        <v>232</v>
      </c>
      <c r="F878" s="796">
        <f t="shared" si="14"/>
        <v>0.56760563380281692</v>
      </c>
    </row>
    <row r="879" spans="1:6">
      <c r="A879" s="322" t="s">
        <v>90</v>
      </c>
      <c r="B879" s="793">
        <v>44818</v>
      </c>
      <c r="C879" s="794">
        <v>488</v>
      </c>
      <c r="D879" s="794">
        <v>150</v>
      </c>
      <c r="E879" s="794">
        <v>114</v>
      </c>
      <c r="F879" s="796">
        <f t="shared" si="14"/>
        <v>0.69262295081967218</v>
      </c>
    </row>
    <row r="880" spans="1:6">
      <c r="A880" s="322" t="s">
        <v>91</v>
      </c>
      <c r="B880" s="793">
        <v>44819</v>
      </c>
      <c r="C880" s="794">
        <v>515</v>
      </c>
      <c r="D880" s="794">
        <v>116</v>
      </c>
      <c r="E880" s="794">
        <v>89</v>
      </c>
      <c r="F880" s="796">
        <f t="shared" si="14"/>
        <v>0.77475728155339807</v>
      </c>
    </row>
    <row r="881" spans="1:6">
      <c r="A881" s="322" t="s">
        <v>93</v>
      </c>
      <c r="B881" s="793">
        <v>44820</v>
      </c>
      <c r="C881" s="794">
        <v>591</v>
      </c>
      <c r="D881" s="794">
        <v>294</v>
      </c>
      <c r="E881" s="794">
        <v>220</v>
      </c>
      <c r="F881" s="796">
        <f t="shared" si="14"/>
        <v>0.50253807106598991</v>
      </c>
    </row>
    <row r="882" spans="1:6">
      <c r="A882" s="322" t="s">
        <v>94</v>
      </c>
      <c r="B882" s="793">
        <v>44821</v>
      </c>
      <c r="C882" s="794">
        <v>313</v>
      </c>
      <c r="D882" s="794">
        <v>121</v>
      </c>
      <c r="E882" s="794">
        <v>91</v>
      </c>
      <c r="F882" s="796">
        <f t="shared" si="14"/>
        <v>0.61341853035143767</v>
      </c>
    </row>
    <row r="883" spans="1:6">
      <c r="A883" s="322" t="s">
        <v>92</v>
      </c>
      <c r="B883" s="793">
        <v>44822</v>
      </c>
      <c r="C883" s="794">
        <v>2819</v>
      </c>
      <c r="D883" s="794">
        <v>1556</v>
      </c>
      <c r="E883" s="794">
        <v>1183</v>
      </c>
      <c r="F883" s="796">
        <f t="shared" si="14"/>
        <v>0.44803121674352608</v>
      </c>
    </row>
    <row r="884" spans="1:6">
      <c r="A884" s="322" t="s">
        <v>95</v>
      </c>
      <c r="B884" s="793">
        <v>44823</v>
      </c>
      <c r="C884" s="794">
        <v>2983</v>
      </c>
      <c r="D884" s="794">
        <v>1293</v>
      </c>
      <c r="E884" s="794">
        <v>1007</v>
      </c>
      <c r="F884" s="796">
        <f t="shared" si="14"/>
        <v>0.56654374790479389</v>
      </c>
    </row>
    <row r="885" spans="1:6">
      <c r="A885" s="322" t="s">
        <v>96</v>
      </c>
      <c r="B885" s="793">
        <v>44824</v>
      </c>
      <c r="C885" s="794">
        <v>328</v>
      </c>
      <c r="D885" s="794">
        <v>94</v>
      </c>
      <c r="E885" s="794">
        <v>74</v>
      </c>
      <c r="F885" s="796">
        <f t="shared" si="14"/>
        <v>0.71341463414634143</v>
      </c>
    </row>
    <row r="886" spans="1:6">
      <c r="A886" s="322" t="s">
        <v>98</v>
      </c>
      <c r="B886" s="793">
        <v>44825</v>
      </c>
      <c r="C886" s="794">
        <v>246</v>
      </c>
      <c r="D886" s="794">
        <v>74</v>
      </c>
      <c r="E886" s="794">
        <v>53</v>
      </c>
      <c r="F886" s="796">
        <f t="shared" si="14"/>
        <v>0.69918699186991873</v>
      </c>
    </row>
    <row r="887" spans="1:6">
      <c r="A887" s="322" t="s">
        <v>99</v>
      </c>
      <c r="B887" s="793">
        <v>44826</v>
      </c>
      <c r="C887" s="794">
        <v>67</v>
      </c>
      <c r="D887" s="794">
        <v>15</v>
      </c>
      <c r="E887" s="794">
        <v>12</v>
      </c>
      <c r="F887" s="796">
        <f t="shared" si="14"/>
        <v>0.77611940298507465</v>
      </c>
    </row>
    <row r="888" spans="1:6">
      <c r="A888" s="322" t="s">
        <v>97</v>
      </c>
      <c r="B888" s="793">
        <v>44827</v>
      </c>
      <c r="C888" s="794">
        <v>3292</v>
      </c>
      <c r="D888" s="794">
        <v>1725</v>
      </c>
      <c r="E888" s="794">
        <v>1356</v>
      </c>
      <c r="F888" s="796">
        <f t="shared" si="14"/>
        <v>0.47600243013365739</v>
      </c>
    </row>
    <row r="889" spans="1:6">
      <c r="A889" s="322" t="s">
        <v>100</v>
      </c>
      <c r="B889" s="793">
        <v>44828</v>
      </c>
      <c r="C889" s="794">
        <v>2101</v>
      </c>
      <c r="D889" s="794">
        <v>1048</v>
      </c>
      <c r="E889" s="794">
        <v>832</v>
      </c>
      <c r="F889" s="796">
        <f t="shared" si="14"/>
        <v>0.50118990956687293</v>
      </c>
    </row>
    <row r="890" spans="1:6">
      <c r="A890" s="322" t="s">
        <v>102</v>
      </c>
      <c r="B890" s="793">
        <v>44829</v>
      </c>
      <c r="C890" s="794">
        <v>195</v>
      </c>
      <c r="D890" s="794">
        <v>93</v>
      </c>
      <c r="E890" s="794">
        <v>74</v>
      </c>
      <c r="F890" s="796">
        <f t="shared" si="14"/>
        <v>0.52307692307692299</v>
      </c>
    </row>
    <row r="891" spans="1:6">
      <c r="A891" s="322" t="s">
        <v>101</v>
      </c>
      <c r="B891" s="793">
        <v>44830</v>
      </c>
      <c r="C891" s="794">
        <v>8410</v>
      </c>
      <c r="D891" s="794">
        <v>4432</v>
      </c>
      <c r="E891" s="794">
        <v>3425</v>
      </c>
      <c r="F891" s="796">
        <f t="shared" si="14"/>
        <v>0.47300832342449461</v>
      </c>
    </row>
    <row r="892" spans="1:6">
      <c r="A892" s="322" t="s">
        <v>103</v>
      </c>
      <c r="B892" s="793">
        <v>44831</v>
      </c>
      <c r="C892" s="794">
        <v>234</v>
      </c>
      <c r="D892" s="794">
        <v>65</v>
      </c>
      <c r="E892" s="794">
        <v>54</v>
      </c>
      <c r="F892" s="796">
        <f t="shared" si="14"/>
        <v>0.72222222222222221</v>
      </c>
    </row>
    <row r="893" spans="1:6">
      <c r="A893" s="322" t="s">
        <v>77</v>
      </c>
      <c r="B893" s="793">
        <v>44835</v>
      </c>
      <c r="F893" s="796"/>
    </row>
    <row r="894" spans="1:6">
      <c r="A894" s="322" t="s">
        <v>78</v>
      </c>
      <c r="B894" s="793">
        <v>44836</v>
      </c>
      <c r="F894" s="796"/>
    </row>
    <row r="895" spans="1:6">
      <c r="A895" s="322" t="s">
        <v>80</v>
      </c>
      <c r="B895" s="793">
        <v>44837</v>
      </c>
      <c r="F895" s="796"/>
    </row>
    <row r="896" spans="1:6">
      <c r="A896" s="322" t="s">
        <v>79</v>
      </c>
      <c r="B896" s="793">
        <v>44838</v>
      </c>
      <c r="F896" s="796"/>
    </row>
    <row r="897" spans="1:6">
      <c r="A897" s="322" t="s">
        <v>81</v>
      </c>
      <c r="B897" s="793">
        <v>44839</v>
      </c>
      <c r="F897" s="796"/>
    </row>
    <row r="898" spans="1:6">
      <c r="A898" s="322" t="s">
        <v>82</v>
      </c>
      <c r="B898" s="793">
        <v>44840</v>
      </c>
      <c r="F898" s="796"/>
    </row>
    <row r="899" spans="1:6">
      <c r="A899" s="322" t="s">
        <v>83</v>
      </c>
      <c r="B899" s="793">
        <v>44841</v>
      </c>
      <c r="F899" s="796"/>
    </row>
    <row r="900" spans="1:6">
      <c r="A900" s="322" t="s">
        <v>84</v>
      </c>
      <c r="B900" s="793">
        <v>44842</v>
      </c>
      <c r="F900" s="796"/>
    </row>
    <row r="901" spans="1:6">
      <c r="A901" s="322" t="s">
        <v>85</v>
      </c>
      <c r="B901" s="793">
        <v>44843</v>
      </c>
      <c r="F901" s="796"/>
    </row>
    <row r="902" spans="1:6">
      <c r="A902" s="322" t="s">
        <v>86</v>
      </c>
      <c r="B902" s="793">
        <v>44844</v>
      </c>
      <c r="F902" s="796"/>
    </row>
    <row r="903" spans="1:6">
      <c r="A903" s="322" t="s">
        <v>89</v>
      </c>
      <c r="B903" s="793">
        <v>44845</v>
      </c>
      <c r="F903" s="796"/>
    </row>
    <row r="904" spans="1:6">
      <c r="A904" s="322" t="s">
        <v>88</v>
      </c>
      <c r="B904" s="793">
        <v>44846</v>
      </c>
      <c r="F904" s="796"/>
    </row>
    <row r="905" spans="1:6">
      <c r="A905" s="322" t="s">
        <v>87</v>
      </c>
      <c r="B905" s="793">
        <v>44847</v>
      </c>
      <c r="F905" s="796"/>
    </row>
    <row r="906" spans="1:6">
      <c r="A906" s="322" t="s">
        <v>90</v>
      </c>
      <c r="B906" s="793">
        <v>44848</v>
      </c>
      <c r="F906" s="796"/>
    </row>
    <row r="907" spans="1:6">
      <c r="A907" s="322" t="s">
        <v>91</v>
      </c>
      <c r="B907" s="793">
        <v>44849</v>
      </c>
      <c r="F907" s="796"/>
    </row>
    <row r="908" spans="1:6">
      <c r="A908" s="322" t="s">
        <v>93</v>
      </c>
      <c r="B908" s="793">
        <v>44850</v>
      </c>
      <c r="F908" s="796"/>
    </row>
    <row r="909" spans="1:6">
      <c r="A909" s="322" t="s">
        <v>94</v>
      </c>
      <c r="B909" s="793">
        <v>44851</v>
      </c>
      <c r="F909" s="796"/>
    </row>
    <row r="910" spans="1:6">
      <c r="A910" s="322" t="s">
        <v>92</v>
      </c>
      <c r="B910" s="793">
        <v>44852</v>
      </c>
      <c r="F910" s="796"/>
    </row>
    <row r="911" spans="1:6">
      <c r="A911" s="322" t="s">
        <v>95</v>
      </c>
      <c r="B911" s="793">
        <v>44853</v>
      </c>
      <c r="F911" s="796"/>
    </row>
    <row r="912" spans="1:6">
      <c r="A912" s="322" t="s">
        <v>96</v>
      </c>
      <c r="B912" s="793">
        <v>44854</v>
      </c>
      <c r="F912" s="796"/>
    </row>
    <row r="913" spans="1:6">
      <c r="A913" s="322" t="s">
        <v>98</v>
      </c>
      <c r="B913" s="793">
        <v>44855</v>
      </c>
      <c r="F913" s="796"/>
    </row>
    <row r="914" spans="1:6">
      <c r="A914" s="322" t="s">
        <v>99</v>
      </c>
      <c r="B914" s="793">
        <v>44856</v>
      </c>
      <c r="F914" s="796"/>
    </row>
    <row r="915" spans="1:6">
      <c r="A915" s="322" t="s">
        <v>97</v>
      </c>
      <c r="B915" s="793">
        <v>44857</v>
      </c>
      <c r="F915" s="796"/>
    </row>
    <row r="916" spans="1:6">
      <c r="A916" s="322" t="s">
        <v>100</v>
      </c>
      <c r="B916" s="793">
        <v>44858</v>
      </c>
      <c r="F916" s="796"/>
    </row>
    <row r="917" spans="1:6">
      <c r="A917" s="322" t="s">
        <v>102</v>
      </c>
      <c r="B917" s="793">
        <v>44859</v>
      </c>
      <c r="F917" s="796"/>
    </row>
    <row r="918" spans="1:6">
      <c r="A918" s="322" t="s">
        <v>101</v>
      </c>
      <c r="B918" s="793">
        <v>44860</v>
      </c>
      <c r="F918" s="796"/>
    </row>
    <row r="919" spans="1:6">
      <c r="A919" s="322" t="s">
        <v>103</v>
      </c>
      <c r="B919" s="793">
        <v>44861</v>
      </c>
      <c r="F919" s="796"/>
    </row>
    <row r="920" spans="1:6">
      <c r="A920" s="322" t="s">
        <v>77</v>
      </c>
      <c r="B920" s="793">
        <v>44866</v>
      </c>
      <c r="F920" s="796"/>
    </row>
    <row r="921" spans="1:6">
      <c r="A921" s="322" t="s">
        <v>78</v>
      </c>
      <c r="B921" s="793">
        <v>44867</v>
      </c>
      <c r="F921" s="796"/>
    </row>
    <row r="922" spans="1:6">
      <c r="A922" s="322" t="s">
        <v>80</v>
      </c>
      <c r="B922" s="793">
        <v>44868</v>
      </c>
      <c r="F922" s="796"/>
    </row>
    <row r="923" spans="1:6">
      <c r="A923" s="322" t="s">
        <v>79</v>
      </c>
      <c r="B923" s="793">
        <v>44869</v>
      </c>
      <c r="F923" s="796"/>
    </row>
    <row r="924" spans="1:6">
      <c r="A924" s="322" t="s">
        <v>81</v>
      </c>
      <c r="B924" s="793">
        <v>44870</v>
      </c>
      <c r="F924" s="796"/>
    </row>
    <row r="925" spans="1:6">
      <c r="A925" s="322" t="s">
        <v>82</v>
      </c>
      <c r="B925" s="793">
        <v>44871</v>
      </c>
      <c r="F925" s="796"/>
    </row>
    <row r="926" spans="1:6">
      <c r="A926" s="322" t="s">
        <v>83</v>
      </c>
      <c r="B926" s="793">
        <v>44872</v>
      </c>
      <c r="F926" s="796"/>
    </row>
    <row r="927" spans="1:6">
      <c r="A927" s="322" t="s">
        <v>84</v>
      </c>
      <c r="B927" s="793">
        <v>44873</v>
      </c>
      <c r="F927" s="796"/>
    </row>
    <row r="928" spans="1:6">
      <c r="A928" s="322" t="s">
        <v>85</v>
      </c>
      <c r="B928" s="793">
        <v>44874</v>
      </c>
      <c r="F928" s="796"/>
    </row>
    <row r="929" spans="1:6">
      <c r="A929" s="322" t="s">
        <v>86</v>
      </c>
      <c r="B929" s="793">
        <v>44875</v>
      </c>
      <c r="F929" s="796"/>
    </row>
    <row r="930" spans="1:6">
      <c r="A930" s="322" t="s">
        <v>89</v>
      </c>
      <c r="B930" s="793">
        <v>44876</v>
      </c>
      <c r="F930" s="796"/>
    </row>
    <row r="931" spans="1:6">
      <c r="A931" s="322" t="s">
        <v>88</v>
      </c>
      <c r="B931" s="793">
        <v>44877</v>
      </c>
      <c r="F931" s="796"/>
    </row>
    <row r="932" spans="1:6">
      <c r="A932" s="322" t="s">
        <v>87</v>
      </c>
      <c r="B932" s="793">
        <v>44878</v>
      </c>
      <c r="F932" s="796"/>
    </row>
    <row r="933" spans="1:6">
      <c r="A933" s="322" t="s">
        <v>90</v>
      </c>
      <c r="B933" s="793">
        <v>44879</v>
      </c>
      <c r="F933" s="796"/>
    </row>
    <row r="934" spans="1:6">
      <c r="A934" s="322" t="s">
        <v>91</v>
      </c>
      <c r="B934" s="793">
        <v>44880</v>
      </c>
      <c r="F934" s="796"/>
    </row>
    <row r="935" spans="1:6">
      <c r="A935" s="322" t="s">
        <v>93</v>
      </c>
      <c r="B935" s="793">
        <v>44881</v>
      </c>
      <c r="F935" s="796"/>
    </row>
    <row r="936" spans="1:6">
      <c r="A936" s="322" t="s">
        <v>94</v>
      </c>
      <c r="B936" s="793">
        <v>44882</v>
      </c>
      <c r="F936" s="796"/>
    </row>
    <row r="937" spans="1:6">
      <c r="A937" s="322" t="s">
        <v>92</v>
      </c>
      <c r="B937" s="793">
        <v>44883</v>
      </c>
      <c r="F937" s="796"/>
    </row>
    <row r="938" spans="1:6">
      <c r="A938" s="322" t="s">
        <v>95</v>
      </c>
      <c r="B938" s="793">
        <v>44884</v>
      </c>
      <c r="F938" s="796"/>
    </row>
    <row r="939" spans="1:6">
      <c r="A939" s="322" t="s">
        <v>96</v>
      </c>
      <c r="B939" s="793">
        <v>44885</v>
      </c>
      <c r="F939" s="796"/>
    </row>
    <row r="940" spans="1:6">
      <c r="A940" s="322" t="s">
        <v>98</v>
      </c>
      <c r="B940" s="793">
        <v>44886</v>
      </c>
      <c r="F940" s="796"/>
    </row>
    <row r="941" spans="1:6">
      <c r="A941" s="322" t="s">
        <v>99</v>
      </c>
      <c r="B941" s="793">
        <v>44887</v>
      </c>
      <c r="F941" s="796"/>
    </row>
    <row r="942" spans="1:6">
      <c r="A942" s="322" t="s">
        <v>97</v>
      </c>
      <c r="B942" s="793">
        <v>44888</v>
      </c>
      <c r="F942" s="796"/>
    </row>
    <row r="943" spans="1:6">
      <c r="A943" s="322" t="s">
        <v>100</v>
      </c>
      <c r="B943" s="793">
        <v>44889</v>
      </c>
      <c r="F943" s="796"/>
    </row>
    <row r="944" spans="1:6">
      <c r="A944" s="322" t="s">
        <v>102</v>
      </c>
      <c r="B944" s="793">
        <v>44890</v>
      </c>
      <c r="F944" s="796"/>
    </row>
    <row r="945" spans="1:6">
      <c r="A945" s="322" t="s">
        <v>101</v>
      </c>
      <c r="B945" s="793">
        <v>44891</v>
      </c>
      <c r="F945" s="796"/>
    </row>
    <row r="946" spans="1:6">
      <c r="A946" s="322" t="s">
        <v>103</v>
      </c>
      <c r="B946" s="793">
        <v>44892</v>
      </c>
      <c r="F946" s="796"/>
    </row>
    <row r="947" spans="1:6">
      <c r="A947" s="322" t="s">
        <v>77</v>
      </c>
      <c r="B947" s="793">
        <v>44896</v>
      </c>
      <c r="F947" s="796"/>
    </row>
    <row r="948" spans="1:6">
      <c r="A948" s="322" t="s">
        <v>78</v>
      </c>
      <c r="B948" s="793">
        <v>44897</v>
      </c>
      <c r="F948" s="796"/>
    </row>
    <row r="949" spans="1:6">
      <c r="A949" s="322" t="s">
        <v>80</v>
      </c>
      <c r="B949" s="793">
        <v>44898</v>
      </c>
      <c r="F949" s="796"/>
    </row>
    <row r="950" spans="1:6">
      <c r="A950" s="322" t="s">
        <v>79</v>
      </c>
      <c r="B950" s="793">
        <v>44899</v>
      </c>
      <c r="F950" s="796"/>
    </row>
    <row r="951" spans="1:6">
      <c r="A951" s="322" t="s">
        <v>81</v>
      </c>
      <c r="B951" s="793">
        <v>44900</v>
      </c>
      <c r="F951" s="796"/>
    </row>
    <row r="952" spans="1:6">
      <c r="A952" s="322" t="s">
        <v>82</v>
      </c>
      <c r="B952" s="793">
        <v>44901</v>
      </c>
      <c r="F952" s="796"/>
    </row>
    <row r="953" spans="1:6">
      <c r="A953" s="322" t="s">
        <v>83</v>
      </c>
      <c r="B953" s="793">
        <v>44902</v>
      </c>
      <c r="F953" s="796"/>
    </row>
    <row r="954" spans="1:6">
      <c r="A954" s="322" t="s">
        <v>84</v>
      </c>
      <c r="B954" s="793">
        <v>44903</v>
      </c>
      <c r="F954" s="796"/>
    </row>
    <row r="955" spans="1:6">
      <c r="A955" s="322" t="s">
        <v>85</v>
      </c>
      <c r="B955" s="793">
        <v>44904</v>
      </c>
      <c r="F955" s="796"/>
    </row>
    <row r="956" spans="1:6">
      <c r="A956" s="322" t="s">
        <v>86</v>
      </c>
      <c r="B956" s="793">
        <v>44905</v>
      </c>
      <c r="F956" s="796"/>
    </row>
    <row r="957" spans="1:6">
      <c r="A957" s="322" t="s">
        <v>89</v>
      </c>
      <c r="B957" s="793">
        <v>44906</v>
      </c>
      <c r="F957" s="796"/>
    </row>
    <row r="958" spans="1:6">
      <c r="A958" s="322" t="s">
        <v>88</v>
      </c>
      <c r="B958" s="793">
        <v>44907</v>
      </c>
      <c r="F958" s="796"/>
    </row>
    <row r="959" spans="1:6">
      <c r="A959" s="322" t="s">
        <v>87</v>
      </c>
      <c r="B959" s="793">
        <v>44908</v>
      </c>
      <c r="F959" s="796"/>
    </row>
    <row r="960" spans="1:6">
      <c r="A960" s="322" t="s">
        <v>90</v>
      </c>
      <c r="B960" s="793">
        <v>44909</v>
      </c>
      <c r="F960" s="796"/>
    </row>
    <row r="961" spans="1:6">
      <c r="A961" s="322" t="s">
        <v>91</v>
      </c>
      <c r="B961" s="793">
        <v>44910</v>
      </c>
      <c r="F961" s="796"/>
    </row>
    <row r="962" spans="1:6">
      <c r="A962" s="322" t="s">
        <v>93</v>
      </c>
      <c r="B962" s="793">
        <v>44911</v>
      </c>
      <c r="F962" s="796"/>
    </row>
    <row r="963" spans="1:6">
      <c r="A963" s="322" t="s">
        <v>94</v>
      </c>
      <c r="B963" s="793">
        <v>44912</v>
      </c>
      <c r="F963" s="796"/>
    </row>
    <row r="964" spans="1:6">
      <c r="A964" s="322" t="s">
        <v>92</v>
      </c>
      <c r="B964" s="793">
        <v>44913</v>
      </c>
      <c r="F964" s="796"/>
    </row>
    <row r="965" spans="1:6">
      <c r="A965" s="322" t="s">
        <v>95</v>
      </c>
      <c r="B965" s="793">
        <v>44914</v>
      </c>
      <c r="F965" s="796"/>
    </row>
    <row r="966" spans="1:6">
      <c r="A966" s="322" t="s">
        <v>96</v>
      </c>
      <c r="B966" s="793">
        <v>44915</v>
      </c>
      <c r="F966" s="796"/>
    </row>
    <row r="967" spans="1:6">
      <c r="A967" s="322" t="s">
        <v>98</v>
      </c>
      <c r="B967" s="793">
        <v>44916</v>
      </c>
      <c r="F967" s="796"/>
    </row>
    <row r="968" spans="1:6">
      <c r="A968" s="322" t="s">
        <v>99</v>
      </c>
      <c r="B968" s="793">
        <v>44917</v>
      </c>
      <c r="F968" s="796"/>
    </row>
    <row r="969" spans="1:6">
      <c r="A969" s="322" t="s">
        <v>97</v>
      </c>
      <c r="B969" s="793">
        <v>44918</v>
      </c>
      <c r="F969" s="796"/>
    </row>
    <row r="970" spans="1:6">
      <c r="A970" s="322" t="s">
        <v>100</v>
      </c>
      <c r="B970" s="793">
        <v>44919</v>
      </c>
      <c r="F970" s="796"/>
    </row>
    <row r="971" spans="1:6">
      <c r="A971" s="322" t="s">
        <v>102</v>
      </c>
      <c r="B971" s="793">
        <v>44920</v>
      </c>
      <c r="F971" s="796"/>
    </row>
    <row r="972" spans="1:6">
      <c r="A972" s="322" t="s">
        <v>101</v>
      </c>
      <c r="B972" s="793">
        <v>44921</v>
      </c>
      <c r="F972" s="796"/>
    </row>
    <row r="973" spans="1:6">
      <c r="A973" s="322" t="s">
        <v>103</v>
      </c>
      <c r="B973" s="793">
        <v>44922</v>
      </c>
      <c r="F973" s="796"/>
    </row>
  </sheetData>
  <autoFilter ref="A1:E649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pageSetUpPr fitToPage="1"/>
  </sheetPr>
  <dimension ref="A2:AN105"/>
  <sheetViews>
    <sheetView topLeftCell="K1" zoomScale="70" zoomScaleNormal="70" workbookViewId="0">
      <selection activeCell="EF33" sqref="EF33"/>
    </sheetView>
  </sheetViews>
  <sheetFormatPr defaultRowHeight="15"/>
  <cols>
    <col min="1" max="1" width="20.85546875" style="370" customWidth="1"/>
    <col min="2" max="12" width="20.85546875" style="357" customWidth="1"/>
    <col min="13" max="13" width="17.140625" style="357" bestFit="1" customWidth="1"/>
    <col min="14" max="14" width="18.42578125" style="357" customWidth="1"/>
    <col min="15" max="18" width="20.85546875" style="357" customWidth="1"/>
    <col min="19" max="24" width="15.5703125" style="357" customWidth="1"/>
    <col min="25" max="16384" width="9.140625" style="357"/>
  </cols>
  <sheetData>
    <row r="2" spans="1:40" ht="46.5">
      <c r="A2" s="837" t="s">
        <v>61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</row>
    <row r="3" spans="1:40" s="372" customFormat="1" ht="35.1" customHeight="1">
      <c r="A3" s="835" t="s">
        <v>33</v>
      </c>
      <c r="B3" s="833" t="s">
        <v>27</v>
      </c>
      <c r="C3" s="834"/>
      <c r="D3" s="833" t="s">
        <v>29</v>
      </c>
      <c r="E3" s="834"/>
      <c r="F3" s="835" t="s">
        <v>28</v>
      </c>
      <c r="G3" s="835" t="s">
        <v>36</v>
      </c>
      <c r="H3" s="835" t="s">
        <v>30</v>
      </c>
      <c r="I3" s="835" t="s">
        <v>31</v>
      </c>
      <c r="J3" s="835" t="s">
        <v>41</v>
      </c>
      <c r="K3" s="835" t="s">
        <v>35</v>
      </c>
      <c r="L3" s="835" t="s">
        <v>40</v>
      </c>
      <c r="M3" s="835" t="s">
        <v>42</v>
      </c>
      <c r="N3" s="835" t="s">
        <v>45</v>
      </c>
      <c r="O3" s="835" t="s">
        <v>279</v>
      </c>
      <c r="P3" s="833" t="s">
        <v>49</v>
      </c>
      <c r="Q3" s="834"/>
      <c r="R3" s="835" t="s">
        <v>34</v>
      </c>
    </row>
    <row r="4" spans="1:40" s="372" customFormat="1" ht="35.1" customHeight="1">
      <c r="A4" s="836"/>
      <c r="B4" s="361" t="s">
        <v>43</v>
      </c>
      <c r="C4" s="361" t="s">
        <v>44</v>
      </c>
      <c r="D4" s="361" t="s">
        <v>43</v>
      </c>
      <c r="E4" s="361" t="s">
        <v>44</v>
      </c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362" t="s">
        <v>50</v>
      </c>
      <c r="Q4" s="362" t="s">
        <v>51</v>
      </c>
      <c r="R4" s="836"/>
      <c r="S4" s="372" t="s">
        <v>173</v>
      </c>
      <c r="T4" s="372" t="s">
        <v>291</v>
      </c>
      <c r="U4" s="372" t="s">
        <v>174</v>
      </c>
      <c r="V4" s="372" t="s">
        <v>292</v>
      </c>
      <c r="W4" s="372" t="s">
        <v>28</v>
      </c>
      <c r="X4" s="372" t="s">
        <v>175</v>
      </c>
      <c r="Y4" s="726"/>
    </row>
    <row r="5" spans="1:40">
      <c r="A5" s="2" t="s">
        <v>77</v>
      </c>
      <c r="B5" s="16">
        <f t="shared" ref="B5:Q5" si="0">B75*0.8</f>
        <v>20661.968000000001</v>
      </c>
      <c r="C5" s="16">
        <f t="shared" si="0"/>
        <v>9385.2960000000003</v>
      </c>
      <c r="D5" s="16">
        <f t="shared" si="0"/>
        <v>935.5680000000001</v>
      </c>
      <c r="E5" s="16">
        <f t="shared" si="0"/>
        <v>297.608</v>
      </c>
      <c r="F5" s="16">
        <f t="shared" si="0"/>
        <v>22868.376000000004</v>
      </c>
      <c r="G5" s="16">
        <f t="shared" si="0"/>
        <v>1130.376</v>
      </c>
      <c r="H5" s="16">
        <f t="shared" si="0"/>
        <v>1063.6400000000001</v>
      </c>
      <c r="I5" s="16">
        <f t="shared" si="0"/>
        <v>0</v>
      </c>
      <c r="J5" s="16">
        <f t="shared" si="0"/>
        <v>2127.0720000000001</v>
      </c>
      <c r="K5" s="16">
        <f t="shared" si="0"/>
        <v>434.76000000000005</v>
      </c>
      <c r="L5" s="16">
        <f t="shared" si="0"/>
        <v>0</v>
      </c>
      <c r="M5" s="16">
        <f t="shared" si="0"/>
        <v>0</v>
      </c>
      <c r="N5" s="16">
        <f t="shared" si="0"/>
        <v>76.08</v>
      </c>
      <c r="O5" s="16">
        <f>O75*0.8</f>
        <v>0</v>
      </c>
      <c r="P5" s="16">
        <f t="shared" si="0"/>
        <v>0</v>
      </c>
      <c r="Q5" s="16">
        <f t="shared" si="0"/>
        <v>0</v>
      </c>
      <c r="R5" s="8">
        <f t="shared" ref="R5:R31" si="1">SUM(B5:Q5)</f>
        <v>58980.744000000006</v>
      </c>
      <c r="S5" s="363">
        <f>B5</f>
        <v>20661.968000000001</v>
      </c>
      <c r="T5" s="363">
        <f>C5</f>
        <v>9385.2960000000003</v>
      </c>
      <c r="U5" s="363">
        <f>D5</f>
        <v>935.5680000000001</v>
      </c>
      <c r="V5" s="363">
        <f>E5</f>
        <v>297.608</v>
      </c>
      <c r="W5" s="363">
        <f>F5+G5</f>
        <v>23998.752000000004</v>
      </c>
      <c r="X5" s="363">
        <f>SUM(H5:Q5)</f>
        <v>3701.5520000000006</v>
      </c>
      <c r="Y5" s="363"/>
      <c r="AI5" s="363"/>
      <c r="AJ5" s="363"/>
      <c r="AK5" s="363"/>
      <c r="AL5" s="363"/>
      <c r="AM5" s="363"/>
      <c r="AN5" s="363"/>
    </row>
    <row r="6" spans="1:40">
      <c r="A6" s="2" t="s">
        <v>78</v>
      </c>
      <c r="B6" s="16">
        <f t="shared" ref="B6:Q6" si="2">B76*0.8</f>
        <v>41121.4</v>
      </c>
      <c r="C6" s="16">
        <f t="shared" si="2"/>
        <v>11193.752</v>
      </c>
      <c r="D6" s="16">
        <f t="shared" si="2"/>
        <v>544.43200000000002</v>
      </c>
      <c r="E6" s="16">
        <f t="shared" si="2"/>
        <v>1943.9360000000001</v>
      </c>
      <c r="F6" s="16">
        <f t="shared" si="2"/>
        <v>67822.559999999998</v>
      </c>
      <c r="G6" s="16">
        <f t="shared" si="2"/>
        <v>3391.1280000000002</v>
      </c>
      <c r="H6" s="16">
        <f t="shared" si="2"/>
        <v>1866</v>
      </c>
      <c r="I6" s="16">
        <f t="shared" si="2"/>
        <v>0</v>
      </c>
      <c r="J6" s="16">
        <f t="shared" si="2"/>
        <v>2780.6240000000003</v>
      </c>
      <c r="K6" s="16">
        <f t="shared" si="2"/>
        <v>173.904</v>
      </c>
      <c r="L6" s="16">
        <f t="shared" si="2"/>
        <v>173.904</v>
      </c>
      <c r="M6" s="16">
        <f t="shared" si="2"/>
        <v>0</v>
      </c>
      <c r="N6" s="16">
        <f t="shared" si="2"/>
        <v>101.44</v>
      </c>
      <c r="O6" s="16">
        <f t="shared" ref="O6:O31" si="3">O76*0.8</f>
        <v>0</v>
      </c>
      <c r="P6" s="16">
        <f t="shared" si="2"/>
        <v>0</v>
      </c>
      <c r="Q6" s="16">
        <f t="shared" si="2"/>
        <v>0</v>
      </c>
      <c r="R6" s="8">
        <f t="shared" si="1"/>
        <v>131113.07999999999</v>
      </c>
      <c r="S6" s="363">
        <f t="shared" ref="S6:V31" si="4">B6</f>
        <v>41121.4</v>
      </c>
      <c r="T6" s="363">
        <f t="shared" si="4"/>
        <v>11193.752</v>
      </c>
      <c r="U6" s="363">
        <f t="shared" si="4"/>
        <v>544.43200000000002</v>
      </c>
      <c r="V6" s="363">
        <f t="shared" si="4"/>
        <v>1943.9360000000001</v>
      </c>
      <c r="W6" s="363">
        <f t="shared" ref="W6:W31" si="5">F6+G6</f>
        <v>71213.687999999995</v>
      </c>
      <c r="X6" s="363">
        <f t="shared" ref="X6:X31" si="6">SUM(H6:Q6)</f>
        <v>5095.8720000000003</v>
      </c>
      <c r="Y6" s="363"/>
      <c r="AI6" s="363"/>
      <c r="AJ6" s="363"/>
      <c r="AK6" s="363"/>
      <c r="AL6" s="363"/>
      <c r="AM6" s="363"/>
      <c r="AN6" s="363"/>
    </row>
    <row r="7" spans="1:40">
      <c r="A7" s="2" t="s">
        <v>79</v>
      </c>
      <c r="B7" s="16">
        <f t="shared" ref="B7:Q7" si="7">B77*0.8</f>
        <v>19574.935999999998</v>
      </c>
      <c r="C7" s="16">
        <f t="shared" si="7"/>
        <v>5324.4880000000003</v>
      </c>
      <c r="D7" s="16">
        <f t="shared" si="7"/>
        <v>1095.624</v>
      </c>
      <c r="E7" s="16">
        <f t="shared" si="7"/>
        <v>799.98400000000004</v>
      </c>
      <c r="F7" s="16">
        <f t="shared" si="7"/>
        <v>29389.776000000002</v>
      </c>
      <c r="G7" s="16">
        <f t="shared" si="7"/>
        <v>1999.896</v>
      </c>
      <c r="H7" s="16">
        <f t="shared" si="7"/>
        <v>808.88</v>
      </c>
      <c r="I7" s="16">
        <f t="shared" si="7"/>
        <v>260.85599999999999</v>
      </c>
      <c r="J7" s="16">
        <f t="shared" si="7"/>
        <v>1386.2800000000002</v>
      </c>
      <c r="K7" s="16">
        <f t="shared" si="7"/>
        <v>608.6640000000001</v>
      </c>
      <c r="L7" s="16">
        <f t="shared" si="7"/>
        <v>0</v>
      </c>
      <c r="M7" s="16">
        <f t="shared" si="7"/>
        <v>0</v>
      </c>
      <c r="N7" s="16">
        <f t="shared" si="7"/>
        <v>76.08</v>
      </c>
      <c r="O7" s="16">
        <f t="shared" si="3"/>
        <v>0</v>
      </c>
      <c r="P7" s="16">
        <f t="shared" si="7"/>
        <v>0</v>
      </c>
      <c r="Q7" s="16">
        <f t="shared" si="7"/>
        <v>0</v>
      </c>
      <c r="R7" s="8">
        <f t="shared" si="1"/>
        <v>61325.464</v>
      </c>
      <c r="S7" s="363">
        <f t="shared" si="4"/>
        <v>19574.935999999998</v>
      </c>
      <c r="T7" s="363">
        <f t="shared" si="4"/>
        <v>5324.4880000000003</v>
      </c>
      <c r="U7" s="363">
        <f t="shared" si="4"/>
        <v>1095.624</v>
      </c>
      <c r="V7" s="363">
        <f t="shared" si="4"/>
        <v>799.98400000000004</v>
      </c>
      <c r="W7" s="363">
        <f t="shared" si="5"/>
        <v>31389.672000000002</v>
      </c>
      <c r="X7" s="363">
        <f t="shared" si="6"/>
        <v>3140.76</v>
      </c>
      <c r="Y7" s="363"/>
      <c r="AI7" s="363"/>
      <c r="AJ7" s="363"/>
      <c r="AK7" s="363"/>
      <c r="AL7" s="363"/>
      <c r="AM7" s="363"/>
      <c r="AN7" s="363"/>
    </row>
    <row r="8" spans="1:40">
      <c r="A8" s="2" t="s">
        <v>80</v>
      </c>
      <c r="B8" s="16">
        <f t="shared" ref="B8:N8" si="8">B78*0.8</f>
        <v>48918.688000000002</v>
      </c>
      <c r="C8" s="16">
        <f t="shared" si="8"/>
        <v>9533.9120000000021</v>
      </c>
      <c r="D8" s="16">
        <f t="shared" si="8"/>
        <v>1073.6479999999999</v>
      </c>
      <c r="E8" s="16">
        <f t="shared" si="8"/>
        <v>1288.92</v>
      </c>
      <c r="F8" s="16">
        <f t="shared" si="8"/>
        <v>62866.296000000002</v>
      </c>
      <c r="G8" s="16">
        <f t="shared" si="8"/>
        <v>2347.7040000000002</v>
      </c>
      <c r="H8" s="16">
        <f t="shared" si="8"/>
        <v>1668.9039999999998</v>
      </c>
      <c r="I8" s="16">
        <f t="shared" si="8"/>
        <v>0</v>
      </c>
      <c r="J8" s="16">
        <f t="shared" si="8"/>
        <v>2285.3040000000001</v>
      </c>
      <c r="K8" s="16">
        <f t="shared" si="8"/>
        <v>260.85599999999999</v>
      </c>
      <c r="L8" s="16">
        <f t="shared" si="8"/>
        <v>0</v>
      </c>
      <c r="M8" s="16">
        <f t="shared" si="8"/>
        <v>863.12800000000016</v>
      </c>
      <c r="N8" s="16">
        <f t="shared" si="8"/>
        <v>50.72</v>
      </c>
      <c r="O8" s="16">
        <f t="shared" si="3"/>
        <v>0</v>
      </c>
      <c r="P8" s="16">
        <f>P78</f>
        <v>0</v>
      </c>
      <c r="Q8" s="16">
        <f>Q78</f>
        <v>0</v>
      </c>
      <c r="R8" s="8">
        <f t="shared" si="1"/>
        <v>131158.08000000002</v>
      </c>
      <c r="S8" s="363">
        <f t="shared" si="4"/>
        <v>48918.688000000002</v>
      </c>
      <c r="T8" s="363">
        <f t="shared" si="4"/>
        <v>9533.9120000000021</v>
      </c>
      <c r="U8" s="363">
        <f t="shared" si="4"/>
        <v>1073.6479999999999</v>
      </c>
      <c r="V8" s="363">
        <f t="shared" si="4"/>
        <v>1288.92</v>
      </c>
      <c r="W8" s="363">
        <f t="shared" si="5"/>
        <v>65214</v>
      </c>
      <c r="X8" s="363">
        <f t="shared" si="6"/>
        <v>5128.9119999999994</v>
      </c>
      <c r="Y8" s="363"/>
      <c r="AI8" s="363"/>
      <c r="AJ8" s="363"/>
      <c r="AK8" s="363"/>
      <c r="AL8" s="363"/>
      <c r="AM8" s="363"/>
      <c r="AN8" s="363"/>
    </row>
    <row r="9" spans="1:40">
      <c r="A9" s="2" t="s">
        <v>81</v>
      </c>
      <c r="B9" s="16">
        <f t="shared" ref="B9:N9" si="9">B79*0.8</f>
        <v>161512.38400000002</v>
      </c>
      <c r="C9" s="16">
        <f t="shared" si="9"/>
        <v>33000.944000000003</v>
      </c>
      <c r="D9" s="16">
        <f t="shared" si="9"/>
        <v>2776.2640000000001</v>
      </c>
      <c r="E9" s="16">
        <f t="shared" si="9"/>
        <v>12345.944000000001</v>
      </c>
      <c r="F9" s="16">
        <f t="shared" si="9"/>
        <v>237465.91200000001</v>
      </c>
      <c r="G9" s="16">
        <f t="shared" si="9"/>
        <v>6173.5920000000006</v>
      </c>
      <c r="H9" s="16">
        <f t="shared" si="9"/>
        <v>6424.6720000000005</v>
      </c>
      <c r="I9" s="16">
        <f t="shared" si="9"/>
        <v>0</v>
      </c>
      <c r="J9" s="16">
        <f t="shared" si="9"/>
        <v>9931.3040000000001</v>
      </c>
      <c r="K9" s="16">
        <f t="shared" si="9"/>
        <v>1130.376</v>
      </c>
      <c r="L9" s="16">
        <f t="shared" si="9"/>
        <v>0</v>
      </c>
      <c r="M9" s="16">
        <f t="shared" si="9"/>
        <v>2028.9279999999999</v>
      </c>
      <c r="N9" s="16">
        <f t="shared" si="9"/>
        <v>405.76</v>
      </c>
      <c r="O9" s="16">
        <f t="shared" si="3"/>
        <v>0</v>
      </c>
      <c r="P9" s="16">
        <f t="shared" ref="P9:Q21" si="10">P79*0.8</f>
        <v>0</v>
      </c>
      <c r="Q9" s="16">
        <f t="shared" si="10"/>
        <v>0</v>
      </c>
      <c r="R9" s="8">
        <f t="shared" si="1"/>
        <v>473196.08000000007</v>
      </c>
      <c r="S9" s="363">
        <f t="shared" si="4"/>
        <v>161512.38400000002</v>
      </c>
      <c r="T9" s="363">
        <f t="shared" si="4"/>
        <v>33000.944000000003</v>
      </c>
      <c r="U9" s="363">
        <f t="shared" si="4"/>
        <v>2776.2640000000001</v>
      </c>
      <c r="V9" s="363">
        <f t="shared" si="4"/>
        <v>12345.944000000001</v>
      </c>
      <c r="W9" s="363">
        <f t="shared" si="5"/>
        <v>243639.50400000002</v>
      </c>
      <c r="X9" s="363">
        <f t="shared" si="6"/>
        <v>19921.039999999997</v>
      </c>
      <c r="Y9" s="363"/>
      <c r="AI9" s="363"/>
      <c r="AJ9" s="363"/>
      <c r="AK9" s="363"/>
      <c r="AL9" s="363"/>
      <c r="AM9" s="363"/>
      <c r="AN9" s="363"/>
    </row>
    <row r="10" spans="1:40">
      <c r="A10" s="2" t="s">
        <v>82</v>
      </c>
      <c r="B10" s="16">
        <f t="shared" ref="B10:N10" si="11">B80*0.8</f>
        <v>93006.52</v>
      </c>
      <c r="C10" s="16">
        <f t="shared" si="11"/>
        <v>24647.528000000002</v>
      </c>
      <c r="D10" s="16">
        <f t="shared" si="11"/>
        <v>2852.36</v>
      </c>
      <c r="E10" s="16">
        <f t="shared" si="11"/>
        <v>5126.2400000000007</v>
      </c>
      <c r="F10" s="16">
        <f t="shared" si="11"/>
        <v>133471.32</v>
      </c>
      <c r="G10" s="16">
        <f t="shared" si="11"/>
        <v>4782.3599999999997</v>
      </c>
      <c r="H10" s="16">
        <f t="shared" si="11"/>
        <v>5251.6320000000005</v>
      </c>
      <c r="I10" s="16">
        <f t="shared" si="11"/>
        <v>0</v>
      </c>
      <c r="J10" s="16">
        <f t="shared" si="11"/>
        <v>6778.0880000000006</v>
      </c>
      <c r="K10" s="16">
        <f t="shared" si="11"/>
        <v>0</v>
      </c>
      <c r="L10" s="16">
        <f t="shared" si="11"/>
        <v>0</v>
      </c>
      <c r="M10" s="16">
        <f t="shared" si="11"/>
        <v>355.06400000000002</v>
      </c>
      <c r="N10" s="16">
        <f t="shared" si="11"/>
        <v>202.88</v>
      </c>
      <c r="O10" s="16">
        <f t="shared" si="3"/>
        <v>0</v>
      </c>
      <c r="P10" s="16">
        <f t="shared" si="10"/>
        <v>376.49600000000004</v>
      </c>
      <c r="Q10" s="16">
        <f t="shared" si="10"/>
        <v>251.16</v>
      </c>
      <c r="R10" s="8">
        <f t="shared" si="1"/>
        <v>277101.64799999999</v>
      </c>
      <c r="S10" s="363">
        <f t="shared" si="4"/>
        <v>93006.52</v>
      </c>
      <c r="T10" s="363">
        <f t="shared" si="4"/>
        <v>24647.528000000002</v>
      </c>
      <c r="U10" s="363">
        <f t="shared" si="4"/>
        <v>2852.36</v>
      </c>
      <c r="V10" s="363">
        <f t="shared" si="4"/>
        <v>5126.2400000000007</v>
      </c>
      <c r="W10" s="363">
        <f t="shared" si="5"/>
        <v>138253.68</v>
      </c>
      <c r="X10" s="363">
        <f t="shared" si="6"/>
        <v>13215.32</v>
      </c>
      <c r="Y10" s="363"/>
      <c r="AI10" s="363"/>
      <c r="AJ10" s="363"/>
      <c r="AK10" s="363"/>
      <c r="AL10" s="363"/>
      <c r="AM10" s="363"/>
      <c r="AN10" s="363"/>
    </row>
    <row r="11" spans="1:40">
      <c r="A11" s="2" t="s">
        <v>83</v>
      </c>
      <c r="B11" s="16">
        <f t="shared" ref="B11:N11" si="12">B81*0.8</f>
        <v>152377.67199999999</v>
      </c>
      <c r="C11" s="16">
        <f t="shared" si="12"/>
        <v>87297.888000000006</v>
      </c>
      <c r="D11" s="16">
        <f t="shared" si="12"/>
        <v>2974.1040000000003</v>
      </c>
      <c r="E11" s="16">
        <f t="shared" si="12"/>
        <v>17085.472000000002</v>
      </c>
      <c r="F11" s="16">
        <f t="shared" si="12"/>
        <v>155470.17600000001</v>
      </c>
      <c r="G11" s="16">
        <f t="shared" si="12"/>
        <v>5564.9279999999999</v>
      </c>
      <c r="H11" s="16">
        <f t="shared" si="12"/>
        <v>13421.216</v>
      </c>
      <c r="I11" s="16">
        <f t="shared" si="12"/>
        <v>0</v>
      </c>
      <c r="J11" s="16">
        <f t="shared" si="12"/>
        <v>23290.120000000003</v>
      </c>
      <c r="K11" s="16">
        <f t="shared" si="12"/>
        <v>1130.376</v>
      </c>
      <c r="L11" s="16">
        <f t="shared" si="12"/>
        <v>0</v>
      </c>
      <c r="M11" s="16">
        <f t="shared" si="12"/>
        <v>836.7360000000001</v>
      </c>
      <c r="N11" s="16">
        <f t="shared" si="12"/>
        <v>887.6</v>
      </c>
      <c r="O11" s="16">
        <f t="shared" si="3"/>
        <v>0</v>
      </c>
      <c r="P11" s="16">
        <f t="shared" si="10"/>
        <v>0</v>
      </c>
      <c r="Q11" s="16">
        <f t="shared" si="10"/>
        <v>0</v>
      </c>
      <c r="R11" s="8">
        <f t="shared" si="1"/>
        <v>460336.288</v>
      </c>
      <c r="S11" s="363">
        <f t="shared" si="4"/>
        <v>152377.67199999999</v>
      </c>
      <c r="T11" s="363">
        <f t="shared" si="4"/>
        <v>87297.888000000006</v>
      </c>
      <c r="U11" s="363">
        <f t="shared" si="4"/>
        <v>2974.1040000000003</v>
      </c>
      <c r="V11" s="363">
        <f t="shared" si="4"/>
        <v>17085.472000000002</v>
      </c>
      <c r="W11" s="363">
        <f t="shared" si="5"/>
        <v>161035.10399999999</v>
      </c>
      <c r="X11" s="363">
        <f t="shared" si="6"/>
        <v>39566.047999999995</v>
      </c>
      <c r="Y11" s="363"/>
      <c r="AI11" s="363"/>
      <c r="AJ11" s="363"/>
      <c r="AK11" s="363"/>
      <c r="AL11" s="363"/>
      <c r="AM11" s="363"/>
      <c r="AN11" s="363"/>
    </row>
    <row r="12" spans="1:40">
      <c r="A12" s="2" t="s">
        <v>84</v>
      </c>
      <c r="B12" s="16">
        <f t="shared" ref="B12:N12" si="13">B82*0.8</f>
        <v>112224.648</v>
      </c>
      <c r="C12" s="16">
        <f t="shared" si="13"/>
        <v>17392.16</v>
      </c>
      <c r="D12" s="16">
        <f t="shared" si="13"/>
        <v>1680.6480000000001</v>
      </c>
      <c r="E12" s="16">
        <f t="shared" si="13"/>
        <v>1266.3920000000001</v>
      </c>
      <c r="F12" s="16">
        <f t="shared" si="13"/>
        <v>136775.49600000001</v>
      </c>
      <c r="G12" s="16">
        <f t="shared" si="13"/>
        <v>6347.4960000000001</v>
      </c>
      <c r="H12" s="16">
        <f t="shared" si="13"/>
        <v>2822.1200000000003</v>
      </c>
      <c r="I12" s="16">
        <f t="shared" si="13"/>
        <v>982.72000000000014</v>
      </c>
      <c r="J12" s="16">
        <f t="shared" si="13"/>
        <v>4159.2880000000005</v>
      </c>
      <c r="K12" s="16">
        <f t="shared" si="13"/>
        <v>3912.84</v>
      </c>
      <c r="L12" s="16">
        <f t="shared" si="13"/>
        <v>173.904</v>
      </c>
      <c r="M12" s="16">
        <f t="shared" si="13"/>
        <v>0</v>
      </c>
      <c r="N12" s="16">
        <f t="shared" si="13"/>
        <v>152.16</v>
      </c>
      <c r="O12" s="16">
        <f t="shared" si="3"/>
        <v>0</v>
      </c>
      <c r="P12" s="16">
        <f t="shared" si="10"/>
        <v>0</v>
      </c>
      <c r="Q12" s="16">
        <f t="shared" si="10"/>
        <v>0</v>
      </c>
      <c r="R12" s="8">
        <f t="shared" si="1"/>
        <v>287889.87199999997</v>
      </c>
      <c r="S12" s="363">
        <f t="shared" si="4"/>
        <v>112224.648</v>
      </c>
      <c r="T12" s="363">
        <f t="shared" si="4"/>
        <v>17392.16</v>
      </c>
      <c r="U12" s="363">
        <f t="shared" si="4"/>
        <v>1680.6480000000001</v>
      </c>
      <c r="V12" s="363">
        <f t="shared" si="4"/>
        <v>1266.3920000000001</v>
      </c>
      <c r="W12" s="363">
        <f t="shared" si="5"/>
        <v>143122.99200000003</v>
      </c>
      <c r="X12" s="363">
        <f t="shared" si="6"/>
        <v>12203.032000000001</v>
      </c>
      <c r="Y12" s="363"/>
      <c r="AI12" s="363"/>
      <c r="AJ12" s="363"/>
      <c r="AK12" s="363"/>
      <c r="AL12" s="363"/>
      <c r="AM12" s="363"/>
      <c r="AN12" s="363"/>
    </row>
    <row r="13" spans="1:40">
      <c r="A13" s="2" t="s">
        <v>85</v>
      </c>
      <c r="B13" s="16">
        <f t="shared" ref="B13:N13" si="14">B83*0.8</f>
        <v>117442.488</v>
      </c>
      <c r="C13" s="16">
        <f t="shared" si="14"/>
        <v>30644.144</v>
      </c>
      <c r="D13" s="16">
        <f t="shared" si="14"/>
        <v>3055.2400000000002</v>
      </c>
      <c r="E13" s="16">
        <f t="shared" si="14"/>
        <v>1677.5439999999999</v>
      </c>
      <c r="F13" s="16">
        <f t="shared" si="14"/>
        <v>270507.67200000002</v>
      </c>
      <c r="G13" s="16">
        <f t="shared" si="14"/>
        <v>5477.9760000000006</v>
      </c>
      <c r="H13" s="16">
        <f t="shared" si="14"/>
        <v>4874.8959999999997</v>
      </c>
      <c r="I13" s="16">
        <f t="shared" si="14"/>
        <v>2536.16</v>
      </c>
      <c r="J13" s="16">
        <f t="shared" si="14"/>
        <v>5868.232</v>
      </c>
      <c r="K13" s="16">
        <f t="shared" si="14"/>
        <v>86.951999999999998</v>
      </c>
      <c r="L13" s="16">
        <f t="shared" si="14"/>
        <v>0</v>
      </c>
      <c r="M13" s="16">
        <f t="shared" si="14"/>
        <v>0</v>
      </c>
      <c r="N13" s="16">
        <f t="shared" si="14"/>
        <v>253.60000000000002</v>
      </c>
      <c r="O13" s="16">
        <f t="shared" si="3"/>
        <v>0</v>
      </c>
      <c r="P13" s="16">
        <f t="shared" si="10"/>
        <v>0</v>
      </c>
      <c r="Q13" s="16">
        <f t="shared" si="10"/>
        <v>0</v>
      </c>
      <c r="R13" s="8">
        <f t="shared" si="1"/>
        <v>442424.90399999998</v>
      </c>
      <c r="S13" s="363">
        <f t="shared" si="4"/>
        <v>117442.488</v>
      </c>
      <c r="T13" s="363">
        <f t="shared" si="4"/>
        <v>30644.144</v>
      </c>
      <c r="U13" s="363">
        <f t="shared" si="4"/>
        <v>3055.2400000000002</v>
      </c>
      <c r="V13" s="363">
        <f t="shared" si="4"/>
        <v>1677.5439999999999</v>
      </c>
      <c r="W13" s="363">
        <f t="shared" si="5"/>
        <v>275985.64800000004</v>
      </c>
      <c r="X13" s="363">
        <f t="shared" si="6"/>
        <v>13619.84</v>
      </c>
      <c r="Y13" s="363"/>
      <c r="AI13" s="363"/>
      <c r="AJ13" s="363"/>
      <c r="AK13" s="363"/>
      <c r="AL13" s="363"/>
      <c r="AM13" s="363"/>
      <c r="AN13" s="363"/>
    </row>
    <row r="14" spans="1:40">
      <c r="A14" s="2" t="s">
        <v>86</v>
      </c>
      <c r="B14" s="16">
        <f t="shared" ref="B14:N14" si="15">B84*0.8</f>
        <v>51466.904000000002</v>
      </c>
      <c r="C14" s="16">
        <f t="shared" si="15"/>
        <v>17578.727999999999</v>
      </c>
      <c r="D14" s="16">
        <f t="shared" si="15"/>
        <v>1073.6559999999999</v>
      </c>
      <c r="E14" s="16">
        <f t="shared" si="15"/>
        <v>2534.92</v>
      </c>
      <c r="F14" s="16">
        <f t="shared" si="15"/>
        <v>57388.32</v>
      </c>
      <c r="G14" s="16">
        <f t="shared" si="15"/>
        <v>1912.9440000000004</v>
      </c>
      <c r="H14" s="16">
        <f t="shared" si="15"/>
        <v>2945.5680000000002</v>
      </c>
      <c r="I14" s="16">
        <f t="shared" si="15"/>
        <v>260.85599999999999</v>
      </c>
      <c r="J14" s="16">
        <f t="shared" si="15"/>
        <v>4472.3599999999997</v>
      </c>
      <c r="K14" s="16">
        <f t="shared" si="15"/>
        <v>521.71199999999999</v>
      </c>
      <c r="L14" s="16">
        <f t="shared" si="15"/>
        <v>0</v>
      </c>
      <c r="M14" s="16">
        <f t="shared" si="15"/>
        <v>0</v>
      </c>
      <c r="N14" s="16">
        <f t="shared" si="15"/>
        <v>253.60000000000002</v>
      </c>
      <c r="O14" s="16">
        <f t="shared" si="3"/>
        <v>0</v>
      </c>
      <c r="P14" s="16">
        <f t="shared" si="10"/>
        <v>0</v>
      </c>
      <c r="Q14" s="16">
        <f t="shared" si="10"/>
        <v>0</v>
      </c>
      <c r="R14" s="8">
        <f t="shared" si="1"/>
        <v>140409.56799999997</v>
      </c>
      <c r="S14" s="363">
        <f t="shared" si="4"/>
        <v>51466.904000000002</v>
      </c>
      <c r="T14" s="363">
        <f t="shared" si="4"/>
        <v>17578.727999999999</v>
      </c>
      <c r="U14" s="363">
        <f t="shared" si="4"/>
        <v>1073.6559999999999</v>
      </c>
      <c r="V14" s="363">
        <f t="shared" si="4"/>
        <v>2534.92</v>
      </c>
      <c r="W14" s="363">
        <f t="shared" si="5"/>
        <v>59301.264000000003</v>
      </c>
      <c r="X14" s="363">
        <f t="shared" si="6"/>
        <v>8454.0959999999995</v>
      </c>
      <c r="Y14" s="363"/>
      <c r="AI14" s="363"/>
      <c r="AJ14" s="363"/>
      <c r="AK14" s="363"/>
      <c r="AL14" s="363"/>
      <c r="AM14" s="363"/>
      <c r="AN14" s="363"/>
    </row>
    <row r="15" spans="1:40">
      <c r="A15" s="2" t="s">
        <v>87</v>
      </c>
      <c r="B15" s="16">
        <f t="shared" ref="B15:N15" si="16">B85*0.8</f>
        <v>115179.31200000002</v>
      </c>
      <c r="C15" s="16">
        <f t="shared" si="16"/>
        <v>15437.951999999999</v>
      </c>
      <c r="D15" s="16">
        <f t="shared" si="16"/>
        <v>2360.328</v>
      </c>
      <c r="E15" s="16">
        <f t="shared" si="16"/>
        <v>2813.6960000000004</v>
      </c>
      <c r="F15" s="16">
        <f t="shared" si="16"/>
        <v>277811.64</v>
      </c>
      <c r="G15" s="16">
        <f t="shared" si="16"/>
        <v>1478.1840000000002</v>
      </c>
      <c r="H15" s="16">
        <f t="shared" si="16"/>
        <v>2699.7759999999998</v>
      </c>
      <c r="I15" s="16">
        <f t="shared" si="16"/>
        <v>180.76800000000003</v>
      </c>
      <c r="J15" s="16">
        <f t="shared" si="16"/>
        <v>3848.5119999999997</v>
      </c>
      <c r="K15" s="16">
        <f t="shared" si="16"/>
        <v>695.61599999999999</v>
      </c>
      <c r="L15" s="16">
        <f t="shared" si="16"/>
        <v>0</v>
      </c>
      <c r="M15" s="16">
        <f t="shared" si="16"/>
        <v>0</v>
      </c>
      <c r="N15" s="16">
        <f t="shared" si="16"/>
        <v>202.88</v>
      </c>
      <c r="O15" s="16">
        <f t="shared" si="3"/>
        <v>0</v>
      </c>
      <c r="P15" s="16">
        <f t="shared" si="10"/>
        <v>0</v>
      </c>
      <c r="Q15" s="16">
        <f t="shared" si="10"/>
        <v>0</v>
      </c>
      <c r="R15" s="8">
        <f t="shared" si="1"/>
        <v>422708.66400000005</v>
      </c>
      <c r="S15" s="363">
        <f t="shared" si="4"/>
        <v>115179.31200000002</v>
      </c>
      <c r="T15" s="363">
        <f t="shared" si="4"/>
        <v>15437.951999999999</v>
      </c>
      <c r="U15" s="363">
        <f t="shared" si="4"/>
        <v>2360.328</v>
      </c>
      <c r="V15" s="363">
        <f t="shared" si="4"/>
        <v>2813.6960000000004</v>
      </c>
      <c r="W15" s="363">
        <f t="shared" si="5"/>
        <v>279289.82400000002</v>
      </c>
      <c r="X15" s="363">
        <f t="shared" si="6"/>
        <v>7627.5519999999997</v>
      </c>
      <c r="Y15" s="363"/>
      <c r="AI15" s="363"/>
      <c r="AJ15" s="363"/>
      <c r="AK15" s="363"/>
      <c r="AL15" s="363"/>
      <c r="AM15" s="363"/>
      <c r="AN15" s="363"/>
    </row>
    <row r="16" spans="1:40">
      <c r="A16" s="2" t="s">
        <v>88</v>
      </c>
      <c r="B16" s="16">
        <f t="shared" ref="B16:N16" si="17">B86*0.8</f>
        <v>71242.288</v>
      </c>
      <c r="C16" s="16">
        <f t="shared" si="17"/>
        <v>23924.04</v>
      </c>
      <c r="D16" s="16">
        <f t="shared" si="17"/>
        <v>1215.68</v>
      </c>
      <c r="E16" s="16">
        <f t="shared" si="17"/>
        <v>4961.7360000000008</v>
      </c>
      <c r="F16" s="16">
        <f t="shared" si="17"/>
        <v>177642.93600000002</v>
      </c>
      <c r="G16" s="16">
        <f t="shared" si="17"/>
        <v>2608.56</v>
      </c>
      <c r="H16" s="16">
        <f t="shared" si="17"/>
        <v>4881.1920000000009</v>
      </c>
      <c r="I16" s="16">
        <f t="shared" si="17"/>
        <v>3141.5840000000003</v>
      </c>
      <c r="J16" s="16">
        <f t="shared" si="17"/>
        <v>5406.2800000000007</v>
      </c>
      <c r="K16" s="16">
        <f t="shared" si="17"/>
        <v>1912.944</v>
      </c>
      <c r="L16" s="16">
        <f t="shared" si="17"/>
        <v>0</v>
      </c>
      <c r="M16" s="16">
        <f t="shared" si="17"/>
        <v>0</v>
      </c>
      <c r="N16" s="16">
        <f t="shared" si="17"/>
        <v>253.60000000000002</v>
      </c>
      <c r="O16" s="16">
        <f t="shared" si="3"/>
        <v>0</v>
      </c>
      <c r="P16" s="16">
        <f t="shared" si="10"/>
        <v>0</v>
      </c>
      <c r="Q16" s="16">
        <f t="shared" si="10"/>
        <v>0</v>
      </c>
      <c r="R16" s="8">
        <f t="shared" si="1"/>
        <v>297190.84000000003</v>
      </c>
      <c r="S16" s="363">
        <f t="shared" si="4"/>
        <v>71242.288</v>
      </c>
      <c r="T16" s="363">
        <f t="shared" si="4"/>
        <v>23924.04</v>
      </c>
      <c r="U16" s="363">
        <f t="shared" si="4"/>
        <v>1215.68</v>
      </c>
      <c r="V16" s="363">
        <f t="shared" si="4"/>
        <v>4961.7360000000008</v>
      </c>
      <c r="W16" s="363">
        <f t="shared" si="5"/>
        <v>180251.49600000001</v>
      </c>
      <c r="X16" s="363">
        <f t="shared" si="6"/>
        <v>15595.600000000002</v>
      </c>
      <c r="Y16" s="363"/>
      <c r="AI16" s="363"/>
      <c r="AJ16" s="363"/>
      <c r="AK16" s="363"/>
      <c r="AL16" s="363"/>
      <c r="AM16" s="363"/>
      <c r="AN16" s="363"/>
    </row>
    <row r="17" spans="1:40">
      <c r="A17" s="2" t="s">
        <v>89</v>
      </c>
      <c r="B17" s="16">
        <f t="shared" ref="B17:N17" si="18">B87*0.8</f>
        <v>441141.28</v>
      </c>
      <c r="C17" s="16">
        <f t="shared" si="18"/>
        <v>107947.51200000002</v>
      </c>
      <c r="D17" s="16">
        <f t="shared" si="18"/>
        <v>6900.1039999999994</v>
      </c>
      <c r="E17" s="16">
        <f t="shared" si="18"/>
        <v>16732.816000000003</v>
      </c>
      <c r="F17" s="16">
        <f t="shared" si="18"/>
        <v>507538.82400000002</v>
      </c>
      <c r="G17" s="16">
        <f t="shared" si="18"/>
        <v>13651.464000000002</v>
      </c>
      <c r="H17" s="16">
        <f t="shared" si="18"/>
        <v>19725.207999999999</v>
      </c>
      <c r="I17" s="16">
        <f t="shared" si="18"/>
        <v>1468.3040000000001</v>
      </c>
      <c r="J17" s="16">
        <f t="shared" si="18"/>
        <v>26419.088000000003</v>
      </c>
      <c r="K17" s="16">
        <f t="shared" si="18"/>
        <v>2434.6560000000004</v>
      </c>
      <c r="L17" s="16">
        <f t="shared" si="18"/>
        <v>0</v>
      </c>
      <c r="M17" s="16">
        <f t="shared" si="18"/>
        <v>0</v>
      </c>
      <c r="N17" s="16">
        <f t="shared" si="18"/>
        <v>608.64</v>
      </c>
      <c r="O17" s="16">
        <f t="shared" si="3"/>
        <v>0</v>
      </c>
      <c r="P17" s="16">
        <f t="shared" si="10"/>
        <v>0</v>
      </c>
      <c r="Q17" s="16">
        <f t="shared" si="10"/>
        <v>0</v>
      </c>
      <c r="R17" s="8">
        <f t="shared" si="1"/>
        <v>1144567.8959999999</v>
      </c>
      <c r="S17" s="363">
        <f t="shared" si="4"/>
        <v>441141.28</v>
      </c>
      <c r="T17" s="363">
        <f t="shared" si="4"/>
        <v>107947.51200000002</v>
      </c>
      <c r="U17" s="363">
        <f t="shared" si="4"/>
        <v>6900.1039999999994</v>
      </c>
      <c r="V17" s="363">
        <f t="shared" si="4"/>
        <v>16732.816000000003</v>
      </c>
      <c r="W17" s="363">
        <f t="shared" si="5"/>
        <v>521190.288</v>
      </c>
      <c r="X17" s="363">
        <f t="shared" si="6"/>
        <v>50655.896000000008</v>
      </c>
      <c r="Y17" s="363"/>
      <c r="AI17" s="363"/>
      <c r="AJ17" s="363"/>
      <c r="AK17" s="363"/>
      <c r="AL17" s="363"/>
      <c r="AM17" s="363"/>
      <c r="AN17" s="363"/>
    </row>
    <row r="18" spans="1:40">
      <c r="A18" s="2" t="s">
        <v>90</v>
      </c>
      <c r="B18" s="16">
        <f t="shared" ref="B18:N18" si="19">B88*0.8</f>
        <v>70927.407999999996</v>
      </c>
      <c r="C18" s="16">
        <f t="shared" si="19"/>
        <v>20652.312000000002</v>
      </c>
      <c r="D18" s="16">
        <f t="shared" si="19"/>
        <v>1816.4720000000002</v>
      </c>
      <c r="E18" s="16">
        <f t="shared" si="19"/>
        <v>1918.8560000000002</v>
      </c>
      <c r="F18" s="16">
        <f t="shared" si="19"/>
        <v>100777.36800000002</v>
      </c>
      <c r="G18" s="16">
        <f t="shared" si="19"/>
        <v>3304.1760000000004</v>
      </c>
      <c r="H18" s="16">
        <f t="shared" si="19"/>
        <v>3827.0400000000004</v>
      </c>
      <c r="I18" s="16">
        <f t="shared" si="19"/>
        <v>0</v>
      </c>
      <c r="J18" s="16">
        <f t="shared" si="19"/>
        <v>5113.4639999999999</v>
      </c>
      <c r="K18" s="16">
        <f t="shared" si="19"/>
        <v>1043.424</v>
      </c>
      <c r="L18" s="16">
        <f t="shared" si="19"/>
        <v>0</v>
      </c>
      <c r="M18" s="16">
        <f t="shared" si="19"/>
        <v>0</v>
      </c>
      <c r="N18" s="16">
        <f t="shared" si="19"/>
        <v>177.52</v>
      </c>
      <c r="O18" s="16">
        <f t="shared" si="3"/>
        <v>0</v>
      </c>
      <c r="P18" s="16">
        <f t="shared" si="10"/>
        <v>0</v>
      </c>
      <c r="Q18" s="16">
        <f t="shared" si="10"/>
        <v>0</v>
      </c>
      <c r="R18" s="8">
        <f t="shared" si="1"/>
        <v>209558.04000000004</v>
      </c>
      <c r="S18" s="363">
        <f t="shared" si="4"/>
        <v>70927.407999999996</v>
      </c>
      <c r="T18" s="363">
        <f t="shared" si="4"/>
        <v>20652.312000000002</v>
      </c>
      <c r="U18" s="363">
        <f t="shared" si="4"/>
        <v>1816.4720000000002</v>
      </c>
      <c r="V18" s="363">
        <f t="shared" si="4"/>
        <v>1918.8560000000002</v>
      </c>
      <c r="W18" s="363">
        <f t="shared" si="5"/>
        <v>104081.54400000002</v>
      </c>
      <c r="X18" s="363">
        <f t="shared" si="6"/>
        <v>10161.448</v>
      </c>
      <c r="Y18" s="363"/>
      <c r="AI18" s="363"/>
      <c r="AJ18" s="363"/>
      <c r="AK18" s="363"/>
      <c r="AL18" s="363"/>
      <c r="AM18" s="363"/>
      <c r="AN18" s="363"/>
    </row>
    <row r="19" spans="1:40">
      <c r="A19" s="2" t="s">
        <v>91</v>
      </c>
      <c r="B19" s="16">
        <f t="shared" ref="B19:N19" si="20">B89*0.8</f>
        <v>61212.088000000003</v>
      </c>
      <c r="C19" s="16">
        <f t="shared" si="20"/>
        <v>25568.616000000002</v>
      </c>
      <c r="D19" s="16">
        <f t="shared" si="20"/>
        <v>1342.48</v>
      </c>
      <c r="E19" s="16">
        <f t="shared" si="20"/>
        <v>1585.5200000000002</v>
      </c>
      <c r="F19" s="16">
        <f t="shared" si="20"/>
        <v>97560.144</v>
      </c>
      <c r="G19" s="16">
        <f t="shared" si="20"/>
        <v>2173.8000000000002</v>
      </c>
      <c r="H19" s="16">
        <f t="shared" si="20"/>
        <v>3782.424</v>
      </c>
      <c r="I19" s="16">
        <f t="shared" si="20"/>
        <v>0</v>
      </c>
      <c r="J19" s="16">
        <f t="shared" si="20"/>
        <v>5922.728000000001</v>
      </c>
      <c r="K19" s="16">
        <f t="shared" si="20"/>
        <v>173.904</v>
      </c>
      <c r="L19" s="16">
        <f>L89*0.8</f>
        <v>0</v>
      </c>
      <c r="M19" s="16">
        <f t="shared" si="20"/>
        <v>0</v>
      </c>
      <c r="N19" s="16">
        <f t="shared" si="20"/>
        <v>228.24</v>
      </c>
      <c r="O19" s="16">
        <f t="shared" si="3"/>
        <v>0</v>
      </c>
      <c r="P19" s="16">
        <f t="shared" si="10"/>
        <v>26.751999999999999</v>
      </c>
      <c r="Q19" s="16">
        <f t="shared" si="10"/>
        <v>321.36799999999999</v>
      </c>
      <c r="R19" s="8">
        <f t="shared" si="1"/>
        <v>199898.06399999998</v>
      </c>
      <c r="S19" s="363">
        <f t="shared" si="4"/>
        <v>61212.088000000003</v>
      </c>
      <c r="T19" s="363">
        <f t="shared" si="4"/>
        <v>25568.616000000002</v>
      </c>
      <c r="U19" s="363">
        <f t="shared" si="4"/>
        <v>1342.48</v>
      </c>
      <c r="V19" s="363">
        <f t="shared" si="4"/>
        <v>1585.5200000000002</v>
      </c>
      <c r="W19" s="363">
        <f t="shared" si="5"/>
        <v>99733.944000000003</v>
      </c>
      <c r="X19" s="363">
        <f t="shared" si="6"/>
        <v>10455.416000000003</v>
      </c>
      <c r="Y19" s="363"/>
      <c r="AI19" s="363"/>
      <c r="AJ19" s="363"/>
      <c r="AK19" s="363"/>
      <c r="AL19" s="363"/>
      <c r="AM19" s="363"/>
      <c r="AN19" s="363"/>
    </row>
    <row r="20" spans="1:40">
      <c r="A20" s="2" t="s">
        <v>92</v>
      </c>
      <c r="B20" s="16">
        <f t="shared" ref="B20:N20" si="21">B90*0.8</f>
        <v>358492.76</v>
      </c>
      <c r="C20" s="16">
        <f t="shared" si="21"/>
        <v>69937.831999999995</v>
      </c>
      <c r="D20" s="16">
        <f t="shared" si="21"/>
        <v>7121.576</v>
      </c>
      <c r="E20" s="16">
        <f t="shared" si="21"/>
        <v>17452.52</v>
      </c>
      <c r="F20" s="16">
        <f t="shared" si="21"/>
        <v>572578.92000000004</v>
      </c>
      <c r="G20" s="16">
        <f t="shared" si="21"/>
        <v>7217.0160000000005</v>
      </c>
      <c r="H20" s="16">
        <f t="shared" si="21"/>
        <v>12663.344000000001</v>
      </c>
      <c r="I20" s="16">
        <f t="shared" si="21"/>
        <v>1824.1360000000002</v>
      </c>
      <c r="J20" s="16">
        <f t="shared" si="21"/>
        <v>18686.072</v>
      </c>
      <c r="K20" s="16">
        <f t="shared" si="21"/>
        <v>5130.1680000000006</v>
      </c>
      <c r="L20" s="16">
        <f t="shared" si="21"/>
        <v>173.904</v>
      </c>
      <c r="M20" s="16">
        <f t="shared" si="21"/>
        <v>0</v>
      </c>
      <c r="N20" s="16">
        <f t="shared" si="21"/>
        <v>760.80000000000007</v>
      </c>
      <c r="O20" s="16">
        <f t="shared" si="3"/>
        <v>0</v>
      </c>
      <c r="P20" s="16">
        <f t="shared" si="10"/>
        <v>0</v>
      </c>
      <c r="Q20" s="16">
        <f t="shared" si="10"/>
        <v>0</v>
      </c>
      <c r="R20" s="8">
        <f t="shared" si="1"/>
        <v>1072039.0480000002</v>
      </c>
      <c r="S20" s="363">
        <f t="shared" si="4"/>
        <v>358492.76</v>
      </c>
      <c r="T20" s="363">
        <f t="shared" si="4"/>
        <v>69937.831999999995</v>
      </c>
      <c r="U20" s="363">
        <f t="shared" si="4"/>
        <v>7121.576</v>
      </c>
      <c r="V20" s="363">
        <f t="shared" si="4"/>
        <v>17452.52</v>
      </c>
      <c r="W20" s="363">
        <f t="shared" si="5"/>
        <v>579795.93599999999</v>
      </c>
      <c r="X20" s="363">
        <f t="shared" si="6"/>
        <v>39238.424000000006</v>
      </c>
      <c r="Y20" s="363"/>
      <c r="AI20" s="363"/>
      <c r="AJ20" s="363"/>
      <c r="AK20" s="363"/>
      <c r="AL20" s="363"/>
      <c r="AM20" s="363"/>
      <c r="AN20" s="363"/>
    </row>
    <row r="21" spans="1:40">
      <c r="A21" s="2" t="s">
        <v>93</v>
      </c>
      <c r="B21" s="16">
        <f t="shared" ref="B21:N21" si="22">B91*0.8</f>
        <v>130141.98400000001</v>
      </c>
      <c r="C21" s="16">
        <f t="shared" si="22"/>
        <v>45471.288</v>
      </c>
      <c r="D21" s="16">
        <f t="shared" si="22"/>
        <v>2000.768</v>
      </c>
      <c r="E21" s="16">
        <f t="shared" si="22"/>
        <v>2596.4240000000004</v>
      </c>
      <c r="F21" s="16">
        <f t="shared" si="22"/>
        <v>165556.60800000001</v>
      </c>
      <c r="G21" s="16">
        <f t="shared" si="22"/>
        <v>4521.5039999999999</v>
      </c>
      <c r="H21" s="16">
        <f t="shared" si="22"/>
        <v>5843.2560000000003</v>
      </c>
      <c r="I21" s="16">
        <f t="shared" si="22"/>
        <v>4810.5039999999999</v>
      </c>
      <c r="J21" s="16">
        <f t="shared" si="22"/>
        <v>10390.880000000001</v>
      </c>
      <c r="K21" s="16">
        <f t="shared" si="22"/>
        <v>608.6640000000001</v>
      </c>
      <c r="L21" s="16">
        <f t="shared" si="22"/>
        <v>173.904</v>
      </c>
      <c r="M21" s="16">
        <f t="shared" si="22"/>
        <v>0</v>
      </c>
      <c r="N21" s="16">
        <f t="shared" si="22"/>
        <v>405.76</v>
      </c>
      <c r="O21" s="16">
        <f t="shared" si="3"/>
        <v>0</v>
      </c>
      <c r="P21" s="16">
        <f t="shared" si="10"/>
        <v>0</v>
      </c>
      <c r="Q21" s="16">
        <f t="shared" si="10"/>
        <v>0</v>
      </c>
      <c r="R21" s="8">
        <f t="shared" si="1"/>
        <v>372521.54400000005</v>
      </c>
      <c r="S21" s="363">
        <f t="shared" si="4"/>
        <v>130141.98400000001</v>
      </c>
      <c r="T21" s="363">
        <f t="shared" si="4"/>
        <v>45471.288</v>
      </c>
      <c r="U21" s="363">
        <f t="shared" si="4"/>
        <v>2000.768</v>
      </c>
      <c r="V21" s="363">
        <f t="shared" si="4"/>
        <v>2596.4240000000004</v>
      </c>
      <c r="W21" s="363">
        <f t="shared" si="5"/>
        <v>170078.11199999999</v>
      </c>
      <c r="X21" s="363">
        <f t="shared" si="6"/>
        <v>22232.967999999997</v>
      </c>
      <c r="Y21" s="363"/>
      <c r="AI21" s="363"/>
      <c r="AJ21" s="363"/>
      <c r="AK21" s="363"/>
      <c r="AL21" s="363"/>
      <c r="AM21" s="363"/>
      <c r="AN21" s="363"/>
    </row>
    <row r="22" spans="1:40">
      <c r="A22" s="2" t="s">
        <v>94</v>
      </c>
      <c r="B22" s="16">
        <f t="shared" ref="B22:N22" si="23">B92*0.8</f>
        <v>33896.048000000003</v>
      </c>
      <c r="C22" s="16">
        <f t="shared" si="23"/>
        <v>4931.3600000000006</v>
      </c>
      <c r="D22" s="16">
        <f t="shared" si="23"/>
        <v>542.74400000000003</v>
      </c>
      <c r="E22" s="16">
        <f t="shared" si="23"/>
        <v>603.39200000000005</v>
      </c>
      <c r="F22" s="16">
        <f t="shared" si="23"/>
        <v>44432.472000000002</v>
      </c>
      <c r="G22" s="16">
        <f t="shared" si="23"/>
        <v>1912.9440000000004</v>
      </c>
      <c r="H22" s="16">
        <f t="shared" si="23"/>
        <v>666.80799999999999</v>
      </c>
      <c r="I22" s="16">
        <f t="shared" si="23"/>
        <v>0</v>
      </c>
      <c r="J22" s="16">
        <f t="shared" si="23"/>
        <v>1161.6000000000001</v>
      </c>
      <c r="K22" s="16">
        <f t="shared" si="23"/>
        <v>173.904</v>
      </c>
      <c r="L22" s="16">
        <f t="shared" si="23"/>
        <v>0</v>
      </c>
      <c r="M22" s="16">
        <f t="shared" si="23"/>
        <v>0</v>
      </c>
      <c r="N22" s="16">
        <f t="shared" si="23"/>
        <v>50.72</v>
      </c>
      <c r="O22" s="16">
        <f t="shared" si="3"/>
        <v>0</v>
      </c>
      <c r="P22" s="16">
        <f>P92</f>
        <v>0</v>
      </c>
      <c r="Q22" s="16">
        <f>Q92</f>
        <v>0</v>
      </c>
      <c r="R22" s="8">
        <f t="shared" si="1"/>
        <v>88371.992000000013</v>
      </c>
      <c r="S22" s="363">
        <f t="shared" si="4"/>
        <v>33896.048000000003</v>
      </c>
      <c r="T22" s="363">
        <f t="shared" si="4"/>
        <v>4931.3600000000006</v>
      </c>
      <c r="U22" s="363">
        <f t="shared" si="4"/>
        <v>542.74400000000003</v>
      </c>
      <c r="V22" s="363">
        <f t="shared" si="4"/>
        <v>603.39200000000005</v>
      </c>
      <c r="W22" s="363">
        <f t="shared" si="5"/>
        <v>46345.416000000005</v>
      </c>
      <c r="X22" s="363">
        <f t="shared" si="6"/>
        <v>2053.0320000000002</v>
      </c>
      <c r="Y22" s="363"/>
      <c r="AI22" s="363"/>
      <c r="AJ22" s="363"/>
      <c r="AK22" s="363"/>
      <c r="AL22" s="363"/>
      <c r="AM22" s="363"/>
      <c r="AN22" s="363"/>
    </row>
    <row r="23" spans="1:40">
      <c r="A23" s="2" t="s">
        <v>95</v>
      </c>
      <c r="B23" s="16">
        <f t="shared" ref="B23:N23" si="24">B93*0.8</f>
        <v>408230.95200000005</v>
      </c>
      <c r="C23" s="16">
        <f t="shared" si="24"/>
        <v>77149.736000000004</v>
      </c>
      <c r="D23" s="16">
        <f t="shared" si="24"/>
        <v>12107.744000000001</v>
      </c>
      <c r="E23" s="16">
        <f t="shared" si="24"/>
        <v>13079.64</v>
      </c>
      <c r="F23" s="16">
        <f t="shared" si="24"/>
        <v>548058.45600000001</v>
      </c>
      <c r="G23" s="16">
        <f t="shared" si="24"/>
        <v>20868.48</v>
      </c>
      <c r="H23" s="16">
        <f t="shared" si="24"/>
        <v>12813.072</v>
      </c>
      <c r="I23" s="16">
        <f t="shared" si="24"/>
        <v>3436.2240000000002</v>
      </c>
      <c r="J23" s="16">
        <f t="shared" si="24"/>
        <v>19046.719999999998</v>
      </c>
      <c r="K23" s="16">
        <f t="shared" si="24"/>
        <v>2086.848</v>
      </c>
      <c r="L23" s="16">
        <f t="shared" si="24"/>
        <v>0</v>
      </c>
      <c r="M23" s="16">
        <f t="shared" si="24"/>
        <v>0</v>
      </c>
      <c r="N23" s="16">
        <f t="shared" si="24"/>
        <v>1141.2</v>
      </c>
      <c r="O23" s="16">
        <f t="shared" si="3"/>
        <v>0</v>
      </c>
      <c r="P23" s="16">
        <f t="shared" ref="P23:Q28" si="25">P93*0.8</f>
        <v>0</v>
      </c>
      <c r="Q23" s="16">
        <f t="shared" si="25"/>
        <v>0</v>
      </c>
      <c r="R23" s="8">
        <f t="shared" si="1"/>
        <v>1118019.0719999999</v>
      </c>
      <c r="S23" s="363">
        <f t="shared" si="4"/>
        <v>408230.95200000005</v>
      </c>
      <c r="T23" s="363">
        <f t="shared" si="4"/>
        <v>77149.736000000004</v>
      </c>
      <c r="U23" s="363">
        <f t="shared" si="4"/>
        <v>12107.744000000001</v>
      </c>
      <c r="V23" s="363">
        <f t="shared" si="4"/>
        <v>13079.64</v>
      </c>
      <c r="W23" s="363">
        <f t="shared" si="5"/>
        <v>568926.93599999999</v>
      </c>
      <c r="X23" s="363">
        <f t="shared" si="6"/>
        <v>38524.063999999991</v>
      </c>
      <c r="Y23" s="363"/>
      <c r="AI23" s="363"/>
      <c r="AJ23" s="363"/>
      <c r="AK23" s="363"/>
      <c r="AL23" s="363"/>
      <c r="AM23" s="363"/>
      <c r="AN23" s="363"/>
    </row>
    <row r="24" spans="1:40">
      <c r="A24" s="2" t="s">
        <v>96</v>
      </c>
      <c r="B24" s="16">
        <f t="shared" ref="B24:N24" si="26">B94*0.8</f>
        <v>72613.824000000008</v>
      </c>
      <c r="C24" s="16">
        <f t="shared" si="26"/>
        <v>14261.536000000002</v>
      </c>
      <c r="D24" s="16">
        <f t="shared" si="26"/>
        <v>852.15200000000004</v>
      </c>
      <c r="E24" s="16">
        <f t="shared" si="26"/>
        <v>937.92800000000011</v>
      </c>
      <c r="F24" s="16">
        <f t="shared" si="26"/>
        <v>78778.512000000002</v>
      </c>
      <c r="G24" s="16">
        <f t="shared" si="26"/>
        <v>4086.7440000000006</v>
      </c>
      <c r="H24" s="16">
        <f t="shared" si="26"/>
        <v>2221.0160000000005</v>
      </c>
      <c r="I24" s="16">
        <f t="shared" si="26"/>
        <v>768.08800000000008</v>
      </c>
      <c r="J24" s="16">
        <f t="shared" si="26"/>
        <v>3175.92</v>
      </c>
      <c r="K24" s="16">
        <f t="shared" si="26"/>
        <v>347.80799999999999</v>
      </c>
      <c r="L24" s="16">
        <f t="shared" si="26"/>
        <v>0</v>
      </c>
      <c r="M24" s="16">
        <f t="shared" si="26"/>
        <v>0</v>
      </c>
      <c r="N24" s="16">
        <f t="shared" si="26"/>
        <v>177.52</v>
      </c>
      <c r="O24" s="16">
        <f t="shared" si="3"/>
        <v>0</v>
      </c>
      <c r="P24" s="16">
        <f t="shared" si="25"/>
        <v>0</v>
      </c>
      <c r="Q24" s="16">
        <f t="shared" si="25"/>
        <v>0</v>
      </c>
      <c r="R24" s="8">
        <f t="shared" si="1"/>
        <v>178221.04800000001</v>
      </c>
      <c r="S24" s="363">
        <f t="shared" si="4"/>
        <v>72613.824000000008</v>
      </c>
      <c r="T24" s="363">
        <f t="shared" si="4"/>
        <v>14261.536000000002</v>
      </c>
      <c r="U24" s="363">
        <f t="shared" si="4"/>
        <v>852.15200000000004</v>
      </c>
      <c r="V24" s="363">
        <f t="shared" si="4"/>
        <v>937.92800000000011</v>
      </c>
      <c r="W24" s="363">
        <f t="shared" si="5"/>
        <v>82865.256000000008</v>
      </c>
      <c r="X24" s="363">
        <f t="shared" si="6"/>
        <v>6690.3520000000017</v>
      </c>
      <c r="Y24" s="363"/>
      <c r="AI24" s="363"/>
      <c r="AJ24" s="363"/>
      <c r="AK24" s="363"/>
      <c r="AL24" s="363"/>
      <c r="AM24" s="363"/>
      <c r="AN24" s="363"/>
    </row>
    <row r="25" spans="1:40">
      <c r="A25" s="2" t="s">
        <v>97</v>
      </c>
      <c r="B25" s="16">
        <f t="shared" ref="B25:N25" si="27">B95*0.8</f>
        <v>453470.88</v>
      </c>
      <c r="C25" s="16">
        <f t="shared" si="27"/>
        <v>102612.984</v>
      </c>
      <c r="D25" s="16">
        <f t="shared" si="27"/>
        <v>12020.928</v>
      </c>
      <c r="E25" s="16">
        <f t="shared" si="27"/>
        <v>20886.192000000003</v>
      </c>
      <c r="F25" s="16">
        <f t="shared" si="27"/>
        <v>752482.60800000001</v>
      </c>
      <c r="G25" s="16">
        <f t="shared" si="27"/>
        <v>12260.232000000002</v>
      </c>
      <c r="H25" s="16">
        <f t="shared" si="27"/>
        <v>21417.008000000002</v>
      </c>
      <c r="I25" s="16">
        <f t="shared" si="27"/>
        <v>2067.2400000000002</v>
      </c>
      <c r="J25" s="16">
        <f t="shared" si="27"/>
        <v>27165.024000000001</v>
      </c>
      <c r="K25" s="16">
        <f t="shared" si="27"/>
        <v>1739.0400000000002</v>
      </c>
      <c r="L25" s="16">
        <f t="shared" si="27"/>
        <v>0</v>
      </c>
      <c r="M25" s="16">
        <f t="shared" si="27"/>
        <v>280.23200000000003</v>
      </c>
      <c r="N25" s="16">
        <f t="shared" si="27"/>
        <v>532.56000000000006</v>
      </c>
      <c r="O25" s="16">
        <f t="shared" si="3"/>
        <v>0</v>
      </c>
      <c r="P25" s="16">
        <f t="shared" si="25"/>
        <v>0</v>
      </c>
      <c r="Q25" s="16">
        <f t="shared" si="25"/>
        <v>0</v>
      </c>
      <c r="R25" s="8">
        <f t="shared" si="1"/>
        <v>1406934.9280000003</v>
      </c>
      <c r="S25" s="363">
        <f t="shared" si="4"/>
        <v>453470.88</v>
      </c>
      <c r="T25" s="363">
        <f t="shared" si="4"/>
        <v>102612.984</v>
      </c>
      <c r="U25" s="363">
        <f t="shared" si="4"/>
        <v>12020.928</v>
      </c>
      <c r="V25" s="363">
        <f t="shared" si="4"/>
        <v>20886.192000000003</v>
      </c>
      <c r="W25" s="363">
        <f t="shared" si="5"/>
        <v>764742.84</v>
      </c>
      <c r="X25" s="363">
        <f t="shared" si="6"/>
        <v>53201.104000000007</v>
      </c>
      <c r="Y25" s="363"/>
      <c r="AI25" s="363"/>
      <c r="AJ25" s="363"/>
      <c r="AK25" s="363"/>
      <c r="AL25" s="363"/>
      <c r="AM25" s="363"/>
      <c r="AN25" s="363"/>
    </row>
    <row r="26" spans="1:40">
      <c r="A26" s="2" t="s">
        <v>98</v>
      </c>
      <c r="B26" s="16">
        <f t="shared" ref="B26:N26" si="28">B96*0.8</f>
        <v>34653.408000000003</v>
      </c>
      <c r="C26" s="16">
        <f t="shared" si="28"/>
        <v>11613.936</v>
      </c>
      <c r="D26" s="16">
        <f t="shared" si="28"/>
        <v>405.79200000000003</v>
      </c>
      <c r="E26" s="16">
        <f t="shared" si="28"/>
        <v>2155.248</v>
      </c>
      <c r="F26" s="16">
        <f t="shared" si="28"/>
        <v>82604.400000000009</v>
      </c>
      <c r="G26" s="16">
        <f t="shared" si="28"/>
        <v>3304.1759999999995</v>
      </c>
      <c r="H26" s="16">
        <f t="shared" si="28"/>
        <v>1773.5119999999999</v>
      </c>
      <c r="I26" s="16">
        <f t="shared" si="28"/>
        <v>0</v>
      </c>
      <c r="J26" s="16">
        <f t="shared" si="28"/>
        <v>3008.7920000000004</v>
      </c>
      <c r="K26" s="16">
        <f t="shared" si="28"/>
        <v>0</v>
      </c>
      <c r="L26" s="16">
        <f t="shared" si="28"/>
        <v>0</v>
      </c>
      <c r="M26" s="16">
        <f t="shared" si="28"/>
        <v>0</v>
      </c>
      <c r="N26" s="16">
        <f t="shared" si="28"/>
        <v>76.08</v>
      </c>
      <c r="O26" s="16">
        <f t="shared" si="3"/>
        <v>0</v>
      </c>
      <c r="P26" s="16">
        <f>P96</f>
        <v>0</v>
      </c>
      <c r="Q26" s="16">
        <f>Q96</f>
        <v>0</v>
      </c>
      <c r="R26" s="8">
        <f t="shared" si="1"/>
        <v>139595.34399999998</v>
      </c>
      <c r="S26" s="363">
        <f t="shared" si="4"/>
        <v>34653.408000000003</v>
      </c>
      <c r="T26" s="363">
        <f t="shared" si="4"/>
        <v>11613.936</v>
      </c>
      <c r="U26" s="363">
        <f t="shared" si="4"/>
        <v>405.79200000000003</v>
      </c>
      <c r="V26" s="363">
        <f t="shared" si="4"/>
        <v>2155.248</v>
      </c>
      <c r="W26" s="363">
        <f t="shared" si="5"/>
        <v>85908.576000000001</v>
      </c>
      <c r="X26" s="363">
        <f t="shared" si="6"/>
        <v>4858.384</v>
      </c>
      <c r="Y26" s="363"/>
      <c r="AI26" s="363"/>
      <c r="AJ26" s="363"/>
      <c r="AK26" s="363"/>
      <c r="AL26" s="363"/>
      <c r="AM26" s="363"/>
      <c r="AN26" s="363"/>
    </row>
    <row r="27" spans="1:40">
      <c r="A27" s="2" t="s">
        <v>99</v>
      </c>
      <c r="B27" s="16">
        <f t="shared" ref="B27:N27" si="29">B97*0.8</f>
        <v>5508.3919999999998</v>
      </c>
      <c r="C27" s="16">
        <f t="shared" si="29"/>
        <v>182.84000000000003</v>
      </c>
      <c r="D27" s="16">
        <f t="shared" si="29"/>
        <v>40.576000000000001</v>
      </c>
      <c r="E27" s="16">
        <f t="shared" si="29"/>
        <v>179.03200000000001</v>
      </c>
      <c r="F27" s="16">
        <f t="shared" si="29"/>
        <v>17129.544000000002</v>
      </c>
      <c r="G27" s="16">
        <f t="shared" si="29"/>
        <v>86.951999999999998</v>
      </c>
      <c r="H27" s="16">
        <f t="shared" si="29"/>
        <v>24.840000000000003</v>
      </c>
      <c r="I27" s="16">
        <f t="shared" si="29"/>
        <v>0</v>
      </c>
      <c r="J27" s="16">
        <f t="shared" si="29"/>
        <v>77.344000000000008</v>
      </c>
      <c r="K27" s="16">
        <f t="shared" si="29"/>
        <v>0</v>
      </c>
      <c r="L27" s="16">
        <f t="shared" si="29"/>
        <v>0</v>
      </c>
      <c r="M27" s="16">
        <f t="shared" si="29"/>
        <v>0</v>
      </c>
      <c r="N27" s="16">
        <f t="shared" si="29"/>
        <v>0</v>
      </c>
      <c r="O27" s="16">
        <f t="shared" si="3"/>
        <v>0</v>
      </c>
      <c r="P27" s="16">
        <f t="shared" si="25"/>
        <v>0</v>
      </c>
      <c r="Q27" s="16">
        <f t="shared" si="25"/>
        <v>0</v>
      </c>
      <c r="R27" s="8">
        <f t="shared" si="1"/>
        <v>23229.520000000004</v>
      </c>
      <c r="S27" s="363">
        <f t="shared" si="4"/>
        <v>5508.3919999999998</v>
      </c>
      <c r="T27" s="363">
        <f t="shared" si="4"/>
        <v>182.84000000000003</v>
      </c>
      <c r="U27" s="363">
        <f t="shared" si="4"/>
        <v>40.576000000000001</v>
      </c>
      <c r="V27" s="363">
        <f t="shared" si="4"/>
        <v>179.03200000000001</v>
      </c>
      <c r="W27" s="363">
        <f t="shared" si="5"/>
        <v>17216.496000000003</v>
      </c>
      <c r="X27" s="363">
        <f t="shared" si="6"/>
        <v>102.18400000000001</v>
      </c>
      <c r="Y27" s="363"/>
      <c r="AI27" s="363"/>
      <c r="AJ27" s="363"/>
      <c r="AK27" s="363"/>
      <c r="AL27" s="363"/>
      <c r="AM27" s="363"/>
      <c r="AN27" s="363"/>
    </row>
    <row r="28" spans="1:40">
      <c r="A28" s="2" t="s">
        <v>100</v>
      </c>
      <c r="B28" s="16">
        <f t="shared" ref="B28:N28" si="30">B98*0.8</f>
        <v>315602.16000000003</v>
      </c>
      <c r="C28" s="16">
        <f t="shared" si="30"/>
        <v>110921.58399999999</v>
      </c>
      <c r="D28" s="16">
        <f t="shared" si="30"/>
        <v>10899.6</v>
      </c>
      <c r="E28" s="16">
        <f t="shared" si="30"/>
        <v>39991.112000000001</v>
      </c>
      <c r="F28" s="16">
        <f t="shared" si="30"/>
        <v>499539.24000000005</v>
      </c>
      <c r="G28" s="16">
        <f t="shared" si="30"/>
        <v>5304.0720000000001</v>
      </c>
      <c r="H28" s="16">
        <f t="shared" si="30"/>
        <v>19101.335999999996</v>
      </c>
      <c r="I28" s="16">
        <f t="shared" si="30"/>
        <v>0</v>
      </c>
      <c r="J28" s="16">
        <f t="shared" si="30"/>
        <v>31536.512000000002</v>
      </c>
      <c r="K28" s="16">
        <f t="shared" si="30"/>
        <v>1304.28</v>
      </c>
      <c r="L28" s="16">
        <f t="shared" si="30"/>
        <v>173.904</v>
      </c>
      <c r="M28" s="16">
        <f t="shared" si="30"/>
        <v>0</v>
      </c>
      <c r="N28" s="16">
        <f t="shared" si="30"/>
        <v>659.36000000000013</v>
      </c>
      <c r="O28" s="16">
        <f t="shared" si="3"/>
        <v>0</v>
      </c>
      <c r="P28" s="16">
        <f t="shared" si="25"/>
        <v>0</v>
      </c>
      <c r="Q28" s="16">
        <f t="shared" si="25"/>
        <v>0</v>
      </c>
      <c r="R28" s="8">
        <f t="shared" si="1"/>
        <v>1035033.16</v>
      </c>
      <c r="S28" s="363">
        <f t="shared" si="4"/>
        <v>315602.16000000003</v>
      </c>
      <c r="T28" s="363">
        <f t="shared" si="4"/>
        <v>110921.58399999999</v>
      </c>
      <c r="U28" s="363">
        <f t="shared" si="4"/>
        <v>10899.6</v>
      </c>
      <c r="V28" s="363">
        <f t="shared" si="4"/>
        <v>39991.112000000001</v>
      </c>
      <c r="W28" s="363">
        <f t="shared" si="5"/>
        <v>504843.31200000003</v>
      </c>
      <c r="X28" s="363">
        <f t="shared" si="6"/>
        <v>52775.392</v>
      </c>
      <c r="Y28" s="363"/>
      <c r="AI28" s="363"/>
      <c r="AJ28" s="363"/>
      <c r="AK28" s="363"/>
      <c r="AL28" s="363"/>
      <c r="AM28" s="363"/>
      <c r="AN28" s="363"/>
    </row>
    <row r="29" spans="1:40">
      <c r="A29" s="2" t="s">
        <v>101</v>
      </c>
      <c r="B29" s="16">
        <f t="shared" ref="B29:N29" si="31">B99*0.8</f>
        <v>1538621.6</v>
      </c>
      <c r="C29" s="16">
        <f t="shared" si="31"/>
        <v>399717.19200000004</v>
      </c>
      <c r="D29" s="16">
        <f t="shared" si="31"/>
        <v>28406.184000000005</v>
      </c>
      <c r="E29" s="16">
        <f t="shared" si="31"/>
        <v>69605.208000000013</v>
      </c>
      <c r="F29" s="16">
        <f t="shared" si="31"/>
        <v>2856981.8640000001</v>
      </c>
      <c r="G29" s="16">
        <f t="shared" si="31"/>
        <v>31998.335999999999</v>
      </c>
      <c r="H29" s="16">
        <f t="shared" si="31"/>
        <v>107671.18399999999</v>
      </c>
      <c r="I29" s="16">
        <f t="shared" si="31"/>
        <v>9870.9680000000008</v>
      </c>
      <c r="J29" s="16">
        <f t="shared" si="31"/>
        <v>102518.8</v>
      </c>
      <c r="K29" s="16">
        <f t="shared" si="31"/>
        <v>6434.4480000000003</v>
      </c>
      <c r="L29" s="16">
        <f t="shared" si="31"/>
        <v>1217.3280000000002</v>
      </c>
      <c r="M29" s="16">
        <f t="shared" si="31"/>
        <v>0</v>
      </c>
      <c r="N29" s="16">
        <f t="shared" si="31"/>
        <v>3347.52</v>
      </c>
      <c r="O29" s="16">
        <f t="shared" si="3"/>
        <v>0</v>
      </c>
      <c r="P29" s="16">
        <f>P99</f>
        <v>723.56</v>
      </c>
      <c r="Q29" s="16">
        <f>Q99</f>
        <v>14612.41</v>
      </c>
      <c r="R29" s="8">
        <f t="shared" si="1"/>
        <v>5171726.602</v>
      </c>
      <c r="S29" s="363">
        <f t="shared" si="4"/>
        <v>1538621.6</v>
      </c>
      <c r="T29" s="363">
        <f t="shared" si="4"/>
        <v>399717.19200000004</v>
      </c>
      <c r="U29" s="363">
        <f t="shared" si="4"/>
        <v>28406.184000000005</v>
      </c>
      <c r="V29" s="363">
        <f t="shared" si="4"/>
        <v>69605.208000000013</v>
      </c>
      <c r="W29" s="363">
        <f t="shared" si="5"/>
        <v>2888980.2</v>
      </c>
      <c r="X29" s="363">
        <f t="shared" si="6"/>
        <v>246396.21799999999</v>
      </c>
      <c r="Y29" s="363"/>
      <c r="AI29" s="363"/>
      <c r="AJ29" s="363"/>
      <c r="AK29" s="363"/>
      <c r="AL29" s="363"/>
      <c r="AM29" s="363"/>
      <c r="AN29" s="363"/>
    </row>
    <row r="30" spans="1:40">
      <c r="A30" s="2" t="s">
        <v>102</v>
      </c>
      <c r="B30" s="16">
        <f t="shared" ref="B30:N30" si="32">B100*0.8</f>
        <v>39940.984000000004</v>
      </c>
      <c r="C30" s="16">
        <f t="shared" si="32"/>
        <v>10310.168000000001</v>
      </c>
      <c r="D30" s="16">
        <f t="shared" si="32"/>
        <v>941.76800000000003</v>
      </c>
      <c r="E30" s="16">
        <f t="shared" si="32"/>
        <v>4216.3680000000004</v>
      </c>
      <c r="F30" s="16">
        <f t="shared" si="32"/>
        <v>69387.695999999996</v>
      </c>
      <c r="G30" s="16">
        <f t="shared" si="32"/>
        <v>1565.1360000000002</v>
      </c>
      <c r="H30" s="16">
        <f t="shared" si="32"/>
        <v>1843.4240000000002</v>
      </c>
      <c r="I30" s="16">
        <f t="shared" si="32"/>
        <v>0</v>
      </c>
      <c r="J30" s="16">
        <f t="shared" si="32"/>
        <v>3070.4960000000001</v>
      </c>
      <c r="K30" s="16">
        <f t="shared" si="32"/>
        <v>260.85599999999999</v>
      </c>
      <c r="L30" s="16">
        <f t="shared" si="32"/>
        <v>0</v>
      </c>
      <c r="M30" s="16">
        <f t="shared" si="32"/>
        <v>0</v>
      </c>
      <c r="N30" s="16">
        <f t="shared" si="32"/>
        <v>25.36</v>
      </c>
      <c r="O30" s="16">
        <f t="shared" si="3"/>
        <v>0</v>
      </c>
      <c r="P30" s="16">
        <f>P100*0.8</f>
        <v>0</v>
      </c>
      <c r="Q30" s="16">
        <f>Q100*0.8</f>
        <v>311.952</v>
      </c>
      <c r="R30" s="8">
        <f t="shared" si="1"/>
        <v>131874.20799999998</v>
      </c>
      <c r="S30" s="363">
        <f t="shared" si="4"/>
        <v>39940.984000000004</v>
      </c>
      <c r="T30" s="363">
        <f t="shared" si="4"/>
        <v>10310.168000000001</v>
      </c>
      <c r="U30" s="363">
        <f t="shared" si="4"/>
        <v>941.76800000000003</v>
      </c>
      <c r="V30" s="363">
        <f t="shared" si="4"/>
        <v>4216.3680000000004</v>
      </c>
      <c r="W30" s="363">
        <f t="shared" si="5"/>
        <v>70952.831999999995</v>
      </c>
      <c r="X30" s="363">
        <f t="shared" si="6"/>
        <v>5512.0879999999997</v>
      </c>
      <c r="Y30" s="363"/>
      <c r="AI30" s="363"/>
      <c r="AJ30" s="363"/>
      <c r="AK30" s="363"/>
      <c r="AL30" s="363"/>
      <c r="AM30" s="363"/>
      <c r="AN30" s="363"/>
    </row>
    <row r="31" spans="1:40">
      <c r="A31" s="2" t="s">
        <v>103</v>
      </c>
      <c r="B31" s="16">
        <f t="shared" ref="B31:N31" si="33">B101*0.8</f>
        <v>19502.896000000001</v>
      </c>
      <c r="C31" s="16">
        <f t="shared" si="33"/>
        <v>2883.0240000000003</v>
      </c>
      <c r="D31" s="16">
        <f t="shared" si="33"/>
        <v>1051.672</v>
      </c>
      <c r="E31" s="16">
        <f t="shared" si="33"/>
        <v>2902.9520000000002</v>
      </c>
      <c r="F31" s="16">
        <f t="shared" si="33"/>
        <v>51736.44</v>
      </c>
      <c r="G31" s="16">
        <f t="shared" si="33"/>
        <v>1043.4240000000002</v>
      </c>
      <c r="H31" s="16">
        <f t="shared" si="33"/>
        <v>1961.48</v>
      </c>
      <c r="I31" s="16">
        <f t="shared" si="33"/>
        <v>0</v>
      </c>
      <c r="J31" s="16">
        <f t="shared" si="33"/>
        <v>1469.8719999999998</v>
      </c>
      <c r="K31" s="16">
        <f t="shared" si="33"/>
        <v>260.85599999999999</v>
      </c>
      <c r="L31" s="16">
        <f t="shared" si="33"/>
        <v>0</v>
      </c>
      <c r="M31" s="16">
        <f t="shared" si="33"/>
        <v>0</v>
      </c>
      <c r="N31" s="16">
        <f t="shared" si="33"/>
        <v>50.72</v>
      </c>
      <c r="O31" s="16">
        <f t="shared" si="3"/>
        <v>0</v>
      </c>
      <c r="P31" s="16">
        <f>P101*0.8</f>
        <v>0</v>
      </c>
      <c r="Q31" s="16">
        <f>Q101*0.8</f>
        <v>351.37600000000003</v>
      </c>
      <c r="R31" s="8">
        <f t="shared" si="1"/>
        <v>83214.712</v>
      </c>
      <c r="S31" s="363">
        <f t="shared" si="4"/>
        <v>19502.896000000001</v>
      </c>
      <c r="T31" s="363">
        <f t="shared" si="4"/>
        <v>2883.0240000000003</v>
      </c>
      <c r="U31" s="363">
        <f t="shared" si="4"/>
        <v>1051.672</v>
      </c>
      <c r="V31" s="363">
        <f t="shared" si="4"/>
        <v>2902.9520000000002</v>
      </c>
      <c r="W31" s="363">
        <f t="shared" si="5"/>
        <v>52779.864000000001</v>
      </c>
      <c r="X31" s="363">
        <f t="shared" si="6"/>
        <v>4094.3039999999996</v>
      </c>
      <c r="Y31" s="363"/>
      <c r="AI31" s="363"/>
      <c r="AJ31" s="363"/>
      <c r="AK31" s="363"/>
      <c r="AL31" s="363"/>
      <c r="AM31" s="363"/>
      <c r="AN31" s="363"/>
    </row>
    <row r="32" spans="1:40">
      <c r="A32" s="4" t="s">
        <v>37</v>
      </c>
      <c r="B32" s="5">
        <f t="shared" ref="B32:R32" si="34">SUM(B5:B31)</f>
        <v>4988685.8720000004</v>
      </c>
      <c r="C32" s="5">
        <f t="shared" si="34"/>
        <v>1289522.7520000001</v>
      </c>
      <c r="D32" s="5">
        <f t="shared" si="34"/>
        <v>108088.11200000002</v>
      </c>
      <c r="E32" s="5">
        <f t="shared" si="34"/>
        <v>246985.60000000003</v>
      </c>
      <c r="F32" s="5">
        <f t="shared" si="34"/>
        <v>8074623.5760000004</v>
      </c>
      <c r="G32" s="5">
        <f t="shared" si="34"/>
        <v>156513.60000000003</v>
      </c>
      <c r="H32" s="5">
        <f t="shared" si="34"/>
        <v>264063.44799999997</v>
      </c>
      <c r="I32" s="5">
        <f t="shared" si="34"/>
        <v>31608.408000000003</v>
      </c>
      <c r="J32" s="5">
        <f t="shared" si="34"/>
        <v>331096.77599999995</v>
      </c>
      <c r="K32" s="5">
        <f t="shared" si="34"/>
        <v>32867.856</v>
      </c>
      <c r="L32" s="5">
        <f t="shared" si="34"/>
        <v>2086.848</v>
      </c>
      <c r="M32" s="5">
        <f t="shared" si="34"/>
        <v>4364.0879999999997</v>
      </c>
      <c r="N32" s="5">
        <f t="shared" si="34"/>
        <v>11158.400000000001</v>
      </c>
      <c r="O32" s="5">
        <f>SUM(O5:O31)</f>
        <v>0</v>
      </c>
      <c r="P32" s="5">
        <f t="shared" si="34"/>
        <v>1126.808</v>
      </c>
      <c r="Q32" s="5">
        <f t="shared" si="34"/>
        <v>15848.266</v>
      </c>
      <c r="R32" s="5">
        <f t="shared" si="34"/>
        <v>15558640.41</v>
      </c>
      <c r="S32" s="363">
        <f t="shared" ref="S32:X32" si="35">SUM(S5:S31)</f>
        <v>4988685.8720000004</v>
      </c>
      <c r="T32" s="363">
        <f t="shared" si="35"/>
        <v>1289522.7520000001</v>
      </c>
      <c r="U32" s="363">
        <f t="shared" si="35"/>
        <v>108088.11200000002</v>
      </c>
      <c r="V32" s="363">
        <f t="shared" si="35"/>
        <v>246985.60000000003</v>
      </c>
      <c r="W32" s="363">
        <f t="shared" si="35"/>
        <v>8231137.1760000028</v>
      </c>
      <c r="X32" s="363">
        <f t="shared" si="35"/>
        <v>694220.89800000004</v>
      </c>
      <c r="Y32" s="363"/>
      <c r="AI32" s="363"/>
      <c r="AJ32" s="363"/>
      <c r="AK32" s="363"/>
      <c r="AL32" s="363"/>
      <c r="AM32" s="363"/>
      <c r="AN32" s="363"/>
    </row>
    <row r="33" spans="1:40">
      <c r="A33" s="351" t="s">
        <v>48</v>
      </c>
      <c r="B33" s="352"/>
      <c r="C33" s="353"/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3"/>
      <c r="Q33" s="353"/>
      <c r="R33" s="352"/>
      <c r="Y33" s="363"/>
    </row>
    <row r="34" spans="1:40">
      <c r="A34" s="364"/>
      <c r="B34" s="364"/>
      <c r="C34" s="365"/>
      <c r="D34" s="365"/>
      <c r="E34" s="365"/>
      <c r="F34" s="365"/>
      <c r="G34" s="365"/>
      <c r="H34" s="365"/>
      <c r="I34" s="365"/>
      <c r="J34" s="365"/>
      <c r="K34" s="365"/>
      <c r="L34" s="365"/>
      <c r="M34" s="365"/>
      <c r="N34" s="365"/>
      <c r="O34" s="365"/>
      <c r="P34" s="365"/>
      <c r="Q34" s="365"/>
      <c r="R34" s="366"/>
    </row>
    <row r="35" spans="1:40">
      <c r="A35" s="358"/>
      <c r="B35" s="358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60"/>
    </row>
    <row r="36" spans="1:40">
      <c r="A36" s="367"/>
      <c r="B36" s="367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9"/>
    </row>
    <row r="37" spans="1:40" ht="46.5">
      <c r="A37" s="837" t="s">
        <v>62</v>
      </c>
      <c r="B37" s="838"/>
      <c r="C37" s="838"/>
      <c r="D37" s="838"/>
      <c r="E37" s="838"/>
      <c r="F37" s="838"/>
      <c r="G37" s="838"/>
      <c r="H37" s="838"/>
      <c r="I37" s="838"/>
      <c r="J37" s="838"/>
      <c r="K37" s="838"/>
      <c r="L37" s="838"/>
      <c r="M37" s="838"/>
      <c r="N37" s="838"/>
      <c r="O37" s="838"/>
      <c r="P37" s="838"/>
      <c r="Q37" s="838"/>
      <c r="R37" s="839"/>
    </row>
    <row r="38" spans="1:40" s="372" customFormat="1" ht="35.1" customHeight="1">
      <c r="A38" s="835" t="s">
        <v>33</v>
      </c>
      <c r="B38" s="833" t="s">
        <v>27</v>
      </c>
      <c r="C38" s="834"/>
      <c r="D38" s="833" t="s">
        <v>29</v>
      </c>
      <c r="E38" s="834"/>
      <c r="F38" s="835" t="s">
        <v>28</v>
      </c>
      <c r="G38" s="835" t="s">
        <v>36</v>
      </c>
      <c r="H38" s="835" t="s">
        <v>30</v>
      </c>
      <c r="I38" s="835" t="s">
        <v>31</v>
      </c>
      <c r="J38" s="835" t="s">
        <v>41</v>
      </c>
      <c r="K38" s="835" t="s">
        <v>35</v>
      </c>
      <c r="L38" s="835" t="s">
        <v>40</v>
      </c>
      <c r="M38" s="835" t="s">
        <v>42</v>
      </c>
      <c r="N38" s="835" t="s">
        <v>45</v>
      </c>
      <c r="O38" s="835" t="s">
        <v>279</v>
      </c>
      <c r="P38" s="833" t="s">
        <v>49</v>
      </c>
      <c r="Q38" s="834"/>
      <c r="R38" s="835" t="s">
        <v>34</v>
      </c>
      <c r="S38" s="357"/>
      <c r="T38" s="357"/>
      <c r="U38" s="357"/>
      <c r="V38" s="357"/>
      <c r="W38" s="357"/>
      <c r="X38" s="357"/>
      <c r="Y38" s="357"/>
      <c r="AI38" s="357"/>
      <c r="AJ38" s="357"/>
      <c r="AK38" s="357"/>
      <c r="AL38" s="357"/>
      <c r="AM38" s="357"/>
      <c r="AN38" s="357"/>
    </row>
    <row r="39" spans="1:40" s="372" customFormat="1" ht="35.1" customHeight="1">
      <c r="A39" s="836"/>
      <c r="B39" s="361" t="s">
        <v>43</v>
      </c>
      <c r="C39" s="361" t="s">
        <v>44</v>
      </c>
      <c r="D39" s="361" t="s">
        <v>43</v>
      </c>
      <c r="E39" s="361" t="s">
        <v>44</v>
      </c>
      <c r="F39" s="836"/>
      <c r="G39" s="836"/>
      <c r="H39" s="836"/>
      <c r="I39" s="836"/>
      <c r="J39" s="836"/>
      <c r="K39" s="836"/>
      <c r="L39" s="836"/>
      <c r="M39" s="836"/>
      <c r="N39" s="836"/>
      <c r="O39" s="836"/>
      <c r="P39" s="362" t="s">
        <v>50</v>
      </c>
      <c r="Q39" s="362" t="s">
        <v>51</v>
      </c>
      <c r="R39" s="836"/>
      <c r="S39" s="372" t="s">
        <v>173</v>
      </c>
      <c r="T39" s="372" t="s">
        <v>291</v>
      </c>
      <c r="U39" s="372" t="s">
        <v>174</v>
      </c>
      <c r="V39" s="372" t="s">
        <v>292</v>
      </c>
      <c r="W39" s="372" t="s">
        <v>28</v>
      </c>
      <c r="X39" s="372" t="s">
        <v>175</v>
      </c>
      <c r="Y39" s="726"/>
    </row>
    <row r="40" spans="1:40">
      <c r="A40" s="2" t="s">
        <v>77</v>
      </c>
      <c r="B40" s="16">
        <f t="shared" ref="B40:Q40" si="36">B75*0.2</f>
        <v>5165.4920000000002</v>
      </c>
      <c r="C40" s="16">
        <f t="shared" si="36"/>
        <v>2346.3240000000001</v>
      </c>
      <c r="D40" s="16">
        <f t="shared" si="36"/>
        <v>233.89200000000002</v>
      </c>
      <c r="E40" s="16">
        <f t="shared" si="36"/>
        <v>74.402000000000001</v>
      </c>
      <c r="F40" s="16">
        <f t="shared" si="36"/>
        <v>5717.094000000001</v>
      </c>
      <c r="G40" s="16">
        <f t="shared" si="36"/>
        <v>282.59399999999999</v>
      </c>
      <c r="H40" s="16">
        <f t="shared" si="36"/>
        <v>265.91000000000003</v>
      </c>
      <c r="I40" s="16">
        <f t="shared" si="36"/>
        <v>0</v>
      </c>
      <c r="J40" s="16">
        <f t="shared" si="36"/>
        <v>531.76800000000003</v>
      </c>
      <c r="K40" s="16">
        <f t="shared" si="36"/>
        <v>108.69000000000001</v>
      </c>
      <c r="L40" s="16">
        <f t="shared" si="36"/>
        <v>0</v>
      </c>
      <c r="M40" s="16">
        <f t="shared" si="36"/>
        <v>0</v>
      </c>
      <c r="N40" s="16">
        <f t="shared" si="36"/>
        <v>19.02</v>
      </c>
      <c r="O40" s="16">
        <f t="shared" ref="O40:O66" si="37">O75*0.2</f>
        <v>0</v>
      </c>
      <c r="P40" s="16">
        <f t="shared" si="36"/>
        <v>0</v>
      </c>
      <c r="Q40" s="16">
        <f t="shared" si="36"/>
        <v>0</v>
      </c>
      <c r="R40" s="8">
        <f t="shared" ref="R40:R66" si="38">SUM(B40:Q40)</f>
        <v>14745.186000000002</v>
      </c>
      <c r="S40" s="363">
        <f>B40</f>
        <v>5165.4920000000002</v>
      </c>
      <c r="T40" s="363">
        <f>C40</f>
        <v>2346.3240000000001</v>
      </c>
      <c r="U40" s="363">
        <f>D40</f>
        <v>233.89200000000002</v>
      </c>
      <c r="V40" s="363">
        <f>E40</f>
        <v>74.402000000000001</v>
      </c>
      <c r="W40" s="363">
        <f>F40+G40</f>
        <v>5999.688000000001</v>
      </c>
      <c r="X40" s="363">
        <f>SUM(H40:Q40)</f>
        <v>925.38800000000015</v>
      </c>
      <c r="AI40" s="363"/>
      <c r="AJ40" s="363"/>
      <c r="AK40" s="363"/>
      <c r="AL40" s="363"/>
      <c r="AM40" s="363"/>
      <c r="AN40" s="363"/>
    </row>
    <row r="41" spans="1:40">
      <c r="A41" s="2" t="s">
        <v>78</v>
      </c>
      <c r="B41" s="16">
        <f t="shared" ref="B41:Q41" si="39">B76*0.2</f>
        <v>10280.35</v>
      </c>
      <c r="C41" s="16">
        <f t="shared" si="39"/>
        <v>2798.4380000000001</v>
      </c>
      <c r="D41" s="16">
        <f t="shared" si="39"/>
        <v>136.108</v>
      </c>
      <c r="E41" s="16">
        <f t="shared" si="39"/>
        <v>485.98400000000004</v>
      </c>
      <c r="F41" s="16">
        <f t="shared" si="39"/>
        <v>16955.64</v>
      </c>
      <c r="G41" s="16">
        <f t="shared" si="39"/>
        <v>847.78200000000004</v>
      </c>
      <c r="H41" s="16">
        <f t="shared" si="39"/>
        <v>466.5</v>
      </c>
      <c r="I41" s="16">
        <f t="shared" si="39"/>
        <v>0</v>
      </c>
      <c r="J41" s="16">
        <f t="shared" si="39"/>
        <v>695.15600000000006</v>
      </c>
      <c r="K41" s="16">
        <f t="shared" si="39"/>
        <v>43.475999999999999</v>
      </c>
      <c r="L41" s="16">
        <f t="shared" si="39"/>
        <v>43.475999999999999</v>
      </c>
      <c r="M41" s="16">
        <f t="shared" si="39"/>
        <v>0</v>
      </c>
      <c r="N41" s="16">
        <f t="shared" si="39"/>
        <v>25.36</v>
      </c>
      <c r="O41" s="16">
        <f t="shared" si="37"/>
        <v>0</v>
      </c>
      <c r="P41" s="16">
        <f t="shared" si="39"/>
        <v>0</v>
      </c>
      <c r="Q41" s="16">
        <f t="shared" si="39"/>
        <v>0</v>
      </c>
      <c r="R41" s="8">
        <f t="shared" si="38"/>
        <v>32778.269999999997</v>
      </c>
      <c r="S41" s="363">
        <f t="shared" ref="S41:V66" si="40">B41</f>
        <v>10280.35</v>
      </c>
      <c r="T41" s="363">
        <f t="shared" si="40"/>
        <v>2798.4380000000001</v>
      </c>
      <c r="U41" s="363">
        <f t="shared" si="40"/>
        <v>136.108</v>
      </c>
      <c r="V41" s="363">
        <f t="shared" si="40"/>
        <v>485.98400000000004</v>
      </c>
      <c r="W41" s="363">
        <f t="shared" ref="W41:W66" si="41">F41+G41</f>
        <v>17803.421999999999</v>
      </c>
      <c r="X41" s="363">
        <f t="shared" ref="X41:X66" si="42">SUM(H41:Q41)</f>
        <v>1273.9680000000001</v>
      </c>
      <c r="AI41" s="363"/>
      <c r="AJ41" s="363"/>
      <c r="AK41" s="363"/>
      <c r="AL41" s="363"/>
      <c r="AM41" s="363"/>
      <c r="AN41" s="363"/>
    </row>
    <row r="42" spans="1:40">
      <c r="A42" s="2" t="s">
        <v>79</v>
      </c>
      <c r="B42" s="16">
        <f t="shared" ref="B42:Q42" si="43">B77*0.2</f>
        <v>4893.7339999999995</v>
      </c>
      <c r="C42" s="16">
        <f t="shared" si="43"/>
        <v>1331.1220000000001</v>
      </c>
      <c r="D42" s="16">
        <f t="shared" si="43"/>
        <v>273.90600000000001</v>
      </c>
      <c r="E42" s="16">
        <f t="shared" si="43"/>
        <v>199.99600000000001</v>
      </c>
      <c r="F42" s="16">
        <f t="shared" si="43"/>
        <v>7347.4440000000004</v>
      </c>
      <c r="G42" s="16">
        <f t="shared" si="43"/>
        <v>499.97399999999999</v>
      </c>
      <c r="H42" s="16">
        <f t="shared" si="43"/>
        <v>202.22</v>
      </c>
      <c r="I42" s="16">
        <f t="shared" si="43"/>
        <v>65.213999999999999</v>
      </c>
      <c r="J42" s="16">
        <f t="shared" si="43"/>
        <v>346.57000000000005</v>
      </c>
      <c r="K42" s="16">
        <f t="shared" si="43"/>
        <v>152.16600000000003</v>
      </c>
      <c r="L42" s="16">
        <f t="shared" si="43"/>
        <v>0</v>
      </c>
      <c r="M42" s="16">
        <f t="shared" si="43"/>
        <v>0</v>
      </c>
      <c r="N42" s="16">
        <f t="shared" si="43"/>
        <v>19.02</v>
      </c>
      <c r="O42" s="16">
        <f t="shared" si="37"/>
        <v>0</v>
      </c>
      <c r="P42" s="16">
        <f t="shared" si="43"/>
        <v>0</v>
      </c>
      <c r="Q42" s="16">
        <f t="shared" si="43"/>
        <v>0</v>
      </c>
      <c r="R42" s="8">
        <f t="shared" si="38"/>
        <v>15331.366</v>
      </c>
      <c r="S42" s="363">
        <f t="shared" si="40"/>
        <v>4893.7339999999995</v>
      </c>
      <c r="T42" s="363">
        <f t="shared" si="40"/>
        <v>1331.1220000000001</v>
      </c>
      <c r="U42" s="363">
        <f t="shared" si="40"/>
        <v>273.90600000000001</v>
      </c>
      <c r="V42" s="363">
        <f t="shared" si="40"/>
        <v>199.99600000000001</v>
      </c>
      <c r="W42" s="363">
        <f t="shared" si="41"/>
        <v>7847.4180000000006</v>
      </c>
      <c r="X42" s="363">
        <f t="shared" si="42"/>
        <v>785.19</v>
      </c>
      <c r="AI42" s="363"/>
      <c r="AJ42" s="363"/>
      <c r="AK42" s="363"/>
      <c r="AL42" s="363"/>
      <c r="AM42" s="363"/>
      <c r="AN42" s="363"/>
    </row>
    <row r="43" spans="1:40">
      <c r="A43" s="2" t="s">
        <v>80</v>
      </c>
      <c r="B43" s="16">
        <f t="shared" ref="B43:N43" si="44">B78*0.2</f>
        <v>12229.672</v>
      </c>
      <c r="C43" s="16">
        <f t="shared" si="44"/>
        <v>2383.4780000000005</v>
      </c>
      <c r="D43" s="16">
        <f t="shared" si="44"/>
        <v>268.41199999999998</v>
      </c>
      <c r="E43" s="16">
        <f t="shared" si="44"/>
        <v>322.23</v>
      </c>
      <c r="F43" s="16">
        <f t="shared" si="44"/>
        <v>15716.574000000001</v>
      </c>
      <c r="G43" s="16">
        <f t="shared" si="44"/>
        <v>586.92600000000004</v>
      </c>
      <c r="H43" s="16">
        <f t="shared" si="44"/>
        <v>417.22599999999994</v>
      </c>
      <c r="I43" s="16">
        <f t="shared" si="44"/>
        <v>0</v>
      </c>
      <c r="J43" s="16">
        <f t="shared" si="44"/>
        <v>571.32600000000002</v>
      </c>
      <c r="K43" s="16">
        <f t="shared" si="44"/>
        <v>65.213999999999999</v>
      </c>
      <c r="L43" s="16">
        <f t="shared" si="44"/>
        <v>0</v>
      </c>
      <c r="M43" s="16">
        <f t="shared" si="44"/>
        <v>215.78200000000004</v>
      </c>
      <c r="N43" s="16">
        <f t="shared" si="44"/>
        <v>12.68</v>
      </c>
      <c r="O43" s="16">
        <f t="shared" si="37"/>
        <v>0</v>
      </c>
      <c r="P43" s="16">
        <v>0</v>
      </c>
      <c r="Q43" s="16">
        <v>0</v>
      </c>
      <c r="R43" s="8">
        <f t="shared" si="38"/>
        <v>32789.520000000004</v>
      </c>
      <c r="S43" s="363">
        <f t="shared" si="40"/>
        <v>12229.672</v>
      </c>
      <c r="T43" s="363">
        <f t="shared" si="40"/>
        <v>2383.4780000000005</v>
      </c>
      <c r="U43" s="363">
        <f t="shared" si="40"/>
        <v>268.41199999999998</v>
      </c>
      <c r="V43" s="363">
        <f t="shared" si="40"/>
        <v>322.23</v>
      </c>
      <c r="W43" s="363">
        <f t="shared" si="41"/>
        <v>16303.5</v>
      </c>
      <c r="X43" s="363">
        <f t="shared" si="42"/>
        <v>1282.2279999999998</v>
      </c>
      <c r="AI43" s="363"/>
      <c r="AJ43" s="363"/>
      <c r="AK43" s="363"/>
      <c r="AL43" s="363"/>
      <c r="AM43" s="363"/>
      <c r="AN43" s="363"/>
    </row>
    <row r="44" spans="1:40">
      <c r="A44" s="2" t="s">
        <v>81</v>
      </c>
      <c r="B44" s="16">
        <f t="shared" ref="B44:N44" si="45">B79*0.2</f>
        <v>40378.096000000005</v>
      </c>
      <c r="C44" s="16">
        <f t="shared" si="45"/>
        <v>8250.2360000000008</v>
      </c>
      <c r="D44" s="16">
        <f t="shared" si="45"/>
        <v>694.06600000000003</v>
      </c>
      <c r="E44" s="16">
        <f t="shared" si="45"/>
        <v>3086.4860000000003</v>
      </c>
      <c r="F44" s="16">
        <f t="shared" si="45"/>
        <v>59366.478000000003</v>
      </c>
      <c r="G44" s="16">
        <f t="shared" si="45"/>
        <v>1543.3980000000001</v>
      </c>
      <c r="H44" s="16">
        <f t="shared" si="45"/>
        <v>1606.1680000000001</v>
      </c>
      <c r="I44" s="16">
        <f t="shared" si="45"/>
        <v>0</v>
      </c>
      <c r="J44" s="16">
        <f t="shared" si="45"/>
        <v>2482.826</v>
      </c>
      <c r="K44" s="16">
        <f t="shared" si="45"/>
        <v>282.59399999999999</v>
      </c>
      <c r="L44" s="16">
        <f t="shared" si="45"/>
        <v>0</v>
      </c>
      <c r="M44" s="16">
        <f t="shared" si="45"/>
        <v>507.23199999999997</v>
      </c>
      <c r="N44" s="16">
        <f t="shared" si="45"/>
        <v>101.44</v>
      </c>
      <c r="O44" s="16">
        <f t="shared" si="37"/>
        <v>0</v>
      </c>
      <c r="P44" s="16">
        <f t="shared" ref="P44:Q56" si="46">P79*0.2</f>
        <v>0</v>
      </c>
      <c r="Q44" s="16">
        <f t="shared" si="46"/>
        <v>0</v>
      </c>
      <c r="R44" s="8">
        <f t="shared" si="38"/>
        <v>118299.02000000002</v>
      </c>
      <c r="S44" s="363">
        <f t="shared" si="40"/>
        <v>40378.096000000005</v>
      </c>
      <c r="T44" s="363">
        <f t="shared" si="40"/>
        <v>8250.2360000000008</v>
      </c>
      <c r="U44" s="363">
        <f t="shared" si="40"/>
        <v>694.06600000000003</v>
      </c>
      <c r="V44" s="363">
        <f t="shared" si="40"/>
        <v>3086.4860000000003</v>
      </c>
      <c r="W44" s="363">
        <f t="shared" si="41"/>
        <v>60909.876000000004</v>
      </c>
      <c r="X44" s="363">
        <f t="shared" si="42"/>
        <v>4980.2599999999993</v>
      </c>
      <c r="AI44" s="363"/>
      <c r="AJ44" s="363"/>
      <c r="AK44" s="363"/>
      <c r="AL44" s="363"/>
      <c r="AM44" s="363"/>
      <c r="AN44" s="363"/>
    </row>
    <row r="45" spans="1:40">
      <c r="A45" s="2" t="s">
        <v>82</v>
      </c>
      <c r="B45" s="16">
        <f t="shared" ref="B45:N45" si="47">B80*0.2</f>
        <v>23251.63</v>
      </c>
      <c r="C45" s="16">
        <f t="shared" si="47"/>
        <v>6161.8820000000005</v>
      </c>
      <c r="D45" s="16">
        <f t="shared" si="47"/>
        <v>713.09</v>
      </c>
      <c r="E45" s="16">
        <f t="shared" si="47"/>
        <v>1281.5600000000002</v>
      </c>
      <c r="F45" s="16">
        <f t="shared" si="47"/>
        <v>33367.83</v>
      </c>
      <c r="G45" s="16">
        <f t="shared" si="47"/>
        <v>1195.5899999999999</v>
      </c>
      <c r="H45" s="16">
        <f t="shared" si="47"/>
        <v>1312.9080000000001</v>
      </c>
      <c r="I45" s="16">
        <f t="shared" si="47"/>
        <v>0</v>
      </c>
      <c r="J45" s="16">
        <f t="shared" si="47"/>
        <v>1694.5220000000002</v>
      </c>
      <c r="K45" s="16">
        <f t="shared" si="47"/>
        <v>0</v>
      </c>
      <c r="L45" s="16">
        <f t="shared" si="47"/>
        <v>0</v>
      </c>
      <c r="M45" s="16">
        <f t="shared" si="47"/>
        <v>88.766000000000005</v>
      </c>
      <c r="N45" s="16">
        <f t="shared" si="47"/>
        <v>50.72</v>
      </c>
      <c r="O45" s="16">
        <f t="shared" si="37"/>
        <v>0</v>
      </c>
      <c r="P45" s="16">
        <f t="shared" si="46"/>
        <v>94.124000000000009</v>
      </c>
      <c r="Q45" s="16">
        <f t="shared" si="46"/>
        <v>62.79</v>
      </c>
      <c r="R45" s="8">
        <f t="shared" si="38"/>
        <v>69275.411999999997</v>
      </c>
      <c r="S45" s="363">
        <f t="shared" si="40"/>
        <v>23251.63</v>
      </c>
      <c r="T45" s="363">
        <f t="shared" si="40"/>
        <v>6161.8820000000005</v>
      </c>
      <c r="U45" s="363">
        <f t="shared" si="40"/>
        <v>713.09</v>
      </c>
      <c r="V45" s="363">
        <f t="shared" si="40"/>
        <v>1281.5600000000002</v>
      </c>
      <c r="W45" s="363">
        <f t="shared" si="41"/>
        <v>34563.42</v>
      </c>
      <c r="X45" s="363">
        <f t="shared" si="42"/>
        <v>3303.83</v>
      </c>
      <c r="AI45" s="363"/>
      <c r="AJ45" s="363"/>
      <c r="AK45" s="363"/>
      <c r="AL45" s="363"/>
      <c r="AM45" s="363"/>
      <c r="AN45" s="363"/>
    </row>
    <row r="46" spans="1:40">
      <c r="A46" s="2" t="s">
        <v>83</v>
      </c>
      <c r="B46" s="16">
        <f t="shared" ref="B46:N46" si="48">B81*0.2</f>
        <v>38094.417999999998</v>
      </c>
      <c r="C46" s="16">
        <f t="shared" si="48"/>
        <v>21824.472000000002</v>
      </c>
      <c r="D46" s="16">
        <f t="shared" si="48"/>
        <v>743.52600000000007</v>
      </c>
      <c r="E46" s="16">
        <f t="shared" si="48"/>
        <v>4271.3680000000004</v>
      </c>
      <c r="F46" s="16">
        <f t="shared" si="48"/>
        <v>38867.544000000002</v>
      </c>
      <c r="G46" s="16">
        <f t="shared" si="48"/>
        <v>1391.232</v>
      </c>
      <c r="H46" s="16">
        <f t="shared" si="48"/>
        <v>3355.3040000000001</v>
      </c>
      <c r="I46" s="16">
        <f t="shared" si="48"/>
        <v>0</v>
      </c>
      <c r="J46" s="16">
        <f t="shared" si="48"/>
        <v>5822.5300000000007</v>
      </c>
      <c r="K46" s="16">
        <f t="shared" si="48"/>
        <v>282.59399999999999</v>
      </c>
      <c r="L46" s="16">
        <f t="shared" si="48"/>
        <v>0</v>
      </c>
      <c r="M46" s="16">
        <f t="shared" si="48"/>
        <v>209.18400000000003</v>
      </c>
      <c r="N46" s="16">
        <f t="shared" si="48"/>
        <v>221.9</v>
      </c>
      <c r="O46" s="16">
        <f t="shared" si="37"/>
        <v>0</v>
      </c>
      <c r="P46" s="16">
        <f t="shared" si="46"/>
        <v>0</v>
      </c>
      <c r="Q46" s="16">
        <f t="shared" si="46"/>
        <v>0</v>
      </c>
      <c r="R46" s="8">
        <f t="shared" si="38"/>
        <v>115084.072</v>
      </c>
      <c r="S46" s="363">
        <f t="shared" si="40"/>
        <v>38094.417999999998</v>
      </c>
      <c r="T46" s="363">
        <f t="shared" si="40"/>
        <v>21824.472000000002</v>
      </c>
      <c r="U46" s="363">
        <f t="shared" si="40"/>
        <v>743.52600000000007</v>
      </c>
      <c r="V46" s="363">
        <f t="shared" si="40"/>
        <v>4271.3680000000004</v>
      </c>
      <c r="W46" s="363">
        <f t="shared" si="41"/>
        <v>40258.775999999998</v>
      </c>
      <c r="X46" s="363">
        <f t="shared" si="42"/>
        <v>9891.5119999999988</v>
      </c>
      <c r="AI46" s="363"/>
      <c r="AJ46" s="363"/>
      <c r="AK46" s="363"/>
      <c r="AL46" s="363"/>
      <c r="AM46" s="363"/>
      <c r="AN46" s="363"/>
    </row>
    <row r="47" spans="1:40">
      <c r="A47" s="2" t="s">
        <v>84</v>
      </c>
      <c r="B47" s="16">
        <f t="shared" ref="B47:N47" si="49">B82*0.2</f>
        <v>28056.162</v>
      </c>
      <c r="C47" s="16">
        <f t="shared" si="49"/>
        <v>4348.04</v>
      </c>
      <c r="D47" s="16">
        <f t="shared" si="49"/>
        <v>420.16200000000003</v>
      </c>
      <c r="E47" s="16">
        <f t="shared" si="49"/>
        <v>316.59800000000001</v>
      </c>
      <c r="F47" s="16">
        <f t="shared" si="49"/>
        <v>34193.874000000003</v>
      </c>
      <c r="G47" s="16">
        <f t="shared" si="49"/>
        <v>1586.874</v>
      </c>
      <c r="H47" s="16">
        <f t="shared" si="49"/>
        <v>705.53000000000009</v>
      </c>
      <c r="I47" s="16">
        <f t="shared" si="49"/>
        <v>245.68000000000004</v>
      </c>
      <c r="J47" s="16">
        <f t="shared" si="49"/>
        <v>1039.8220000000001</v>
      </c>
      <c r="K47" s="16">
        <f t="shared" si="49"/>
        <v>978.21</v>
      </c>
      <c r="L47" s="16">
        <f t="shared" si="49"/>
        <v>43.475999999999999</v>
      </c>
      <c r="M47" s="16">
        <f t="shared" si="49"/>
        <v>0</v>
      </c>
      <c r="N47" s="16">
        <f t="shared" si="49"/>
        <v>38.04</v>
      </c>
      <c r="O47" s="16">
        <f t="shared" si="37"/>
        <v>0</v>
      </c>
      <c r="P47" s="16">
        <f t="shared" si="46"/>
        <v>0</v>
      </c>
      <c r="Q47" s="16">
        <f t="shared" si="46"/>
        <v>0</v>
      </c>
      <c r="R47" s="8">
        <f t="shared" si="38"/>
        <v>71972.467999999993</v>
      </c>
      <c r="S47" s="363">
        <f t="shared" si="40"/>
        <v>28056.162</v>
      </c>
      <c r="T47" s="363">
        <f t="shared" si="40"/>
        <v>4348.04</v>
      </c>
      <c r="U47" s="363">
        <f t="shared" si="40"/>
        <v>420.16200000000003</v>
      </c>
      <c r="V47" s="363">
        <f t="shared" si="40"/>
        <v>316.59800000000001</v>
      </c>
      <c r="W47" s="363">
        <f t="shared" si="41"/>
        <v>35780.748000000007</v>
      </c>
      <c r="X47" s="363">
        <f t="shared" si="42"/>
        <v>3050.7580000000003</v>
      </c>
      <c r="AI47" s="363"/>
      <c r="AJ47" s="363"/>
      <c r="AK47" s="363"/>
      <c r="AL47" s="363"/>
      <c r="AM47" s="363"/>
      <c r="AN47" s="363"/>
    </row>
    <row r="48" spans="1:40">
      <c r="A48" s="2" t="s">
        <v>85</v>
      </c>
      <c r="B48" s="16">
        <f t="shared" ref="B48:N48" si="50">B83*0.2</f>
        <v>29360.621999999999</v>
      </c>
      <c r="C48" s="16">
        <f t="shared" si="50"/>
        <v>7661.0360000000001</v>
      </c>
      <c r="D48" s="16">
        <f t="shared" si="50"/>
        <v>763.81000000000006</v>
      </c>
      <c r="E48" s="16">
        <f t="shared" si="50"/>
        <v>419.38599999999997</v>
      </c>
      <c r="F48" s="16">
        <f t="shared" si="50"/>
        <v>67626.918000000005</v>
      </c>
      <c r="G48" s="16">
        <f t="shared" si="50"/>
        <v>1369.4940000000001</v>
      </c>
      <c r="H48" s="16">
        <f t="shared" si="50"/>
        <v>1218.7239999999999</v>
      </c>
      <c r="I48" s="16">
        <f t="shared" si="50"/>
        <v>634.04</v>
      </c>
      <c r="J48" s="16">
        <f t="shared" si="50"/>
        <v>1467.058</v>
      </c>
      <c r="K48" s="16">
        <f t="shared" si="50"/>
        <v>21.738</v>
      </c>
      <c r="L48" s="16">
        <f t="shared" si="50"/>
        <v>0</v>
      </c>
      <c r="M48" s="16">
        <f t="shared" si="50"/>
        <v>0</v>
      </c>
      <c r="N48" s="16">
        <f t="shared" si="50"/>
        <v>63.400000000000006</v>
      </c>
      <c r="O48" s="16">
        <f t="shared" si="37"/>
        <v>0</v>
      </c>
      <c r="P48" s="16">
        <f t="shared" si="46"/>
        <v>0</v>
      </c>
      <c r="Q48" s="16">
        <f t="shared" si="46"/>
        <v>0</v>
      </c>
      <c r="R48" s="8">
        <f t="shared" si="38"/>
        <v>110606.226</v>
      </c>
      <c r="S48" s="363">
        <f t="shared" si="40"/>
        <v>29360.621999999999</v>
      </c>
      <c r="T48" s="363">
        <f t="shared" si="40"/>
        <v>7661.0360000000001</v>
      </c>
      <c r="U48" s="363">
        <f t="shared" si="40"/>
        <v>763.81000000000006</v>
      </c>
      <c r="V48" s="363">
        <f t="shared" si="40"/>
        <v>419.38599999999997</v>
      </c>
      <c r="W48" s="363">
        <f t="shared" si="41"/>
        <v>68996.412000000011</v>
      </c>
      <c r="X48" s="363">
        <f t="shared" si="42"/>
        <v>3404.96</v>
      </c>
      <c r="AI48" s="363"/>
      <c r="AJ48" s="363"/>
      <c r="AK48" s="363"/>
      <c r="AL48" s="363"/>
      <c r="AM48" s="363"/>
      <c r="AN48" s="363"/>
    </row>
    <row r="49" spans="1:40">
      <c r="A49" s="2" t="s">
        <v>86</v>
      </c>
      <c r="B49" s="16">
        <f t="shared" ref="B49:N49" si="51">B84*0.2</f>
        <v>12866.726000000001</v>
      </c>
      <c r="C49" s="16">
        <f t="shared" si="51"/>
        <v>4394.6819999999998</v>
      </c>
      <c r="D49" s="16">
        <f t="shared" si="51"/>
        <v>268.41399999999999</v>
      </c>
      <c r="E49" s="16">
        <f t="shared" si="51"/>
        <v>633.73</v>
      </c>
      <c r="F49" s="16">
        <f t="shared" si="51"/>
        <v>14347.08</v>
      </c>
      <c r="G49" s="16">
        <f t="shared" si="51"/>
        <v>478.2360000000001</v>
      </c>
      <c r="H49" s="16">
        <f t="shared" si="51"/>
        <v>736.39200000000005</v>
      </c>
      <c r="I49" s="16">
        <f t="shared" si="51"/>
        <v>65.213999999999999</v>
      </c>
      <c r="J49" s="16">
        <f t="shared" si="51"/>
        <v>1118.0899999999999</v>
      </c>
      <c r="K49" s="16">
        <f t="shared" si="51"/>
        <v>130.428</v>
      </c>
      <c r="L49" s="16">
        <f t="shared" si="51"/>
        <v>0</v>
      </c>
      <c r="M49" s="16">
        <f t="shared" si="51"/>
        <v>0</v>
      </c>
      <c r="N49" s="16">
        <f t="shared" si="51"/>
        <v>63.400000000000006</v>
      </c>
      <c r="O49" s="16">
        <f t="shared" si="37"/>
        <v>0</v>
      </c>
      <c r="P49" s="16">
        <f t="shared" si="46"/>
        <v>0</v>
      </c>
      <c r="Q49" s="16">
        <f t="shared" si="46"/>
        <v>0</v>
      </c>
      <c r="R49" s="8">
        <f t="shared" si="38"/>
        <v>35102.391999999993</v>
      </c>
      <c r="S49" s="363">
        <f t="shared" si="40"/>
        <v>12866.726000000001</v>
      </c>
      <c r="T49" s="363">
        <f t="shared" si="40"/>
        <v>4394.6819999999998</v>
      </c>
      <c r="U49" s="363">
        <f t="shared" si="40"/>
        <v>268.41399999999999</v>
      </c>
      <c r="V49" s="363">
        <f t="shared" si="40"/>
        <v>633.73</v>
      </c>
      <c r="W49" s="363">
        <f t="shared" si="41"/>
        <v>14825.316000000001</v>
      </c>
      <c r="X49" s="363">
        <f t="shared" si="42"/>
        <v>2113.5239999999999</v>
      </c>
      <c r="AI49" s="363"/>
      <c r="AJ49" s="363"/>
      <c r="AK49" s="363"/>
      <c r="AL49" s="363"/>
      <c r="AM49" s="363"/>
      <c r="AN49" s="363"/>
    </row>
    <row r="50" spans="1:40">
      <c r="A50" s="2" t="s">
        <v>87</v>
      </c>
      <c r="B50" s="16">
        <f t="shared" ref="B50:N50" si="52">B85*0.2</f>
        <v>28794.828000000005</v>
      </c>
      <c r="C50" s="16">
        <f t="shared" si="52"/>
        <v>3859.4879999999998</v>
      </c>
      <c r="D50" s="16">
        <f t="shared" si="52"/>
        <v>590.08199999999999</v>
      </c>
      <c r="E50" s="16">
        <f t="shared" si="52"/>
        <v>703.42400000000009</v>
      </c>
      <c r="F50" s="16">
        <f t="shared" si="52"/>
        <v>69452.91</v>
      </c>
      <c r="G50" s="16">
        <f t="shared" si="52"/>
        <v>369.54600000000005</v>
      </c>
      <c r="H50" s="16">
        <f t="shared" si="52"/>
        <v>674.94399999999996</v>
      </c>
      <c r="I50" s="16">
        <f t="shared" si="52"/>
        <v>45.192000000000007</v>
      </c>
      <c r="J50" s="16">
        <f t="shared" si="52"/>
        <v>962.12799999999993</v>
      </c>
      <c r="K50" s="16">
        <f t="shared" si="52"/>
        <v>173.904</v>
      </c>
      <c r="L50" s="16">
        <f t="shared" si="52"/>
        <v>0</v>
      </c>
      <c r="M50" s="16">
        <f t="shared" si="52"/>
        <v>0</v>
      </c>
      <c r="N50" s="16">
        <f t="shared" si="52"/>
        <v>50.72</v>
      </c>
      <c r="O50" s="16">
        <f t="shared" si="37"/>
        <v>0</v>
      </c>
      <c r="P50" s="16">
        <f t="shared" si="46"/>
        <v>0</v>
      </c>
      <c r="Q50" s="16">
        <f t="shared" si="46"/>
        <v>0</v>
      </c>
      <c r="R50" s="8">
        <f t="shared" si="38"/>
        <v>105677.16600000001</v>
      </c>
      <c r="S50" s="363">
        <f t="shared" si="40"/>
        <v>28794.828000000005</v>
      </c>
      <c r="T50" s="363">
        <f t="shared" si="40"/>
        <v>3859.4879999999998</v>
      </c>
      <c r="U50" s="363">
        <f t="shared" si="40"/>
        <v>590.08199999999999</v>
      </c>
      <c r="V50" s="363">
        <f t="shared" si="40"/>
        <v>703.42400000000009</v>
      </c>
      <c r="W50" s="363">
        <f t="shared" si="41"/>
        <v>69822.456000000006</v>
      </c>
      <c r="X50" s="363">
        <f t="shared" si="42"/>
        <v>1906.8879999999999</v>
      </c>
      <c r="AI50" s="363"/>
      <c r="AJ50" s="363"/>
      <c r="AK50" s="363"/>
      <c r="AL50" s="363"/>
      <c r="AM50" s="363"/>
      <c r="AN50" s="363"/>
    </row>
    <row r="51" spans="1:40">
      <c r="A51" s="2" t="s">
        <v>88</v>
      </c>
      <c r="B51" s="16">
        <f t="shared" ref="B51:N51" si="53">B86*0.2</f>
        <v>17810.572</v>
      </c>
      <c r="C51" s="16">
        <f t="shared" si="53"/>
        <v>5981.01</v>
      </c>
      <c r="D51" s="16">
        <f t="shared" si="53"/>
        <v>303.92</v>
      </c>
      <c r="E51" s="16">
        <f t="shared" si="53"/>
        <v>1240.4340000000002</v>
      </c>
      <c r="F51" s="16">
        <f t="shared" si="53"/>
        <v>44410.734000000004</v>
      </c>
      <c r="G51" s="16">
        <f t="shared" si="53"/>
        <v>652.14</v>
      </c>
      <c r="H51" s="16">
        <f t="shared" si="53"/>
        <v>1220.2980000000002</v>
      </c>
      <c r="I51" s="16">
        <f t="shared" si="53"/>
        <v>785.39600000000007</v>
      </c>
      <c r="J51" s="16">
        <f t="shared" si="53"/>
        <v>1351.5700000000002</v>
      </c>
      <c r="K51" s="16">
        <f t="shared" si="53"/>
        <v>478.23599999999999</v>
      </c>
      <c r="L51" s="16">
        <f t="shared" si="53"/>
        <v>0</v>
      </c>
      <c r="M51" s="16">
        <f t="shared" si="53"/>
        <v>0</v>
      </c>
      <c r="N51" s="16">
        <f t="shared" si="53"/>
        <v>63.400000000000006</v>
      </c>
      <c r="O51" s="16">
        <f t="shared" si="37"/>
        <v>0</v>
      </c>
      <c r="P51" s="16">
        <f t="shared" si="46"/>
        <v>0</v>
      </c>
      <c r="Q51" s="16">
        <f t="shared" si="46"/>
        <v>0</v>
      </c>
      <c r="R51" s="8">
        <f t="shared" si="38"/>
        <v>74297.710000000006</v>
      </c>
      <c r="S51" s="363">
        <f t="shared" si="40"/>
        <v>17810.572</v>
      </c>
      <c r="T51" s="363">
        <f t="shared" si="40"/>
        <v>5981.01</v>
      </c>
      <c r="U51" s="363">
        <f t="shared" si="40"/>
        <v>303.92</v>
      </c>
      <c r="V51" s="363">
        <f t="shared" si="40"/>
        <v>1240.4340000000002</v>
      </c>
      <c r="W51" s="363">
        <f t="shared" si="41"/>
        <v>45062.874000000003</v>
      </c>
      <c r="X51" s="363">
        <f t="shared" si="42"/>
        <v>3898.9000000000005</v>
      </c>
      <c r="AI51" s="363"/>
      <c r="AJ51" s="363"/>
      <c r="AK51" s="363"/>
      <c r="AL51" s="363"/>
      <c r="AM51" s="363"/>
      <c r="AN51" s="363"/>
    </row>
    <row r="52" spans="1:40">
      <c r="A52" s="2" t="s">
        <v>89</v>
      </c>
      <c r="B52" s="16">
        <f t="shared" ref="B52:N52" si="54">B87*0.2</f>
        <v>110285.32</v>
      </c>
      <c r="C52" s="16">
        <f t="shared" si="54"/>
        <v>26986.878000000004</v>
      </c>
      <c r="D52" s="16">
        <f t="shared" si="54"/>
        <v>1725.0259999999998</v>
      </c>
      <c r="E52" s="16">
        <f t="shared" si="54"/>
        <v>4183.2040000000006</v>
      </c>
      <c r="F52" s="16">
        <f t="shared" si="54"/>
        <v>126884.70600000001</v>
      </c>
      <c r="G52" s="16">
        <f t="shared" si="54"/>
        <v>3412.8660000000004</v>
      </c>
      <c r="H52" s="16">
        <f t="shared" si="54"/>
        <v>4931.3019999999997</v>
      </c>
      <c r="I52" s="16">
        <f t="shared" si="54"/>
        <v>367.07600000000002</v>
      </c>
      <c r="J52" s="16">
        <f t="shared" si="54"/>
        <v>6604.7720000000008</v>
      </c>
      <c r="K52" s="16">
        <f t="shared" si="54"/>
        <v>608.6640000000001</v>
      </c>
      <c r="L52" s="16">
        <f t="shared" si="54"/>
        <v>0</v>
      </c>
      <c r="M52" s="16">
        <f t="shared" si="54"/>
        <v>0</v>
      </c>
      <c r="N52" s="16">
        <f t="shared" si="54"/>
        <v>152.16</v>
      </c>
      <c r="O52" s="16">
        <f t="shared" si="37"/>
        <v>0</v>
      </c>
      <c r="P52" s="16">
        <f t="shared" si="46"/>
        <v>0</v>
      </c>
      <c r="Q52" s="16">
        <f t="shared" si="46"/>
        <v>0</v>
      </c>
      <c r="R52" s="8">
        <f t="shared" si="38"/>
        <v>286141.97399999999</v>
      </c>
      <c r="S52" s="363">
        <f t="shared" si="40"/>
        <v>110285.32</v>
      </c>
      <c r="T52" s="363">
        <f t="shared" si="40"/>
        <v>26986.878000000004</v>
      </c>
      <c r="U52" s="363">
        <f t="shared" si="40"/>
        <v>1725.0259999999998</v>
      </c>
      <c r="V52" s="363">
        <f t="shared" si="40"/>
        <v>4183.2040000000006</v>
      </c>
      <c r="W52" s="363">
        <f t="shared" si="41"/>
        <v>130297.572</v>
      </c>
      <c r="X52" s="363">
        <f t="shared" si="42"/>
        <v>12663.974000000002</v>
      </c>
      <c r="AI52" s="363"/>
      <c r="AJ52" s="363"/>
      <c r="AK52" s="363"/>
      <c r="AL52" s="363"/>
      <c r="AM52" s="363"/>
      <c r="AN52" s="363"/>
    </row>
    <row r="53" spans="1:40">
      <c r="A53" s="2" t="s">
        <v>90</v>
      </c>
      <c r="B53" s="16">
        <f t="shared" ref="B53:N53" si="55">B88*0.2</f>
        <v>17731.851999999999</v>
      </c>
      <c r="C53" s="16">
        <f t="shared" si="55"/>
        <v>5163.0780000000004</v>
      </c>
      <c r="D53" s="16">
        <f t="shared" si="55"/>
        <v>454.11800000000005</v>
      </c>
      <c r="E53" s="16">
        <f t="shared" si="55"/>
        <v>479.71400000000006</v>
      </c>
      <c r="F53" s="16">
        <f t="shared" si="55"/>
        <v>25194.342000000004</v>
      </c>
      <c r="G53" s="16">
        <f t="shared" si="55"/>
        <v>826.0440000000001</v>
      </c>
      <c r="H53" s="16">
        <f t="shared" si="55"/>
        <v>956.7600000000001</v>
      </c>
      <c r="I53" s="16">
        <f t="shared" si="55"/>
        <v>0</v>
      </c>
      <c r="J53" s="16">
        <f t="shared" si="55"/>
        <v>1278.366</v>
      </c>
      <c r="K53" s="16">
        <f t="shared" si="55"/>
        <v>260.85599999999999</v>
      </c>
      <c r="L53" s="16">
        <f t="shared" si="55"/>
        <v>0</v>
      </c>
      <c r="M53" s="16">
        <f t="shared" si="55"/>
        <v>0</v>
      </c>
      <c r="N53" s="16">
        <f t="shared" si="55"/>
        <v>44.38</v>
      </c>
      <c r="O53" s="16">
        <f t="shared" si="37"/>
        <v>0</v>
      </c>
      <c r="P53" s="16">
        <f t="shared" si="46"/>
        <v>0</v>
      </c>
      <c r="Q53" s="16">
        <f t="shared" si="46"/>
        <v>0</v>
      </c>
      <c r="R53" s="8">
        <f t="shared" si="38"/>
        <v>52389.510000000009</v>
      </c>
      <c r="S53" s="363">
        <f t="shared" si="40"/>
        <v>17731.851999999999</v>
      </c>
      <c r="T53" s="363">
        <f t="shared" si="40"/>
        <v>5163.0780000000004</v>
      </c>
      <c r="U53" s="363">
        <f t="shared" si="40"/>
        <v>454.11800000000005</v>
      </c>
      <c r="V53" s="363">
        <f t="shared" si="40"/>
        <v>479.71400000000006</v>
      </c>
      <c r="W53" s="363">
        <f t="shared" si="41"/>
        <v>26020.386000000006</v>
      </c>
      <c r="X53" s="363">
        <f t="shared" si="42"/>
        <v>2540.3620000000001</v>
      </c>
      <c r="AI53" s="363"/>
      <c r="AJ53" s="363"/>
      <c r="AK53" s="363"/>
      <c r="AL53" s="363"/>
      <c r="AM53" s="363"/>
      <c r="AN53" s="363"/>
    </row>
    <row r="54" spans="1:40">
      <c r="A54" s="2" t="s">
        <v>91</v>
      </c>
      <c r="B54" s="16">
        <f t="shared" ref="B54:N54" si="56">B89*0.2</f>
        <v>15303.022000000001</v>
      </c>
      <c r="C54" s="16">
        <f t="shared" si="56"/>
        <v>6392.1540000000005</v>
      </c>
      <c r="D54" s="16">
        <f t="shared" si="56"/>
        <v>335.62</v>
      </c>
      <c r="E54" s="16">
        <f t="shared" si="56"/>
        <v>396.38000000000005</v>
      </c>
      <c r="F54" s="16">
        <f t="shared" si="56"/>
        <v>24390.036</v>
      </c>
      <c r="G54" s="16">
        <f t="shared" si="56"/>
        <v>543.45000000000005</v>
      </c>
      <c r="H54" s="16">
        <f t="shared" si="56"/>
        <v>945.60599999999999</v>
      </c>
      <c r="I54" s="16">
        <f t="shared" si="56"/>
        <v>0</v>
      </c>
      <c r="J54" s="16">
        <f t="shared" si="56"/>
        <v>1480.6820000000002</v>
      </c>
      <c r="K54" s="16">
        <f t="shared" si="56"/>
        <v>43.475999999999999</v>
      </c>
      <c r="L54" s="16">
        <f t="shared" si="56"/>
        <v>0</v>
      </c>
      <c r="M54" s="16">
        <f t="shared" si="56"/>
        <v>0</v>
      </c>
      <c r="N54" s="16">
        <f t="shared" si="56"/>
        <v>57.06</v>
      </c>
      <c r="O54" s="16">
        <f t="shared" si="37"/>
        <v>0</v>
      </c>
      <c r="P54" s="16">
        <f t="shared" si="46"/>
        <v>6.6879999999999997</v>
      </c>
      <c r="Q54" s="16">
        <f t="shared" si="46"/>
        <v>80.341999999999999</v>
      </c>
      <c r="R54" s="8">
        <f t="shared" si="38"/>
        <v>49974.515999999996</v>
      </c>
      <c r="S54" s="363">
        <f t="shared" si="40"/>
        <v>15303.022000000001</v>
      </c>
      <c r="T54" s="363">
        <f t="shared" si="40"/>
        <v>6392.1540000000005</v>
      </c>
      <c r="U54" s="363">
        <f t="shared" si="40"/>
        <v>335.62</v>
      </c>
      <c r="V54" s="363">
        <f t="shared" si="40"/>
        <v>396.38000000000005</v>
      </c>
      <c r="W54" s="363">
        <f t="shared" si="41"/>
        <v>24933.486000000001</v>
      </c>
      <c r="X54" s="363">
        <f t="shared" si="42"/>
        <v>2613.8540000000007</v>
      </c>
      <c r="AI54" s="363"/>
      <c r="AJ54" s="363"/>
      <c r="AK54" s="363"/>
      <c r="AL54" s="363"/>
      <c r="AM54" s="363"/>
      <c r="AN54" s="363"/>
    </row>
    <row r="55" spans="1:40">
      <c r="A55" s="2" t="s">
        <v>92</v>
      </c>
      <c r="B55" s="16">
        <f t="shared" ref="B55:N55" si="57">B90*0.2</f>
        <v>89623.19</v>
      </c>
      <c r="C55" s="16">
        <f t="shared" si="57"/>
        <v>17484.457999999999</v>
      </c>
      <c r="D55" s="16">
        <f t="shared" si="57"/>
        <v>1780.394</v>
      </c>
      <c r="E55" s="16">
        <f t="shared" si="57"/>
        <v>4363.13</v>
      </c>
      <c r="F55" s="16">
        <f t="shared" si="57"/>
        <v>143144.73000000001</v>
      </c>
      <c r="G55" s="16">
        <f t="shared" si="57"/>
        <v>1804.2540000000001</v>
      </c>
      <c r="H55" s="16">
        <f t="shared" si="57"/>
        <v>3165.8360000000002</v>
      </c>
      <c r="I55" s="16">
        <f t="shared" si="57"/>
        <v>456.03400000000005</v>
      </c>
      <c r="J55" s="16">
        <f t="shared" si="57"/>
        <v>4671.518</v>
      </c>
      <c r="K55" s="16">
        <f t="shared" si="57"/>
        <v>1282.5420000000001</v>
      </c>
      <c r="L55" s="16">
        <f t="shared" si="57"/>
        <v>43.475999999999999</v>
      </c>
      <c r="M55" s="16">
        <f t="shared" si="57"/>
        <v>0</v>
      </c>
      <c r="N55" s="16">
        <f t="shared" si="57"/>
        <v>190.20000000000002</v>
      </c>
      <c r="O55" s="16">
        <f t="shared" si="37"/>
        <v>0</v>
      </c>
      <c r="P55" s="16">
        <f t="shared" si="46"/>
        <v>0</v>
      </c>
      <c r="Q55" s="16">
        <f t="shared" si="46"/>
        <v>0</v>
      </c>
      <c r="R55" s="8">
        <f t="shared" si="38"/>
        <v>268009.76200000005</v>
      </c>
      <c r="S55" s="363">
        <f t="shared" si="40"/>
        <v>89623.19</v>
      </c>
      <c r="T55" s="363">
        <f t="shared" si="40"/>
        <v>17484.457999999999</v>
      </c>
      <c r="U55" s="363">
        <f t="shared" si="40"/>
        <v>1780.394</v>
      </c>
      <c r="V55" s="363">
        <f t="shared" si="40"/>
        <v>4363.13</v>
      </c>
      <c r="W55" s="363">
        <f t="shared" si="41"/>
        <v>144948.984</v>
      </c>
      <c r="X55" s="363">
        <f t="shared" si="42"/>
        <v>9809.6060000000016</v>
      </c>
      <c r="AI55" s="363"/>
      <c r="AJ55" s="363"/>
      <c r="AK55" s="363"/>
      <c r="AL55" s="363"/>
      <c r="AM55" s="363"/>
      <c r="AN55" s="363"/>
    </row>
    <row r="56" spans="1:40">
      <c r="A56" s="2" t="s">
        <v>93</v>
      </c>
      <c r="B56" s="16">
        <f t="shared" ref="B56:N56" si="58">B91*0.2</f>
        <v>32535.496000000003</v>
      </c>
      <c r="C56" s="16">
        <f t="shared" si="58"/>
        <v>11367.822</v>
      </c>
      <c r="D56" s="16">
        <f t="shared" si="58"/>
        <v>500.19200000000001</v>
      </c>
      <c r="E56" s="16">
        <f t="shared" si="58"/>
        <v>649.10600000000011</v>
      </c>
      <c r="F56" s="16">
        <f t="shared" si="58"/>
        <v>41389.152000000002</v>
      </c>
      <c r="G56" s="16">
        <f t="shared" si="58"/>
        <v>1130.376</v>
      </c>
      <c r="H56" s="16">
        <f t="shared" si="58"/>
        <v>1460.8140000000001</v>
      </c>
      <c r="I56" s="16">
        <f t="shared" si="58"/>
        <v>1202.626</v>
      </c>
      <c r="J56" s="16">
        <f t="shared" si="58"/>
        <v>2597.7200000000003</v>
      </c>
      <c r="K56" s="16">
        <f t="shared" si="58"/>
        <v>152.16600000000003</v>
      </c>
      <c r="L56" s="16">
        <f t="shared" si="58"/>
        <v>43.475999999999999</v>
      </c>
      <c r="M56" s="16">
        <f t="shared" si="58"/>
        <v>0</v>
      </c>
      <c r="N56" s="16">
        <f t="shared" si="58"/>
        <v>101.44</v>
      </c>
      <c r="O56" s="16">
        <f t="shared" si="37"/>
        <v>0</v>
      </c>
      <c r="P56" s="16">
        <f t="shared" si="46"/>
        <v>0</v>
      </c>
      <c r="Q56" s="16">
        <f t="shared" si="46"/>
        <v>0</v>
      </c>
      <c r="R56" s="8">
        <f t="shared" si="38"/>
        <v>93130.386000000013</v>
      </c>
      <c r="S56" s="363">
        <f t="shared" si="40"/>
        <v>32535.496000000003</v>
      </c>
      <c r="T56" s="363">
        <f t="shared" si="40"/>
        <v>11367.822</v>
      </c>
      <c r="U56" s="363">
        <f t="shared" si="40"/>
        <v>500.19200000000001</v>
      </c>
      <c r="V56" s="363">
        <f t="shared" si="40"/>
        <v>649.10600000000011</v>
      </c>
      <c r="W56" s="363">
        <f t="shared" si="41"/>
        <v>42519.527999999998</v>
      </c>
      <c r="X56" s="363">
        <f t="shared" si="42"/>
        <v>5558.2419999999993</v>
      </c>
      <c r="AI56" s="363"/>
      <c r="AJ56" s="363"/>
      <c r="AK56" s="363"/>
      <c r="AL56" s="363"/>
      <c r="AM56" s="363"/>
      <c r="AN56" s="363"/>
    </row>
    <row r="57" spans="1:40">
      <c r="A57" s="2" t="s">
        <v>94</v>
      </c>
      <c r="B57" s="16">
        <f t="shared" ref="B57:N57" si="59">B92*0.2</f>
        <v>8474.0120000000006</v>
      </c>
      <c r="C57" s="16">
        <f t="shared" si="59"/>
        <v>1232.8400000000001</v>
      </c>
      <c r="D57" s="16">
        <f t="shared" si="59"/>
        <v>135.68600000000001</v>
      </c>
      <c r="E57" s="16">
        <f t="shared" si="59"/>
        <v>150.84800000000001</v>
      </c>
      <c r="F57" s="16">
        <f t="shared" si="59"/>
        <v>11108.118</v>
      </c>
      <c r="G57" s="16">
        <f t="shared" si="59"/>
        <v>478.2360000000001</v>
      </c>
      <c r="H57" s="16">
        <f t="shared" si="59"/>
        <v>166.702</v>
      </c>
      <c r="I57" s="16">
        <f t="shared" si="59"/>
        <v>0</v>
      </c>
      <c r="J57" s="16">
        <f t="shared" si="59"/>
        <v>290.40000000000003</v>
      </c>
      <c r="K57" s="16">
        <f t="shared" si="59"/>
        <v>43.475999999999999</v>
      </c>
      <c r="L57" s="16">
        <f t="shared" si="59"/>
        <v>0</v>
      </c>
      <c r="M57" s="16">
        <f t="shared" si="59"/>
        <v>0</v>
      </c>
      <c r="N57" s="16">
        <f t="shared" si="59"/>
        <v>12.68</v>
      </c>
      <c r="O57" s="16">
        <f t="shared" si="37"/>
        <v>0</v>
      </c>
      <c r="P57" s="16">
        <v>0</v>
      </c>
      <c r="Q57" s="16">
        <v>0</v>
      </c>
      <c r="R57" s="8">
        <f t="shared" si="38"/>
        <v>22092.998000000003</v>
      </c>
      <c r="S57" s="363">
        <f t="shared" si="40"/>
        <v>8474.0120000000006</v>
      </c>
      <c r="T57" s="363">
        <f t="shared" si="40"/>
        <v>1232.8400000000001</v>
      </c>
      <c r="U57" s="363">
        <f t="shared" si="40"/>
        <v>135.68600000000001</v>
      </c>
      <c r="V57" s="363">
        <f t="shared" si="40"/>
        <v>150.84800000000001</v>
      </c>
      <c r="W57" s="363">
        <f t="shared" si="41"/>
        <v>11586.354000000001</v>
      </c>
      <c r="X57" s="363">
        <f t="shared" si="42"/>
        <v>513.25800000000004</v>
      </c>
      <c r="AI57" s="363"/>
      <c r="AJ57" s="363"/>
      <c r="AK57" s="363"/>
      <c r="AL57" s="363"/>
      <c r="AM57" s="363"/>
      <c r="AN57" s="363"/>
    </row>
    <row r="58" spans="1:40">
      <c r="A58" s="2" t="s">
        <v>95</v>
      </c>
      <c r="B58" s="16">
        <f t="shared" ref="B58:N58" si="60">B93*0.2</f>
        <v>102057.73800000001</v>
      </c>
      <c r="C58" s="16">
        <f t="shared" si="60"/>
        <v>19287.434000000001</v>
      </c>
      <c r="D58" s="16">
        <f t="shared" si="60"/>
        <v>3026.9360000000001</v>
      </c>
      <c r="E58" s="16">
        <f t="shared" si="60"/>
        <v>3269.91</v>
      </c>
      <c r="F58" s="16">
        <f t="shared" si="60"/>
        <v>137014.614</v>
      </c>
      <c r="G58" s="16">
        <f t="shared" si="60"/>
        <v>5217.12</v>
      </c>
      <c r="H58" s="16">
        <f t="shared" si="60"/>
        <v>3203.268</v>
      </c>
      <c r="I58" s="16">
        <f t="shared" si="60"/>
        <v>859.05600000000004</v>
      </c>
      <c r="J58" s="16">
        <f t="shared" si="60"/>
        <v>4761.6799999999994</v>
      </c>
      <c r="K58" s="16">
        <f t="shared" si="60"/>
        <v>521.71199999999999</v>
      </c>
      <c r="L58" s="16">
        <f t="shared" si="60"/>
        <v>0</v>
      </c>
      <c r="M58" s="16">
        <f t="shared" si="60"/>
        <v>0</v>
      </c>
      <c r="N58" s="16">
        <f t="shared" si="60"/>
        <v>285.3</v>
      </c>
      <c r="O58" s="16">
        <f t="shared" si="37"/>
        <v>0</v>
      </c>
      <c r="P58" s="16">
        <f t="shared" ref="P58:Q63" si="61">P93*0.2</f>
        <v>0</v>
      </c>
      <c r="Q58" s="16">
        <f t="shared" si="61"/>
        <v>0</v>
      </c>
      <c r="R58" s="8">
        <f t="shared" si="38"/>
        <v>279504.76799999998</v>
      </c>
      <c r="S58" s="363">
        <f t="shared" si="40"/>
        <v>102057.73800000001</v>
      </c>
      <c r="T58" s="363">
        <f t="shared" si="40"/>
        <v>19287.434000000001</v>
      </c>
      <c r="U58" s="363">
        <f t="shared" si="40"/>
        <v>3026.9360000000001</v>
      </c>
      <c r="V58" s="363">
        <f t="shared" si="40"/>
        <v>3269.91</v>
      </c>
      <c r="W58" s="363">
        <f t="shared" si="41"/>
        <v>142231.734</v>
      </c>
      <c r="X58" s="363">
        <f t="shared" si="42"/>
        <v>9631.0159999999978</v>
      </c>
      <c r="AI58" s="363"/>
      <c r="AJ58" s="363"/>
      <c r="AK58" s="363"/>
      <c r="AL58" s="363"/>
      <c r="AM58" s="363"/>
      <c r="AN58" s="363"/>
    </row>
    <row r="59" spans="1:40">
      <c r="A59" s="2" t="s">
        <v>96</v>
      </c>
      <c r="B59" s="16">
        <f t="shared" ref="B59:N59" si="62">B94*0.2</f>
        <v>18153.456000000002</v>
      </c>
      <c r="C59" s="16">
        <f t="shared" si="62"/>
        <v>3565.3840000000005</v>
      </c>
      <c r="D59" s="16">
        <f t="shared" si="62"/>
        <v>213.03800000000001</v>
      </c>
      <c r="E59" s="16">
        <f t="shared" si="62"/>
        <v>234.48200000000003</v>
      </c>
      <c r="F59" s="16">
        <f t="shared" si="62"/>
        <v>19694.628000000001</v>
      </c>
      <c r="G59" s="16">
        <f t="shared" si="62"/>
        <v>1021.6860000000001</v>
      </c>
      <c r="H59" s="16">
        <f t="shared" si="62"/>
        <v>555.25400000000013</v>
      </c>
      <c r="I59" s="16">
        <f t="shared" si="62"/>
        <v>192.02200000000002</v>
      </c>
      <c r="J59" s="16">
        <f t="shared" si="62"/>
        <v>793.98</v>
      </c>
      <c r="K59" s="16">
        <f t="shared" si="62"/>
        <v>86.951999999999998</v>
      </c>
      <c r="L59" s="16">
        <f t="shared" si="62"/>
        <v>0</v>
      </c>
      <c r="M59" s="16">
        <f t="shared" si="62"/>
        <v>0</v>
      </c>
      <c r="N59" s="16">
        <f t="shared" si="62"/>
        <v>44.38</v>
      </c>
      <c r="O59" s="16">
        <f t="shared" si="37"/>
        <v>0</v>
      </c>
      <c r="P59" s="16">
        <f t="shared" si="61"/>
        <v>0</v>
      </c>
      <c r="Q59" s="16">
        <f t="shared" si="61"/>
        <v>0</v>
      </c>
      <c r="R59" s="8">
        <f t="shared" si="38"/>
        <v>44555.262000000002</v>
      </c>
      <c r="S59" s="363">
        <f t="shared" si="40"/>
        <v>18153.456000000002</v>
      </c>
      <c r="T59" s="363">
        <f t="shared" si="40"/>
        <v>3565.3840000000005</v>
      </c>
      <c r="U59" s="363">
        <f t="shared" si="40"/>
        <v>213.03800000000001</v>
      </c>
      <c r="V59" s="363">
        <f t="shared" si="40"/>
        <v>234.48200000000003</v>
      </c>
      <c r="W59" s="363">
        <f t="shared" si="41"/>
        <v>20716.314000000002</v>
      </c>
      <c r="X59" s="363">
        <f t="shared" si="42"/>
        <v>1672.5880000000004</v>
      </c>
      <c r="AI59" s="363"/>
      <c r="AJ59" s="363"/>
      <c r="AK59" s="363"/>
      <c r="AL59" s="363"/>
      <c r="AM59" s="363"/>
      <c r="AN59" s="363"/>
    </row>
    <row r="60" spans="1:40">
      <c r="A60" s="2" t="s">
        <v>97</v>
      </c>
      <c r="B60" s="16">
        <f t="shared" ref="B60:N60" si="63">B95*0.2</f>
        <v>113367.72</v>
      </c>
      <c r="C60" s="16">
        <f t="shared" si="63"/>
        <v>25653.245999999999</v>
      </c>
      <c r="D60" s="16">
        <f t="shared" si="63"/>
        <v>3005.232</v>
      </c>
      <c r="E60" s="16">
        <f t="shared" si="63"/>
        <v>5221.5480000000007</v>
      </c>
      <c r="F60" s="16">
        <f t="shared" si="63"/>
        <v>188120.652</v>
      </c>
      <c r="G60" s="16">
        <f t="shared" si="63"/>
        <v>3065.0580000000004</v>
      </c>
      <c r="H60" s="16">
        <f t="shared" si="63"/>
        <v>5354.2520000000004</v>
      </c>
      <c r="I60" s="16">
        <f t="shared" si="63"/>
        <v>516.81000000000006</v>
      </c>
      <c r="J60" s="16">
        <f t="shared" si="63"/>
        <v>6791.2560000000003</v>
      </c>
      <c r="K60" s="16">
        <f t="shared" si="63"/>
        <v>434.76000000000005</v>
      </c>
      <c r="L60" s="16">
        <f t="shared" si="63"/>
        <v>0</v>
      </c>
      <c r="M60" s="16">
        <f t="shared" si="63"/>
        <v>70.058000000000007</v>
      </c>
      <c r="N60" s="16">
        <f t="shared" si="63"/>
        <v>133.14000000000001</v>
      </c>
      <c r="O60" s="16">
        <f t="shared" si="37"/>
        <v>0</v>
      </c>
      <c r="P60" s="16">
        <f t="shared" si="61"/>
        <v>0</v>
      </c>
      <c r="Q60" s="16">
        <f t="shared" si="61"/>
        <v>0</v>
      </c>
      <c r="R60" s="8">
        <f t="shared" si="38"/>
        <v>351733.73200000008</v>
      </c>
      <c r="S60" s="363">
        <f t="shared" si="40"/>
        <v>113367.72</v>
      </c>
      <c r="T60" s="363">
        <f t="shared" si="40"/>
        <v>25653.245999999999</v>
      </c>
      <c r="U60" s="363">
        <f t="shared" si="40"/>
        <v>3005.232</v>
      </c>
      <c r="V60" s="363">
        <f t="shared" si="40"/>
        <v>5221.5480000000007</v>
      </c>
      <c r="W60" s="363">
        <f t="shared" si="41"/>
        <v>191185.71</v>
      </c>
      <c r="X60" s="363">
        <f t="shared" si="42"/>
        <v>13300.276000000002</v>
      </c>
      <c r="AI60" s="363"/>
      <c r="AJ60" s="363"/>
      <c r="AK60" s="363"/>
      <c r="AL60" s="363"/>
      <c r="AM60" s="363"/>
      <c r="AN60" s="363"/>
    </row>
    <row r="61" spans="1:40">
      <c r="A61" s="2" t="s">
        <v>98</v>
      </c>
      <c r="B61" s="16">
        <f t="shared" ref="B61:N61" si="64">B96*0.2</f>
        <v>8663.3520000000008</v>
      </c>
      <c r="C61" s="16">
        <f t="shared" si="64"/>
        <v>2903.4839999999999</v>
      </c>
      <c r="D61" s="16">
        <f t="shared" si="64"/>
        <v>101.44800000000001</v>
      </c>
      <c r="E61" s="16">
        <f t="shared" si="64"/>
        <v>538.81200000000001</v>
      </c>
      <c r="F61" s="16">
        <f t="shared" si="64"/>
        <v>20651.100000000002</v>
      </c>
      <c r="G61" s="16">
        <f t="shared" si="64"/>
        <v>826.04399999999987</v>
      </c>
      <c r="H61" s="16">
        <f t="shared" si="64"/>
        <v>443.37799999999999</v>
      </c>
      <c r="I61" s="16">
        <f t="shared" si="64"/>
        <v>0</v>
      </c>
      <c r="J61" s="16">
        <f t="shared" si="64"/>
        <v>752.19800000000009</v>
      </c>
      <c r="K61" s="16">
        <f t="shared" si="64"/>
        <v>0</v>
      </c>
      <c r="L61" s="16">
        <f t="shared" si="64"/>
        <v>0</v>
      </c>
      <c r="M61" s="16">
        <f t="shared" si="64"/>
        <v>0</v>
      </c>
      <c r="N61" s="16">
        <f t="shared" si="64"/>
        <v>19.02</v>
      </c>
      <c r="O61" s="16">
        <f t="shared" si="37"/>
        <v>0</v>
      </c>
      <c r="P61" s="16">
        <v>0</v>
      </c>
      <c r="Q61" s="16">
        <v>0</v>
      </c>
      <c r="R61" s="8">
        <f t="shared" si="38"/>
        <v>34898.835999999996</v>
      </c>
      <c r="S61" s="363">
        <f t="shared" si="40"/>
        <v>8663.3520000000008</v>
      </c>
      <c r="T61" s="363">
        <f t="shared" si="40"/>
        <v>2903.4839999999999</v>
      </c>
      <c r="U61" s="363">
        <f t="shared" si="40"/>
        <v>101.44800000000001</v>
      </c>
      <c r="V61" s="363">
        <f t="shared" si="40"/>
        <v>538.81200000000001</v>
      </c>
      <c r="W61" s="363">
        <f t="shared" si="41"/>
        <v>21477.144</v>
      </c>
      <c r="X61" s="363">
        <f t="shared" si="42"/>
        <v>1214.596</v>
      </c>
      <c r="AI61" s="363"/>
      <c r="AJ61" s="363"/>
      <c r="AK61" s="363"/>
      <c r="AL61" s="363"/>
      <c r="AM61" s="363"/>
      <c r="AN61" s="363"/>
    </row>
    <row r="62" spans="1:40">
      <c r="A62" s="2" t="s">
        <v>99</v>
      </c>
      <c r="B62" s="16">
        <f t="shared" ref="B62:N62" si="65">B97*0.2</f>
        <v>1377.098</v>
      </c>
      <c r="C62" s="16">
        <f t="shared" si="65"/>
        <v>45.710000000000008</v>
      </c>
      <c r="D62" s="16">
        <f t="shared" si="65"/>
        <v>10.144</v>
      </c>
      <c r="E62" s="16">
        <f t="shared" si="65"/>
        <v>44.758000000000003</v>
      </c>
      <c r="F62" s="16">
        <f t="shared" si="65"/>
        <v>4282.3860000000004</v>
      </c>
      <c r="G62" s="16">
        <f t="shared" si="65"/>
        <v>21.738</v>
      </c>
      <c r="H62" s="16">
        <f t="shared" si="65"/>
        <v>6.2100000000000009</v>
      </c>
      <c r="I62" s="16">
        <f t="shared" si="65"/>
        <v>0</v>
      </c>
      <c r="J62" s="16">
        <f t="shared" si="65"/>
        <v>19.336000000000002</v>
      </c>
      <c r="K62" s="16">
        <f t="shared" si="65"/>
        <v>0</v>
      </c>
      <c r="L62" s="16">
        <f t="shared" si="65"/>
        <v>0</v>
      </c>
      <c r="M62" s="16">
        <f t="shared" si="65"/>
        <v>0</v>
      </c>
      <c r="N62" s="16">
        <f t="shared" si="65"/>
        <v>0</v>
      </c>
      <c r="O62" s="16">
        <f t="shared" si="37"/>
        <v>0</v>
      </c>
      <c r="P62" s="16">
        <f t="shared" si="61"/>
        <v>0</v>
      </c>
      <c r="Q62" s="16">
        <f t="shared" si="61"/>
        <v>0</v>
      </c>
      <c r="R62" s="8">
        <f t="shared" si="38"/>
        <v>5807.380000000001</v>
      </c>
      <c r="S62" s="363">
        <f t="shared" si="40"/>
        <v>1377.098</v>
      </c>
      <c r="T62" s="363">
        <f t="shared" si="40"/>
        <v>45.710000000000008</v>
      </c>
      <c r="U62" s="363">
        <f t="shared" si="40"/>
        <v>10.144</v>
      </c>
      <c r="V62" s="363">
        <f t="shared" si="40"/>
        <v>44.758000000000003</v>
      </c>
      <c r="W62" s="363">
        <f t="shared" si="41"/>
        <v>4304.1240000000007</v>
      </c>
      <c r="X62" s="363">
        <f t="shared" si="42"/>
        <v>25.546000000000003</v>
      </c>
      <c r="AI62" s="363"/>
      <c r="AJ62" s="363"/>
      <c r="AK62" s="363"/>
      <c r="AL62" s="363"/>
      <c r="AM62" s="363"/>
      <c r="AN62" s="363"/>
    </row>
    <row r="63" spans="1:40">
      <c r="A63" s="2" t="s">
        <v>100</v>
      </c>
      <c r="B63" s="16">
        <f t="shared" ref="B63:N63" si="66">B98*0.2</f>
        <v>78900.540000000008</v>
      </c>
      <c r="C63" s="16">
        <f t="shared" si="66"/>
        <v>27730.395999999997</v>
      </c>
      <c r="D63" s="16">
        <f t="shared" si="66"/>
        <v>2724.9</v>
      </c>
      <c r="E63" s="16">
        <f t="shared" si="66"/>
        <v>9997.7780000000002</v>
      </c>
      <c r="F63" s="16">
        <f t="shared" si="66"/>
        <v>124884.81000000001</v>
      </c>
      <c r="G63" s="16">
        <f t="shared" si="66"/>
        <v>1326.018</v>
      </c>
      <c r="H63" s="16">
        <f t="shared" si="66"/>
        <v>4775.3339999999989</v>
      </c>
      <c r="I63" s="16">
        <f t="shared" si="66"/>
        <v>0</v>
      </c>
      <c r="J63" s="16">
        <f t="shared" si="66"/>
        <v>7884.1280000000006</v>
      </c>
      <c r="K63" s="16">
        <f t="shared" si="66"/>
        <v>326.07</v>
      </c>
      <c r="L63" s="16">
        <f t="shared" si="66"/>
        <v>43.475999999999999</v>
      </c>
      <c r="M63" s="16">
        <f t="shared" si="66"/>
        <v>0</v>
      </c>
      <c r="N63" s="16">
        <f t="shared" si="66"/>
        <v>164.84000000000003</v>
      </c>
      <c r="O63" s="16">
        <f t="shared" si="37"/>
        <v>0</v>
      </c>
      <c r="P63" s="16">
        <f t="shared" si="61"/>
        <v>0</v>
      </c>
      <c r="Q63" s="16">
        <f t="shared" si="61"/>
        <v>0</v>
      </c>
      <c r="R63" s="8">
        <f t="shared" si="38"/>
        <v>258758.29</v>
      </c>
      <c r="S63" s="363">
        <f t="shared" si="40"/>
        <v>78900.540000000008</v>
      </c>
      <c r="T63" s="363">
        <f t="shared" si="40"/>
        <v>27730.395999999997</v>
      </c>
      <c r="U63" s="363">
        <f t="shared" si="40"/>
        <v>2724.9</v>
      </c>
      <c r="V63" s="363">
        <f t="shared" si="40"/>
        <v>9997.7780000000002</v>
      </c>
      <c r="W63" s="363">
        <f t="shared" si="41"/>
        <v>126210.82800000001</v>
      </c>
      <c r="X63" s="363">
        <f t="shared" si="42"/>
        <v>13193.848</v>
      </c>
      <c r="AI63" s="363"/>
      <c r="AJ63" s="363"/>
      <c r="AK63" s="363"/>
      <c r="AL63" s="363"/>
      <c r="AM63" s="363"/>
      <c r="AN63" s="363"/>
    </row>
    <row r="64" spans="1:40">
      <c r="A64" s="2" t="s">
        <v>101</v>
      </c>
      <c r="B64" s="16">
        <f t="shared" ref="B64:N64" si="67">B99*0.2</f>
        <v>384655.4</v>
      </c>
      <c r="C64" s="16">
        <f t="shared" si="67"/>
        <v>99929.29800000001</v>
      </c>
      <c r="D64" s="16">
        <f t="shared" si="67"/>
        <v>7101.5460000000012</v>
      </c>
      <c r="E64" s="16">
        <f t="shared" si="67"/>
        <v>17401.302000000003</v>
      </c>
      <c r="F64" s="16">
        <f t="shared" si="67"/>
        <v>714245.46600000001</v>
      </c>
      <c r="G64" s="16">
        <f t="shared" si="67"/>
        <v>7999.5839999999998</v>
      </c>
      <c r="H64" s="16">
        <f t="shared" si="67"/>
        <v>26917.795999999998</v>
      </c>
      <c r="I64" s="16">
        <f t="shared" si="67"/>
        <v>2467.7420000000002</v>
      </c>
      <c r="J64" s="16">
        <f t="shared" si="67"/>
        <v>25629.7</v>
      </c>
      <c r="K64" s="16">
        <f t="shared" si="67"/>
        <v>1608.6120000000001</v>
      </c>
      <c r="L64" s="16">
        <f t="shared" si="67"/>
        <v>304.33200000000005</v>
      </c>
      <c r="M64" s="16">
        <f t="shared" si="67"/>
        <v>0</v>
      </c>
      <c r="N64" s="16">
        <f t="shared" si="67"/>
        <v>836.88</v>
      </c>
      <c r="O64" s="16">
        <f t="shared" si="37"/>
        <v>0</v>
      </c>
      <c r="P64" s="16">
        <v>0</v>
      </c>
      <c r="Q64" s="16">
        <v>0</v>
      </c>
      <c r="R64" s="8">
        <f t="shared" si="38"/>
        <v>1289097.6580000001</v>
      </c>
      <c r="S64" s="363">
        <f t="shared" si="40"/>
        <v>384655.4</v>
      </c>
      <c r="T64" s="363">
        <f t="shared" si="40"/>
        <v>99929.29800000001</v>
      </c>
      <c r="U64" s="363">
        <f t="shared" si="40"/>
        <v>7101.5460000000012</v>
      </c>
      <c r="V64" s="363">
        <f t="shared" si="40"/>
        <v>17401.302000000003</v>
      </c>
      <c r="W64" s="363">
        <f t="shared" si="41"/>
        <v>722245.05</v>
      </c>
      <c r="X64" s="363">
        <f t="shared" si="42"/>
        <v>57765.061999999998</v>
      </c>
      <c r="AI64" s="363"/>
      <c r="AJ64" s="363"/>
      <c r="AK64" s="363"/>
      <c r="AL64" s="363"/>
      <c r="AM64" s="363"/>
      <c r="AN64" s="363"/>
    </row>
    <row r="65" spans="1:40">
      <c r="A65" s="2" t="s">
        <v>102</v>
      </c>
      <c r="B65" s="16">
        <f t="shared" ref="B65:N65" si="68">B100*0.2</f>
        <v>9985.246000000001</v>
      </c>
      <c r="C65" s="16">
        <f t="shared" si="68"/>
        <v>2577.5420000000004</v>
      </c>
      <c r="D65" s="16">
        <f t="shared" si="68"/>
        <v>235.44200000000001</v>
      </c>
      <c r="E65" s="16">
        <f t="shared" si="68"/>
        <v>1054.0920000000001</v>
      </c>
      <c r="F65" s="16">
        <f t="shared" si="68"/>
        <v>17346.923999999999</v>
      </c>
      <c r="G65" s="16">
        <f t="shared" si="68"/>
        <v>391.28400000000005</v>
      </c>
      <c r="H65" s="16">
        <f t="shared" si="68"/>
        <v>460.85600000000005</v>
      </c>
      <c r="I65" s="16">
        <f t="shared" si="68"/>
        <v>0</v>
      </c>
      <c r="J65" s="16">
        <f t="shared" si="68"/>
        <v>767.62400000000002</v>
      </c>
      <c r="K65" s="16">
        <f t="shared" si="68"/>
        <v>65.213999999999999</v>
      </c>
      <c r="L65" s="16">
        <f t="shared" si="68"/>
        <v>0</v>
      </c>
      <c r="M65" s="16">
        <f t="shared" si="68"/>
        <v>0</v>
      </c>
      <c r="N65" s="16">
        <f t="shared" si="68"/>
        <v>6.34</v>
      </c>
      <c r="O65" s="16">
        <f t="shared" si="37"/>
        <v>0</v>
      </c>
      <c r="P65" s="16">
        <f>P100*0.2</f>
        <v>0</v>
      </c>
      <c r="Q65" s="16">
        <f>Q100*0.2</f>
        <v>77.988</v>
      </c>
      <c r="R65" s="8">
        <f t="shared" si="38"/>
        <v>32968.551999999996</v>
      </c>
      <c r="S65" s="363">
        <f t="shared" si="40"/>
        <v>9985.246000000001</v>
      </c>
      <c r="T65" s="363">
        <f t="shared" si="40"/>
        <v>2577.5420000000004</v>
      </c>
      <c r="U65" s="363">
        <f t="shared" si="40"/>
        <v>235.44200000000001</v>
      </c>
      <c r="V65" s="363">
        <f t="shared" si="40"/>
        <v>1054.0920000000001</v>
      </c>
      <c r="W65" s="363">
        <f t="shared" si="41"/>
        <v>17738.207999999999</v>
      </c>
      <c r="X65" s="363">
        <f t="shared" si="42"/>
        <v>1378.0219999999999</v>
      </c>
      <c r="AI65" s="363"/>
      <c r="AJ65" s="363"/>
      <c r="AK65" s="363"/>
      <c r="AL65" s="363"/>
      <c r="AM65" s="363"/>
      <c r="AN65" s="363"/>
    </row>
    <row r="66" spans="1:40">
      <c r="A66" s="2" t="s">
        <v>103</v>
      </c>
      <c r="B66" s="16">
        <f t="shared" ref="B66:N66" si="69">B101*0.2</f>
        <v>4875.7240000000002</v>
      </c>
      <c r="C66" s="16">
        <f t="shared" si="69"/>
        <v>720.75600000000009</v>
      </c>
      <c r="D66" s="16">
        <f t="shared" si="69"/>
        <v>262.91800000000001</v>
      </c>
      <c r="E66" s="16">
        <f t="shared" si="69"/>
        <v>725.73800000000006</v>
      </c>
      <c r="F66" s="16">
        <f t="shared" si="69"/>
        <v>12934.11</v>
      </c>
      <c r="G66" s="16">
        <f t="shared" si="69"/>
        <v>260.85600000000005</v>
      </c>
      <c r="H66" s="16">
        <f t="shared" si="69"/>
        <v>490.37</v>
      </c>
      <c r="I66" s="16">
        <f t="shared" si="69"/>
        <v>0</v>
      </c>
      <c r="J66" s="16">
        <f t="shared" si="69"/>
        <v>367.46799999999996</v>
      </c>
      <c r="K66" s="16">
        <f t="shared" si="69"/>
        <v>65.213999999999999</v>
      </c>
      <c r="L66" s="16">
        <f t="shared" si="69"/>
        <v>0</v>
      </c>
      <c r="M66" s="16">
        <f t="shared" si="69"/>
        <v>0</v>
      </c>
      <c r="N66" s="16">
        <f t="shared" si="69"/>
        <v>12.68</v>
      </c>
      <c r="O66" s="16">
        <f t="shared" si="37"/>
        <v>0</v>
      </c>
      <c r="P66" s="16">
        <f>P101*0.2</f>
        <v>0</v>
      </c>
      <c r="Q66" s="16">
        <f>Q101*0.2</f>
        <v>87.844000000000008</v>
      </c>
      <c r="R66" s="8">
        <f t="shared" si="38"/>
        <v>20803.678</v>
      </c>
      <c r="S66" s="363">
        <f t="shared" si="40"/>
        <v>4875.7240000000002</v>
      </c>
      <c r="T66" s="363">
        <f t="shared" si="40"/>
        <v>720.75600000000009</v>
      </c>
      <c r="U66" s="363">
        <f t="shared" si="40"/>
        <v>262.91800000000001</v>
      </c>
      <c r="V66" s="363">
        <f t="shared" si="40"/>
        <v>725.73800000000006</v>
      </c>
      <c r="W66" s="363">
        <f t="shared" si="41"/>
        <v>13194.966</v>
      </c>
      <c r="X66" s="363">
        <f t="shared" si="42"/>
        <v>1023.5759999999999</v>
      </c>
      <c r="AI66" s="363"/>
      <c r="AJ66" s="363"/>
      <c r="AK66" s="363"/>
      <c r="AL66" s="363"/>
      <c r="AM66" s="363"/>
      <c r="AN66" s="363"/>
    </row>
    <row r="67" spans="1:40">
      <c r="A67" s="6" t="s">
        <v>37</v>
      </c>
      <c r="B67" s="7">
        <f t="shared" ref="B67:R67" si="70">SUM(B40:B66)</f>
        <v>1247171.4680000001</v>
      </c>
      <c r="C67" s="7">
        <f t="shared" si="70"/>
        <v>322380.68800000002</v>
      </c>
      <c r="D67" s="7">
        <f t="shared" si="70"/>
        <v>27022.028000000006</v>
      </c>
      <c r="E67" s="7">
        <f t="shared" si="70"/>
        <v>61746.400000000009</v>
      </c>
      <c r="F67" s="7">
        <f t="shared" si="70"/>
        <v>2018655.8940000001</v>
      </c>
      <c r="G67" s="7">
        <f t="shared" si="70"/>
        <v>39128.400000000009</v>
      </c>
      <c r="H67" s="7">
        <f t="shared" si="70"/>
        <v>66015.861999999994</v>
      </c>
      <c r="I67" s="7">
        <f t="shared" si="70"/>
        <v>7902.1020000000008</v>
      </c>
      <c r="J67" s="7">
        <f t="shared" si="70"/>
        <v>82774.193999999989</v>
      </c>
      <c r="K67" s="7">
        <f t="shared" si="70"/>
        <v>8216.9639999999999</v>
      </c>
      <c r="L67" s="7">
        <f t="shared" si="70"/>
        <v>521.71199999999999</v>
      </c>
      <c r="M67" s="7">
        <f t="shared" si="70"/>
        <v>1091.0219999999999</v>
      </c>
      <c r="N67" s="7">
        <f t="shared" si="70"/>
        <v>2789.6000000000004</v>
      </c>
      <c r="O67" s="7">
        <f t="shared" ref="O67" si="71">SUM(O40:O66)</f>
        <v>0</v>
      </c>
      <c r="P67" s="7">
        <f t="shared" si="70"/>
        <v>100.81200000000001</v>
      </c>
      <c r="Q67" s="7">
        <f t="shared" si="70"/>
        <v>308.964</v>
      </c>
      <c r="R67" s="9">
        <f t="shared" si="70"/>
        <v>3885826.11</v>
      </c>
      <c r="S67" s="363">
        <f t="shared" ref="S67:X67" si="72">SUM(S40:S66)</f>
        <v>1247171.4680000001</v>
      </c>
      <c r="T67" s="363">
        <f t="shared" si="72"/>
        <v>322380.68800000002</v>
      </c>
      <c r="U67" s="363">
        <f t="shared" si="72"/>
        <v>27022.028000000006</v>
      </c>
      <c r="V67" s="363">
        <f t="shared" si="72"/>
        <v>61746.400000000009</v>
      </c>
      <c r="W67" s="363">
        <f t="shared" si="72"/>
        <v>2057784.2940000007</v>
      </c>
      <c r="X67" s="363">
        <f t="shared" si="72"/>
        <v>169721.23200000002</v>
      </c>
      <c r="AI67" s="363"/>
      <c r="AJ67" s="363"/>
      <c r="AK67" s="363"/>
      <c r="AL67" s="363"/>
      <c r="AM67" s="363"/>
      <c r="AN67" s="363"/>
    </row>
    <row r="68" spans="1:40">
      <c r="A68" s="351" t="s">
        <v>47</v>
      </c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6"/>
    </row>
    <row r="69" spans="1:40">
      <c r="A69" s="358"/>
      <c r="B69" s="358"/>
      <c r="C69" s="359"/>
      <c r="D69" s="359"/>
      <c r="E69" s="359"/>
      <c r="F69" s="359"/>
      <c r="G69" s="359"/>
      <c r="H69" s="359"/>
      <c r="I69" s="359"/>
      <c r="J69" s="359"/>
      <c r="K69" s="359"/>
      <c r="R69" s="360"/>
    </row>
    <row r="70" spans="1:40">
      <c r="A70" s="357"/>
      <c r="L70" s="253"/>
      <c r="M70" s="253"/>
      <c r="N70" s="253"/>
      <c r="O70" s="253"/>
      <c r="P70" s="253"/>
      <c r="Q70" s="253"/>
    </row>
    <row r="71" spans="1:40">
      <c r="A71" s="357"/>
    </row>
    <row r="72" spans="1:40" ht="46.5">
      <c r="A72" s="837" t="s">
        <v>46</v>
      </c>
      <c r="B72" s="838"/>
      <c r="C72" s="838"/>
      <c r="D72" s="838"/>
      <c r="E72" s="838"/>
      <c r="F72" s="838"/>
      <c r="G72" s="838"/>
      <c r="H72" s="838"/>
      <c r="I72" s="838"/>
      <c r="J72" s="838"/>
      <c r="K72" s="838"/>
      <c r="L72" s="838"/>
      <c r="M72" s="838"/>
      <c r="N72" s="838"/>
      <c r="O72" s="838"/>
      <c r="P72" s="838"/>
      <c r="Q72" s="838"/>
      <c r="R72" s="839"/>
    </row>
    <row r="73" spans="1:40" s="372" customFormat="1" ht="35.1" customHeight="1">
      <c r="A73" s="835" t="s">
        <v>33</v>
      </c>
      <c r="B73" s="833" t="s">
        <v>27</v>
      </c>
      <c r="C73" s="834"/>
      <c r="D73" s="833" t="s">
        <v>29</v>
      </c>
      <c r="E73" s="834"/>
      <c r="F73" s="835" t="s">
        <v>28</v>
      </c>
      <c r="G73" s="835" t="s">
        <v>36</v>
      </c>
      <c r="H73" s="835" t="s">
        <v>30</v>
      </c>
      <c r="I73" s="835" t="s">
        <v>31</v>
      </c>
      <c r="J73" s="835" t="s">
        <v>41</v>
      </c>
      <c r="K73" s="835" t="s">
        <v>35</v>
      </c>
      <c r="L73" s="835" t="s">
        <v>40</v>
      </c>
      <c r="M73" s="835" t="s">
        <v>42</v>
      </c>
      <c r="N73" s="835" t="s">
        <v>45</v>
      </c>
      <c r="O73" s="835" t="s">
        <v>279</v>
      </c>
      <c r="P73" s="833" t="s">
        <v>49</v>
      </c>
      <c r="Q73" s="834"/>
      <c r="R73" s="835" t="s">
        <v>34</v>
      </c>
      <c r="S73" s="357"/>
      <c r="T73" s="357"/>
      <c r="U73" s="357"/>
      <c r="V73" s="357"/>
      <c r="W73" s="357"/>
      <c r="X73" s="357"/>
      <c r="Y73" s="357"/>
      <c r="AI73" s="357"/>
      <c r="AJ73" s="357"/>
      <c r="AK73" s="357"/>
      <c r="AL73" s="357"/>
      <c r="AM73" s="357"/>
      <c r="AN73" s="357"/>
    </row>
    <row r="74" spans="1:40" s="372" customFormat="1" ht="35.1" customHeight="1">
      <c r="A74" s="836"/>
      <c r="B74" s="361" t="s">
        <v>43</v>
      </c>
      <c r="C74" s="361" t="s">
        <v>44</v>
      </c>
      <c r="D74" s="361" t="s">
        <v>43</v>
      </c>
      <c r="E74" s="361" t="s">
        <v>44</v>
      </c>
      <c r="F74" s="836"/>
      <c r="G74" s="836"/>
      <c r="H74" s="836"/>
      <c r="I74" s="836"/>
      <c r="J74" s="836"/>
      <c r="K74" s="836"/>
      <c r="L74" s="836"/>
      <c r="M74" s="836"/>
      <c r="N74" s="836"/>
      <c r="O74" s="836"/>
      <c r="P74" s="362" t="s">
        <v>50</v>
      </c>
      <c r="Q74" s="362" t="s">
        <v>51</v>
      </c>
      <c r="R74" s="836"/>
      <c r="S74" s="372" t="s">
        <v>173</v>
      </c>
      <c r="T74" s="372" t="s">
        <v>291</v>
      </c>
      <c r="U74" s="372" t="s">
        <v>174</v>
      </c>
      <c r="V74" s="372" t="s">
        <v>292</v>
      </c>
      <c r="W74" s="372" t="s">
        <v>28</v>
      </c>
      <c r="X74" s="372" t="s">
        <v>175</v>
      </c>
      <c r="Y74" s="726"/>
    </row>
    <row r="75" spans="1:40">
      <c r="A75" s="2" t="s">
        <v>77</v>
      </c>
      <c r="B75" s="16">
        <v>25827.46</v>
      </c>
      <c r="C75" s="16">
        <v>11731.62</v>
      </c>
      <c r="D75" s="16">
        <v>1169.46</v>
      </c>
      <c r="E75" s="16">
        <v>372.01</v>
      </c>
      <c r="F75" s="16">
        <v>28585.47</v>
      </c>
      <c r="G75" s="16">
        <v>1412.97</v>
      </c>
      <c r="H75" s="16">
        <v>1329.5500000000002</v>
      </c>
      <c r="I75" s="16">
        <v>0</v>
      </c>
      <c r="J75" s="16">
        <v>2658.84</v>
      </c>
      <c r="K75" s="16">
        <v>543.45000000000005</v>
      </c>
      <c r="L75" s="16">
        <v>0</v>
      </c>
      <c r="M75" s="16">
        <v>0</v>
      </c>
      <c r="N75" s="16">
        <v>95.1</v>
      </c>
      <c r="O75" s="16">
        <v>0</v>
      </c>
      <c r="P75" s="16">
        <v>0</v>
      </c>
      <c r="Q75" s="16">
        <v>0</v>
      </c>
      <c r="R75" s="8">
        <f t="shared" ref="R75:R101" si="73">SUM(B75:Q75)</f>
        <v>73725.930000000008</v>
      </c>
      <c r="S75" s="363">
        <f>B75</f>
        <v>25827.46</v>
      </c>
      <c r="T75" s="363">
        <f>C75</f>
        <v>11731.62</v>
      </c>
      <c r="U75" s="363">
        <f>D75</f>
        <v>1169.46</v>
      </c>
      <c r="V75" s="363">
        <f>E75</f>
        <v>372.01</v>
      </c>
      <c r="W75" s="363">
        <f>F75+G75</f>
        <v>29998.440000000002</v>
      </c>
      <c r="X75" s="363">
        <f>SUM(H75:Q75)</f>
        <v>4626.9400000000005</v>
      </c>
      <c r="AI75" s="363"/>
      <c r="AJ75" s="363"/>
      <c r="AK75" s="363"/>
      <c r="AL75" s="363"/>
      <c r="AM75" s="363"/>
      <c r="AN75" s="363"/>
    </row>
    <row r="76" spans="1:40">
      <c r="A76" s="2" t="s">
        <v>78</v>
      </c>
      <c r="B76" s="16">
        <v>51401.75</v>
      </c>
      <c r="C76" s="16">
        <v>13992.189999999999</v>
      </c>
      <c r="D76" s="16">
        <v>680.54</v>
      </c>
      <c r="E76" s="16">
        <v>2429.92</v>
      </c>
      <c r="F76" s="16">
        <v>84778.2</v>
      </c>
      <c r="G76" s="16">
        <v>4238.91</v>
      </c>
      <c r="H76" s="16">
        <v>2332.5</v>
      </c>
      <c r="I76" s="16">
        <v>0</v>
      </c>
      <c r="J76" s="16">
        <v>3475.78</v>
      </c>
      <c r="K76" s="16">
        <v>217.38</v>
      </c>
      <c r="L76" s="16">
        <v>217.38</v>
      </c>
      <c r="M76" s="16">
        <v>0</v>
      </c>
      <c r="N76" s="16">
        <v>126.8</v>
      </c>
      <c r="O76" s="16">
        <v>0</v>
      </c>
      <c r="P76" s="16">
        <v>0</v>
      </c>
      <c r="Q76" s="16">
        <v>0</v>
      </c>
      <c r="R76" s="8">
        <f t="shared" si="73"/>
        <v>163891.34999999998</v>
      </c>
      <c r="S76" s="363">
        <f t="shared" ref="S76:V101" si="74">B76</f>
        <v>51401.75</v>
      </c>
      <c r="T76" s="363">
        <f t="shared" si="74"/>
        <v>13992.189999999999</v>
      </c>
      <c r="U76" s="363">
        <f t="shared" si="74"/>
        <v>680.54</v>
      </c>
      <c r="V76" s="363">
        <f t="shared" si="74"/>
        <v>2429.92</v>
      </c>
      <c r="W76" s="363">
        <f t="shared" ref="W76:W101" si="75">F76+G76</f>
        <v>89017.11</v>
      </c>
      <c r="X76" s="363">
        <f t="shared" ref="X76:X101" si="76">SUM(H76:Q76)</f>
        <v>6369.8400000000011</v>
      </c>
      <c r="AI76" s="363"/>
      <c r="AJ76" s="363"/>
      <c r="AK76" s="363"/>
      <c r="AL76" s="363"/>
      <c r="AM76" s="363"/>
      <c r="AN76" s="363"/>
    </row>
    <row r="77" spans="1:40">
      <c r="A77" s="2" t="s">
        <v>79</v>
      </c>
      <c r="B77" s="16">
        <v>24468.67</v>
      </c>
      <c r="C77" s="16">
        <v>6655.61</v>
      </c>
      <c r="D77" s="16">
        <v>1369.53</v>
      </c>
      <c r="E77" s="16">
        <v>999.98</v>
      </c>
      <c r="F77" s="16">
        <v>36737.22</v>
      </c>
      <c r="G77" s="16">
        <v>2499.87</v>
      </c>
      <c r="H77" s="16">
        <v>1011.0999999999999</v>
      </c>
      <c r="I77" s="16">
        <v>326.07</v>
      </c>
      <c r="J77" s="16">
        <v>1732.8500000000001</v>
      </c>
      <c r="K77" s="16">
        <v>760.83</v>
      </c>
      <c r="L77" s="16">
        <v>0</v>
      </c>
      <c r="M77" s="16">
        <v>0</v>
      </c>
      <c r="N77" s="16">
        <v>95.1</v>
      </c>
      <c r="O77" s="16">
        <v>0</v>
      </c>
      <c r="P77" s="16">
        <v>0</v>
      </c>
      <c r="Q77" s="16">
        <v>0</v>
      </c>
      <c r="R77" s="8">
        <f t="shared" si="73"/>
        <v>76656.830000000031</v>
      </c>
      <c r="S77" s="363">
        <f t="shared" si="74"/>
        <v>24468.67</v>
      </c>
      <c r="T77" s="363">
        <f t="shared" si="74"/>
        <v>6655.61</v>
      </c>
      <c r="U77" s="363">
        <f t="shared" si="74"/>
        <v>1369.53</v>
      </c>
      <c r="V77" s="363">
        <f t="shared" si="74"/>
        <v>999.98</v>
      </c>
      <c r="W77" s="363">
        <f t="shared" si="75"/>
        <v>39237.090000000004</v>
      </c>
      <c r="X77" s="363">
        <f t="shared" si="76"/>
        <v>3925.95</v>
      </c>
      <c r="AI77" s="363"/>
      <c r="AJ77" s="363"/>
      <c r="AK77" s="363"/>
      <c r="AL77" s="363"/>
      <c r="AM77" s="363"/>
      <c r="AN77" s="363"/>
    </row>
    <row r="78" spans="1:40">
      <c r="A78" s="2" t="s">
        <v>80</v>
      </c>
      <c r="B78" s="16">
        <v>61148.36</v>
      </c>
      <c r="C78" s="16">
        <v>11917.390000000001</v>
      </c>
      <c r="D78" s="16">
        <v>1342.06</v>
      </c>
      <c r="E78" s="16">
        <v>1611.15</v>
      </c>
      <c r="F78" s="16">
        <v>78582.87</v>
      </c>
      <c r="G78" s="16">
        <v>2934.63</v>
      </c>
      <c r="H78" s="16">
        <v>2086.1299999999997</v>
      </c>
      <c r="I78" s="16">
        <v>0</v>
      </c>
      <c r="J78" s="16">
        <v>2856.63</v>
      </c>
      <c r="K78" s="16">
        <v>326.07</v>
      </c>
      <c r="L78" s="16">
        <v>0</v>
      </c>
      <c r="M78" s="16">
        <v>1078.9100000000001</v>
      </c>
      <c r="N78" s="16">
        <v>63.4</v>
      </c>
      <c r="O78" s="16">
        <v>0</v>
      </c>
      <c r="P78" s="16">
        <v>0</v>
      </c>
      <c r="Q78" s="16">
        <v>0</v>
      </c>
      <c r="R78" s="8">
        <f t="shared" si="73"/>
        <v>163947.6</v>
      </c>
      <c r="S78" s="363">
        <f t="shared" si="74"/>
        <v>61148.36</v>
      </c>
      <c r="T78" s="363">
        <f t="shared" si="74"/>
        <v>11917.390000000001</v>
      </c>
      <c r="U78" s="363">
        <f t="shared" si="74"/>
        <v>1342.06</v>
      </c>
      <c r="V78" s="363">
        <f t="shared" si="74"/>
        <v>1611.15</v>
      </c>
      <c r="W78" s="363">
        <f t="shared" si="75"/>
        <v>81517.5</v>
      </c>
      <c r="X78" s="363">
        <f t="shared" si="76"/>
        <v>6411.1399999999994</v>
      </c>
      <c r="AI78" s="363"/>
      <c r="AJ78" s="363"/>
      <c r="AK78" s="363"/>
      <c r="AL78" s="363"/>
      <c r="AM78" s="363"/>
      <c r="AN78" s="363"/>
    </row>
    <row r="79" spans="1:40">
      <c r="A79" s="2" t="s">
        <v>81</v>
      </c>
      <c r="B79" s="16">
        <v>201890.48</v>
      </c>
      <c r="C79" s="16">
        <v>41251.18</v>
      </c>
      <c r="D79" s="16">
        <v>3470.33</v>
      </c>
      <c r="E79" s="16">
        <v>15432.43</v>
      </c>
      <c r="F79" s="16">
        <v>296832.39</v>
      </c>
      <c r="G79" s="16">
        <v>7716.99</v>
      </c>
      <c r="H79" s="16">
        <v>8030.84</v>
      </c>
      <c r="I79" s="16">
        <v>0</v>
      </c>
      <c r="J79" s="16">
        <v>12414.13</v>
      </c>
      <c r="K79" s="16">
        <v>1412.97</v>
      </c>
      <c r="L79" s="16">
        <v>0</v>
      </c>
      <c r="M79" s="16">
        <v>2536.16</v>
      </c>
      <c r="N79" s="16">
        <v>507.2</v>
      </c>
      <c r="O79" s="16">
        <v>0</v>
      </c>
      <c r="P79" s="16">
        <v>0</v>
      </c>
      <c r="Q79" s="16">
        <v>0</v>
      </c>
      <c r="R79" s="8">
        <f t="shared" si="73"/>
        <v>591495.1</v>
      </c>
      <c r="S79" s="363">
        <f t="shared" si="74"/>
        <v>201890.48</v>
      </c>
      <c r="T79" s="363">
        <f t="shared" si="74"/>
        <v>41251.18</v>
      </c>
      <c r="U79" s="363">
        <f t="shared" si="74"/>
        <v>3470.33</v>
      </c>
      <c r="V79" s="363">
        <f t="shared" si="74"/>
        <v>15432.43</v>
      </c>
      <c r="W79" s="363">
        <f t="shared" si="75"/>
        <v>304549.38</v>
      </c>
      <c r="X79" s="363">
        <f t="shared" si="76"/>
        <v>24901.300000000003</v>
      </c>
      <c r="AI79" s="363"/>
      <c r="AJ79" s="363"/>
      <c r="AK79" s="363"/>
      <c r="AL79" s="363"/>
      <c r="AM79" s="363"/>
      <c r="AN79" s="363"/>
    </row>
    <row r="80" spans="1:40">
      <c r="A80" s="2" t="s">
        <v>82</v>
      </c>
      <c r="B80" s="16">
        <v>116258.15</v>
      </c>
      <c r="C80" s="16">
        <v>30809.41</v>
      </c>
      <c r="D80" s="16">
        <v>3565.45</v>
      </c>
      <c r="E80" s="16">
        <v>6407.8</v>
      </c>
      <c r="F80" s="16">
        <v>166839.15</v>
      </c>
      <c r="G80" s="16">
        <v>5977.95</v>
      </c>
      <c r="H80" s="16">
        <v>6564.54</v>
      </c>
      <c r="I80" s="16">
        <v>0</v>
      </c>
      <c r="J80" s="16">
        <v>8472.61</v>
      </c>
      <c r="K80" s="16">
        <v>0</v>
      </c>
      <c r="L80" s="16">
        <v>0</v>
      </c>
      <c r="M80" s="16">
        <v>443.83</v>
      </c>
      <c r="N80" s="16">
        <v>253.6</v>
      </c>
      <c r="O80" s="16">
        <v>0</v>
      </c>
      <c r="P80" s="16">
        <v>470.62</v>
      </c>
      <c r="Q80" s="16">
        <v>313.95</v>
      </c>
      <c r="R80" s="8">
        <f t="shared" si="73"/>
        <v>346377.05999999994</v>
      </c>
      <c r="S80" s="363">
        <f t="shared" si="74"/>
        <v>116258.15</v>
      </c>
      <c r="T80" s="363">
        <f t="shared" si="74"/>
        <v>30809.41</v>
      </c>
      <c r="U80" s="363">
        <f t="shared" si="74"/>
        <v>3565.45</v>
      </c>
      <c r="V80" s="363">
        <f t="shared" si="74"/>
        <v>6407.8</v>
      </c>
      <c r="W80" s="363">
        <f t="shared" si="75"/>
        <v>172817.1</v>
      </c>
      <c r="X80" s="363">
        <f t="shared" si="76"/>
        <v>16519.150000000001</v>
      </c>
      <c r="AI80" s="363"/>
      <c r="AJ80" s="363"/>
      <c r="AK80" s="363"/>
      <c r="AL80" s="363"/>
      <c r="AM80" s="363"/>
      <c r="AN80" s="363"/>
    </row>
    <row r="81" spans="1:40">
      <c r="A81" s="2" t="s">
        <v>83</v>
      </c>
      <c r="B81" s="16">
        <v>190472.09</v>
      </c>
      <c r="C81" s="16">
        <v>109122.36</v>
      </c>
      <c r="D81" s="16">
        <v>3717.63</v>
      </c>
      <c r="E81" s="16">
        <v>21356.84</v>
      </c>
      <c r="F81" s="16">
        <v>194337.72</v>
      </c>
      <c r="G81" s="16">
        <v>6956.16</v>
      </c>
      <c r="H81" s="16">
        <v>16776.52</v>
      </c>
      <c r="I81" s="16">
        <v>0</v>
      </c>
      <c r="J81" s="16">
        <v>29112.65</v>
      </c>
      <c r="K81" s="16">
        <v>1412.97</v>
      </c>
      <c r="L81" s="16">
        <v>0</v>
      </c>
      <c r="M81" s="16">
        <v>1045.92</v>
      </c>
      <c r="N81" s="16">
        <v>1109.5</v>
      </c>
      <c r="O81" s="16">
        <v>0</v>
      </c>
      <c r="P81" s="16">
        <v>0</v>
      </c>
      <c r="Q81" s="16">
        <v>0</v>
      </c>
      <c r="R81" s="8">
        <f t="shared" si="73"/>
        <v>575420.3600000001</v>
      </c>
      <c r="S81" s="363">
        <f t="shared" si="74"/>
        <v>190472.09</v>
      </c>
      <c r="T81" s="363">
        <f t="shared" si="74"/>
        <v>109122.36</v>
      </c>
      <c r="U81" s="363">
        <f t="shared" si="74"/>
        <v>3717.63</v>
      </c>
      <c r="V81" s="363">
        <f t="shared" si="74"/>
        <v>21356.84</v>
      </c>
      <c r="W81" s="363">
        <f t="shared" si="75"/>
        <v>201293.88</v>
      </c>
      <c r="X81" s="363">
        <f t="shared" si="76"/>
        <v>49457.56</v>
      </c>
      <c r="AI81" s="363"/>
      <c r="AJ81" s="363"/>
      <c r="AK81" s="363"/>
      <c r="AL81" s="363"/>
      <c r="AM81" s="363"/>
      <c r="AN81" s="363"/>
    </row>
    <row r="82" spans="1:40">
      <c r="A82" s="2" t="s">
        <v>84</v>
      </c>
      <c r="B82" s="16">
        <v>140280.81</v>
      </c>
      <c r="C82" s="16">
        <v>21740.2</v>
      </c>
      <c r="D82" s="16">
        <v>2100.81</v>
      </c>
      <c r="E82" s="16">
        <v>1582.99</v>
      </c>
      <c r="F82" s="16">
        <v>170969.37</v>
      </c>
      <c r="G82" s="16">
        <v>7934.37</v>
      </c>
      <c r="H82" s="16">
        <v>3527.65</v>
      </c>
      <c r="I82" s="16">
        <v>1228.4000000000001</v>
      </c>
      <c r="J82" s="16">
        <v>5199.1100000000006</v>
      </c>
      <c r="K82" s="16">
        <v>4891.05</v>
      </c>
      <c r="L82" s="16">
        <v>217.38</v>
      </c>
      <c r="M82" s="16">
        <v>0</v>
      </c>
      <c r="N82" s="16">
        <v>190.2</v>
      </c>
      <c r="O82" s="16">
        <v>0</v>
      </c>
      <c r="P82" s="16">
        <v>0</v>
      </c>
      <c r="Q82" s="16">
        <v>0</v>
      </c>
      <c r="R82" s="8">
        <f t="shared" si="73"/>
        <v>359862.34</v>
      </c>
      <c r="S82" s="363">
        <f t="shared" si="74"/>
        <v>140280.81</v>
      </c>
      <c r="T82" s="363">
        <f t="shared" si="74"/>
        <v>21740.2</v>
      </c>
      <c r="U82" s="363">
        <f t="shared" si="74"/>
        <v>2100.81</v>
      </c>
      <c r="V82" s="363">
        <f t="shared" si="74"/>
        <v>1582.99</v>
      </c>
      <c r="W82" s="363">
        <f t="shared" si="75"/>
        <v>178903.74</v>
      </c>
      <c r="X82" s="363">
        <f t="shared" si="76"/>
        <v>15253.789999999999</v>
      </c>
      <c r="AI82" s="363"/>
      <c r="AJ82" s="363"/>
      <c r="AK82" s="363"/>
      <c r="AL82" s="363"/>
      <c r="AM82" s="363"/>
      <c r="AN82" s="363"/>
    </row>
    <row r="83" spans="1:40">
      <c r="A83" s="2" t="s">
        <v>85</v>
      </c>
      <c r="B83" s="16">
        <v>146803.10999999999</v>
      </c>
      <c r="C83" s="16">
        <v>38305.18</v>
      </c>
      <c r="D83" s="16">
        <v>3819.05</v>
      </c>
      <c r="E83" s="16">
        <v>2096.9299999999998</v>
      </c>
      <c r="F83" s="16">
        <v>338134.59</v>
      </c>
      <c r="G83" s="16">
        <v>6847.47</v>
      </c>
      <c r="H83" s="16">
        <v>6093.619999999999</v>
      </c>
      <c r="I83" s="16">
        <v>3170.2</v>
      </c>
      <c r="J83" s="16">
        <v>7335.29</v>
      </c>
      <c r="K83" s="16">
        <v>108.69</v>
      </c>
      <c r="L83" s="16">
        <v>0</v>
      </c>
      <c r="M83" s="16">
        <v>0</v>
      </c>
      <c r="N83" s="16">
        <v>317</v>
      </c>
      <c r="O83" s="16">
        <v>0</v>
      </c>
      <c r="P83" s="16">
        <v>0</v>
      </c>
      <c r="Q83" s="16">
        <v>0</v>
      </c>
      <c r="R83" s="8">
        <f t="shared" si="73"/>
        <v>553031.12999999989</v>
      </c>
      <c r="S83" s="363">
        <f t="shared" si="74"/>
        <v>146803.10999999999</v>
      </c>
      <c r="T83" s="363">
        <f t="shared" si="74"/>
        <v>38305.18</v>
      </c>
      <c r="U83" s="363">
        <f t="shared" si="74"/>
        <v>3819.05</v>
      </c>
      <c r="V83" s="363">
        <f t="shared" si="74"/>
        <v>2096.9299999999998</v>
      </c>
      <c r="W83" s="363">
        <f t="shared" si="75"/>
        <v>344982.06</v>
      </c>
      <c r="X83" s="363">
        <f t="shared" si="76"/>
        <v>17024.8</v>
      </c>
      <c r="AI83" s="363"/>
      <c r="AJ83" s="363"/>
      <c r="AK83" s="363"/>
      <c r="AL83" s="363"/>
      <c r="AM83" s="363"/>
      <c r="AN83" s="363"/>
    </row>
    <row r="84" spans="1:40">
      <c r="A84" s="2" t="s">
        <v>86</v>
      </c>
      <c r="B84" s="16">
        <v>64333.63</v>
      </c>
      <c r="C84" s="16">
        <v>21973.41</v>
      </c>
      <c r="D84" s="16">
        <v>1342.07</v>
      </c>
      <c r="E84" s="16">
        <v>3168.65</v>
      </c>
      <c r="F84" s="16">
        <v>71735.399999999994</v>
      </c>
      <c r="G84" s="16">
        <v>2391.1800000000003</v>
      </c>
      <c r="H84" s="16">
        <v>3681.96</v>
      </c>
      <c r="I84" s="16">
        <v>326.07</v>
      </c>
      <c r="J84" s="16">
        <v>5590.45</v>
      </c>
      <c r="K84" s="16">
        <v>652.14</v>
      </c>
      <c r="L84" s="16">
        <v>0</v>
      </c>
      <c r="M84" s="16">
        <v>0</v>
      </c>
      <c r="N84" s="16">
        <v>317</v>
      </c>
      <c r="O84" s="16">
        <v>0</v>
      </c>
      <c r="P84" s="16">
        <v>0</v>
      </c>
      <c r="Q84" s="16">
        <v>0</v>
      </c>
      <c r="R84" s="8">
        <f t="shared" si="73"/>
        <v>175511.96</v>
      </c>
      <c r="S84" s="363">
        <f t="shared" si="74"/>
        <v>64333.63</v>
      </c>
      <c r="T84" s="363">
        <f t="shared" si="74"/>
        <v>21973.41</v>
      </c>
      <c r="U84" s="363">
        <f t="shared" si="74"/>
        <v>1342.07</v>
      </c>
      <c r="V84" s="363">
        <f t="shared" si="74"/>
        <v>3168.65</v>
      </c>
      <c r="W84" s="363">
        <f t="shared" si="75"/>
        <v>74126.579999999987</v>
      </c>
      <c r="X84" s="363">
        <f t="shared" si="76"/>
        <v>10567.619999999999</v>
      </c>
      <c r="AI84" s="363"/>
      <c r="AJ84" s="363"/>
      <c r="AK84" s="363"/>
      <c r="AL84" s="363"/>
      <c r="AM84" s="363"/>
      <c r="AN84" s="363"/>
    </row>
    <row r="85" spans="1:40">
      <c r="A85" s="2" t="s">
        <v>87</v>
      </c>
      <c r="B85" s="16">
        <v>143974.14000000001</v>
      </c>
      <c r="C85" s="16">
        <v>19297.439999999999</v>
      </c>
      <c r="D85" s="16">
        <v>2950.41</v>
      </c>
      <c r="E85" s="16">
        <v>3517.1200000000003</v>
      </c>
      <c r="F85" s="16">
        <v>347264.55</v>
      </c>
      <c r="G85" s="16">
        <v>1847.73</v>
      </c>
      <c r="H85" s="16">
        <v>3374.72</v>
      </c>
      <c r="I85" s="16">
        <v>225.96</v>
      </c>
      <c r="J85" s="16">
        <v>4810.6399999999994</v>
      </c>
      <c r="K85" s="16">
        <v>869.52</v>
      </c>
      <c r="L85" s="16">
        <v>0</v>
      </c>
      <c r="M85" s="16">
        <v>0</v>
      </c>
      <c r="N85" s="16">
        <v>253.6</v>
      </c>
      <c r="O85" s="16">
        <v>0</v>
      </c>
      <c r="P85" s="16">
        <v>0</v>
      </c>
      <c r="Q85" s="16">
        <v>0</v>
      </c>
      <c r="R85" s="8">
        <f t="shared" si="73"/>
        <v>528385.82999999996</v>
      </c>
      <c r="S85" s="363">
        <f t="shared" si="74"/>
        <v>143974.14000000001</v>
      </c>
      <c r="T85" s="363">
        <f t="shared" si="74"/>
        <v>19297.439999999999</v>
      </c>
      <c r="U85" s="363">
        <f t="shared" si="74"/>
        <v>2950.41</v>
      </c>
      <c r="V85" s="363">
        <f t="shared" si="74"/>
        <v>3517.1200000000003</v>
      </c>
      <c r="W85" s="363">
        <f t="shared" si="75"/>
        <v>349112.27999999997</v>
      </c>
      <c r="X85" s="363">
        <f t="shared" si="76"/>
        <v>9534.44</v>
      </c>
      <c r="AI85" s="363"/>
      <c r="AJ85" s="363"/>
      <c r="AK85" s="363"/>
      <c r="AL85" s="363"/>
      <c r="AM85" s="363"/>
      <c r="AN85" s="363"/>
    </row>
    <row r="86" spans="1:40">
      <c r="A86" s="2" t="s">
        <v>88</v>
      </c>
      <c r="B86" s="16">
        <v>89052.86</v>
      </c>
      <c r="C86" s="16">
        <v>29905.05</v>
      </c>
      <c r="D86" s="16">
        <v>1519.6</v>
      </c>
      <c r="E86" s="16">
        <v>6202.17</v>
      </c>
      <c r="F86" s="16">
        <v>222053.67</v>
      </c>
      <c r="G86" s="16">
        <v>3260.7</v>
      </c>
      <c r="H86" s="16">
        <v>6101.4900000000007</v>
      </c>
      <c r="I86" s="16">
        <v>3926.98</v>
      </c>
      <c r="J86" s="16">
        <v>6757.85</v>
      </c>
      <c r="K86" s="16">
        <v>2391.1799999999998</v>
      </c>
      <c r="L86" s="16">
        <v>0</v>
      </c>
      <c r="M86" s="16">
        <v>0</v>
      </c>
      <c r="N86" s="16">
        <v>317</v>
      </c>
      <c r="O86" s="16">
        <v>0</v>
      </c>
      <c r="P86" s="16">
        <v>0</v>
      </c>
      <c r="Q86" s="16">
        <v>0</v>
      </c>
      <c r="R86" s="8">
        <f t="shared" si="73"/>
        <v>371488.55</v>
      </c>
      <c r="S86" s="363">
        <f t="shared" si="74"/>
        <v>89052.86</v>
      </c>
      <c r="T86" s="363">
        <f t="shared" si="74"/>
        <v>29905.05</v>
      </c>
      <c r="U86" s="363">
        <f t="shared" si="74"/>
        <v>1519.6</v>
      </c>
      <c r="V86" s="363">
        <f t="shared" si="74"/>
        <v>6202.17</v>
      </c>
      <c r="W86" s="363">
        <f t="shared" si="75"/>
        <v>225314.37000000002</v>
      </c>
      <c r="X86" s="363">
        <f t="shared" si="76"/>
        <v>19494.5</v>
      </c>
      <c r="AI86" s="363"/>
      <c r="AJ86" s="363"/>
      <c r="AK86" s="363"/>
      <c r="AL86" s="363"/>
      <c r="AM86" s="363"/>
      <c r="AN86" s="363"/>
    </row>
    <row r="87" spans="1:40">
      <c r="A87" s="2" t="s">
        <v>89</v>
      </c>
      <c r="B87" s="16">
        <v>551426.6</v>
      </c>
      <c r="C87" s="16">
        <v>134934.39000000001</v>
      </c>
      <c r="D87" s="16">
        <v>8625.1299999999992</v>
      </c>
      <c r="E87" s="16">
        <v>20916.02</v>
      </c>
      <c r="F87" s="16">
        <v>634423.53</v>
      </c>
      <c r="G87" s="16">
        <v>17064.330000000002</v>
      </c>
      <c r="H87" s="16">
        <v>24656.51</v>
      </c>
      <c r="I87" s="16">
        <v>1835.38</v>
      </c>
      <c r="J87" s="16">
        <v>33023.86</v>
      </c>
      <c r="K87" s="16">
        <v>3043.32</v>
      </c>
      <c r="L87" s="16">
        <v>0</v>
      </c>
      <c r="M87" s="16">
        <v>0</v>
      </c>
      <c r="N87" s="16">
        <v>760.8</v>
      </c>
      <c r="O87" s="16">
        <v>0</v>
      </c>
      <c r="P87" s="16">
        <v>0</v>
      </c>
      <c r="Q87" s="16">
        <v>0</v>
      </c>
      <c r="R87" s="8">
        <f t="shared" si="73"/>
        <v>1430709.87</v>
      </c>
      <c r="S87" s="363">
        <f t="shared" si="74"/>
        <v>551426.6</v>
      </c>
      <c r="T87" s="363">
        <f t="shared" si="74"/>
        <v>134934.39000000001</v>
      </c>
      <c r="U87" s="363">
        <f t="shared" si="74"/>
        <v>8625.1299999999992</v>
      </c>
      <c r="V87" s="363">
        <f t="shared" si="74"/>
        <v>20916.02</v>
      </c>
      <c r="W87" s="363">
        <f t="shared" si="75"/>
        <v>651487.86</v>
      </c>
      <c r="X87" s="363">
        <f t="shared" si="76"/>
        <v>63319.87</v>
      </c>
      <c r="AI87" s="363"/>
      <c r="AJ87" s="363"/>
      <c r="AK87" s="363"/>
      <c r="AL87" s="363"/>
      <c r="AM87" s="363"/>
      <c r="AN87" s="363"/>
    </row>
    <row r="88" spans="1:40">
      <c r="A88" s="2" t="s">
        <v>90</v>
      </c>
      <c r="B88" s="16">
        <v>88659.26</v>
      </c>
      <c r="C88" s="16">
        <v>25815.39</v>
      </c>
      <c r="D88" s="16">
        <v>2270.59</v>
      </c>
      <c r="E88" s="16">
        <v>2398.5700000000002</v>
      </c>
      <c r="F88" s="16">
        <v>125971.71</v>
      </c>
      <c r="G88" s="16">
        <v>4130.22</v>
      </c>
      <c r="H88" s="16">
        <v>4783.8</v>
      </c>
      <c r="I88" s="16">
        <v>0</v>
      </c>
      <c r="J88" s="16">
        <v>6391.83</v>
      </c>
      <c r="K88" s="16">
        <v>1304.28</v>
      </c>
      <c r="L88" s="16">
        <v>0</v>
      </c>
      <c r="M88" s="16">
        <v>0</v>
      </c>
      <c r="N88" s="16">
        <v>221.9</v>
      </c>
      <c r="O88" s="16">
        <v>0</v>
      </c>
      <c r="P88" s="16">
        <v>0</v>
      </c>
      <c r="Q88" s="16">
        <v>0</v>
      </c>
      <c r="R88" s="8">
        <f t="shared" si="73"/>
        <v>261947.55</v>
      </c>
      <c r="S88" s="363">
        <f t="shared" si="74"/>
        <v>88659.26</v>
      </c>
      <c r="T88" s="363">
        <f t="shared" si="74"/>
        <v>25815.39</v>
      </c>
      <c r="U88" s="363">
        <f t="shared" si="74"/>
        <v>2270.59</v>
      </c>
      <c r="V88" s="363">
        <f t="shared" si="74"/>
        <v>2398.5700000000002</v>
      </c>
      <c r="W88" s="363">
        <f t="shared" si="75"/>
        <v>130101.93000000001</v>
      </c>
      <c r="X88" s="363">
        <f t="shared" si="76"/>
        <v>12701.810000000001</v>
      </c>
      <c r="AI88" s="363"/>
      <c r="AJ88" s="363"/>
      <c r="AK88" s="363"/>
      <c r="AL88" s="363"/>
      <c r="AM88" s="363"/>
      <c r="AN88" s="363"/>
    </row>
    <row r="89" spans="1:40">
      <c r="A89" s="2" t="s">
        <v>91</v>
      </c>
      <c r="B89" s="16">
        <v>76515.11</v>
      </c>
      <c r="C89" s="16">
        <v>31960.77</v>
      </c>
      <c r="D89" s="16">
        <v>1678.1</v>
      </c>
      <c r="E89" s="16">
        <v>1981.9</v>
      </c>
      <c r="F89" s="16">
        <v>121950.18</v>
      </c>
      <c r="G89" s="16">
        <v>2717.25</v>
      </c>
      <c r="H89" s="16">
        <v>4728.03</v>
      </c>
      <c r="I89" s="16">
        <v>0</v>
      </c>
      <c r="J89" s="16">
        <v>7403.4100000000008</v>
      </c>
      <c r="K89" s="16">
        <v>217.38</v>
      </c>
      <c r="L89" s="16">
        <v>0</v>
      </c>
      <c r="M89" s="16">
        <v>0</v>
      </c>
      <c r="N89" s="16">
        <v>285.3</v>
      </c>
      <c r="O89" s="16">
        <v>0</v>
      </c>
      <c r="P89" s="16">
        <v>33.44</v>
      </c>
      <c r="Q89" s="16">
        <v>401.71</v>
      </c>
      <c r="R89" s="8">
        <f t="shared" si="73"/>
        <v>249872.58</v>
      </c>
      <c r="S89" s="363">
        <f t="shared" si="74"/>
        <v>76515.11</v>
      </c>
      <c r="T89" s="363">
        <f t="shared" si="74"/>
        <v>31960.77</v>
      </c>
      <c r="U89" s="363">
        <f t="shared" si="74"/>
        <v>1678.1</v>
      </c>
      <c r="V89" s="363">
        <f t="shared" si="74"/>
        <v>1981.9</v>
      </c>
      <c r="W89" s="363">
        <f t="shared" si="75"/>
        <v>124667.43</v>
      </c>
      <c r="X89" s="363">
        <f t="shared" si="76"/>
        <v>13069.269999999999</v>
      </c>
      <c r="AI89" s="363"/>
      <c r="AJ89" s="363"/>
      <c r="AK89" s="363"/>
      <c r="AL89" s="363"/>
      <c r="AM89" s="363"/>
      <c r="AN89" s="363"/>
    </row>
    <row r="90" spans="1:40">
      <c r="A90" s="2" t="s">
        <v>92</v>
      </c>
      <c r="B90" s="16">
        <v>448115.95</v>
      </c>
      <c r="C90" s="16">
        <v>87422.29</v>
      </c>
      <c r="D90" s="16">
        <v>8901.9699999999993</v>
      </c>
      <c r="E90" s="16">
        <v>21815.649999999998</v>
      </c>
      <c r="F90" s="16">
        <v>715723.65</v>
      </c>
      <c r="G90" s="16">
        <v>9021.27</v>
      </c>
      <c r="H90" s="16">
        <v>15829.18</v>
      </c>
      <c r="I90" s="16">
        <v>2280.17</v>
      </c>
      <c r="J90" s="16">
        <v>23357.59</v>
      </c>
      <c r="K90" s="16">
        <v>6412.71</v>
      </c>
      <c r="L90" s="16">
        <v>217.38</v>
      </c>
      <c r="M90" s="16">
        <v>0</v>
      </c>
      <c r="N90" s="16">
        <v>951</v>
      </c>
      <c r="O90" s="16">
        <v>0</v>
      </c>
      <c r="P90" s="16">
        <v>0</v>
      </c>
      <c r="Q90" s="16">
        <v>0</v>
      </c>
      <c r="R90" s="8">
        <f t="shared" si="73"/>
        <v>1340048.8099999998</v>
      </c>
      <c r="S90" s="363">
        <f t="shared" si="74"/>
        <v>448115.95</v>
      </c>
      <c r="T90" s="363">
        <f t="shared" si="74"/>
        <v>87422.29</v>
      </c>
      <c r="U90" s="363">
        <f t="shared" si="74"/>
        <v>8901.9699999999993</v>
      </c>
      <c r="V90" s="363">
        <f t="shared" si="74"/>
        <v>21815.649999999998</v>
      </c>
      <c r="W90" s="363">
        <f t="shared" si="75"/>
        <v>724744.92</v>
      </c>
      <c r="X90" s="363">
        <f t="shared" si="76"/>
        <v>49048.03</v>
      </c>
      <c r="AI90" s="363"/>
      <c r="AJ90" s="363"/>
      <c r="AK90" s="363"/>
      <c r="AL90" s="363"/>
      <c r="AM90" s="363"/>
      <c r="AN90" s="363"/>
    </row>
    <row r="91" spans="1:40">
      <c r="A91" s="2" t="s">
        <v>93</v>
      </c>
      <c r="B91" s="16">
        <v>162677.48000000001</v>
      </c>
      <c r="C91" s="16">
        <v>56839.11</v>
      </c>
      <c r="D91" s="16">
        <v>2500.96</v>
      </c>
      <c r="E91" s="16">
        <v>3245.53</v>
      </c>
      <c r="F91" s="16">
        <v>206945.76</v>
      </c>
      <c r="G91" s="16">
        <v>5651.8799999999992</v>
      </c>
      <c r="H91" s="16">
        <v>7304.07</v>
      </c>
      <c r="I91" s="16">
        <v>6013.13</v>
      </c>
      <c r="J91" s="16">
        <v>12988.6</v>
      </c>
      <c r="K91" s="16">
        <v>760.83</v>
      </c>
      <c r="L91" s="16">
        <v>217.38</v>
      </c>
      <c r="M91" s="16">
        <v>0</v>
      </c>
      <c r="N91" s="16">
        <v>507.2</v>
      </c>
      <c r="O91" s="16">
        <v>0</v>
      </c>
      <c r="P91" s="16">
        <v>0</v>
      </c>
      <c r="Q91" s="16">
        <v>0</v>
      </c>
      <c r="R91" s="8">
        <f t="shared" si="73"/>
        <v>465651.93000000005</v>
      </c>
      <c r="S91" s="363">
        <f t="shared" si="74"/>
        <v>162677.48000000001</v>
      </c>
      <c r="T91" s="363">
        <f t="shared" si="74"/>
        <v>56839.11</v>
      </c>
      <c r="U91" s="363">
        <f t="shared" si="74"/>
        <v>2500.96</v>
      </c>
      <c r="V91" s="363">
        <f t="shared" si="74"/>
        <v>3245.53</v>
      </c>
      <c r="W91" s="363">
        <f t="shared" si="75"/>
        <v>212597.64</v>
      </c>
      <c r="X91" s="363">
        <f t="shared" si="76"/>
        <v>27791.210000000006</v>
      </c>
      <c r="AI91" s="363"/>
      <c r="AJ91" s="363"/>
      <c r="AK91" s="363"/>
      <c r="AL91" s="363"/>
      <c r="AM91" s="363"/>
      <c r="AN91" s="363"/>
    </row>
    <row r="92" spans="1:40">
      <c r="A92" s="2" t="s">
        <v>94</v>
      </c>
      <c r="B92" s="16">
        <v>42370.06</v>
      </c>
      <c r="C92" s="16">
        <v>6164.2</v>
      </c>
      <c r="D92" s="16">
        <v>678.43</v>
      </c>
      <c r="E92" s="16">
        <v>754.24</v>
      </c>
      <c r="F92" s="16">
        <v>55540.59</v>
      </c>
      <c r="G92" s="16">
        <v>2391.1800000000003</v>
      </c>
      <c r="H92" s="16">
        <v>833.51</v>
      </c>
      <c r="I92" s="16">
        <v>0</v>
      </c>
      <c r="J92" s="16">
        <v>1452</v>
      </c>
      <c r="K92" s="16">
        <v>217.38</v>
      </c>
      <c r="L92" s="16">
        <v>0</v>
      </c>
      <c r="M92" s="16">
        <v>0</v>
      </c>
      <c r="N92" s="16">
        <v>63.4</v>
      </c>
      <c r="O92" s="16">
        <v>0</v>
      </c>
      <c r="P92" s="16">
        <v>0</v>
      </c>
      <c r="Q92" s="16">
        <v>0</v>
      </c>
      <c r="R92" s="8">
        <f t="shared" si="73"/>
        <v>110464.98999999998</v>
      </c>
      <c r="S92" s="363">
        <f t="shared" si="74"/>
        <v>42370.06</v>
      </c>
      <c r="T92" s="363">
        <f t="shared" si="74"/>
        <v>6164.2</v>
      </c>
      <c r="U92" s="363">
        <f t="shared" si="74"/>
        <v>678.43</v>
      </c>
      <c r="V92" s="363">
        <f t="shared" si="74"/>
        <v>754.24</v>
      </c>
      <c r="W92" s="363">
        <f t="shared" si="75"/>
        <v>57931.77</v>
      </c>
      <c r="X92" s="363">
        <f t="shared" si="76"/>
        <v>2566.2900000000004</v>
      </c>
      <c r="AI92" s="363"/>
      <c r="AJ92" s="363"/>
      <c r="AK92" s="363"/>
      <c r="AL92" s="363"/>
      <c r="AM92" s="363"/>
      <c r="AN92" s="363"/>
    </row>
    <row r="93" spans="1:40">
      <c r="A93" s="2" t="s">
        <v>95</v>
      </c>
      <c r="B93" s="16">
        <v>510288.69</v>
      </c>
      <c r="C93" s="16">
        <v>96437.17</v>
      </c>
      <c r="D93" s="16">
        <v>15134.68</v>
      </c>
      <c r="E93" s="16">
        <v>16349.55</v>
      </c>
      <c r="F93" s="16">
        <v>685073.07</v>
      </c>
      <c r="G93" s="16">
        <v>26085.599999999999</v>
      </c>
      <c r="H93" s="16">
        <v>16016.34</v>
      </c>
      <c r="I93" s="16">
        <v>4295.28</v>
      </c>
      <c r="J93" s="16">
        <v>23808.399999999998</v>
      </c>
      <c r="K93" s="16">
        <v>2608.56</v>
      </c>
      <c r="L93" s="16">
        <v>0</v>
      </c>
      <c r="M93" s="16">
        <v>0</v>
      </c>
      <c r="N93" s="16">
        <v>1426.5</v>
      </c>
      <c r="O93" s="16">
        <v>0</v>
      </c>
      <c r="P93" s="16">
        <v>0</v>
      </c>
      <c r="Q93" s="16">
        <v>0</v>
      </c>
      <c r="R93" s="8">
        <f t="shared" si="73"/>
        <v>1397523.8400000003</v>
      </c>
      <c r="S93" s="363">
        <f t="shared" si="74"/>
        <v>510288.69</v>
      </c>
      <c r="T93" s="363">
        <f t="shared" si="74"/>
        <v>96437.17</v>
      </c>
      <c r="U93" s="363">
        <f t="shared" si="74"/>
        <v>15134.68</v>
      </c>
      <c r="V93" s="363">
        <f t="shared" si="74"/>
        <v>16349.55</v>
      </c>
      <c r="W93" s="363">
        <f t="shared" si="75"/>
        <v>711158.66999999993</v>
      </c>
      <c r="X93" s="363">
        <f t="shared" si="76"/>
        <v>48155.079999999994</v>
      </c>
      <c r="AI93" s="363"/>
      <c r="AJ93" s="363"/>
      <c r="AK93" s="363"/>
      <c r="AL93" s="363"/>
      <c r="AM93" s="363"/>
      <c r="AN93" s="363"/>
    </row>
    <row r="94" spans="1:40">
      <c r="A94" s="2" t="s">
        <v>96</v>
      </c>
      <c r="B94" s="16">
        <v>90767.28</v>
      </c>
      <c r="C94" s="16">
        <v>17826.920000000002</v>
      </c>
      <c r="D94" s="16">
        <v>1065.19</v>
      </c>
      <c r="E94" s="16">
        <v>1172.4100000000001</v>
      </c>
      <c r="F94" s="16">
        <v>98473.14</v>
      </c>
      <c r="G94" s="16">
        <v>5108.43</v>
      </c>
      <c r="H94" s="16">
        <v>2776.2700000000004</v>
      </c>
      <c r="I94" s="16">
        <v>960.11</v>
      </c>
      <c r="J94" s="16">
        <v>3969.8999999999996</v>
      </c>
      <c r="K94" s="16">
        <v>434.76</v>
      </c>
      <c r="L94" s="16">
        <v>0</v>
      </c>
      <c r="M94" s="16">
        <v>0</v>
      </c>
      <c r="N94" s="16">
        <v>221.9</v>
      </c>
      <c r="O94" s="16">
        <v>0</v>
      </c>
      <c r="P94" s="16">
        <v>0</v>
      </c>
      <c r="Q94" s="16">
        <v>0</v>
      </c>
      <c r="R94" s="8">
        <f t="shared" si="73"/>
        <v>222776.30999999997</v>
      </c>
      <c r="S94" s="363">
        <f t="shared" si="74"/>
        <v>90767.28</v>
      </c>
      <c r="T94" s="363">
        <f t="shared" si="74"/>
        <v>17826.920000000002</v>
      </c>
      <c r="U94" s="363">
        <f t="shared" si="74"/>
        <v>1065.19</v>
      </c>
      <c r="V94" s="363">
        <f t="shared" si="74"/>
        <v>1172.4100000000001</v>
      </c>
      <c r="W94" s="363">
        <f t="shared" si="75"/>
        <v>103581.57</v>
      </c>
      <c r="X94" s="363">
        <f t="shared" si="76"/>
        <v>8362.94</v>
      </c>
      <c r="AI94" s="363"/>
      <c r="AJ94" s="363"/>
      <c r="AK94" s="363"/>
      <c r="AL94" s="363"/>
      <c r="AM94" s="363"/>
      <c r="AN94" s="363"/>
    </row>
    <row r="95" spans="1:40">
      <c r="A95" s="2" t="s">
        <v>97</v>
      </c>
      <c r="B95" s="16">
        <v>566838.6</v>
      </c>
      <c r="C95" s="16">
        <v>128266.22999999998</v>
      </c>
      <c r="D95" s="16">
        <v>15026.16</v>
      </c>
      <c r="E95" s="16">
        <v>26107.74</v>
      </c>
      <c r="F95" s="16">
        <v>940603.26</v>
      </c>
      <c r="G95" s="16">
        <v>15325.29</v>
      </c>
      <c r="H95" s="16">
        <v>26771.26</v>
      </c>
      <c r="I95" s="16">
        <v>2584.0500000000002</v>
      </c>
      <c r="J95" s="16">
        <v>33956.28</v>
      </c>
      <c r="K95" s="16">
        <v>2173.8000000000002</v>
      </c>
      <c r="L95" s="16">
        <v>0</v>
      </c>
      <c r="M95" s="16">
        <v>350.29</v>
      </c>
      <c r="N95" s="16">
        <v>665.7</v>
      </c>
      <c r="O95" s="16">
        <v>0</v>
      </c>
      <c r="P95" s="16">
        <v>0</v>
      </c>
      <c r="Q95" s="16">
        <v>0</v>
      </c>
      <c r="R95" s="8">
        <f t="shared" si="73"/>
        <v>1758668.6600000001</v>
      </c>
      <c r="S95" s="363">
        <f t="shared" si="74"/>
        <v>566838.6</v>
      </c>
      <c r="T95" s="363">
        <f t="shared" si="74"/>
        <v>128266.22999999998</v>
      </c>
      <c r="U95" s="363">
        <f t="shared" si="74"/>
        <v>15026.16</v>
      </c>
      <c r="V95" s="363">
        <f t="shared" si="74"/>
        <v>26107.74</v>
      </c>
      <c r="W95" s="363">
        <f t="shared" si="75"/>
        <v>955928.55</v>
      </c>
      <c r="X95" s="363">
        <f t="shared" si="76"/>
        <v>66501.37999999999</v>
      </c>
      <c r="AI95" s="363"/>
      <c r="AJ95" s="363"/>
      <c r="AK95" s="363"/>
      <c r="AL95" s="363"/>
      <c r="AM95" s="363"/>
      <c r="AN95" s="363"/>
    </row>
    <row r="96" spans="1:40">
      <c r="A96" s="2" t="s">
        <v>98</v>
      </c>
      <c r="B96" s="16">
        <v>43316.76</v>
      </c>
      <c r="C96" s="16">
        <v>14517.419999999998</v>
      </c>
      <c r="D96" s="16">
        <v>507.24</v>
      </c>
      <c r="E96" s="16">
        <v>2694.06</v>
      </c>
      <c r="F96" s="16">
        <v>103255.5</v>
      </c>
      <c r="G96" s="16">
        <v>4130.2199999999993</v>
      </c>
      <c r="H96" s="16">
        <v>2216.89</v>
      </c>
      <c r="I96" s="16">
        <v>0</v>
      </c>
      <c r="J96" s="16">
        <v>3760.9900000000002</v>
      </c>
      <c r="K96" s="16">
        <v>0</v>
      </c>
      <c r="L96" s="16">
        <v>0</v>
      </c>
      <c r="M96" s="16">
        <v>0</v>
      </c>
      <c r="N96" s="16">
        <v>95.1</v>
      </c>
      <c r="O96" s="16">
        <v>0</v>
      </c>
      <c r="P96" s="16">
        <v>0</v>
      </c>
      <c r="Q96" s="16">
        <v>0</v>
      </c>
      <c r="R96" s="8">
        <f t="shared" si="73"/>
        <v>174494.18</v>
      </c>
      <c r="S96" s="363">
        <f t="shared" si="74"/>
        <v>43316.76</v>
      </c>
      <c r="T96" s="363">
        <f t="shared" si="74"/>
        <v>14517.419999999998</v>
      </c>
      <c r="U96" s="363">
        <f t="shared" si="74"/>
        <v>507.24</v>
      </c>
      <c r="V96" s="363">
        <f t="shared" si="74"/>
        <v>2694.06</v>
      </c>
      <c r="W96" s="363">
        <f t="shared" si="75"/>
        <v>107385.72</v>
      </c>
      <c r="X96" s="363">
        <f t="shared" si="76"/>
        <v>6072.9800000000005</v>
      </c>
      <c r="AI96" s="363"/>
      <c r="AJ96" s="363"/>
      <c r="AK96" s="363"/>
      <c r="AL96" s="363"/>
      <c r="AM96" s="363"/>
      <c r="AN96" s="363"/>
    </row>
    <row r="97" spans="1:40">
      <c r="A97" s="2" t="s">
        <v>99</v>
      </c>
      <c r="B97" s="16">
        <v>6885.49</v>
      </c>
      <c r="C97" s="16">
        <v>228.55</v>
      </c>
      <c r="D97" s="16">
        <v>50.72</v>
      </c>
      <c r="E97" s="16">
        <v>223.79</v>
      </c>
      <c r="F97" s="16">
        <v>21411.93</v>
      </c>
      <c r="G97" s="16">
        <v>108.69</v>
      </c>
      <c r="H97" s="16">
        <v>31.05</v>
      </c>
      <c r="I97" s="16">
        <v>0</v>
      </c>
      <c r="J97" s="16">
        <v>96.68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8">
        <f t="shared" si="73"/>
        <v>29036.899999999998</v>
      </c>
      <c r="S97" s="363">
        <f t="shared" si="74"/>
        <v>6885.49</v>
      </c>
      <c r="T97" s="363">
        <f t="shared" si="74"/>
        <v>228.55</v>
      </c>
      <c r="U97" s="363">
        <f t="shared" si="74"/>
        <v>50.72</v>
      </c>
      <c r="V97" s="363">
        <f t="shared" si="74"/>
        <v>223.79</v>
      </c>
      <c r="W97" s="363">
        <f t="shared" si="75"/>
        <v>21520.62</v>
      </c>
      <c r="X97" s="363">
        <f t="shared" si="76"/>
        <v>127.73</v>
      </c>
      <c r="AI97" s="363"/>
      <c r="AJ97" s="363"/>
      <c r="AK97" s="363"/>
      <c r="AL97" s="363"/>
      <c r="AM97" s="363"/>
      <c r="AN97" s="363"/>
    </row>
    <row r="98" spans="1:40">
      <c r="A98" s="2" t="s">
        <v>100</v>
      </c>
      <c r="B98" s="16">
        <v>394502.7</v>
      </c>
      <c r="C98" s="16">
        <v>138651.97999999998</v>
      </c>
      <c r="D98" s="16">
        <v>13624.5</v>
      </c>
      <c r="E98" s="16">
        <v>49988.89</v>
      </c>
      <c r="F98" s="16">
        <v>624424.05000000005</v>
      </c>
      <c r="G98" s="16">
        <v>6630.09</v>
      </c>
      <c r="H98" s="16">
        <v>23876.669999999995</v>
      </c>
      <c r="I98" s="16">
        <v>0</v>
      </c>
      <c r="J98" s="16">
        <v>39420.639999999999</v>
      </c>
      <c r="K98" s="16">
        <v>1630.35</v>
      </c>
      <c r="L98" s="16">
        <v>217.38</v>
      </c>
      <c r="M98" s="16">
        <v>0</v>
      </c>
      <c r="N98" s="16">
        <v>824.2</v>
      </c>
      <c r="O98" s="16">
        <v>0</v>
      </c>
      <c r="P98" s="16">
        <v>0</v>
      </c>
      <c r="Q98" s="16">
        <v>0</v>
      </c>
      <c r="R98" s="8">
        <f t="shared" si="73"/>
        <v>1293791.45</v>
      </c>
      <c r="S98" s="363">
        <f t="shared" si="74"/>
        <v>394502.7</v>
      </c>
      <c r="T98" s="363">
        <f t="shared" si="74"/>
        <v>138651.97999999998</v>
      </c>
      <c r="U98" s="363">
        <f t="shared" si="74"/>
        <v>13624.5</v>
      </c>
      <c r="V98" s="363">
        <f t="shared" si="74"/>
        <v>49988.89</v>
      </c>
      <c r="W98" s="363">
        <f t="shared" si="75"/>
        <v>631054.14</v>
      </c>
      <c r="X98" s="363">
        <f t="shared" si="76"/>
        <v>65969.239999999991</v>
      </c>
      <c r="AI98" s="363"/>
      <c r="AJ98" s="363"/>
      <c r="AK98" s="363"/>
      <c r="AL98" s="363"/>
      <c r="AM98" s="363"/>
      <c r="AN98" s="363"/>
    </row>
    <row r="99" spans="1:40">
      <c r="A99" s="2" t="s">
        <v>101</v>
      </c>
      <c r="B99" s="16">
        <v>1923277</v>
      </c>
      <c r="C99" s="16">
        <v>499646.49</v>
      </c>
      <c r="D99" s="16">
        <v>35507.730000000003</v>
      </c>
      <c r="E99" s="16">
        <v>87006.510000000009</v>
      </c>
      <c r="F99" s="16">
        <v>3571227.33</v>
      </c>
      <c r="G99" s="16">
        <v>39997.919999999998</v>
      </c>
      <c r="H99" s="16">
        <v>134588.97999999998</v>
      </c>
      <c r="I99" s="16">
        <v>12338.71</v>
      </c>
      <c r="J99" s="16">
        <v>128148.5</v>
      </c>
      <c r="K99" s="16">
        <v>8043.06</v>
      </c>
      <c r="L99" s="16">
        <v>1521.66</v>
      </c>
      <c r="M99" s="16">
        <v>0</v>
      </c>
      <c r="N99" s="16">
        <v>4184.3999999999996</v>
      </c>
      <c r="O99" s="16">
        <v>0</v>
      </c>
      <c r="P99" s="16">
        <v>723.56</v>
      </c>
      <c r="Q99" s="16">
        <v>14612.41</v>
      </c>
      <c r="R99" s="8">
        <f t="shared" si="73"/>
        <v>6460824.2600000007</v>
      </c>
      <c r="S99" s="363">
        <f t="shared" si="74"/>
        <v>1923277</v>
      </c>
      <c r="T99" s="363">
        <f t="shared" si="74"/>
        <v>499646.49</v>
      </c>
      <c r="U99" s="363">
        <f t="shared" si="74"/>
        <v>35507.730000000003</v>
      </c>
      <c r="V99" s="363">
        <f t="shared" si="74"/>
        <v>87006.510000000009</v>
      </c>
      <c r="W99" s="363">
        <f t="shared" si="75"/>
        <v>3611225.25</v>
      </c>
      <c r="X99" s="363">
        <f t="shared" si="76"/>
        <v>304161.27999999991</v>
      </c>
      <c r="AI99" s="363"/>
      <c r="AJ99" s="363"/>
      <c r="AK99" s="363"/>
      <c r="AL99" s="363"/>
      <c r="AM99" s="363"/>
      <c r="AN99" s="363"/>
    </row>
    <row r="100" spans="1:40">
      <c r="A100" s="2" t="s">
        <v>102</v>
      </c>
      <c r="B100" s="16">
        <v>49926.23</v>
      </c>
      <c r="C100" s="16">
        <v>12887.710000000001</v>
      </c>
      <c r="D100" s="16">
        <v>1177.21</v>
      </c>
      <c r="E100" s="16">
        <v>5270.46</v>
      </c>
      <c r="F100" s="16">
        <v>86734.62</v>
      </c>
      <c r="G100" s="16">
        <v>1956.42</v>
      </c>
      <c r="H100" s="16">
        <v>2304.2800000000002</v>
      </c>
      <c r="I100" s="16">
        <v>0</v>
      </c>
      <c r="J100" s="16">
        <v>3838.12</v>
      </c>
      <c r="K100" s="16">
        <v>326.07</v>
      </c>
      <c r="L100" s="16">
        <v>0</v>
      </c>
      <c r="M100" s="16">
        <v>0</v>
      </c>
      <c r="N100" s="16">
        <v>31.7</v>
      </c>
      <c r="O100" s="16">
        <v>0</v>
      </c>
      <c r="P100" s="16">
        <v>0</v>
      </c>
      <c r="Q100" s="16">
        <v>389.94</v>
      </c>
      <c r="R100" s="8">
        <f t="shared" si="73"/>
        <v>164842.76</v>
      </c>
      <c r="S100" s="363">
        <f t="shared" si="74"/>
        <v>49926.23</v>
      </c>
      <c r="T100" s="363">
        <f t="shared" si="74"/>
        <v>12887.710000000001</v>
      </c>
      <c r="U100" s="363">
        <f t="shared" si="74"/>
        <v>1177.21</v>
      </c>
      <c r="V100" s="363">
        <f t="shared" si="74"/>
        <v>5270.46</v>
      </c>
      <c r="W100" s="363">
        <f t="shared" si="75"/>
        <v>88691.04</v>
      </c>
      <c r="X100" s="363">
        <f t="shared" si="76"/>
        <v>6890.1099999999988</v>
      </c>
      <c r="AI100" s="363"/>
      <c r="AJ100" s="363"/>
      <c r="AK100" s="363"/>
      <c r="AL100" s="363"/>
      <c r="AM100" s="363"/>
      <c r="AN100" s="363"/>
    </row>
    <row r="101" spans="1:40">
      <c r="A101" s="2" t="s">
        <v>103</v>
      </c>
      <c r="B101" s="16">
        <v>24378.62</v>
      </c>
      <c r="C101" s="16">
        <v>3603.78</v>
      </c>
      <c r="D101" s="16">
        <v>1314.59</v>
      </c>
      <c r="E101" s="16">
        <v>3628.69</v>
      </c>
      <c r="F101" s="16">
        <v>64670.55</v>
      </c>
      <c r="G101" s="16">
        <v>1304.2800000000002</v>
      </c>
      <c r="H101" s="16">
        <v>2451.85</v>
      </c>
      <c r="I101" s="16">
        <v>0</v>
      </c>
      <c r="J101" s="16">
        <v>1837.3399999999997</v>
      </c>
      <c r="K101" s="16">
        <v>326.07</v>
      </c>
      <c r="L101" s="16">
        <v>0</v>
      </c>
      <c r="M101" s="16">
        <v>0</v>
      </c>
      <c r="N101" s="16">
        <v>63.4</v>
      </c>
      <c r="O101" s="16">
        <v>0</v>
      </c>
      <c r="P101" s="16">
        <v>0</v>
      </c>
      <c r="Q101" s="16">
        <v>439.22</v>
      </c>
      <c r="R101" s="8">
        <f t="shared" si="73"/>
        <v>104018.39000000001</v>
      </c>
      <c r="S101" s="363">
        <f t="shared" si="74"/>
        <v>24378.62</v>
      </c>
      <c r="T101" s="363">
        <f t="shared" si="74"/>
        <v>3603.78</v>
      </c>
      <c r="U101" s="363">
        <f t="shared" si="74"/>
        <v>1314.59</v>
      </c>
      <c r="V101" s="363">
        <f t="shared" si="74"/>
        <v>3628.69</v>
      </c>
      <c r="W101" s="363">
        <f t="shared" si="75"/>
        <v>65974.83</v>
      </c>
      <c r="X101" s="363">
        <f t="shared" si="76"/>
        <v>5117.8799999999992</v>
      </c>
      <c r="AI101" s="363"/>
      <c r="AJ101" s="363"/>
      <c r="AK101" s="363"/>
      <c r="AL101" s="363"/>
      <c r="AM101" s="363"/>
      <c r="AN101" s="363"/>
    </row>
    <row r="102" spans="1:40">
      <c r="A102" s="6" t="s">
        <v>37</v>
      </c>
      <c r="B102" s="5">
        <f t="shared" ref="B102:X102" si="77">SUM(B75:B101)</f>
        <v>6235857.3400000008</v>
      </c>
      <c r="C102" s="5">
        <f t="shared" si="77"/>
        <v>1611903.44</v>
      </c>
      <c r="D102" s="5">
        <f t="shared" si="77"/>
        <v>135110.14000000001</v>
      </c>
      <c r="E102" s="5">
        <f t="shared" si="77"/>
        <v>308732.00000000006</v>
      </c>
      <c r="F102" s="5">
        <f t="shared" si="77"/>
        <v>10093279.469999999</v>
      </c>
      <c r="G102" s="5">
        <f t="shared" si="77"/>
        <v>195642.00000000006</v>
      </c>
      <c r="H102" s="5">
        <f t="shared" si="77"/>
        <v>330079.30999999994</v>
      </c>
      <c r="I102" s="5">
        <f t="shared" si="77"/>
        <v>39510.509999999995</v>
      </c>
      <c r="J102" s="5">
        <f t="shared" si="77"/>
        <v>413870.97</v>
      </c>
      <c r="K102" s="5">
        <f t="shared" si="77"/>
        <v>41084.82</v>
      </c>
      <c r="L102" s="5">
        <f t="shared" si="77"/>
        <v>2608.5600000000004</v>
      </c>
      <c r="M102" s="5">
        <f t="shared" si="77"/>
        <v>5455.11</v>
      </c>
      <c r="N102" s="5">
        <f t="shared" si="77"/>
        <v>13948</v>
      </c>
      <c r="O102" s="5">
        <f t="shared" si="77"/>
        <v>0</v>
      </c>
      <c r="P102" s="5">
        <f t="shared" si="77"/>
        <v>1227.6199999999999</v>
      </c>
      <c r="Q102" s="5">
        <f t="shared" si="77"/>
        <v>16157.23</v>
      </c>
      <c r="R102" s="5">
        <f t="shared" si="77"/>
        <v>19444466.520000003</v>
      </c>
      <c r="S102" s="363">
        <f t="shared" si="77"/>
        <v>6235857.3400000008</v>
      </c>
      <c r="T102" s="363">
        <f t="shared" si="77"/>
        <v>1611903.44</v>
      </c>
      <c r="U102" s="363">
        <f t="shared" si="77"/>
        <v>135110.14000000001</v>
      </c>
      <c r="V102" s="363">
        <f t="shared" si="77"/>
        <v>308732.00000000006</v>
      </c>
      <c r="W102" s="363">
        <f t="shared" si="77"/>
        <v>10288921.469999999</v>
      </c>
      <c r="X102" s="363">
        <f t="shared" si="77"/>
        <v>863942.12999999989</v>
      </c>
      <c r="AI102" s="363"/>
      <c r="AJ102" s="363"/>
      <c r="AK102" s="363"/>
      <c r="AL102" s="363"/>
      <c r="AM102" s="363"/>
      <c r="AN102" s="363"/>
    </row>
    <row r="103" spans="1:40">
      <c r="R103" s="363"/>
    </row>
    <row r="104" spans="1:40">
      <c r="R104" s="363"/>
    </row>
    <row r="105" spans="1:40">
      <c r="R105" s="363"/>
    </row>
  </sheetData>
  <mergeCells count="48">
    <mergeCell ref="O3:O4"/>
    <mergeCell ref="O38:O39"/>
    <mergeCell ref="O73:O74"/>
    <mergeCell ref="A72:R72"/>
    <mergeCell ref="A73:A74"/>
    <mergeCell ref="B73:C73"/>
    <mergeCell ref="D73:E73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P73:Q73"/>
    <mergeCell ref="R73:R74"/>
    <mergeCell ref="A37:R37"/>
    <mergeCell ref="A38:A39"/>
    <mergeCell ref="B38:C38"/>
    <mergeCell ref="D38:E38"/>
    <mergeCell ref="F38:F39"/>
    <mergeCell ref="M38:M39"/>
    <mergeCell ref="N38:N39"/>
    <mergeCell ref="P38:Q38"/>
    <mergeCell ref="R38:R39"/>
    <mergeCell ref="G38:G39"/>
    <mergeCell ref="H38:H39"/>
    <mergeCell ref="I38:I39"/>
    <mergeCell ref="J38:J39"/>
    <mergeCell ref="K38:K39"/>
    <mergeCell ref="L38:L39"/>
    <mergeCell ref="A2:R2"/>
    <mergeCell ref="A3:A4"/>
    <mergeCell ref="B3:C3"/>
    <mergeCell ref="D3:E3"/>
    <mergeCell ref="F3:F4"/>
    <mergeCell ref="G3:G4"/>
    <mergeCell ref="N3:N4"/>
    <mergeCell ref="P3:Q3"/>
    <mergeCell ref="R3:R4"/>
    <mergeCell ref="H3:H4"/>
    <mergeCell ref="I3:I4"/>
    <mergeCell ref="J3:J4"/>
    <mergeCell ref="K3:K4"/>
    <mergeCell ref="L3:L4"/>
    <mergeCell ref="M3:M4"/>
  </mergeCells>
  <pageMargins left="0.511811024" right="0.511811024" top="0.78740157499999996" bottom="0.78740157499999996" header="0.31496062000000002" footer="0.31496062000000002"/>
  <pageSetup paperSize="9" scale="15" orientation="landscape" r:id="rId1"/>
  <ignoredErrors>
    <ignoredError sqref="X103" formulaRange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8">
    <tabColor rgb="FF7030A0"/>
  </sheetPr>
  <dimension ref="A1:C34"/>
  <sheetViews>
    <sheetView workbookViewId="0">
      <selection activeCell="A2" sqref="A2:AC37"/>
    </sheetView>
  </sheetViews>
  <sheetFormatPr defaultRowHeight="15"/>
  <cols>
    <col min="2" max="3" width="22.5703125" bestFit="1" customWidth="1"/>
  </cols>
  <sheetData>
    <row r="1" spans="1:3">
      <c r="A1" t="s">
        <v>693</v>
      </c>
      <c r="B1" t="s">
        <v>710</v>
      </c>
      <c r="C1" s="790" t="s">
        <v>711</v>
      </c>
    </row>
    <row r="2" spans="1:3">
      <c r="A2" s="781">
        <v>43831</v>
      </c>
      <c r="B2" s="796">
        <f>AVERAGE(BD_PF!J2:J28)</f>
        <v>0.68854847045243517</v>
      </c>
      <c r="C2" s="796">
        <f>AVERAGE(BD_PJ!F2:F28)</f>
        <v>0.81680391377162498</v>
      </c>
    </row>
    <row r="3" spans="1:3">
      <c r="A3" s="781">
        <v>43862</v>
      </c>
      <c r="B3" s="796">
        <f>AVERAGE(BD_PF!J29:J55)</f>
        <v>0.64227334571278072</v>
      </c>
      <c r="C3" s="796">
        <f>AVERAGE(BD_PJ!F29:F55)</f>
        <v>0.79601579572791603</v>
      </c>
    </row>
    <row r="4" spans="1:3">
      <c r="A4" s="781">
        <v>43891</v>
      </c>
      <c r="B4" s="796">
        <f>AVERAGE(BD_PF!J56:J82)</f>
        <v>0.56875516927718306</v>
      </c>
      <c r="C4" s="796">
        <f>AVERAGE(BD_PJ!F56:F82)</f>
        <v>0.71974665378947489</v>
      </c>
    </row>
    <row r="5" spans="1:3">
      <c r="A5" s="781">
        <v>43922</v>
      </c>
      <c r="B5" s="796">
        <f>AVERAGE(BD_PF!J83:J109)</f>
        <v>0.55277734368542653</v>
      </c>
      <c r="C5" s="796">
        <f>AVERAGE(BD_PJ!F83:F109)</f>
        <v>0.71974665378947489</v>
      </c>
    </row>
    <row r="6" spans="1:3">
      <c r="A6" s="781">
        <v>43952</v>
      </c>
      <c r="B6" s="796">
        <f>AVERAGE(BD_PF!J110:J136)</f>
        <v>0.53920678525592713</v>
      </c>
      <c r="C6" s="796">
        <f>AVERAGE(BD_PJ!F110:F136)</f>
        <v>0.69619116738230047</v>
      </c>
    </row>
    <row r="7" spans="1:3">
      <c r="A7" s="781">
        <v>43983</v>
      </c>
      <c r="B7" s="796">
        <f>AVERAGE(BD_PF!J137:J163)</f>
        <v>0.51525966611871898</v>
      </c>
      <c r="C7" s="796">
        <f>AVERAGE(BD_PJ!F137:F163)</f>
        <v>0.67767074567983143</v>
      </c>
    </row>
    <row r="8" spans="1:3">
      <c r="A8" s="781">
        <v>44013</v>
      </c>
      <c r="B8" s="796">
        <f>AVERAGE(BD_PF!J164:J190)</f>
        <v>0.45196750870196711</v>
      </c>
      <c r="C8" s="796">
        <f>AVERAGE(BD_PJ!F164:F190)</f>
        <v>0.64090778320161446</v>
      </c>
    </row>
    <row r="9" spans="1:3">
      <c r="A9" s="781">
        <v>44044</v>
      </c>
      <c r="B9" s="796">
        <f>AVERAGE(BD_PF!J191:J217)</f>
        <v>0.38870852364716757</v>
      </c>
      <c r="C9" s="796">
        <f>AVERAGE(BD_PJ!F191:F217)</f>
        <v>0.60402117940323363</v>
      </c>
    </row>
    <row r="10" spans="1:3">
      <c r="A10" s="781">
        <v>44075</v>
      </c>
      <c r="B10" s="796">
        <f>AVERAGE(BD_PF!J218:J244)</f>
        <v>0.35397366827733451</v>
      </c>
      <c r="C10" s="796">
        <f>AVERAGE(BD_PJ!F218:F244)</f>
        <v>0.58083120818571554</v>
      </c>
    </row>
    <row r="11" spans="1:3">
      <c r="A11" s="781">
        <v>44105</v>
      </c>
      <c r="B11" s="796">
        <f>AVERAGE(BD_PF!J245:J271)</f>
        <v>0.33180230084957069</v>
      </c>
      <c r="C11" s="796">
        <f>AVERAGE(BD_PJ!F245:F271)</f>
        <v>0.56596888738774576</v>
      </c>
    </row>
    <row r="12" spans="1:3">
      <c r="A12" s="781">
        <v>44136</v>
      </c>
      <c r="B12" s="796">
        <f>AVERAGE(BD_PF!J272:J298)</f>
        <v>0.31055845842271051</v>
      </c>
      <c r="C12" s="796">
        <f>AVERAGE(BD_PJ!F272:F298)</f>
        <v>0.55047271680071674</v>
      </c>
    </row>
    <row r="13" spans="1:3">
      <c r="A13" s="781">
        <v>44166</v>
      </c>
      <c r="B13" s="796">
        <f>AVERAGE(BD_PF!J299:J325)</f>
        <v>0.28856661573008435</v>
      </c>
      <c r="C13" s="796">
        <f>AVERAGE(BD_PJ!F299:F325)</f>
        <v>0.53649009018941662</v>
      </c>
    </row>
    <row r="14" spans="1:3">
      <c r="A14" s="781">
        <v>44197</v>
      </c>
      <c r="B14" s="796">
        <f>AVERAGE(BD_PF!J326:J352)</f>
        <v>0.85703229818787796</v>
      </c>
      <c r="C14" s="796">
        <f>AVERAGE(BD_PJ!F326:F352)</f>
        <v>0.9608190012691884</v>
      </c>
    </row>
    <row r="15" spans="1:3">
      <c r="A15" s="781">
        <v>44228</v>
      </c>
      <c r="B15" s="796">
        <f>AVERAGE(BD_PF!J353:J379)</f>
        <v>0.69727513161860399</v>
      </c>
      <c r="C15" s="796">
        <f>AVERAGE(BD_PJ!F353:F379)</f>
        <v>0.92608059188901093</v>
      </c>
    </row>
    <row r="16" spans="1:3">
      <c r="A16" s="781">
        <v>44256</v>
      </c>
      <c r="B16" s="796">
        <f>AVERAGE(BD_PF!J380:J406)</f>
        <v>0.54542575272403715</v>
      </c>
      <c r="C16" s="796">
        <f>AVERAGE(BD_PJ!F380:F406)</f>
        <v>0.88679276495503079</v>
      </c>
    </row>
    <row r="17" spans="1:3">
      <c r="A17" s="781">
        <v>44287</v>
      </c>
      <c r="B17" s="796">
        <f>AVERAGE(BD_PF!J407:J433)</f>
        <v>0.49766670355622855</v>
      </c>
      <c r="C17" s="796">
        <f>AVERAGE(BD_PJ!F407:F433)</f>
        <v>0.86319678468069294</v>
      </c>
    </row>
    <row r="18" spans="1:3">
      <c r="A18" s="781">
        <v>44317</v>
      </c>
      <c r="B18" s="796">
        <f>AVERAGE(BD_PF!J434:J460)</f>
        <v>0.4551002350569231</v>
      </c>
      <c r="C18" s="796">
        <f>AVERAGE(BD_PJ!F434:F460)</f>
        <v>0.84001513720403764</v>
      </c>
    </row>
    <row r="19" spans="1:3">
      <c r="A19" s="781">
        <v>44348</v>
      </c>
      <c r="B19" s="796">
        <f>AVERAGE(BD_PF!J461:J487)</f>
        <v>0.41446855371946123</v>
      </c>
      <c r="C19" s="796">
        <f>AVERAGE(BD_PJ!F461:F487)</f>
        <v>0.81517744372196921</v>
      </c>
    </row>
    <row r="20" spans="1:3">
      <c r="A20" s="781">
        <v>44378</v>
      </c>
      <c r="B20" s="796">
        <f>AVERAGE(BD_PF!J488:J514)</f>
        <v>0.37156580458077088</v>
      </c>
      <c r="C20" s="796">
        <f>AVERAGE(BD_PJ!F488:F514)</f>
        <v>0.78373892613789031</v>
      </c>
    </row>
    <row r="21" spans="1:3">
      <c r="A21" s="781">
        <v>44409</v>
      </c>
      <c r="B21" s="796">
        <f>AVERAGE(BD_PF!J515:J541)</f>
        <v>0.34340276215258947</v>
      </c>
      <c r="C21" s="796">
        <f>AVERAGE(BD_PJ!F515:F541)</f>
        <v>0.67743052285636329</v>
      </c>
    </row>
    <row r="22" spans="1:3">
      <c r="A22" s="781">
        <v>44440</v>
      </c>
      <c r="B22" s="796">
        <f>AVERAGE(BD_PF!J542:J568)</f>
        <v>0.33885878903401062</v>
      </c>
      <c r="C22" s="796">
        <f>AVERAGE(BD_PJ!F542:F568)</f>
        <v>0.62024891958705985</v>
      </c>
    </row>
    <row r="23" spans="1:3">
      <c r="A23" s="781">
        <v>44470</v>
      </c>
      <c r="B23" s="796">
        <f>AVERAGE(BD_PF!J569:J595)</f>
        <v>0.32317101552292982</v>
      </c>
      <c r="C23" s="796">
        <f>AVERAGE(BD_PJ!F569:F595)</f>
        <v>0.59213165428309766</v>
      </c>
    </row>
    <row r="24" spans="1:3">
      <c r="A24" s="781">
        <v>44501</v>
      </c>
      <c r="B24" s="796">
        <f>AVERAGE(BD_PF!J596:J622)</f>
        <v>0.31093764237288635</v>
      </c>
      <c r="C24" s="796">
        <f>AVERAGE(BD_PJ!F596:F622)</f>
        <v>0.57132990660024785</v>
      </c>
    </row>
    <row r="25" spans="1:3">
      <c r="A25" s="781">
        <v>44531</v>
      </c>
      <c r="B25" s="796">
        <f>AVERAGE(BD_PF!J623:J649)</f>
        <v>0.29716331434558924</v>
      </c>
      <c r="C25" s="796">
        <f>AVERAGE(BD_PJ!F623:F649)</f>
        <v>0.55292939043199896</v>
      </c>
    </row>
    <row r="26" spans="1:3">
      <c r="A26" s="781">
        <v>44562</v>
      </c>
      <c r="B26" s="796">
        <f>AVERAGE(BD_PF!J650:J676)</f>
        <v>0.77233570733425794</v>
      </c>
      <c r="C26" s="796">
        <f>AVERAGE(BD_PJ!F650:F676)</f>
        <v>0.92139484383148007</v>
      </c>
    </row>
    <row r="27" spans="1:3">
      <c r="A27" s="781">
        <v>44593</v>
      </c>
      <c r="B27" s="796">
        <f>AVERAGE(BD_PF!J677:J703)</f>
        <v>0.68123261017607173</v>
      </c>
      <c r="C27" s="796">
        <f>AVERAGE(BD_PJ!F677:F703)</f>
        <v>0.88818963381567517</v>
      </c>
    </row>
    <row r="28" spans="1:3">
      <c r="A28" s="781">
        <v>44621</v>
      </c>
      <c r="B28" s="796">
        <f>AVERAGE(BD_PF!J704:J730)</f>
        <v>0.58700956309277386</v>
      </c>
      <c r="C28" s="796">
        <f>AVERAGE(BD_PJ!F704:F730)</f>
        <v>0.86091463411923186</v>
      </c>
    </row>
    <row r="29" spans="1:3">
      <c r="A29" s="781">
        <v>44652</v>
      </c>
      <c r="B29" s="796">
        <f>AVERAGE(BD_PF!J731:J757)</f>
        <v>0.53871167019855004</v>
      </c>
      <c r="C29" s="796">
        <f>AVERAGE(BD_PJ!F731:F757)</f>
        <v>0.83725706300785641</v>
      </c>
    </row>
    <row r="30" spans="1:3">
      <c r="A30" s="781">
        <v>44682</v>
      </c>
      <c r="B30" s="796">
        <f>AVERAGE(BD_PF!J758:J784)</f>
        <v>0.49526188828175211</v>
      </c>
      <c r="C30" s="796">
        <f>AVERAGE(BD_PJ!F758:F784)</f>
        <v>0.81534902400166398</v>
      </c>
    </row>
    <row r="31" spans="1:3">
      <c r="A31" s="781">
        <v>44713</v>
      </c>
      <c r="B31" s="796">
        <f>AVERAGE(BD_PF!J785:J811)</f>
        <v>0.47067993312807715</v>
      </c>
      <c r="C31" s="796">
        <f>AVERAGE(BD_PJ!F785:F811)</f>
        <v>0.79292135714477729</v>
      </c>
    </row>
    <row r="32" spans="1:3">
      <c r="A32" s="781">
        <v>44743</v>
      </c>
      <c r="B32" s="796">
        <f>AVERAGE(BD_PF!J812:J838)</f>
        <v>0.43293792764811795</v>
      </c>
      <c r="C32" s="796">
        <f>AVERAGE(BD_PJ!F812:F838)</f>
        <v>0.58109937930247935</v>
      </c>
    </row>
    <row r="33" spans="1:3">
      <c r="A33" s="781">
        <v>44774</v>
      </c>
      <c r="B33" s="796">
        <f>AVERAGE(BD_PF!J839:J865)</f>
        <v>0.40554179989020117</v>
      </c>
      <c r="C33" s="796">
        <f>AVERAGE(BD_PJ!F839:F865)</f>
        <v>0.63260037792210322</v>
      </c>
    </row>
    <row r="34" spans="1:3">
      <c r="A34" s="781">
        <v>44805</v>
      </c>
    </row>
  </sheetData>
  <pageMargins left="0.511811024" right="0.511811024" top="0.78740157499999996" bottom="0.78740157499999996" header="0.31496062000000002" footer="0.3149606200000000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9">
    <tabColor rgb="FF7030A0"/>
  </sheetPr>
  <dimension ref="A1:L973"/>
  <sheetViews>
    <sheetView workbookViewId="0">
      <pane xSplit="5" ySplit="1" topLeftCell="F622" activePane="bottomRight" state="frozen"/>
      <selection activeCell="A2" sqref="A2:AC37"/>
      <selection pane="topRight" activeCell="A2" sqref="A2:AC37"/>
      <selection pane="bottomLeft" activeCell="A2" sqref="A2:AC37"/>
      <selection pane="bottomRight" activeCell="A2" sqref="A2:AC37"/>
    </sheetView>
  </sheetViews>
  <sheetFormatPr defaultRowHeight="15"/>
  <cols>
    <col min="1" max="1" width="14.7109375" style="790" bestFit="1" customWidth="1"/>
    <col min="2" max="2" width="9.140625" style="793"/>
    <col min="3" max="3" width="12.7109375" style="747" bestFit="1" customWidth="1"/>
    <col min="4" max="5" width="9.140625" style="790"/>
    <col min="6" max="6" width="21.5703125" style="793" customWidth="1"/>
    <col min="7" max="12" width="12.42578125" style="795" customWidth="1"/>
    <col min="13" max="16384" width="9.140625" style="790"/>
  </cols>
  <sheetData>
    <row r="1" spans="1:12">
      <c r="A1" s="790" t="s">
        <v>440</v>
      </c>
      <c r="B1" s="793" t="s">
        <v>693</v>
      </c>
      <c r="C1" s="747" t="s">
        <v>341</v>
      </c>
      <c r="E1" s="790" t="s">
        <v>172</v>
      </c>
      <c r="F1" s="793" t="s">
        <v>693</v>
      </c>
      <c r="G1" s="795" t="s">
        <v>703</v>
      </c>
      <c r="H1" s="795" t="s">
        <v>704</v>
      </c>
      <c r="I1" s="795" t="s">
        <v>705</v>
      </c>
      <c r="J1" s="795" t="s">
        <v>706</v>
      </c>
      <c r="K1" s="795" t="s">
        <v>691</v>
      </c>
      <c r="L1" s="795" t="s">
        <v>692</v>
      </c>
    </row>
    <row r="2" spans="1:12">
      <c r="A2" s="790" t="s">
        <v>173</v>
      </c>
      <c r="B2" s="793">
        <v>43831</v>
      </c>
      <c r="C2" s="747">
        <v>11752892.600000001</v>
      </c>
      <c r="E2" s="322" t="s">
        <v>77</v>
      </c>
      <c r="F2" s="793">
        <v>43831</v>
      </c>
      <c r="G2" s="795">
        <v>14560.495999999999</v>
      </c>
      <c r="H2" s="795">
        <v>3850.3919999999998</v>
      </c>
      <c r="I2" s="795">
        <v>2697.0560000000005</v>
      </c>
      <c r="J2" s="795">
        <v>420.52800000000002</v>
      </c>
      <c r="K2" s="795">
        <v>14855.224</v>
      </c>
      <c r="L2" s="795">
        <v>1657.2000000000003</v>
      </c>
    </row>
    <row r="3" spans="1:12">
      <c r="A3" s="790" t="s">
        <v>291</v>
      </c>
      <c r="B3" s="793">
        <v>43831</v>
      </c>
      <c r="C3" s="747">
        <v>2232851.5200000005</v>
      </c>
      <c r="E3" s="322" t="s">
        <v>78</v>
      </c>
      <c r="F3" s="793">
        <v>43831</v>
      </c>
      <c r="G3" s="795">
        <v>82619.016000000003</v>
      </c>
      <c r="H3" s="795">
        <v>25126.440000000002</v>
      </c>
      <c r="I3" s="795">
        <v>3794.1680000000001</v>
      </c>
      <c r="J3" s="795">
        <v>1131.8399999999999</v>
      </c>
      <c r="K3" s="795">
        <v>37533.688000000002</v>
      </c>
      <c r="L3" s="795">
        <v>8492.5360000000001</v>
      </c>
    </row>
    <row r="4" spans="1:12">
      <c r="A4" s="790" t="s">
        <v>174</v>
      </c>
      <c r="B4" s="793">
        <v>43831</v>
      </c>
      <c r="C4" s="747">
        <v>1353434.8600000003</v>
      </c>
      <c r="E4" s="322" t="s">
        <v>80</v>
      </c>
      <c r="F4" s="793">
        <v>43831</v>
      </c>
      <c r="G4" s="795">
        <v>56159.095999999998</v>
      </c>
      <c r="H4" s="795">
        <v>20675.456000000002</v>
      </c>
      <c r="I4" s="795">
        <v>7055.0240000000013</v>
      </c>
      <c r="J4" s="795">
        <v>1523.9760000000001</v>
      </c>
      <c r="K4" s="795">
        <v>33880.640000000007</v>
      </c>
      <c r="L4" s="795">
        <v>5780.9679999999998</v>
      </c>
    </row>
    <row r="5" spans="1:12">
      <c r="A5" s="790" t="s">
        <v>292</v>
      </c>
      <c r="B5" s="793">
        <v>43831</v>
      </c>
      <c r="C5" s="747">
        <v>320293.44000000006</v>
      </c>
      <c r="E5" s="322" t="s">
        <v>79</v>
      </c>
      <c r="F5" s="793">
        <v>43831</v>
      </c>
      <c r="G5" s="795">
        <v>16939.752</v>
      </c>
      <c r="H5" s="795">
        <v>6473.5680000000002</v>
      </c>
      <c r="I5" s="795">
        <v>2392.3040000000001</v>
      </c>
      <c r="J5" s="795">
        <v>3040.6640000000002</v>
      </c>
      <c r="K5" s="795">
        <v>22650.392000000003</v>
      </c>
      <c r="L5" s="795">
        <v>3571.6000000000004</v>
      </c>
    </row>
    <row r="6" spans="1:12">
      <c r="A6" s="790" t="s">
        <v>28</v>
      </c>
      <c r="B6" s="793">
        <v>43831</v>
      </c>
      <c r="C6" s="747">
        <v>6095755.0299999993</v>
      </c>
      <c r="E6" s="322" t="s">
        <v>81</v>
      </c>
      <c r="F6" s="793">
        <v>43831</v>
      </c>
      <c r="G6" s="795">
        <v>240394.49600000001</v>
      </c>
      <c r="H6" s="795">
        <v>56708.472000000002</v>
      </c>
      <c r="I6" s="795">
        <v>30840.920000000002</v>
      </c>
      <c r="J6" s="795">
        <v>3606.4400000000005</v>
      </c>
      <c r="K6" s="795">
        <v>103651.664</v>
      </c>
      <c r="L6" s="795">
        <v>17829.168000000001</v>
      </c>
    </row>
    <row r="7" spans="1:12">
      <c r="A7" s="790" t="s">
        <v>175</v>
      </c>
      <c r="B7" s="793">
        <v>43831</v>
      </c>
      <c r="C7" s="747">
        <v>821160.5700000003</v>
      </c>
      <c r="E7" s="322" t="s">
        <v>82</v>
      </c>
      <c r="F7" s="793">
        <v>43831</v>
      </c>
      <c r="G7" s="795">
        <v>187853.024</v>
      </c>
      <c r="H7" s="795">
        <v>23023.120000000003</v>
      </c>
      <c r="I7" s="795">
        <v>19353.648000000001</v>
      </c>
      <c r="J7" s="795">
        <v>1410.6080000000002</v>
      </c>
      <c r="K7" s="795">
        <v>75146.487999999998</v>
      </c>
      <c r="L7" s="795">
        <v>8037.68</v>
      </c>
    </row>
    <row r="8" spans="1:12">
      <c r="A8" s="790" t="s">
        <v>173</v>
      </c>
      <c r="B8" s="793">
        <v>43862</v>
      </c>
      <c r="C8" s="747">
        <v>10989944.310000002</v>
      </c>
      <c r="E8" s="322" t="s">
        <v>83</v>
      </c>
      <c r="F8" s="793">
        <v>43831</v>
      </c>
      <c r="G8" s="795">
        <v>256441</v>
      </c>
      <c r="H8" s="795">
        <v>59251.224000000002</v>
      </c>
      <c r="I8" s="795">
        <v>17348.032000000003</v>
      </c>
      <c r="J8" s="795">
        <v>7419.1759999999995</v>
      </c>
      <c r="K8" s="795">
        <v>96113.040000000008</v>
      </c>
      <c r="L8" s="795">
        <v>22522.968000000004</v>
      </c>
    </row>
    <row r="9" spans="1:12">
      <c r="A9" s="790" t="s">
        <v>291</v>
      </c>
      <c r="B9" s="793">
        <v>43862</v>
      </c>
      <c r="C9" s="747">
        <v>1726374.87</v>
      </c>
      <c r="E9" s="322" t="s">
        <v>84</v>
      </c>
      <c r="F9" s="793">
        <v>43831</v>
      </c>
      <c r="G9" s="795">
        <v>196303.32800000001</v>
      </c>
      <c r="H9" s="795">
        <v>26082.856</v>
      </c>
      <c r="I9" s="795">
        <v>16850.904000000002</v>
      </c>
      <c r="J9" s="795">
        <v>3367.92</v>
      </c>
      <c r="K9" s="795">
        <v>79599.495999999999</v>
      </c>
      <c r="L9" s="795">
        <v>12693.168</v>
      </c>
    </row>
    <row r="10" spans="1:12">
      <c r="A10" s="790" t="s">
        <v>174</v>
      </c>
      <c r="B10" s="793">
        <v>43862</v>
      </c>
      <c r="C10" s="747">
        <v>1666209.4700000002</v>
      </c>
      <c r="E10" s="322" t="s">
        <v>85</v>
      </c>
      <c r="F10" s="793">
        <v>43831</v>
      </c>
      <c r="G10" s="795">
        <v>163799.96799999999</v>
      </c>
      <c r="H10" s="795">
        <v>32932.112000000001</v>
      </c>
      <c r="I10" s="795">
        <v>13953.848000000002</v>
      </c>
      <c r="J10" s="795">
        <v>4949.9440000000004</v>
      </c>
      <c r="K10" s="795">
        <v>156191.44</v>
      </c>
      <c r="L10" s="795">
        <v>13902</v>
      </c>
    </row>
    <row r="11" spans="1:12">
      <c r="A11" s="790" t="s">
        <v>292</v>
      </c>
      <c r="B11" s="793">
        <v>43862</v>
      </c>
      <c r="C11" s="747">
        <v>251289.02</v>
      </c>
      <c r="E11" s="322" t="s">
        <v>86</v>
      </c>
      <c r="F11" s="793">
        <v>43831</v>
      </c>
      <c r="G11" s="795">
        <v>66259.423999999999</v>
      </c>
      <c r="H11" s="795">
        <v>17902.864000000001</v>
      </c>
      <c r="I11" s="795">
        <v>6171.2400000000007</v>
      </c>
      <c r="J11" s="795">
        <v>496.18400000000003</v>
      </c>
      <c r="K11" s="795">
        <v>28570.776000000002</v>
      </c>
      <c r="L11" s="795">
        <v>5276.0319999999992</v>
      </c>
    </row>
    <row r="12" spans="1:12">
      <c r="A12" s="790" t="s">
        <v>28</v>
      </c>
      <c r="B12" s="793">
        <v>43862</v>
      </c>
      <c r="C12" s="747">
        <v>6486719.6099999994</v>
      </c>
      <c r="E12" s="322" t="s">
        <v>89</v>
      </c>
      <c r="F12" s="793">
        <v>43831</v>
      </c>
      <c r="G12" s="795">
        <v>829661.576</v>
      </c>
      <c r="H12" s="795">
        <v>185115.45600000001</v>
      </c>
      <c r="I12" s="795">
        <v>84454.495999999999</v>
      </c>
      <c r="J12" s="795">
        <v>27282.232000000004</v>
      </c>
      <c r="K12" s="795">
        <v>325183.33600000001</v>
      </c>
      <c r="L12" s="795">
        <v>60622.336000000003</v>
      </c>
    </row>
    <row r="13" spans="1:12">
      <c r="A13" s="790" t="s">
        <v>175</v>
      </c>
      <c r="B13" s="793">
        <v>43862</v>
      </c>
      <c r="C13" s="747">
        <v>670526.56000000006</v>
      </c>
      <c r="E13" s="322" t="s">
        <v>88</v>
      </c>
      <c r="F13" s="793">
        <v>43831</v>
      </c>
      <c r="G13" s="795">
        <v>141702.24</v>
      </c>
      <c r="H13" s="795">
        <v>24890.128000000001</v>
      </c>
      <c r="I13" s="795">
        <v>21671.696</v>
      </c>
      <c r="J13" s="795">
        <v>4095.2080000000005</v>
      </c>
      <c r="K13" s="795">
        <v>96885.384000000005</v>
      </c>
      <c r="L13" s="795">
        <v>10979.584000000004</v>
      </c>
    </row>
    <row r="14" spans="1:12">
      <c r="A14" s="790" t="s">
        <v>173</v>
      </c>
      <c r="B14" s="793">
        <v>43891</v>
      </c>
      <c r="C14" s="747">
        <v>5937512.1400000006</v>
      </c>
      <c r="E14" s="322" t="s">
        <v>87</v>
      </c>
      <c r="F14" s="793">
        <v>43831</v>
      </c>
      <c r="G14" s="795">
        <v>112503.58400000002</v>
      </c>
      <c r="H14" s="795">
        <v>14915.576000000001</v>
      </c>
      <c r="I14" s="795">
        <v>13970.344000000001</v>
      </c>
      <c r="J14" s="795">
        <v>5375.1760000000004</v>
      </c>
      <c r="K14" s="795">
        <v>136832.16800000001</v>
      </c>
      <c r="L14" s="795">
        <v>5504.3360000000002</v>
      </c>
    </row>
    <row r="15" spans="1:12">
      <c r="A15" s="790" t="s">
        <v>291</v>
      </c>
      <c r="B15" s="793">
        <v>43891</v>
      </c>
      <c r="C15" s="747">
        <v>1590749.9900000002</v>
      </c>
      <c r="E15" s="322" t="s">
        <v>90</v>
      </c>
      <c r="F15" s="793">
        <v>43831</v>
      </c>
      <c r="G15" s="795">
        <v>84695.631999999998</v>
      </c>
      <c r="H15" s="795">
        <v>33064.248</v>
      </c>
      <c r="I15" s="795">
        <v>7336.9039999999995</v>
      </c>
      <c r="J15" s="795">
        <v>931.16000000000008</v>
      </c>
      <c r="K15" s="795">
        <v>42419.328000000009</v>
      </c>
      <c r="L15" s="795">
        <v>13758.328000000001</v>
      </c>
    </row>
    <row r="16" spans="1:12">
      <c r="A16" s="790" t="s">
        <v>174</v>
      </c>
      <c r="B16" s="793">
        <v>43891</v>
      </c>
      <c r="C16" s="747">
        <v>836933.33000000007</v>
      </c>
      <c r="E16" s="322" t="s">
        <v>91</v>
      </c>
      <c r="F16" s="793">
        <v>43831</v>
      </c>
      <c r="G16" s="795">
        <v>93676.256000000008</v>
      </c>
      <c r="H16" s="795">
        <v>34927.256000000001</v>
      </c>
      <c r="I16" s="795">
        <v>6376.9440000000004</v>
      </c>
      <c r="J16" s="795">
        <v>3045.768</v>
      </c>
      <c r="K16" s="795">
        <v>58018.072</v>
      </c>
      <c r="L16" s="795">
        <v>9565.0160000000014</v>
      </c>
    </row>
    <row r="17" spans="1:12">
      <c r="A17" s="790" t="s">
        <v>292</v>
      </c>
      <c r="B17" s="793">
        <v>43891</v>
      </c>
      <c r="C17" s="747">
        <v>235766.97</v>
      </c>
      <c r="E17" s="322" t="s">
        <v>93</v>
      </c>
      <c r="F17" s="793">
        <v>43831</v>
      </c>
      <c r="G17" s="795">
        <v>203282.79200000002</v>
      </c>
      <c r="H17" s="795">
        <v>66953.768000000011</v>
      </c>
      <c r="I17" s="795">
        <v>22182.168000000001</v>
      </c>
      <c r="J17" s="795">
        <v>5265.0960000000005</v>
      </c>
      <c r="K17" s="795">
        <v>104110.864</v>
      </c>
      <c r="L17" s="795">
        <v>22886.712000000003</v>
      </c>
    </row>
    <row r="18" spans="1:12">
      <c r="A18" s="790" t="s">
        <v>28</v>
      </c>
      <c r="B18" s="793">
        <v>43891</v>
      </c>
      <c r="C18" s="747">
        <v>6574574.5700000003</v>
      </c>
      <c r="E18" s="322" t="s">
        <v>94</v>
      </c>
      <c r="F18" s="793">
        <v>43831</v>
      </c>
      <c r="G18" s="795">
        <v>64615.952000000005</v>
      </c>
      <c r="H18" s="795">
        <v>11724.016000000001</v>
      </c>
      <c r="I18" s="795">
        <v>8445.4480000000003</v>
      </c>
      <c r="J18" s="795">
        <v>3252.7520000000004</v>
      </c>
      <c r="K18" s="795">
        <v>30533.047999999999</v>
      </c>
      <c r="L18" s="795">
        <v>4178.4480000000003</v>
      </c>
    </row>
    <row r="19" spans="1:12">
      <c r="A19" s="790" t="s">
        <v>175</v>
      </c>
      <c r="B19" s="793">
        <v>43891</v>
      </c>
      <c r="C19" s="747">
        <v>635966.18999999994</v>
      </c>
      <c r="E19" s="322" t="s">
        <v>92</v>
      </c>
      <c r="F19" s="793">
        <v>43831</v>
      </c>
      <c r="G19" s="795">
        <v>662450.64000000013</v>
      </c>
      <c r="H19" s="795">
        <v>163800.576</v>
      </c>
      <c r="I19" s="795">
        <v>106628.96000000002</v>
      </c>
      <c r="J19" s="795">
        <v>44301.504000000001</v>
      </c>
      <c r="K19" s="795">
        <v>371881.54399999999</v>
      </c>
      <c r="L19" s="795">
        <v>61992.088000000003</v>
      </c>
    </row>
    <row r="20" spans="1:12">
      <c r="A20" s="790" t="s">
        <v>173</v>
      </c>
      <c r="B20" s="793">
        <v>43922</v>
      </c>
      <c r="C20" s="747">
        <v>2597418.5</v>
      </c>
      <c r="E20" s="322" t="s">
        <v>95</v>
      </c>
      <c r="F20" s="793">
        <v>43831</v>
      </c>
      <c r="G20" s="795">
        <v>926093.58400000003</v>
      </c>
      <c r="H20" s="795">
        <v>146034.54399999999</v>
      </c>
      <c r="I20" s="795">
        <v>125810.91200000001</v>
      </c>
      <c r="J20" s="795">
        <v>18606</v>
      </c>
      <c r="K20" s="795">
        <v>344969.68</v>
      </c>
      <c r="L20" s="795">
        <v>61254.712000000014</v>
      </c>
    </row>
    <row r="21" spans="1:12">
      <c r="A21" s="790" t="s">
        <v>291</v>
      </c>
      <c r="B21" s="793">
        <v>43922</v>
      </c>
      <c r="C21" s="747">
        <v>927375.99999999988</v>
      </c>
      <c r="E21" s="322" t="s">
        <v>96</v>
      </c>
      <c r="F21" s="793">
        <v>43831</v>
      </c>
      <c r="G21" s="795">
        <v>93402.648000000001</v>
      </c>
      <c r="H21" s="795">
        <v>33630.336000000003</v>
      </c>
      <c r="I21" s="795">
        <v>5005.5519999999997</v>
      </c>
      <c r="J21" s="795">
        <v>1252.672</v>
      </c>
      <c r="K21" s="795">
        <v>41903.984000000004</v>
      </c>
      <c r="L21" s="795">
        <v>11183.976000000001</v>
      </c>
    </row>
    <row r="22" spans="1:12">
      <c r="A22" s="790" t="s">
        <v>174</v>
      </c>
      <c r="B22" s="793">
        <v>43922</v>
      </c>
      <c r="C22" s="747">
        <v>343340.64999999997</v>
      </c>
      <c r="E22" s="322" t="s">
        <v>98</v>
      </c>
      <c r="F22" s="793">
        <v>43831</v>
      </c>
      <c r="G22" s="795">
        <v>47562.847999999998</v>
      </c>
      <c r="H22" s="795">
        <v>10134.36</v>
      </c>
      <c r="I22" s="795">
        <v>5562.9920000000002</v>
      </c>
      <c r="J22" s="795">
        <v>2103.1840000000002</v>
      </c>
      <c r="K22" s="795">
        <v>52359.040000000008</v>
      </c>
      <c r="L22" s="795">
        <v>3342.6960000000004</v>
      </c>
    </row>
    <row r="23" spans="1:12">
      <c r="A23" s="790" t="s">
        <v>292</v>
      </c>
      <c r="B23" s="793">
        <v>43922</v>
      </c>
      <c r="C23" s="747">
        <v>117016.26000000002</v>
      </c>
      <c r="E23" s="322" t="s">
        <v>99</v>
      </c>
      <c r="F23" s="793">
        <v>43831</v>
      </c>
      <c r="G23" s="795">
        <v>9237.7839999999997</v>
      </c>
      <c r="H23" s="795">
        <v>706.03200000000004</v>
      </c>
      <c r="I23" s="795">
        <v>2559.92</v>
      </c>
      <c r="J23" s="795">
        <v>0</v>
      </c>
      <c r="K23" s="795">
        <v>8680.0960000000014</v>
      </c>
      <c r="L23" s="795">
        <v>240.66400000000002</v>
      </c>
    </row>
    <row r="24" spans="1:12">
      <c r="A24" s="790" t="s">
        <v>28</v>
      </c>
      <c r="B24" s="793">
        <v>43922</v>
      </c>
      <c r="C24" s="747">
        <v>3768137.9000000004</v>
      </c>
      <c r="E24" s="322" t="s">
        <v>97</v>
      </c>
      <c r="F24" s="793">
        <v>43831</v>
      </c>
      <c r="G24" s="795">
        <v>861931.18400000001</v>
      </c>
      <c r="H24" s="795">
        <v>131183.56000000003</v>
      </c>
      <c r="I24" s="795">
        <v>98484.488000000012</v>
      </c>
      <c r="J24" s="795">
        <v>31813.528000000006</v>
      </c>
      <c r="K24" s="795">
        <v>544917.83200000005</v>
      </c>
      <c r="L24" s="795">
        <v>47822.792000000001</v>
      </c>
    </row>
    <row r="25" spans="1:12">
      <c r="A25" s="790" t="s">
        <v>175</v>
      </c>
      <c r="B25" s="793">
        <v>43922</v>
      </c>
      <c r="C25" s="747">
        <v>388580.88</v>
      </c>
      <c r="E25" s="322" t="s">
        <v>100</v>
      </c>
      <c r="F25" s="793">
        <v>43831</v>
      </c>
      <c r="G25" s="795">
        <v>499567.94400000008</v>
      </c>
      <c r="H25" s="795">
        <v>56408.32</v>
      </c>
      <c r="I25" s="795">
        <v>57631.528000000006</v>
      </c>
      <c r="J25" s="795">
        <v>9873.8240000000005</v>
      </c>
      <c r="K25" s="795">
        <v>244161.64800000002</v>
      </c>
      <c r="L25" s="795">
        <v>22701.640000000003</v>
      </c>
    </row>
    <row r="26" spans="1:12">
      <c r="A26" s="790" t="s">
        <v>173</v>
      </c>
      <c r="B26" s="793">
        <v>43952</v>
      </c>
      <c r="C26" s="747">
        <v>2276549.46</v>
      </c>
      <c r="E26" s="322" t="s">
        <v>102</v>
      </c>
      <c r="F26" s="793">
        <v>43831</v>
      </c>
      <c r="G26" s="795">
        <v>53316.256000000008</v>
      </c>
      <c r="H26" s="795">
        <v>10739.464</v>
      </c>
      <c r="I26" s="795">
        <v>7274.0560000000005</v>
      </c>
      <c r="J26" s="795">
        <v>347</v>
      </c>
      <c r="K26" s="795">
        <v>47771.528000000006</v>
      </c>
      <c r="L26" s="795">
        <v>4694.9279999999999</v>
      </c>
    </row>
    <row r="27" spans="1:12">
      <c r="A27" s="790" t="s">
        <v>291</v>
      </c>
      <c r="B27" s="793">
        <v>43952</v>
      </c>
      <c r="C27" s="747">
        <v>821413.83</v>
      </c>
      <c r="E27" s="322" t="s">
        <v>101</v>
      </c>
      <c r="F27" s="793">
        <v>43831</v>
      </c>
      <c r="G27" s="795">
        <v>3419659.3920000005</v>
      </c>
      <c r="H27" s="795">
        <v>584707.04800000007</v>
      </c>
      <c r="I27" s="795">
        <v>385907.76800000004</v>
      </c>
      <c r="J27" s="795">
        <v>70190.623999999996</v>
      </c>
      <c r="K27" s="795">
        <v>1756131.4960000003</v>
      </c>
      <c r="L27" s="795">
        <v>215271.36400000006</v>
      </c>
    </row>
    <row r="28" spans="1:12">
      <c r="A28" s="790" t="s">
        <v>174</v>
      </c>
      <c r="B28" s="793">
        <v>43952</v>
      </c>
      <c r="C28" s="747">
        <v>288865.99</v>
      </c>
      <c r="E28" s="322" t="s">
        <v>103</v>
      </c>
      <c r="F28" s="793">
        <v>43831</v>
      </c>
      <c r="G28" s="795">
        <v>17624.168000000001</v>
      </c>
      <c r="H28" s="795">
        <v>5320.0240000000003</v>
      </c>
      <c r="I28" s="795">
        <v>2986.5680000000002</v>
      </c>
      <c r="J28" s="795">
        <v>1131.7440000000001</v>
      </c>
      <c r="K28" s="795">
        <v>21652.128000000001</v>
      </c>
      <c r="L28" s="795">
        <v>2259.5600000000004</v>
      </c>
    </row>
    <row r="29" spans="1:12">
      <c r="A29" s="790" t="s">
        <v>292</v>
      </c>
      <c r="B29" s="793">
        <v>43952</v>
      </c>
      <c r="C29" s="747">
        <v>107057.12000000001</v>
      </c>
      <c r="E29" s="322" t="s">
        <v>77</v>
      </c>
      <c r="F29" s="793">
        <v>43862</v>
      </c>
      <c r="G29" s="795">
        <v>19304.727999999999</v>
      </c>
      <c r="H29" s="795">
        <v>3351.2480000000005</v>
      </c>
      <c r="I29" s="795">
        <v>3304.6559999999999</v>
      </c>
      <c r="J29" s="795">
        <v>693.88800000000003</v>
      </c>
      <c r="K29" s="795">
        <v>14104.800000000001</v>
      </c>
      <c r="L29" s="795">
        <v>1784.0319999999999</v>
      </c>
    </row>
    <row r="30" spans="1:12">
      <c r="A30" s="790" t="s">
        <v>28</v>
      </c>
      <c r="B30" s="793">
        <v>43952</v>
      </c>
      <c r="C30" s="747">
        <v>4810422.45</v>
      </c>
      <c r="E30" s="322" t="s">
        <v>78</v>
      </c>
      <c r="F30" s="793">
        <v>43863</v>
      </c>
      <c r="G30" s="795">
        <v>76937.648000000001</v>
      </c>
      <c r="H30" s="795">
        <v>16464.688000000002</v>
      </c>
      <c r="I30" s="795">
        <v>8479.728000000001</v>
      </c>
      <c r="J30" s="795">
        <v>568</v>
      </c>
      <c r="K30" s="795">
        <v>39963.600000000006</v>
      </c>
      <c r="L30" s="795">
        <v>5033.6800000000012</v>
      </c>
    </row>
    <row r="31" spans="1:12">
      <c r="A31" s="790" t="s">
        <v>175</v>
      </c>
      <c r="B31" s="793">
        <v>43952</v>
      </c>
      <c r="C31" s="747">
        <v>354397.04</v>
      </c>
      <c r="E31" s="322" t="s">
        <v>80</v>
      </c>
      <c r="F31" s="793">
        <v>43864</v>
      </c>
      <c r="G31" s="795">
        <v>65980.911999999997</v>
      </c>
      <c r="H31" s="795">
        <v>13188.688000000002</v>
      </c>
      <c r="I31" s="795">
        <v>7854.9759999999997</v>
      </c>
      <c r="J31" s="795">
        <v>2352.4320000000002</v>
      </c>
      <c r="K31" s="795">
        <v>37299.360000000001</v>
      </c>
      <c r="L31" s="795">
        <v>4908.24</v>
      </c>
    </row>
    <row r="32" spans="1:12">
      <c r="A32" s="790" t="s">
        <v>173</v>
      </c>
      <c r="B32" s="793">
        <v>43983</v>
      </c>
      <c r="C32" s="747">
        <v>3518472.2</v>
      </c>
      <c r="E32" s="322" t="s">
        <v>79</v>
      </c>
      <c r="F32" s="793">
        <v>43865</v>
      </c>
      <c r="G32" s="795">
        <v>22377.328000000001</v>
      </c>
      <c r="H32" s="795">
        <v>5700.0400000000009</v>
      </c>
      <c r="I32" s="795">
        <v>3702.7440000000006</v>
      </c>
      <c r="J32" s="795">
        <v>793.95200000000011</v>
      </c>
      <c r="K32" s="795">
        <v>23508</v>
      </c>
      <c r="L32" s="795">
        <v>2668.4560000000001</v>
      </c>
    </row>
    <row r="33" spans="1:12">
      <c r="A33" s="790" t="s">
        <v>291</v>
      </c>
      <c r="B33" s="793">
        <v>43983</v>
      </c>
      <c r="C33" s="747">
        <v>1054654.2300000002</v>
      </c>
      <c r="E33" s="322" t="s">
        <v>81</v>
      </c>
      <c r="F33" s="793">
        <v>43866</v>
      </c>
      <c r="G33" s="795">
        <v>232154.37599999999</v>
      </c>
      <c r="H33" s="795">
        <v>53191.592000000004</v>
      </c>
      <c r="I33" s="795">
        <v>36066.455999999998</v>
      </c>
      <c r="J33" s="795">
        <v>2710.0320000000002</v>
      </c>
      <c r="K33" s="795">
        <v>120282.6</v>
      </c>
      <c r="L33" s="795">
        <v>18188.568000000007</v>
      </c>
    </row>
    <row r="34" spans="1:12">
      <c r="A34" s="790" t="s">
        <v>174</v>
      </c>
      <c r="B34" s="793">
        <v>43983</v>
      </c>
      <c r="C34" s="747">
        <v>449344.10000000003</v>
      </c>
      <c r="E34" s="322" t="s">
        <v>82</v>
      </c>
      <c r="F34" s="793">
        <v>43867</v>
      </c>
      <c r="G34" s="795">
        <v>123844.62400000001</v>
      </c>
      <c r="H34" s="795">
        <v>13182.407999999999</v>
      </c>
      <c r="I34" s="795">
        <v>14031.920000000002</v>
      </c>
      <c r="J34" s="795">
        <v>800.73599999999999</v>
      </c>
      <c r="K34" s="795">
        <v>69113.52</v>
      </c>
      <c r="L34" s="795">
        <v>10542.575999999999</v>
      </c>
    </row>
    <row r="35" spans="1:12">
      <c r="A35" s="790" t="s">
        <v>292</v>
      </c>
      <c r="B35" s="793">
        <v>43983</v>
      </c>
      <c r="C35" s="747">
        <v>144949.47</v>
      </c>
      <c r="E35" s="322" t="s">
        <v>83</v>
      </c>
      <c r="F35" s="793">
        <v>43868</v>
      </c>
      <c r="G35" s="795">
        <v>393662.38400000002</v>
      </c>
      <c r="H35" s="795">
        <v>44075.12</v>
      </c>
      <c r="I35" s="795">
        <v>34402.688000000002</v>
      </c>
      <c r="J35" s="795">
        <v>3635.1120000000005</v>
      </c>
      <c r="K35" s="795">
        <v>94658.880000000005</v>
      </c>
      <c r="L35" s="795">
        <v>16258.056000000002</v>
      </c>
    </row>
    <row r="36" spans="1:12">
      <c r="A36" s="790" t="s">
        <v>28</v>
      </c>
      <c r="B36" s="793">
        <v>43983</v>
      </c>
      <c r="C36" s="747">
        <v>6235594.9500000011</v>
      </c>
      <c r="E36" s="322" t="s">
        <v>84</v>
      </c>
      <c r="F36" s="793">
        <v>43869</v>
      </c>
      <c r="G36" s="795">
        <v>274147.38400000002</v>
      </c>
      <c r="H36" s="795">
        <v>25864.600000000002</v>
      </c>
      <c r="I36" s="795">
        <v>45672.832000000002</v>
      </c>
      <c r="J36" s="795">
        <v>2910.3919999999998</v>
      </c>
      <c r="K36" s="795">
        <v>78908.52</v>
      </c>
      <c r="L36" s="795">
        <v>11108.432000000001</v>
      </c>
    </row>
    <row r="37" spans="1:12">
      <c r="A37" s="790" t="s">
        <v>175</v>
      </c>
      <c r="B37" s="793">
        <v>43983</v>
      </c>
      <c r="C37" s="747">
        <v>449221.93</v>
      </c>
      <c r="E37" s="322" t="s">
        <v>85</v>
      </c>
      <c r="F37" s="793">
        <v>43870</v>
      </c>
      <c r="G37" s="795">
        <v>210842.74400000001</v>
      </c>
      <c r="H37" s="795">
        <v>34125</v>
      </c>
      <c r="I37" s="795">
        <v>30779.976000000002</v>
      </c>
      <c r="J37" s="795">
        <v>6452.7520000000004</v>
      </c>
      <c r="K37" s="795">
        <v>162048.48000000001</v>
      </c>
      <c r="L37" s="795">
        <v>13566.871999999999</v>
      </c>
    </row>
    <row r="38" spans="1:12">
      <c r="A38" s="790" t="s">
        <v>173</v>
      </c>
      <c r="B38" s="793">
        <v>44013</v>
      </c>
      <c r="C38" s="747">
        <v>5389885.9299999997</v>
      </c>
      <c r="E38" s="322" t="s">
        <v>86</v>
      </c>
      <c r="F38" s="793">
        <v>43871</v>
      </c>
      <c r="G38" s="795">
        <v>57314.552000000003</v>
      </c>
      <c r="H38" s="795">
        <v>21475.376000000004</v>
      </c>
      <c r="I38" s="795">
        <v>6721.688000000001</v>
      </c>
      <c r="J38" s="795">
        <v>732.75200000000007</v>
      </c>
      <c r="K38" s="795">
        <v>29933.520000000004</v>
      </c>
      <c r="L38" s="795">
        <v>6220.6720000000005</v>
      </c>
    </row>
    <row r="39" spans="1:12">
      <c r="A39" s="790" t="s">
        <v>291</v>
      </c>
      <c r="B39" s="793">
        <v>44013</v>
      </c>
      <c r="C39" s="747">
        <v>1228828.0899999999</v>
      </c>
      <c r="E39" s="322" t="s">
        <v>89</v>
      </c>
      <c r="F39" s="793">
        <v>43872</v>
      </c>
      <c r="G39" s="795">
        <v>654690.59200000006</v>
      </c>
      <c r="H39" s="795">
        <v>143770.992</v>
      </c>
      <c r="I39" s="795">
        <v>94701.664000000004</v>
      </c>
      <c r="J39" s="795">
        <v>19393.48</v>
      </c>
      <c r="K39" s="795">
        <v>283506.48</v>
      </c>
      <c r="L39" s="795">
        <v>47805.136000000006</v>
      </c>
    </row>
    <row r="40" spans="1:12">
      <c r="A40" s="790" t="s">
        <v>174</v>
      </c>
      <c r="B40" s="793">
        <v>44013</v>
      </c>
      <c r="C40" s="747">
        <v>540262.66</v>
      </c>
      <c r="E40" s="322" t="s">
        <v>88</v>
      </c>
      <c r="F40" s="793">
        <v>43873</v>
      </c>
      <c r="G40" s="795">
        <v>112600.264</v>
      </c>
      <c r="H40" s="795">
        <v>19847.592000000004</v>
      </c>
      <c r="I40" s="795">
        <v>17017.544000000002</v>
      </c>
      <c r="J40" s="795">
        <v>2218.9680000000003</v>
      </c>
      <c r="K40" s="795">
        <v>118480.32000000001</v>
      </c>
      <c r="L40" s="795">
        <v>8976.1439999999984</v>
      </c>
    </row>
    <row r="41" spans="1:12">
      <c r="A41" s="790" t="s">
        <v>292</v>
      </c>
      <c r="B41" s="793">
        <v>44013</v>
      </c>
      <c r="C41" s="747">
        <v>165957.5</v>
      </c>
      <c r="E41" s="322" t="s">
        <v>87</v>
      </c>
      <c r="F41" s="793">
        <v>43874</v>
      </c>
      <c r="G41" s="795">
        <v>159482.152</v>
      </c>
      <c r="H41" s="795">
        <v>16993.920000000002</v>
      </c>
      <c r="I41" s="795">
        <v>26962.615999999998</v>
      </c>
      <c r="J41" s="795">
        <v>2830.32</v>
      </c>
      <c r="K41" s="795">
        <v>171135.68799999999</v>
      </c>
      <c r="L41" s="795">
        <v>6385.3919999999998</v>
      </c>
    </row>
    <row r="42" spans="1:12">
      <c r="A42" s="790" t="s">
        <v>28</v>
      </c>
      <c r="B42" s="793">
        <v>44013</v>
      </c>
      <c r="C42" s="747">
        <v>7568698.5500000007</v>
      </c>
      <c r="E42" s="322" t="s">
        <v>90</v>
      </c>
      <c r="F42" s="793">
        <v>43875</v>
      </c>
      <c r="G42" s="795">
        <v>90843.080000000016</v>
      </c>
      <c r="H42" s="795">
        <v>29025.512000000002</v>
      </c>
      <c r="I42" s="795">
        <v>9211.1200000000008</v>
      </c>
      <c r="J42" s="795">
        <v>2140.384</v>
      </c>
      <c r="K42" s="795">
        <v>43176.36</v>
      </c>
      <c r="L42" s="795">
        <v>8869.112000000001</v>
      </c>
    </row>
    <row r="43" spans="1:12">
      <c r="A43" s="790" t="s">
        <v>175</v>
      </c>
      <c r="B43" s="793">
        <v>44013</v>
      </c>
      <c r="C43" s="747">
        <v>521006.64</v>
      </c>
      <c r="E43" s="322" t="s">
        <v>91</v>
      </c>
      <c r="F43" s="793">
        <v>43876</v>
      </c>
      <c r="G43" s="795">
        <v>100608.296</v>
      </c>
      <c r="H43" s="795">
        <v>25313.816000000003</v>
      </c>
      <c r="I43" s="795">
        <v>10910.136</v>
      </c>
      <c r="J43" s="795">
        <v>4342.4480000000003</v>
      </c>
      <c r="K43" s="795">
        <v>58299.840000000004</v>
      </c>
      <c r="L43" s="795">
        <v>9103.5119999999988</v>
      </c>
    </row>
    <row r="44" spans="1:12">
      <c r="A44" s="790" t="s">
        <v>173</v>
      </c>
      <c r="B44" s="793">
        <v>44044</v>
      </c>
      <c r="C44" s="747">
        <v>5743531.9199999999</v>
      </c>
      <c r="E44" s="322" t="s">
        <v>93</v>
      </c>
      <c r="F44" s="793">
        <v>43877</v>
      </c>
      <c r="G44" s="795">
        <v>221314.696</v>
      </c>
      <c r="H44" s="795">
        <v>42619.872000000003</v>
      </c>
      <c r="I44" s="795">
        <v>28568.576000000001</v>
      </c>
      <c r="J44" s="795">
        <v>5529.16</v>
      </c>
      <c r="K44" s="795">
        <v>103278.48000000001</v>
      </c>
      <c r="L44" s="795">
        <v>16196.048000000001</v>
      </c>
    </row>
    <row r="45" spans="1:12">
      <c r="A45" s="790" t="s">
        <v>291</v>
      </c>
      <c r="B45" s="793">
        <v>44044</v>
      </c>
      <c r="C45" s="747">
        <v>1246749.4700000002</v>
      </c>
      <c r="E45" s="322" t="s">
        <v>94</v>
      </c>
      <c r="F45" s="793">
        <v>43878</v>
      </c>
      <c r="G45" s="795">
        <v>41620.016000000003</v>
      </c>
      <c r="H45" s="795">
        <v>8931.0079999999998</v>
      </c>
      <c r="I45" s="795">
        <v>8008.92</v>
      </c>
      <c r="J45" s="795">
        <v>1141.4559999999999</v>
      </c>
      <c r="K45" s="795">
        <v>24840.120000000003</v>
      </c>
      <c r="L45" s="795">
        <v>3586.0960000000005</v>
      </c>
    </row>
    <row r="46" spans="1:12">
      <c r="A46" s="790" t="s">
        <v>174</v>
      </c>
      <c r="B46" s="793">
        <v>44044</v>
      </c>
      <c r="C46" s="747">
        <v>739083.66000000015</v>
      </c>
      <c r="E46" s="322" t="s">
        <v>92</v>
      </c>
      <c r="F46" s="793">
        <v>43879</v>
      </c>
      <c r="G46" s="795">
        <v>563936.01600000006</v>
      </c>
      <c r="H46" s="795">
        <v>115342.728</v>
      </c>
      <c r="I46" s="795">
        <v>106411.66399999999</v>
      </c>
      <c r="J46" s="795">
        <v>30599.135999999999</v>
      </c>
      <c r="K46" s="795">
        <v>424946.28</v>
      </c>
      <c r="L46" s="795">
        <v>46965.248</v>
      </c>
    </row>
    <row r="47" spans="1:12">
      <c r="A47" s="790" t="s">
        <v>292</v>
      </c>
      <c r="B47" s="793">
        <v>44044</v>
      </c>
      <c r="C47" s="747">
        <v>157061.48000000001</v>
      </c>
      <c r="E47" s="322" t="s">
        <v>95</v>
      </c>
      <c r="F47" s="793">
        <v>43880</v>
      </c>
      <c r="G47" s="795">
        <v>789365.62400000007</v>
      </c>
      <c r="H47" s="795">
        <v>99699.280000000013</v>
      </c>
      <c r="I47" s="795">
        <v>143578.17600000001</v>
      </c>
      <c r="J47" s="795">
        <v>16482.960000000003</v>
      </c>
      <c r="K47" s="795">
        <v>335759.84</v>
      </c>
      <c r="L47" s="795">
        <v>51662.624000000003</v>
      </c>
    </row>
    <row r="48" spans="1:12">
      <c r="A48" s="790" t="s">
        <v>28</v>
      </c>
      <c r="B48" s="793">
        <v>44044</v>
      </c>
      <c r="C48" s="747">
        <v>8022684.9200000009</v>
      </c>
      <c r="E48" s="322" t="s">
        <v>96</v>
      </c>
      <c r="F48" s="793">
        <v>43881</v>
      </c>
      <c r="G48" s="795">
        <v>103318.424</v>
      </c>
      <c r="H48" s="795">
        <v>26112.800000000003</v>
      </c>
      <c r="I48" s="795">
        <v>9249.2160000000003</v>
      </c>
      <c r="J48" s="795">
        <v>2064.616</v>
      </c>
      <c r="K48" s="795">
        <v>44586.840000000004</v>
      </c>
      <c r="L48" s="795">
        <v>8972.84</v>
      </c>
    </row>
    <row r="49" spans="1:12">
      <c r="A49" s="790" t="s">
        <v>175</v>
      </c>
      <c r="B49" s="793">
        <v>44044</v>
      </c>
      <c r="C49" s="747">
        <v>609071.41</v>
      </c>
      <c r="E49" s="322" t="s">
        <v>98</v>
      </c>
      <c r="F49" s="793">
        <v>43882</v>
      </c>
      <c r="G49" s="795">
        <v>32643.615999999998</v>
      </c>
      <c r="H49" s="795">
        <v>9188.3680000000004</v>
      </c>
      <c r="I49" s="795">
        <v>2956.0880000000002</v>
      </c>
      <c r="J49" s="795">
        <v>1861.864</v>
      </c>
      <c r="K49" s="795">
        <v>56105.760000000002</v>
      </c>
      <c r="L49" s="795">
        <v>3575.0400000000004</v>
      </c>
    </row>
    <row r="50" spans="1:12">
      <c r="A50" s="790" t="s">
        <v>173</v>
      </c>
      <c r="B50" s="793">
        <v>44075</v>
      </c>
      <c r="C50" s="747">
        <v>2283895.8400000003</v>
      </c>
      <c r="E50" s="322" t="s">
        <v>99</v>
      </c>
      <c r="F50" s="793">
        <v>43883</v>
      </c>
      <c r="G50" s="795">
        <v>9443.4800000000014</v>
      </c>
      <c r="H50" s="795">
        <v>1243.6480000000001</v>
      </c>
      <c r="I50" s="795">
        <v>1005.68</v>
      </c>
      <c r="J50" s="795">
        <v>368.52800000000002</v>
      </c>
      <c r="K50" s="795">
        <v>7522.5600000000013</v>
      </c>
      <c r="L50" s="795">
        <v>320.06400000000002</v>
      </c>
    </row>
    <row r="51" spans="1:12">
      <c r="A51" s="790" t="s">
        <v>291</v>
      </c>
      <c r="B51" s="793">
        <v>44075</v>
      </c>
      <c r="C51" s="747">
        <v>1243934.6799999997</v>
      </c>
      <c r="E51" s="322" t="s">
        <v>97</v>
      </c>
      <c r="F51" s="793">
        <v>43884</v>
      </c>
      <c r="G51" s="795">
        <v>797194.24800000014</v>
      </c>
      <c r="H51" s="795">
        <v>89675.648000000001</v>
      </c>
      <c r="I51" s="795">
        <v>116429.144</v>
      </c>
      <c r="J51" s="795">
        <v>23029.248000000003</v>
      </c>
      <c r="K51" s="795">
        <v>556669.44000000006</v>
      </c>
      <c r="L51" s="795">
        <v>33525.144</v>
      </c>
    </row>
    <row r="52" spans="1:12">
      <c r="A52" s="790" t="s">
        <v>174</v>
      </c>
      <c r="B52" s="793">
        <v>44075</v>
      </c>
      <c r="C52" s="747">
        <v>249049.37</v>
      </c>
      <c r="E52" s="322" t="s">
        <v>100</v>
      </c>
      <c r="F52" s="793">
        <v>43885</v>
      </c>
      <c r="G52" s="795">
        <v>592718.48</v>
      </c>
      <c r="H52" s="795">
        <v>50157.872000000003</v>
      </c>
      <c r="I52" s="795">
        <v>89545.631999999998</v>
      </c>
      <c r="J52" s="795">
        <v>10202.944000000001</v>
      </c>
      <c r="K52" s="795">
        <v>328328.40000000002</v>
      </c>
      <c r="L52" s="795">
        <v>17646.007999999998</v>
      </c>
    </row>
    <row r="53" spans="1:12">
      <c r="A53" s="790" t="s">
        <v>292</v>
      </c>
      <c r="B53" s="793">
        <v>44075</v>
      </c>
      <c r="C53" s="747">
        <v>138810.25</v>
      </c>
      <c r="E53" s="322" t="s">
        <v>102</v>
      </c>
      <c r="F53" s="793">
        <v>43886</v>
      </c>
      <c r="G53" s="795">
        <v>51482.008000000002</v>
      </c>
      <c r="H53" s="795">
        <v>10287.496000000001</v>
      </c>
      <c r="I53" s="795">
        <v>5950.2800000000007</v>
      </c>
      <c r="J53" s="795">
        <v>517.10400000000004</v>
      </c>
      <c r="K53" s="795">
        <v>40825.56</v>
      </c>
      <c r="L53" s="795">
        <v>4659.9920000000002</v>
      </c>
    </row>
    <row r="54" spans="1:12">
      <c r="A54" s="790" t="s">
        <v>28</v>
      </c>
      <c r="B54" s="793">
        <v>44075</v>
      </c>
      <c r="C54" s="747">
        <v>7914360.0000000009</v>
      </c>
      <c r="E54" s="322" t="s">
        <v>101</v>
      </c>
      <c r="F54" s="793">
        <v>43887</v>
      </c>
      <c r="G54" s="795">
        <v>2968615.3440000005</v>
      </c>
      <c r="H54" s="795">
        <v>454471.14400000009</v>
      </c>
      <c r="I54" s="795">
        <v>467816.91200000001</v>
      </c>
      <c r="J54" s="795">
        <v>55168.52</v>
      </c>
      <c r="K54" s="795">
        <v>1895763.4800000002</v>
      </c>
      <c r="L54" s="795">
        <v>175661.73</v>
      </c>
    </row>
    <row r="55" spans="1:12">
      <c r="A55" s="790" t="s">
        <v>175</v>
      </c>
      <c r="B55" s="793">
        <v>44075</v>
      </c>
      <c r="C55" s="747">
        <v>745389.69000000006</v>
      </c>
      <c r="E55" s="322" t="s">
        <v>103</v>
      </c>
      <c r="F55" s="793">
        <v>43888</v>
      </c>
      <c r="G55" s="795">
        <v>25512.432000000001</v>
      </c>
      <c r="H55" s="795">
        <v>7799.44</v>
      </c>
      <c r="I55" s="795">
        <v>3626.5440000000003</v>
      </c>
      <c r="J55" s="795">
        <v>1490.0320000000002</v>
      </c>
      <c r="K55" s="795">
        <v>26328.959999999999</v>
      </c>
      <c r="L55" s="795">
        <v>2598.3679999999999</v>
      </c>
    </row>
    <row r="56" spans="1:12">
      <c r="A56" s="790" t="s">
        <v>173</v>
      </c>
      <c r="B56" s="793">
        <v>44105</v>
      </c>
      <c r="C56" s="747">
        <v>961169.82000000018</v>
      </c>
      <c r="E56" s="322" t="s">
        <v>77</v>
      </c>
      <c r="F56" s="793">
        <v>43891</v>
      </c>
      <c r="G56" s="795">
        <v>14407.112000000001</v>
      </c>
      <c r="H56" s="795">
        <v>3421.1040000000003</v>
      </c>
      <c r="I56" s="795">
        <v>2255.16</v>
      </c>
      <c r="J56" s="795">
        <v>295.952</v>
      </c>
      <c r="K56" s="795">
        <v>14165.448000000002</v>
      </c>
      <c r="L56" s="795">
        <v>1948.992</v>
      </c>
    </row>
    <row r="57" spans="1:12">
      <c r="A57" s="790" t="s">
        <v>291</v>
      </c>
      <c r="B57" s="793">
        <v>44105</v>
      </c>
      <c r="C57" s="747">
        <v>2275000.86</v>
      </c>
      <c r="E57" s="322" t="s">
        <v>78</v>
      </c>
      <c r="F57" s="793">
        <v>43892</v>
      </c>
      <c r="G57" s="795">
        <v>41772.520000000004</v>
      </c>
      <c r="H57" s="795">
        <v>13770.735999999999</v>
      </c>
      <c r="I57" s="795">
        <v>1409.472</v>
      </c>
      <c r="J57" s="795">
        <v>325.03200000000004</v>
      </c>
      <c r="K57" s="795">
        <v>40903.920000000006</v>
      </c>
      <c r="L57" s="795">
        <v>4618.384</v>
      </c>
    </row>
    <row r="58" spans="1:12">
      <c r="A58" s="790" t="s">
        <v>174</v>
      </c>
      <c r="B58" s="793">
        <v>44105</v>
      </c>
      <c r="C58" s="747">
        <v>110215.17999999998</v>
      </c>
      <c r="E58" s="322" t="s">
        <v>80</v>
      </c>
      <c r="F58" s="793">
        <v>43893</v>
      </c>
      <c r="G58" s="795">
        <v>47458.544000000002</v>
      </c>
      <c r="H58" s="795">
        <v>14358.808000000003</v>
      </c>
      <c r="I58" s="795">
        <v>5015.0640000000003</v>
      </c>
      <c r="J58" s="795">
        <v>4690.424</v>
      </c>
      <c r="K58" s="795">
        <v>43959.96</v>
      </c>
      <c r="L58" s="795">
        <v>5436.768</v>
      </c>
    </row>
    <row r="59" spans="1:12">
      <c r="A59" s="790" t="s">
        <v>292</v>
      </c>
      <c r="B59" s="793">
        <v>44105</v>
      </c>
      <c r="C59" s="747">
        <v>207191.53999999998</v>
      </c>
      <c r="E59" s="322" t="s">
        <v>79</v>
      </c>
      <c r="F59" s="793">
        <v>43894</v>
      </c>
      <c r="G59" s="795">
        <v>14640.120000000003</v>
      </c>
      <c r="H59" s="795">
        <v>3919.8559999999998</v>
      </c>
      <c r="I59" s="795">
        <v>2636.096</v>
      </c>
      <c r="J59" s="795">
        <v>1394.96</v>
      </c>
      <c r="K59" s="795">
        <v>22019.160000000003</v>
      </c>
      <c r="L59" s="795">
        <v>2375.1439999999998</v>
      </c>
    </row>
    <row r="60" spans="1:12">
      <c r="A60" s="790" t="s">
        <v>28</v>
      </c>
      <c r="B60" s="793">
        <v>44105</v>
      </c>
      <c r="C60" s="747">
        <v>8767798.3500000015</v>
      </c>
      <c r="E60" s="322" t="s">
        <v>81</v>
      </c>
      <c r="F60" s="793">
        <v>43895</v>
      </c>
      <c r="G60" s="795">
        <v>150004.91200000001</v>
      </c>
      <c r="H60" s="795">
        <v>34697.200000000004</v>
      </c>
      <c r="I60" s="795">
        <v>16043.2</v>
      </c>
      <c r="J60" s="795">
        <v>3676.6080000000002</v>
      </c>
      <c r="K60" s="795">
        <v>110017.44</v>
      </c>
      <c r="L60" s="795">
        <v>11901.512000000002</v>
      </c>
    </row>
    <row r="61" spans="1:12">
      <c r="A61" s="790" t="s">
        <v>175</v>
      </c>
      <c r="B61" s="793">
        <v>44105</v>
      </c>
      <c r="C61" s="747">
        <v>770388.81</v>
      </c>
      <c r="E61" s="322" t="s">
        <v>82</v>
      </c>
      <c r="F61" s="793">
        <v>43896</v>
      </c>
      <c r="G61" s="795">
        <v>80019.960000000006</v>
      </c>
      <c r="H61" s="795">
        <v>10926.344000000001</v>
      </c>
      <c r="I61" s="795">
        <v>7915.2320000000009</v>
      </c>
      <c r="J61" s="795">
        <v>655.98400000000004</v>
      </c>
      <c r="K61" s="795">
        <v>57359.519999999997</v>
      </c>
      <c r="L61" s="795">
        <v>4848.1360000000004</v>
      </c>
    </row>
    <row r="62" spans="1:12">
      <c r="A62" s="790" t="s">
        <v>173</v>
      </c>
      <c r="B62" s="793">
        <v>44136</v>
      </c>
      <c r="C62" s="747">
        <v>1649423.1</v>
      </c>
      <c r="E62" s="322" t="s">
        <v>83</v>
      </c>
      <c r="F62" s="793">
        <v>43897</v>
      </c>
      <c r="G62" s="795">
        <v>152089.4</v>
      </c>
      <c r="H62" s="795">
        <v>46693.456000000006</v>
      </c>
      <c r="I62" s="795">
        <v>10359.616000000002</v>
      </c>
      <c r="J62" s="795">
        <v>1122</v>
      </c>
      <c r="K62" s="795">
        <v>93013.32</v>
      </c>
      <c r="L62" s="795">
        <v>16483.400000000001</v>
      </c>
    </row>
    <row r="63" spans="1:12">
      <c r="A63" s="790" t="s">
        <v>291</v>
      </c>
      <c r="B63" s="793">
        <v>44136</v>
      </c>
      <c r="C63" s="747">
        <v>1024945.0499999998</v>
      </c>
      <c r="E63" s="322" t="s">
        <v>84</v>
      </c>
      <c r="F63" s="793">
        <v>43898</v>
      </c>
      <c r="G63" s="795">
        <v>101387.68800000001</v>
      </c>
      <c r="H63" s="795">
        <v>18605.400000000001</v>
      </c>
      <c r="I63" s="795">
        <v>12975.400000000001</v>
      </c>
      <c r="J63" s="795">
        <v>3004.4639999999999</v>
      </c>
      <c r="K63" s="795">
        <v>81102.600000000006</v>
      </c>
      <c r="L63" s="795">
        <v>9799.7920000000013</v>
      </c>
    </row>
    <row r="64" spans="1:12">
      <c r="A64" s="790" t="s">
        <v>174</v>
      </c>
      <c r="B64" s="793">
        <v>44136</v>
      </c>
      <c r="C64" s="747">
        <v>190346.61</v>
      </c>
      <c r="E64" s="322" t="s">
        <v>85</v>
      </c>
      <c r="F64" s="793">
        <v>43899</v>
      </c>
      <c r="G64" s="795">
        <v>113464.82400000001</v>
      </c>
      <c r="H64" s="795">
        <v>29089.800000000003</v>
      </c>
      <c r="I64" s="795">
        <v>13795.688000000002</v>
      </c>
      <c r="J64" s="795">
        <v>3303.0320000000002</v>
      </c>
      <c r="K64" s="795">
        <v>160638</v>
      </c>
      <c r="L64" s="795">
        <v>12007.431999999999</v>
      </c>
    </row>
    <row r="65" spans="1:12">
      <c r="A65" s="790" t="s">
        <v>292</v>
      </c>
      <c r="B65" s="793">
        <v>44136</v>
      </c>
      <c r="C65" s="747">
        <v>128432.87000000001</v>
      </c>
      <c r="E65" s="322" t="s">
        <v>86</v>
      </c>
      <c r="F65" s="793">
        <v>43900</v>
      </c>
      <c r="G65" s="795">
        <v>36106</v>
      </c>
      <c r="H65" s="795">
        <v>34177.512000000002</v>
      </c>
      <c r="I65" s="795">
        <v>1851.36</v>
      </c>
      <c r="J65" s="795">
        <v>1214.28</v>
      </c>
      <c r="K65" s="795">
        <v>27269.279999999999</v>
      </c>
      <c r="L65" s="795">
        <v>9229.4959999999992</v>
      </c>
    </row>
    <row r="66" spans="1:12">
      <c r="A66" s="790" t="s">
        <v>28</v>
      </c>
      <c r="B66" s="793">
        <v>44136</v>
      </c>
      <c r="C66" s="747">
        <v>7725821.1700000009</v>
      </c>
      <c r="E66" s="322" t="s">
        <v>89</v>
      </c>
      <c r="F66" s="793">
        <v>43901</v>
      </c>
      <c r="G66" s="795">
        <v>362506.23200000002</v>
      </c>
      <c r="H66" s="795">
        <v>138896.89600000001</v>
      </c>
      <c r="I66" s="795">
        <v>46743.056000000004</v>
      </c>
      <c r="J66" s="795">
        <v>16598.423999999999</v>
      </c>
      <c r="K66" s="795">
        <v>292204.44</v>
      </c>
      <c r="L66" s="795">
        <v>45276.992000000006</v>
      </c>
    </row>
    <row r="67" spans="1:12">
      <c r="A67" s="790" t="s">
        <v>175</v>
      </c>
      <c r="B67" s="793">
        <v>44136</v>
      </c>
      <c r="C67" s="747">
        <v>771584.68000000017</v>
      </c>
      <c r="E67" s="322" t="s">
        <v>88</v>
      </c>
      <c r="F67" s="793">
        <v>43902</v>
      </c>
      <c r="G67" s="795">
        <v>71643.19200000001</v>
      </c>
      <c r="H67" s="795">
        <v>20246.744000000002</v>
      </c>
      <c r="I67" s="795">
        <v>11386.567999999999</v>
      </c>
      <c r="J67" s="795">
        <v>3617.1760000000004</v>
      </c>
      <c r="K67" s="795">
        <v>123181.92</v>
      </c>
      <c r="L67" s="795">
        <v>9400.9600000000009</v>
      </c>
    </row>
    <row r="68" spans="1:12">
      <c r="A68" s="790" t="s">
        <v>173</v>
      </c>
      <c r="B68" s="793">
        <v>44166</v>
      </c>
      <c r="C68" s="747">
        <v>1721835.8000000005</v>
      </c>
      <c r="E68" s="322" t="s">
        <v>87</v>
      </c>
      <c r="F68" s="793">
        <v>43903</v>
      </c>
      <c r="G68" s="795">
        <v>96224.847999999998</v>
      </c>
      <c r="H68" s="795">
        <v>17366.744000000002</v>
      </c>
      <c r="I68" s="795">
        <v>8617.728000000001</v>
      </c>
      <c r="J68" s="795">
        <v>1620.5039999999999</v>
      </c>
      <c r="K68" s="795">
        <v>191982</v>
      </c>
      <c r="L68" s="795">
        <v>7158.5920000000006</v>
      </c>
    </row>
    <row r="69" spans="1:12">
      <c r="A69" s="790" t="s">
        <v>291</v>
      </c>
      <c r="B69" s="793">
        <v>44166</v>
      </c>
      <c r="C69" s="747">
        <v>1192229.9500000002</v>
      </c>
      <c r="E69" s="322" t="s">
        <v>90</v>
      </c>
      <c r="F69" s="793">
        <v>43904</v>
      </c>
      <c r="G69" s="795">
        <v>61631.352000000006</v>
      </c>
      <c r="H69" s="795">
        <v>30848.928000000004</v>
      </c>
      <c r="I69" s="795">
        <v>7409.2479999999996</v>
      </c>
      <c r="J69" s="795">
        <v>3005.5040000000004</v>
      </c>
      <c r="K69" s="795">
        <v>43724.880000000005</v>
      </c>
      <c r="L69" s="795">
        <v>12402.455999999998</v>
      </c>
    </row>
    <row r="70" spans="1:12">
      <c r="A70" s="790" t="s">
        <v>174</v>
      </c>
      <c r="B70" s="793">
        <v>44166</v>
      </c>
      <c r="C70" s="747">
        <v>202206.49</v>
      </c>
      <c r="E70" s="322" t="s">
        <v>91</v>
      </c>
      <c r="F70" s="793">
        <v>43905</v>
      </c>
      <c r="G70" s="795">
        <v>57602.336000000003</v>
      </c>
      <c r="H70" s="795">
        <v>21610.808000000001</v>
      </c>
      <c r="I70" s="795">
        <v>6592.1440000000002</v>
      </c>
      <c r="J70" s="795">
        <v>2208.7440000000001</v>
      </c>
      <c r="K70" s="795">
        <v>59631.96</v>
      </c>
      <c r="L70" s="795">
        <v>7063.2400000000007</v>
      </c>
    </row>
    <row r="71" spans="1:12">
      <c r="A71" s="790" t="s">
        <v>292</v>
      </c>
      <c r="B71" s="793">
        <v>44166</v>
      </c>
      <c r="C71" s="747">
        <v>162242.75</v>
      </c>
      <c r="E71" s="322" t="s">
        <v>93</v>
      </c>
      <c r="F71" s="793">
        <v>43906</v>
      </c>
      <c r="G71" s="795">
        <v>114693.97600000001</v>
      </c>
      <c r="H71" s="795">
        <v>32370.056</v>
      </c>
      <c r="I71" s="795">
        <v>10928.152000000002</v>
      </c>
      <c r="J71" s="795">
        <v>2478.6240000000003</v>
      </c>
      <c r="K71" s="795">
        <v>94110.36</v>
      </c>
      <c r="L71" s="795">
        <v>13074.576000000001</v>
      </c>
    </row>
    <row r="72" spans="1:12">
      <c r="A72" s="790" t="s">
        <v>28</v>
      </c>
      <c r="B72" s="793">
        <v>44166</v>
      </c>
      <c r="C72" s="747">
        <v>7442926.6499999994</v>
      </c>
      <c r="E72" s="322" t="s">
        <v>94</v>
      </c>
      <c r="F72" s="793">
        <v>43907</v>
      </c>
      <c r="G72" s="795">
        <v>28510.400000000001</v>
      </c>
      <c r="H72" s="795">
        <v>5319.9520000000002</v>
      </c>
      <c r="I72" s="795">
        <v>3603.056</v>
      </c>
      <c r="J72" s="795">
        <v>536.85600000000011</v>
      </c>
      <c r="K72" s="795">
        <v>23508</v>
      </c>
      <c r="L72" s="795">
        <v>2315.424</v>
      </c>
    </row>
    <row r="73" spans="1:12">
      <c r="A73" s="790" t="s">
        <v>175</v>
      </c>
      <c r="B73" s="793">
        <v>44166</v>
      </c>
      <c r="C73" s="747">
        <v>782024.30999999994</v>
      </c>
      <c r="E73" s="322" t="s">
        <v>92</v>
      </c>
      <c r="F73" s="793">
        <v>43908</v>
      </c>
      <c r="G73" s="795">
        <v>344323.32000000007</v>
      </c>
      <c r="H73" s="795">
        <v>108481.66399999999</v>
      </c>
      <c r="I73" s="795">
        <v>78715.504000000015</v>
      </c>
      <c r="J73" s="795">
        <v>32049.304</v>
      </c>
      <c r="K73" s="795">
        <v>453234.24000000005</v>
      </c>
      <c r="L73" s="795">
        <v>46103.76</v>
      </c>
    </row>
    <row r="74" spans="1:12">
      <c r="A74" s="790" t="s">
        <v>173</v>
      </c>
      <c r="B74" s="793">
        <v>44197</v>
      </c>
      <c r="C74" s="747">
        <v>10879166.75</v>
      </c>
      <c r="E74" s="322" t="s">
        <v>95</v>
      </c>
      <c r="F74" s="793">
        <v>43909</v>
      </c>
      <c r="G74" s="795">
        <v>445397.48</v>
      </c>
      <c r="H74" s="795">
        <v>93884.104000000007</v>
      </c>
      <c r="I74" s="795">
        <v>75875.376000000004</v>
      </c>
      <c r="J74" s="795">
        <v>15240.936000000002</v>
      </c>
      <c r="K74" s="795">
        <v>299724.44800000003</v>
      </c>
      <c r="L74" s="795">
        <v>51521.655999999995</v>
      </c>
    </row>
    <row r="75" spans="1:12">
      <c r="A75" s="790" t="s">
        <v>291</v>
      </c>
      <c r="B75" s="793">
        <v>44197</v>
      </c>
      <c r="C75" s="747">
        <v>2296911.3899999997</v>
      </c>
      <c r="E75" s="322" t="s">
        <v>96</v>
      </c>
      <c r="F75" s="793">
        <v>43910</v>
      </c>
      <c r="G75" s="795">
        <v>73981.464000000007</v>
      </c>
      <c r="H75" s="795">
        <v>31526.624000000007</v>
      </c>
      <c r="I75" s="795">
        <v>5501.384</v>
      </c>
      <c r="J75" s="795">
        <v>2341.9919999999997</v>
      </c>
      <c r="K75" s="795">
        <v>49680.240000000005</v>
      </c>
      <c r="L75" s="795">
        <v>10645.76</v>
      </c>
    </row>
    <row r="76" spans="1:12">
      <c r="A76" s="790" t="s">
        <v>174</v>
      </c>
      <c r="B76" s="793">
        <v>44197</v>
      </c>
      <c r="C76" s="747">
        <v>589310.64</v>
      </c>
      <c r="E76" s="322" t="s">
        <v>98</v>
      </c>
      <c r="F76" s="793">
        <v>43911</v>
      </c>
      <c r="G76" s="795">
        <v>26662.688000000002</v>
      </c>
      <c r="H76" s="795">
        <v>5198.8960000000006</v>
      </c>
      <c r="I76" s="795">
        <v>4883.6320000000005</v>
      </c>
      <c r="J76" s="795">
        <v>1007.792</v>
      </c>
      <c r="K76" s="795">
        <v>47486.16</v>
      </c>
      <c r="L76" s="795">
        <v>2399.5680000000007</v>
      </c>
    </row>
    <row r="77" spans="1:12">
      <c r="A77" s="790" t="s">
        <v>292</v>
      </c>
      <c r="B77" s="793">
        <v>44197</v>
      </c>
      <c r="C77" s="747">
        <v>248162.58</v>
      </c>
      <c r="E77" s="322" t="s">
        <v>99</v>
      </c>
      <c r="F77" s="793">
        <v>43912</v>
      </c>
      <c r="G77" s="795">
        <v>4625.5600000000004</v>
      </c>
      <c r="H77" s="795">
        <v>221.11199999999999</v>
      </c>
      <c r="I77" s="795">
        <v>1500.9120000000003</v>
      </c>
      <c r="J77" s="795">
        <v>176.904</v>
      </c>
      <c r="K77" s="795">
        <v>7992.72</v>
      </c>
      <c r="L77" s="795">
        <v>103.864</v>
      </c>
    </row>
    <row r="78" spans="1:12">
      <c r="A78" s="790" t="s">
        <v>28</v>
      </c>
      <c r="B78" s="793">
        <v>44197</v>
      </c>
      <c r="C78" s="747">
        <v>5938135.3999999985</v>
      </c>
      <c r="E78" s="322" t="s">
        <v>97</v>
      </c>
      <c r="F78" s="793">
        <v>43913</v>
      </c>
      <c r="G78" s="795">
        <v>402252.84</v>
      </c>
      <c r="H78" s="795">
        <v>98485.952000000005</v>
      </c>
      <c r="I78" s="795">
        <v>62860.743999999999</v>
      </c>
      <c r="J78" s="795">
        <v>27382.712</v>
      </c>
      <c r="K78" s="795">
        <v>538725</v>
      </c>
      <c r="L78" s="795">
        <v>38866.096000000005</v>
      </c>
    </row>
    <row r="79" spans="1:12">
      <c r="A79" s="790" t="s">
        <v>175</v>
      </c>
      <c r="B79" s="793">
        <v>44197</v>
      </c>
      <c r="C79" s="747">
        <v>874329.98000000243</v>
      </c>
      <c r="E79" s="322" t="s">
        <v>100</v>
      </c>
      <c r="F79" s="793">
        <v>43914</v>
      </c>
      <c r="G79" s="795">
        <v>282166.728</v>
      </c>
      <c r="H79" s="795">
        <v>36179.112000000001</v>
      </c>
      <c r="I79" s="795">
        <v>40676.592000000004</v>
      </c>
      <c r="J79" s="795">
        <v>6572.04</v>
      </c>
      <c r="K79" s="795">
        <v>322294.68</v>
      </c>
      <c r="L79" s="795">
        <v>15142.216</v>
      </c>
    </row>
    <row r="80" spans="1:12">
      <c r="A80" s="790" t="s">
        <v>173</v>
      </c>
      <c r="B80" s="793">
        <v>44228</v>
      </c>
      <c r="C80" s="747">
        <v>11951662.160000002</v>
      </c>
      <c r="E80" s="322" t="s">
        <v>102</v>
      </c>
      <c r="F80" s="793">
        <v>43915</v>
      </c>
      <c r="G80" s="795">
        <v>33554.768000000004</v>
      </c>
      <c r="H80" s="795">
        <v>7317.3600000000006</v>
      </c>
      <c r="I80" s="795">
        <v>4997.9120000000003</v>
      </c>
      <c r="J80" s="795">
        <v>684.29599999999994</v>
      </c>
      <c r="K80" s="795">
        <v>41452.44</v>
      </c>
      <c r="L80" s="795">
        <v>3558.9360000000001</v>
      </c>
    </row>
    <row r="81" spans="1:12">
      <c r="A81" s="790" t="s">
        <v>291</v>
      </c>
      <c r="B81" s="793">
        <v>44228</v>
      </c>
      <c r="C81" s="747">
        <v>2082298.3300000005</v>
      </c>
      <c r="E81" s="322" t="s">
        <v>101</v>
      </c>
      <c r="F81" s="793">
        <v>43916</v>
      </c>
      <c r="G81" s="795">
        <v>1570889.5520000001</v>
      </c>
      <c r="H81" s="795">
        <v>406613.31200000003</v>
      </c>
      <c r="I81" s="795">
        <v>221627.05600000001</v>
      </c>
      <c r="J81" s="795">
        <v>51641.656000000003</v>
      </c>
      <c r="K81" s="795">
        <v>1992773.1600000001</v>
      </c>
      <c r="L81" s="795">
        <v>163064.07399999999</v>
      </c>
    </row>
    <row r="82" spans="1:12">
      <c r="A82" s="790" t="s">
        <v>174</v>
      </c>
      <c r="B82" s="793">
        <v>44228</v>
      </c>
      <c r="C82" s="747">
        <v>572310.38</v>
      </c>
      <c r="E82" s="322" t="s">
        <v>103</v>
      </c>
      <c r="F82" s="793">
        <v>43917</v>
      </c>
      <c r="G82" s="795">
        <v>21991.896000000001</v>
      </c>
      <c r="H82" s="795">
        <v>8371.5120000000006</v>
      </c>
      <c r="I82" s="795">
        <v>3371.3120000000004</v>
      </c>
      <c r="J82" s="795">
        <v>1767.376</v>
      </c>
      <c r="K82" s="795">
        <v>27504.36</v>
      </c>
      <c r="L82" s="795">
        <v>3263.1760000000004</v>
      </c>
    </row>
    <row r="83" spans="1:12">
      <c r="A83" s="790" t="s">
        <v>292</v>
      </c>
      <c r="B83" s="793">
        <v>44228</v>
      </c>
      <c r="C83" s="747">
        <v>224134.09</v>
      </c>
      <c r="E83" s="322" t="s">
        <v>77</v>
      </c>
      <c r="F83" s="793">
        <v>43922</v>
      </c>
      <c r="G83" s="795">
        <v>6038.5120000000006</v>
      </c>
      <c r="H83" s="795">
        <v>1214.288</v>
      </c>
      <c r="I83" s="795">
        <v>510.45600000000007</v>
      </c>
      <c r="J83" s="795">
        <v>184.584</v>
      </c>
      <c r="K83" s="795">
        <v>7836</v>
      </c>
      <c r="L83" s="795">
        <v>693.32800000000009</v>
      </c>
    </row>
    <row r="84" spans="1:12">
      <c r="A84" s="790" t="s">
        <v>28</v>
      </c>
      <c r="B84" s="793">
        <v>44228</v>
      </c>
      <c r="C84" s="747">
        <v>7194534.8300000001</v>
      </c>
      <c r="E84" s="322" t="s">
        <v>78</v>
      </c>
      <c r="F84" s="793">
        <v>43923</v>
      </c>
      <c r="G84" s="795">
        <v>17309.544000000002</v>
      </c>
      <c r="H84" s="795">
        <v>10478.880000000001</v>
      </c>
      <c r="I84" s="795">
        <v>746.64</v>
      </c>
      <c r="J84" s="795">
        <v>506.52800000000002</v>
      </c>
      <c r="K84" s="795">
        <v>30482.040000000005</v>
      </c>
      <c r="L84" s="795">
        <v>3787.4720000000002</v>
      </c>
    </row>
    <row r="85" spans="1:12">
      <c r="A85" s="790" t="s">
        <v>175</v>
      </c>
      <c r="B85" s="793">
        <v>44228</v>
      </c>
      <c r="C85" s="747">
        <v>683681.21</v>
      </c>
      <c r="E85" s="322" t="s">
        <v>80</v>
      </c>
      <c r="F85" s="793">
        <v>43924</v>
      </c>
      <c r="G85" s="795">
        <v>17888.84</v>
      </c>
      <c r="H85" s="795">
        <v>7205.8640000000005</v>
      </c>
      <c r="I85" s="795">
        <v>1211.3920000000001</v>
      </c>
      <c r="J85" s="795">
        <v>824.24</v>
      </c>
      <c r="K85" s="795">
        <v>16612.320000000003</v>
      </c>
      <c r="L85" s="795">
        <v>2440.4080000000008</v>
      </c>
    </row>
    <row r="86" spans="1:12">
      <c r="A86" s="790" t="s">
        <v>173</v>
      </c>
      <c r="B86" s="793">
        <v>44256</v>
      </c>
      <c r="C86" s="747">
        <v>8556364.1099999994</v>
      </c>
      <c r="E86" s="322" t="s">
        <v>79</v>
      </c>
      <c r="F86" s="793">
        <v>43925</v>
      </c>
      <c r="G86" s="795">
        <v>8337.8240000000005</v>
      </c>
      <c r="H86" s="795">
        <v>3079.4400000000005</v>
      </c>
      <c r="I86" s="795">
        <v>1828.5119999999999</v>
      </c>
      <c r="J86" s="795">
        <v>871.51200000000017</v>
      </c>
      <c r="K86" s="795">
        <v>13481.592000000002</v>
      </c>
      <c r="L86" s="795">
        <v>2837.9839999999999</v>
      </c>
    </row>
    <row r="87" spans="1:12">
      <c r="A87" s="790" t="s">
        <v>291</v>
      </c>
      <c r="B87" s="793">
        <v>44256</v>
      </c>
      <c r="C87" s="747">
        <v>2006620.9100000001</v>
      </c>
      <c r="E87" s="322" t="s">
        <v>81</v>
      </c>
      <c r="F87" s="793">
        <v>43926</v>
      </c>
      <c r="G87" s="795">
        <v>53443.19200000001</v>
      </c>
      <c r="H87" s="795">
        <v>19805.048000000003</v>
      </c>
      <c r="I87" s="795">
        <v>8719.68</v>
      </c>
      <c r="J87" s="795">
        <v>1494.7920000000001</v>
      </c>
      <c r="K87" s="795">
        <v>59396.880000000005</v>
      </c>
      <c r="L87" s="795">
        <v>7733.0240000000003</v>
      </c>
    </row>
    <row r="88" spans="1:12">
      <c r="A88" s="790" t="s">
        <v>174</v>
      </c>
      <c r="B88" s="793">
        <v>44256</v>
      </c>
      <c r="C88" s="747">
        <v>349542.42000000004</v>
      </c>
      <c r="E88" s="322" t="s">
        <v>82</v>
      </c>
      <c r="F88" s="793">
        <v>43927</v>
      </c>
      <c r="G88" s="795">
        <v>24080.440000000002</v>
      </c>
      <c r="H88" s="795">
        <v>8071.8880000000008</v>
      </c>
      <c r="I88" s="795">
        <v>1452.6320000000001</v>
      </c>
      <c r="J88" s="795">
        <v>88.448000000000008</v>
      </c>
      <c r="K88" s="795">
        <v>26642.400000000001</v>
      </c>
      <c r="L88" s="795">
        <v>3931.44</v>
      </c>
    </row>
    <row r="89" spans="1:12">
      <c r="A89" s="790" t="s">
        <v>292</v>
      </c>
      <c r="B89" s="793">
        <v>44256</v>
      </c>
      <c r="C89" s="747">
        <v>233379.7</v>
      </c>
      <c r="E89" s="322" t="s">
        <v>83</v>
      </c>
      <c r="F89" s="793">
        <v>43928</v>
      </c>
      <c r="G89" s="795">
        <v>72820.504000000001</v>
      </c>
      <c r="H89" s="795">
        <v>33072.103999999999</v>
      </c>
      <c r="I89" s="795">
        <v>7362.2640000000001</v>
      </c>
      <c r="J89" s="795">
        <v>1098.0160000000001</v>
      </c>
      <c r="K89" s="795">
        <v>51952.68</v>
      </c>
      <c r="L89" s="795">
        <v>10684.04</v>
      </c>
    </row>
    <row r="90" spans="1:12">
      <c r="A90" s="790" t="s">
        <v>28</v>
      </c>
      <c r="B90" s="793">
        <v>44256</v>
      </c>
      <c r="C90" s="747">
        <v>8370278.5200000005</v>
      </c>
      <c r="E90" s="322" t="s">
        <v>84</v>
      </c>
      <c r="F90" s="793">
        <v>43929</v>
      </c>
      <c r="G90" s="795">
        <v>42986.024000000005</v>
      </c>
      <c r="H90" s="795">
        <v>9887.4480000000003</v>
      </c>
      <c r="I90" s="795">
        <v>3329.384</v>
      </c>
      <c r="J90" s="795">
        <v>1503.4</v>
      </c>
      <c r="K90" s="795">
        <v>44351.76</v>
      </c>
      <c r="L90" s="795">
        <v>6983.8159999999998</v>
      </c>
    </row>
    <row r="91" spans="1:12">
      <c r="A91" s="790" t="s">
        <v>175</v>
      </c>
      <c r="B91" s="793">
        <v>44256</v>
      </c>
      <c r="C91" s="747">
        <v>645132.90000000014</v>
      </c>
      <c r="E91" s="322" t="s">
        <v>85</v>
      </c>
      <c r="F91" s="793">
        <v>43930</v>
      </c>
      <c r="G91" s="795">
        <v>52267.320000000007</v>
      </c>
      <c r="H91" s="795">
        <v>15206.256000000001</v>
      </c>
      <c r="I91" s="795">
        <v>6578.8160000000007</v>
      </c>
      <c r="J91" s="795">
        <v>3891.4320000000002</v>
      </c>
      <c r="K91" s="795">
        <v>110409.23999999999</v>
      </c>
      <c r="L91" s="795">
        <v>10820.216000000002</v>
      </c>
    </row>
    <row r="92" spans="1:12">
      <c r="A92" s="790" t="s">
        <v>173</v>
      </c>
      <c r="B92" s="793">
        <v>44287</v>
      </c>
      <c r="C92" s="747">
        <v>6301795.7999999998</v>
      </c>
      <c r="E92" s="322" t="s">
        <v>86</v>
      </c>
      <c r="F92" s="793">
        <v>43931</v>
      </c>
      <c r="G92" s="795">
        <v>16393.696</v>
      </c>
      <c r="H92" s="795">
        <v>11482.784</v>
      </c>
      <c r="I92" s="795">
        <v>319.98400000000004</v>
      </c>
      <c r="J92" s="795">
        <v>189.024</v>
      </c>
      <c r="K92" s="795">
        <v>14653.320000000002</v>
      </c>
      <c r="L92" s="795">
        <v>4121.576</v>
      </c>
    </row>
    <row r="93" spans="1:12">
      <c r="A93" s="790" t="s">
        <v>291</v>
      </c>
      <c r="B93" s="793">
        <v>44287</v>
      </c>
      <c r="C93" s="747">
        <v>1536970.2799999998</v>
      </c>
      <c r="E93" s="322" t="s">
        <v>89</v>
      </c>
      <c r="F93" s="793">
        <v>43932</v>
      </c>
      <c r="G93" s="795">
        <v>160160.76800000001</v>
      </c>
      <c r="H93" s="795">
        <v>84243.983999999997</v>
      </c>
      <c r="I93" s="795">
        <v>14156.248000000001</v>
      </c>
      <c r="J93" s="795">
        <v>9891.9760000000006</v>
      </c>
      <c r="K93" s="795">
        <v>193784.28000000003</v>
      </c>
      <c r="L93" s="795">
        <v>30131.295999999998</v>
      </c>
    </row>
    <row r="94" spans="1:12">
      <c r="A94" s="790" t="s">
        <v>174</v>
      </c>
      <c r="B94" s="793">
        <v>44287</v>
      </c>
      <c r="C94" s="747">
        <v>265857.13</v>
      </c>
      <c r="E94" s="322" t="s">
        <v>88</v>
      </c>
      <c r="F94" s="793">
        <v>43933</v>
      </c>
      <c r="G94" s="795">
        <v>35176.056000000004</v>
      </c>
      <c r="H94" s="795">
        <v>12041.232000000002</v>
      </c>
      <c r="I94" s="795">
        <v>5594.3919999999998</v>
      </c>
      <c r="J94" s="795">
        <v>1956.5840000000001</v>
      </c>
      <c r="K94" s="795">
        <v>93091.680000000008</v>
      </c>
      <c r="L94" s="795">
        <v>8330.2720000000008</v>
      </c>
    </row>
    <row r="95" spans="1:12">
      <c r="A95" s="790" t="s">
        <v>292</v>
      </c>
      <c r="B95" s="793">
        <v>44287</v>
      </c>
      <c r="C95" s="747">
        <v>207676.15999999997</v>
      </c>
      <c r="E95" s="322" t="s">
        <v>87</v>
      </c>
      <c r="F95" s="793">
        <v>43934</v>
      </c>
      <c r="G95" s="795">
        <v>48535.088000000003</v>
      </c>
      <c r="H95" s="795">
        <v>8215.344000000001</v>
      </c>
      <c r="I95" s="795">
        <v>6268.32</v>
      </c>
      <c r="J95" s="795">
        <v>1093.08</v>
      </c>
      <c r="K95" s="795">
        <v>147316.80000000002</v>
      </c>
      <c r="L95" s="795">
        <v>3672.288</v>
      </c>
    </row>
    <row r="96" spans="1:12">
      <c r="A96" s="790" t="s">
        <v>28</v>
      </c>
      <c r="B96" s="793">
        <v>44287</v>
      </c>
      <c r="C96" s="747">
        <v>7625407.2599999998</v>
      </c>
      <c r="E96" s="322" t="s">
        <v>90</v>
      </c>
      <c r="F96" s="793">
        <v>43935</v>
      </c>
      <c r="G96" s="795">
        <v>25953.616000000002</v>
      </c>
      <c r="H96" s="795">
        <v>18431.128000000001</v>
      </c>
      <c r="I96" s="795">
        <v>1417.096</v>
      </c>
      <c r="J96" s="795">
        <v>259.22399999999999</v>
      </c>
      <c r="K96" s="795">
        <v>29071.559999999998</v>
      </c>
      <c r="L96" s="795">
        <v>5258.56</v>
      </c>
    </row>
    <row r="97" spans="1:12">
      <c r="A97" s="790" t="s">
        <v>175</v>
      </c>
      <c r="B97" s="793">
        <v>44287</v>
      </c>
      <c r="C97" s="747">
        <v>677824.35</v>
      </c>
      <c r="E97" s="322" t="s">
        <v>91</v>
      </c>
      <c r="F97" s="793">
        <v>43936</v>
      </c>
      <c r="G97" s="795">
        <v>26024.184000000001</v>
      </c>
      <c r="H97" s="795">
        <v>16525.216</v>
      </c>
      <c r="I97" s="795">
        <v>2062.1439999999998</v>
      </c>
      <c r="J97" s="795">
        <v>618.30400000000009</v>
      </c>
      <c r="K97" s="795">
        <v>28209.600000000002</v>
      </c>
      <c r="L97" s="795">
        <v>5017.9760000000006</v>
      </c>
    </row>
    <row r="98" spans="1:12">
      <c r="A98" s="790" t="s">
        <v>173</v>
      </c>
      <c r="B98" s="793">
        <v>44317</v>
      </c>
      <c r="C98" s="747">
        <v>5074030.8000000007</v>
      </c>
      <c r="E98" s="322" t="s">
        <v>93</v>
      </c>
      <c r="F98" s="793">
        <v>43937</v>
      </c>
      <c r="G98" s="795">
        <v>46351.528000000006</v>
      </c>
      <c r="H98" s="795">
        <v>17392.135999999999</v>
      </c>
      <c r="I98" s="795">
        <v>5470.2560000000003</v>
      </c>
      <c r="J98" s="795">
        <v>746.50400000000002</v>
      </c>
      <c r="K98" s="795">
        <v>42471.12</v>
      </c>
      <c r="L98" s="795">
        <v>6821.4960000000001</v>
      </c>
    </row>
    <row r="99" spans="1:12">
      <c r="A99" s="790" t="s">
        <v>291</v>
      </c>
      <c r="B99" s="793">
        <v>44317</v>
      </c>
      <c r="C99" s="747">
        <v>1554978.18</v>
      </c>
      <c r="E99" s="322" t="s">
        <v>94</v>
      </c>
      <c r="F99" s="793">
        <v>43938</v>
      </c>
      <c r="G99" s="795">
        <v>12301.304</v>
      </c>
      <c r="H99" s="795">
        <v>3246.9040000000005</v>
      </c>
      <c r="I99" s="795">
        <v>914.24800000000005</v>
      </c>
      <c r="J99" s="795">
        <v>216.76</v>
      </c>
      <c r="K99" s="795">
        <v>12772.68</v>
      </c>
      <c r="L99" s="795">
        <v>2167.52</v>
      </c>
    </row>
    <row r="100" spans="1:12">
      <c r="A100" s="790" t="s">
        <v>174</v>
      </c>
      <c r="B100" s="793">
        <v>44317</v>
      </c>
      <c r="C100" s="747">
        <v>229831.79</v>
      </c>
      <c r="E100" s="322" t="s">
        <v>92</v>
      </c>
      <c r="F100" s="793">
        <v>43939</v>
      </c>
      <c r="G100" s="795">
        <v>149972.90400000001</v>
      </c>
      <c r="H100" s="795">
        <v>61886.456000000006</v>
      </c>
      <c r="I100" s="795">
        <v>32472.976000000002</v>
      </c>
      <c r="J100" s="795">
        <v>17739.04</v>
      </c>
      <c r="K100" s="795">
        <v>291264.12000000005</v>
      </c>
      <c r="L100" s="795">
        <v>25708.336000000003</v>
      </c>
    </row>
    <row r="101" spans="1:12">
      <c r="A101" s="790" t="s">
        <v>292</v>
      </c>
      <c r="B101" s="793">
        <v>44317</v>
      </c>
      <c r="C101" s="747">
        <v>200547.52000000002</v>
      </c>
      <c r="E101" s="322" t="s">
        <v>95</v>
      </c>
      <c r="F101" s="793">
        <v>43940</v>
      </c>
      <c r="G101" s="795">
        <v>166387.23200000002</v>
      </c>
      <c r="H101" s="795">
        <v>55580.104000000007</v>
      </c>
      <c r="I101" s="795">
        <v>23336.848000000002</v>
      </c>
      <c r="J101" s="795">
        <v>8184.8</v>
      </c>
      <c r="K101" s="795">
        <v>123649.52800000001</v>
      </c>
      <c r="L101" s="795">
        <v>31526.144000000004</v>
      </c>
    </row>
    <row r="102" spans="1:12">
      <c r="A102" s="790" t="s">
        <v>28</v>
      </c>
      <c r="B102" s="793">
        <v>44317</v>
      </c>
      <c r="C102" s="747">
        <v>8316645</v>
      </c>
      <c r="E102" s="322" t="s">
        <v>96</v>
      </c>
      <c r="F102" s="793">
        <v>43941</v>
      </c>
      <c r="G102" s="795">
        <v>26968.224000000002</v>
      </c>
      <c r="H102" s="795">
        <v>17326.952000000001</v>
      </c>
      <c r="I102" s="795">
        <v>1932.6320000000001</v>
      </c>
      <c r="J102" s="795">
        <v>340.48800000000006</v>
      </c>
      <c r="K102" s="795">
        <v>28758.120000000003</v>
      </c>
      <c r="L102" s="795">
        <v>5703.8720000000012</v>
      </c>
    </row>
    <row r="103" spans="1:12">
      <c r="A103" s="790" t="s">
        <v>175</v>
      </c>
      <c r="B103" s="793">
        <v>44317</v>
      </c>
      <c r="C103" s="747">
        <v>779927.50000000012</v>
      </c>
      <c r="E103" s="322" t="s">
        <v>98</v>
      </c>
      <c r="F103" s="793">
        <v>43942</v>
      </c>
      <c r="G103" s="795">
        <v>12444.976000000001</v>
      </c>
      <c r="H103" s="795">
        <v>5218.4480000000003</v>
      </c>
      <c r="I103" s="795">
        <v>2232.2959999999998</v>
      </c>
      <c r="J103" s="795">
        <v>652.77600000000007</v>
      </c>
      <c r="K103" s="795">
        <v>40355.4</v>
      </c>
      <c r="L103" s="795">
        <v>2987.5360000000001</v>
      </c>
    </row>
    <row r="104" spans="1:12">
      <c r="A104" s="790" t="s">
        <v>173</v>
      </c>
      <c r="B104" s="793">
        <v>44348</v>
      </c>
      <c r="C104" s="747">
        <v>5154977.7600000007</v>
      </c>
      <c r="E104" s="322" t="s">
        <v>99</v>
      </c>
      <c r="F104" s="793">
        <v>43943</v>
      </c>
      <c r="G104" s="795">
        <v>1356.152</v>
      </c>
      <c r="H104" s="795">
        <v>0</v>
      </c>
      <c r="I104" s="795">
        <v>0</v>
      </c>
      <c r="J104" s="795">
        <v>0</v>
      </c>
      <c r="K104" s="795">
        <v>4153.0800000000008</v>
      </c>
      <c r="L104" s="795">
        <v>0</v>
      </c>
    </row>
    <row r="105" spans="1:12">
      <c r="A105" s="790" t="s">
        <v>291</v>
      </c>
      <c r="B105" s="793">
        <v>44348</v>
      </c>
      <c r="C105" s="747">
        <v>1665495.39</v>
      </c>
      <c r="E105" s="322" t="s">
        <v>97</v>
      </c>
      <c r="F105" s="793">
        <v>43944</v>
      </c>
      <c r="G105" s="795">
        <v>173775.40000000002</v>
      </c>
      <c r="H105" s="795">
        <v>55000.512000000002</v>
      </c>
      <c r="I105" s="795">
        <v>28207.768</v>
      </c>
      <c r="J105" s="795">
        <v>11017.24</v>
      </c>
      <c r="K105" s="795">
        <v>314145.24</v>
      </c>
      <c r="L105" s="795">
        <v>24445.903999999999</v>
      </c>
    </row>
    <row r="106" spans="1:12">
      <c r="A106" s="790" t="s">
        <v>174</v>
      </c>
      <c r="B106" s="793">
        <v>44348</v>
      </c>
      <c r="C106" s="747">
        <v>308279.70000000007</v>
      </c>
      <c r="E106" s="322" t="s">
        <v>100</v>
      </c>
      <c r="F106" s="793">
        <v>43945</v>
      </c>
      <c r="G106" s="795">
        <v>138726.52800000002</v>
      </c>
      <c r="H106" s="795">
        <v>19525.808000000001</v>
      </c>
      <c r="I106" s="795">
        <v>20754.440000000002</v>
      </c>
      <c r="J106" s="795">
        <v>4669.7120000000004</v>
      </c>
      <c r="K106" s="795">
        <v>238998</v>
      </c>
      <c r="L106" s="795">
        <v>9664.5759999999991</v>
      </c>
    </row>
    <row r="107" spans="1:12">
      <c r="A107" s="790" t="s">
        <v>292</v>
      </c>
      <c r="B107" s="793">
        <v>44348</v>
      </c>
      <c r="C107" s="747">
        <v>236783.44000000003</v>
      </c>
      <c r="E107" s="322" t="s">
        <v>102</v>
      </c>
      <c r="F107" s="793">
        <v>43946</v>
      </c>
      <c r="G107" s="795">
        <v>17529.223999999998</v>
      </c>
      <c r="H107" s="795">
        <v>4609.6160000000009</v>
      </c>
      <c r="I107" s="795">
        <v>967.58400000000006</v>
      </c>
      <c r="J107" s="795">
        <v>110.56</v>
      </c>
      <c r="K107" s="795">
        <v>28601.4</v>
      </c>
      <c r="L107" s="795">
        <v>2073.8240000000001</v>
      </c>
    </row>
    <row r="108" spans="1:12">
      <c r="A108" s="790" t="s">
        <v>28</v>
      </c>
      <c r="B108" s="793">
        <v>44348</v>
      </c>
      <c r="C108" s="747">
        <v>8723461.0199999996</v>
      </c>
      <c r="E108" s="322" t="s">
        <v>101</v>
      </c>
      <c r="F108" s="793">
        <v>43947</v>
      </c>
      <c r="G108" s="795">
        <v>719121.79200000002</v>
      </c>
      <c r="H108" s="795">
        <v>237978.12000000002</v>
      </c>
      <c r="I108" s="795">
        <v>95789.352000000014</v>
      </c>
      <c r="J108" s="795">
        <v>24785.312000000002</v>
      </c>
      <c r="K108" s="795">
        <v>1007239.4400000001</v>
      </c>
      <c r="L108" s="795">
        <v>91893.760000000009</v>
      </c>
    </row>
    <row r="109" spans="1:12">
      <c r="A109" s="790" t="s">
        <v>175</v>
      </c>
      <c r="B109" s="793">
        <v>44348</v>
      </c>
      <c r="C109" s="747">
        <v>1145453.94</v>
      </c>
      <c r="E109" s="322" t="s">
        <v>103</v>
      </c>
      <c r="F109" s="793">
        <v>43948</v>
      </c>
      <c r="G109" s="795">
        <v>5583.9279999999999</v>
      </c>
      <c r="H109" s="795">
        <v>5174.84</v>
      </c>
      <c r="I109" s="795">
        <v>1036.1600000000001</v>
      </c>
      <c r="J109" s="795">
        <v>678.67200000000003</v>
      </c>
      <c r="K109" s="795">
        <v>14810.04</v>
      </c>
      <c r="L109" s="795">
        <v>1619.3200000000002</v>
      </c>
    </row>
    <row r="110" spans="1:12">
      <c r="A110" s="790" t="s">
        <v>173</v>
      </c>
      <c r="B110" s="793">
        <v>44378</v>
      </c>
      <c r="C110" s="747">
        <v>3635089.75</v>
      </c>
      <c r="E110" s="322" t="s">
        <v>77</v>
      </c>
      <c r="F110" s="793">
        <v>43952</v>
      </c>
      <c r="G110" s="795">
        <v>5366.7760000000007</v>
      </c>
      <c r="H110" s="795">
        <v>1032.5040000000001</v>
      </c>
      <c r="I110" s="795">
        <v>1119.96</v>
      </c>
      <c r="J110" s="795">
        <v>439.20000000000005</v>
      </c>
      <c r="K110" s="795">
        <v>11048.760000000002</v>
      </c>
      <c r="L110" s="795">
        <v>2495.7440000000001</v>
      </c>
    </row>
    <row r="111" spans="1:12">
      <c r="A111" s="790" t="s">
        <v>291</v>
      </c>
      <c r="B111" s="793">
        <v>44378</v>
      </c>
      <c r="C111" s="747">
        <v>1541619.73</v>
      </c>
      <c r="E111" s="322" t="s">
        <v>78</v>
      </c>
      <c r="F111" s="793">
        <v>43953</v>
      </c>
      <c r="G111" s="795">
        <v>17241.904000000002</v>
      </c>
      <c r="H111" s="795">
        <v>8710.2320000000018</v>
      </c>
      <c r="I111" s="795">
        <v>959.96800000000007</v>
      </c>
      <c r="J111" s="795">
        <v>233.80799999999999</v>
      </c>
      <c r="K111" s="795">
        <v>30403.68</v>
      </c>
      <c r="L111" s="795">
        <v>2855.6959999999999</v>
      </c>
    </row>
    <row r="112" spans="1:12">
      <c r="A112" s="790" t="s">
        <v>174</v>
      </c>
      <c r="B112" s="793">
        <v>44378</v>
      </c>
      <c r="C112" s="747">
        <v>354704.97000000003</v>
      </c>
      <c r="E112" s="322" t="s">
        <v>80</v>
      </c>
      <c r="F112" s="793">
        <v>43954</v>
      </c>
      <c r="G112" s="795">
        <v>17241.904000000002</v>
      </c>
      <c r="H112" s="795">
        <v>8710.2320000000018</v>
      </c>
      <c r="I112" s="795">
        <v>959.96800000000007</v>
      </c>
      <c r="J112" s="795">
        <v>233.80799999999999</v>
      </c>
      <c r="K112" s="795">
        <v>30403.68</v>
      </c>
      <c r="L112" s="795">
        <v>2855.6959999999999</v>
      </c>
    </row>
    <row r="113" spans="1:12">
      <c r="A113" s="790" t="s">
        <v>292</v>
      </c>
      <c r="B113" s="793">
        <v>44378</v>
      </c>
      <c r="C113" s="747">
        <v>223092.03000000003</v>
      </c>
      <c r="E113" s="322" t="s">
        <v>79</v>
      </c>
      <c r="F113" s="793">
        <v>43955</v>
      </c>
      <c r="G113" s="795">
        <v>4209.384</v>
      </c>
      <c r="H113" s="795">
        <v>3016.1759999999999</v>
      </c>
      <c r="I113" s="795">
        <v>548.55200000000002</v>
      </c>
      <c r="J113" s="795">
        <v>311.56799999999998</v>
      </c>
      <c r="K113" s="795">
        <v>13477.920000000002</v>
      </c>
      <c r="L113" s="795">
        <v>1129.0880000000002</v>
      </c>
    </row>
    <row r="114" spans="1:12">
      <c r="A114" s="790" t="s">
        <v>28</v>
      </c>
      <c r="B114" s="793">
        <v>44378</v>
      </c>
      <c r="C114" s="747">
        <v>9202483.1000000015</v>
      </c>
      <c r="E114" s="322" t="s">
        <v>81</v>
      </c>
      <c r="F114" s="793">
        <v>43956</v>
      </c>
      <c r="G114" s="795">
        <v>49621.16</v>
      </c>
      <c r="H114" s="795">
        <v>14971.176000000001</v>
      </c>
      <c r="I114" s="795">
        <v>4533.152</v>
      </c>
      <c r="J114" s="795">
        <v>1919.3440000000001</v>
      </c>
      <c r="K114" s="795">
        <v>62844.72</v>
      </c>
      <c r="L114" s="795">
        <v>6517.1679999999997</v>
      </c>
    </row>
    <row r="115" spans="1:12">
      <c r="A115" s="790" t="s">
        <v>175</v>
      </c>
      <c r="B115" s="793">
        <v>44378</v>
      </c>
      <c r="C115" s="747">
        <v>1111066.27</v>
      </c>
      <c r="E115" s="322" t="s">
        <v>82</v>
      </c>
      <c r="F115" s="793">
        <v>43957</v>
      </c>
      <c r="G115" s="795">
        <v>23167.584000000003</v>
      </c>
      <c r="H115" s="795">
        <v>6142.2640000000001</v>
      </c>
      <c r="I115" s="795">
        <v>3304.0080000000003</v>
      </c>
      <c r="J115" s="795">
        <v>1261.384</v>
      </c>
      <c r="K115" s="795">
        <v>27582.720000000001</v>
      </c>
      <c r="L115" s="795">
        <v>4578.5120000000006</v>
      </c>
    </row>
    <row r="116" spans="1:12">
      <c r="A116" s="790" t="s">
        <v>173</v>
      </c>
      <c r="B116" s="793">
        <v>44409</v>
      </c>
      <c r="C116" s="747">
        <v>2490841.23</v>
      </c>
      <c r="E116" s="322" t="s">
        <v>83</v>
      </c>
      <c r="F116" s="793">
        <v>43958</v>
      </c>
      <c r="G116" s="795">
        <v>59736.216000000008</v>
      </c>
      <c r="H116" s="795">
        <v>30243.520000000004</v>
      </c>
      <c r="I116" s="795">
        <v>4771.88</v>
      </c>
      <c r="J116" s="795">
        <v>619.13599999999997</v>
      </c>
      <c r="K116" s="795">
        <v>73815.12</v>
      </c>
      <c r="L116" s="795">
        <v>14942.055999999999</v>
      </c>
    </row>
    <row r="117" spans="1:12">
      <c r="A117" s="790" t="s">
        <v>291</v>
      </c>
      <c r="B117" s="793">
        <v>44409</v>
      </c>
      <c r="C117" s="747">
        <v>1484161.25</v>
      </c>
      <c r="E117" s="322" t="s">
        <v>84</v>
      </c>
      <c r="F117" s="793">
        <v>43959</v>
      </c>
      <c r="G117" s="795">
        <v>38097.896000000001</v>
      </c>
      <c r="H117" s="795">
        <v>9854.9600000000009</v>
      </c>
      <c r="I117" s="795">
        <v>4197.9279999999999</v>
      </c>
      <c r="J117" s="795">
        <v>1018.3920000000001</v>
      </c>
      <c r="K117" s="795">
        <v>65822.400000000009</v>
      </c>
      <c r="L117" s="795">
        <v>4861.9359999999997</v>
      </c>
    </row>
    <row r="118" spans="1:12">
      <c r="A118" s="790" t="s">
        <v>174</v>
      </c>
      <c r="B118" s="793">
        <v>44409</v>
      </c>
      <c r="C118" s="747">
        <v>1526954.61</v>
      </c>
      <c r="E118" s="322" t="s">
        <v>85</v>
      </c>
      <c r="F118" s="793">
        <v>43960</v>
      </c>
      <c r="G118" s="795">
        <v>45166.648000000001</v>
      </c>
      <c r="H118" s="795">
        <v>19263.848000000002</v>
      </c>
      <c r="I118" s="795">
        <v>8007.344000000001</v>
      </c>
      <c r="J118" s="795">
        <v>2114</v>
      </c>
      <c r="K118" s="795">
        <v>149197.44</v>
      </c>
      <c r="L118" s="795">
        <v>6865.0559999999996</v>
      </c>
    </row>
    <row r="119" spans="1:12">
      <c r="A119" s="790" t="s">
        <v>292</v>
      </c>
      <c r="B119" s="793">
        <v>44409</v>
      </c>
      <c r="C119" s="747">
        <v>291287.94</v>
      </c>
      <c r="E119" s="322" t="s">
        <v>86</v>
      </c>
      <c r="F119" s="793">
        <v>43961</v>
      </c>
      <c r="G119" s="795">
        <v>11440.864000000001</v>
      </c>
      <c r="H119" s="795">
        <v>7851.44</v>
      </c>
      <c r="I119" s="795">
        <v>685.6880000000001</v>
      </c>
      <c r="J119" s="795">
        <v>644.32000000000005</v>
      </c>
      <c r="K119" s="795">
        <v>12537.6</v>
      </c>
      <c r="L119" s="795">
        <v>2310.3680000000004</v>
      </c>
    </row>
    <row r="120" spans="1:12">
      <c r="A120" s="790" t="s">
        <v>28</v>
      </c>
      <c r="B120" s="793">
        <v>44409</v>
      </c>
      <c r="C120" s="747">
        <v>9502324.700000003</v>
      </c>
      <c r="E120" s="322" t="s">
        <v>89</v>
      </c>
      <c r="F120" s="793">
        <v>43962</v>
      </c>
      <c r="G120" s="795">
        <v>11440.864000000001</v>
      </c>
      <c r="H120" s="795">
        <v>7851.44</v>
      </c>
      <c r="I120" s="795">
        <v>685.6880000000001</v>
      </c>
      <c r="J120" s="795">
        <v>644.32000000000005</v>
      </c>
      <c r="K120" s="795">
        <v>12537.6</v>
      </c>
      <c r="L120" s="795">
        <v>2310.3680000000004</v>
      </c>
    </row>
    <row r="121" spans="1:12">
      <c r="A121" s="790" t="s">
        <v>175</v>
      </c>
      <c r="B121" s="793">
        <v>44409</v>
      </c>
      <c r="C121" s="747">
        <v>1194160.0100000002</v>
      </c>
      <c r="E121" s="322" t="s">
        <v>88</v>
      </c>
      <c r="F121" s="793">
        <v>43963</v>
      </c>
      <c r="G121" s="795">
        <v>30022.096000000005</v>
      </c>
      <c r="H121" s="795">
        <v>12309.456</v>
      </c>
      <c r="I121" s="795">
        <v>7232.4480000000003</v>
      </c>
      <c r="J121" s="795">
        <v>1447.7440000000001</v>
      </c>
      <c r="K121" s="795">
        <v>104297.16</v>
      </c>
      <c r="L121" s="795">
        <v>5320.5519999999997</v>
      </c>
    </row>
    <row r="122" spans="1:12">
      <c r="A122" s="790" t="s">
        <v>173</v>
      </c>
      <c r="B122" s="793">
        <v>44440</v>
      </c>
      <c r="C122" s="747">
        <v>1857647.65</v>
      </c>
      <c r="E122" s="322" t="s">
        <v>87</v>
      </c>
      <c r="F122" s="793">
        <v>43964</v>
      </c>
      <c r="G122" s="795">
        <v>150660.78400000001</v>
      </c>
      <c r="H122" s="795">
        <v>67184.504000000001</v>
      </c>
      <c r="I122" s="795">
        <v>16198.752</v>
      </c>
      <c r="J122" s="795">
        <v>11258.352000000001</v>
      </c>
      <c r="K122" s="795">
        <v>251457.24</v>
      </c>
      <c r="L122" s="795">
        <v>33399.288</v>
      </c>
    </row>
    <row r="123" spans="1:12">
      <c r="A123" s="790" t="s">
        <v>291</v>
      </c>
      <c r="B123" s="793">
        <v>44440</v>
      </c>
      <c r="C123" s="747">
        <v>1222071.4700000002</v>
      </c>
      <c r="E123" s="322" t="s">
        <v>90</v>
      </c>
      <c r="F123" s="793">
        <v>43965</v>
      </c>
      <c r="G123" s="795">
        <v>21439.800000000003</v>
      </c>
      <c r="H123" s="795">
        <v>11827.856</v>
      </c>
      <c r="I123" s="795">
        <v>1531.3760000000002</v>
      </c>
      <c r="J123" s="795">
        <v>497.19200000000001</v>
      </c>
      <c r="K123" s="795">
        <v>20687.04</v>
      </c>
      <c r="L123" s="795">
        <v>4842.3840000000009</v>
      </c>
    </row>
    <row r="124" spans="1:12">
      <c r="A124" s="790" t="s">
        <v>174</v>
      </c>
      <c r="B124" s="793">
        <v>44440</v>
      </c>
      <c r="C124" s="747">
        <v>566551.60000000009</v>
      </c>
      <c r="E124" s="322" t="s">
        <v>91</v>
      </c>
      <c r="F124" s="793">
        <v>43966</v>
      </c>
      <c r="G124" s="795">
        <v>18356.448</v>
      </c>
      <c r="H124" s="795">
        <v>9397.9840000000004</v>
      </c>
      <c r="I124" s="795">
        <v>2270.4</v>
      </c>
      <c r="J124" s="795">
        <v>546.72799999999995</v>
      </c>
      <c r="K124" s="795">
        <v>36123.96</v>
      </c>
      <c r="L124" s="795">
        <v>2705.8160000000003</v>
      </c>
    </row>
    <row r="125" spans="1:12">
      <c r="A125" s="790" t="s">
        <v>292</v>
      </c>
      <c r="B125" s="793">
        <v>44440</v>
      </c>
      <c r="C125" s="747">
        <v>208791.65999999997</v>
      </c>
      <c r="E125" s="322" t="s">
        <v>93</v>
      </c>
      <c r="F125" s="793">
        <v>43967</v>
      </c>
      <c r="G125" s="795">
        <v>39281.784000000007</v>
      </c>
      <c r="H125" s="795">
        <v>14371.872000000001</v>
      </c>
      <c r="I125" s="795">
        <v>4723.6160000000009</v>
      </c>
      <c r="J125" s="795">
        <v>512.25600000000009</v>
      </c>
      <c r="K125" s="795">
        <v>55713.96</v>
      </c>
      <c r="L125" s="795">
        <v>6117.3360000000002</v>
      </c>
    </row>
    <row r="126" spans="1:12">
      <c r="A126" s="790" t="s">
        <v>28</v>
      </c>
      <c r="B126" s="793">
        <v>44440</v>
      </c>
      <c r="C126" s="747">
        <v>9106293.5099999998</v>
      </c>
      <c r="E126" s="322" t="s">
        <v>94</v>
      </c>
      <c r="F126" s="793">
        <v>43968</v>
      </c>
      <c r="G126" s="795">
        <v>13853.008</v>
      </c>
      <c r="H126" s="795">
        <v>3917.9440000000004</v>
      </c>
      <c r="I126" s="795">
        <v>1024.72</v>
      </c>
      <c r="J126" s="795">
        <v>278.84000000000003</v>
      </c>
      <c r="K126" s="795">
        <v>13477.920000000002</v>
      </c>
      <c r="L126" s="795">
        <v>1431.3200000000002</v>
      </c>
    </row>
    <row r="127" spans="1:12">
      <c r="A127" s="790" t="s">
        <v>175</v>
      </c>
      <c r="B127" s="793">
        <v>44440</v>
      </c>
      <c r="C127" s="747">
        <v>954113.71</v>
      </c>
      <c r="E127" s="322" t="s">
        <v>92</v>
      </c>
      <c r="F127" s="793">
        <v>43969</v>
      </c>
      <c r="G127" s="795">
        <v>13853.008</v>
      </c>
      <c r="H127" s="795">
        <v>3917.9440000000004</v>
      </c>
      <c r="I127" s="795">
        <v>1024.72</v>
      </c>
      <c r="J127" s="795">
        <v>278.84000000000003</v>
      </c>
      <c r="K127" s="795">
        <v>13477.920000000002</v>
      </c>
      <c r="L127" s="795">
        <v>1431.3200000000002</v>
      </c>
    </row>
    <row r="128" spans="1:12">
      <c r="A128" s="790" t="s">
        <v>173</v>
      </c>
      <c r="B128" s="793">
        <v>44470</v>
      </c>
      <c r="C128" s="747">
        <v>1397106.54</v>
      </c>
      <c r="E128" s="322" t="s">
        <v>95</v>
      </c>
      <c r="F128" s="793">
        <v>43970</v>
      </c>
      <c r="G128" s="795">
        <v>140905.04</v>
      </c>
      <c r="H128" s="795">
        <v>44998.815999999999</v>
      </c>
      <c r="I128" s="795">
        <v>15936.495999999999</v>
      </c>
      <c r="J128" s="795">
        <v>7156.4240000000009</v>
      </c>
      <c r="K128" s="795">
        <v>149824.32000000001</v>
      </c>
      <c r="L128" s="795">
        <v>22940.631999999994</v>
      </c>
    </row>
    <row r="129" spans="1:12">
      <c r="A129" s="790" t="s">
        <v>291</v>
      </c>
      <c r="B129" s="793">
        <v>44470</v>
      </c>
      <c r="C129" s="747">
        <v>1068961.9099999997</v>
      </c>
      <c r="E129" s="322" t="s">
        <v>96</v>
      </c>
      <c r="F129" s="793">
        <v>43971</v>
      </c>
      <c r="G129" s="795">
        <v>20763.696</v>
      </c>
      <c r="H129" s="795">
        <v>15047.36</v>
      </c>
      <c r="I129" s="795">
        <v>2811.328</v>
      </c>
      <c r="J129" s="795">
        <v>845.12000000000012</v>
      </c>
      <c r="K129" s="795">
        <v>38082.959999999999</v>
      </c>
      <c r="L129" s="795">
        <v>3906.3119999999999</v>
      </c>
    </row>
    <row r="130" spans="1:12">
      <c r="A130" s="790" t="s">
        <v>174</v>
      </c>
      <c r="B130" s="793">
        <v>44470</v>
      </c>
      <c r="C130" s="747">
        <v>501361.36999999994</v>
      </c>
      <c r="E130" s="322" t="s">
        <v>98</v>
      </c>
      <c r="F130" s="793">
        <v>43972</v>
      </c>
      <c r="G130" s="795">
        <v>20763.696</v>
      </c>
      <c r="H130" s="795">
        <v>15047.36</v>
      </c>
      <c r="I130" s="795">
        <v>2811.328</v>
      </c>
      <c r="J130" s="795">
        <v>845.12000000000012</v>
      </c>
      <c r="K130" s="795">
        <v>38082.959999999999</v>
      </c>
      <c r="L130" s="795">
        <v>3906.3119999999999</v>
      </c>
    </row>
    <row r="131" spans="1:12">
      <c r="A131" s="790" t="s">
        <v>292</v>
      </c>
      <c r="B131" s="793">
        <v>44470</v>
      </c>
      <c r="C131" s="747">
        <v>181682.56</v>
      </c>
      <c r="E131" s="322" t="s">
        <v>99</v>
      </c>
      <c r="F131" s="793">
        <v>43973</v>
      </c>
      <c r="G131" s="795">
        <v>20763.696</v>
      </c>
      <c r="H131" s="795">
        <v>15047.36</v>
      </c>
      <c r="I131" s="795">
        <v>2811.328</v>
      </c>
      <c r="J131" s="795">
        <v>845.12000000000012</v>
      </c>
      <c r="K131" s="795">
        <v>38082.959999999999</v>
      </c>
      <c r="L131" s="795">
        <v>3906.3119999999999</v>
      </c>
    </row>
    <row r="132" spans="1:12">
      <c r="A132" s="790" t="s">
        <v>28</v>
      </c>
      <c r="B132" s="793">
        <v>44470</v>
      </c>
      <c r="C132" s="747">
        <v>8619972.4199999999</v>
      </c>
      <c r="E132" s="322" t="s">
        <v>97</v>
      </c>
      <c r="F132" s="793">
        <v>43974</v>
      </c>
      <c r="G132" s="795">
        <v>163836.448</v>
      </c>
      <c r="H132" s="795">
        <v>44244.456000000006</v>
      </c>
      <c r="I132" s="795">
        <v>25030.760000000002</v>
      </c>
      <c r="J132" s="795">
        <v>8636.344000000001</v>
      </c>
      <c r="K132" s="795">
        <v>446652</v>
      </c>
      <c r="L132" s="795">
        <v>17703.04</v>
      </c>
    </row>
    <row r="133" spans="1:12">
      <c r="A133" s="790" t="s">
        <v>175</v>
      </c>
      <c r="B133" s="793">
        <v>44470</v>
      </c>
      <c r="C133" s="747">
        <v>833311.44000000018</v>
      </c>
      <c r="E133" s="322" t="s">
        <v>100</v>
      </c>
      <c r="F133" s="793">
        <v>43975</v>
      </c>
      <c r="G133" s="795">
        <v>118827.63200000001</v>
      </c>
      <c r="H133" s="795">
        <v>20184.176000000003</v>
      </c>
      <c r="I133" s="795">
        <v>14580.064000000002</v>
      </c>
      <c r="J133" s="795">
        <v>3281.1040000000003</v>
      </c>
      <c r="K133" s="795">
        <v>322529.76</v>
      </c>
      <c r="L133" s="795">
        <v>9642.4159999999993</v>
      </c>
    </row>
    <row r="134" spans="1:12">
      <c r="A134" s="790" t="s">
        <v>173</v>
      </c>
      <c r="B134" s="793">
        <v>44501</v>
      </c>
      <c r="C134" s="747">
        <v>1328599.46</v>
      </c>
      <c r="E134" s="322" t="s">
        <v>102</v>
      </c>
      <c r="F134" s="793">
        <v>43976</v>
      </c>
      <c r="G134" s="795">
        <v>13182.032000000001</v>
      </c>
      <c r="H134" s="795">
        <v>4824.8480000000009</v>
      </c>
      <c r="I134" s="795">
        <v>1005.672</v>
      </c>
      <c r="J134" s="795">
        <v>639.18400000000008</v>
      </c>
      <c r="K134" s="795">
        <v>27739.440000000002</v>
      </c>
      <c r="L134" s="795">
        <v>1719.0239999999999</v>
      </c>
    </row>
    <row r="135" spans="1:12">
      <c r="A135" s="790" t="s">
        <v>291</v>
      </c>
      <c r="B135" s="793">
        <v>44501</v>
      </c>
      <c r="C135" s="747">
        <v>1053596.79</v>
      </c>
      <c r="E135" s="322" t="s">
        <v>101</v>
      </c>
      <c r="F135" s="793">
        <v>43977</v>
      </c>
      <c r="G135" s="795">
        <v>13182.032000000001</v>
      </c>
      <c r="H135" s="795">
        <v>4824.8480000000009</v>
      </c>
      <c r="I135" s="795">
        <v>1005.672</v>
      </c>
      <c r="J135" s="795">
        <v>639.18400000000008</v>
      </c>
      <c r="K135" s="795">
        <v>27739.440000000002</v>
      </c>
      <c r="L135" s="795">
        <v>1719.0239999999999</v>
      </c>
    </row>
    <row r="136" spans="1:12">
      <c r="A136" s="790" t="s">
        <v>174</v>
      </c>
      <c r="B136" s="793">
        <v>44501</v>
      </c>
      <c r="C136" s="747">
        <v>436826.88</v>
      </c>
      <c r="E136" s="322" t="s">
        <v>103</v>
      </c>
      <c r="F136" s="793">
        <v>43978</v>
      </c>
      <c r="G136" s="795">
        <v>7324.2080000000005</v>
      </c>
      <c r="H136" s="795">
        <v>9993.384</v>
      </c>
      <c r="I136" s="795">
        <v>700.928</v>
      </c>
      <c r="J136" s="795">
        <v>1525.3040000000001</v>
      </c>
      <c r="K136" s="795">
        <v>26093.88</v>
      </c>
      <c r="L136" s="795">
        <v>3903.3120000000004</v>
      </c>
    </row>
    <row r="137" spans="1:12">
      <c r="A137" s="790" t="s">
        <v>292</v>
      </c>
      <c r="B137" s="793">
        <v>44501</v>
      </c>
      <c r="C137" s="747">
        <v>174722.39</v>
      </c>
      <c r="E137" s="322" t="s">
        <v>77</v>
      </c>
      <c r="F137" s="793">
        <v>43983</v>
      </c>
      <c r="G137" s="795">
        <v>9320.3120000000017</v>
      </c>
      <c r="H137" s="795">
        <v>1915.1120000000001</v>
      </c>
      <c r="I137" s="795">
        <v>1538.9920000000002</v>
      </c>
      <c r="J137" s="795">
        <v>295.49600000000004</v>
      </c>
      <c r="K137" s="795">
        <v>13164.48</v>
      </c>
      <c r="L137" s="795">
        <v>2931.6960000000004</v>
      </c>
    </row>
    <row r="138" spans="1:12">
      <c r="A138" s="790" t="s">
        <v>28</v>
      </c>
      <c r="B138" s="793">
        <v>44501</v>
      </c>
      <c r="C138" s="747">
        <v>8449852.6500000004</v>
      </c>
      <c r="E138" s="322" t="s">
        <v>78</v>
      </c>
      <c r="F138" s="793">
        <v>43984</v>
      </c>
      <c r="G138" s="795">
        <v>22298.959999999999</v>
      </c>
      <c r="H138" s="795">
        <v>10994.336000000001</v>
      </c>
      <c r="I138" s="795">
        <v>182.84800000000001</v>
      </c>
      <c r="J138" s="795">
        <v>297.44</v>
      </c>
      <c r="K138" s="795">
        <v>34400.04</v>
      </c>
      <c r="L138" s="795">
        <v>3645.5840000000003</v>
      </c>
    </row>
    <row r="139" spans="1:12">
      <c r="A139" s="790" t="s">
        <v>175</v>
      </c>
      <c r="B139" s="793">
        <v>44501</v>
      </c>
      <c r="C139" s="747">
        <v>891750.07000000007</v>
      </c>
      <c r="E139" s="322" t="s">
        <v>80</v>
      </c>
      <c r="F139" s="793">
        <v>43985</v>
      </c>
      <c r="G139" s="795">
        <v>22298.959999999999</v>
      </c>
      <c r="H139" s="795">
        <v>10994.336000000001</v>
      </c>
      <c r="I139" s="795">
        <v>182.84800000000001</v>
      </c>
      <c r="J139" s="795">
        <v>297.44</v>
      </c>
      <c r="K139" s="795">
        <v>34400.04</v>
      </c>
      <c r="L139" s="795">
        <v>3645.5840000000003</v>
      </c>
    </row>
    <row r="140" spans="1:12">
      <c r="A140" s="790" t="s">
        <v>173</v>
      </c>
      <c r="B140" s="793">
        <v>44531</v>
      </c>
      <c r="C140" s="747">
        <v>1575611.9700000002</v>
      </c>
      <c r="E140" s="322" t="s">
        <v>79</v>
      </c>
      <c r="F140" s="793">
        <v>43986</v>
      </c>
      <c r="G140" s="795">
        <v>11290.143999999998</v>
      </c>
      <c r="H140" s="795">
        <v>3764.2160000000003</v>
      </c>
      <c r="I140" s="795">
        <v>2836.8240000000001</v>
      </c>
      <c r="J140" s="795">
        <v>435.63200000000001</v>
      </c>
      <c r="K140" s="795">
        <v>14888.400000000001</v>
      </c>
      <c r="L140" s="795">
        <v>1714.6480000000001</v>
      </c>
    </row>
    <row r="141" spans="1:12">
      <c r="A141" s="790" t="s">
        <v>291</v>
      </c>
      <c r="B141" s="793">
        <v>44531</v>
      </c>
      <c r="C141" s="747">
        <v>1464308.8900000001</v>
      </c>
      <c r="E141" s="322" t="s">
        <v>81</v>
      </c>
      <c r="F141" s="793">
        <v>43987</v>
      </c>
      <c r="G141" s="795">
        <v>78866.736000000004</v>
      </c>
      <c r="H141" s="795">
        <v>18748.416000000001</v>
      </c>
      <c r="I141" s="795">
        <v>11102.448</v>
      </c>
      <c r="J141" s="795">
        <v>1449.5440000000001</v>
      </c>
      <c r="K141" s="795">
        <v>90819.24</v>
      </c>
      <c r="L141" s="795">
        <v>6651.72</v>
      </c>
    </row>
    <row r="142" spans="1:12">
      <c r="A142" s="790" t="s">
        <v>174</v>
      </c>
      <c r="B142" s="793">
        <v>44531</v>
      </c>
      <c r="C142" s="747">
        <v>532366.34000000008</v>
      </c>
      <c r="E142" s="322" t="s">
        <v>82</v>
      </c>
      <c r="F142" s="793">
        <v>43988</v>
      </c>
      <c r="G142" s="795">
        <v>51427.80000000001</v>
      </c>
      <c r="H142" s="795">
        <v>8411.3680000000004</v>
      </c>
      <c r="I142" s="795">
        <v>3276.0480000000002</v>
      </c>
      <c r="J142" s="795">
        <v>678.08</v>
      </c>
      <c r="K142" s="795">
        <v>68016.48000000001</v>
      </c>
      <c r="L142" s="795">
        <v>9590.1839999999993</v>
      </c>
    </row>
    <row r="143" spans="1:12">
      <c r="A143" s="790" t="s">
        <v>292</v>
      </c>
      <c r="B143" s="793">
        <v>44531</v>
      </c>
      <c r="C143" s="747">
        <v>266578.26999999996</v>
      </c>
      <c r="E143" s="322" t="s">
        <v>83</v>
      </c>
      <c r="F143" s="793">
        <v>43989</v>
      </c>
      <c r="G143" s="795">
        <v>85062.576000000001</v>
      </c>
      <c r="H143" s="795">
        <v>26023.592000000004</v>
      </c>
      <c r="I143" s="795">
        <v>9762.2000000000007</v>
      </c>
      <c r="J143" s="795">
        <v>2493.3040000000001</v>
      </c>
      <c r="K143" s="795">
        <v>99047.040000000008</v>
      </c>
      <c r="L143" s="795">
        <v>10220.784000000001</v>
      </c>
    </row>
    <row r="144" spans="1:12">
      <c r="A144" s="790" t="s">
        <v>28</v>
      </c>
      <c r="B144" s="793">
        <v>44531</v>
      </c>
      <c r="C144" s="747">
        <v>8112612.9399999985</v>
      </c>
      <c r="E144" s="322" t="s">
        <v>84</v>
      </c>
      <c r="F144" s="793">
        <v>43990</v>
      </c>
      <c r="G144" s="795">
        <v>50946.192000000003</v>
      </c>
      <c r="H144" s="795">
        <v>8620.2960000000003</v>
      </c>
      <c r="I144" s="795">
        <v>4214.4160000000002</v>
      </c>
      <c r="J144" s="795">
        <v>519.52</v>
      </c>
      <c r="K144" s="795">
        <v>75460.680000000008</v>
      </c>
      <c r="L144" s="795">
        <v>4955.6320000000005</v>
      </c>
    </row>
    <row r="145" spans="1:12">
      <c r="A145" s="790" t="s">
        <v>175</v>
      </c>
      <c r="B145" s="793">
        <v>44531</v>
      </c>
      <c r="C145" s="747">
        <v>827537.54000000015</v>
      </c>
      <c r="E145" s="322" t="s">
        <v>85</v>
      </c>
      <c r="F145" s="793">
        <v>43991</v>
      </c>
      <c r="G145" s="795">
        <v>70346.64</v>
      </c>
      <c r="H145" s="795">
        <v>24349</v>
      </c>
      <c r="I145" s="795">
        <v>8813.6720000000005</v>
      </c>
      <c r="J145" s="795">
        <v>1812.7919999999999</v>
      </c>
      <c r="K145" s="795">
        <v>187828.92</v>
      </c>
      <c r="L145" s="795">
        <v>11446.232</v>
      </c>
    </row>
    <row r="146" spans="1:12">
      <c r="A146" s="790" t="s">
        <v>173</v>
      </c>
      <c r="B146" s="793">
        <v>44562</v>
      </c>
      <c r="C146" s="747">
        <v>11173689.340000002</v>
      </c>
      <c r="E146" s="322" t="s">
        <v>86</v>
      </c>
      <c r="F146" s="793">
        <v>43992</v>
      </c>
      <c r="G146" s="795">
        <v>23737.912000000004</v>
      </c>
      <c r="H146" s="795">
        <v>12072.192000000003</v>
      </c>
      <c r="I146" s="795">
        <v>2110.4</v>
      </c>
      <c r="J146" s="795">
        <v>163.56</v>
      </c>
      <c r="K146" s="795">
        <v>27112.559999999998</v>
      </c>
      <c r="L146" s="795">
        <v>3687.5280000000007</v>
      </c>
    </row>
    <row r="147" spans="1:12">
      <c r="A147" s="790" t="s">
        <v>291</v>
      </c>
      <c r="B147" s="793">
        <v>44562</v>
      </c>
      <c r="C147" s="747">
        <v>1624877.0600000003</v>
      </c>
      <c r="E147" s="322" t="s">
        <v>89</v>
      </c>
      <c r="F147" s="793">
        <v>43993</v>
      </c>
      <c r="G147" s="795">
        <v>23737.912000000004</v>
      </c>
      <c r="H147" s="795">
        <v>12072.192000000003</v>
      </c>
      <c r="I147" s="795">
        <v>2110.4</v>
      </c>
      <c r="J147" s="795">
        <v>163.56</v>
      </c>
      <c r="K147" s="795">
        <v>27112.559999999998</v>
      </c>
      <c r="L147" s="795">
        <v>3687.5280000000007</v>
      </c>
    </row>
    <row r="148" spans="1:12">
      <c r="A148" s="790" t="s">
        <v>174</v>
      </c>
      <c r="B148" s="793">
        <v>44562</v>
      </c>
      <c r="C148" s="747">
        <v>414294.46</v>
      </c>
      <c r="E148" s="322" t="s">
        <v>88</v>
      </c>
      <c r="F148" s="793">
        <v>43994</v>
      </c>
      <c r="G148" s="795">
        <v>42391.167999999998</v>
      </c>
      <c r="H148" s="795">
        <v>15826.816000000001</v>
      </c>
      <c r="I148" s="795">
        <v>5240.4480000000012</v>
      </c>
      <c r="J148" s="795">
        <v>1705.88</v>
      </c>
      <c r="K148" s="795">
        <v>133995.6</v>
      </c>
      <c r="L148" s="795">
        <v>6491.9439999999995</v>
      </c>
    </row>
    <row r="149" spans="1:12">
      <c r="A149" s="790" t="s">
        <v>292</v>
      </c>
      <c r="B149" s="793">
        <v>44562</v>
      </c>
      <c r="C149" s="747">
        <v>273703.60000000003</v>
      </c>
      <c r="E149" s="322" t="s">
        <v>87</v>
      </c>
      <c r="F149" s="793">
        <v>43995</v>
      </c>
      <c r="G149" s="795">
        <v>234616.93599999999</v>
      </c>
      <c r="H149" s="795">
        <v>87725.216000000015</v>
      </c>
      <c r="I149" s="795">
        <v>25764.096000000005</v>
      </c>
      <c r="J149" s="795">
        <v>11858.968000000001</v>
      </c>
      <c r="K149" s="795">
        <v>317514.72000000003</v>
      </c>
      <c r="L149" s="795">
        <v>35544.544000000002</v>
      </c>
    </row>
    <row r="150" spans="1:12">
      <c r="A150" s="790" t="s">
        <v>28</v>
      </c>
      <c r="B150" s="793">
        <v>44562</v>
      </c>
      <c r="C150" s="747">
        <v>6710688.8400000008</v>
      </c>
      <c r="E150" s="322" t="s">
        <v>90</v>
      </c>
      <c r="F150" s="793">
        <v>43996</v>
      </c>
      <c r="G150" s="795">
        <v>41889.936000000002</v>
      </c>
      <c r="H150" s="795">
        <v>16226.992000000002</v>
      </c>
      <c r="I150" s="795">
        <v>4418.88</v>
      </c>
      <c r="J150" s="795">
        <v>1148.7920000000001</v>
      </c>
      <c r="K150" s="795">
        <v>44821.920000000006</v>
      </c>
      <c r="L150" s="795">
        <v>5226.0880000000006</v>
      </c>
    </row>
    <row r="151" spans="1:12">
      <c r="A151" s="790" t="s">
        <v>175</v>
      </c>
      <c r="B151" s="793">
        <v>44562</v>
      </c>
      <c r="C151" s="747">
        <v>653615.37</v>
      </c>
      <c r="E151" s="322" t="s">
        <v>91</v>
      </c>
      <c r="F151" s="793">
        <v>43997</v>
      </c>
      <c r="G151" s="795">
        <v>34712.400000000001</v>
      </c>
      <c r="H151" s="795">
        <v>11919.736000000001</v>
      </c>
      <c r="I151" s="795">
        <v>3535.12</v>
      </c>
      <c r="J151" s="795">
        <v>82.00800000000001</v>
      </c>
      <c r="K151" s="795">
        <v>39963.600000000006</v>
      </c>
      <c r="L151" s="795">
        <v>3374.2639999999997</v>
      </c>
    </row>
    <row r="152" spans="1:12">
      <c r="A152" s="790" t="s">
        <v>173</v>
      </c>
      <c r="B152" s="793">
        <v>44593</v>
      </c>
      <c r="C152" s="747">
        <v>12922947.51</v>
      </c>
      <c r="E152" s="322" t="s">
        <v>93</v>
      </c>
      <c r="F152" s="793">
        <v>43998</v>
      </c>
      <c r="G152" s="795">
        <v>52520.056000000011</v>
      </c>
      <c r="H152" s="795">
        <v>16920</v>
      </c>
      <c r="I152" s="795">
        <v>5683.5840000000007</v>
      </c>
      <c r="J152" s="795">
        <v>993.84</v>
      </c>
      <c r="K152" s="795">
        <v>68721.72</v>
      </c>
      <c r="L152" s="795">
        <v>6669.2720000000008</v>
      </c>
    </row>
    <row r="153" spans="1:12">
      <c r="A153" s="790" t="s">
        <v>291</v>
      </c>
      <c r="B153" s="793">
        <v>44593</v>
      </c>
      <c r="C153" s="747">
        <v>1899576.1600000001</v>
      </c>
      <c r="E153" s="322" t="s">
        <v>94</v>
      </c>
      <c r="F153" s="793">
        <v>43999</v>
      </c>
      <c r="G153" s="795">
        <v>14661.528000000004</v>
      </c>
      <c r="H153" s="795">
        <v>2119.9919999999997</v>
      </c>
      <c r="I153" s="795">
        <v>1978.7439999999999</v>
      </c>
      <c r="J153" s="795">
        <v>867.35200000000009</v>
      </c>
      <c r="K153" s="795">
        <v>22881.120000000003</v>
      </c>
      <c r="L153" s="795">
        <v>1027.9440000000002</v>
      </c>
    </row>
    <row r="154" spans="1:12">
      <c r="A154" s="790" t="s">
        <v>174</v>
      </c>
      <c r="B154" s="793">
        <v>44593</v>
      </c>
      <c r="C154" s="747">
        <v>388254.64000000007</v>
      </c>
      <c r="E154" s="322" t="s">
        <v>92</v>
      </c>
      <c r="F154" s="793">
        <v>44000</v>
      </c>
      <c r="G154" s="795">
        <v>14661.528000000004</v>
      </c>
      <c r="H154" s="795">
        <v>2119.9919999999997</v>
      </c>
      <c r="I154" s="795">
        <v>1978.7439999999999</v>
      </c>
      <c r="J154" s="795">
        <v>867.35200000000009</v>
      </c>
      <c r="K154" s="795">
        <v>22881.120000000003</v>
      </c>
      <c r="L154" s="795">
        <v>1027.9440000000002</v>
      </c>
    </row>
    <row r="155" spans="1:12">
      <c r="A155" s="790" t="s">
        <v>292</v>
      </c>
      <c r="B155" s="793">
        <v>44593</v>
      </c>
      <c r="C155" s="747">
        <v>365541.57999999996</v>
      </c>
      <c r="E155" s="322" t="s">
        <v>95</v>
      </c>
      <c r="F155" s="793">
        <v>44001</v>
      </c>
      <c r="G155" s="795">
        <v>233695.52800000005</v>
      </c>
      <c r="H155" s="795">
        <v>63753.872000000003</v>
      </c>
      <c r="I155" s="795">
        <v>34346.624000000003</v>
      </c>
      <c r="J155" s="795">
        <v>6892.7520000000004</v>
      </c>
      <c r="K155" s="795">
        <v>233277.72000000003</v>
      </c>
      <c r="L155" s="795">
        <v>31326.879999999997</v>
      </c>
    </row>
    <row r="156" spans="1:12">
      <c r="A156" s="790" t="s">
        <v>28</v>
      </c>
      <c r="B156" s="793">
        <v>44593</v>
      </c>
      <c r="C156" s="747">
        <v>8213576.4000000013</v>
      </c>
      <c r="E156" s="322" t="s">
        <v>96</v>
      </c>
      <c r="F156" s="793">
        <v>44002</v>
      </c>
      <c r="G156" s="795">
        <v>30129.712</v>
      </c>
      <c r="H156" s="795">
        <v>16622.416000000001</v>
      </c>
      <c r="I156" s="795">
        <v>2247.5360000000001</v>
      </c>
      <c r="J156" s="795">
        <v>817.56000000000006</v>
      </c>
      <c r="K156" s="795">
        <v>37299.360000000001</v>
      </c>
      <c r="L156" s="795">
        <v>5248.7120000000004</v>
      </c>
    </row>
    <row r="157" spans="1:12">
      <c r="A157" s="790" t="s">
        <v>175</v>
      </c>
      <c r="B157" s="793">
        <v>44593</v>
      </c>
      <c r="C157" s="747">
        <v>853304.14000000013</v>
      </c>
      <c r="E157" s="322" t="s">
        <v>98</v>
      </c>
      <c r="F157" s="793">
        <v>44003</v>
      </c>
      <c r="G157" s="795">
        <v>30129.712</v>
      </c>
      <c r="H157" s="795">
        <v>16622.416000000001</v>
      </c>
      <c r="I157" s="795">
        <v>2247.5360000000001</v>
      </c>
      <c r="J157" s="795">
        <v>817.56000000000006</v>
      </c>
      <c r="K157" s="795">
        <v>37299.360000000001</v>
      </c>
      <c r="L157" s="795">
        <v>5248.7120000000004</v>
      </c>
    </row>
    <row r="158" spans="1:12">
      <c r="A158" s="790" t="s">
        <v>173</v>
      </c>
      <c r="B158" s="793">
        <v>44621</v>
      </c>
      <c r="C158" s="747">
        <v>11210919.770000003</v>
      </c>
      <c r="E158" s="322" t="s">
        <v>99</v>
      </c>
      <c r="F158" s="793">
        <v>44004</v>
      </c>
      <c r="G158" s="795">
        <v>30129.712</v>
      </c>
      <c r="H158" s="795">
        <v>16622.416000000001</v>
      </c>
      <c r="I158" s="795">
        <v>2247.5360000000001</v>
      </c>
      <c r="J158" s="795">
        <v>817.56000000000006</v>
      </c>
      <c r="K158" s="795">
        <v>37299.360000000001</v>
      </c>
      <c r="L158" s="795">
        <v>5248.7120000000004</v>
      </c>
    </row>
    <row r="159" spans="1:12">
      <c r="A159" s="790" t="s">
        <v>291</v>
      </c>
      <c r="B159" s="793">
        <v>44621</v>
      </c>
      <c r="C159" s="747">
        <v>2008511.47</v>
      </c>
      <c r="E159" s="322" t="s">
        <v>97</v>
      </c>
      <c r="F159" s="793">
        <v>44005</v>
      </c>
      <c r="G159" s="795">
        <v>256787.51200000002</v>
      </c>
      <c r="H159" s="795">
        <v>58944.072</v>
      </c>
      <c r="I159" s="795">
        <v>37227.167999999998</v>
      </c>
      <c r="J159" s="795">
        <v>12704.704</v>
      </c>
      <c r="K159" s="795">
        <v>527206.07999999996</v>
      </c>
      <c r="L159" s="795">
        <v>22149.696000000004</v>
      </c>
    </row>
    <row r="160" spans="1:12">
      <c r="A160" s="790" t="s">
        <v>174</v>
      </c>
      <c r="B160" s="793">
        <v>44621</v>
      </c>
      <c r="C160" s="747">
        <v>226604.12</v>
      </c>
      <c r="E160" s="322" t="s">
        <v>100</v>
      </c>
      <c r="F160" s="793">
        <v>44006</v>
      </c>
      <c r="G160" s="795">
        <v>183298.66400000002</v>
      </c>
      <c r="H160" s="795">
        <v>26316.216</v>
      </c>
      <c r="I160" s="795">
        <v>28890.368000000002</v>
      </c>
      <c r="J160" s="795">
        <v>4661.6400000000003</v>
      </c>
      <c r="K160" s="795">
        <v>352933.44</v>
      </c>
      <c r="L160" s="795">
        <v>14790.656000000003</v>
      </c>
    </row>
    <row r="161" spans="1:12">
      <c r="A161" s="790" t="s">
        <v>292</v>
      </c>
      <c r="B161" s="793">
        <v>44621</v>
      </c>
      <c r="C161" s="747">
        <v>373921.95</v>
      </c>
      <c r="E161" s="322" t="s">
        <v>102</v>
      </c>
      <c r="F161" s="793">
        <v>44007</v>
      </c>
      <c r="G161" s="795">
        <v>24239.119999999999</v>
      </c>
      <c r="H161" s="795">
        <v>10043.416000000001</v>
      </c>
      <c r="I161" s="795">
        <v>1158.056</v>
      </c>
      <c r="J161" s="795">
        <v>1288.1280000000002</v>
      </c>
      <c r="K161" s="795">
        <v>36515.760000000002</v>
      </c>
      <c r="L161" s="795">
        <v>3492.4560000000001</v>
      </c>
    </row>
    <row r="162" spans="1:12">
      <c r="A162" s="790" t="s">
        <v>28</v>
      </c>
      <c r="B162" s="793">
        <v>44621</v>
      </c>
      <c r="C162" s="747">
        <v>10254889.440000001</v>
      </c>
      <c r="E162" s="322" t="s">
        <v>101</v>
      </c>
      <c r="F162" s="793">
        <v>44008</v>
      </c>
      <c r="G162" s="795">
        <v>24239.119999999999</v>
      </c>
      <c r="H162" s="795">
        <v>10043.416000000001</v>
      </c>
      <c r="I162" s="795">
        <v>1158.056</v>
      </c>
      <c r="J162" s="795">
        <v>1288.1280000000002</v>
      </c>
      <c r="K162" s="795">
        <v>36515.760000000002</v>
      </c>
      <c r="L162" s="795">
        <v>3492.4560000000001</v>
      </c>
    </row>
    <row r="163" spans="1:12">
      <c r="A163" s="790" t="s">
        <v>175</v>
      </c>
      <c r="B163" s="793">
        <v>44621</v>
      </c>
      <c r="C163" s="747">
        <v>947933.65000000014</v>
      </c>
      <c r="E163" s="322" t="s">
        <v>103</v>
      </c>
      <c r="F163" s="793">
        <v>44009</v>
      </c>
      <c r="G163" s="795">
        <v>13765.832000000002</v>
      </c>
      <c r="H163" s="795">
        <v>6381.8559999999998</v>
      </c>
      <c r="I163" s="795">
        <v>2049.4480000000003</v>
      </c>
      <c r="J163" s="795">
        <v>1653.1279999999999</v>
      </c>
      <c r="K163" s="795">
        <v>28601.4</v>
      </c>
      <c r="L163" s="795">
        <v>3467.904</v>
      </c>
    </row>
    <row r="164" spans="1:12">
      <c r="A164" s="790" t="s">
        <v>173</v>
      </c>
      <c r="B164" s="793">
        <v>44652</v>
      </c>
      <c r="C164" s="747">
        <v>5269558.5399999991</v>
      </c>
      <c r="E164" s="322" t="s">
        <v>77</v>
      </c>
      <c r="F164" s="793">
        <v>44013</v>
      </c>
      <c r="G164" s="795">
        <v>14005.264000000003</v>
      </c>
      <c r="H164" s="795">
        <v>1261.7439999999974</v>
      </c>
      <c r="I164" s="795">
        <v>1752.328</v>
      </c>
      <c r="J164" s="795">
        <v>0</v>
      </c>
      <c r="K164" s="795">
        <v>17631</v>
      </c>
      <c r="L164" s="795">
        <v>1272.9040000000002</v>
      </c>
    </row>
    <row r="165" spans="1:12">
      <c r="A165" s="790" t="s">
        <v>291</v>
      </c>
      <c r="B165" s="793">
        <v>44652</v>
      </c>
      <c r="C165" s="747">
        <v>1356338.6</v>
      </c>
      <c r="E165" s="322" t="s">
        <v>78</v>
      </c>
      <c r="F165" s="793">
        <v>44014</v>
      </c>
      <c r="G165" s="795">
        <v>46785.784000000007</v>
      </c>
      <c r="H165" s="795">
        <v>14140.256000000001</v>
      </c>
      <c r="I165" s="795">
        <v>2392.3040000000001</v>
      </c>
      <c r="J165" s="795">
        <v>254.14399999999989</v>
      </c>
      <c r="K165" s="795">
        <v>43489.8</v>
      </c>
      <c r="L165" s="795">
        <v>4303.6480000000001</v>
      </c>
    </row>
    <row r="166" spans="1:12">
      <c r="A166" s="790" t="s">
        <v>174</v>
      </c>
      <c r="B166" s="793">
        <v>44652</v>
      </c>
      <c r="C166" s="747">
        <v>139317.31000000003</v>
      </c>
      <c r="E166" s="322" t="s">
        <v>80</v>
      </c>
      <c r="F166" s="793">
        <v>44015</v>
      </c>
      <c r="G166" s="795">
        <v>46785.784000000007</v>
      </c>
      <c r="H166" s="795">
        <v>14140.256000000001</v>
      </c>
      <c r="I166" s="795">
        <v>2392.3040000000001</v>
      </c>
      <c r="J166" s="795">
        <v>254.14399999999989</v>
      </c>
      <c r="K166" s="795">
        <v>43489.8</v>
      </c>
      <c r="L166" s="795">
        <v>4303.6480000000001</v>
      </c>
    </row>
    <row r="167" spans="1:12">
      <c r="A167" s="790" t="s">
        <v>292</v>
      </c>
      <c r="B167" s="793">
        <v>44652</v>
      </c>
      <c r="C167" s="747">
        <v>247468.25999999998</v>
      </c>
      <c r="E167" s="322" t="s">
        <v>79</v>
      </c>
      <c r="F167" s="793">
        <v>44016</v>
      </c>
      <c r="G167" s="795">
        <v>23954.448000000004</v>
      </c>
      <c r="H167" s="795">
        <v>6781.24</v>
      </c>
      <c r="I167" s="795">
        <v>4015.1120000000005</v>
      </c>
      <c r="J167" s="795">
        <v>1225.992</v>
      </c>
      <c r="K167" s="795">
        <v>26877.48</v>
      </c>
      <c r="L167" s="795">
        <v>2666.7040000000006</v>
      </c>
    </row>
    <row r="168" spans="1:12">
      <c r="A168" s="790" t="s">
        <v>28</v>
      </c>
      <c r="B168" s="793">
        <v>44652</v>
      </c>
      <c r="C168" s="747">
        <v>8729636.1699999999</v>
      </c>
      <c r="E168" s="322" t="s">
        <v>81</v>
      </c>
      <c r="F168" s="793">
        <v>44017</v>
      </c>
      <c r="G168" s="795">
        <v>144233.67199999999</v>
      </c>
      <c r="H168" s="795">
        <v>26473.567999999996</v>
      </c>
      <c r="I168" s="795">
        <v>17660.376</v>
      </c>
      <c r="J168" s="795">
        <v>1998.8319999999978</v>
      </c>
      <c r="K168" s="795">
        <v>119342.28000000001</v>
      </c>
      <c r="L168" s="795">
        <v>9969.4959999999992</v>
      </c>
    </row>
    <row r="169" spans="1:12">
      <c r="A169" s="790" t="s">
        <v>175</v>
      </c>
      <c r="B169" s="793">
        <v>44652</v>
      </c>
      <c r="C169" s="747">
        <v>681183.18000000017</v>
      </c>
      <c r="E169" s="322" t="s">
        <v>82</v>
      </c>
      <c r="F169" s="793">
        <v>44018</v>
      </c>
      <c r="G169" s="795">
        <v>100681.424</v>
      </c>
      <c r="H169" s="795">
        <v>13491.567999999994</v>
      </c>
      <c r="I169" s="795">
        <v>7805.4240000000009</v>
      </c>
      <c r="J169" s="795">
        <v>0</v>
      </c>
      <c r="K169" s="795">
        <v>85020.6</v>
      </c>
      <c r="L169" s="795">
        <v>5997.9920000000011</v>
      </c>
    </row>
    <row r="170" spans="1:12">
      <c r="A170" s="790" t="s">
        <v>173</v>
      </c>
      <c r="B170" s="793">
        <v>44682</v>
      </c>
      <c r="C170" s="747">
        <v>6235857.3400000008</v>
      </c>
      <c r="E170" s="322" t="s">
        <v>83</v>
      </c>
      <c r="F170" s="793">
        <v>44019</v>
      </c>
      <c r="G170" s="795">
        <v>109989.77600000001</v>
      </c>
      <c r="H170" s="795">
        <v>27928.295999999998</v>
      </c>
      <c r="I170" s="795">
        <v>8830.1759999999995</v>
      </c>
      <c r="J170" s="795">
        <v>353.79199999999986</v>
      </c>
      <c r="K170" s="795">
        <v>116364.6</v>
      </c>
      <c r="L170" s="795">
        <v>9663.52</v>
      </c>
    </row>
    <row r="171" spans="1:12">
      <c r="A171" s="790" t="s">
        <v>291</v>
      </c>
      <c r="B171" s="793">
        <v>44682</v>
      </c>
      <c r="C171" s="747">
        <v>1611903.4400000002</v>
      </c>
      <c r="E171" s="322" t="s">
        <v>84</v>
      </c>
      <c r="F171" s="793">
        <v>44020</v>
      </c>
      <c r="G171" s="795">
        <v>97065.48000000001</v>
      </c>
      <c r="H171" s="795">
        <v>7222.9359999999988</v>
      </c>
      <c r="I171" s="795">
        <v>6823.92</v>
      </c>
      <c r="J171" s="795">
        <v>2920.7759999999998</v>
      </c>
      <c r="K171" s="795">
        <v>97009.680000000008</v>
      </c>
      <c r="L171" s="795">
        <v>4963.3040000000001</v>
      </c>
    </row>
    <row r="172" spans="1:12">
      <c r="A172" s="790" t="s">
        <v>174</v>
      </c>
      <c r="B172" s="793">
        <v>44682</v>
      </c>
      <c r="C172" s="747">
        <v>135110.14000000001</v>
      </c>
      <c r="E172" s="322" t="s">
        <v>85</v>
      </c>
      <c r="F172" s="793">
        <v>44021</v>
      </c>
      <c r="G172" s="795">
        <v>104491.17600000001</v>
      </c>
      <c r="H172" s="795">
        <v>25897.552000000003</v>
      </c>
      <c r="I172" s="795">
        <v>11978.008000000002</v>
      </c>
      <c r="J172" s="795">
        <v>4266.9680000000008</v>
      </c>
      <c r="K172" s="795">
        <v>251457.24</v>
      </c>
      <c r="L172" s="795">
        <v>11317.624</v>
      </c>
    </row>
    <row r="173" spans="1:12">
      <c r="A173" s="790" t="s">
        <v>292</v>
      </c>
      <c r="B173" s="793">
        <v>44682</v>
      </c>
      <c r="C173" s="747">
        <v>308732.00000000006</v>
      </c>
      <c r="E173" s="322" t="s">
        <v>86</v>
      </c>
      <c r="F173" s="793">
        <v>44022</v>
      </c>
      <c r="G173" s="795">
        <v>45941.408000000003</v>
      </c>
      <c r="H173" s="795">
        <v>12548.400000000007</v>
      </c>
      <c r="I173" s="795">
        <v>3039.8960000000002</v>
      </c>
      <c r="J173" s="795">
        <v>1868.3120000000004</v>
      </c>
      <c r="K173" s="795">
        <v>40120.320000000007</v>
      </c>
      <c r="L173" s="795">
        <v>3787.5279999999998</v>
      </c>
    </row>
    <row r="174" spans="1:12">
      <c r="A174" s="790" t="s">
        <v>28</v>
      </c>
      <c r="B174" s="793">
        <v>44682</v>
      </c>
      <c r="C174" s="747">
        <v>10288921.470000003</v>
      </c>
      <c r="E174" s="322" t="s">
        <v>89</v>
      </c>
      <c r="F174" s="793">
        <v>44023</v>
      </c>
      <c r="G174" s="795">
        <v>45941.408000000003</v>
      </c>
      <c r="H174" s="795">
        <v>12548.400000000007</v>
      </c>
      <c r="I174" s="795">
        <v>3039.8960000000002</v>
      </c>
      <c r="J174" s="795">
        <v>1868.3120000000004</v>
      </c>
      <c r="K174" s="795">
        <v>40120.320000000007</v>
      </c>
      <c r="L174" s="795">
        <v>3787.5279999999998</v>
      </c>
    </row>
    <row r="175" spans="1:12">
      <c r="A175" s="790" t="s">
        <v>175</v>
      </c>
      <c r="B175" s="793">
        <v>44682</v>
      </c>
      <c r="C175" s="747">
        <v>863942.13000000012</v>
      </c>
      <c r="E175" s="322" t="s">
        <v>88</v>
      </c>
      <c r="F175" s="793">
        <v>44024</v>
      </c>
      <c r="G175" s="795">
        <v>70911.368000000002</v>
      </c>
      <c r="H175" s="795">
        <v>15290.399999999989</v>
      </c>
      <c r="I175" s="795">
        <v>12108.832000000002</v>
      </c>
      <c r="J175" s="795">
        <v>3067.3919999999985</v>
      </c>
      <c r="K175" s="795">
        <v>155543.88</v>
      </c>
      <c r="L175" s="795">
        <v>6688.52</v>
      </c>
    </row>
    <row r="176" spans="1:12">
      <c r="A176" s="790" t="s">
        <v>173</v>
      </c>
      <c r="B176" s="793">
        <v>44713</v>
      </c>
      <c r="C176" s="747">
        <v>6858946.7699999996</v>
      </c>
      <c r="E176" s="322" t="s">
        <v>87</v>
      </c>
      <c r="F176" s="793">
        <v>44025</v>
      </c>
      <c r="G176" s="795">
        <v>399205.88800000004</v>
      </c>
      <c r="H176" s="795">
        <v>97839.735999999946</v>
      </c>
      <c r="I176" s="795">
        <v>40958.632000000005</v>
      </c>
      <c r="J176" s="795">
        <v>10326.151999999996</v>
      </c>
      <c r="K176" s="795">
        <v>374795.88</v>
      </c>
      <c r="L176" s="795">
        <v>34341.623999999996</v>
      </c>
    </row>
    <row r="177" spans="1:12">
      <c r="A177" s="790" t="s">
        <v>291</v>
      </c>
      <c r="B177" s="793">
        <v>44713</v>
      </c>
      <c r="C177" s="747">
        <v>1415494.13</v>
      </c>
      <c r="E177" s="322" t="s">
        <v>90</v>
      </c>
      <c r="F177" s="793">
        <v>44026</v>
      </c>
      <c r="G177" s="795">
        <v>63045.144</v>
      </c>
      <c r="H177" s="795">
        <v>18482.392000000003</v>
      </c>
      <c r="I177" s="795">
        <v>6186.4560000000001</v>
      </c>
      <c r="J177" s="795">
        <v>1601.4639999999999</v>
      </c>
      <c r="K177" s="795">
        <v>58064.76</v>
      </c>
      <c r="L177" s="795">
        <v>7211.3680000000013</v>
      </c>
    </row>
    <row r="178" spans="1:12">
      <c r="A178" s="790" t="s">
        <v>174</v>
      </c>
      <c r="B178" s="793">
        <v>44713</v>
      </c>
      <c r="C178" s="747">
        <v>141859.54</v>
      </c>
      <c r="E178" s="322" t="s">
        <v>91</v>
      </c>
      <c r="F178" s="793">
        <v>44027</v>
      </c>
      <c r="G178" s="795">
        <v>64099.216000000008</v>
      </c>
      <c r="H178" s="795">
        <v>18175.511999999988</v>
      </c>
      <c r="I178" s="795">
        <v>4223.3919999999998</v>
      </c>
      <c r="J178" s="795">
        <v>836.2080000000002</v>
      </c>
      <c r="K178" s="795">
        <v>64960.44</v>
      </c>
      <c r="L178" s="795">
        <v>4833.1680000000006</v>
      </c>
    </row>
    <row r="179" spans="1:12">
      <c r="A179" s="790" t="s">
        <v>292</v>
      </c>
      <c r="B179" s="793">
        <v>44713</v>
      </c>
      <c r="C179" s="747">
        <v>255692.09000000003</v>
      </c>
      <c r="E179" s="322" t="s">
        <v>93</v>
      </c>
      <c r="F179" s="793">
        <v>44028</v>
      </c>
      <c r="G179" s="795">
        <v>107163.20800000001</v>
      </c>
      <c r="H179" s="795">
        <v>26410.552000000003</v>
      </c>
      <c r="I179" s="795">
        <v>7561.6320000000014</v>
      </c>
      <c r="J179" s="795">
        <v>1809.12</v>
      </c>
      <c r="K179" s="795">
        <v>107588.28000000001</v>
      </c>
      <c r="L179" s="795">
        <v>10192.831999999999</v>
      </c>
    </row>
    <row r="180" spans="1:12">
      <c r="A180" s="790" t="s">
        <v>28</v>
      </c>
      <c r="B180" s="793">
        <v>44713</v>
      </c>
      <c r="C180" s="747">
        <v>9565958.9199999981</v>
      </c>
      <c r="E180" s="322" t="s">
        <v>94</v>
      </c>
      <c r="F180" s="793">
        <v>44029</v>
      </c>
      <c r="G180" s="795">
        <v>30025.335999999999</v>
      </c>
      <c r="H180" s="795">
        <v>2514.9840000000027</v>
      </c>
      <c r="I180" s="795">
        <v>5601.0879999999997</v>
      </c>
      <c r="J180" s="795">
        <v>1663.8879999999999</v>
      </c>
      <c r="K180" s="795">
        <v>33929.879999999997</v>
      </c>
      <c r="L180" s="795">
        <v>1362.44</v>
      </c>
    </row>
    <row r="181" spans="1:12">
      <c r="A181" s="790" t="s">
        <v>175</v>
      </c>
      <c r="B181" s="793">
        <v>44713</v>
      </c>
      <c r="C181" s="747">
        <v>757283.46000000008</v>
      </c>
      <c r="E181" s="322" t="s">
        <v>92</v>
      </c>
      <c r="F181" s="793">
        <v>44030</v>
      </c>
      <c r="G181" s="795">
        <v>30025.335999999999</v>
      </c>
      <c r="H181" s="795">
        <v>2514.9840000000027</v>
      </c>
      <c r="I181" s="795">
        <v>5601.0879999999997</v>
      </c>
      <c r="J181" s="795">
        <v>1663.8879999999999</v>
      </c>
      <c r="K181" s="795">
        <v>33929.879999999997</v>
      </c>
      <c r="L181" s="795">
        <v>1362.44</v>
      </c>
    </row>
    <row r="182" spans="1:12">
      <c r="A182" s="790" t="s">
        <v>173</v>
      </c>
      <c r="B182" s="793">
        <v>44743</v>
      </c>
      <c r="C182" s="747">
        <v>5332887.26</v>
      </c>
      <c r="E182" s="322" t="s">
        <v>95</v>
      </c>
      <c r="F182" s="793">
        <v>44031</v>
      </c>
      <c r="G182" s="795">
        <v>370268.76</v>
      </c>
      <c r="H182" s="795">
        <v>72585.807999999961</v>
      </c>
      <c r="I182" s="795">
        <v>41122.344000000005</v>
      </c>
      <c r="J182" s="795">
        <v>7149.4080000000022</v>
      </c>
      <c r="K182" s="795">
        <v>324410.40000000002</v>
      </c>
      <c r="L182" s="795">
        <v>32968.655999999995</v>
      </c>
    </row>
    <row r="183" spans="1:12">
      <c r="A183" s="790" t="s">
        <v>291</v>
      </c>
      <c r="B183" s="793">
        <v>44743</v>
      </c>
      <c r="C183" s="747">
        <v>1212241.77</v>
      </c>
      <c r="E183" s="322" t="s">
        <v>96</v>
      </c>
      <c r="F183" s="793">
        <v>44032</v>
      </c>
      <c r="G183" s="795">
        <v>54233.8</v>
      </c>
      <c r="H183" s="795">
        <v>20801.49600000001</v>
      </c>
      <c r="I183" s="795">
        <v>2294.5360000000001</v>
      </c>
      <c r="J183" s="795">
        <v>644.06399999999996</v>
      </c>
      <c r="K183" s="795">
        <v>59318.52</v>
      </c>
      <c r="L183" s="795">
        <v>4668.8959999999997</v>
      </c>
    </row>
    <row r="184" spans="1:12">
      <c r="A184" s="790" t="s">
        <v>174</v>
      </c>
      <c r="B184" s="793">
        <v>44743</v>
      </c>
      <c r="C184" s="747">
        <v>307286.05000000005</v>
      </c>
      <c r="E184" s="322" t="s">
        <v>98</v>
      </c>
      <c r="F184" s="793">
        <v>44033</v>
      </c>
      <c r="G184" s="795">
        <v>54233.8</v>
      </c>
      <c r="H184" s="795">
        <v>20801.49600000001</v>
      </c>
      <c r="I184" s="795">
        <v>2294.5360000000001</v>
      </c>
      <c r="J184" s="795">
        <v>644.06399999999996</v>
      </c>
      <c r="K184" s="795">
        <v>59318.52</v>
      </c>
      <c r="L184" s="795">
        <v>4668.8959999999997</v>
      </c>
    </row>
    <row r="185" spans="1:12">
      <c r="A185" s="790" t="s">
        <v>292</v>
      </c>
      <c r="B185" s="793">
        <v>44743</v>
      </c>
      <c r="C185" s="747">
        <v>216643.60000000003</v>
      </c>
      <c r="E185" s="322" t="s">
        <v>99</v>
      </c>
      <c r="F185" s="793">
        <v>44034</v>
      </c>
      <c r="G185" s="795">
        <v>54233.8</v>
      </c>
      <c r="H185" s="795">
        <v>20801.49600000001</v>
      </c>
      <c r="I185" s="795">
        <v>2294.5360000000001</v>
      </c>
      <c r="J185" s="795">
        <v>644.06399999999996</v>
      </c>
      <c r="K185" s="795">
        <v>59318.52</v>
      </c>
      <c r="L185" s="795">
        <v>4668.8959999999997</v>
      </c>
    </row>
    <row r="186" spans="1:12">
      <c r="A186" s="790" t="s">
        <v>28</v>
      </c>
      <c r="B186" s="793">
        <v>44743</v>
      </c>
      <c r="C186" s="747">
        <v>9487952.629999999</v>
      </c>
      <c r="E186" s="322" t="s">
        <v>97</v>
      </c>
      <c r="F186" s="793">
        <v>44035</v>
      </c>
      <c r="G186" s="795">
        <v>353290.50400000002</v>
      </c>
      <c r="H186" s="795">
        <v>62622.031999999985</v>
      </c>
      <c r="I186" s="795">
        <v>43995.936000000002</v>
      </c>
      <c r="J186" s="795">
        <v>13106.088000000002</v>
      </c>
      <c r="K186" s="795">
        <v>549068.52</v>
      </c>
      <c r="L186" s="795">
        <v>29538.544000000002</v>
      </c>
    </row>
    <row r="187" spans="1:12">
      <c r="A187" s="790" t="s">
        <v>175</v>
      </c>
      <c r="B187" s="793">
        <v>44743</v>
      </c>
      <c r="C187" s="747">
        <v>932402.06</v>
      </c>
      <c r="E187" s="322" t="s">
        <v>100</v>
      </c>
      <c r="F187" s="793">
        <v>44036</v>
      </c>
      <c r="G187" s="795">
        <v>241949.53599999999</v>
      </c>
      <c r="H187" s="795">
        <v>36762.688000000038</v>
      </c>
      <c r="I187" s="795">
        <v>27032.152000000002</v>
      </c>
      <c r="J187" s="795">
        <v>3170.8079999999959</v>
      </c>
      <c r="K187" s="795">
        <v>385221.76</v>
      </c>
      <c r="L187" s="795">
        <v>14193.432000000001</v>
      </c>
    </row>
    <row r="188" spans="1:12">
      <c r="E188" s="322" t="s">
        <v>102</v>
      </c>
      <c r="F188" s="793">
        <v>44037</v>
      </c>
      <c r="G188" s="795">
        <v>47235</v>
      </c>
      <c r="H188" s="795">
        <v>13197.463999999991</v>
      </c>
      <c r="I188" s="795">
        <v>2377.08</v>
      </c>
      <c r="J188" s="795">
        <v>343.48799999999977</v>
      </c>
      <c r="K188" s="795">
        <v>44978.640000000007</v>
      </c>
      <c r="L188" s="795">
        <v>4263.6719999999996</v>
      </c>
    </row>
    <row r="189" spans="1:12">
      <c r="E189" s="322" t="s">
        <v>101</v>
      </c>
      <c r="F189" s="793">
        <v>44038</v>
      </c>
      <c r="G189" s="795">
        <v>47235</v>
      </c>
      <c r="H189" s="795">
        <v>13197.463999999991</v>
      </c>
      <c r="I189" s="795">
        <v>2377.08</v>
      </c>
      <c r="J189" s="795">
        <v>343.48799999999977</v>
      </c>
      <c r="K189" s="795">
        <v>44978.640000000007</v>
      </c>
      <c r="L189" s="795">
        <v>4263.6719999999996</v>
      </c>
    </row>
    <row r="190" spans="1:12">
      <c r="E190" s="322" t="s">
        <v>103</v>
      </c>
      <c r="F190" s="793">
        <v>44039</v>
      </c>
      <c r="G190" s="795">
        <v>23388.392000000003</v>
      </c>
      <c r="H190" s="795">
        <v>4700.855999999997</v>
      </c>
      <c r="I190" s="795">
        <v>2369.4479999999999</v>
      </c>
      <c r="J190" s="795">
        <v>750.98400000000004</v>
      </c>
      <c r="K190" s="795">
        <v>37064.28</v>
      </c>
      <c r="L190" s="795">
        <v>2088.6400000000003</v>
      </c>
    </row>
    <row r="191" spans="1:12">
      <c r="E191" s="322" t="s">
        <v>77</v>
      </c>
      <c r="F191" s="793">
        <v>44044</v>
      </c>
      <c r="G191" s="795">
        <v>19565.816000000003</v>
      </c>
      <c r="H191" s="795">
        <v>4474.0639999999985</v>
      </c>
      <c r="I191" s="795">
        <v>3047.5439999999999</v>
      </c>
      <c r="J191" s="795">
        <v>0</v>
      </c>
      <c r="K191" s="795">
        <v>23508</v>
      </c>
      <c r="L191" s="795">
        <v>2230.2800000000002</v>
      </c>
    </row>
    <row r="192" spans="1:12">
      <c r="E192" s="322" t="s">
        <v>78</v>
      </c>
      <c r="F192" s="793">
        <v>44045</v>
      </c>
      <c r="G192" s="795">
        <v>51631.240000000005</v>
      </c>
      <c r="H192" s="795">
        <v>14468.976000000002</v>
      </c>
      <c r="I192" s="795">
        <v>2173.92</v>
      </c>
      <c r="J192" s="795">
        <v>64.247999999999962</v>
      </c>
      <c r="K192" s="795">
        <v>50463.840000000011</v>
      </c>
      <c r="L192" s="795">
        <v>5400.9439999999995</v>
      </c>
    </row>
    <row r="193" spans="5:12">
      <c r="E193" s="322" t="s">
        <v>80</v>
      </c>
      <c r="F193" s="793">
        <v>44046</v>
      </c>
      <c r="G193" s="795">
        <v>51631.240000000005</v>
      </c>
      <c r="H193" s="795">
        <v>14468.976000000002</v>
      </c>
      <c r="I193" s="795">
        <v>2173.92</v>
      </c>
      <c r="J193" s="795">
        <v>64.247999999999962</v>
      </c>
      <c r="K193" s="795">
        <v>50463.840000000011</v>
      </c>
      <c r="L193" s="795">
        <v>5400.9439999999995</v>
      </c>
    </row>
    <row r="194" spans="5:12">
      <c r="E194" s="322" t="s">
        <v>79</v>
      </c>
      <c r="F194" s="793">
        <v>44047</v>
      </c>
      <c r="G194" s="795">
        <v>24375.440000000002</v>
      </c>
      <c r="H194" s="795">
        <v>7456.7600000000011</v>
      </c>
      <c r="I194" s="795">
        <v>5607.5040000000008</v>
      </c>
      <c r="J194" s="795">
        <v>659.17599999999948</v>
      </c>
      <c r="K194" s="795">
        <v>32597.759999999998</v>
      </c>
      <c r="L194" s="795">
        <v>2978.6320000000001</v>
      </c>
    </row>
    <row r="195" spans="5:12">
      <c r="E195" s="322" t="s">
        <v>81</v>
      </c>
      <c r="F195" s="793">
        <v>44048</v>
      </c>
      <c r="G195" s="795">
        <v>164233.23200000002</v>
      </c>
      <c r="H195" s="795">
        <v>20238.911999999989</v>
      </c>
      <c r="I195" s="795">
        <v>18569.007999999998</v>
      </c>
      <c r="J195" s="795">
        <v>4831.0880000000006</v>
      </c>
      <c r="K195" s="795">
        <v>128275.32000000002</v>
      </c>
      <c r="L195" s="795">
        <v>10353.472</v>
      </c>
    </row>
    <row r="196" spans="5:12">
      <c r="E196" s="322" t="s">
        <v>82</v>
      </c>
      <c r="F196" s="793">
        <v>44049</v>
      </c>
      <c r="G196" s="795">
        <v>91472.576000000001</v>
      </c>
      <c r="H196" s="795">
        <v>14412.303999999982</v>
      </c>
      <c r="I196" s="795">
        <v>9679.7119999999995</v>
      </c>
      <c r="J196" s="795">
        <v>36.688000000000464</v>
      </c>
      <c r="K196" s="795">
        <v>90740.88</v>
      </c>
      <c r="L196" s="795">
        <v>8096.8880000000017</v>
      </c>
    </row>
    <row r="197" spans="5:12">
      <c r="E197" s="322" t="s">
        <v>83</v>
      </c>
      <c r="F197" s="793">
        <v>44050</v>
      </c>
      <c r="G197" s="795">
        <v>144259.75200000001</v>
      </c>
      <c r="H197" s="795">
        <v>39178.92</v>
      </c>
      <c r="I197" s="795">
        <v>17371.68</v>
      </c>
      <c r="J197" s="795">
        <v>4806.0960000000023</v>
      </c>
      <c r="K197" s="795">
        <v>134152.32000000001</v>
      </c>
      <c r="L197" s="795">
        <v>17413.232</v>
      </c>
    </row>
    <row r="198" spans="5:12">
      <c r="E198" s="322" t="s">
        <v>84</v>
      </c>
      <c r="F198" s="793">
        <v>44051</v>
      </c>
      <c r="G198" s="795">
        <v>128604.024</v>
      </c>
      <c r="H198" s="795">
        <v>8568.4320000000062</v>
      </c>
      <c r="I198" s="795">
        <v>12088.744000000001</v>
      </c>
      <c r="J198" s="795">
        <v>2770.2320000000009</v>
      </c>
      <c r="K198" s="795">
        <v>110957.76000000004</v>
      </c>
      <c r="L198" s="795">
        <v>6655.6</v>
      </c>
    </row>
    <row r="199" spans="5:12">
      <c r="E199" s="322" t="s">
        <v>85</v>
      </c>
      <c r="F199" s="793">
        <v>44052</v>
      </c>
      <c r="G199" s="795">
        <v>125827.288</v>
      </c>
      <c r="H199" s="795">
        <v>27109.232000000007</v>
      </c>
      <c r="I199" s="795">
        <v>18768.952000000001</v>
      </c>
      <c r="J199" s="795">
        <v>1777.1200000000013</v>
      </c>
      <c r="K199" s="795">
        <v>207262.20000000004</v>
      </c>
      <c r="L199" s="795">
        <v>13906.760000000002</v>
      </c>
    </row>
    <row r="200" spans="5:12">
      <c r="E200" s="322" t="s">
        <v>86</v>
      </c>
      <c r="F200" s="793">
        <v>44053</v>
      </c>
      <c r="G200" s="795">
        <v>39359.312000000005</v>
      </c>
      <c r="H200" s="795">
        <v>11230.735999999999</v>
      </c>
      <c r="I200" s="795">
        <v>4578.9360000000006</v>
      </c>
      <c r="J200" s="795">
        <v>420.9839999999997</v>
      </c>
      <c r="K200" s="795">
        <v>39180</v>
      </c>
      <c r="L200" s="795">
        <v>4394.3920000000007</v>
      </c>
    </row>
    <row r="201" spans="5:12">
      <c r="E201" s="322" t="s">
        <v>89</v>
      </c>
      <c r="F201" s="793">
        <v>44054</v>
      </c>
      <c r="G201" s="795">
        <v>39359.312000000005</v>
      </c>
      <c r="H201" s="795">
        <v>11230.735999999999</v>
      </c>
      <c r="I201" s="795">
        <v>4578.9360000000006</v>
      </c>
      <c r="J201" s="795">
        <v>420.9839999999997</v>
      </c>
      <c r="K201" s="795">
        <v>39180</v>
      </c>
      <c r="L201" s="795">
        <v>4394.3920000000007</v>
      </c>
    </row>
    <row r="202" spans="5:12">
      <c r="E202" s="322" t="s">
        <v>88</v>
      </c>
      <c r="F202" s="793">
        <v>44055</v>
      </c>
      <c r="G202" s="795">
        <v>62978.559999999998</v>
      </c>
      <c r="H202" s="795">
        <v>18751.935999999998</v>
      </c>
      <c r="I202" s="795">
        <v>10908.256000000001</v>
      </c>
      <c r="J202" s="795">
        <v>1312.440000000001</v>
      </c>
      <c r="K202" s="795">
        <v>152723.63999999998</v>
      </c>
      <c r="L202" s="795">
        <v>8384.9840000000004</v>
      </c>
    </row>
    <row r="203" spans="5:12">
      <c r="E203" s="322" t="s">
        <v>87</v>
      </c>
      <c r="F203" s="793">
        <v>44056</v>
      </c>
      <c r="G203" s="795">
        <v>403442.89600000001</v>
      </c>
      <c r="H203" s="795">
        <v>87586.343999999954</v>
      </c>
      <c r="I203" s="795">
        <v>42586.976000000002</v>
      </c>
      <c r="J203" s="795">
        <v>11881.240000000003</v>
      </c>
      <c r="K203" s="795">
        <v>390075.52</v>
      </c>
      <c r="L203" s="795">
        <v>37508.744000000006</v>
      </c>
    </row>
    <row r="204" spans="5:12">
      <c r="E204" s="322" t="s">
        <v>90</v>
      </c>
      <c r="F204" s="793">
        <v>44057</v>
      </c>
      <c r="G204" s="795">
        <v>62900.824000000001</v>
      </c>
      <c r="H204" s="795">
        <v>27617.576000000001</v>
      </c>
      <c r="I204" s="795">
        <v>9034.8080000000009</v>
      </c>
      <c r="J204" s="795">
        <v>2402.7039999999993</v>
      </c>
      <c r="K204" s="795">
        <v>71229.24000000002</v>
      </c>
      <c r="L204" s="795">
        <v>10368.808000000001</v>
      </c>
    </row>
    <row r="205" spans="5:12">
      <c r="E205" s="322" t="s">
        <v>91</v>
      </c>
      <c r="F205" s="793">
        <v>44058</v>
      </c>
      <c r="G205" s="795">
        <v>82877.056000000011</v>
      </c>
      <c r="H205" s="795">
        <v>21334.480000000007</v>
      </c>
      <c r="I205" s="795">
        <v>6205.5440000000008</v>
      </c>
      <c r="J205" s="795">
        <v>1061.8319999999992</v>
      </c>
      <c r="K205" s="795">
        <v>76244.280000000013</v>
      </c>
      <c r="L205" s="795">
        <v>6454.7920000000004</v>
      </c>
    </row>
    <row r="206" spans="5:12">
      <c r="E206" s="322" t="s">
        <v>93</v>
      </c>
      <c r="F206" s="793">
        <v>44059</v>
      </c>
      <c r="G206" s="795">
        <v>119480.992</v>
      </c>
      <c r="H206" s="795">
        <v>24570.704000000005</v>
      </c>
      <c r="I206" s="795">
        <v>14390.648000000001</v>
      </c>
      <c r="J206" s="795">
        <v>1597.0639999999985</v>
      </c>
      <c r="K206" s="795">
        <v>112368.23999999999</v>
      </c>
      <c r="L206" s="795">
        <v>10544.544000000004</v>
      </c>
    </row>
    <row r="207" spans="5:12">
      <c r="E207" s="322" t="s">
        <v>94</v>
      </c>
      <c r="F207" s="793">
        <v>44060</v>
      </c>
      <c r="G207" s="795">
        <v>39957.271999999997</v>
      </c>
      <c r="H207" s="795">
        <v>8196.6640000000025</v>
      </c>
      <c r="I207" s="795">
        <v>5675.3680000000004</v>
      </c>
      <c r="J207" s="795">
        <v>241.51999999999973</v>
      </c>
      <c r="K207" s="795">
        <v>37691.160000000003</v>
      </c>
      <c r="L207" s="795">
        <v>5693.4080000000004</v>
      </c>
    </row>
    <row r="208" spans="5:12">
      <c r="E208" s="322" t="s">
        <v>92</v>
      </c>
      <c r="F208" s="793">
        <v>44061</v>
      </c>
      <c r="G208" s="795">
        <v>39957.271999999997</v>
      </c>
      <c r="H208" s="795">
        <v>8196.6640000000025</v>
      </c>
      <c r="I208" s="795">
        <v>5675.3680000000004</v>
      </c>
      <c r="J208" s="795">
        <v>241.51999999999973</v>
      </c>
      <c r="K208" s="795">
        <v>37691.160000000003</v>
      </c>
      <c r="L208" s="795">
        <v>5693.4080000000004</v>
      </c>
    </row>
    <row r="209" spans="5:12">
      <c r="E209" s="322" t="s">
        <v>95</v>
      </c>
      <c r="F209" s="793">
        <v>44062</v>
      </c>
      <c r="G209" s="795">
        <v>389682.48800000001</v>
      </c>
      <c r="H209" s="795">
        <v>69544.880000000077</v>
      </c>
      <c r="I209" s="795">
        <v>57174.728000000003</v>
      </c>
      <c r="J209" s="795">
        <v>5840.7599999999984</v>
      </c>
      <c r="K209" s="795">
        <v>371578.01600000006</v>
      </c>
      <c r="L209" s="795">
        <v>36844.568000000007</v>
      </c>
    </row>
    <row r="210" spans="5:12">
      <c r="E210" s="322" t="s">
        <v>96</v>
      </c>
      <c r="F210" s="793">
        <v>44063</v>
      </c>
      <c r="G210" s="795">
        <v>62992.256000000008</v>
      </c>
      <c r="H210" s="795">
        <v>16950.119999999984</v>
      </c>
      <c r="I210" s="795">
        <v>7312.7839999999997</v>
      </c>
      <c r="J210" s="795">
        <v>1156.8400000000008</v>
      </c>
      <c r="K210" s="795">
        <v>65665.680000000008</v>
      </c>
      <c r="L210" s="795">
        <v>5809.6319999999996</v>
      </c>
    </row>
    <row r="211" spans="5:12">
      <c r="E211" s="322" t="s">
        <v>98</v>
      </c>
      <c r="F211" s="793">
        <v>44064</v>
      </c>
      <c r="G211" s="795">
        <v>62992.256000000008</v>
      </c>
      <c r="H211" s="795">
        <v>16950.119999999984</v>
      </c>
      <c r="I211" s="795">
        <v>7312.7839999999997</v>
      </c>
      <c r="J211" s="795">
        <v>1156.8400000000008</v>
      </c>
      <c r="K211" s="795">
        <v>65665.680000000008</v>
      </c>
      <c r="L211" s="795">
        <v>5809.6319999999996</v>
      </c>
    </row>
    <row r="212" spans="5:12">
      <c r="E212" s="322" t="s">
        <v>99</v>
      </c>
      <c r="F212" s="793">
        <v>44065</v>
      </c>
      <c r="G212" s="795">
        <v>62992.256000000008</v>
      </c>
      <c r="H212" s="795">
        <v>16950.119999999984</v>
      </c>
      <c r="I212" s="795">
        <v>7312.7839999999997</v>
      </c>
      <c r="J212" s="795">
        <v>1156.8400000000008</v>
      </c>
      <c r="K212" s="795">
        <v>65665.680000000008</v>
      </c>
      <c r="L212" s="795">
        <v>5809.6319999999996</v>
      </c>
    </row>
    <row r="213" spans="5:12">
      <c r="E213" s="322" t="s">
        <v>97</v>
      </c>
      <c r="F213" s="793">
        <v>44066</v>
      </c>
      <c r="G213" s="795">
        <v>412251.95200000005</v>
      </c>
      <c r="H213" s="795">
        <v>70627.512000000061</v>
      </c>
      <c r="I213" s="795">
        <v>66542.248000000007</v>
      </c>
      <c r="J213" s="795">
        <v>12905.704000000005</v>
      </c>
      <c r="K213" s="795">
        <v>633854.04000000015</v>
      </c>
      <c r="L213" s="795">
        <v>36322.584000000003</v>
      </c>
    </row>
    <row r="214" spans="5:12">
      <c r="E214" s="322" t="s">
        <v>100</v>
      </c>
      <c r="F214" s="793">
        <v>44067</v>
      </c>
      <c r="G214" s="795">
        <v>297526.68</v>
      </c>
      <c r="H214" s="795">
        <v>36805.032000000028</v>
      </c>
      <c r="I214" s="795">
        <v>43838.928000000007</v>
      </c>
      <c r="J214" s="795">
        <v>3901.3119999999999</v>
      </c>
      <c r="K214" s="795">
        <v>424162.68</v>
      </c>
      <c r="L214" s="795">
        <v>17491.504000000001</v>
      </c>
    </row>
    <row r="215" spans="5:12">
      <c r="E215" s="322" t="s">
        <v>102</v>
      </c>
      <c r="F215" s="793">
        <v>44068</v>
      </c>
      <c r="G215" s="795">
        <v>41985.216</v>
      </c>
      <c r="H215" s="795">
        <v>14934.256000000001</v>
      </c>
      <c r="I215" s="795">
        <v>2927.1680000000001</v>
      </c>
      <c r="J215" s="795">
        <v>158.07199999999978</v>
      </c>
      <c r="K215" s="795">
        <v>45292.08</v>
      </c>
      <c r="L215" s="795">
        <v>6630.8480000000009</v>
      </c>
    </row>
    <row r="216" spans="5:12">
      <c r="E216" s="322" t="s">
        <v>101</v>
      </c>
      <c r="F216" s="793">
        <v>44069</v>
      </c>
      <c r="G216" s="795">
        <v>41985.216</v>
      </c>
      <c r="H216" s="795">
        <v>14934.256000000001</v>
      </c>
      <c r="I216" s="795">
        <v>2927.1680000000001</v>
      </c>
      <c r="J216" s="795">
        <v>158.07199999999978</v>
      </c>
      <c r="K216" s="795">
        <v>45292.08</v>
      </c>
      <c r="L216" s="795">
        <v>6630.8480000000009</v>
      </c>
    </row>
    <row r="217" spans="5:12">
      <c r="E217" s="322" t="s">
        <v>103</v>
      </c>
      <c r="F217" s="793">
        <v>44070</v>
      </c>
      <c r="G217" s="795">
        <v>31956.304</v>
      </c>
      <c r="H217" s="795">
        <v>5635.2960000000021</v>
      </c>
      <c r="I217" s="795">
        <v>3923.7040000000002</v>
      </c>
      <c r="J217" s="795">
        <v>628.1520000000005</v>
      </c>
      <c r="K217" s="795">
        <v>38004.6</v>
      </c>
      <c r="L217" s="795">
        <v>3464.1519999999996</v>
      </c>
    </row>
    <row r="218" spans="5:12">
      <c r="E218" s="322" t="s">
        <v>77</v>
      </c>
      <c r="F218" s="793">
        <v>44075</v>
      </c>
      <c r="G218" s="795">
        <v>7479.9120000000003</v>
      </c>
      <c r="H218" s="795">
        <v>3106.2000000000016</v>
      </c>
      <c r="I218" s="795">
        <v>1310.4480000000001</v>
      </c>
      <c r="J218" s="795">
        <v>527.64800000000002</v>
      </c>
      <c r="K218" s="795">
        <v>28209.600000000002</v>
      </c>
      <c r="L218" s="795">
        <v>2638.5440000000008</v>
      </c>
    </row>
    <row r="219" spans="5:12">
      <c r="E219" s="322" t="s">
        <v>78</v>
      </c>
      <c r="F219" s="793">
        <v>44076</v>
      </c>
      <c r="G219" s="795">
        <v>18370.256000000001</v>
      </c>
      <c r="H219" s="795">
        <v>13769.927999999998</v>
      </c>
      <c r="I219" s="795">
        <v>2377.1040000000003</v>
      </c>
      <c r="J219" s="795">
        <v>335.32799999999992</v>
      </c>
      <c r="K219" s="795">
        <v>45448.800000000003</v>
      </c>
      <c r="L219" s="795">
        <v>7119.5039999999999</v>
      </c>
    </row>
    <row r="220" spans="5:12">
      <c r="E220" s="322" t="s">
        <v>80</v>
      </c>
      <c r="F220" s="793">
        <v>44077</v>
      </c>
      <c r="G220" s="795">
        <v>18370.256000000001</v>
      </c>
      <c r="H220" s="795">
        <v>13769.927999999998</v>
      </c>
      <c r="I220" s="795">
        <v>2377.1040000000003</v>
      </c>
      <c r="J220" s="795">
        <v>335.32799999999992</v>
      </c>
      <c r="K220" s="795">
        <v>45448.800000000003</v>
      </c>
      <c r="L220" s="795">
        <v>7119.5039999999999</v>
      </c>
    </row>
    <row r="221" spans="5:12">
      <c r="E221" s="322" t="s">
        <v>79</v>
      </c>
      <c r="F221" s="793">
        <v>44078</v>
      </c>
      <c r="G221" s="795">
        <v>7634.4480000000003</v>
      </c>
      <c r="H221" s="795">
        <v>4516.3840000000009</v>
      </c>
      <c r="I221" s="795">
        <v>1447.6000000000001</v>
      </c>
      <c r="J221" s="795">
        <v>511.61599999999999</v>
      </c>
      <c r="K221" s="795">
        <v>28052.880000000001</v>
      </c>
      <c r="L221" s="795">
        <v>3262.84</v>
      </c>
    </row>
    <row r="222" spans="5:12">
      <c r="E222" s="322" t="s">
        <v>81</v>
      </c>
      <c r="F222" s="793">
        <v>44079</v>
      </c>
      <c r="G222" s="795">
        <v>70406.216</v>
      </c>
      <c r="H222" s="795">
        <v>25005.064000000002</v>
      </c>
      <c r="I222" s="795">
        <v>6823.5119999999997</v>
      </c>
      <c r="J222" s="795">
        <v>1290.3919999999998</v>
      </c>
      <c r="K222" s="795">
        <v>135797.88</v>
      </c>
      <c r="L222" s="795">
        <v>15934.376000000004</v>
      </c>
    </row>
    <row r="223" spans="5:12">
      <c r="E223" s="322" t="s">
        <v>82</v>
      </c>
      <c r="F223" s="793">
        <v>44080</v>
      </c>
      <c r="G223" s="795">
        <v>44046.592000000004</v>
      </c>
      <c r="H223" s="795">
        <v>17535.616000000009</v>
      </c>
      <c r="I223" s="795">
        <v>4681.808</v>
      </c>
      <c r="J223" s="795">
        <v>788.47200000000021</v>
      </c>
      <c r="K223" s="795">
        <v>88860.24</v>
      </c>
      <c r="L223" s="795">
        <v>13045.264000000003</v>
      </c>
    </row>
    <row r="224" spans="5:12">
      <c r="E224" s="322" t="s">
        <v>83</v>
      </c>
      <c r="F224" s="793">
        <v>44081</v>
      </c>
      <c r="G224" s="795">
        <v>48831.288</v>
      </c>
      <c r="H224" s="795">
        <v>26288.543999999994</v>
      </c>
      <c r="I224" s="795">
        <v>3055.16</v>
      </c>
      <c r="J224" s="795">
        <v>1762.768</v>
      </c>
      <c r="K224" s="795">
        <v>114719.03999999999</v>
      </c>
      <c r="L224" s="795">
        <v>16664.072</v>
      </c>
    </row>
    <row r="225" spans="5:12">
      <c r="E225" s="322" t="s">
        <v>84</v>
      </c>
      <c r="F225" s="793">
        <v>44082</v>
      </c>
      <c r="G225" s="795">
        <v>29862.335999999999</v>
      </c>
      <c r="H225" s="795">
        <v>7131.3600000000042</v>
      </c>
      <c r="I225" s="795">
        <v>4302.3680000000004</v>
      </c>
      <c r="J225" s="795">
        <v>1745.6240000000007</v>
      </c>
      <c r="K225" s="795">
        <v>97323.12</v>
      </c>
      <c r="L225" s="795">
        <v>7214.0720000000001</v>
      </c>
    </row>
    <row r="226" spans="5:12">
      <c r="E226" s="322" t="s">
        <v>85</v>
      </c>
      <c r="F226" s="793">
        <v>44083</v>
      </c>
      <c r="G226" s="795">
        <v>52867.983999999997</v>
      </c>
      <c r="H226" s="795">
        <v>28553.768000000007</v>
      </c>
      <c r="I226" s="795">
        <v>7455.0640000000003</v>
      </c>
      <c r="J226" s="795">
        <v>943.23999999999944</v>
      </c>
      <c r="K226" s="795">
        <v>198642.6</v>
      </c>
      <c r="L226" s="795">
        <v>18807.912</v>
      </c>
    </row>
    <row r="227" spans="5:12">
      <c r="E227" s="322" t="s">
        <v>86</v>
      </c>
      <c r="F227" s="793">
        <v>44084</v>
      </c>
      <c r="G227" s="795">
        <v>20340.976000000002</v>
      </c>
      <c r="H227" s="795">
        <v>11860.592000000004</v>
      </c>
      <c r="I227" s="795">
        <v>2144.7040000000002</v>
      </c>
      <c r="J227" s="795">
        <v>579.27199999999982</v>
      </c>
      <c r="K227" s="795">
        <v>42784.56</v>
      </c>
      <c r="L227" s="795">
        <v>7201.6239999999998</v>
      </c>
    </row>
    <row r="228" spans="5:12">
      <c r="E228" s="322" t="s">
        <v>89</v>
      </c>
      <c r="F228" s="793">
        <v>44085</v>
      </c>
      <c r="G228" s="795">
        <v>20340.976000000002</v>
      </c>
      <c r="H228" s="795">
        <v>11860.592000000004</v>
      </c>
      <c r="I228" s="795">
        <v>2144.7040000000002</v>
      </c>
      <c r="J228" s="795">
        <v>579.27199999999982</v>
      </c>
      <c r="K228" s="795">
        <v>42784.56</v>
      </c>
      <c r="L228" s="795">
        <v>7201.6239999999998</v>
      </c>
    </row>
    <row r="229" spans="5:12">
      <c r="E229" s="322" t="s">
        <v>88</v>
      </c>
      <c r="F229" s="793">
        <v>44086</v>
      </c>
      <c r="G229" s="795">
        <v>36028.488000000005</v>
      </c>
      <c r="H229" s="795">
        <v>23869.248000000011</v>
      </c>
      <c r="I229" s="795">
        <v>6697</v>
      </c>
      <c r="J229" s="795">
        <v>5847.9600000000009</v>
      </c>
      <c r="K229" s="795">
        <v>137600.16</v>
      </c>
      <c r="L229" s="795">
        <v>14644.839999999998</v>
      </c>
    </row>
    <row r="230" spans="5:12">
      <c r="E230" s="322" t="s">
        <v>87</v>
      </c>
      <c r="F230" s="793">
        <v>44087</v>
      </c>
      <c r="G230" s="795">
        <v>163912.32000000001</v>
      </c>
      <c r="H230" s="795">
        <v>91409.895999999979</v>
      </c>
      <c r="I230" s="795">
        <v>12176.816000000001</v>
      </c>
      <c r="J230" s="795">
        <v>9360.2320000000018</v>
      </c>
      <c r="K230" s="795">
        <v>370407.72000000003</v>
      </c>
      <c r="L230" s="795">
        <v>45116.671999999999</v>
      </c>
    </row>
    <row r="231" spans="5:12">
      <c r="E231" s="322" t="s">
        <v>90</v>
      </c>
      <c r="F231" s="793">
        <v>44088</v>
      </c>
      <c r="G231" s="795">
        <v>27420.064000000002</v>
      </c>
      <c r="H231" s="795">
        <v>20854.151999999998</v>
      </c>
      <c r="I231" s="795">
        <v>2363.7759999999998</v>
      </c>
      <c r="J231" s="795">
        <v>538.1600000000002</v>
      </c>
      <c r="K231" s="795">
        <v>59475.240000000005</v>
      </c>
      <c r="L231" s="795">
        <v>9060.2480000000014</v>
      </c>
    </row>
    <row r="232" spans="5:12">
      <c r="E232" s="322" t="s">
        <v>91</v>
      </c>
      <c r="F232" s="793">
        <v>44089</v>
      </c>
      <c r="G232" s="795">
        <v>31390.384000000005</v>
      </c>
      <c r="H232" s="795">
        <v>20925.072</v>
      </c>
      <c r="I232" s="795">
        <v>1295.2080000000001</v>
      </c>
      <c r="J232" s="795">
        <v>1191.0719999999999</v>
      </c>
      <c r="K232" s="795">
        <v>76322.64</v>
      </c>
      <c r="L232" s="795">
        <v>9255.76</v>
      </c>
    </row>
    <row r="233" spans="5:12">
      <c r="E233" s="322" t="s">
        <v>93</v>
      </c>
      <c r="F233" s="793">
        <v>44090</v>
      </c>
      <c r="G233" s="795">
        <v>58027.936000000002</v>
      </c>
      <c r="H233" s="795">
        <v>25122.648000000001</v>
      </c>
      <c r="I233" s="795">
        <v>5766.2640000000001</v>
      </c>
      <c r="J233" s="795">
        <v>2842.52</v>
      </c>
      <c r="K233" s="795">
        <v>107274.84</v>
      </c>
      <c r="L233" s="795">
        <v>16730.688000000002</v>
      </c>
    </row>
    <row r="234" spans="5:12">
      <c r="E234" s="322" t="s">
        <v>94</v>
      </c>
      <c r="F234" s="793">
        <v>44091</v>
      </c>
      <c r="G234" s="795">
        <v>18491.184000000001</v>
      </c>
      <c r="H234" s="795">
        <v>7317.4720000000007</v>
      </c>
      <c r="I234" s="795">
        <v>1573.672</v>
      </c>
      <c r="J234" s="795">
        <v>683.74400000000014</v>
      </c>
      <c r="K234" s="795">
        <v>33067.920000000006</v>
      </c>
      <c r="L234" s="795">
        <v>3805.5280000000002</v>
      </c>
    </row>
    <row r="235" spans="5:12">
      <c r="E235" s="322" t="s">
        <v>92</v>
      </c>
      <c r="F235" s="793">
        <v>44092</v>
      </c>
      <c r="G235" s="795">
        <v>18491.184000000001</v>
      </c>
      <c r="H235" s="795">
        <v>7317.4720000000007</v>
      </c>
      <c r="I235" s="795">
        <v>1573.672</v>
      </c>
      <c r="J235" s="795">
        <v>683.74400000000014</v>
      </c>
      <c r="K235" s="795">
        <v>33067.920000000006</v>
      </c>
      <c r="L235" s="795">
        <v>3805.5280000000002</v>
      </c>
    </row>
    <row r="236" spans="5:12">
      <c r="E236" s="322" t="s">
        <v>95</v>
      </c>
      <c r="F236" s="793">
        <v>44093</v>
      </c>
      <c r="G236" s="795">
        <v>179660.33600000001</v>
      </c>
      <c r="H236" s="795">
        <v>76282.559999999983</v>
      </c>
      <c r="I236" s="795">
        <v>14805.048000000003</v>
      </c>
      <c r="J236" s="795">
        <v>7063.5519999999997</v>
      </c>
      <c r="K236" s="795">
        <v>405748.08</v>
      </c>
      <c r="L236" s="795">
        <v>49235.631999999998</v>
      </c>
    </row>
    <row r="237" spans="5:12">
      <c r="E237" s="322" t="s">
        <v>96</v>
      </c>
      <c r="F237" s="793">
        <v>44094</v>
      </c>
      <c r="G237" s="795">
        <v>28472.544000000002</v>
      </c>
      <c r="H237" s="795">
        <v>13425.896000000002</v>
      </c>
      <c r="I237" s="795">
        <v>1536.4880000000001</v>
      </c>
      <c r="J237" s="795">
        <v>366.52800000000008</v>
      </c>
      <c r="K237" s="795">
        <v>68486.64</v>
      </c>
      <c r="L237" s="795">
        <v>6459.9999999999991</v>
      </c>
    </row>
    <row r="238" spans="5:12">
      <c r="E238" s="322" t="s">
        <v>98</v>
      </c>
      <c r="F238" s="793">
        <v>44095</v>
      </c>
      <c r="G238" s="795">
        <v>28472.544000000002</v>
      </c>
      <c r="H238" s="795">
        <v>13425.896000000002</v>
      </c>
      <c r="I238" s="795">
        <v>1536.4880000000001</v>
      </c>
      <c r="J238" s="795">
        <v>366.52800000000008</v>
      </c>
      <c r="K238" s="795">
        <v>68486.64</v>
      </c>
      <c r="L238" s="795">
        <v>6459.9999999999991</v>
      </c>
    </row>
    <row r="239" spans="5:12">
      <c r="E239" s="322" t="s">
        <v>99</v>
      </c>
      <c r="F239" s="793">
        <v>44096</v>
      </c>
      <c r="G239" s="795">
        <v>28472.544000000002</v>
      </c>
      <c r="H239" s="795">
        <v>13425.896000000002</v>
      </c>
      <c r="I239" s="795">
        <v>1536.4880000000001</v>
      </c>
      <c r="J239" s="795">
        <v>366.52800000000008</v>
      </c>
      <c r="K239" s="795">
        <v>68486.64</v>
      </c>
      <c r="L239" s="795">
        <v>6459.9999999999991</v>
      </c>
    </row>
    <row r="240" spans="5:12">
      <c r="E240" s="322" t="s">
        <v>97</v>
      </c>
      <c r="F240" s="793">
        <v>44097</v>
      </c>
      <c r="G240" s="795">
        <v>158552.85600000003</v>
      </c>
      <c r="H240" s="795">
        <v>77108.551999999952</v>
      </c>
      <c r="I240" s="795">
        <v>23378.2</v>
      </c>
      <c r="J240" s="795">
        <v>8145.7280000000028</v>
      </c>
      <c r="K240" s="795">
        <v>633227.16</v>
      </c>
      <c r="L240" s="795">
        <v>41373.880000000005</v>
      </c>
    </row>
    <row r="241" spans="5:12">
      <c r="E241" s="322" t="s">
        <v>100</v>
      </c>
      <c r="F241" s="793">
        <v>44098</v>
      </c>
      <c r="G241" s="795">
        <v>93282.816000000006</v>
      </c>
      <c r="H241" s="795">
        <v>40565.167999999983</v>
      </c>
      <c r="I241" s="795">
        <v>10427.992</v>
      </c>
      <c r="J241" s="795">
        <v>2873.3439999999991</v>
      </c>
      <c r="K241" s="795">
        <v>420714.84000000008</v>
      </c>
      <c r="L241" s="795">
        <v>26991.728000000003</v>
      </c>
    </row>
    <row r="242" spans="5:12">
      <c r="E242" s="322" t="s">
        <v>102</v>
      </c>
      <c r="F242" s="793">
        <v>44099</v>
      </c>
      <c r="G242" s="795">
        <v>17703.135999999999</v>
      </c>
      <c r="H242" s="795">
        <v>11504.744000000001</v>
      </c>
      <c r="I242" s="795">
        <v>1037.7040000000002</v>
      </c>
      <c r="J242" s="795">
        <v>772.33599999999979</v>
      </c>
      <c r="K242" s="795">
        <v>51560.880000000005</v>
      </c>
      <c r="L242" s="795">
        <v>5975.648000000001</v>
      </c>
    </row>
    <row r="243" spans="5:12">
      <c r="E243" s="322" t="s">
        <v>101</v>
      </c>
      <c r="F243" s="793">
        <v>44100</v>
      </c>
      <c r="G243" s="795">
        <v>17703.135999999999</v>
      </c>
      <c r="H243" s="795">
        <v>11504.744000000001</v>
      </c>
      <c r="I243" s="795">
        <v>1037.7040000000002</v>
      </c>
      <c r="J243" s="795">
        <v>772.33599999999979</v>
      </c>
      <c r="K243" s="795">
        <v>51560.880000000005</v>
      </c>
      <c r="L243" s="795">
        <v>5975.648000000001</v>
      </c>
    </row>
    <row r="244" spans="5:12">
      <c r="E244" s="322" t="s">
        <v>103</v>
      </c>
      <c r="F244" s="793">
        <v>44101</v>
      </c>
      <c r="G244" s="795">
        <v>7306.4720000000007</v>
      </c>
      <c r="H244" s="795">
        <v>3393.2880000000005</v>
      </c>
      <c r="I244" s="795">
        <v>901.55200000000013</v>
      </c>
      <c r="J244" s="795">
        <v>404.47999999999996</v>
      </c>
      <c r="K244" s="795">
        <v>31657.440000000002</v>
      </c>
      <c r="L244" s="795">
        <v>1780.7920000000004</v>
      </c>
    </row>
    <row r="245" spans="5:12">
      <c r="E245" s="322" t="s">
        <v>77</v>
      </c>
      <c r="F245" s="793">
        <v>44105</v>
      </c>
      <c r="G245" s="795">
        <v>2464.5439999999999</v>
      </c>
      <c r="H245" s="795">
        <v>8339.1119999999992</v>
      </c>
      <c r="I245" s="795">
        <v>393.13600000000002</v>
      </c>
      <c r="J245" s="795">
        <v>1757.1840000000002</v>
      </c>
      <c r="K245" s="795">
        <v>24056.520000000004</v>
      </c>
      <c r="L245" s="795">
        <v>2950.1840000000002</v>
      </c>
    </row>
    <row r="246" spans="5:12">
      <c r="E246" s="322" t="s">
        <v>78</v>
      </c>
      <c r="F246" s="793">
        <v>44106</v>
      </c>
      <c r="G246" s="795">
        <v>7539.1840000000002</v>
      </c>
      <c r="H246" s="795">
        <v>26093.544000000005</v>
      </c>
      <c r="I246" s="795">
        <v>253.96</v>
      </c>
      <c r="J246" s="795">
        <v>335.31200000000007</v>
      </c>
      <c r="K246" s="795">
        <v>62139.48000000001</v>
      </c>
      <c r="L246" s="795">
        <v>6219.424</v>
      </c>
    </row>
    <row r="247" spans="5:12">
      <c r="E247" s="322" t="s">
        <v>80</v>
      </c>
      <c r="F247" s="793">
        <v>44107</v>
      </c>
      <c r="G247" s="795">
        <v>7539.1840000000002</v>
      </c>
      <c r="H247" s="795">
        <v>26093.544000000005</v>
      </c>
      <c r="I247" s="795">
        <v>253.96</v>
      </c>
      <c r="J247" s="795">
        <v>335.31200000000007</v>
      </c>
      <c r="K247" s="795">
        <v>62139.48000000001</v>
      </c>
      <c r="L247" s="795">
        <v>6219.424</v>
      </c>
    </row>
    <row r="248" spans="5:12">
      <c r="E248" s="322" t="s">
        <v>79</v>
      </c>
      <c r="F248" s="793">
        <v>44108</v>
      </c>
      <c r="G248" s="795">
        <v>2324.5520000000001</v>
      </c>
      <c r="H248" s="795">
        <v>10084.023999999999</v>
      </c>
      <c r="I248" s="795">
        <v>266.64800000000002</v>
      </c>
      <c r="J248" s="795">
        <v>1221.912</v>
      </c>
      <c r="K248" s="795">
        <v>26093.88</v>
      </c>
      <c r="L248" s="795">
        <v>3230.12</v>
      </c>
    </row>
    <row r="249" spans="5:12">
      <c r="E249" s="322" t="s">
        <v>81</v>
      </c>
      <c r="F249" s="793">
        <v>44109</v>
      </c>
      <c r="G249" s="795">
        <v>24346.512000000002</v>
      </c>
      <c r="H249" s="795">
        <v>52198.776000000005</v>
      </c>
      <c r="I249" s="795">
        <v>1820.9360000000001</v>
      </c>
      <c r="J249" s="795">
        <v>4229.9040000000005</v>
      </c>
      <c r="K249" s="795">
        <v>151783.32</v>
      </c>
      <c r="L249" s="795">
        <v>15001.344000000003</v>
      </c>
    </row>
    <row r="250" spans="5:12">
      <c r="E250" s="322" t="s">
        <v>82</v>
      </c>
      <c r="F250" s="793">
        <v>44110</v>
      </c>
      <c r="G250" s="795">
        <v>15217.560000000001</v>
      </c>
      <c r="H250" s="795">
        <v>36124.248</v>
      </c>
      <c r="I250" s="795">
        <v>819</v>
      </c>
      <c r="J250" s="795">
        <v>959.5200000000001</v>
      </c>
      <c r="K250" s="795">
        <v>106334.52</v>
      </c>
      <c r="L250" s="795">
        <v>9985.2560000000012</v>
      </c>
    </row>
    <row r="251" spans="5:12">
      <c r="E251" s="322" t="s">
        <v>83</v>
      </c>
      <c r="F251" s="793">
        <v>44111</v>
      </c>
      <c r="G251" s="795">
        <v>21576.407999999999</v>
      </c>
      <c r="H251" s="795">
        <v>70347.160000000018</v>
      </c>
      <c r="I251" s="795">
        <v>4108.4480000000003</v>
      </c>
      <c r="J251" s="795">
        <v>962.1519999999997</v>
      </c>
      <c r="K251" s="795">
        <v>131174.63999999998</v>
      </c>
      <c r="L251" s="795">
        <v>20630.543999999998</v>
      </c>
    </row>
    <row r="252" spans="5:12">
      <c r="E252" s="322" t="s">
        <v>84</v>
      </c>
      <c r="F252" s="793">
        <v>44112</v>
      </c>
      <c r="G252" s="795">
        <v>13485.400000000001</v>
      </c>
      <c r="H252" s="795">
        <v>21131.112000000001</v>
      </c>
      <c r="I252" s="795">
        <v>2081.4639999999999</v>
      </c>
      <c r="J252" s="795">
        <v>3201.9840000000004</v>
      </c>
      <c r="K252" s="795">
        <v>122711.76000000001</v>
      </c>
      <c r="L252" s="795">
        <v>8883.7200000000012</v>
      </c>
    </row>
    <row r="253" spans="5:12">
      <c r="E253" s="322" t="s">
        <v>85</v>
      </c>
      <c r="F253" s="793">
        <v>44113</v>
      </c>
      <c r="G253" s="795">
        <v>19614.752</v>
      </c>
      <c r="H253" s="795">
        <v>53344.655999999995</v>
      </c>
      <c r="I253" s="795">
        <v>3356.056</v>
      </c>
      <c r="J253" s="795">
        <v>1828.2560000000005</v>
      </c>
      <c r="K253" s="795">
        <v>238527.84</v>
      </c>
      <c r="L253" s="795">
        <v>19051.335999999999</v>
      </c>
    </row>
    <row r="254" spans="5:12">
      <c r="E254" s="322" t="s">
        <v>86</v>
      </c>
      <c r="F254" s="793">
        <v>44114</v>
      </c>
      <c r="G254" s="795">
        <v>5853.2720000000008</v>
      </c>
      <c r="H254" s="795">
        <v>21160.487999999998</v>
      </c>
      <c r="I254" s="795">
        <v>982.84799999999996</v>
      </c>
      <c r="J254" s="795">
        <v>665.52799999999991</v>
      </c>
      <c r="K254" s="795">
        <v>46624.200000000004</v>
      </c>
      <c r="L254" s="795">
        <v>6232.1200000000008</v>
      </c>
    </row>
    <row r="255" spans="5:12">
      <c r="E255" s="322" t="s">
        <v>89</v>
      </c>
      <c r="F255" s="793">
        <v>44115</v>
      </c>
      <c r="G255" s="795">
        <v>5853.2720000000008</v>
      </c>
      <c r="H255" s="795">
        <v>21160.487999999998</v>
      </c>
      <c r="I255" s="795">
        <v>982.84799999999996</v>
      </c>
      <c r="J255" s="795">
        <v>665.52799999999991</v>
      </c>
      <c r="K255" s="795">
        <v>46624.200000000004</v>
      </c>
      <c r="L255" s="795">
        <v>6232.1200000000008</v>
      </c>
    </row>
    <row r="256" spans="5:12">
      <c r="E256" s="322" t="s">
        <v>88</v>
      </c>
      <c r="F256" s="793">
        <v>44116</v>
      </c>
      <c r="G256" s="795">
        <v>12267.744000000001</v>
      </c>
      <c r="H256" s="795">
        <v>30709.320000000003</v>
      </c>
      <c r="I256" s="795">
        <v>3100.8720000000003</v>
      </c>
      <c r="J256" s="795">
        <v>3216.5520000000006</v>
      </c>
      <c r="K256" s="795">
        <v>152802</v>
      </c>
      <c r="L256" s="795">
        <v>13006.72</v>
      </c>
    </row>
    <row r="257" spans="5:12">
      <c r="E257" s="322" t="s">
        <v>87</v>
      </c>
      <c r="F257" s="793">
        <v>44117</v>
      </c>
      <c r="G257" s="795">
        <v>72964.688000000009</v>
      </c>
      <c r="H257" s="795">
        <v>166212.41600000003</v>
      </c>
      <c r="I257" s="795">
        <v>5351.4480000000003</v>
      </c>
      <c r="J257" s="795">
        <v>14109.143999999998</v>
      </c>
      <c r="K257" s="795">
        <v>386784.96</v>
      </c>
      <c r="L257" s="795">
        <v>48610.376000000004</v>
      </c>
    </row>
    <row r="258" spans="5:12">
      <c r="E258" s="322" t="s">
        <v>90</v>
      </c>
      <c r="F258" s="793">
        <v>44118</v>
      </c>
      <c r="G258" s="795">
        <v>13065.072</v>
      </c>
      <c r="H258" s="795">
        <v>44025.704000000005</v>
      </c>
      <c r="I258" s="795">
        <v>1086.4480000000001</v>
      </c>
      <c r="J258" s="795">
        <v>502.69600000000014</v>
      </c>
      <c r="K258" s="795">
        <v>74755.44</v>
      </c>
      <c r="L258" s="795">
        <v>11953.336000000001</v>
      </c>
    </row>
    <row r="259" spans="5:12">
      <c r="E259" s="322" t="s">
        <v>91</v>
      </c>
      <c r="F259" s="793">
        <v>44119</v>
      </c>
      <c r="G259" s="795">
        <v>9966.264000000001</v>
      </c>
      <c r="H259" s="795">
        <v>39640.207999999999</v>
      </c>
      <c r="I259" s="795">
        <v>914.24800000000005</v>
      </c>
      <c r="J259" s="795">
        <v>3298.7360000000003</v>
      </c>
      <c r="K259" s="795">
        <v>84785.52</v>
      </c>
      <c r="L259" s="795">
        <v>11961.128000000002</v>
      </c>
    </row>
    <row r="260" spans="5:12">
      <c r="E260" s="322" t="s">
        <v>93</v>
      </c>
      <c r="F260" s="793">
        <v>44120</v>
      </c>
      <c r="G260" s="795">
        <v>25052.712</v>
      </c>
      <c r="H260" s="795">
        <v>59329.031999999999</v>
      </c>
      <c r="I260" s="795">
        <v>1234.232</v>
      </c>
      <c r="J260" s="795">
        <v>5136.344000000001</v>
      </c>
      <c r="K260" s="795">
        <v>136346.4</v>
      </c>
      <c r="L260" s="795">
        <v>18254.448000000004</v>
      </c>
    </row>
    <row r="261" spans="5:12">
      <c r="E261" s="322" t="s">
        <v>94</v>
      </c>
      <c r="F261" s="793">
        <v>44121</v>
      </c>
      <c r="G261" s="795">
        <v>6063.2640000000001</v>
      </c>
      <c r="H261" s="795">
        <v>11390.368000000002</v>
      </c>
      <c r="I261" s="795">
        <v>1425.48</v>
      </c>
      <c r="J261" s="795">
        <v>685.88800000000015</v>
      </c>
      <c r="K261" s="795">
        <v>44508.480000000003</v>
      </c>
      <c r="L261" s="795">
        <v>4369.6399999999994</v>
      </c>
    </row>
    <row r="262" spans="5:12">
      <c r="E262" s="322" t="s">
        <v>92</v>
      </c>
      <c r="F262" s="793">
        <v>44122</v>
      </c>
      <c r="G262" s="795">
        <v>6063.2640000000001</v>
      </c>
      <c r="H262" s="795">
        <v>11390.368000000002</v>
      </c>
      <c r="I262" s="795">
        <v>1425.48</v>
      </c>
      <c r="J262" s="795">
        <v>685.88800000000015</v>
      </c>
      <c r="K262" s="795">
        <v>44508.480000000003</v>
      </c>
      <c r="L262" s="795">
        <v>4369.6399999999994</v>
      </c>
    </row>
    <row r="263" spans="5:12">
      <c r="E263" s="322" t="s">
        <v>95</v>
      </c>
      <c r="F263" s="793">
        <v>44123</v>
      </c>
      <c r="G263" s="795">
        <v>67916.248000000007</v>
      </c>
      <c r="H263" s="795">
        <v>146238.66400000002</v>
      </c>
      <c r="I263" s="795">
        <v>8140.3919999999998</v>
      </c>
      <c r="J263" s="795">
        <v>14351.272000000004</v>
      </c>
      <c r="K263" s="795">
        <v>447513.95999999996</v>
      </c>
      <c r="L263" s="795">
        <v>49797.240000000005</v>
      </c>
    </row>
    <row r="264" spans="5:12">
      <c r="E264" s="322" t="s">
        <v>96</v>
      </c>
      <c r="F264" s="793">
        <v>44124</v>
      </c>
      <c r="G264" s="795">
        <v>8783.503999999999</v>
      </c>
      <c r="H264" s="795">
        <v>28207.648000000005</v>
      </c>
      <c r="I264" s="795">
        <v>599.35200000000009</v>
      </c>
      <c r="J264" s="795">
        <v>850.73599999999988</v>
      </c>
      <c r="K264" s="795">
        <v>67389.600000000006</v>
      </c>
      <c r="L264" s="795">
        <v>7041.9199999999992</v>
      </c>
    </row>
    <row r="265" spans="5:12">
      <c r="E265" s="322" t="s">
        <v>98</v>
      </c>
      <c r="F265" s="793">
        <v>44125</v>
      </c>
      <c r="G265" s="795">
        <v>8783.503999999999</v>
      </c>
      <c r="H265" s="795">
        <v>28207.648000000005</v>
      </c>
      <c r="I265" s="795">
        <v>599.35200000000009</v>
      </c>
      <c r="J265" s="795">
        <v>850.73599999999988</v>
      </c>
      <c r="K265" s="795">
        <v>67389.600000000006</v>
      </c>
      <c r="L265" s="795">
        <v>7041.9199999999992</v>
      </c>
    </row>
    <row r="266" spans="5:12">
      <c r="E266" s="322" t="s">
        <v>99</v>
      </c>
      <c r="F266" s="793">
        <v>44126</v>
      </c>
      <c r="G266" s="795">
        <v>8783.503999999999</v>
      </c>
      <c r="H266" s="795">
        <v>28207.648000000005</v>
      </c>
      <c r="I266" s="795">
        <v>599.35200000000009</v>
      </c>
      <c r="J266" s="795">
        <v>850.73599999999988</v>
      </c>
      <c r="K266" s="795">
        <v>67389.600000000006</v>
      </c>
      <c r="L266" s="795">
        <v>7041.9199999999992</v>
      </c>
    </row>
    <row r="267" spans="5:12">
      <c r="E267" s="322" t="s">
        <v>97</v>
      </c>
      <c r="F267" s="793">
        <v>44127</v>
      </c>
      <c r="G267" s="795">
        <v>75680.639999999999</v>
      </c>
      <c r="H267" s="795">
        <v>127105.67199999998</v>
      </c>
      <c r="I267" s="795">
        <v>12853.656000000001</v>
      </c>
      <c r="J267" s="795">
        <v>8678.5360000000019</v>
      </c>
      <c r="K267" s="795">
        <v>712135.68000000005</v>
      </c>
      <c r="L267" s="795">
        <v>40667.632000000005</v>
      </c>
    </row>
    <row r="268" spans="5:12">
      <c r="E268" s="322" t="s">
        <v>100</v>
      </c>
      <c r="F268" s="793">
        <v>44128</v>
      </c>
      <c r="G268" s="795">
        <v>35460.752</v>
      </c>
      <c r="H268" s="795">
        <v>84830.52</v>
      </c>
      <c r="I268" s="795">
        <v>5050.232</v>
      </c>
      <c r="J268" s="795">
        <v>5789.3840000000009</v>
      </c>
      <c r="K268" s="795">
        <v>459424.68</v>
      </c>
      <c r="L268" s="795">
        <v>28090.088000000011</v>
      </c>
    </row>
    <row r="269" spans="5:12">
      <c r="E269" s="322" t="s">
        <v>102</v>
      </c>
      <c r="F269" s="793">
        <v>44129</v>
      </c>
      <c r="G269" s="795">
        <v>7342.4000000000005</v>
      </c>
      <c r="H269" s="795">
        <v>18527.680000000004</v>
      </c>
      <c r="I269" s="795">
        <v>365.69600000000003</v>
      </c>
      <c r="J269" s="795">
        <v>1251.6080000000002</v>
      </c>
      <c r="K269" s="795">
        <v>59945.4</v>
      </c>
      <c r="L269" s="795">
        <v>7528.4720000000016</v>
      </c>
    </row>
    <row r="270" spans="5:12">
      <c r="E270" s="322" t="s">
        <v>101</v>
      </c>
      <c r="F270" s="793">
        <v>44130</v>
      </c>
      <c r="G270" s="795">
        <v>7342.4000000000005</v>
      </c>
      <c r="H270" s="795">
        <v>18527.680000000004</v>
      </c>
      <c r="I270" s="795">
        <v>365.69600000000003</v>
      </c>
      <c r="J270" s="795">
        <v>1251.6080000000002</v>
      </c>
      <c r="K270" s="795">
        <v>59945.4</v>
      </c>
      <c r="L270" s="795">
        <v>7528.4720000000016</v>
      </c>
    </row>
    <row r="271" spans="5:12">
      <c r="E271" s="322" t="s">
        <v>103</v>
      </c>
      <c r="F271" s="793">
        <v>44131</v>
      </c>
      <c r="G271" s="795">
        <v>2901.56</v>
      </c>
      <c r="H271" s="795">
        <v>10021.016000000001</v>
      </c>
      <c r="I271" s="795">
        <v>845.68</v>
      </c>
      <c r="J271" s="795">
        <v>1193.8399999999999</v>
      </c>
      <c r="K271" s="795">
        <v>35653.800000000003</v>
      </c>
      <c r="L271" s="795">
        <v>3636.0080000000003</v>
      </c>
    </row>
    <row r="272" spans="5:12">
      <c r="E272" s="322" t="s">
        <v>77</v>
      </c>
      <c r="F272" s="793">
        <v>44136</v>
      </c>
      <c r="G272" s="795">
        <v>3617.5360000000001</v>
      </c>
      <c r="H272" s="795">
        <v>1325.3760000000002</v>
      </c>
      <c r="I272" s="795">
        <v>758.80799999999999</v>
      </c>
      <c r="J272" s="795">
        <v>568.6</v>
      </c>
      <c r="K272" s="795">
        <v>20765.400000000001</v>
      </c>
      <c r="L272" s="795">
        <v>1446.4240000000004</v>
      </c>
    </row>
    <row r="273" spans="5:12">
      <c r="E273" s="322" t="s">
        <v>78</v>
      </c>
      <c r="F273" s="793">
        <v>44137</v>
      </c>
      <c r="G273" s="795">
        <v>13876.696000000004</v>
      </c>
      <c r="H273" s="795">
        <v>11461.576000000001</v>
      </c>
      <c r="I273" s="795">
        <v>1427.248</v>
      </c>
      <c r="J273" s="795">
        <v>589.48</v>
      </c>
      <c r="K273" s="795">
        <v>55635.600000000006</v>
      </c>
      <c r="L273" s="795">
        <v>6028.7920000000004</v>
      </c>
    </row>
    <row r="274" spans="5:12">
      <c r="E274" s="322" t="s">
        <v>80</v>
      </c>
      <c r="F274" s="793">
        <v>44138</v>
      </c>
      <c r="G274" s="795">
        <v>13876.696000000004</v>
      </c>
      <c r="H274" s="795">
        <v>11461.576000000001</v>
      </c>
      <c r="I274" s="795">
        <v>1427.248</v>
      </c>
      <c r="J274" s="795">
        <v>589.48</v>
      </c>
      <c r="K274" s="795">
        <v>55635.600000000006</v>
      </c>
      <c r="L274" s="795">
        <v>6028.7920000000004</v>
      </c>
    </row>
    <row r="275" spans="5:12">
      <c r="E275" s="322" t="s">
        <v>79</v>
      </c>
      <c r="F275" s="793">
        <v>44139</v>
      </c>
      <c r="G275" s="795">
        <v>4392.5760000000009</v>
      </c>
      <c r="H275" s="795">
        <v>4774.5280000000002</v>
      </c>
      <c r="I275" s="795">
        <v>2079.904</v>
      </c>
      <c r="J275" s="795">
        <v>242.01599999999999</v>
      </c>
      <c r="K275" s="795">
        <v>14888.400000000001</v>
      </c>
      <c r="L275" s="795">
        <v>3264.0560000000005</v>
      </c>
    </row>
    <row r="276" spans="5:12">
      <c r="E276" s="322" t="s">
        <v>81</v>
      </c>
      <c r="F276" s="793">
        <v>44140</v>
      </c>
      <c r="G276" s="795">
        <v>42854.840000000004</v>
      </c>
      <c r="H276" s="795">
        <v>18467.472000000002</v>
      </c>
      <c r="I276" s="795">
        <v>6159</v>
      </c>
      <c r="J276" s="795">
        <v>3076.0880000000002</v>
      </c>
      <c r="K276" s="795">
        <v>146689.92000000001</v>
      </c>
      <c r="L276" s="795">
        <v>18513.511999999999</v>
      </c>
    </row>
    <row r="277" spans="5:12">
      <c r="E277" s="322" t="s">
        <v>82</v>
      </c>
      <c r="F277" s="793">
        <v>44141</v>
      </c>
      <c r="G277" s="795">
        <v>24076.272000000004</v>
      </c>
      <c r="H277" s="795">
        <v>8695.6320000000014</v>
      </c>
      <c r="I277" s="795">
        <v>1558.0160000000003</v>
      </c>
      <c r="J277" s="795">
        <v>267.24</v>
      </c>
      <c r="K277" s="795">
        <v>94267.080000000016</v>
      </c>
      <c r="L277" s="795">
        <v>9812.7599999999984</v>
      </c>
    </row>
    <row r="278" spans="5:12">
      <c r="E278" s="322" t="s">
        <v>83</v>
      </c>
      <c r="F278" s="793">
        <v>44142</v>
      </c>
      <c r="G278" s="795">
        <v>36527.928000000007</v>
      </c>
      <c r="H278" s="795">
        <v>27436.368000000002</v>
      </c>
      <c r="I278" s="795">
        <v>4664.6320000000005</v>
      </c>
      <c r="J278" s="795">
        <v>850.36800000000005</v>
      </c>
      <c r="K278" s="795">
        <v>126237.96000000002</v>
      </c>
      <c r="L278" s="795">
        <v>22226.432000000004</v>
      </c>
    </row>
    <row r="279" spans="5:12">
      <c r="E279" s="322" t="s">
        <v>84</v>
      </c>
      <c r="F279" s="793">
        <v>44143</v>
      </c>
      <c r="G279" s="795">
        <v>20271.847999999998</v>
      </c>
      <c r="H279" s="795">
        <v>4899.3919999999998</v>
      </c>
      <c r="I279" s="795">
        <v>3269.9920000000002</v>
      </c>
      <c r="J279" s="795">
        <v>1792.384</v>
      </c>
      <c r="K279" s="795">
        <v>102573.24</v>
      </c>
      <c r="L279" s="795">
        <v>9636.3040000000001</v>
      </c>
    </row>
    <row r="280" spans="5:12">
      <c r="E280" s="322" t="s">
        <v>85</v>
      </c>
      <c r="F280" s="793">
        <v>44144</v>
      </c>
      <c r="G280" s="795">
        <v>33858.735999999997</v>
      </c>
      <c r="H280" s="795">
        <v>24889.543999999998</v>
      </c>
      <c r="I280" s="795">
        <v>5504.5040000000008</v>
      </c>
      <c r="J280" s="795">
        <v>2146.6480000000001</v>
      </c>
      <c r="K280" s="795">
        <v>185556.48000000001</v>
      </c>
      <c r="L280" s="795">
        <v>17154.072</v>
      </c>
    </row>
    <row r="281" spans="5:12">
      <c r="E281" s="322" t="s">
        <v>86</v>
      </c>
      <c r="F281" s="793">
        <v>44145</v>
      </c>
      <c r="G281" s="795">
        <v>12190.168</v>
      </c>
      <c r="H281" s="795">
        <v>7590.8959999999997</v>
      </c>
      <c r="I281" s="795">
        <v>1226.6479999999999</v>
      </c>
      <c r="J281" s="795">
        <v>1185.568</v>
      </c>
      <c r="K281" s="795">
        <v>40825.56</v>
      </c>
      <c r="L281" s="795">
        <v>6177.0640000000003</v>
      </c>
    </row>
    <row r="282" spans="5:12">
      <c r="E282" s="322" t="s">
        <v>89</v>
      </c>
      <c r="F282" s="793">
        <v>44146</v>
      </c>
      <c r="G282" s="795">
        <v>12190.168</v>
      </c>
      <c r="H282" s="795">
        <v>7590.8959999999997</v>
      </c>
      <c r="I282" s="795">
        <v>1226.6479999999999</v>
      </c>
      <c r="J282" s="795">
        <v>1185.568</v>
      </c>
      <c r="K282" s="795">
        <v>40825.56</v>
      </c>
      <c r="L282" s="795">
        <v>6177.0640000000003</v>
      </c>
    </row>
    <row r="283" spans="5:12">
      <c r="E283" s="322" t="s">
        <v>88</v>
      </c>
      <c r="F283" s="793">
        <v>44147</v>
      </c>
      <c r="G283" s="795">
        <v>21576.736000000001</v>
      </c>
      <c r="H283" s="795">
        <v>18556.456000000002</v>
      </c>
      <c r="I283" s="795">
        <v>3771.3199999999997</v>
      </c>
      <c r="J283" s="795">
        <v>1536.5040000000001</v>
      </c>
      <c r="K283" s="795">
        <v>145906.32</v>
      </c>
      <c r="L283" s="795">
        <v>11097.816000000001</v>
      </c>
    </row>
    <row r="284" spans="5:12">
      <c r="E284" s="322" t="s">
        <v>87</v>
      </c>
      <c r="F284" s="793">
        <v>44148</v>
      </c>
      <c r="G284" s="795">
        <v>119049.76000000001</v>
      </c>
      <c r="H284" s="795">
        <v>99450.384000000005</v>
      </c>
      <c r="I284" s="795">
        <v>9232.4399999999987</v>
      </c>
      <c r="J284" s="795">
        <v>9004.0960000000014</v>
      </c>
      <c r="K284" s="795">
        <v>368495.04000000004</v>
      </c>
      <c r="L284" s="795">
        <v>54979.184000000001</v>
      </c>
    </row>
    <row r="285" spans="5:12">
      <c r="E285" s="322" t="s">
        <v>90</v>
      </c>
      <c r="F285" s="793">
        <v>44149</v>
      </c>
      <c r="G285" s="795">
        <v>22207.592000000004</v>
      </c>
      <c r="H285" s="795">
        <v>18437.416000000001</v>
      </c>
      <c r="I285" s="795">
        <v>1657.8480000000004</v>
      </c>
      <c r="J285" s="795">
        <v>1491.056</v>
      </c>
      <c r="K285" s="795">
        <v>63941.760000000002</v>
      </c>
      <c r="L285" s="795">
        <v>11905.6</v>
      </c>
    </row>
    <row r="286" spans="5:12">
      <c r="E286" s="322" t="s">
        <v>91</v>
      </c>
      <c r="F286" s="793">
        <v>44150</v>
      </c>
      <c r="G286" s="795">
        <v>17378.136000000002</v>
      </c>
      <c r="H286" s="795">
        <v>15281.512000000002</v>
      </c>
      <c r="I286" s="795">
        <v>1447.5599999999995</v>
      </c>
      <c r="J286" s="795">
        <v>2816.152</v>
      </c>
      <c r="K286" s="795">
        <v>73971.840000000011</v>
      </c>
      <c r="L286" s="795">
        <v>8985.5519999999997</v>
      </c>
    </row>
    <row r="287" spans="5:12">
      <c r="E287" s="322" t="s">
        <v>93</v>
      </c>
      <c r="F287" s="793">
        <v>44151</v>
      </c>
      <c r="G287" s="795">
        <v>37330.328000000001</v>
      </c>
      <c r="H287" s="795">
        <v>21197.632000000001</v>
      </c>
      <c r="I287" s="795">
        <v>2971.3039999999996</v>
      </c>
      <c r="J287" s="795">
        <v>1931.6000000000001</v>
      </c>
      <c r="K287" s="795">
        <v>127021.56000000001</v>
      </c>
      <c r="L287" s="795">
        <v>16075.903999999999</v>
      </c>
    </row>
    <row r="288" spans="5:12">
      <c r="E288" s="322" t="s">
        <v>94</v>
      </c>
      <c r="F288" s="793">
        <v>44152</v>
      </c>
      <c r="G288" s="795">
        <v>10168.584000000001</v>
      </c>
      <c r="H288" s="795">
        <v>3505.6400000000003</v>
      </c>
      <c r="I288" s="795">
        <v>1760.7040000000002</v>
      </c>
      <c r="J288" s="795">
        <v>419.19200000000001</v>
      </c>
      <c r="K288" s="795">
        <v>37221</v>
      </c>
      <c r="L288" s="795">
        <v>4494.5120000000006</v>
      </c>
    </row>
    <row r="289" spans="5:12">
      <c r="E289" s="322" t="s">
        <v>92</v>
      </c>
      <c r="F289" s="793">
        <v>44153</v>
      </c>
      <c r="G289" s="795">
        <v>10168.584000000001</v>
      </c>
      <c r="H289" s="795">
        <v>3505.6400000000003</v>
      </c>
      <c r="I289" s="795">
        <v>1760.7040000000002</v>
      </c>
      <c r="J289" s="795">
        <v>419.19200000000001</v>
      </c>
      <c r="K289" s="795">
        <v>37221</v>
      </c>
      <c r="L289" s="795">
        <v>4494.5120000000006</v>
      </c>
    </row>
    <row r="290" spans="5:12">
      <c r="E290" s="322" t="s">
        <v>95</v>
      </c>
      <c r="F290" s="793">
        <v>44154</v>
      </c>
      <c r="G290" s="795">
        <v>121086.984</v>
      </c>
      <c r="H290" s="795">
        <v>62151.256000000008</v>
      </c>
      <c r="I290" s="795">
        <v>13376.352000000003</v>
      </c>
      <c r="J290" s="795">
        <v>6954.9520000000011</v>
      </c>
      <c r="K290" s="795">
        <v>407942.16000000003</v>
      </c>
      <c r="L290" s="795">
        <v>52169.176000000007</v>
      </c>
    </row>
    <row r="291" spans="5:12">
      <c r="E291" s="322" t="s">
        <v>96</v>
      </c>
      <c r="F291" s="793">
        <v>44155</v>
      </c>
      <c r="G291" s="795">
        <v>15955.847999999998</v>
      </c>
      <c r="H291" s="795">
        <v>12317.112000000001</v>
      </c>
      <c r="I291" s="795">
        <v>599.35200000000009</v>
      </c>
      <c r="J291" s="795">
        <v>134.56</v>
      </c>
      <c r="K291" s="795">
        <v>64176.840000000004</v>
      </c>
      <c r="L291" s="795">
        <v>8210.0320000000011</v>
      </c>
    </row>
    <row r="292" spans="5:12">
      <c r="E292" s="322" t="s">
        <v>98</v>
      </c>
      <c r="F292" s="793">
        <v>44156</v>
      </c>
      <c r="G292" s="795">
        <v>15955.847999999998</v>
      </c>
      <c r="H292" s="795">
        <v>12317.112000000001</v>
      </c>
      <c r="I292" s="795">
        <v>599.35200000000009</v>
      </c>
      <c r="J292" s="795">
        <v>134.56</v>
      </c>
      <c r="K292" s="795">
        <v>64176.840000000004</v>
      </c>
      <c r="L292" s="795">
        <v>8210.0320000000011</v>
      </c>
    </row>
    <row r="293" spans="5:12">
      <c r="E293" s="322" t="s">
        <v>99</v>
      </c>
      <c r="F293" s="793">
        <v>44157</v>
      </c>
      <c r="G293" s="795">
        <v>15955.847999999998</v>
      </c>
      <c r="H293" s="795">
        <v>12317.112000000001</v>
      </c>
      <c r="I293" s="795">
        <v>599.35200000000009</v>
      </c>
      <c r="J293" s="795">
        <v>134.56</v>
      </c>
      <c r="K293" s="795">
        <v>64176.840000000004</v>
      </c>
      <c r="L293" s="795">
        <v>8210.0320000000011</v>
      </c>
    </row>
    <row r="294" spans="5:12">
      <c r="E294" s="322" t="s">
        <v>97</v>
      </c>
      <c r="F294" s="793">
        <v>44158</v>
      </c>
      <c r="G294" s="795">
        <v>129152.29600000003</v>
      </c>
      <c r="H294" s="795">
        <v>61135.463999999993</v>
      </c>
      <c r="I294" s="795">
        <v>22386.495999999999</v>
      </c>
      <c r="J294" s="795">
        <v>8250.4639999999999</v>
      </c>
      <c r="K294" s="795">
        <v>628603.92000000004</v>
      </c>
      <c r="L294" s="795">
        <v>45341.112000000001</v>
      </c>
    </row>
    <row r="295" spans="5:12">
      <c r="E295" s="322" t="s">
        <v>100</v>
      </c>
      <c r="F295" s="793">
        <v>44159</v>
      </c>
      <c r="G295" s="795">
        <v>65740.432000000015</v>
      </c>
      <c r="H295" s="795">
        <v>34924.752</v>
      </c>
      <c r="I295" s="795">
        <v>5332.1360000000004</v>
      </c>
      <c r="J295" s="795">
        <v>4310.9360000000006</v>
      </c>
      <c r="K295" s="795">
        <v>398538.96</v>
      </c>
      <c r="L295" s="795">
        <v>26978.432000000001</v>
      </c>
    </row>
    <row r="296" spans="5:12">
      <c r="E296" s="322" t="s">
        <v>102</v>
      </c>
      <c r="F296" s="793">
        <v>44160</v>
      </c>
      <c r="G296" s="795">
        <v>11989.376000000004</v>
      </c>
      <c r="H296" s="795">
        <v>11807.264000000001</v>
      </c>
      <c r="I296" s="795">
        <v>717.68000000000006</v>
      </c>
      <c r="J296" s="795">
        <v>380.32799999999997</v>
      </c>
      <c r="K296" s="795">
        <v>51169.08</v>
      </c>
      <c r="L296" s="795">
        <v>7383.1200000000008</v>
      </c>
    </row>
    <row r="297" spans="5:12">
      <c r="E297" s="322" t="s">
        <v>101</v>
      </c>
      <c r="F297" s="793">
        <v>44161</v>
      </c>
      <c r="G297" s="795">
        <v>11989.376000000004</v>
      </c>
      <c r="H297" s="795">
        <v>11807.264000000001</v>
      </c>
      <c r="I297" s="795">
        <v>717.68000000000006</v>
      </c>
      <c r="J297" s="795">
        <v>380.32799999999997</v>
      </c>
      <c r="K297" s="795">
        <v>51169.08</v>
      </c>
      <c r="L297" s="795">
        <v>7383.1200000000008</v>
      </c>
    </row>
    <row r="298" spans="5:12">
      <c r="E298" s="322" t="s">
        <v>103</v>
      </c>
      <c r="F298" s="793">
        <v>44162</v>
      </c>
      <c r="G298" s="795">
        <v>5029.0720000000001</v>
      </c>
      <c r="H298" s="795">
        <v>2433.5920000000001</v>
      </c>
      <c r="I298" s="795">
        <v>2034.1920000000002</v>
      </c>
      <c r="J298" s="795">
        <v>1059</v>
      </c>
      <c r="K298" s="795">
        <v>34713.480000000003</v>
      </c>
      <c r="L298" s="795">
        <v>3054.136</v>
      </c>
    </row>
    <row r="299" spans="5:12">
      <c r="E299" s="322" t="s">
        <v>77</v>
      </c>
      <c r="F299" s="793">
        <v>44166</v>
      </c>
      <c r="G299" s="795">
        <v>6135.9440000000004</v>
      </c>
      <c r="H299" s="795">
        <v>2157.559999999999</v>
      </c>
      <c r="I299" s="795">
        <v>167.61600000000001</v>
      </c>
      <c r="J299" s="795">
        <v>0</v>
      </c>
      <c r="K299" s="795">
        <v>19981.800000000003</v>
      </c>
      <c r="L299" s="795">
        <v>2589.6640000000007</v>
      </c>
    </row>
    <row r="300" spans="5:12">
      <c r="E300" s="322" t="s">
        <v>78</v>
      </c>
      <c r="F300" s="793">
        <v>44167</v>
      </c>
      <c r="G300" s="795">
        <v>21301.232000000004</v>
      </c>
      <c r="H300" s="795">
        <v>17132.072000000004</v>
      </c>
      <c r="I300" s="795">
        <v>1447.5680000000002</v>
      </c>
      <c r="J300" s="795">
        <v>760.60799999999983</v>
      </c>
      <c r="K300" s="795">
        <v>50542.200000000004</v>
      </c>
      <c r="L300" s="795">
        <v>7661.6080000000002</v>
      </c>
    </row>
    <row r="301" spans="5:12">
      <c r="E301" s="322" t="s">
        <v>80</v>
      </c>
      <c r="F301" s="793">
        <v>44168</v>
      </c>
      <c r="G301" s="795">
        <v>15140.256000000001</v>
      </c>
      <c r="H301" s="795">
        <v>17263.135999999999</v>
      </c>
      <c r="I301" s="795">
        <v>1577.088</v>
      </c>
      <c r="J301" s="795">
        <v>1848.4160000000004</v>
      </c>
      <c r="K301" s="795">
        <v>41217.360000000001</v>
      </c>
      <c r="L301" s="795">
        <v>10237.296000000002</v>
      </c>
    </row>
    <row r="302" spans="5:12">
      <c r="E302" s="322" t="s">
        <v>79</v>
      </c>
      <c r="F302" s="793">
        <v>44169</v>
      </c>
      <c r="G302" s="795">
        <v>6185.6080000000002</v>
      </c>
      <c r="H302" s="795">
        <v>2685.7280000000001</v>
      </c>
      <c r="I302" s="795">
        <v>2064.7040000000002</v>
      </c>
      <c r="J302" s="795">
        <v>330.03199999999998</v>
      </c>
      <c r="K302" s="795">
        <v>21470.639999999999</v>
      </c>
      <c r="L302" s="795">
        <v>2923.9840000000004</v>
      </c>
    </row>
    <row r="303" spans="5:12">
      <c r="E303" s="322" t="s">
        <v>81</v>
      </c>
      <c r="F303" s="793">
        <v>44170</v>
      </c>
      <c r="G303" s="795">
        <v>43961.96</v>
      </c>
      <c r="H303" s="795">
        <v>20282.943999999996</v>
      </c>
      <c r="I303" s="795">
        <v>4921.32</v>
      </c>
      <c r="J303" s="795">
        <v>3087.3120000000013</v>
      </c>
      <c r="K303" s="795">
        <v>153742.32</v>
      </c>
      <c r="L303" s="795">
        <v>16964.896000000001</v>
      </c>
    </row>
    <row r="304" spans="5:12">
      <c r="E304" s="322" t="s">
        <v>82</v>
      </c>
      <c r="F304" s="793">
        <v>44171</v>
      </c>
      <c r="G304" s="795">
        <v>20529.264000000003</v>
      </c>
      <c r="H304" s="795">
        <v>11474.439999999997</v>
      </c>
      <c r="I304" s="795">
        <v>2057.056</v>
      </c>
      <c r="J304" s="795">
        <v>694.87199999999984</v>
      </c>
      <c r="K304" s="795">
        <v>90035.640000000014</v>
      </c>
      <c r="L304" s="795">
        <v>11043.496000000001</v>
      </c>
    </row>
    <row r="305" spans="5:12">
      <c r="E305" s="322" t="s">
        <v>83</v>
      </c>
      <c r="F305" s="793">
        <v>44172</v>
      </c>
      <c r="G305" s="795">
        <v>33431.760000000002</v>
      </c>
      <c r="H305" s="795">
        <v>23338.648000000012</v>
      </c>
      <c r="I305" s="795">
        <v>4893.1440000000002</v>
      </c>
      <c r="J305" s="795">
        <v>2356.2720000000004</v>
      </c>
      <c r="K305" s="795">
        <v>106334.52</v>
      </c>
      <c r="L305" s="795">
        <v>15818.215999999999</v>
      </c>
    </row>
    <row r="306" spans="5:12">
      <c r="E306" s="322" t="s">
        <v>84</v>
      </c>
      <c r="F306" s="793">
        <v>44173</v>
      </c>
      <c r="G306" s="795">
        <v>31194.768</v>
      </c>
      <c r="H306" s="795">
        <v>8858.6159999999982</v>
      </c>
      <c r="I306" s="795">
        <v>4201.9679999999998</v>
      </c>
      <c r="J306" s="795">
        <v>1743.3119999999997</v>
      </c>
      <c r="K306" s="795">
        <v>98185.080000000016</v>
      </c>
      <c r="L306" s="795">
        <v>15517.103999999999</v>
      </c>
    </row>
    <row r="307" spans="5:12">
      <c r="E307" s="322" t="s">
        <v>85</v>
      </c>
      <c r="F307" s="793">
        <v>44174</v>
      </c>
      <c r="G307" s="795">
        <v>34910.064000000006</v>
      </c>
      <c r="H307" s="795">
        <v>32841.159999999989</v>
      </c>
      <c r="I307" s="795">
        <v>3931.2960000000003</v>
      </c>
      <c r="J307" s="795">
        <v>826.95999999999992</v>
      </c>
      <c r="K307" s="795">
        <v>207340.56000000003</v>
      </c>
      <c r="L307" s="795">
        <v>17181.68</v>
      </c>
    </row>
    <row r="308" spans="5:12">
      <c r="E308" s="322" t="s">
        <v>86</v>
      </c>
      <c r="F308" s="793">
        <v>44175</v>
      </c>
      <c r="G308" s="795">
        <v>9415.7440000000006</v>
      </c>
      <c r="H308" s="795">
        <v>8651.8160000000007</v>
      </c>
      <c r="I308" s="795">
        <v>1679.9360000000001</v>
      </c>
      <c r="J308" s="795">
        <v>820.4079999999999</v>
      </c>
      <c r="K308" s="795">
        <v>35340.36</v>
      </c>
      <c r="L308" s="795">
        <v>8216.2160000000003</v>
      </c>
    </row>
    <row r="309" spans="5:12">
      <c r="E309" s="322" t="s">
        <v>89</v>
      </c>
      <c r="F309" s="793">
        <v>44176</v>
      </c>
      <c r="G309" s="795">
        <v>113260.73600000002</v>
      </c>
      <c r="H309" s="795">
        <v>97816.09600000002</v>
      </c>
      <c r="I309" s="795">
        <v>14337.936</v>
      </c>
      <c r="J309" s="795">
        <v>12662.056</v>
      </c>
      <c r="K309" s="795">
        <v>355676.04000000004</v>
      </c>
      <c r="L309" s="795">
        <v>55572.216000000008</v>
      </c>
    </row>
    <row r="310" spans="5:12">
      <c r="E310" s="322" t="s">
        <v>88</v>
      </c>
      <c r="F310" s="793">
        <v>44177</v>
      </c>
      <c r="G310" s="795">
        <v>20971.504000000001</v>
      </c>
      <c r="H310" s="795">
        <v>15961.464</v>
      </c>
      <c r="I310" s="795">
        <v>2948.4639999999999</v>
      </c>
      <c r="J310" s="795">
        <v>2421.288</v>
      </c>
      <c r="K310" s="795">
        <v>115972.8</v>
      </c>
      <c r="L310" s="795">
        <v>9135.0879999999997</v>
      </c>
    </row>
    <row r="311" spans="5:12">
      <c r="E311" s="322" t="s">
        <v>87</v>
      </c>
      <c r="F311" s="793">
        <v>44178</v>
      </c>
      <c r="G311" s="795">
        <v>22283.448000000004</v>
      </c>
      <c r="H311" s="795">
        <v>22111.112000000005</v>
      </c>
      <c r="I311" s="795">
        <v>2565.5840000000003</v>
      </c>
      <c r="J311" s="795">
        <v>4103.9920000000011</v>
      </c>
      <c r="K311" s="795">
        <v>181011.6</v>
      </c>
      <c r="L311" s="795">
        <v>12366.672000000002</v>
      </c>
    </row>
    <row r="312" spans="5:12">
      <c r="E312" s="322" t="s">
        <v>90</v>
      </c>
      <c r="F312" s="793">
        <v>44179</v>
      </c>
      <c r="G312" s="795">
        <v>17888.232</v>
      </c>
      <c r="H312" s="795">
        <v>16974.952000000001</v>
      </c>
      <c r="I312" s="795">
        <v>463.608</v>
      </c>
      <c r="J312" s="795">
        <v>417.36800000000005</v>
      </c>
      <c r="K312" s="795">
        <v>63393.240000000005</v>
      </c>
      <c r="L312" s="795">
        <v>9030.9840000000004</v>
      </c>
    </row>
    <row r="313" spans="5:12">
      <c r="E313" s="322" t="s">
        <v>91</v>
      </c>
      <c r="F313" s="793">
        <v>44180</v>
      </c>
      <c r="G313" s="795">
        <v>21644.792000000001</v>
      </c>
      <c r="H313" s="795">
        <v>22429.376</v>
      </c>
      <c r="I313" s="795">
        <v>3847.4560000000001</v>
      </c>
      <c r="J313" s="795">
        <v>1333.6480000000004</v>
      </c>
      <c r="K313" s="795">
        <v>76165.919999999998</v>
      </c>
      <c r="L313" s="795">
        <v>12253.576000000001</v>
      </c>
    </row>
    <row r="314" spans="5:12">
      <c r="E314" s="322" t="s">
        <v>93</v>
      </c>
      <c r="F314" s="793">
        <v>44181</v>
      </c>
      <c r="G314" s="795">
        <v>41523.808000000005</v>
      </c>
      <c r="H314" s="795">
        <v>15237.856</v>
      </c>
      <c r="I314" s="795">
        <v>3954.1360000000004</v>
      </c>
      <c r="J314" s="795">
        <v>2184.3840000000005</v>
      </c>
      <c r="K314" s="795">
        <v>125532.72</v>
      </c>
      <c r="L314" s="795">
        <v>15879.288</v>
      </c>
    </row>
    <row r="315" spans="5:12">
      <c r="E315" s="322" t="s">
        <v>94</v>
      </c>
      <c r="F315" s="793">
        <v>44182</v>
      </c>
      <c r="G315" s="795">
        <v>14427.848000000002</v>
      </c>
      <c r="H315" s="795">
        <v>13957.855999999998</v>
      </c>
      <c r="I315" s="795">
        <v>2059.712</v>
      </c>
      <c r="J315" s="795">
        <v>2099.7920000000004</v>
      </c>
      <c r="K315" s="795">
        <v>34556.76</v>
      </c>
      <c r="L315" s="795">
        <v>8478.6080000000002</v>
      </c>
    </row>
    <row r="316" spans="5:12">
      <c r="E316" s="322" t="s">
        <v>92</v>
      </c>
      <c r="F316" s="793">
        <v>44183</v>
      </c>
      <c r="G316" s="795">
        <v>94481.104000000007</v>
      </c>
      <c r="H316" s="795">
        <v>52872.58400000001</v>
      </c>
      <c r="I316" s="795">
        <v>13659.264000000003</v>
      </c>
      <c r="J316" s="795">
        <v>9324.5919999999987</v>
      </c>
      <c r="K316" s="795">
        <v>482854.32000000007</v>
      </c>
      <c r="L316" s="795">
        <v>38493.807999999997</v>
      </c>
    </row>
    <row r="317" spans="5:12">
      <c r="E317" s="322" t="s">
        <v>95</v>
      </c>
      <c r="F317" s="793">
        <v>44184</v>
      </c>
      <c r="G317" s="795">
        <v>122128.76000000001</v>
      </c>
      <c r="H317" s="795">
        <v>60651.4</v>
      </c>
      <c r="I317" s="795">
        <v>15631</v>
      </c>
      <c r="J317" s="795">
        <v>9964.4239999999991</v>
      </c>
      <c r="K317" s="795">
        <v>368056.92000000004</v>
      </c>
      <c r="L317" s="795">
        <v>47482.96</v>
      </c>
    </row>
    <row r="318" spans="5:12">
      <c r="E318" s="322" t="s">
        <v>96</v>
      </c>
      <c r="F318" s="793">
        <v>44185</v>
      </c>
      <c r="G318" s="795">
        <v>19058.832000000002</v>
      </c>
      <c r="H318" s="795">
        <v>17731.344000000001</v>
      </c>
      <c r="I318" s="795">
        <v>1249.4560000000001</v>
      </c>
      <c r="J318" s="795">
        <v>126.25600000000014</v>
      </c>
      <c r="K318" s="795">
        <v>63706.680000000008</v>
      </c>
      <c r="L318" s="795">
        <v>12275.888000000001</v>
      </c>
    </row>
    <row r="319" spans="5:12">
      <c r="E319" s="322" t="s">
        <v>98</v>
      </c>
      <c r="F319" s="793">
        <v>44186</v>
      </c>
      <c r="G319" s="795">
        <v>9373.4639999999999</v>
      </c>
      <c r="H319" s="795">
        <v>4790.5440000000017</v>
      </c>
      <c r="I319" s="795">
        <v>868.5440000000001</v>
      </c>
      <c r="J319" s="795">
        <v>758.48799999999994</v>
      </c>
      <c r="K319" s="795">
        <v>58064.76</v>
      </c>
      <c r="L319" s="795">
        <v>4403.1359999999995</v>
      </c>
    </row>
    <row r="320" spans="5:12">
      <c r="E320" s="322" t="s">
        <v>99</v>
      </c>
      <c r="F320" s="793">
        <v>44187</v>
      </c>
      <c r="G320" s="795">
        <v>1173.3040000000001</v>
      </c>
      <c r="H320" s="795">
        <v>489.95999999999987</v>
      </c>
      <c r="I320" s="795">
        <v>219.42399999999998</v>
      </c>
      <c r="J320" s="795">
        <v>0</v>
      </c>
      <c r="K320" s="795">
        <v>11283.84</v>
      </c>
      <c r="L320" s="795">
        <v>1045.04</v>
      </c>
    </row>
    <row r="321" spans="5:12">
      <c r="E321" s="322" t="s">
        <v>97</v>
      </c>
      <c r="F321" s="793">
        <v>44188</v>
      </c>
      <c r="G321" s="795">
        <v>178814.13600000003</v>
      </c>
      <c r="H321" s="795">
        <v>97773.655999999988</v>
      </c>
      <c r="I321" s="795">
        <v>18873.144</v>
      </c>
      <c r="J321" s="795">
        <v>10486.552000000003</v>
      </c>
      <c r="K321" s="795">
        <v>630562.92000000004</v>
      </c>
      <c r="L321" s="795">
        <v>52777.376000000004</v>
      </c>
    </row>
    <row r="322" spans="5:12">
      <c r="E322" s="322" t="s">
        <v>100</v>
      </c>
      <c r="F322" s="793">
        <v>44189</v>
      </c>
      <c r="G322" s="795">
        <v>65009.616000000009</v>
      </c>
      <c r="H322" s="795">
        <v>41731.792000000009</v>
      </c>
      <c r="I322" s="795">
        <v>8882.6880000000001</v>
      </c>
      <c r="J322" s="795">
        <v>6651.8480000000018</v>
      </c>
      <c r="K322" s="795">
        <v>396423.24</v>
      </c>
      <c r="L322" s="795">
        <v>27771.512000000002</v>
      </c>
    </row>
    <row r="323" spans="5:12">
      <c r="E323" s="322" t="s">
        <v>102</v>
      </c>
      <c r="F323" s="793">
        <v>44190</v>
      </c>
      <c r="G323" s="795">
        <v>9627.0240000000013</v>
      </c>
      <c r="H323" s="795">
        <v>11711.776</v>
      </c>
      <c r="I323" s="795">
        <v>1112.3520000000001</v>
      </c>
      <c r="J323" s="795">
        <v>487.37599999999986</v>
      </c>
      <c r="K323" s="795">
        <v>47407.8</v>
      </c>
      <c r="L323" s="795">
        <v>5616.2080000000005</v>
      </c>
    </row>
    <row r="324" spans="5:12">
      <c r="E324" s="322" t="s">
        <v>101</v>
      </c>
      <c r="F324" s="793">
        <v>44191</v>
      </c>
      <c r="G324" s="795">
        <v>395220.50400000002</v>
      </c>
      <c r="H324" s="795">
        <v>314550.08799999993</v>
      </c>
      <c r="I324" s="795">
        <v>43030.776000000005</v>
      </c>
      <c r="J324" s="795">
        <v>52976.695999999996</v>
      </c>
      <c r="K324" s="795">
        <v>2086570.08</v>
      </c>
      <c r="L324" s="795">
        <v>203150.78199999998</v>
      </c>
    </row>
    <row r="325" spans="5:12">
      <c r="E325" s="322" t="s">
        <v>103</v>
      </c>
      <c r="F325" s="793">
        <v>44192</v>
      </c>
      <c r="G325" s="795">
        <v>8374.9279999999999</v>
      </c>
      <c r="H325" s="795">
        <v>2305.9839999999999</v>
      </c>
      <c r="I325" s="795">
        <v>1119.952</v>
      </c>
      <c r="J325" s="795">
        <v>1327.248</v>
      </c>
      <c r="K325" s="795">
        <v>32911.200000000004</v>
      </c>
      <c r="L325" s="795">
        <v>3579.1280000000002</v>
      </c>
    </row>
    <row r="326" spans="5:12">
      <c r="E326" s="322" t="s">
        <v>77</v>
      </c>
      <c r="F326" s="793">
        <v>44197</v>
      </c>
      <c r="G326" s="795">
        <v>14633.376000000002</v>
      </c>
      <c r="H326" s="795">
        <v>4688.9599999999982</v>
      </c>
      <c r="I326" s="795">
        <v>2197.4479999999999</v>
      </c>
      <c r="J326" s="795">
        <v>314.27999999999997</v>
      </c>
      <c r="K326" s="795">
        <v>14781.640000000001</v>
      </c>
      <c r="L326" s="795">
        <v>1917.5600000000015</v>
      </c>
    </row>
    <row r="327" spans="5:12">
      <c r="E327" s="322" t="s">
        <v>78</v>
      </c>
      <c r="F327" s="793">
        <v>44197</v>
      </c>
      <c r="G327" s="795">
        <v>85686.983999999997</v>
      </c>
      <c r="H327" s="795">
        <v>31277.640000000003</v>
      </c>
      <c r="I327" s="795">
        <v>2986.8720000000003</v>
      </c>
      <c r="J327" s="795">
        <v>1760.1519999999998</v>
      </c>
      <c r="K327" s="795">
        <v>42954.8</v>
      </c>
      <c r="L327" s="795">
        <v>10996.271999999986</v>
      </c>
    </row>
    <row r="328" spans="5:12">
      <c r="E328" s="322" t="s">
        <v>80</v>
      </c>
      <c r="F328" s="793">
        <v>44197</v>
      </c>
      <c r="G328" s="795">
        <v>39396.552000000003</v>
      </c>
      <c r="H328" s="795">
        <v>17692.264000000003</v>
      </c>
      <c r="I328" s="795">
        <v>2575.4560000000001</v>
      </c>
      <c r="J328" s="795">
        <v>1695.384</v>
      </c>
      <c r="K328" s="795">
        <v>24565.527999999998</v>
      </c>
      <c r="L328" s="795">
        <v>5050.2159999999976</v>
      </c>
    </row>
    <row r="329" spans="5:12">
      <c r="E329" s="322" t="s">
        <v>79</v>
      </c>
      <c r="F329" s="793">
        <v>44197</v>
      </c>
      <c r="G329" s="795">
        <v>20979.544000000002</v>
      </c>
      <c r="H329" s="795">
        <v>7505.7760000000017</v>
      </c>
      <c r="I329" s="795">
        <v>2217.4320000000002</v>
      </c>
      <c r="J329" s="795">
        <v>1243.56</v>
      </c>
      <c r="K329" s="795">
        <v>19531.112000000001</v>
      </c>
      <c r="L329" s="795">
        <v>3258.0160000000092</v>
      </c>
    </row>
    <row r="330" spans="5:12">
      <c r="E330" s="322" t="s">
        <v>81</v>
      </c>
      <c r="F330" s="793">
        <v>44197</v>
      </c>
      <c r="G330" s="795">
        <v>242000.87200000003</v>
      </c>
      <c r="H330" s="795">
        <v>59740.200000000004</v>
      </c>
      <c r="I330" s="795">
        <v>12373.728000000001</v>
      </c>
      <c r="J330" s="795">
        <v>7503.7200000000012</v>
      </c>
      <c r="K330" s="795">
        <v>118156.48800000001</v>
      </c>
      <c r="L330" s="795">
        <v>20825.095999999987</v>
      </c>
    </row>
    <row r="331" spans="5:12">
      <c r="E331" s="322" t="s">
        <v>82</v>
      </c>
      <c r="F331" s="793">
        <v>44197</v>
      </c>
      <c r="G331" s="795">
        <v>210017.18400000001</v>
      </c>
      <c r="H331" s="795">
        <v>36606.880000000026</v>
      </c>
      <c r="I331" s="795">
        <v>7368.2880000000005</v>
      </c>
      <c r="J331" s="795">
        <v>2934.848</v>
      </c>
      <c r="K331" s="795">
        <v>71108.592000000004</v>
      </c>
      <c r="L331" s="795">
        <v>15853.056000000019</v>
      </c>
    </row>
    <row r="332" spans="5:12">
      <c r="E332" s="322" t="s">
        <v>83</v>
      </c>
      <c r="F332" s="793">
        <v>44197</v>
      </c>
      <c r="G332" s="795">
        <v>270511.32799999998</v>
      </c>
      <c r="H332" s="795">
        <v>60776.248</v>
      </c>
      <c r="I332" s="795">
        <v>6882.1440000000002</v>
      </c>
      <c r="J332" s="795">
        <v>2733.9119999999998</v>
      </c>
      <c r="K332" s="795">
        <v>98439.26400000001</v>
      </c>
      <c r="L332" s="795">
        <v>21814.584000000032</v>
      </c>
    </row>
    <row r="333" spans="5:12">
      <c r="E333" s="322" t="s">
        <v>84</v>
      </c>
      <c r="F333" s="793">
        <v>44197</v>
      </c>
      <c r="G333" s="795">
        <v>170046.32800000001</v>
      </c>
      <c r="H333" s="795">
        <v>22793.143999999997</v>
      </c>
      <c r="I333" s="795">
        <v>5972.0960000000005</v>
      </c>
      <c r="J333" s="795">
        <v>2231.0879999999997</v>
      </c>
      <c r="K333" s="795">
        <v>74319.368000000002</v>
      </c>
      <c r="L333" s="795">
        <v>12656.67200000001</v>
      </c>
    </row>
    <row r="334" spans="5:12">
      <c r="E334" s="322" t="s">
        <v>85</v>
      </c>
      <c r="F334" s="793">
        <v>44197</v>
      </c>
      <c r="G334" s="795">
        <v>185235.08799999999</v>
      </c>
      <c r="H334" s="795">
        <v>49922.832000000031</v>
      </c>
      <c r="I334" s="795">
        <v>6445.6880000000001</v>
      </c>
      <c r="J334" s="795">
        <v>4063.264000000001</v>
      </c>
      <c r="K334" s="795">
        <v>154982.92000000001</v>
      </c>
      <c r="L334" s="795">
        <v>17298.735999999932</v>
      </c>
    </row>
    <row r="335" spans="5:12">
      <c r="E335" s="322" t="s">
        <v>86</v>
      </c>
      <c r="F335" s="793">
        <v>44197</v>
      </c>
      <c r="G335" s="795">
        <v>52658.872000000003</v>
      </c>
      <c r="H335" s="795">
        <v>22296.608000000007</v>
      </c>
      <c r="I335" s="795">
        <v>4478.9520000000002</v>
      </c>
      <c r="J335" s="795">
        <v>2993.8560000000007</v>
      </c>
      <c r="K335" s="795">
        <v>36276.112000000001</v>
      </c>
      <c r="L335" s="795">
        <v>7052.6480000000047</v>
      </c>
    </row>
    <row r="336" spans="5:12">
      <c r="E336" s="322" t="s">
        <v>89</v>
      </c>
      <c r="F336" s="793">
        <v>44197</v>
      </c>
      <c r="G336" s="795">
        <v>925423.25600000005</v>
      </c>
      <c r="H336" s="795">
        <v>171739.42400000003</v>
      </c>
      <c r="I336" s="795">
        <v>34321.064000000006</v>
      </c>
      <c r="J336" s="795">
        <v>13551.776000000002</v>
      </c>
      <c r="K336" s="795">
        <v>293033.02400000003</v>
      </c>
      <c r="L336" s="795">
        <v>65937.599999999831</v>
      </c>
    </row>
    <row r="337" spans="5:12">
      <c r="E337" s="322" t="s">
        <v>88</v>
      </c>
      <c r="F337" s="793">
        <v>44197</v>
      </c>
      <c r="G337" s="795">
        <v>132461.16800000001</v>
      </c>
      <c r="H337" s="795">
        <v>31786.056000000008</v>
      </c>
      <c r="I337" s="795">
        <v>7662.192</v>
      </c>
      <c r="J337" s="795">
        <v>8969.0640000000003</v>
      </c>
      <c r="K337" s="795">
        <v>105211.68800000001</v>
      </c>
      <c r="L337" s="795">
        <v>16195.463999999974</v>
      </c>
    </row>
    <row r="338" spans="5:12">
      <c r="E338" s="322" t="s">
        <v>87</v>
      </c>
      <c r="F338" s="793">
        <v>44197</v>
      </c>
      <c r="G338" s="795">
        <v>118625.992</v>
      </c>
      <c r="H338" s="795">
        <v>33646.175999999999</v>
      </c>
      <c r="I338" s="795">
        <v>6187.4400000000005</v>
      </c>
      <c r="J338" s="795">
        <v>3001.8879999999999</v>
      </c>
      <c r="K338" s="795">
        <v>130098.89600000001</v>
      </c>
      <c r="L338" s="795">
        <v>12398.511999999952</v>
      </c>
    </row>
    <row r="339" spans="5:12">
      <c r="E339" s="322" t="s">
        <v>90</v>
      </c>
      <c r="F339" s="793">
        <v>44197</v>
      </c>
      <c r="G339" s="795">
        <v>84887.464000000007</v>
      </c>
      <c r="H339" s="795">
        <v>38066.559999999998</v>
      </c>
      <c r="I339" s="795">
        <v>4020.8480000000004</v>
      </c>
      <c r="J339" s="795">
        <v>2277.5839999999998</v>
      </c>
      <c r="K339" s="795">
        <v>51373.743999999999</v>
      </c>
      <c r="L339" s="795">
        <v>10786.488000000021</v>
      </c>
    </row>
    <row r="340" spans="5:12">
      <c r="E340" s="322" t="s">
        <v>91</v>
      </c>
      <c r="F340" s="793">
        <v>44197</v>
      </c>
      <c r="G340" s="795">
        <v>93040.432000000001</v>
      </c>
      <c r="H340" s="795">
        <v>32469.455999999995</v>
      </c>
      <c r="I340" s="795">
        <v>4337.3360000000002</v>
      </c>
      <c r="J340" s="795">
        <v>2921.192</v>
      </c>
      <c r="K340" s="795">
        <v>64663.704000000005</v>
      </c>
      <c r="L340" s="795">
        <v>9417.2720000000008</v>
      </c>
    </row>
    <row r="341" spans="5:12">
      <c r="E341" s="322" t="s">
        <v>93</v>
      </c>
      <c r="F341" s="793">
        <v>44197</v>
      </c>
      <c r="G341" s="795">
        <v>219339.96000000002</v>
      </c>
      <c r="H341" s="795">
        <v>54782.560000000012</v>
      </c>
      <c r="I341" s="795">
        <v>7316</v>
      </c>
      <c r="J341" s="795">
        <v>3786.0880000000006</v>
      </c>
      <c r="K341" s="795">
        <v>96794.592000000004</v>
      </c>
      <c r="L341" s="795">
        <v>17656.064000000035</v>
      </c>
    </row>
    <row r="342" spans="5:12">
      <c r="E342" s="322" t="s">
        <v>94</v>
      </c>
      <c r="F342" s="793">
        <v>44197</v>
      </c>
      <c r="G342" s="795">
        <v>66814.888000000006</v>
      </c>
      <c r="H342" s="795">
        <v>31524.192000000006</v>
      </c>
      <c r="I342" s="795">
        <v>6738.4480000000003</v>
      </c>
      <c r="J342" s="795">
        <v>5628.7680000000009</v>
      </c>
      <c r="K342" s="795">
        <v>29537.856000000003</v>
      </c>
      <c r="L342" s="795">
        <v>10105.695999999985</v>
      </c>
    </row>
    <row r="343" spans="5:12">
      <c r="E343" s="322" t="s">
        <v>92</v>
      </c>
      <c r="F343" s="793">
        <v>44197</v>
      </c>
      <c r="G343" s="795">
        <v>632222.77600000007</v>
      </c>
      <c r="H343" s="795">
        <v>128845.57599999999</v>
      </c>
      <c r="I343" s="795">
        <v>41564.567999999999</v>
      </c>
      <c r="J343" s="795">
        <v>18676.248000000003</v>
      </c>
      <c r="K343" s="795">
        <v>374614.24800000002</v>
      </c>
      <c r="L343" s="795">
        <v>51287.575999999877</v>
      </c>
    </row>
    <row r="344" spans="5:12">
      <c r="E344" s="322" t="s">
        <v>95</v>
      </c>
      <c r="F344" s="793">
        <v>44197</v>
      </c>
      <c r="G344" s="795">
        <v>821707.87199999997</v>
      </c>
      <c r="H344" s="795">
        <v>149127.31200000001</v>
      </c>
      <c r="I344" s="795">
        <v>58466.112000000001</v>
      </c>
      <c r="J344" s="795">
        <v>13990.783999999998</v>
      </c>
      <c r="K344" s="795">
        <v>318233.36799999996</v>
      </c>
      <c r="L344" s="795">
        <v>56618.727999999981</v>
      </c>
    </row>
    <row r="345" spans="5:12">
      <c r="E345" s="322" t="s">
        <v>96</v>
      </c>
      <c r="F345" s="793">
        <v>44197</v>
      </c>
      <c r="G345" s="795">
        <v>75585.648000000001</v>
      </c>
      <c r="H345" s="795">
        <v>23055.728000000003</v>
      </c>
      <c r="I345" s="795">
        <v>1667.0560000000003</v>
      </c>
      <c r="J345" s="795">
        <v>1659.4160000000002</v>
      </c>
      <c r="K345" s="795">
        <v>47659.48</v>
      </c>
      <c r="L345" s="795">
        <v>7282.8080000000064</v>
      </c>
    </row>
    <row r="346" spans="5:12">
      <c r="E346" s="322" t="s">
        <v>98</v>
      </c>
      <c r="F346" s="793">
        <v>44197</v>
      </c>
      <c r="G346" s="795">
        <v>43784.800000000003</v>
      </c>
      <c r="H346" s="795">
        <v>10486.912</v>
      </c>
      <c r="I346" s="795">
        <v>3852.4879999999998</v>
      </c>
      <c r="J346" s="795">
        <v>875.47200000000021</v>
      </c>
      <c r="K346" s="795">
        <v>42739.088000000003</v>
      </c>
      <c r="L346" s="795">
        <v>4078.4559999999938</v>
      </c>
    </row>
    <row r="347" spans="5:12">
      <c r="E347" s="322" t="s">
        <v>99</v>
      </c>
      <c r="F347" s="793">
        <v>44197</v>
      </c>
      <c r="G347" s="795">
        <v>4284.5440000000008</v>
      </c>
      <c r="H347" s="795">
        <v>1127.4000000000001</v>
      </c>
      <c r="I347" s="795">
        <v>865.61599999999999</v>
      </c>
      <c r="J347" s="795">
        <v>0</v>
      </c>
      <c r="K347" s="795">
        <v>5908.5840000000007</v>
      </c>
      <c r="L347" s="795">
        <v>136.12</v>
      </c>
    </row>
    <row r="348" spans="5:12">
      <c r="E348" s="322" t="s">
        <v>97</v>
      </c>
      <c r="F348" s="793">
        <v>44197</v>
      </c>
      <c r="G348" s="795">
        <v>721921.83200000005</v>
      </c>
      <c r="H348" s="795">
        <v>172521.60000000001</v>
      </c>
      <c r="I348" s="795">
        <v>40285.736000000004</v>
      </c>
      <c r="J348" s="795">
        <v>29222.471999999998</v>
      </c>
      <c r="K348" s="795">
        <v>487398.92</v>
      </c>
      <c r="L348" s="795">
        <v>65183.392000000007</v>
      </c>
    </row>
    <row r="349" spans="5:12">
      <c r="E349" s="322" t="s">
        <v>100</v>
      </c>
      <c r="F349" s="793">
        <v>44197</v>
      </c>
      <c r="G349" s="795">
        <v>495182.81600000005</v>
      </c>
      <c r="H349" s="795">
        <v>81582.271999999983</v>
      </c>
      <c r="I349" s="795">
        <v>23923.576000000001</v>
      </c>
      <c r="J349" s="795">
        <v>6207.3679999999995</v>
      </c>
      <c r="K349" s="795">
        <v>270821.80800000002</v>
      </c>
      <c r="L349" s="795">
        <v>37088.616000000307</v>
      </c>
    </row>
    <row r="350" spans="5:12">
      <c r="E350" s="322" t="s">
        <v>102</v>
      </c>
      <c r="F350" s="793">
        <v>44197</v>
      </c>
      <c r="G350" s="795">
        <v>55705.207999999999</v>
      </c>
      <c r="H350" s="795">
        <v>19094.976000000002</v>
      </c>
      <c r="I350" s="795">
        <v>2121.2560000000003</v>
      </c>
      <c r="J350" s="795">
        <v>1962.9279999999997</v>
      </c>
      <c r="K350" s="795">
        <v>45950.856</v>
      </c>
      <c r="L350" s="795">
        <v>7204.2399999999952</v>
      </c>
    </row>
    <row r="351" spans="5:12">
      <c r="E351" s="322" t="s">
        <v>101</v>
      </c>
      <c r="F351" s="793">
        <v>44197</v>
      </c>
      <c r="G351" s="795">
        <v>2899267.8160000001</v>
      </c>
      <c r="H351" s="795">
        <v>537658.59999999963</v>
      </c>
      <c r="I351" s="795">
        <v>171575.04000000001</v>
      </c>
      <c r="J351" s="795">
        <v>57607.280000000028</v>
      </c>
      <c r="K351" s="795">
        <v>1707285.784</v>
      </c>
      <c r="L351" s="795">
        <v>209036.51200000188</v>
      </c>
    </row>
    <row r="352" spans="5:12">
      <c r="E352" s="322" t="s">
        <v>103</v>
      </c>
      <c r="F352" s="793">
        <v>44197</v>
      </c>
      <c r="G352" s="795">
        <v>21910.800000000003</v>
      </c>
      <c r="H352" s="795">
        <v>6713.7599999999984</v>
      </c>
      <c r="I352" s="795">
        <v>3045.6320000000001</v>
      </c>
      <c r="J352" s="795">
        <v>717.67200000000014</v>
      </c>
      <c r="K352" s="795">
        <v>24066.856</v>
      </c>
      <c r="L352" s="795">
        <v>2327.5840000000107</v>
      </c>
    </row>
    <row r="353" spans="5:12">
      <c r="E353" s="322" t="s">
        <v>77</v>
      </c>
      <c r="F353" s="793">
        <v>44228</v>
      </c>
      <c r="G353" s="795">
        <v>16068.44</v>
      </c>
      <c r="H353" s="795">
        <v>4609.376000000002</v>
      </c>
      <c r="I353" s="795">
        <v>411.416</v>
      </c>
      <c r="J353" s="795">
        <v>0</v>
      </c>
      <c r="K353" s="795">
        <v>13877.864000000001</v>
      </c>
      <c r="L353" s="795">
        <v>1021.6320000000001</v>
      </c>
    </row>
    <row r="354" spans="5:12">
      <c r="E354" s="322" t="s">
        <v>78</v>
      </c>
      <c r="F354" s="793">
        <v>44229</v>
      </c>
      <c r="G354" s="795">
        <v>103876.288</v>
      </c>
      <c r="H354" s="795">
        <v>22101.583999999999</v>
      </c>
      <c r="I354" s="795">
        <v>3265.5360000000001</v>
      </c>
      <c r="J354" s="795">
        <v>1291.9440000000002</v>
      </c>
      <c r="K354" s="795">
        <v>55016.864000000001</v>
      </c>
      <c r="L354" s="795">
        <v>5677.9120000000003</v>
      </c>
    </row>
    <row r="355" spans="5:12">
      <c r="E355" s="322" t="s">
        <v>80</v>
      </c>
      <c r="F355" s="793">
        <v>44230</v>
      </c>
      <c r="G355" s="795">
        <v>57227.031999999999</v>
      </c>
      <c r="H355" s="795">
        <v>21633.584000000006</v>
      </c>
      <c r="I355" s="795">
        <v>3367.52</v>
      </c>
      <c r="J355" s="795">
        <v>638.04800000000034</v>
      </c>
      <c r="K355" s="795">
        <v>26799.120000000003</v>
      </c>
      <c r="L355" s="795">
        <v>7830.496000000001</v>
      </c>
    </row>
    <row r="356" spans="5:12">
      <c r="E356" s="322" t="s">
        <v>79</v>
      </c>
      <c r="F356" s="793">
        <v>44231</v>
      </c>
      <c r="G356" s="795">
        <v>20042.936000000002</v>
      </c>
      <c r="H356" s="795">
        <v>5861.6720000000005</v>
      </c>
      <c r="I356" s="795">
        <v>962.51200000000017</v>
      </c>
      <c r="J356" s="795">
        <v>1083.72</v>
      </c>
      <c r="K356" s="795">
        <v>23590.432000000001</v>
      </c>
      <c r="L356" s="795">
        <v>1420.8960000000002</v>
      </c>
    </row>
    <row r="357" spans="5:12">
      <c r="E357" s="322" t="s">
        <v>81</v>
      </c>
      <c r="F357" s="793">
        <v>44232</v>
      </c>
      <c r="G357" s="795">
        <v>257495.67200000002</v>
      </c>
      <c r="H357" s="795">
        <v>51329.68</v>
      </c>
      <c r="I357" s="795">
        <v>10251.424000000001</v>
      </c>
      <c r="J357" s="795">
        <v>5404.16</v>
      </c>
      <c r="K357" s="795">
        <v>138227.04</v>
      </c>
      <c r="L357" s="795">
        <v>17790.255999999998</v>
      </c>
    </row>
    <row r="358" spans="5:12">
      <c r="E358" s="322" t="s">
        <v>82</v>
      </c>
      <c r="F358" s="793">
        <v>44233</v>
      </c>
      <c r="G358" s="795">
        <v>168378.76</v>
      </c>
      <c r="H358" s="795">
        <v>21198.591999999982</v>
      </c>
      <c r="I358" s="795">
        <v>5217.1440000000002</v>
      </c>
      <c r="J358" s="795">
        <v>2994.9599999999991</v>
      </c>
      <c r="K358" s="795">
        <v>90200.504000000001</v>
      </c>
      <c r="L358" s="795">
        <v>8868.7839999999997</v>
      </c>
    </row>
    <row r="359" spans="5:12">
      <c r="E359" s="322" t="s">
        <v>83</v>
      </c>
      <c r="F359" s="793">
        <v>44234</v>
      </c>
      <c r="G359" s="795">
        <v>333519.75200000004</v>
      </c>
      <c r="H359" s="795">
        <v>42452.431999999979</v>
      </c>
      <c r="I359" s="795">
        <v>12869.352000000001</v>
      </c>
      <c r="J359" s="795">
        <v>6516.0319999999992</v>
      </c>
      <c r="K359" s="795">
        <v>106812.82400000001</v>
      </c>
      <c r="L359" s="795">
        <v>18843.984</v>
      </c>
    </row>
    <row r="360" spans="5:12">
      <c r="E360" s="322" t="s">
        <v>84</v>
      </c>
      <c r="F360" s="793">
        <v>44235</v>
      </c>
      <c r="G360" s="795">
        <v>258604.56000000003</v>
      </c>
      <c r="H360" s="795">
        <v>18728.527999999973</v>
      </c>
      <c r="I360" s="795">
        <v>12824.872000000001</v>
      </c>
      <c r="J360" s="795">
        <v>2476.096</v>
      </c>
      <c r="K360" s="795">
        <v>94291.512000000017</v>
      </c>
      <c r="L360" s="795">
        <v>7177.1760000000013</v>
      </c>
    </row>
    <row r="361" spans="5:12">
      <c r="E361" s="322" t="s">
        <v>85</v>
      </c>
      <c r="F361" s="793">
        <v>44236</v>
      </c>
      <c r="G361" s="795">
        <v>235206.20800000001</v>
      </c>
      <c r="H361" s="795">
        <v>43557.359999999986</v>
      </c>
      <c r="I361" s="795">
        <v>8421.5920000000006</v>
      </c>
      <c r="J361" s="795">
        <v>4019.4080000000004</v>
      </c>
      <c r="K361" s="795">
        <v>200230.16000000003</v>
      </c>
      <c r="L361" s="795">
        <v>14143.775999999998</v>
      </c>
    </row>
    <row r="362" spans="5:12">
      <c r="E362" s="322" t="s">
        <v>86</v>
      </c>
      <c r="F362" s="793">
        <v>44237</v>
      </c>
      <c r="G362" s="795">
        <v>64498.592000000004</v>
      </c>
      <c r="H362" s="795">
        <v>16136.879999999997</v>
      </c>
      <c r="I362" s="795">
        <v>2747</v>
      </c>
      <c r="J362" s="795">
        <v>1695.0160000000005</v>
      </c>
      <c r="K362" s="795">
        <v>44038.320000000007</v>
      </c>
      <c r="L362" s="795">
        <v>4740.4080000000004</v>
      </c>
    </row>
    <row r="363" spans="5:12">
      <c r="E363" s="322" t="s">
        <v>89</v>
      </c>
      <c r="F363" s="793">
        <v>44238</v>
      </c>
      <c r="G363" s="795">
        <v>791395.88</v>
      </c>
      <c r="H363" s="795">
        <v>158364.32</v>
      </c>
      <c r="I363" s="795">
        <v>29515.032000000003</v>
      </c>
      <c r="J363" s="795">
        <v>14082.903999999999</v>
      </c>
      <c r="K363" s="795">
        <v>343620.93600000005</v>
      </c>
      <c r="L363" s="795">
        <v>49961.720000000008</v>
      </c>
    </row>
    <row r="364" spans="5:12">
      <c r="E364" s="322" t="s">
        <v>88</v>
      </c>
      <c r="F364" s="793">
        <v>44239</v>
      </c>
      <c r="G364" s="795">
        <v>130059.18400000001</v>
      </c>
      <c r="H364" s="795">
        <v>27110.072</v>
      </c>
      <c r="I364" s="795">
        <v>8285.76</v>
      </c>
      <c r="J364" s="795">
        <v>4174.655999999999</v>
      </c>
      <c r="K364" s="795">
        <v>129693.94400000002</v>
      </c>
      <c r="L364" s="795">
        <v>10304.552000000001</v>
      </c>
    </row>
    <row r="365" spans="5:12">
      <c r="E365" s="322" t="s">
        <v>87</v>
      </c>
      <c r="F365" s="793">
        <v>44240</v>
      </c>
      <c r="G365" s="795">
        <v>136776.53600000002</v>
      </c>
      <c r="H365" s="795">
        <v>35668.976000000002</v>
      </c>
      <c r="I365" s="795">
        <v>6917.3040000000001</v>
      </c>
      <c r="J365" s="795">
        <v>4346.7760000000007</v>
      </c>
      <c r="K365" s="795">
        <v>193341.63200000001</v>
      </c>
      <c r="L365" s="795">
        <v>10664.088</v>
      </c>
    </row>
    <row r="366" spans="5:12">
      <c r="E366" s="322" t="s">
        <v>90</v>
      </c>
      <c r="F366" s="793">
        <v>44241</v>
      </c>
      <c r="G366" s="795">
        <v>104487.592</v>
      </c>
      <c r="H366" s="795">
        <v>30470.007999999998</v>
      </c>
      <c r="I366" s="795">
        <v>3500.8480000000004</v>
      </c>
      <c r="J366" s="795">
        <v>3931.5999999999995</v>
      </c>
      <c r="K366" s="795">
        <v>67362.327999999994</v>
      </c>
      <c r="L366" s="795">
        <v>9834.9279999999999</v>
      </c>
    </row>
    <row r="367" spans="5:12">
      <c r="E367" s="322" t="s">
        <v>91</v>
      </c>
      <c r="F367" s="793">
        <v>44242</v>
      </c>
      <c r="G367" s="795">
        <v>113858.648</v>
      </c>
      <c r="H367" s="795">
        <v>26429.680000000011</v>
      </c>
      <c r="I367" s="795">
        <v>2748.9279999999999</v>
      </c>
      <c r="J367" s="795">
        <v>1087.104</v>
      </c>
      <c r="K367" s="795">
        <v>67942.191999999995</v>
      </c>
      <c r="L367" s="795">
        <v>7155.6880000000001</v>
      </c>
    </row>
    <row r="368" spans="5:12">
      <c r="E368" s="322" t="s">
        <v>93</v>
      </c>
      <c r="F368" s="793">
        <v>44243</v>
      </c>
      <c r="G368" s="795">
        <v>253764.16800000003</v>
      </c>
      <c r="H368" s="795">
        <v>72519.975999999995</v>
      </c>
      <c r="I368" s="795">
        <v>13053.976000000001</v>
      </c>
      <c r="J368" s="795">
        <v>10769.24</v>
      </c>
      <c r="K368" s="795">
        <v>114739.4</v>
      </c>
      <c r="L368" s="795">
        <v>5863.6720000000005</v>
      </c>
    </row>
    <row r="369" spans="5:12">
      <c r="E369" s="322" t="s">
        <v>94</v>
      </c>
      <c r="F369" s="793">
        <v>44244</v>
      </c>
      <c r="G369" s="795">
        <v>63699.792000000009</v>
      </c>
      <c r="H369" s="795">
        <v>21532.183999999994</v>
      </c>
      <c r="I369" s="795">
        <v>3037.16</v>
      </c>
      <c r="J369" s="795">
        <v>4056.424</v>
      </c>
      <c r="K369" s="795">
        <v>35497.08</v>
      </c>
      <c r="L369" s="795">
        <v>5522.8879999999999</v>
      </c>
    </row>
    <row r="370" spans="5:12">
      <c r="E370" s="322" t="s">
        <v>92</v>
      </c>
      <c r="F370" s="793">
        <v>44245</v>
      </c>
      <c r="G370" s="795">
        <v>657734.16800000006</v>
      </c>
      <c r="H370" s="795">
        <v>113871.31200000002</v>
      </c>
      <c r="I370" s="795">
        <v>34106.096000000005</v>
      </c>
      <c r="J370" s="795">
        <v>21384.792000000001</v>
      </c>
      <c r="K370" s="795">
        <v>462418.64799999999</v>
      </c>
      <c r="L370" s="795">
        <v>39114.527999999998</v>
      </c>
    </row>
    <row r="371" spans="5:12">
      <c r="E371" s="322" t="s">
        <v>95</v>
      </c>
      <c r="F371" s="793">
        <v>44246</v>
      </c>
      <c r="G371" s="795">
        <v>901862.43200000003</v>
      </c>
      <c r="H371" s="795">
        <v>121368.03199999996</v>
      </c>
      <c r="I371" s="795">
        <v>61243.8</v>
      </c>
      <c r="J371" s="795">
        <v>14732.48</v>
      </c>
      <c r="K371" s="795">
        <v>341766.40000000008</v>
      </c>
      <c r="L371" s="795">
        <v>39552.127999999997</v>
      </c>
    </row>
    <row r="372" spans="5:12">
      <c r="E372" s="322" t="s">
        <v>96</v>
      </c>
      <c r="F372" s="793">
        <v>44247</v>
      </c>
      <c r="G372" s="795">
        <v>105445.296</v>
      </c>
      <c r="H372" s="795">
        <v>23291.831999999999</v>
      </c>
      <c r="I372" s="795">
        <v>2455.6000000000004</v>
      </c>
      <c r="J372" s="795">
        <v>3200.4</v>
      </c>
      <c r="K372" s="795">
        <v>63459.184000000008</v>
      </c>
      <c r="L372" s="795">
        <v>9814.0319999999992</v>
      </c>
    </row>
    <row r="373" spans="5:12">
      <c r="E373" s="322" t="s">
        <v>98</v>
      </c>
      <c r="F373" s="793">
        <v>44248</v>
      </c>
      <c r="G373" s="795">
        <v>40852.920000000006</v>
      </c>
      <c r="H373" s="795">
        <v>9113.7359999999953</v>
      </c>
      <c r="I373" s="795">
        <v>1517.48</v>
      </c>
      <c r="J373" s="795">
        <v>1942.248</v>
      </c>
      <c r="K373" s="795">
        <v>58617.351999999999</v>
      </c>
      <c r="L373" s="795">
        <v>2568.2640000000006</v>
      </c>
    </row>
    <row r="374" spans="5:12">
      <c r="E374" s="322" t="s">
        <v>99</v>
      </c>
      <c r="F374" s="793">
        <v>44249</v>
      </c>
      <c r="G374" s="795">
        <v>10360.888000000001</v>
      </c>
      <c r="H374" s="795">
        <v>2038.8159999999989</v>
      </c>
      <c r="I374" s="795">
        <v>0</v>
      </c>
      <c r="J374" s="795">
        <v>114.85599999999999</v>
      </c>
      <c r="K374" s="795">
        <v>10343.520000000002</v>
      </c>
      <c r="L374" s="795">
        <v>783.97600000000011</v>
      </c>
    </row>
    <row r="375" spans="5:12">
      <c r="E375" s="322" t="s">
        <v>97</v>
      </c>
      <c r="F375" s="793">
        <v>44250</v>
      </c>
      <c r="G375" s="795">
        <v>833878.45600000001</v>
      </c>
      <c r="H375" s="795">
        <v>138700.28000000006</v>
      </c>
      <c r="I375" s="795">
        <v>31560.408000000003</v>
      </c>
      <c r="J375" s="795">
        <v>9445.4719999999979</v>
      </c>
      <c r="K375" s="795">
        <v>527061.576</v>
      </c>
      <c r="L375" s="795">
        <v>37051.296000000002</v>
      </c>
    </row>
    <row r="376" spans="5:12">
      <c r="E376" s="322" t="s">
        <v>100</v>
      </c>
      <c r="F376" s="793">
        <v>44251</v>
      </c>
      <c r="G376" s="795">
        <v>629082.70400000003</v>
      </c>
      <c r="H376" s="795">
        <v>68863.496000000014</v>
      </c>
      <c r="I376" s="795">
        <v>27134.800000000003</v>
      </c>
      <c r="J376" s="795">
        <v>8576.6319999999996</v>
      </c>
      <c r="K376" s="795">
        <v>376287.41600000003</v>
      </c>
      <c r="L376" s="795">
        <v>24513.200000000004</v>
      </c>
    </row>
    <row r="377" spans="5:12">
      <c r="E377" s="322" t="s">
        <v>102</v>
      </c>
      <c r="F377" s="793">
        <v>44252</v>
      </c>
      <c r="G377" s="795">
        <v>62915.568000000007</v>
      </c>
      <c r="H377" s="795">
        <v>20645.623999999996</v>
      </c>
      <c r="I377" s="795">
        <v>2559.7280000000001</v>
      </c>
      <c r="J377" s="795">
        <v>623.33600000000024</v>
      </c>
      <c r="K377" s="795">
        <v>53676.600000000006</v>
      </c>
      <c r="L377" s="795">
        <v>4287.6639999999998</v>
      </c>
    </row>
    <row r="378" spans="5:12">
      <c r="E378" s="322" t="s">
        <v>101</v>
      </c>
      <c r="F378" s="793">
        <v>44253</v>
      </c>
      <c r="G378" s="795">
        <v>3175271.2</v>
      </c>
      <c r="H378" s="795">
        <v>538897.02400000021</v>
      </c>
      <c r="I378" s="795">
        <v>167341.98400000003</v>
      </c>
      <c r="J378" s="795">
        <v>48535.728000000003</v>
      </c>
      <c r="K378" s="795">
        <v>2087486.736</v>
      </c>
      <c r="L378" s="795">
        <v>199241.16000000003</v>
      </c>
    </row>
    <row r="379" spans="5:12">
      <c r="E379" s="322" t="s">
        <v>103</v>
      </c>
      <c r="F379" s="793">
        <v>44254</v>
      </c>
      <c r="G379" s="795">
        <v>34966.056000000004</v>
      </c>
      <c r="H379" s="795">
        <v>9343.608000000002</v>
      </c>
      <c r="I379" s="795">
        <v>2531.0320000000002</v>
      </c>
      <c r="J379" s="795">
        <v>2183.2400000000002</v>
      </c>
      <c r="K379" s="795">
        <v>29228.280000000006</v>
      </c>
      <c r="L379" s="795">
        <v>3195.864</v>
      </c>
    </row>
    <row r="380" spans="5:12">
      <c r="E380" s="322" t="s">
        <v>77</v>
      </c>
      <c r="F380" s="793">
        <v>44256</v>
      </c>
      <c r="G380" s="795">
        <v>16717.024000000001</v>
      </c>
      <c r="H380" s="795">
        <v>3356.6160000000013</v>
      </c>
      <c r="I380" s="795">
        <v>1645.664</v>
      </c>
      <c r="J380" s="795">
        <v>1192.768</v>
      </c>
      <c r="K380" s="795">
        <v>16690.68</v>
      </c>
      <c r="L380" s="795">
        <v>711.36000000000013</v>
      </c>
    </row>
    <row r="381" spans="5:12">
      <c r="E381" s="322" t="s">
        <v>78</v>
      </c>
      <c r="F381" s="793">
        <v>44257</v>
      </c>
      <c r="G381" s="795">
        <v>62166.448000000004</v>
      </c>
      <c r="H381" s="795">
        <v>30632.720000000008</v>
      </c>
      <c r="I381" s="795">
        <v>548.55200000000002</v>
      </c>
      <c r="J381" s="795">
        <v>1003.3600000000001</v>
      </c>
      <c r="K381" s="795">
        <v>69352.672000000006</v>
      </c>
      <c r="L381" s="795">
        <v>7891.2719999999999</v>
      </c>
    </row>
    <row r="382" spans="5:12">
      <c r="E382" s="322" t="s">
        <v>80</v>
      </c>
      <c r="F382" s="793">
        <v>44258</v>
      </c>
      <c r="G382" s="795">
        <v>66320.992000000013</v>
      </c>
      <c r="H382" s="795">
        <v>18275.688000000002</v>
      </c>
      <c r="I382" s="795">
        <v>2757.3919999999998</v>
      </c>
      <c r="J382" s="795">
        <v>1960.4080000000004</v>
      </c>
      <c r="K382" s="795">
        <v>54303.48</v>
      </c>
      <c r="L382" s="795">
        <v>6443.9520000000002</v>
      </c>
    </row>
    <row r="383" spans="5:12">
      <c r="E383" s="322" t="s">
        <v>79</v>
      </c>
      <c r="F383" s="793">
        <v>44259</v>
      </c>
      <c r="G383" s="795">
        <v>22227.392000000003</v>
      </c>
      <c r="H383" s="795">
        <v>6899.4959999999992</v>
      </c>
      <c r="I383" s="795">
        <v>3994.8</v>
      </c>
      <c r="J383" s="795">
        <v>1472.2560000000001</v>
      </c>
      <c r="K383" s="795">
        <v>27426.000000000004</v>
      </c>
      <c r="L383" s="795">
        <v>1854.472</v>
      </c>
    </row>
    <row r="384" spans="5:12">
      <c r="E384" s="322" t="s">
        <v>81</v>
      </c>
      <c r="F384" s="793">
        <v>44260</v>
      </c>
      <c r="G384" s="795">
        <v>206828.47200000001</v>
      </c>
      <c r="H384" s="795">
        <v>51736.52800000002</v>
      </c>
      <c r="I384" s="795">
        <v>7765.9440000000004</v>
      </c>
      <c r="J384" s="795">
        <v>4424.1039999999994</v>
      </c>
      <c r="K384" s="795">
        <v>163694.04</v>
      </c>
      <c r="L384" s="795">
        <v>14429.280000000002</v>
      </c>
    </row>
    <row r="385" spans="5:12">
      <c r="E385" s="322" t="s">
        <v>82</v>
      </c>
      <c r="F385" s="793">
        <v>44261</v>
      </c>
      <c r="G385" s="795">
        <v>114965.75200000001</v>
      </c>
      <c r="H385" s="795">
        <v>24192.231999999996</v>
      </c>
      <c r="I385" s="795">
        <v>3926.9519999999998</v>
      </c>
      <c r="J385" s="795">
        <v>3241.7840000000006</v>
      </c>
      <c r="K385" s="795">
        <v>92151.360000000015</v>
      </c>
      <c r="L385" s="795">
        <v>8428.9840000000004</v>
      </c>
    </row>
    <row r="386" spans="5:12">
      <c r="E386" s="322" t="s">
        <v>83</v>
      </c>
      <c r="F386" s="793">
        <v>44262</v>
      </c>
      <c r="G386" s="795">
        <v>220545.50400000002</v>
      </c>
      <c r="H386" s="795">
        <v>52389.216</v>
      </c>
      <c r="I386" s="795">
        <v>6368.9440000000004</v>
      </c>
      <c r="J386" s="795">
        <v>2614.6800000000003</v>
      </c>
      <c r="K386" s="795">
        <v>143868.96000000002</v>
      </c>
      <c r="L386" s="795">
        <v>15673.368</v>
      </c>
    </row>
    <row r="387" spans="5:12">
      <c r="E387" s="322" t="s">
        <v>84</v>
      </c>
      <c r="F387" s="793">
        <v>44263</v>
      </c>
      <c r="G387" s="795">
        <v>150522.68799999999</v>
      </c>
      <c r="H387" s="795">
        <v>19113.240000000016</v>
      </c>
      <c r="I387" s="795">
        <v>3472.2800000000007</v>
      </c>
      <c r="J387" s="795">
        <v>2427.9759999999997</v>
      </c>
      <c r="K387" s="795">
        <v>121458.00000000003</v>
      </c>
      <c r="L387" s="795">
        <v>6973.4080000000004</v>
      </c>
    </row>
    <row r="388" spans="5:12">
      <c r="E388" s="322" t="s">
        <v>85</v>
      </c>
      <c r="F388" s="793">
        <v>44264</v>
      </c>
      <c r="G388" s="795">
        <v>156422.44</v>
      </c>
      <c r="H388" s="795">
        <v>37388.60000000002</v>
      </c>
      <c r="I388" s="795">
        <v>7328.5440000000008</v>
      </c>
      <c r="J388" s="795">
        <v>6528.0959999999995</v>
      </c>
      <c r="K388" s="795">
        <v>202638.96000000002</v>
      </c>
      <c r="L388" s="795">
        <v>12538.016000000001</v>
      </c>
    </row>
    <row r="389" spans="5:12">
      <c r="E389" s="322" t="s">
        <v>86</v>
      </c>
      <c r="F389" s="793">
        <v>44265</v>
      </c>
      <c r="G389" s="795">
        <v>60841.824000000001</v>
      </c>
      <c r="H389" s="795">
        <v>17542.208000000006</v>
      </c>
      <c r="I389" s="795">
        <v>2887.5280000000002</v>
      </c>
      <c r="J389" s="795">
        <v>1012.4800000000004</v>
      </c>
      <c r="K389" s="795">
        <v>49366.8</v>
      </c>
      <c r="L389" s="795">
        <v>4933.72</v>
      </c>
    </row>
    <row r="390" spans="5:12">
      <c r="E390" s="322" t="s">
        <v>89</v>
      </c>
      <c r="F390" s="793">
        <v>44266</v>
      </c>
      <c r="G390" s="795">
        <v>547245.34400000004</v>
      </c>
      <c r="H390" s="795">
        <v>169086.992</v>
      </c>
      <c r="I390" s="795">
        <v>20335.576000000001</v>
      </c>
      <c r="J390" s="795">
        <v>18033.88</v>
      </c>
      <c r="K390" s="795">
        <v>433731.30400000006</v>
      </c>
      <c r="L390" s="795">
        <v>48718.536000000007</v>
      </c>
    </row>
    <row r="391" spans="5:12">
      <c r="E391" s="322" t="s">
        <v>88</v>
      </c>
      <c r="F391" s="793">
        <v>44267</v>
      </c>
      <c r="G391" s="795">
        <v>90522.847999999998</v>
      </c>
      <c r="H391" s="795">
        <v>25215.311999999994</v>
      </c>
      <c r="I391" s="795">
        <v>3567.9040000000005</v>
      </c>
      <c r="J391" s="795">
        <v>3032.4879999999998</v>
      </c>
      <c r="K391" s="795">
        <v>152488.56000000003</v>
      </c>
      <c r="L391" s="795">
        <v>8271.0480000000007</v>
      </c>
    </row>
    <row r="392" spans="5:12">
      <c r="E392" s="322" t="s">
        <v>87</v>
      </c>
      <c r="F392" s="793">
        <v>44268</v>
      </c>
      <c r="G392" s="795">
        <v>119543.68000000001</v>
      </c>
      <c r="H392" s="795">
        <v>35214.784000000007</v>
      </c>
      <c r="I392" s="795">
        <v>5112.4400000000005</v>
      </c>
      <c r="J392" s="795">
        <v>2436.7439999999992</v>
      </c>
      <c r="K392" s="795">
        <v>237430.80000000002</v>
      </c>
      <c r="L392" s="795">
        <v>8498.0400000000009</v>
      </c>
    </row>
    <row r="393" spans="5:12">
      <c r="E393" s="322" t="s">
        <v>90</v>
      </c>
      <c r="F393" s="793">
        <v>44269</v>
      </c>
      <c r="G393" s="795">
        <v>75275.183999999994</v>
      </c>
      <c r="H393" s="795">
        <v>25401.047999999999</v>
      </c>
      <c r="I393" s="795">
        <v>2368.6480000000001</v>
      </c>
      <c r="J393" s="795">
        <v>1230.8960000000004</v>
      </c>
      <c r="K393" s="795">
        <v>64631.328000000009</v>
      </c>
      <c r="L393" s="795">
        <v>7629.6720000000005</v>
      </c>
    </row>
    <row r="394" spans="5:12">
      <c r="E394" s="322" t="s">
        <v>91</v>
      </c>
      <c r="F394" s="793">
        <v>44270</v>
      </c>
      <c r="G394" s="795">
        <v>92864.328000000009</v>
      </c>
      <c r="H394" s="795">
        <v>20959.159999999989</v>
      </c>
      <c r="I394" s="795">
        <v>2903.92</v>
      </c>
      <c r="J394" s="795">
        <v>1317.2880000000002</v>
      </c>
      <c r="K394" s="795">
        <v>86979.6</v>
      </c>
      <c r="L394" s="795">
        <v>5081.648000000001</v>
      </c>
    </row>
    <row r="395" spans="5:12">
      <c r="E395" s="322" t="s">
        <v>93</v>
      </c>
      <c r="F395" s="793">
        <v>44271</v>
      </c>
      <c r="G395" s="795">
        <v>167242.73600000003</v>
      </c>
      <c r="H395" s="795">
        <v>51328.48799999999</v>
      </c>
      <c r="I395" s="795">
        <v>5206.9520000000002</v>
      </c>
      <c r="J395" s="795">
        <v>6442.2000000000007</v>
      </c>
      <c r="K395" s="795">
        <v>145827.96000000002</v>
      </c>
      <c r="L395" s="795">
        <v>16750.712</v>
      </c>
    </row>
    <row r="396" spans="5:12">
      <c r="E396" s="322" t="s">
        <v>94</v>
      </c>
      <c r="F396" s="793">
        <v>44272</v>
      </c>
      <c r="G396" s="795">
        <v>47196.504000000001</v>
      </c>
      <c r="H396" s="795">
        <v>15647.527999999998</v>
      </c>
      <c r="I396" s="795">
        <v>1637.9040000000002</v>
      </c>
      <c r="J396" s="795">
        <v>3201.5120000000006</v>
      </c>
      <c r="K396" s="795">
        <v>38396.400000000009</v>
      </c>
      <c r="L396" s="795">
        <v>4155.9840000000004</v>
      </c>
    </row>
    <row r="397" spans="5:12">
      <c r="E397" s="322" t="s">
        <v>92</v>
      </c>
      <c r="F397" s="793">
        <v>44273</v>
      </c>
      <c r="G397" s="795">
        <v>518817.45600000001</v>
      </c>
      <c r="H397" s="795">
        <v>101806.46400000002</v>
      </c>
      <c r="I397" s="795">
        <v>27078.232000000004</v>
      </c>
      <c r="J397" s="795">
        <v>20520.592000000001</v>
      </c>
      <c r="K397" s="795">
        <v>557672.44799999997</v>
      </c>
      <c r="L397" s="795">
        <v>34048.671999999999</v>
      </c>
    </row>
    <row r="398" spans="5:12">
      <c r="E398" s="322" t="s">
        <v>95</v>
      </c>
      <c r="F398" s="793">
        <v>44274</v>
      </c>
      <c r="G398" s="795">
        <v>539854.22400000005</v>
      </c>
      <c r="H398" s="795">
        <v>120108.32799999996</v>
      </c>
      <c r="I398" s="795">
        <v>26426.512000000002</v>
      </c>
      <c r="J398" s="795">
        <v>11694.144</v>
      </c>
      <c r="K398" s="795">
        <v>449551.32000000007</v>
      </c>
      <c r="L398" s="795">
        <v>46573.944000000003</v>
      </c>
    </row>
    <row r="399" spans="5:12">
      <c r="E399" s="322" t="s">
        <v>96</v>
      </c>
      <c r="F399" s="793">
        <v>44275</v>
      </c>
      <c r="G399" s="795">
        <v>90166.536000000007</v>
      </c>
      <c r="H399" s="795">
        <v>19682.648000000005</v>
      </c>
      <c r="I399" s="795">
        <v>579.03200000000004</v>
      </c>
      <c r="J399" s="795">
        <v>691</v>
      </c>
      <c r="K399" s="795">
        <v>68408.28</v>
      </c>
      <c r="L399" s="795">
        <v>5930.8</v>
      </c>
    </row>
    <row r="400" spans="5:12">
      <c r="E400" s="322" t="s">
        <v>98</v>
      </c>
      <c r="F400" s="793">
        <v>44276</v>
      </c>
      <c r="G400" s="795">
        <v>41153.928000000007</v>
      </c>
      <c r="H400" s="795">
        <v>13920.359999999999</v>
      </c>
      <c r="I400" s="795">
        <v>2236.5840000000003</v>
      </c>
      <c r="J400" s="795">
        <v>1873.0560000000003</v>
      </c>
      <c r="K400" s="795">
        <v>71307.600000000006</v>
      </c>
      <c r="L400" s="795">
        <v>3644.9760000000001</v>
      </c>
    </row>
    <row r="401" spans="5:12">
      <c r="E401" s="322" t="s">
        <v>99</v>
      </c>
      <c r="F401" s="793">
        <v>44277</v>
      </c>
      <c r="G401" s="795">
        <v>8021</v>
      </c>
      <c r="H401" s="795">
        <v>1779.0080000000003</v>
      </c>
      <c r="I401" s="795">
        <v>2328.4320000000002</v>
      </c>
      <c r="J401" s="795">
        <v>0</v>
      </c>
      <c r="K401" s="795">
        <v>12459.240000000002</v>
      </c>
      <c r="L401" s="795">
        <v>447.99200000000008</v>
      </c>
    </row>
    <row r="402" spans="5:12">
      <c r="E402" s="322" t="s">
        <v>97</v>
      </c>
      <c r="F402" s="793">
        <v>44278</v>
      </c>
      <c r="G402" s="795">
        <v>580122.696</v>
      </c>
      <c r="H402" s="795">
        <v>126231.69599999998</v>
      </c>
      <c r="I402" s="795">
        <v>22076.544000000002</v>
      </c>
      <c r="J402" s="795">
        <v>14906.064000000002</v>
      </c>
      <c r="K402" s="795">
        <v>637458.6</v>
      </c>
      <c r="L402" s="795">
        <v>34771.368000000002</v>
      </c>
    </row>
    <row r="403" spans="5:12">
      <c r="E403" s="322" t="s">
        <v>100</v>
      </c>
      <c r="F403" s="793">
        <v>44279</v>
      </c>
      <c r="G403" s="795">
        <v>407821.36800000002</v>
      </c>
      <c r="H403" s="795">
        <v>75031.623999999996</v>
      </c>
      <c r="I403" s="795">
        <v>13362.351999999999</v>
      </c>
      <c r="J403" s="795">
        <v>6361.4320000000025</v>
      </c>
      <c r="K403" s="795">
        <v>459032.88</v>
      </c>
      <c r="L403" s="795">
        <v>24785.576000000005</v>
      </c>
    </row>
    <row r="404" spans="5:12">
      <c r="E404" s="322" t="s">
        <v>102</v>
      </c>
      <c r="F404" s="793">
        <v>44280</v>
      </c>
      <c r="G404" s="795">
        <v>55686.695999999996</v>
      </c>
      <c r="H404" s="795">
        <v>17060.960000000003</v>
      </c>
      <c r="I404" s="795">
        <v>1997.4160000000002</v>
      </c>
      <c r="J404" s="795">
        <v>1107.8000000000002</v>
      </c>
      <c r="K404" s="795">
        <v>64176.840000000004</v>
      </c>
      <c r="L404" s="795">
        <v>5593.9120000000003</v>
      </c>
    </row>
    <row r="405" spans="5:12">
      <c r="E405" s="322" t="s">
        <v>101</v>
      </c>
      <c r="F405" s="793">
        <v>44281</v>
      </c>
      <c r="G405" s="795">
        <v>2352336.7039999999</v>
      </c>
      <c r="H405" s="795">
        <v>515443.95200000016</v>
      </c>
      <c r="I405" s="795">
        <v>101307.47200000001</v>
      </c>
      <c r="J405" s="795">
        <v>65766.767999999996</v>
      </c>
      <c r="K405" s="795">
        <v>2239594.7439999999</v>
      </c>
      <c r="L405" s="795">
        <v>180278.976</v>
      </c>
    </row>
    <row r="406" spans="5:12">
      <c r="E406" s="322" t="s">
        <v>103</v>
      </c>
      <c r="F406" s="793">
        <v>44282</v>
      </c>
      <c r="G406" s="795">
        <v>33661.520000000004</v>
      </c>
      <c r="H406" s="795">
        <v>9851.8320000000003</v>
      </c>
      <c r="I406" s="795">
        <v>411.416</v>
      </c>
      <c r="J406" s="795">
        <v>2209.9840000000004</v>
      </c>
      <c r="K406" s="795">
        <v>36123.960000000006</v>
      </c>
      <c r="L406" s="795">
        <v>1046.6320000000001</v>
      </c>
    </row>
    <row r="407" spans="5:12">
      <c r="E407" s="322" t="s">
        <v>77</v>
      </c>
      <c r="F407" s="793">
        <v>44287</v>
      </c>
      <c r="G407" s="795">
        <v>13891.023999999999</v>
      </c>
      <c r="H407" s="795">
        <v>2769.1040000000012</v>
      </c>
      <c r="I407" s="795">
        <v>1727.9520000000002</v>
      </c>
      <c r="J407" s="795">
        <v>1271.2079999999999</v>
      </c>
      <c r="K407" s="795">
        <v>17787.72</v>
      </c>
      <c r="L407" s="795">
        <v>1624.3200000000002</v>
      </c>
    </row>
    <row r="408" spans="5:12">
      <c r="E408" s="322" t="s">
        <v>78</v>
      </c>
      <c r="F408" s="793">
        <v>44288</v>
      </c>
      <c r="G408" s="795">
        <v>59125.288</v>
      </c>
      <c r="H408" s="795">
        <v>20131.696</v>
      </c>
      <c r="I408" s="795">
        <v>2087.9360000000001</v>
      </c>
      <c r="J408" s="795">
        <v>1024.2160000000001</v>
      </c>
      <c r="K408" s="795">
        <v>58848.360000000008</v>
      </c>
      <c r="L408" s="795">
        <v>6454.7679999999991</v>
      </c>
    </row>
    <row r="409" spans="5:12">
      <c r="E409" s="322" t="s">
        <v>80</v>
      </c>
      <c r="F409" s="793">
        <v>44289</v>
      </c>
      <c r="G409" s="795">
        <v>57114.96</v>
      </c>
      <c r="H409" s="795">
        <v>20106.448000000004</v>
      </c>
      <c r="I409" s="795">
        <v>2368.7040000000002</v>
      </c>
      <c r="J409" s="795">
        <v>1011.1680000000001</v>
      </c>
      <c r="K409" s="795">
        <v>50934</v>
      </c>
      <c r="L409" s="795">
        <v>7863.8080000000009</v>
      </c>
    </row>
    <row r="410" spans="5:12">
      <c r="E410" s="322" t="s">
        <v>79</v>
      </c>
      <c r="F410" s="793">
        <v>44290</v>
      </c>
      <c r="G410" s="795">
        <v>16381.951999999999</v>
      </c>
      <c r="H410" s="795">
        <v>4700.3280000000022</v>
      </c>
      <c r="I410" s="795">
        <v>1394.24</v>
      </c>
      <c r="J410" s="795">
        <v>1182.7439999999999</v>
      </c>
      <c r="K410" s="795">
        <v>21784.080000000002</v>
      </c>
      <c r="L410" s="795">
        <v>1554.624</v>
      </c>
    </row>
    <row r="411" spans="5:12">
      <c r="E411" s="322" t="s">
        <v>81</v>
      </c>
      <c r="F411" s="793">
        <v>44291</v>
      </c>
      <c r="G411" s="795">
        <v>180433.12</v>
      </c>
      <c r="H411" s="795">
        <v>43996.720000000016</v>
      </c>
      <c r="I411" s="795">
        <v>3832.424</v>
      </c>
      <c r="J411" s="795">
        <v>5336.64</v>
      </c>
      <c r="K411" s="795">
        <v>158287.20000000001</v>
      </c>
      <c r="L411" s="795">
        <v>18702.912000000004</v>
      </c>
    </row>
    <row r="412" spans="5:12">
      <c r="E412" s="322" t="s">
        <v>82</v>
      </c>
      <c r="F412" s="793">
        <v>44292</v>
      </c>
      <c r="G412" s="795">
        <v>102782.33600000001</v>
      </c>
      <c r="H412" s="795">
        <v>18622.951999999994</v>
      </c>
      <c r="I412" s="795">
        <v>2637.1200000000003</v>
      </c>
      <c r="J412" s="795">
        <v>1185.9999999999998</v>
      </c>
      <c r="K412" s="795">
        <v>88625.16</v>
      </c>
      <c r="L412" s="795">
        <v>10165.240000000002</v>
      </c>
    </row>
    <row r="413" spans="5:12">
      <c r="E413" s="322" t="s">
        <v>83</v>
      </c>
      <c r="F413" s="793">
        <v>44293</v>
      </c>
      <c r="G413" s="795">
        <v>182934.55200000003</v>
      </c>
      <c r="H413" s="795">
        <v>43092.56</v>
      </c>
      <c r="I413" s="795">
        <v>4068.7120000000004</v>
      </c>
      <c r="J413" s="795">
        <v>3857.0639999999994</v>
      </c>
      <c r="K413" s="795">
        <v>118088.52000000002</v>
      </c>
      <c r="L413" s="795">
        <v>16466.055999999997</v>
      </c>
    </row>
    <row r="414" spans="5:12">
      <c r="E414" s="322" t="s">
        <v>84</v>
      </c>
      <c r="F414" s="793">
        <v>44294</v>
      </c>
      <c r="G414" s="795">
        <v>139374.12</v>
      </c>
      <c r="H414" s="795">
        <v>10474.312000000007</v>
      </c>
      <c r="I414" s="795">
        <v>4713.8160000000007</v>
      </c>
      <c r="J414" s="795">
        <v>1988.1040000000003</v>
      </c>
      <c r="K414" s="795">
        <v>98968.680000000008</v>
      </c>
      <c r="L414" s="795">
        <v>8851.0560000000005</v>
      </c>
    </row>
    <row r="415" spans="5:12">
      <c r="E415" s="322" t="s">
        <v>85</v>
      </c>
      <c r="F415" s="793">
        <v>44295</v>
      </c>
      <c r="G415" s="795">
        <v>119456.68799999999</v>
      </c>
      <c r="H415" s="795">
        <v>24587.128000000012</v>
      </c>
      <c r="I415" s="795">
        <v>6823.8</v>
      </c>
      <c r="J415" s="795">
        <v>1804.6000000000001</v>
      </c>
      <c r="K415" s="795">
        <v>199504.56</v>
      </c>
      <c r="L415" s="795">
        <v>13121.2</v>
      </c>
    </row>
    <row r="416" spans="5:12">
      <c r="E416" s="322" t="s">
        <v>86</v>
      </c>
      <c r="F416" s="793">
        <v>44296</v>
      </c>
      <c r="G416" s="795">
        <v>48462.488000000005</v>
      </c>
      <c r="H416" s="795">
        <v>12833.248000000005</v>
      </c>
      <c r="I416" s="795">
        <v>1222.816</v>
      </c>
      <c r="J416" s="795">
        <v>883.6880000000001</v>
      </c>
      <c r="K416" s="795">
        <v>40590.480000000003</v>
      </c>
      <c r="L416" s="795">
        <v>5641.9120000000003</v>
      </c>
    </row>
    <row r="417" spans="5:12">
      <c r="E417" s="322" t="s">
        <v>89</v>
      </c>
      <c r="F417" s="793">
        <v>44297</v>
      </c>
      <c r="G417" s="795">
        <v>472215.22400000005</v>
      </c>
      <c r="H417" s="795">
        <v>127684.58399999994</v>
      </c>
      <c r="I417" s="795">
        <v>19883.696</v>
      </c>
      <c r="J417" s="795">
        <v>18862.920000000002</v>
      </c>
      <c r="K417" s="795">
        <v>379262.4</v>
      </c>
      <c r="L417" s="795">
        <v>50597.495999999999</v>
      </c>
    </row>
    <row r="418" spans="5:12">
      <c r="E418" s="322" t="s">
        <v>88</v>
      </c>
      <c r="F418" s="793">
        <v>44298</v>
      </c>
      <c r="G418" s="795">
        <v>83135.672000000006</v>
      </c>
      <c r="H418" s="795">
        <v>20979.696000000007</v>
      </c>
      <c r="I418" s="795">
        <v>2091.4639999999999</v>
      </c>
      <c r="J418" s="795">
        <v>1025.8799999999999</v>
      </c>
      <c r="K418" s="795">
        <v>149824.32000000004</v>
      </c>
      <c r="L418" s="795">
        <v>8456.8000000000011</v>
      </c>
    </row>
    <row r="419" spans="5:12">
      <c r="E419" s="322" t="s">
        <v>87</v>
      </c>
      <c r="F419" s="793">
        <v>44299</v>
      </c>
      <c r="G419" s="795">
        <v>125087.31200000002</v>
      </c>
      <c r="H419" s="795">
        <v>32732.559999999998</v>
      </c>
      <c r="I419" s="795">
        <v>5109.12</v>
      </c>
      <c r="J419" s="795">
        <v>3189.5840000000007</v>
      </c>
      <c r="K419" s="795">
        <v>209769.72000000003</v>
      </c>
      <c r="L419" s="795">
        <v>12714.824000000001</v>
      </c>
    </row>
    <row r="420" spans="5:12">
      <c r="E420" s="322" t="s">
        <v>90</v>
      </c>
      <c r="F420" s="793">
        <v>44300</v>
      </c>
      <c r="G420" s="795">
        <v>68362.471999999994</v>
      </c>
      <c r="H420" s="795">
        <v>22849.600000000002</v>
      </c>
      <c r="I420" s="795">
        <v>2391.672</v>
      </c>
      <c r="J420" s="795">
        <v>1418.7119999999995</v>
      </c>
      <c r="K420" s="795">
        <v>66543.312000000005</v>
      </c>
      <c r="L420" s="795">
        <v>9417.08</v>
      </c>
    </row>
    <row r="421" spans="5:12">
      <c r="E421" s="322" t="s">
        <v>91</v>
      </c>
      <c r="F421" s="793">
        <v>44301</v>
      </c>
      <c r="G421" s="795">
        <v>70816.288</v>
      </c>
      <c r="H421" s="795">
        <v>19511.416000000001</v>
      </c>
      <c r="I421" s="795">
        <v>2005.6560000000002</v>
      </c>
      <c r="J421" s="795">
        <v>1080.2879999999998</v>
      </c>
      <c r="K421" s="795">
        <v>80710.8</v>
      </c>
      <c r="L421" s="795">
        <v>6709.7280000000001</v>
      </c>
    </row>
    <row r="422" spans="5:12">
      <c r="E422" s="322" t="s">
        <v>93</v>
      </c>
      <c r="F422" s="793">
        <v>44302</v>
      </c>
      <c r="G422" s="795">
        <v>141066.424</v>
      </c>
      <c r="H422" s="795">
        <v>41118.120000000017</v>
      </c>
      <c r="I422" s="795">
        <v>5994.8160000000007</v>
      </c>
      <c r="J422" s="795">
        <v>3114.5279999999998</v>
      </c>
      <c r="K422" s="795">
        <v>121222.92000000001</v>
      </c>
      <c r="L422" s="795">
        <v>18614.992000000002</v>
      </c>
    </row>
    <row r="423" spans="5:12">
      <c r="E423" s="322" t="s">
        <v>94</v>
      </c>
      <c r="F423" s="793">
        <v>44303</v>
      </c>
      <c r="G423" s="795">
        <v>33815.128000000004</v>
      </c>
      <c r="H423" s="795">
        <v>12884.663999999997</v>
      </c>
      <c r="I423" s="795">
        <v>2112.1040000000003</v>
      </c>
      <c r="J423" s="795">
        <v>3297.6959999999999</v>
      </c>
      <c r="K423" s="795">
        <v>34243.320000000007</v>
      </c>
      <c r="L423" s="795">
        <v>5252.4639999999999</v>
      </c>
    </row>
    <row r="424" spans="5:12">
      <c r="E424" s="322" t="s">
        <v>92</v>
      </c>
      <c r="F424" s="793">
        <v>44304</v>
      </c>
      <c r="G424" s="795">
        <v>353297.48800000001</v>
      </c>
      <c r="H424" s="795">
        <v>75640.600000000049</v>
      </c>
      <c r="I424" s="795">
        <v>25563.552</v>
      </c>
      <c r="J424" s="795">
        <v>19694.768000000004</v>
      </c>
      <c r="K424" s="795">
        <v>533318.16</v>
      </c>
      <c r="L424" s="795">
        <v>35205.68</v>
      </c>
    </row>
    <row r="425" spans="5:12">
      <c r="E425" s="322" t="s">
        <v>95</v>
      </c>
      <c r="F425" s="793">
        <v>44305</v>
      </c>
      <c r="G425" s="795">
        <v>372523.288</v>
      </c>
      <c r="H425" s="795">
        <v>85401.768000000025</v>
      </c>
      <c r="I425" s="795">
        <v>21913.68</v>
      </c>
      <c r="J425" s="795">
        <v>8119.3439999999991</v>
      </c>
      <c r="K425" s="795">
        <v>400262.88000000006</v>
      </c>
      <c r="L425" s="795">
        <v>41205.048000000003</v>
      </c>
    </row>
    <row r="426" spans="5:12">
      <c r="E426" s="322" t="s">
        <v>96</v>
      </c>
      <c r="F426" s="793">
        <v>44306</v>
      </c>
      <c r="G426" s="795">
        <v>67602.808000000005</v>
      </c>
      <c r="H426" s="795">
        <v>22109.784000000003</v>
      </c>
      <c r="I426" s="795">
        <v>1234.248</v>
      </c>
      <c r="J426" s="795">
        <v>1360.9680000000001</v>
      </c>
      <c r="K426" s="795">
        <v>68173.200000000012</v>
      </c>
      <c r="L426" s="795">
        <v>7375.9040000000005</v>
      </c>
    </row>
    <row r="427" spans="5:12">
      <c r="E427" s="322" t="s">
        <v>98</v>
      </c>
      <c r="F427" s="793">
        <v>44307</v>
      </c>
      <c r="G427" s="795">
        <v>31076.920000000002</v>
      </c>
      <c r="H427" s="795">
        <v>8721.2239999999983</v>
      </c>
      <c r="I427" s="795">
        <v>563.79200000000003</v>
      </c>
      <c r="J427" s="795">
        <v>539.66399999999999</v>
      </c>
      <c r="K427" s="795">
        <v>68486.64</v>
      </c>
      <c r="L427" s="795">
        <v>3102.2400000000002</v>
      </c>
    </row>
    <row r="428" spans="5:12">
      <c r="E428" s="322" t="s">
        <v>99</v>
      </c>
      <c r="F428" s="793">
        <v>44308</v>
      </c>
      <c r="G428" s="795">
        <v>7452.7440000000006</v>
      </c>
      <c r="H428" s="795">
        <v>2021.192</v>
      </c>
      <c r="I428" s="795">
        <v>41.144000000000005</v>
      </c>
      <c r="J428" s="795">
        <v>0</v>
      </c>
      <c r="K428" s="795">
        <v>7365.84</v>
      </c>
      <c r="L428" s="795">
        <v>547.56000000000006</v>
      </c>
    </row>
    <row r="429" spans="5:12">
      <c r="E429" s="322" t="s">
        <v>97</v>
      </c>
      <c r="F429" s="793">
        <v>44309</v>
      </c>
      <c r="G429" s="795">
        <v>438359.22400000005</v>
      </c>
      <c r="H429" s="795">
        <v>98343.54399999998</v>
      </c>
      <c r="I429" s="795">
        <v>16150.68</v>
      </c>
      <c r="J429" s="795">
        <v>14945.704000000005</v>
      </c>
      <c r="K429" s="795">
        <v>590407.12800000014</v>
      </c>
      <c r="L429" s="795">
        <v>40465.896000000008</v>
      </c>
    </row>
    <row r="430" spans="5:12">
      <c r="E430" s="322" t="s">
        <v>100</v>
      </c>
      <c r="F430" s="793">
        <v>44310</v>
      </c>
      <c r="G430" s="795">
        <v>306355.64799999999</v>
      </c>
      <c r="H430" s="795">
        <v>63681.352000000006</v>
      </c>
      <c r="I430" s="795">
        <v>9142.32</v>
      </c>
      <c r="J430" s="795">
        <v>9189.64</v>
      </c>
      <c r="K430" s="795">
        <v>419852.88</v>
      </c>
      <c r="L430" s="795">
        <v>28106.800000000003</v>
      </c>
    </row>
    <row r="431" spans="5:12">
      <c r="E431" s="322" t="s">
        <v>102</v>
      </c>
      <c r="F431" s="793">
        <v>44311</v>
      </c>
      <c r="G431" s="795">
        <v>37402.288</v>
      </c>
      <c r="H431" s="795">
        <v>15768.744000000001</v>
      </c>
      <c r="I431" s="795">
        <v>1750.8080000000002</v>
      </c>
      <c r="J431" s="795">
        <v>1400.704</v>
      </c>
      <c r="K431" s="795">
        <v>64098.48000000001</v>
      </c>
      <c r="L431" s="795">
        <v>4520.2160000000003</v>
      </c>
    </row>
    <row r="432" spans="5:12">
      <c r="E432" s="322" t="s">
        <v>101</v>
      </c>
      <c r="F432" s="793">
        <v>44312</v>
      </c>
      <c r="G432" s="795">
        <v>1493177.936</v>
      </c>
      <c r="H432" s="795">
        <v>374021.44</v>
      </c>
      <c r="I432" s="795">
        <v>65859.432000000001</v>
      </c>
      <c r="J432" s="795">
        <v>58567.92</v>
      </c>
      <c r="K432" s="795">
        <v>2018338.128</v>
      </c>
      <c r="L432" s="795">
        <v>177861.86400000003</v>
      </c>
    </row>
    <row r="433" spans="5:12">
      <c r="E433" s="322" t="s">
        <v>103</v>
      </c>
      <c r="F433" s="793">
        <v>44313</v>
      </c>
      <c r="G433" s="795">
        <v>19733.248000000003</v>
      </c>
      <c r="H433" s="795">
        <v>4791.4399999999996</v>
      </c>
      <c r="I433" s="795">
        <v>0</v>
      </c>
      <c r="J433" s="795">
        <v>787.17600000000004</v>
      </c>
      <c r="K433" s="795">
        <v>35026.920000000006</v>
      </c>
      <c r="L433" s="795">
        <v>1658.992</v>
      </c>
    </row>
    <row r="434" spans="5:12">
      <c r="E434" s="322" t="s">
        <v>77</v>
      </c>
      <c r="F434" s="793">
        <v>44317</v>
      </c>
      <c r="G434" s="795">
        <v>14600.392000000002</v>
      </c>
      <c r="H434" s="795">
        <v>1787.879999999999</v>
      </c>
      <c r="I434" s="795">
        <v>1611.3760000000002</v>
      </c>
      <c r="J434" s="795">
        <v>422.8159999999998</v>
      </c>
      <c r="K434" s="795">
        <v>27112.560000000001</v>
      </c>
      <c r="L434" s="795">
        <v>2014.2720000000002</v>
      </c>
    </row>
    <row r="435" spans="5:12">
      <c r="E435" s="322" t="s">
        <v>78</v>
      </c>
      <c r="F435" s="793">
        <v>44318</v>
      </c>
      <c r="G435" s="795">
        <v>47800.328000000009</v>
      </c>
      <c r="H435" s="795">
        <v>25078.432000000001</v>
      </c>
      <c r="I435" s="795">
        <v>1069.6879999999999</v>
      </c>
      <c r="J435" s="795">
        <v>1257.7280000000001</v>
      </c>
      <c r="K435" s="795">
        <v>66135.840000000011</v>
      </c>
      <c r="L435" s="795">
        <v>10913.344000000001</v>
      </c>
    </row>
    <row r="436" spans="5:12">
      <c r="E436" s="322" t="s">
        <v>80</v>
      </c>
      <c r="F436" s="793">
        <v>44319</v>
      </c>
      <c r="G436" s="795">
        <v>47632.08</v>
      </c>
      <c r="H436" s="795">
        <v>11052.640000000005</v>
      </c>
      <c r="I436" s="795">
        <v>2201.84</v>
      </c>
      <c r="J436" s="795">
        <v>697.51199999999994</v>
      </c>
      <c r="K436" s="795">
        <v>57908.04</v>
      </c>
      <c r="L436" s="795">
        <v>7747.561999999999</v>
      </c>
    </row>
    <row r="437" spans="5:12">
      <c r="E437" s="322" t="s">
        <v>79</v>
      </c>
      <c r="F437" s="793">
        <v>44320</v>
      </c>
      <c r="G437" s="795">
        <v>14954.976000000002</v>
      </c>
      <c r="H437" s="795">
        <v>8559.0480000000007</v>
      </c>
      <c r="I437" s="795">
        <v>2619.1200000000003</v>
      </c>
      <c r="J437" s="795">
        <v>1702.1920000000002</v>
      </c>
      <c r="K437" s="795">
        <v>22410.959999999999</v>
      </c>
      <c r="L437" s="795">
        <v>2486.7200000000007</v>
      </c>
    </row>
    <row r="438" spans="5:12">
      <c r="E438" s="322" t="s">
        <v>81</v>
      </c>
      <c r="F438" s="793">
        <v>44321</v>
      </c>
      <c r="G438" s="795">
        <v>130945.592</v>
      </c>
      <c r="H438" s="795">
        <v>31981.768</v>
      </c>
      <c r="I438" s="795">
        <v>5573.3600000000006</v>
      </c>
      <c r="J438" s="795">
        <v>1570.9360000000008</v>
      </c>
      <c r="K438" s="795">
        <v>161891.76000000004</v>
      </c>
      <c r="L438" s="795">
        <v>16199.448000000002</v>
      </c>
    </row>
    <row r="439" spans="5:12">
      <c r="E439" s="322" t="s">
        <v>82</v>
      </c>
      <c r="F439" s="793">
        <v>44322</v>
      </c>
      <c r="G439" s="795">
        <v>74469.423999999999</v>
      </c>
      <c r="H439" s="795">
        <v>16912.471999999998</v>
      </c>
      <c r="I439" s="795">
        <v>3206.4880000000003</v>
      </c>
      <c r="J439" s="795">
        <v>749.08800000000019</v>
      </c>
      <c r="K439" s="795">
        <v>93248.400000000009</v>
      </c>
      <c r="L439" s="795">
        <v>8830.2880000000005</v>
      </c>
    </row>
    <row r="440" spans="5:12">
      <c r="E440" s="322" t="s">
        <v>83</v>
      </c>
      <c r="F440" s="793">
        <v>44323</v>
      </c>
      <c r="G440" s="795">
        <v>110522.35200000001</v>
      </c>
      <c r="H440" s="795">
        <v>39012.424000000014</v>
      </c>
      <c r="I440" s="795">
        <v>4197.0879999999997</v>
      </c>
      <c r="J440" s="795">
        <v>1679.6800000000003</v>
      </c>
      <c r="K440" s="795">
        <v>128667.12000000001</v>
      </c>
      <c r="L440" s="795">
        <v>19618.128000000004</v>
      </c>
    </row>
    <row r="441" spans="5:12">
      <c r="E441" s="322" t="s">
        <v>84</v>
      </c>
      <c r="F441" s="793">
        <v>44324</v>
      </c>
      <c r="G441" s="795">
        <v>89569.376000000004</v>
      </c>
      <c r="H441" s="795">
        <v>10670.847999999996</v>
      </c>
      <c r="I441" s="795">
        <v>1881.848</v>
      </c>
      <c r="J441" s="795">
        <v>1170.2639999999999</v>
      </c>
      <c r="K441" s="795">
        <v>113230.2</v>
      </c>
      <c r="L441" s="795">
        <v>10470.175999999999</v>
      </c>
    </row>
    <row r="442" spans="5:12">
      <c r="E442" s="322" t="s">
        <v>85</v>
      </c>
      <c r="F442" s="793">
        <v>44325</v>
      </c>
      <c r="G442" s="795">
        <v>99820.280000000013</v>
      </c>
      <c r="H442" s="795">
        <v>36184.919999999984</v>
      </c>
      <c r="I442" s="795">
        <v>4700.808</v>
      </c>
      <c r="J442" s="795">
        <v>2689.3759999999997</v>
      </c>
      <c r="K442" s="795">
        <v>232964.28000000003</v>
      </c>
      <c r="L442" s="795">
        <v>15393.064</v>
      </c>
    </row>
    <row r="443" spans="5:12">
      <c r="E443" s="322" t="s">
        <v>86</v>
      </c>
      <c r="F443" s="793">
        <v>44326</v>
      </c>
      <c r="G443" s="795">
        <v>35667.159999999996</v>
      </c>
      <c r="H443" s="795">
        <v>9433.0240000000013</v>
      </c>
      <c r="I443" s="795">
        <v>914.26400000000001</v>
      </c>
      <c r="J443" s="795">
        <v>295.416</v>
      </c>
      <c r="K443" s="795">
        <v>50150.400000000001</v>
      </c>
      <c r="L443" s="795">
        <v>4573.5280000000002</v>
      </c>
    </row>
    <row r="444" spans="5:12">
      <c r="E444" s="322" t="s">
        <v>89</v>
      </c>
      <c r="F444" s="793">
        <v>44327</v>
      </c>
      <c r="G444" s="795">
        <v>315891.288</v>
      </c>
      <c r="H444" s="795">
        <v>99715.992000000027</v>
      </c>
      <c r="I444" s="795">
        <v>15921.44</v>
      </c>
      <c r="J444" s="795">
        <v>12658.304000000002</v>
      </c>
      <c r="K444" s="795">
        <v>422048.52000000008</v>
      </c>
      <c r="L444" s="795">
        <v>50896.368000000002</v>
      </c>
    </row>
    <row r="445" spans="5:12">
      <c r="E445" s="322" t="s">
        <v>88</v>
      </c>
      <c r="F445" s="793">
        <v>44328</v>
      </c>
      <c r="G445" s="795">
        <v>55348.592000000004</v>
      </c>
      <c r="H445" s="795">
        <v>23283.112000000001</v>
      </c>
      <c r="I445" s="795">
        <v>2320.44</v>
      </c>
      <c r="J445" s="795">
        <v>3242.7119999999995</v>
      </c>
      <c r="K445" s="795">
        <v>154839.36000000002</v>
      </c>
      <c r="L445" s="795">
        <v>9632.5040000000026</v>
      </c>
    </row>
    <row r="446" spans="5:12">
      <c r="E446" s="322" t="s">
        <v>87</v>
      </c>
      <c r="F446" s="793">
        <v>44329</v>
      </c>
      <c r="G446" s="795">
        <v>87050.495999999999</v>
      </c>
      <c r="H446" s="795">
        <v>18682.368000000013</v>
      </c>
      <c r="I446" s="795">
        <v>4393.384</v>
      </c>
      <c r="J446" s="795">
        <v>3917.6400000000003</v>
      </c>
      <c r="K446" s="795">
        <v>236725.56</v>
      </c>
      <c r="L446" s="795">
        <v>11226.744000000001</v>
      </c>
    </row>
    <row r="447" spans="5:12">
      <c r="E447" s="322" t="s">
        <v>90</v>
      </c>
      <c r="F447" s="793">
        <v>44330</v>
      </c>
      <c r="G447" s="795">
        <v>50643.968000000001</v>
      </c>
      <c r="H447" s="795">
        <v>20175.48</v>
      </c>
      <c r="I447" s="795">
        <v>5388.0240000000003</v>
      </c>
      <c r="J447" s="795">
        <v>1469.768</v>
      </c>
      <c r="K447" s="795">
        <v>80319</v>
      </c>
      <c r="L447" s="795">
        <v>8204.9760000000006</v>
      </c>
    </row>
    <row r="448" spans="5:12">
      <c r="E448" s="322" t="s">
        <v>91</v>
      </c>
      <c r="F448" s="793">
        <v>44331</v>
      </c>
      <c r="G448" s="795">
        <v>60510.271999999997</v>
      </c>
      <c r="H448" s="795">
        <v>26458.928000000004</v>
      </c>
      <c r="I448" s="795">
        <v>1988.7520000000002</v>
      </c>
      <c r="J448" s="795">
        <v>1777.0960000000005</v>
      </c>
      <c r="K448" s="795">
        <v>79300.320000000007</v>
      </c>
      <c r="L448" s="795">
        <v>8684.5680000000011</v>
      </c>
    </row>
    <row r="449" spans="5:12">
      <c r="E449" s="322" t="s">
        <v>93</v>
      </c>
      <c r="F449" s="793">
        <v>44332</v>
      </c>
      <c r="G449" s="795">
        <v>98786.672000000006</v>
      </c>
      <c r="H449" s="795">
        <v>34518.432000000008</v>
      </c>
      <c r="I449" s="795">
        <v>2760.2960000000003</v>
      </c>
      <c r="J449" s="795">
        <v>4969.76</v>
      </c>
      <c r="K449" s="795">
        <v>126316.32000000002</v>
      </c>
      <c r="L449" s="795">
        <v>8354.4720000000016</v>
      </c>
    </row>
    <row r="450" spans="5:12">
      <c r="E450" s="322" t="s">
        <v>94</v>
      </c>
      <c r="F450" s="793">
        <v>44333</v>
      </c>
      <c r="G450" s="795">
        <v>32211.96</v>
      </c>
      <c r="H450" s="795">
        <v>12195</v>
      </c>
      <c r="I450" s="795">
        <v>2766.9360000000001</v>
      </c>
      <c r="J450" s="795">
        <v>4184.6240000000007</v>
      </c>
      <c r="K450" s="795">
        <v>46310.76</v>
      </c>
      <c r="L450" s="795">
        <v>5568.9919999999993</v>
      </c>
    </row>
    <row r="451" spans="5:12">
      <c r="E451" s="322" t="s">
        <v>92</v>
      </c>
      <c r="F451" s="793">
        <v>44334</v>
      </c>
      <c r="G451" s="795">
        <v>287245.64</v>
      </c>
      <c r="H451" s="795">
        <v>70254.792000000001</v>
      </c>
      <c r="I451" s="795">
        <v>14615.376000000002</v>
      </c>
      <c r="J451" s="795">
        <v>21110.552</v>
      </c>
      <c r="K451" s="795">
        <v>549303.6</v>
      </c>
      <c r="L451" s="795">
        <v>40561.815999999999</v>
      </c>
    </row>
    <row r="452" spans="5:12">
      <c r="E452" s="322" t="s">
        <v>95</v>
      </c>
      <c r="F452" s="793">
        <v>44335</v>
      </c>
      <c r="G452" s="795">
        <v>392400.68</v>
      </c>
      <c r="H452" s="795">
        <v>107355.592</v>
      </c>
      <c r="I452" s="795">
        <v>23235.264000000003</v>
      </c>
      <c r="J452" s="795">
        <v>16299.488000000001</v>
      </c>
      <c r="K452" s="795">
        <v>437327.16000000003</v>
      </c>
      <c r="L452" s="795">
        <v>73360.000000000015</v>
      </c>
    </row>
    <row r="453" spans="5:12">
      <c r="E453" s="322" t="s">
        <v>96</v>
      </c>
      <c r="F453" s="793">
        <v>44336</v>
      </c>
      <c r="G453" s="795">
        <v>57304.200000000004</v>
      </c>
      <c r="H453" s="795">
        <v>25294.36</v>
      </c>
      <c r="I453" s="795">
        <v>102.85599999999999</v>
      </c>
      <c r="J453" s="795">
        <v>2300.056</v>
      </c>
      <c r="K453" s="795">
        <v>65900.759999999995</v>
      </c>
      <c r="L453" s="795">
        <v>10829.320000000002</v>
      </c>
    </row>
    <row r="454" spans="5:12">
      <c r="E454" s="322" t="s">
        <v>98</v>
      </c>
      <c r="F454" s="793">
        <v>44337</v>
      </c>
      <c r="G454" s="795">
        <v>27007.144</v>
      </c>
      <c r="H454" s="795">
        <v>7700.8799999999992</v>
      </c>
      <c r="I454" s="795">
        <v>788.55200000000013</v>
      </c>
      <c r="J454" s="795">
        <v>2581.4240000000004</v>
      </c>
      <c r="K454" s="795">
        <v>65195.520000000004</v>
      </c>
      <c r="L454" s="795">
        <v>4438.3919999999998</v>
      </c>
    </row>
    <row r="455" spans="5:12">
      <c r="E455" s="322" t="s">
        <v>99</v>
      </c>
      <c r="F455" s="793">
        <v>44338</v>
      </c>
      <c r="G455" s="795">
        <v>4646.2240000000002</v>
      </c>
      <c r="H455" s="795">
        <v>1453.3200000000006</v>
      </c>
      <c r="I455" s="795">
        <v>0</v>
      </c>
      <c r="J455" s="795">
        <v>0</v>
      </c>
      <c r="K455" s="795">
        <v>10735.32</v>
      </c>
      <c r="L455" s="795">
        <v>675.39200000000005</v>
      </c>
    </row>
    <row r="456" spans="5:12">
      <c r="E456" s="322" t="s">
        <v>97</v>
      </c>
      <c r="F456" s="793">
        <v>44339</v>
      </c>
      <c r="G456" s="795">
        <v>365327.12000000005</v>
      </c>
      <c r="H456" s="795">
        <v>95921.176000000007</v>
      </c>
      <c r="I456" s="795">
        <v>20386.536</v>
      </c>
      <c r="J456" s="795">
        <v>9129.3200000000015</v>
      </c>
      <c r="K456" s="795">
        <v>627350.16</v>
      </c>
      <c r="L456" s="795">
        <v>50899.544000000009</v>
      </c>
    </row>
    <row r="457" spans="5:12">
      <c r="E457" s="322" t="s">
        <v>100</v>
      </c>
      <c r="F457" s="793">
        <v>44340</v>
      </c>
      <c r="G457" s="795">
        <v>245770.45600000001</v>
      </c>
      <c r="H457" s="795">
        <v>66565.152000000016</v>
      </c>
      <c r="I457" s="795">
        <v>11992.992</v>
      </c>
      <c r="J457" s="795">
        <v>8549.608000000002</v>
      </c>
      <c r="K457" s="795">
        <v>454707.44800000003</v>
      </c>
      <c r="L457" s="795">
        <v>29463.984000000004</v>
      </c>
    </row>
    <row r="458" spans="5:12">
      <c r="E458" s="322" t="s">
        <v>102</v>
      </c>
      <c r="F458" s="793">
        <v>44341</v>
      </c>
      <c r="G458" s="795">
        <v>34974.496000000006</v>
      </c>
      <c r="H458" s="795">
        <v>13199.903999999999</v>
      </c>
      <c r="I458" s="795">
        <v>941.97600000000011</v>
      </c>
      <c r="J458" s="795">
        <v>1028.944</v>
      </c>
      <c r="K458" s="795">
        <v>55635.600000000006</v>
      </c>
      <c r="L458" s="795">
        <v>4622.808</v>
      </c>
    </row>
    <row r="459" spans="5:12">
      <c r="E459" s="322" t="s">
        <v>101</v>
      </c>
      <c r="F459" s="793">
        <v>44342</v>
      </c>
      <c r="G459" s="795">
        <v>1262985.0480000002</v>
      </c>
      <c r="H459" s="795">
        <v>424847.75199999998</v>
      </c>
      <c r="I459" s="795">
        <v>47326.752000000008</v>
      </c>
      <c r="J459" s="795">
        <v>53494.32</v>
      </c>
      <c r="K459" s="795">
        <v>2252632.4720000001</v>
      </c>
      <c r="L459" s="795">
        <v>210334.71200000003</v>
      </c>
    </row>
    <row r="460" spans="5:12">
      <c r="E460" s="322" t="s">
        <v>103</v>
      </c>
      <c r="F460" s="793">
        <v>44343</v>
      </c>
      <c r="G460" s="795">
        <v>15138.423999999999</v>
      </c>
      <c r="H460" s="795">
        <v>5686.8480000000018</v>
      </c>
      <c r="I460" s="795">
        <v>959.97600000000011</v>
      </c>
      <c r="J460" s="795">
        <v>1489.3920000000001</v>
      </c>
      <c r="K460" s="795">
        <v>34948.560000000005</v>
      </c>
      <c r="L460" s="795">
        <v>2858.7920000000004</v>
      </c>
    </row>
    <row r="461" spans="5:12">
      <c r="E461" s="322" t="s">
        <v>77</v>
      </c>
      <c r="F461" s="793">
        <v>44348</v>
      </c>
      <c r="G461" s="795">
        <v>16999.464000000004</v>
      </c>
      <c r="H461" s="795">
        <v>4198.3999999999978</v>
      </c>
      <c r="I461" s="795">
        <v>1103.9680000000001</v>
      </c>
      <c r="J461" s="795">
        <v>1030.2160000000001</v>
      </c>
      <c r="K461" s="795">
        <v>25310.280000000002</v>
      </c>
      <c r="L461" s="795">
        <v>3436.3120000000008</v>
      </c>
    </row>
    <row r="462" spans="5:12">
      <c r="E462" s="322" t="s">
        <v>78</v>
      </c>
      <c r="F462" s="793">
        <v>44349</v>
      </c>
      <c r="G462" s="795">
        <v>35337.984000000004</v>
      </c>
      <c r="H462" s="795">
        <v>20422.968000000001</v>
      </c>
      <c r="I462" s="795">
        <v>1402.624</v>
      </c>
      <c r="J462" s="795">
        <v>89.736000000000061</v>
      </c>
      <c r="K462" s="795">
        <v>56654.280000000013</v>
      </c>
      <c r="L462" s="795">
        <v>8881.232</v>
      </c>
    </row>
    <row r="463" spans="5:12">
      <c r="E463" s="322" t="s">
        <v>80</v>
      </c>
      <c r="F463" s="793">
        <v>44350</v>
      </c>
      <c r="G463" s="795">
        <v>44937.56</v>
      </c>
      <c r="H463" s="795">
        <v>17090.223999999998</v>
      </c>
      <c r="I463" s="795">
        <v>1290.6400000000001</v>
      </c>
      <c r="J463" s="795">
        <v>542.30399999999997</v>
      </c>
      <c r="K463" s="795">
        <v>53128.08</v>
      </c>
      <c r="L463" s="795">
        <v>10614.152</v>
      </c>
    </row>
    <row r="464" spans="5:12">
      <c r="E464" s="322" t="s">
        <v>79</v>
      </c>
      <c r="F464" s="793">
        <v>44351</v>
      </c>
      <c r="G464" s="795">
        <v>16025.256000000001</v>
      </c>
      <c r="H464" s="795">
        <v>7560.8880000000008</v>
      </c>
      <c r="I464" s="795">
        <v>1447.5840000000001</v>
      </c>
      <c r="J464" s="795">
        <v>0</v>
      </c>
      <c r="K464" s="795">
        <v>29228.280000000002</v>
      </c>
      <c r="L464" s="795">
        <v>3662.7760000000003</v>
      </c>
    </row>
    <row r="465" spans="5:12">
      <c r="E465" s="322" t="s">
        <v>81</v>
      </c>
      <c r="F465" s="793">
        <v>44352</v>
      </c>
      <c r="G465" s="795">
        <v>124387.82400000001</v>
      </c>
      <c r="H465" s="795">
        <v>38060.591999999997</v>
      </c>
      <c r="I465" s="795">
        <v>6375.5280000000002</v>
      </c>
      <c r="J465" s="795">
        <v>2135.2479999999996</v>
      </c>
      <c r="K465" s="795">
        <v>170433</v>
      </c>
      <c r="L465" s="795">
        <v>23627.632000000001</v>
      </c>
    </row>
    <row r="466" spans="5:12">
      <c r="E466" s="322" t="s">
        <v>82</v>
      </c>
      <c r="F466" s="793">
        <v>44353</v>
      </c>
      <c r="G466" s="795">
        <v>76047.176000000007</v>
      </c>
      <c r="H466" s="795">
        <v>16694.583999999999</v>
      </c>
      <c r="I466" s="795">
        <v>2346.6080000000002</v>
      </c>
      <c r="J466" s="795">
        <v>1121.0080000000003</v>
      </c>
      <c r="K466" s="795">
        <v>106099.44</v>
      </c>
      <c r="L466" s="795">
        <v>13068.672</v>
      </c>
    </row>
    <row r="467" spans="5:12">
      <c r="E467" s="322" t="s">
        <v>83</v>
      </c>
      <c r="F467" s="793">
        <v>44354</v>
      </c>
      <c r="G467" s="795">
        <v>113401.20000000001</v>
      </c>
      <c r="H467" s="795">
        <v>32656.136000000006</v>
      </c>
      <c r="I467" s="795">
        <v>8473.9040000000005</v>
      </c>
      <c r="J467" s="795">
        <v>2732.8160000000007</v>
      </c>
      <c r="K467" s="795">
        <v>133650.81600000002</v>
      </c>
      <c r="L467" s="795">
        <v>21863.024000000001</v>
      </c>
    </row>
    <row r="468" spans="5:12">
      <c r="E468" s="322" t="s">
        <v>84</v>
      </c>
      <c r="F468" s="793">
        <v>44355</v>
      </c>
      <c r="G468" s="795">
        <v>91407.831999999995</v>
      </c>
      <c r="H468" s="795">
        <v>16130.528</v>
      </c>
      <c r="I468" s="795">
        <v>3052.1040000000003</v>
      </c>
      <c r="J468" s="795">
        <v>3004.5520000000001</v>
      </c>
      <c r="K468" s="795">
        <v>121301.28000000001</v>
      </c>
      <c r="L468" s="795">
        <v>16559.344000000001</v>
      </c>
    </row>
    <row r="469" spans="5:12">
      <c r="E469" s="322" t="s">
        <v>85</v>
      </c>
      <c r="F469" s="793">
        <v>44356</v>
      </c>
      <c r="G469" s="795">
        <v>96935.512000000002</v>
      </c>
      <c r="H469" s="795">
        <v>33522.44000000001</v>
      </c>
      <c r="I469" s="795">
        <v>6814.7920000000004</v>
      </c>
      <c r="J469" s="795">
        <v>5594.8559999999998</v>
      </c>
      <c r="K469" s="795">
        <v>244953.36000000002</v>
      </c>
      <c r="L469" s="795">
        <v>25890.384000000002</v>
      </c>
    </row>
    <row r="470" spans="5:12">
      <c r="E470" s="322" t="s">
        <v>86</v>
      </c>
      <c r="F470" s="793">
        <v>44357</v>
      </c>
      <c r="G470" s="795">
        <v>46679.656000000003</v>
      </c>
      <c r="H470" s="795">
        <v>15591.416000000005</v>
      </c>
      <c r="I470" s="795">
        <v>1043.7840000000001</v>
      </c>
      <c r="J470" s="795">
        <v>1726.616</v>
      </c>
      <c r="K470" s="795">
        <v>56497.56</v>
      </c>
      <c r="L470" s="795">
        <v>9506.8160000000025</v>
      </c>
    </row>
    <row r="471" spans="5:12">
      <c r="E471" s="322" t="s">
        <v>89</v>
      </c>
      <c r="F471" s="793">
        <v>44358</v>
      </c>
      <c r="G471" s="795">
        <v>316606.38400000002</v>
      </c>
      <c r="H471" s="795">
        <v>113665.05600000006</v>
      </c>
      <c r="I471" s="795">
        <v>22655.616000000002</v>
      </c>
      <c r="J471" s="795">
        <v>13182.656000000001</v>
      </c>
      <c r="K471" s="795">
        <v>437307.36000000004</v>
      </c>
      <c r="L471" s="795">
        <v>62368.976000000002</v>
      </c>
    </row>
    <row r="472" spans="5:12">
      <c r="E472" s="322" t="s">
        <v>88</v>
      </c>
      <c r="F472" s="793">
        <v>44359</v>
      </c>
      <c r="G472" s="795">
        <v>56209.784</v>
      </c>
      <c r="H472" s="795">
        <v>18688.152000000002</v>
      </c>
      <c r="I472" s="795">
        <v>3802.3360000000002</v>
      </c>
      <c r="J472" s="795">
        <v>2691.4320000000002</v>
      </c>
      <c r="K472" s="795">
        <v>142301.75999999998</v>
      </c>
      <c r="L472" s="795">
        <v>13763.176000000001</v>
      </c>
    </row>
    <row r="473" spans="5:12">
      <c r="E473" s="322" t="s">
        <v>87</v>
      </c>
      <c r="F473" s="793">
        <v>44360</v>
      </c>
      <c r="G473" s="795">
        <v>85780.296000000002</v>
      </c>
      <c r="H473" s="795">
        <v>23467.104000000018</v>
      </c>
      <c r="I473" s="795">
        <v>4966.6959999999999</v>
      </c>
      <c r="J473" s="795">
        <v>6585.3840000000018</v>
      </c>
      <c r="K473" s="795">
        <v>262819.44</v>
      </c>
      <c r="L473" s="795">
        <v>18040.008000000002</v>
      </c>
    </row>
    <row r="474" spans="5:12">
      <c r="E474" s="322" t="s">
        <v>90</v>
      </c>
      <c r="F474" s="793">
        <v>44361</v>
      </c>
      <c r="G474" s="795">
        <v>55552.872000000003</v>
      </c>
      <c r="H474" s="795">
        <v>19732.912</v>
      </c>
      <c r="I474" s="795">
        <v>3640.5360000000001</v>
      </c>
      <c r="J474" s="795">
        <v>1294.7839999999997</v>
      </c>
      <c r="K474" s="795">
        <v>84628.800000000003</v>
      </c>
      <c r="L474" s="795">
        <v>10430.128000000001</v>
      </c>
    </row>
    <row r="475" spans="5:12">
      <c r="E475" s="322" t="s">
        <v>91</v>
      </c>
      <c r="F475" s="793">
        <v>44362</v>
      </c>
      <c r="G475" s="795">
        <v>57477.824000000001</v>
      </c>
      <c r="H475" s="795">
        <v>25100.720000000001</v>
      </c>
      <c r="I475" s="795">
        <v>2279.8000000000002</v>
      </c>
      <c r="J475" s="795">
        <v>6062.4319999999998</v>
      </c>
      <c r="K475" s="795">
        <v>85098.960000000021</v>
      </c>
      <c r="L475" s="795">
        <v>11757.264000000001</v>
      </c>
    </row>
    <row r="476" spans="5:12">
      <c r="E476" s="322" t="s">
        <v>93</v>
      </c>
      <c r="F476" s="793">
        <v>44363</v>
      </c>
      <c r="G476" s="795">
        <v>106674.52800000001</v>
      </c>
      <c r="H476" s="795">
        <v>42086.184000000001</v>
      </c>
      <c r="I476" s="795">
        <v>3637.2160000000003</v>
      </c>
      <c r="J476" s="795">
        <v>7820.6239999999998</v>
      </c>
      <c r="K476" s="795">
        <v>125454.35999999999</v>
      </c>
      <c r="L476" s="795">
        <v>24247.096000000005</v>
      </c>
    </row>
    <row r="477" spans="5:12">
      <c r="E477" s="322" t="s">
        <v>94</v>
      </c>
      <c r="F477" s="793">
        <v>44364</v>
      </c>
      <c r="G477" s="795">
        <v>43639.488000000005</v>
      </c>
      <c r="H477" s="795">
        <v>12848.168000000003</v>
      </c>
      <c r="I477" s="795">
        <v>1233.6480000000001</v>
      </c>
      <c r="J477" s="795">
        <v>2206.8560000000002</v>
      </c>
      <c r="K477" s="795">
        <v>51795.960000000006</v>
      </c>
      <c r="L477" s="795">
        <v>8061.2080000000014</v>
      </c>
    </row>
    <row r="478" spans="5:12">
      <c r="E478" s="322" t="s">
        <v>92</v>
      </c>
      <c r="F478" s="793">
        <v>44365</v>
      </c>
      <c r="G478" s="795">
        <v>286495.19199999998</v>
      </c>
      <c r="H478" s="795">
        <v>73008.384000000005</v>
      </c>
      <c r="I478" s="795">
        <v>26068.472000000002</v>
      </c>
      <c r="J478" s="795">
        <v>21785.688000000002</v>
      </c>
      <c r="K478" s="795">
        <v>583311.84</v>
      </c>
      <c r="L478" s="795">
        <v>53641.743999999992</v>
      </c>
    </row>
    <row r="479" spans="5:12">
      <c r="E479" s="322" t="s">
        <v>95</v>
      </c>
      <c r="F479" s="793">
        <v>44366</v>
      </c>
      <c r="G479" s="795">
        <v>450873.64000000007</v>
      </c>
      <c r="H479" s="795">
        <v>140181.29599999997</v>
      </c>
      <c r="I479" s="795">
        <v>29256.384000000005</v>
      </c>
      <c r="J479" s="795">
        <v>24132.175999999999</v>
      </c>
      <c r="K479" s="795">
        <v>460051.56</v>
      </c>
      <c r="L479" s="795">
        <v>109252.664</v>
      </c>
    </row>
    <row r="480" spans="5:12">
      <c r="E480" s="322" t="s">
        <v>96</v>
      </c>
      <c r="F480" s="793">
        <v>44367</v>
      </c>
      <c r="G480" s="795">
        <v>51497.288</v>
      </c>
      <c r="H480" s="795">
        <v>20748.079999999998</v>
      </c>
      <c r="I480" s="795">
        <v>1265.5440000000001</v>
      </c>
      <c r="J480" s="795">
        <v>1013.808</v>
      </c>
      <c r="K480" s="795">
        <v>70445.640000000014</v>
      </c>
      <c r="L480" s="795">
        <v>12701.208000000001</v>
      </c>
    </row>
    <row r="481" spans="5:12">
      <c r="E481" s="322" t="s">
        <v>98</v>
      </c>
      <c r="F481" s="793">
        <v>44368</v>
      </c>
      <c r="G481" s="795">
        <v>27237.808000000005</v>
      </c>
      <c r="H481" s="795">
        <v>6237.0559999999987</v>
      </c>
      <c r="I481" s="795">
        <v>2451.9760000000001</v>
      </c>
      <c r="J481" s="795">
        <v>539.41600000000005</v>
      </c>
      <c r="K481" s="795">
        <v>72247.92</v>
      </c>
      <c r="L481" s="795">
        <v>4357.808</v>
      </c>
    </row>
    <row r="482" spans="5:12">
      <c r="E482" s="322" t="s">
        <v>99</v>
      </c>
      <c r="F482" s="793">
        <v>44369</v>
      </c>
      <c r="G482" s="795">
        <v>4584.4720000000007</v>
      </c>
      <c r="H482" s="795">
        <v>1162.6080000000002</v>
      </c>
      <c r="I482" s="795">
        <v>0</v>
      </c>
      <c r="J482" s="795">
        <v>128.44800000000001</v>
      </c>
      <c r="K482" s="795">
        <v>8854.68</v>
      </c>
      <c r="L482" s="795">
        <v>1163.2720000000002</v>
      </c>
    </row>
    <row r="483" spans="5:12">
      <c r="E483" s="322" t="s">
        <v>97</v>
      </c>
      <c r="F483" s="793">
        <v>44370</v>
      </c>
      <c r="G483" s="795">
        <v>349163.77600000001</v>
      </c>
      <c r="H483" s="795">
        <v>79676.975999999995</v>
      </c>
      <c r="I483" s="795">
        <v>21469.608</v>
      </c>
      <c r="J483" s="795">
        <v>13046.351999999999</v>
      </c>
      <c r="K483" s="795">
        <v>655716.48</v>
      </c>
      <c r="L483" s="795">
        <v>58640.776000000005</v>
      </c>
    </row>
    <row r="484" spans="5:12">
      <c r="E484" s="322" t="s">
        <v>100</v>
      </c>
      <c r="F484" s="793">
        <v>44371</v>
      </c>
      <c r="G484" s="795">
        <v>238331.11200000002</v>
      </c>
      <c r="H484" s="795">
        <v>54941.175999999978</v>
      </c>
      <c r="I484" s="795">
        <v>18145.168000000001</v>
      </c>
      <c r="J484" s="795">
        <v>6183.0239999999994</v>
      </c>
      <c r="K484" s="795">
        <v>481600.56000000006</v>
      </c>
      <c r="L484" s="795">
        <v>39703.952000000005</v>
      </c>
    </row>
    <row r="485" spans="5:12">
      <c r="E485" s="322" t="s">
        <v>102</v>
      </c>
      <c r="F485" s="793">
        <v>44372</v>
      </c>
      <c r="G485" s="795">
        <v>30575.176000000003</v>
      </c>
      <c r="H485" s="795">
        <v>15267.912</v>
      </c>
      <c r="I485" s="795">
        <v>1380.432</v>
      </c>
      <c r="J485" s="795">
        <v>1080.5759999999998</v>
      </c>
      <c r="K485" s="795">
        <v>58456.560000000005</v>
      </c>
      <c r="L485" s="795">
        <v>6814.6319999999996</v>
      </c>
    </row>
    <row r="486" spans="5:12">
      <c r="E486" s="322" t="s">
        <v>101</v>
      </c>
      <c r="F486" s="793">
        <v>44373</v>
      </c>
      <c r="G486" s="795">
        <v>1284285.544</v>
      </c>
      <c r="H486" s="795">
        <v>477495.12799999997</v>
      </c>
      <c r="I486" s="795">
        <v>69867.088000000003</v>
      </c>
      <c r="J486" s="795">
        <v>63170.688000000002</v>
      </c>
      <c r="K486" s="795">
        <v>2360203.1999999997</v>
      </c>
      <c r="L486" s="795">
        <v>350089.07799999998</v>
      </c>
    </row>
    <row r="487" spans="5:12">
      <c r="E487" s="322" t="s">
        <v>103</v>
      </c>
      <c r="F487" s="793">
        <v>44374</v>
      </c>
      <c r="G487" s="795">
        <v>16837.560000000001</v>
      </c>
      <c r="H487" s="795">
        <v>6161.2239999999993</v>
      </c>
      <c r="I487" s="795">
        <v>1151.7040000000002</v>
      </c>
      <c r="J487" s="795">
        <v>525.05599999999981</v>
      </c>
      <c r="K487" s="795">
        <v>41217.360000000008</v>
      </c>
      <c r="L487" s="795">
        <v>3270.2080000000005</v>
      </c>
    </row>
    <row r="488" spans="5:12">
      <c r="E488" s="322" t="s">
        <v>77</v>
      </c>
      <c r="F488" s="793">
        <v>44378</v>
      </c>
      <c r="G488" s="795">
        <v>16335.807999999999</v>
      </c>
      <c r="H488" s="795">
        <v>4189.8480000000018</v>
      </c>
      <c r="I488" s="795">
        <v>622.45600000000013</v>
      </c>
      <c r="J488" s="795">
        <v>191.27199999999993</v>
      </c>
      <c r="K488" s="795">
        <v>26172.240000000002</v>
      </c>
      <c r="L488" s="795">
        <v>4630.0560000000005</v>
      </c>
    </row>
    <row r="489" spans="5:12">
      <c r="E489" s="322" t="s">
        <v>78</v>
      </c>
      <c r="F489" s="793">
        <v>44379</v>
      </c>
      <c r="G489" s="795">
        <v>24529.264000000003</v>
      </c>
      <c r="H489" s="795">
        <v>16901.392000000003</v>
      </c>
      <c r="I489" s="795">
        <v>697.12</v>
      </c>
      <c r="J489" s="795">
        <v>449.42400000000009</v>
      </c>
      <c r="K489" s="795">
        <v>70759.08</v>
      </c>
      <c r="L489" s="795">
        <v>9386.0560000000005</v>
      </c>
    </row>
    <row r="490" spans="5:12">
      <c r="E490" s="322" t="s">
        <v>80</v>
      </c>
      <c r="F490" s="793">
        <v>44380</v>
      </c>
      <c r="G490" s="795">
        <v>33885.847999999998</v>
      </c>
      <c r="H490" s="795">
        <v>9619.0400000000045</v>
      </c>
      <c r="I490" s="795">
        <v>1546.64</v>
      </c>
      <c r="J490" s="795">
        <v>2017.9279999999999</v>
      </c>
      <c r="K490" s="795">
        <v>63941.760000000009</v>
      </c>
      <c r="L490" s="795">
        <v>8797.648000000001</v>
      </c>
    </row>
    <row r="491" spans="5:12">
      <c r="E491" s="322" t="s">
        <v>79</v>
      </c>
      <c r="F491" s="793">
        <v>44381</v>
      </c>
      <c r="G491" s="795">
        <v>11146.832000000002</v>
      </c>
      <c r="H491" s="795">
        <v>5476.2879999999996</v>
      </c>
      <c r="I491" s="795">
        <v>1474.232</v>
      </c>
      <c r="J491" s="795">
        <v>368.85599999999988</v>
      </c>
      <c r="K491" s="795">
        <v>27426.000000000004</v>
      </c>
      <c r="L491" s="795">
        <v>2803.6559999999999</v>
      </c>
    </row>
    <row r="492" spans="5:12">
      <c r="E492" s="322" t="s">
        <v>81</v>
      </c>
      <c r="F492" s="793">
        <v>44382</v>
      </c>
      <c r="G492" s="795">
        <v>98187.04800000001</v>
      </c>
      <c r="H492" s="795">
        <v>31558.488000000001</v>
      </c>
      <c r="I492" s="795">
        <v>9869.224000000002</v>
      </c>
      <c r="J492" s="795">
        <v>3000.215999999999</v>
      </c>
      <c r="K492" s="795">
        <v>176231.64</v>
      </c>
      <c r="L492" s="795">
        <v>22839.008000000005</v>
      </c>
    </row>
    <row r="493" spans="5:12">
      <c r="E493" s="322" t="s">
        <v>82</v>
      </c>
      <c r="F493" s="793">
        <v>44383</v>
      </c>
      <c r="G493" s="795">
        <v>55867.495999999999</v>
      </c>
      <c r="H493" s="795">
        <v>15715.016000000001</v>
      </c>
      <c r="I493" s="795">
        <v>3367.2640000000001</v>
      </c>
      <c r="J493" s="795">
        <v>2212.4800000000005</v>
      </c>
      <c r="K493" s="795">
        <v>128902.20000000001</v>
      </c>
      <c r="L493" s="795">
        <v>13224.12</v>
      </c>
    </row>
    <row r="494" spans="5:12">
      <c r="E494" s="322" t="s">
        <v>83</v>
      </c>
      <c r="F494" s="793">
        <v>44384</v>
      </c>
      <c r="G494" s="795">
        <v>86031.464000000007</v>
      </c>
      <c r="H494" s="795">
        <v>36361.80000000001</v>
      </c>
      <c r="I494" s="795">
        <v>6411.8559999999998</v>
      </c>
      <c r="J494" s="795">
        <v>3141.5680000000011</v>
      </c>
      <c r="K494" s="795">
        <v>144495.84</v>
      </c>
      <c r="L494" s="795">
        <v>23002.792000000001</v>
      </c>
    </row>
    <row r="495" spans="5:12">
      <c r="E495" s="322" t="s">
        <v>84</v>
      </c>
      <c r="F495" s="793">
        <v>44385</v>
      </c>
      <c r="G495" s="795">
        <v>66254.600000000006</v>
      </c>
      <c r="H495" s="795">
        <v>20117.175999999999</v>
      </c>
      <c r="I495" s="795">
        <v>7245.8240000000005</v>
      </c>
      <c r="J495" s="795">
        <v>1842.8320000000001</v>
      </c>
      <c r="K495" s="795">
        <v>133368.72</v>
      </c>
      <c r="L495" s="795">
        <v>16967.256000000001</v>
      </c>
    </row>
    <row r="496" spans="5:12">
      <c r="E496" s="322" t="s">
        <v>85</v>
      </c>
      <c r="F496" s="793">
        <v>44386</v>
      </c>
      <c r="G496" s="795">
        <v>74814.024000000005</v>
      </c>
      <c r="H496" s="795">
        <v>33641.919999999998</v>
      </c>
      <c r="I496" s="795">
        <v>6711.24</v>
      </c>
      <c r="J496" s="795">
        <v>1899.5600000000006</v>
      </c>
      <c r="K496" s="795">
        <v>279588.47999999998</v>
      </c>
      <c r="L496" s="795">
        <v>21075.271999999997</v>
      </c>
    </row>
    <row r="497" spans="5:12">
      <c r="E497" s="322" t="s">
        <v>86</v>
      </c>
      <c r="F497" s="793">
        <v>44387</v>
      </c>
      <c r="G497" s="795">
        <v>29784.168000000001</v>
      </c>
      <c r="H497" s="795">
        <v>12327.424000000003</v>
      </c>
      <c r="I497" s="795">
        <v>1691.3919999999998</v>
      </c>
      <c r="J497" s="795">
        <v>1591.3760000000002</v>
      </c>
      <c r="K497" s="795">
        <v>59867.039999999994</v>
      </c>
      <c r="L497" s="795">
        <v>11003.872000000001</v>
      </c>
    </row>
    <row r="498" spans="5:12">
      <c r="E498" s="322" t="s">
        <v>89</v>
      </c>
      <c r="F498" s="793">
        <v>44388</v>
      </c>
      <c r="G498" s="795">
        <v>226444.68799999999</v>
      </c>
      <c r="H498" s="795">
        <v>112115.58400000002</v>
      </c>
      <c r="I498" s="795">
        <v>24979.592000000004</v>
      </c>
      <c r="J498" s="795">
        <v>17740.575999999997</v>
      </c>
      <c r="K498" s="795">
        <v>471257.04000000004</v>
      </c>
      <c r="L498" s="795">
        <v>68041.127999999997</v>
      </c>
    </row>
    <row r="499" spans="5:12">
      <c r="E499" s="322" t="s">
        <v>88</v>
      </c>
      <c r="F499" s="793">
        <v>44389</v>
      </c>
      <c r="G499" s="795">
        <v>40563.671999999999</v>
      </c>
      <c r="H499" s="795">
        <v>23249.352000000006</v>
      </c>
      <c r="I499" s="795">
        <v>3138.2000000000003</v>
      </c>
      <c r="J499" s="795">
        <v>2496.9200000000005</v>
      </c>
      <c r="K499" s="795">
        <v>162597</v>
      </c>
      <c r="L499" s="795">
        <v>16894.896000000001</v>
      </c>
    </row>
    <row r="500" spans="5:12">
      <c r="E500" s="322" t="s">
        <v>87</v>
      </c>
      <c r="F500" s="793">
        <v>44390</v>
      </c>
      <c r="G500" s="795">
        <v>61744.031999999999</v>
      </c>
      <c r="H500" s="795">
        <v>27318.368000000006</v>
      </c>
      <c r="I500" s="795">
        <v>5714.880000000001</v>
      </c>
      <c r="J500" s="795">
        <v>4803.0240000000003</v>
      </c>
      <c r="K500" s="795">
        <v>269166.60000000003</v>
      </c>
      <c r="L500" s="795">
        <v>17798.367999999999</v>
      </c>
    </row>
    <row r="501" spans="5:12">
      <c r="E501" s="322" t="s">
        <v>90</v>
      </c>
      <c r="F501" s="793">
        <v>44391</v>
      </c>
      <c r="G501" s="795">
        <v>39022.296000000002</v>
      </c>
      <c r="H501" s="795">
        <v>21255.096000000005</v>
      </c>
      <c r="I501" s="795">
        <v>4938.76</v>
      </c>
      <c r="J501" s="795">
        <v>1774.0079999999996</v>
      </c>
      <c r="K501" s="795">
        <v>77341.319999999992</v>
      </c>
      <c r="L501" s="795">
        <v>12664.791999999999</v>
      </c>
    </row>
    <row r="502" spans="5:12">
      <c r="E502" s="322" t="s">
        <v>91</v>
      </c>
      <c r="F502" s="793">
        <v>44392</v>
      </c>
      <c r="G502" s="795">
        <v>40508.808000000005</v>
      </c>
      <c r="H502" s="795">
        <v>25509.399999999994</v>
      </c>
      <c r="I502" s="795">
        <v>2943.9120000000003</v>
      </c>
      <c r="J502" s="795">
        <v>2987.92</v>
      </c>
      <c r="K502" s="795">
        <v>93702.888000000006</v>
      </c>
      <c r="L502" s="795">
        <v>13678.687999999998</v>
      </c>
    </row>
    <row r="503" spans="5:12">
      <c r="E503" s="322" t="s">
        <v>93</v>
      </c>
      <c r="F503" s="793">
        <v>44393</v>
      </c>
      <c r="G503" s="795">
        <v>75855.072</v>
      </c>
      <c r="H503" s="795">
        <v>26468.320000000003</v>
      </c>
      <c r="I503" s="795">
        <v>6397.7040000000006</v>
      </c>
      <c r="J503" s="795">
        <v>2225.1440000000002</v>
      </c>
      <c r="K503" s="795">
        <v>138853.92000000001</v>
      </c>
      <c r="L503" s="795">
        <v>18551.096000000001</v>
      </c>
    </row>
    <row r="504" spans="5:12">
      <c r="E504" s="322" t="s">
        <v>94</v>
      </c>
      <c r="F504" s="793">
        <v>44394</v>
      </c>
      <c r="G504" s="795">
        <v>31216.144</v>
      </c>
      <c r="H504" s="795">
        <v>11224.720000000001</v>
      </c>
      <c r="I504" s="795">
        <v>3318.3040000000001</v>
      </c>
      <c r="J504" s="795">
        <v>2611.9840000000004</v>
      </c>
      <c r="K504" s="795">
        <v>51717.600000000006</v>
      </c>
      <c r="L504" s="795">
        <v>8110.4639999999999</v>
      </c>
    </row>
    <row r="505" spans="5:12">
      <c r="E505" s="322" t="s">
        <v>92</v>
      </c>
      <c r="F505" s="793">
        <v>44395</v>
      </c>
      <c r="G505" s="795">
        <v>202017.47200000001</v>
      </c>
      <c r="H505" s="795">
        <v>61604.48000000001</v>
      </c>
      <c r="I505" s="795">
        <v>33971.279999999999</v>
      </c>
      <c r="J505" s="795">
        <v>16878.784000000003</v>
      </c>
      <c r="K505" s="795">
        <v>594987.48</v>
      </c>
      <c r="L505" s="795">
        <v>51161.880000000005</v>
      </c>
    </row>
    <row r="506" spans="5:12">
      <c r="E506" s="322" t="s">
        <v>95</v>
      </c>
      <c r="F506" s="793">
        <v>44396</v>
      </c>
      <c r="G506" s="795">
        <v>302427.80800000002</v>
      </c>
      <c r="H506" s="795">
        <v>127580.56799999997</v>
      </c>
      <c r="I506" s="795">
        <v>32608.68</v>
      </c>
      <c r="J506" s="795">
        <v>17640.024000000001</v>
      </c>
      <c r="K506" s="795">
        <v>478466.16000000009</v>
      </c>
      <c r="L506" s="795">
        <v>94325.616000000009</v>
      </c>
    </row>
    <row r="507" spans="5:12">
      <c r="E507" s="322" t="s">
        <v>96</v>
      </c>
      <c r="F507" s="793">
        <v>44397</v>
      </c>
      <c r="G507" s="795">
        <v>44635.008000000002</v>
      </c>
      <c r="H507" s="795">
        <v>23295.520000000004</v>
      </c>
      <c r="I507" s="795">
        <v>3718.8</v>
      </c>
      <c r="J507" s="795">
        <v>316.26399999999995</v>
      </c>
      <c r="K507" s="795">
        <v>85255.680000000008</v>
      </c>
      <c r="L507" s="795">
        <v>12291.12</v>
      </c>
    </row>
    <row r="508" spans="5:12">
      <c r="E508" s="322" t="s">
        <v>98</v>
      </c>
      <c r="F508" s="793">
        <v>44398</v>
      </c>
      <c r="G508" s="795">
        <v>20760.608</v>
      </c>
      <c r="H508" s="795">
        <v>5478.9360000000015</v>
      </c>
      <c r="I508" s="795">
        <v>857.11200000000008</v>
      </c>
      <c r="J508" s="795">
        <v>1134.7440000000001</v>
      </c>
      <c r="K508" s="795">
        <v>79613.760000000009</v>
      </c>
      <c r="L508" s="795">
        <v>5143.8240000000005</v>
      </c>
    </row>
    <row r="509" spans="5:12">
      <c r="E509" s="322" t="s">
        <v>99</v>
      </c>
      <c r="F509" s="793">
        <v>44399</v>
      </c>
      <c r="G509" s="795">
        <v>2849.9520000000002</v>
      </c>
      <c r="H509" s="795">
        <v>1567.6480000000001</v>
      </c>
      <c r="I509" s="795">
        <v>0</v>
      </c>
      <c r="J509" s="795">
        <v>147.49600000000001</v>
      </c>
      <c r="K509" s="795">
        <v>11754</v>
      </c>
      <c r="L509" s="795">
        <v>743.70399999999995</v>
      </c>
    </row>
    <row r="510" spans="5:12">
      <c r="E510" s="322" t="s">
        <v>97</v>
      </c>
      <c r="F510" s="793">
        <v>44400</v>
      </c>
      <c r="G510" s="795">
        <v>240016.6</v>
      </c>
      <c r="H510" s="795">
        <v>73348.656000000003</v>
      </c>
      <c r="I510" s="795">
        <v>31429.488000000001</v>
      </c>
      <c r="J510" s="795">
        <v>7881.7200000000012</v>
      </c>
      <c r="K510" s="795">
        <v>707042.28</v>
      </c>
      <c r="L510" s="795">
        <v>57784.576000000008</v>
      </c>
    </row>
    <row r="511" spans="5:12">
      <c r="E511" s="322" t="s">
        <v>100</v>
      </c>
      <c r="F511" s="793">
        <v>44401</v>
      </c>
      <c r="G511" s="795">
        <v>168498.424</v>
      </c>
      <c r="H511" s="795">
        <v>61141.840000000004</v>
      </c>
      <c r="I511" s="795">
        <v>17624.344000000001</v>
      </c>
      <c r="J511" s="795">
        <v>5452.5919999999987</v>
      </c>
      <c r="K511" s="795">
        <v>473137.68000000011</v>
      </c>
      <c r="L511" s="795">
        <v>44907.104000000007</v>
      </c>
    </row>
    <row r="512" spans="5:12">
      <c r="E512" s="322" t="s">
        <v>102</v>
      </c>
      <c r="F512" s="793">
        <v>44402</v>
      </c>
      <c r="G512" s="795">
        <v>27722.024000000001</v>
      </c>
      <c r="H512" s="795">
        <v>15227.488000000001</v>
      </c>
      <c r="I512" s="795">
        <v>1688.8560000000002</v>
      </c>
      <c r="J512" s="795">
        <v>1246.2559999999999</v>
      </c>
      <c r="K512" s="795">
        <v>66057.48000000001</v>
      </c>
      <c r="L512" s="795">
        <v>8081.6560000000009</v>
      </c>
    </row>
    <row r="513" spans="5:12">
      <c r="E513" s="322" t="s">
        <v>101</v>
      </c>
      <c r="F513" s="793">
        <v>44403</v>
      </c>
      <c r="G513" s="795">
        <v>873893.68000000017</v>
      </c>
      <c r="H513" s="795">
        <v>425204.72</v>
      </c>
      <c r="I513" s="795">
        <v>70239.112000000008</v>
      </c>
      <c r="J513" s="795">
        <v>74953.072</v>
      </c>
      <c r="K513" s="795">
        <v>2440053.8320000004</v>
      </c>
      <c r="L513" s="795">
        <v>320987.95999999996</v>
      </c>
    </row>
    <row r="514" spans="5:12">
      <c r="E514" s="322" t="s">
        <v>103</v>
      </c>
      <c r="F514" s="793">
        <v>44404</v>
      </c>
      <c r="G514" s="795">
        <v>13058.960000000001</v>
      </c>
      <c r="H514" s="795">
        <v>5796.6959999999999</v>
      </c>
      <c r="I514" s="795">
        <v>557.70400000000006</v>
      </c>
      <c r="J514" s="795">
        <v>1467.5840000000001</v>
      </c>
      <c r="K514" s="795">
        <v>50228.76</v>
      </c>
      <c r="L514" s="795">
        <v>3956.4079999999999</v>
      </c>
    </row>
    <row r="515" spans="5:12">
      <c r="E515" s="322" t="s">
        <v>77</v>
      </c>
      <c r="F515" s="793">
        <v>44409</v>
      </c>
      <c r="G515" s="795">
        <v>8668.8720000000012</v>
      </c>
      <c r="H515" s="795">
        <v>5177.6560000000009</v>
      </c>
      <c r="I515" s="795">
        <v>2717.0480000000002</v>
      </c>
      <c r="J515" s="795">
        <v>950.2560000000002</v>
      </c>
      <c r="K515" s="795">
        <v>24605.040000000001</v>
      </c>
      <c r="L515" s="795">
        <v>3426.7919999999999</v>
      </c>
    </row>
    <row r="516" spans="5:12">
      <c r="E516" s="322" t="s">
        <v>78</v>
      </c>
      <c r="F516" s="793">
        <v>44410</v>
      </c>
      <c r="G516" s="795">
        <v>20633.264000000003</v>
      </c>
      <c r="H516" s="795">
        <v>15375.807999999999</v>
      </c>
      <c r="I516" s="795">
        <v>6157.4800000000005</v>
      </c>
      <c r="J516" s="795">
        <v>1925.7039999999995</v>
      </c>
      <c r="K516" s="795">
        <v>67076.160000000003</v>
      </c>
      <c r="L516" s="795">
        <v>9232.8880000000008</v>
      </c>
    </row>
    <row r="517" spans="5:12">
      <c r="E517" s="322" t="s">
        <v>80</v>
      </c>
      <c r="F517" s="793">
        <v>44411</v>
      </c>
      <c r="G517" s="795">
        <v>24412.024000000001</v>
      </c>
      <c r="H517" s="795">
        <v>12966.672000000002</v>
      </c>
      <c r="I517" s="795">
        <v>4627.7040000000006</v>
      </c>
      <c r="J517" s="795">
        <v>1886.992</v>
      </c>
      <c r="K517" s="795">
        <v>62061.120000000003</v>
      </c>
      <c r="L517" s="795">
        <v>10083.776</v>
      </c>
    </row>
    <row r="518" spans="5:12">
      <c r="E518" s="322" t="s">
        <v>79</v>
      </c>
      <c r="F518" s="793">
        <v>44412</v>
      </c>
      <c r="G518" s="795">
        <v>7176.192</v>
      </c>
      <c r="H518" s="795">
        <v>2424.5040000000008</v>
      </c>
      <c r="I518" s="795">
        <v>2785.76</v>
      </c>
      <c r="J518" s="795">
        <v>535.01600000000019</v>
      </c>
      <c r="K518" s="795">
        <v>31422.36</v>
      </c>
      <c r="L518" s="795">
        <v>2594.6720000000005</v>
      </c>
    </row>
    <row r="519" spans="5:12">
      <c r="E519" s="322" t="s">
        <v>81</v>
      </c>
      <c r="F519" s="793">
        <v>44413</v>
      </c>
      <c r="G519" s="795">
        <v>74755.847999999998</v>
      </c>
      <c r="H519" s="795">
        <v>34560.088000000003</v>
      </c>
      <c r="I519" s="795">
        <v>35580.352000000006</v>
      </c>
      <c r="J519" s="795">
        <v>7274.7760000000017</v>
      </c>
      <c r="K519" s="795">
        <v>198094.08000000002</v>
      </c>
      <c r="L519" s="795">
        <v>30176.232</v>
      </c>
    </row>
    <row r="520" spans="5:12">
      <c r="E520" s="322" t="s">
        <v>82</v>
      </c>
      <c r="F520" s="793">
        <v>44414</v>
      </c>
      <c r="G520" s="795">
        <v>42234.456000000006</v>
      </c>
      <c r="H520" s="795">
        <v>13308.608000000006</v>
      </c>
      <c r="I520" s="795">
        <v>15099.712</v>
      </c>
      <c r="J520" s="795">
        <v>2349.5119999999997</v>
      </c>
      <c r="K520" s="795">
        <v>122868.48000000001</v>
      </c>
      <c r="L520" s="795">
        <v>12321.368</v>
      </c>
    </row>
    <row r="521" spans="5:12">
      <c r="E521" s="322" t="s">
        <v>83</v>
      </c>
      <c r="F521" s="793">
        <v>44415</v>
      </c>
      <c r="G521" s="795">
        <v>56014.92</v>
      </c>
      <c r="H521" s="795">
        <v>27903.432000000008</v>
      </c>
      <c r="I521" s="795">
        <v>27842.896000000004</v>
      </c>
      <c r="J521" s="795">
        <v>4690.7759999999953</v>
      </c>
      <c r="K521" s="795">
        <v>132820.20000000001</v>
      </c>
      <c r="L521" s="795">
        <v>21669.84</v>
      </c>
    </row>
    <row r="522" spans="5:12">
      <c r="E522" s="322" t="s">
        <v>84</v>
      </c>
      <c r="F522" s="793">
        <v>44416</v>
      </c>
      <c r="G522" s="795">
        <v>56221.016000000003</v>
      </c>
      <c r="H522" s="795">
        <v>16311.6</v>
      </c>
      <c r="I522" s="795">
        <v>30265.496000000003</v>
      </c>
      <c r="J522" s="795">
        <v>1436.6559999999963</v>
      </c>
      <c r="K522" s="795">
        <v>147003.35999999999</v>
      </c>
      <c r="L522" s="795">
        <v>19643.064000000002</v>
      </c>
    </row>
    <row r="523" spans="5:12">
      <c r="E523" s="322" t="s">
        <v>85</v>
      </c>
      <c r="F523" s="793">
        <v>44417</v>
      </c>
      <c r="G523" s="795">
        <v>47945.671999999999</v>
      </c>
      <c r="H523" s="795">
        <v>24311.184000000001</v>
      </c>
      <c r="I523" s="795">
        <v>29912.936000000002</v>
      </c>
      <c r="J523" s="795">
        <v>1655.0720000000031</v>
      </c>
      <c r="K523" s="795">
        <v>245110.08000000002</v>
      </c>
      <c r="L523" s="795">
        <v>17789.048000000003</v>
      </c>
    </row>
    <row r="524" spans="5:12">
      <c r="E524" s="322" t="s">
        <v>86</v>
      </c>
      <c r="F524" s="793">
        <v>44418</v>
      </c>
      <c r="G524" s="795">
        <v>17843.583999999999</v>
      </c>
      <c r="H524" s="795">
        <v>9822.3439999999991</v>
      </c>
      <c r="I524" s="795">
        <v>6417.7360000000008</v>
      </c>
      <c r="J524" s="795">
        <v>1627.0240000000006</v>
      </c>
      <c r="K524" s="795">
        <v>62374.559999999998</v>
      </c>
      <c r="L524" s="795">
        <v>6853.2480000000014</v>
      </c>
    </row>
    <row r="525" spans="5:12">
      <c r="E525" s="322" t="s">
        <v>89</v>
      </c>
      <c r="F525" s="793">
        <v>44419</v>
      </c>
      <c r="G525" s="795">
        <v>159138.28000000003</v>
      </c>
      <c r="H525" s="795">
        <v>100283.57599999999</v>
      </c>
      <c r="I525" s="795">
        <v>101865.584</v>
      </c>
      <c r="J525" s="795">
        <v>16442.039999999994</v>
      </c>
      <c r="K525" s="795">
        <v>480660.24</v>
      </c>
      <c r="L525" s="795">
        <v>63779.680000000008</v>
      </c>
    </row>
    <row r="526" spans="5:12">
      <c r="E526" s="322" t="s">
        <v>88</v>
      </c>
      <c r="F526" s="793">
        <v>44420</v>
      </c>
      <c r="G526" s="795">
        <v>30933.608000000004</v>
      </c>
      <c r="H526" s="795">
        <v>19184.335999999996</v>
      </c>
      <c r="I526" s="795">
        <v>23812.768</v>
      </c>
      <c r="J526" s="795">
        <v>4432.2320000000027</v>
      </c>
      <c r="K526" s="795">
        <v>164791.08000000002</v>
      </c>
      <c r="L526" s="795">
        <v>14209.583999999999</v>
      </c>
    </row>
    <row r="527" spans="5:12">
      <c r="E527" s="322" t="s">
        <v>87</v>
      </c>
      <c r="F527" s="793">
        <v>44421</v>
      </c>
      <c r="G527" s="795">
        <v>37770.936000000002</v>
      </c>
      <c r="H527" s="795">
        <v>22149.152000000002</v>
      </c>
      <c r="I527" s="795">
        <v>20751.184000000001</v>
      </c>
      <c r="J527" s="795">
        <v>3202.5040000000017</v>
      </c>
      <c r="K527" s="795">
        <v>258979.80000000002</v>
      </c>
      <c r="L527" s="795">
        <v>14075.928000000004</v>
      </c>
    </row>
    <row r="528" spans="5:12">
      <c r="E528" s="322" t="s">
        <v>90</v>
      </c>
      <c r="F528" s="793">
        <v>44422</v>
      </c>
      <c r="G528" s="795">
        <v>29638.488000000001</v>
      </c>
      <c r="H528" s="795">
        <v>18730.727999999999</v>
      </c>
      <c r="I528" s="795">
        <v>11527.384</v>
      </c>
      <c r="J528" s="795">
        <v>970.35200000000043</v>
      </c>
      <c r="K528" s="795">
        <v>82669.8</v>
      </c>
      <c r="L528" s="795">
        <v>13304.520000000002</v>
      </c>
    </row>
    <row r="529" spans="5:12">
      <c r="E529" s="322" t="s">
        <v>91</v>
      </c>
      <c r="F529" s="793">
        <v>44423</v>
      </c>
      <c r="G529" s="795">
        <v>30426.28</v>
      </c>
      <c r="H529" s="795">
        <v>17999.040000000005</v>
      </c>
      <c r="I529" s="795">
        <v>6823.6240000000007</v>
      </c>
      <c r="J529" s="795">
        <v>1918.7759999999998</v>
      </c>
      <c r="K529" s="795">
        <v>85960.920000000013</v>
      </c>
      <c r="L529" s="795">
        <v>11088.455999999998</v>
      </c>
    </row>
    <row r="530" spans="5:12">
      <c r="E530" s="322" t="s">
        <v>93</v>
      </c>
      <c r="F530" s="793">
        <v>44424</v>
      </c>
      <c r="G530" s="795">
        <v>49235.776000000005</v>
      </c>
      <c r="H530" s="795">
        <v>25441.68</v>
      </c>
      <c r="I530" s="795">
        <v>16801.68</v>
      </c>
      <c r="J530" s="795">
        <v>2782.2960000000016</v>
      </c>
      <c r="K530" s="795">
        <v>151626.6</v>
      </c>
      <c r="L530" s="795">
        <v>17921.824000000001</v>
      </c>
    </row>
    <row r="531" spans="5:12">
      <c r="E531" s="322" t="s">
        <v>94</v>
      </c>
      <c r="F531" s="793">
        <v>44425</v>
      </c>
      <c r="G531" s="795">
        <v>17646.223999999998</v>
      </c>
      <c r="H531" s="795">
        <v>5595.1280000000006</v>
      </c>
      <c r="I531" s="795">
        <v>7851.880000000001</v>
      </c>
      <c r="J531" s="795">
        <v>2142.1280000000002</v>
      </c>
      <c r="K531" s="795">
        <v>52501.2</v>
      </c>
      <c r="L531" s="795">
        <v>5182.768</v>
      </c>
    </row>
    <row r="532" spans="5:12">
      <c r="E532" s="322" t="s">
        <v>92</v>
      </c>
      <c r="F532" s="793">
        <v>44426</v>
      </c>
      <c r="G532" s="795">
        <v>143896.62400000001</v>
      </c>
      <c r="H532" s="795">
        <v>76400.704000000012</v>
      </c>
      <c r="I532" s="795">
        <v>121453.89600000001</v>
      </c>
      <c r="J532" s="795">
        <v>24467.719999999994</v>
      </c>
      <c r="K532" s="795">
        <v>589972.43999999994</v>
      </c>
      <c r="L532" s="795">
        <v>67081.40800000001</v>
      </c>
    </row>
    <row r="533" spans="5:12">
      <c r="E533" s="322" t="s">
        <v>95</v>
      </c>
      <c r="F533" s="793">
        <v>44427</v>
      </c>
      <c r="G533" s="795">
        <v>180281.53600000002</v>
      </c>
      <c r="H533" s="795">
        <v>102587.008</v>
      </c>
      <c r="I533" s="795">
        <v>129693.65600000002</v>
      </c>
      <c r="J533" s="795">
        <v>22448.983999999997</v>
      </c>
      <c r="K533" s="795">
        <v>509104.92</v>
      </c>
      <c r="L533" s="795">
        <v>76079.616000000024</v>
      </c>
    </row>
    <row r="534" spans="5:12">
      <c r="E534" s="322" t="s">
        <v>96</v>
      </c>
      <c r="F534" s="793">
        <v>44428</v>
      </c>
      <c r="G534" s="795">
        <v>32192.312000000002</v>
      </c>
      <c r="H534" s="795">
        <v>17406.440000000002</v>
      </c>
      <c r="I534" s="795">
        <v>10827.616000000002</v>
      </c>
      <c r="J534" s="795">
        <v>3626.8320000000008</v>
      </c>
      <c r="K534" s="795">
        <v>78516.72</v>
      </c>
      <c r="L534" s="795">
        <v>12047.888000000001</v>
      </c>
    </row>
    <row r="535" spans="5:12">
      <c r="E535" s="322" t="s">
        <v>98</v>
      </c>
      <c r="F535" s="793">
        <v>44429</v>
      </c>
      <c r="G535" s="795">
        <v>15660.856</v>
      </c>
      <c r="H535" s="795">
        <v>8042.6800000000021</v>
      </c>
      <c r="I535" s="795">
        <v>5533.7920000000004</v>
      </c>
      <c r="J535" s="795">
        <v>1675.4080000000004</v>
      </c>
      <c r="K535" s="795">
        <v>71699.399999999994</v>
      </c>
      <c r="L535" s="795">
        <v>5710.152</v>
      </c>
    </row>
    <row r="536" spans="5:12">
      <c r="E536" s="322" t="s">
        <v>99</v>
      </c>
      <c r="F536" s="793">
        <v>44430</v>
      </c>
      <c r="G536" s="795">
        <v>3124.1120000000001</v>
      </c>
      <c r="H536" s="795">
        <v>613.62400000000014</v>
      </c>
      <c r="I536" s="795">
        <v>1799.0880000000002</v>
      </c>
      <c r="J536" s="795">
        <v>0</v>
      </c>
      <c r="K536" s="795">
        <v>11832.36</v>
      </c>
      <c r="L536" s="795">
        <v>745.92000000000007</v>
      </c>
    </row>
    <row r="537" spans="5:12">
      <c r="E537" s="322" t="s">
        <v>97</v>
      </c>
      <c r="F537" s="793">
        <v>44431</v>
      </c>
      <c r="G537" s="795">
        <v>168765.448</v>
      </c>
      <c r="H537" s="795">
        <v>68442.319999999992</v>
      </c>
      <c r="I537" s="795">
        <v>135283.728</v>
      </c>
      <c r="J537" s="795">
        <v>12114.519999999997</v>
      </c>
      <c r="K537" s="795">
        <v>729296.52</v>
      </c>
      <c r="L537" s="795">
        <v>58741.768000000011</v>
      </c>
    </row>
    <row r="538" spans="5:12">
      <c r="E538" s="322" t="s">
        <v>100</v>
      </c>
      <c r="F538" s="793">
        <v>44432</v>
      </c>
      <c r="G538" s="795">
        <v>106797.08000000002</v>
      </c>
      <c r="H538" s="795">
        <v>54939.608</v>
      </c>
      <c r="I538" s="795">
        <v>91912.712</v>
      </c>
      <c r="J538" s="795">
        <v>5645.2240000000056</v>
      </c>
      <c r="K538" s="795">
        <v>484186.44</v>
      </c>
      <c r="L538" s="795">
        <v>40177.488000000005</v>
      </c>
    </row>
    <row r="539" spans="5:12">
      <c r="E539" s="322" t="s">
        <v>102</v>
      </c>
      <c r="F539" s="793">
        <v>44433</v>
      </c>
      <c r="G539" s="795">
        <v>19180.007999999998</v>
      </c>
      <c r="H539" s="795">
        <v>14799.696</v>
      </c>
      <c r="I539" s="795">
        <v>4910.92</v>
      </c>
      <c r="J539" s="795">
        <v>209.66400000000036</v>
      </c>
      <c r="K539" s="795">
        <v>64098.479999999996</v>
      </c>
      <c r="L539" s="795">
        <v>8250.1840000000011</v>
      </c>
    </row>
    <row r="540" spans="5:12">
      <c r="E540" s="322" t="s">
        <v>101</v>
      </c>
      <c r="F540" s="793">
        <v>44434</v>
      </c>
      <c r="G540" s="795">
        <v>604722.21600000001</v>
      </c>
      <c r="H540" s="795">
        <v>470145.23199999996</v>
      </c>
      <c r="I540" s="795">
        <v>365561.63199999998</v>
      </c>
      <c r="J540" s="795">
        <v>106056.76000000001</v>
      </c>
      <c r="K540" s="795">
        <v>2654992.9600000004</v>
      </c>
      <c r="L540" s="795">
        <v>420132.39800000004</v>
      </c>
    </row>
    <row r="541" spans="5:12">
      <c r="E541" s="322" t="s">
        <v>103</v>
      </c>
      <c r="F541" s="793">
        <v>44435</v>
      </c>
      <c r="G541" s="795">
        <v>7357.3520000000008</v>
      </c>
      <c r="H541" s="795">
        <v>2406.152</v>
      </c>
      <c r="I541" s="795">
        <v>3745.424</v>
      </c>
      <c r="J541" s="795">
        <v>563.12799999999993</v>
      </c>
      <c r="K541" s="795">
        <v>37534.44</v>
      </c>
      <c r="L541" s="795">
        <v>2353.7280000000001</v>
      </c>
    </row>
    <row r="542" spans="5:12">
      <c r="E542" s="322" t="s">
        <v>77</v>
      </c>
      <c r="F542" s="793">
        <v>44440</v>
      </c>
      <c r="G542" s="795">
        <v>9009.76</v>
      </c>
      <c r="H542" s="795">
        <v>6533.0399999999991</v>
      </c>
      <c r="I542" s="795">
        <v>1260.9120000000003</v>
      </c>
      <c r="J542" s="795">
        <v>709.09600000000012</v>
      </c>
      <c r="K542" s="795">
        <v>22646.040000000005</v>
      </c>
      <c r="L542" s="795">
        <v>4807.5920000000006</v>
      </c>
    </row>
    <row r="543" spans="5:12">
      <c r="E543" s="322" t="s">
        <v>78</v>
      </c>
      <c r="F543" s="793">
        <v>44441</v>
      </c>
      <c r="G543" s="795">
        <v>13659.696</v>
      </c>
      <c r="H543" s="795">
        <v>16325.744000000004</v>
      </c>
      <c r="I543" s="795">
        <v>3006.7360000000003</v>
      </c>
      <c r="J543" s="795">
        <v>436.96800000000007</v>
      </c>
      <c r="K543" s="795">
        <v>63706.320000000007</v>
      </c>
      <c r="L543" s="795">
        <v>8709.3280000000013</v>
      </c>
    </row>
    <row r="544" spans="5:12">
      <c r="E544" s="322" t="s">
        <v>80</v>
      </c>
      <c r="F544" s="793">
        <v>44442</v>
      </c>
      <c r="G544" s="795">
        <v>18824.52</v>
      </c>
      <c r="H544" s="795">
        <v>9331.503999999999</v>
      </c>
      <c r="I544" s="795">
        <v>3221.5040000000004</v>
      </c>
      <c r="J544" s="795">
        <v>543.83199999999999</v>
      </c>
      <c r="K544" s="795">
        <v>63079.80000000001</v>
      </c>
      <c r="L544" s="795">
        <v>7777.3180000000011</v>
      </c>
    </row>
    <row r="545" spans="5:12">
      <c r="E545" s="322" t="s">
        <v>79</v>
      </c>
      <c r="F545" s="793">
        <v>44443</v>
      </c>
      <c r="G545" s="795">
        <v>6146.68</v>
      </c>
      <c r="H545" s="795">
        <v>8592.0240000000013</v>
      </c>
      <c r="I545" s="795">
        <v>4069.056</v>
      </c>
      <c r="J545" s="795">
        <v>2116.8000000000006</v>
      </c>
      <c r="K545" s="795">
        <v>31814.160000000003</v>
      </c>
      <c r="L545" s="795">
        <v>6586.3679999999995</v>
      </c>
    </row>
    <row r="546" spans="5:12">
      <c r="E546" s="322" t="s">
        <v>81</v>
      </c>
      <c r="F546" s="793">
        <v>44444</v>
      </c>
      <c r="G546" s="795">
        <v>64141.495999999999</v>
      </c>
      <c r="H546" s="795">
        <v>35848.90400000001</v>
      </c>
      <c r="I546" s="795">
        <v>14716.416000000001</v>
      </c>
      <c r="J546" s="795">
        <v>3956.5440000000003</v>
      </c>
      <c r="K546" s="795">
        <v>199661.28</v>
      </c>
      <c r="L546" s="795">
        <v>28153.248</v>
      </c>
    </row>
    <row r="547" spans="5:12">
      <c r="E547" s="322" t="s">
        <v>82</v>
      </c>
      <c r="F547" s="793">
        <v>44445</v>
      </c>
      <c r="G547" s="795">
        <v>29877.72</v>
      </c>
      <c r="H547" s="795">
        <v>11241.503999999997</v>
      </c>
      <c r="I547" s="795">
        <v>7197.2960000000012</v>
      </c>
      <c r="J547" s="795">
        <v>2671.8399999999997</v>
      </c>
      <c r="K547" s="795">
        <v>114405.6</v>
      </c>
      <c r="L547" s="795">
        <v>11051.304000000002</v>
      </c>
    </row>
    <row r="548" spans="5:12">
      <c r="E548" s="322" t="s">
        <v>83</v>
      </c>
      <c r="F548" s="793">
        <v>44446</v>
      </c>
      <c r="G548" s="795">
        <v>44432.144</v>
      </c>
      <c r="H548" s="795">
        <v>27540.223999999995</v>
      </c>
      <c r="I548" s="795">
        <v>9018.2080000000005</v>
      </c>
      <c r="J548" s="795">
        <v>1575.6559999999999</v>
      </c>
      <c r="K548" s="795">
        <v>134073.96000000002</v>
      </c>
      <c r="L548" s="795">
        <v>19213.872000000003</v>
      </c>
    </row>
    <row r="549" spans="5:12">
      <c r="E549" s="322" t="s">
        <v>84</v>
      </c>
      <c r="F549" s="793">
        <v>44447</v>
      </c>
      <c r="G549" s="795">
        <v>50031.824000000001</v>
      </c>
      <c r="H549" s="795">
        <v>16156.08</v>
      </c>
      <c r="I549" s="795">
        <v>12844.400000000001</v>
      </c>
      <c r="J549" s="795">
        <v>3714.4720000000002</v>
      </c>
      <c r="K549" s="795">
        <v>124827.48</v>
      </c>
      <c r="L549" s="795">
        <v>16720.712</v>
      </c>
    </row>
    <row r="550" spans="5:12">
      <c r="E550" s="322" t="s">
        <v>85</v>
      </c>
      <c r="F550" s="793">
        <v>44448</v>
      </c>
      <c r="G550" s="795">
        <v>36647.240000000005</v>
      </c>
      <c r="H550" s="795">
        <v>30415.431999999997</v>
      </c>
      <c r="I550" s="795">
        <v>8942.4480000000003</v>
      </c>
      <c r="J550" s="795">
        <v>4387.0319999999992</v>
      </c>
      <c r="K550" s="795">
        <v>234139.68</v>
      </c>
      <c r="L550" s="795">
        <v>18441.903999999999</v>
      </c>
    </row>
    <row r="551" spans="5:12">
      <c r="E551" s="322" t="s">
        <v>86</v>
      </c>
      <c r="F551" s="793">
        <v>44449</v>
      </c>
      <c r="G551" s="795">
        <v>13304.560000000001</v>
      </c>
      <c r="H551" s="795">
        <v>6410.6799999999985</v>
      </c>
      <c r="I551" s="795">
        <v>2156.2240000000002</v>
      </c>
      <c r="J551" s="795">
        <v>2115.056</v>
      </c>
      <c r="K551" s="795">
        <v>54852.000000000007</v>
      </c>
      <c r="L551" s="795">
        <v>5562.7759999999998</v>
      </c>
    </row>
    <row r="552" spans="5:12">
      <c r="E552" s="322" t="s">
        <v>89</v>
      </c>
      <c r="F552" s="793">
        <v>44450</v>
      </c>
      <c r="G552" s="795">
        <v>120875.04</v>
      </c>
      <c r="H552" s="795">
        <v>89048.928000000014</v>
      </c>
      <c r="I552" s="795">
        <v>28600.815999999999</v>
      </c>
      <c r="J552" s="795">
        <v>17271.312000000002</v>
      </c>
      <c r="K552" s="795">
        <v>437797.32</v>
      </c>
      <c r="L552" s="795">
        <v>59540.90400000001</v>
      </c>
    </row>
    <row r="553" spans="5:12">
      <c r="E553" s="322" t="s">
        <v>88</v>
      </c>
      <c r="F553" s="793">
        <v>44451</v>
      </c>
      <c r="G553" s="795">
        <v>25341.456000000002</v>
      </c>
      <c r="H553" s="795">
        <v>16512.432000000001</v>
      </c>
      <c r="I553" s="795">
        <v>7542.848</v>
      </c>
      <c r="J553" s="795">
        <v>1914.5840000000012</v>
      </c>
      <c r="K553" s="795">
        <v>150999.72</v>
      </c>
      <c r="L553" s="795">
        <v>11541.672</v>
      </c>
    </row>
    <row r="554" spans="5:12">
      <c r="E554" s="322" t="s">
        <v>87</v>
      </c>
      <c r="F554" s="793">
        <v>44452</v>
      </c>
      <c r="G554" s="795">
        <v>48457.880000000005</v>
      </c>
      <c r="H554" s="795">
        <v>18539.504000000008</v>
      </c>
      <c r="I554" s="795">
        <v>12281.032000000001</v>
      </c>
      <c r="J554" s="795">
        <v>3377.0320000000002</v>
      </c>
      <c r="K554" s="795">
        <v>254356.56</v>
      </c>
      <c r="L554" s="795">
        <v>18154.736000000001</v>
      </c>
    </row>
    <row r="555" spans="5:12">
      <c r="E555" s="322" t="s">
        <v>90</v>
      </c>
      <c r="F555" s="793">
        <v>44453</v>
      </c>
      <c r="G555" s="795">
        <v>23262.016000000003</v>
      </c>
      <c r="H555" s="795">
        <v>18621.280000000002</v>
      </c>
      <c r="I555" s="795">
        <v>5473.8160000000007</v>
      </c>
      <c r="J555" s="795">
        <v>1101.9199999999998</v>
      </c>
      <c r="K555" s="795">
        <v>87073.632000000012</v>
      </c>
      <c r="L555" s="795">
        <v>12195.263999999999</v>
      </c>
    </row>
    <row r="556" spans="5:12">
      <c r="E556" s="322" t="s">
        <v>91</v>
      </c>
      <c r="F556" s="793">
        <v>44454</v>
      </c>
      <c r="G556" s="795">
        <v>30607.264000000003</v>
      </c>
      <c r="H556" s="795">
        <v>18817.095999999998</v>
      </c>
      <c r="I556" s="795">
        <v>4914.4639999999999</v>
      </c>
      <c r="J556" s="795">
        <v>1693.4400000000003</v>
      </c>
      <c r="K556" s="795">
        <v>104297.16</v>
      </c>
      <c r="L556" s="795">
        <v>11435.352000000001</v>
      </c>
    </row>
    <row r="557" spans="5:12">
      <c r="E557" s="322" t="s">
        <v>93</v>
      </c>
      <c r="F557" s="793">
        <v>44455</v>
      </c>
      <c r="G557" s="795">
        <v>43052.176000000007</v>
      </c>
      <c r="H557" s="795">
        <v>24915.335999999996</v>
      </c>
      <c r="I557" s="795">
        <v>9034.1119999999992</v>
      </c>
      <c r="J557" s="795">
        <v>3467.768</v>
      </c>
      <c r="K557" s="795">
        <v>148100.4</v>
      </c>
      <c r="L557" s="795">
        <v>18036.047999999999</v>
      </c>
    </row>
    <row r="558" spans="5:12">
      <c r="E558" s="322" t="s">
        <v>94</v>
      </c>
      <c r="F558" s="793">
        <v>44456</v>
      </c>
      <c r="G558" s="795">
        <v>10855.344000000001</v>
      </c>
      <c r="H558" s="795">
        <v>4046.751999999999</v>
      </c>
      <c r="I558" s="795">
        <v>5023.7440000000006</v>
      </c>
      <c r="J558" s="795">
        <v>1438.4479999999996</v>
      </c>
      <c r="K558" s="795">
        <v>50698.920000000006</v>
      </c>
      <c r="L558" s="795">
        <v>3539.136</v>
      </c>
    </row>
    <row r="559" spans="5:12">
      <c r="E559" s="322" t="s">
        <v>92</v>
      </c>
      <c r="F559" s="793">
        <v>44457</v>
      </c>
      <c r="G559" s="795">
        <v>86720.543999999994</v>
      </c>
      <c r="H559" s="795">
        <v>48419.736000000004</v>
      </c>
      <c r="I559" s="795">
        <v>47480.208000000006</v>
      </c>
      <c r="J559" s="795">
        <v>13042.888000000004</v>
      </c>
      <c r="K559" s="795">
        <v>553691.76000000013</v>
      </c>
      <c r="L559" s="795">
        <v>45456.840000000004</v>
      </c>
    </row>
    <row r="560" spans="5:12">
      <c r="E560" s="322" t="s">
        <v>95</v>
      </c>
      <c r="F560" s="793">
        <v>44458</v>
      </c>
      <c r="G560" s="795">
        <v>143106.05600000001</v>
      </c>
      <c r="H560" s="795">
        <v>79145.215999999971</v>
      </c>
      <c r="I560" s="795">
        <v>43990.336000000003</v>
      </c>
      <c r="J560" s="795">
        <v>18041.008000000002</v>
      </c>
      <c r="K560" s="795">
        <v>492962.76000000007</v>
      </c>
      <c r="L560" s="795">
        <v>65979.576000000001</v>
      </c>
    </row>
    <row r="561" spans="5:12">
      <c r="E561" s="322" t="s">
        <v>96</v>
      </c>
      <c r="F561" s="793">
        <v>44459</v>
      </c>
      <c r="G561" s="795">
        <v>17855.36</v>
      </c>
      <c r="H561" s="795">
        <v>12600.656000000003</v>
      </c>
      <c r="I561" s="795">
        <v>2812</v>
      </c>
      <c r="J561" s="795">
        <v>608.34400000000028</v>
      </c>
      <c r="K561" s="795">
        <v>76714.44</v>
      </c>
      <c r="L561" s="795">
        <v>10066.064</v>
      </c>
    </row>
    <row r="562" spans="5:12">
      <c r="E562" s="322" t="s">
        <v>98</v>
      </c>
      <c r="F562" s="793">
        <v>44460</v>
      </c>
      <c r="G562" s="795">
        <v>11625.408000000001</v>
      </c>
      <c r="H562" s="795">
        <v>4141.6160000000009</v>
      </c>
      <c r="I562" s="795">
        <v>1686.296</v>
      </c>
      <c r="J562" s="795">
        <v>234.65600000000015</v>
      </c>
      <c r="K562" s="795">
        <v>75930.84</v>
      </c>
      <c r="L562" s="795">
        <v>3662.328</v>
      </c>
    </row>
    <row r="563" spans="5:12">
      <c r="E563" s="322" t="s">
        <v>99</v>
      </c>
      <c r="F563" s="793">
        <v>44461</v>
      </c>
      <c r="G563" s="795">
        <v>1317.088</v>
      </c>
      <c r="H563" s="795">
        <v>979.03200000000015</v>
      </c>
      <c r="I563" s="795">
        <v>388.86400000000003</v>
      </c>
      <c r="J563" s="795">
        <v>0</v>
      </c>
      <c r="K563" s="795">
        <v>11252.495999999999</v>
      </c>
      <c r="L563" s="795">
        <v>500.05600000000004</v>
      </c>
    </row>
    <row r="564" spans="5:12">
      <c r="E564" s="322" t="s">
        <v>97</v>
      </c>
      <c r="F564" s="793">
        <v>44462</v>
      </c>
      <c r="G564" s="795">
        <v>115417.488</v>
      </c>
      <c r="H564" s="795">
        <v>60437.680000000008</v>
      </c>
      <c r="I564" s="795">
        <v>48527.040000000008</v>
      </c>
      <c r="J564" s="795">
        <v>10279.983999999997</v>
      </c>
      <c r="K564" s="795">
        <v>682515.6</v>
      </c>
      <c r="L564" s="795">
        <v>46202.44</v>
      </c>
    </row>
    <row r="565" spans="5:12">
      <c r="E565" s="322" t="s">
        <v>100</v>
      </c>
      <c r="F565" s="793">
        <v>44463</v>
      </c>
      <c r="G565" s="795">
        <v>76905.487999999998</v>
      </c>
      <c r="H565" s="795">
        <v>43272.288</v>
      </c>
      <c r="I565" s="795">
        <v>28322.576000000001</v>
      </c>
      <c r="J565" s="795">
        <v>8800.0319999999974</v>
      </c>
      <c r="K565" s="795">
        <v>474704.88</v>
      </c>
      <c r="L565" s="795">
        <v>34771.632000000005</v>
      </c>
    </row>
    <row r="566" spans="5:12">
      <c r="E566" s="322" t="s">
        <v>102</v>
      </c>
      <c r="F566" s="793">
        <v>44464</v>
      </c>
      <c r="G566" s="795">
        <v>15569.432000000001</v>
      </c>
      <c r="H566" s="795">
        <v>10897.456</v>
      </c>
      <c r="I566" s="795">
        <v>3607.2480000000005</v>
      </c>
      <c r="J566" s="795">
        <v>1386.3039999999994</v>
      </c>
      <c r="K566" s="795">
        <v>65195.520000000004</v>
      </c>
      <c r="L566" s="795">
        <v>7315.2</v>
      </c>
    </row>
    <row r="567" spans="5:12">
      <c r="E567" s="322" t="s">
        <v>101</v>
      </c>
      <c r="F567" s="793">
        <v>44465</v>
      </c>
      <c r="G567" s="795">
        <v>419542.304</v>
      </c>
      <c r="H567" s="795">
        <v>354450.71200000006</v>
      </c>
      <c r="I567" s="795">
        <v>134045.93600000002</v>
      </c>
      <c r="J567" s="795">
        <v>61425.279999999999</v>
      </c>
      <c r="K567" s="795">
        <v>2538315.48</v>
      </c>
      <c r="L567" s="795">
        <v>288369.22200000001</v>
      </c>
    </row>
    <row r="568" spans="5:12">
      <c r="E568" s="322" t="s">
        <v>103</v>
      </c>
      <c r="F568" s="793">
        <v>44466</v>
      </c>
      <c r="G568" s="795">
        <v>9532.1360000000004</v>
      </c>
      <c r="H568" s="795">
        <v>4416.32</v>
      </c>
      <c r="I568" s="795">
        <v>3076.7440000000001</v>
      </c>
      <c r="J568" s="795">
        <v>723.03200000000038</v>
      </c>
      <c r="K568" s="795">
        <v>37221</v>
      </c>
      <c r="L568" s="795">
        <v>3759.864</v>
      </c>
    </row>
    <row r="569" spans="5:12">
      <c r="E569" s="322" t="s">
        <v>77</v>
      </c>
      <c r="F569" s="793">
        <v>44470</v>
      </c>
      <c r="G569" s="795">
        <v>5196.6559999999999</v>
      </c>
      <c r="H569" s="795">
        <v>2887.9920000000002</v>
      </c>
      <c r="I569" s="795">
        <v>2681.8240000000005</v>
      </c>
      <c r="J569" s="795">
        <v>237.18400000000003</v>
      </c>
      <c r="K569" s="795">
        <v>19668.528000000002</v>
      </c>
      <c r="L569" s="795">
        <v>2386.9040000000005</v>
      </c>
    </row>
    <row r="570" spans="5:12">
      <c r="E570" s="322" t="s">
        <v>78</v>
      </c>
      <c r="F570" s="793">
        <v>44471</v>
      </c>
      <c r="G570" s="795">
        <v>15524.951999999999</v>
      </c>
      <c r="H570" s="795">
        <v>19525.352000000003</v>
      </c>
      <c r="I570" s="795">
        <v>1032.5120000000002</v>
      </c>
      <c r="J570" s="795">
        <v>436.96799999999985</v>
      </c>
      <c r="K570" s="795">
        <v>65508.960000000006</v>
      </c>
      <c r="L570" s="795">
        <v>10760.296</v>
      </c>
    </row>
    <row r="571" spans="5:12">
      <c r="E571" s="322" t="s">
        <v>80</v>
      </c>
      <c r="F571" s="793">
        <v>44472</v>
      </c>
      <c r="G571" s="795">
        <v>14460.648000000001</v>
      </c>
      <c r="H571" s="795">
        <v>6410.4080000000004</v>
      </c>
      <c r="I571" s="795">
        <v>2912.9680000000003</v>
      </c>
      <c r="J571" s="795">
        <v>646.7199999999998</v>
      </c>
      <c r="K571" s="795">
        <v>56889.36</v>
      </c>
      <c r="L571" s="795">
        <v>5441.2880000000005</v>
      </c>
    </row>
    <row r="572" spans="5:12">
      <c r="E572" s="322" t="s">
        <v>79</v>
      </c>
      <c r="F572" s="793">
        <v>44473</v>
      </c>
      <c r="G572" s="795">
        <v>4022.2640000000001</v>
      </c>
      <c r="H572" s="795">
        <v>3000.3120000000004</v>
      </c>
      <c r="I572" s="795">
        <v>4644.0640000000003</v>
      </c>
      <c r="J572" s="795">
        <v>457.28000000000003</v>
      </c>
      <c r="K572" s="795">
        <v>31030.560000000005</v>
      </c>
      <c r="L572" s="795">
        <v>3414.7599999999998</v>
      </c>
    </row>
    <row r="573" spans="5:12">
      <c r="E573" s="322" t="s">
        <v>81</v>
      </c>
      <c r="F573" s="793">
        <v>44474</v>
      </c>
      <c r="G573" s="795">
        <v>45822.256000000001</v>
      </c>
      <c r="H573" s="795">
        <v>31708.879999999994</v>
      </c>
      <c r="I573" s="795">
        <v>19284.088</v>
      </c>
      <c r="J573" s="795">
        <v>4055.6959999999995</v>
      </c>
      <c r="K573" s="795">
        <v>172235.28</v>
      </c>
      <c r="L573" s="795">
        <v>23795.4</v>
      </c>
    </row>
    <row r="574" spans="5:12">
      <c r="E574" s="322" t="s">
        <v>82</v>
      </c>
      <c r="F574" s="793">
        <v>44475</v>
      </c>
      <c r="G574" s="795">
        <v>21004.248000000003</v>
      </c>
      <c r="H574" s="795">
        <v>13552.624</v>
      </c>
      <c r="I574" s="795">
        <v>3947.8320000000003</v>
      </c>
      <c r="J574" s="795">
        <v>1405.5199999999998</v>
      </c>
      <c r="K574" s="795">
        <v>115816.08</v>
      </c>
      <c r="L574" s="795">
        <v>11807.944000000001</v>
      </c>
    </row>
    <row r="575" spans="5:12">
      <c r="E575" s="322" t="s">
        <v>83</v>
      </c>
      <c r="F575" s="793">
        <v>44476</v>
      </c>
      <c r="G575" s="795">
        <v>27619.96</v>
      </c>
      <c r="H575" s="795">
        <v>16026.784</v>
      </c>
      <c r="I575" s="795">
        <v>9844.52</v>
      </c>
      <c r="J575" s="795">
        <v>662.07200000000012</v>
      </c>
      <c r="K575" s="795">
        <v>131785.848</v>
      </c>
      <c r="L575" s="795">
        <v>13430.896000000001</v>
      </c>
    </row>
    <row r="576" spans="5:12">
      <c r="E576" s="322" t="s">
        <v>84</v>
      </c>
      <c r="F576" s="793">
        <v>44477</v>
      </c>
      <c r="G576" s="795">
        <v>33943.064000000006</v>
      </c>
      <c r="H576" s="795">
        <v>15663.864</v>
      </c>
      <c r="I576" s="795">
        <v>12690.696000000002</v>
      </c>
      <c r="J576" s="795">
        <v>4772.4799999999987</v>
      </c>
      <c r="K576" s="795">
        <v>124514.04000000001</v>
      </c>
      <c r="L576" s="795">
        <v>15991.808000000001</v>
      </c>
    </row>
    <row r="577" spans="5:12">
      <c r="E577" s="322" t="s">
        <v>85</v>
      </c>
      <c r="F577" s="793">
        <v>44478</v>
      </c>
      <c r="G577" s="795">
        <v>28359.640000000003</v>
      </c>
      <c r="H577" s="795">
        <v>17189.695999999996</v>
      </c>
      <c r="I577" s="795">
        <v>8059.6559999999999</v>
      </c>
      <c r="J577" s="795">
        <v>3525.6559999999999</v>
      </c>
      <c r="K577" s="795">
        <v>215646.72</v>
      </c>
      <c r="L577" s="795">
        <v>13433.848000000002</v>
      </c>
    </row>
    <row r="578" spans="5:12">
      <c r="E578" s="322" t="s">
        <v>86</v>
      </c>
      <c r="F578" s="793">
        <v>44479</v>
      </c>
      <c r="G578" s="795">
        <v>14169.44</v>
      </c>
      <c r="H578" s="795">
        <v>7639.4720000000016</v>
      </c>
      <c r="I578" s="795">
        <v>2713.8560000000002</v>
      </c>
      <c r="J578" s="795">
        <v>933.71199999999999</v>
      </c>
      <c r="K578" s="795">
        <v>57281.16</v>
      </c>
      <c r="L578" s="795">
        <v>6300.2160000000003</v>
      </c>
    </row>
    <row r="579" spans="5:12">
      <c r="E579" s="322" t="s">
        <v>89</v>
      </c>
      <c r="F579" s="793">
        <v>44480</v>
      </c>
      <c r="G579" s="795">
        <v>81213.728000000003</v>
      </c>
      <c r="H579" s="795">
        <v>65323.255999999994</v>
      </c>
      <c r="I579" s="795">
        <v>23842.848000000002</v>
      </c>
      <c r="J579" s="795">
        <v>12555.607999999998</v>
      </c>
      <c r="K579" s="795">
        <v>415778.16000000003</v>
      </c>
      <c r="L579" s="795">
        <v>42839.592000000004</v>
      </c>
    </row>
    <row r="580" spans="5:12">
      <c r="E580" s="322" t="s">
        <v>88</v>
      </c>
      <c r="F580" s="793">
        <v>44481</v>
      </c>
      <c r="G580" s="795">
        <v>22477.920000000002</v>
      </c>
      <c r="H580" s="795">
        <v>11910.039999999999</v>
      </c>
      <c r="I580" s="795">
        <v>8666.2240000000002</v>
      </c>
      <c r="J580" s="795">
        <v>1828.9840000000002</v>
      </c>
      <c r="K580" s="795">
        <v>135014.28</v>
      </c>
      <c r="L580" s="795">
        <v>10843.248</v>
      </c>
    </row>
    <row r="581" spans="5:12">
      <c r="E581" s="322" t="s">
        <v>87</v>
      </c>
      <c r="F581" s="793">
        <v>44482</v>
      </c>
      <c r="G581" s="795">
        <v>26918.040000000005</v>
      </c>
      <c r="H581" s="795">
        <v>15999.455999999998</v>
      </c>
      <c r="I581" s="795">
        <v>8689.5360000000001</v>
      </c>
      <c r="J581" s="795">
        <v>1788.4719999999995</v>
      </c>
      <c r="K581" s="795">
        <v>220034.88</v>
      </c>
      <c r="L581" s="795">
        <v>11361.84</v>
      </c>
    </row>
    <row r="582" spans="5:12">
      <c r="E582" s="322" t="s">
        <v>90</v>
      </c>
      <c r="F582" s="793">
        <v>44483</v>
      </c>
      <c r="G582" s="795">
        <v>17947.423999999999</v>
      </c>
      <c r="H582" s="795">
        <v>15322.248</v>
      </c>
      <c r="I582" s="795">
        <v>4832.88</v>
      </c>
      <c r="J582" s="795">
        <v>91.415999999999627</v>
      </c>
      <c r="K582" s="795">
        <v>86431.08</v>
      </c>
      <c r="L582" s="795">
        <v>9091.2000000000007</v>
      </c>
    </row>
    <row r="583" spans="5:12">
      <c r="E583" s="322" t="s">
        <v>91</v>
      </c>
      <c r="F583" s="793">
        <v>44484</v>
      </c>
      <c r="G583" s="795">
        <v>23594.400000000001</v>
      </c>
      <c r="H583" s="795">
        <v>16696.296000000002</v>
      </c>
      <c r="I583" s="795">
        <v>3001.2160000000003</v>
      </c>
      <c r="J583" s="795">
        <v>1128.3039999999999</v>
      </c>
      <c r="K583" s="795">
        <v>92073</v>
      </c>
      <c r="L583" s="795">
        <v>10163.144000000002</v>
      </c>
    </row>
    <row r="584" spans="5:12">
      <c r="E584" s="322" t="s">
        <v>93</v>
      </c>
      <c r="F584" s="793">
        <v>44485</v>
      </c>
      <c r="G584" s="795">
        <v>30894.840000000004</v>
      </c>
      <c r="H584" s="795">
        <v>15535.215999999995</v>
      </c>
      <c r="I584" s="795">
        <v>8939.9359999999997</v>
      </c>
      <c r="J584" s="795">
        <v>6951.48</v>
      </c>
      <c r="K584" s="795">
        <v>146219.76</v>
      </c>
      <c r="L584" s="795">
        <v>15328.912</v>
      </c>
    </row>
    <row r="585" spans="5:12">
      <c r="E585" s="322" t="s">
        <v>94</v>
      </c>
      <c r="F585" s="793">
        <v>44486</v>
      </c>
      <c r="G585" s="795">
        <v>7279.2240000000011</v>
      </c>
      <c r="H585" s="795">
        <v>3699.9599999999991</v>
      </c>
      <c r="I585" s="795">
        <v>4644.4720000000007</v>
      </c>
      <c r="J585" s="795">
        <v>927.83199999999999</v>
      </c>
      <c r="K585" s="795">
        <v>41530.800000000003</v>
      </c>
      <c r="L585" s="795">
        <v>2882.6000000000004</v>
      </c>
    </row>
    <row r="586" spans="5:12">
      <c r="E586" s="322" t="s">
        <v>92</v>
      </c>
      <c r="F586" s="793">
        <v>44487</v>
      </c>
      <c r="G586" s="795">
        <v>67387.895999999993</v>
      </c>
      <c r="H586" s="795">
        <v>44473.967999999993</v>
      </c>
      <c r="I586" s="795">
        <v>41864.152000000002</v>
      </c>
      <c r="J586" s="795">
        <v>14030.368</v>
      </c>
      <c r="K586" s="795">
        <v>515608.80000000005</v>
      </c>
      <c r="L586" s="795">
        <v>39609.103999999999</v>
      </c>
    </row>
    <row r="587" spans="5:12">
      <c r="E587" s="322" t="s">
        <v>95</v>
      </c>
      <c r="F587" s="793">
        <v>44488</v>
      </c>
      <c r="G587" s="795">
        <v>109939.90400000001</v>
      </c>
      <c r="H587" s="795">
        <v>73973.967999999993</v>
      </c>
      <c r="I587" s="795">
        <v>35267.976000000002</v>
      </c>
      <c r="J587" s="795">
        <v>8954.9360000000015</v>
      </c>
      <c r="K587" s="795">
        <v>474313.08</v>
      </c>
      <c r="L587" s="795">
        <v>56790.296000000009</v>
      </c>
    </row>
    <row r="588" spans="5:12">
      <c r="E588" s="322" t="s">
        <v>96</v>
      </c>
      <c r="F588" s="793">
        <v>44489</v>
      </c>
      <c r="G588" s="795">
        <v>12133.896000000001</v>
      </c>
      <c r="H588" s="795">
        <v>15698.672</v>
      </c>
      <c r="I588" s="795">
        <v>1853.68</v>
      </c>
      <c r="J588" s="795">
        <v>1185.1119999999999</v>
      </c>
      <c r="K588" s="795">
        <v>70759.080000000016</v>
      </c>
      <c r="L588" s="795">
        <v>7742.6240000000007</v>
      </c>
    </row>
    <row r="589" spans="5:12">
      <c r="E589" s="322" t="s">
        <v>98</v>
      </c>
      <c r="F589" s="793">
        <v>44490</v>
      </c>
      <c r="G589" s="795">
        <v>6993.576</v>
      </c>
      <c r="H589" s="795">
        <v>4219.3919999999998</v>
      </c>
      <c r="I589" s="795">
        <v>2303.44</v>
      </c>
      <c r="J589" s="795">
        <v>843.45599999999979</v>
      </c>
      <c r="K589" s="795">
        <v>63549.96</v>
      </c>
      <c r="L589" s="795">
        <v>3325.3519999999999</v>
      </c>
    </row>
    <row r="590" spans="5:12">
      <c r="E590" s="322" t="s">
        <v>99</v>
      </c>
      <c r="F590" s="793">
        <v>44491</v>
      </c>
      <c r="G590" s="795">
        <v>814.24</v>
      </c>
      <c r="H590" s="795">
        <v>737.84799999999996</v>
      </c>
      <c r="I590" s="795">
        <v>76.191999999999993</v>
      </c>
      <c r="J590" s="795">
        <v>0</v>
      </c>
      <c r="K590" s="795">
        <v>10265.16</v>
      </c>
      <c r="L590" s="795">
        <v>285.10400000000004</v>
      </c>
    </row>
    <row r="591" spans="5:12">
      <c r="E591" s="322" t="s">
        <v>97</v>
      </c>
      <c r="F591" s="793">
        <v>44492</v>
      </c>
      <c r="G591" s="795">
        <v>99927.112000000008</v>
      </c>
      <c r="H591" s="795">
        <v>67000.472000000009</v>
      </c>
      <c r="I591" s="795">
        <v>40849.392</v>
      </c>
      <c r="J591" s="795">
        <v>12084.168</v>
      </c>
      <c r="K591" s="795">
        <v>689097.84</v>
      </c>
      <c r="L591" s="795">
        <v>51041.536</v>
      </c>
    </row>
    <row r="592" spans="5:12">
      <c r="E592" s="322" t="s">
        <v>100</v>
      </c>
      <c r="F592" s="793">
        <v>44493</v>
      </c>
      <c r="G592" s="795">
        <v>60915.216000000008</v>
      </c>
      <c r="H592" s="795">
        <v>40840.216000000008</v>
      </c>
      <c r="I592" s="795">
        <v>29531.072</v>
      </c>
      <c r="J592" s="795">
        <v>6622.2160000000022</v>
      </c>
      <c r="K592" s="795">
        <v>454096.20000000007</v>
      </c>
      <c r="L592" s="795">
        <v>30703.240000000005</v>
      </c>
    </row>
    <row r="593" spans="5:12">
      <c r="E593" s="322" t="s">
        <v>102</v>
      </c>
      <c r="F593" s="793">
        <v>44494</v>
      </c>
      <c r="G593" s="795">
        <v>11129.448</v>
      </c>
      <c r="H593" s="795">
        <v>8173.8960000000006</v>
      </c>
      <c r="I593" s="795">
        <v>3263.6320000000001</v>
      </c>
      <c r="J593" s="795">
        <v>511.87999999999988</v>
      </c>
      <c r="K593" s="795">
        <v>60415.56</v>
      </c>
      <c r="L593" s="795">
        <v>5406.6240000000007</v>
      </c>
    </row>
    <row r="594" spans="5:12">
      <c r="E594" s="322" t="s">
        <v>101</v>
      </c>
      <c r="F594" s="793">
        <v>44495</v>
      </c>
      <c r="G594" s="795">
        <v>320970.82400000002</v>
      </c>
      <c r="H594" s="795">
        <v>318812.33599999995</v>
      </c>
      <c r="I594" s="795">
        <v>114290.48000000001</v>
      </c>
      <c r="J594" s="795">
        <v>58257.743999999999</v>
      </c>
      <c r="K594" s="795">
        <v>2390998.6800000002</v>
      </c>
      <c r="L594" s="795">
        <v>263212.00800000003</v>
      </c>
    </row>
    <row r="595" spans="5:12">
      <c r="E595" s="322" t="s">
        <v>103</v>
      </c>
      <c r="F595" s="793">
        <v>44496</v>
      </c>
      <c r="G595" s="795">
        <v>7024.4160000000011</v>
      </c>
      <c r="H595" s="795">
        <v>3146.9040000000005</v>
      </c>
      <c r="I595" s="795">
        <v>1359.9520000000002</v>
      </c>
      <c r="J595" s="795">
        <v>450.78400000000005</v>
      </c>
      <c r="K595" s="795">
        <v>39415.08</v>
      </c>
      <c r="L595" s="795">
        <v>2917.4880000000003</v>
      </c>
    </row>
    <row r="596" spans="5:12">
      <c r="E596" s="322" t="s">
        <v>77</v>
      </c>
      <c r="F596" s="793">
        <v>44501</v>
      </c>
      <c r="G596" s="795">
        <v>4898.1840000000002</v>
      </c>
      <c r="H596" s="795">
        <v>1636.2160000000006</v>
      </c>
      <c r="I596" s="795">
        <v>1865.3360000000002</v>
      </c>
      <c r="J596" s="795">
        <v>265.12799999999987</v>
      </c>
      <c r="K596" s="795">
        <v>19590</v>
      </c>
      <c r="L596" s="795">
        <v>1998.3679999999999</v>
      </c>
    </row>
    <row r="597" spans="5:12">
      <c r="E597" s="322" t="s">
        <v>78</v>
      </c>
      <c r="F597" s="793">
        <v>44502</v>
      </c>
      <c r="G597" s="795">
        <v>15430.992000000002</v>
      </c>
      <c r="H597" s="795">
        <v>13975.503999999999</v>
      </c>
      <c r="I597" s="795">
        <v>499.20000000000005</v>
      </c>
      <c r="J597" s="795">
        <v>333.28</v>
      </c>
      <c r="K597" s="795">
        <v>61355.880000000005</v>
      </c>
      <c r="L597" s="795">
        <v>9532.9120000000003</v>
      </c>
    </row>
    <row r="598" spans="5:12">
      <c r="E598" s="322" t="s">
        <v>80</v>
      </c>
      <c r="F598" s="793">
        <v>44503</v>
      </c>
      <c r="G598" s="795">
        <v>9217.1039999999994</v>
      </c>
      <c r="H598" s="795">
        <v>6688.9520000000011</v>
      </c>
      <c r="I598" s="795">
        <v>2869.0720000000001</v>
      </c>
      <c r="J598" s="795">
        <v>1226.4799999999998</v>
      </c>
      <c r="K598" s="795">
        <v>58221.48</v>
      </c>
      <c r="L598" s="795">
        <v>4782.8160000000007</v>
      </c>
    </row>
    <row r="599" spans="5:12">
      <c r="E599" s="322" t="s">
        <v>79</v>
      </c>
      <c r="F599" s="793">
        <v>44504</v>
      </c>
      <c r="G599" s="795">
        <v>4967.0960000000005</v>
      </c>
      <c r="H599" s="795">
        <v>3429.7599999999993</v>
      </c>
      <c r="I599" s="795">
        <v>2593.0720000000001</v>
      </c>
      <c r="J599" s="795">
        <v>519.91199999999992</v>
      </c>
      <c r="K599" s="795">
        <v>33146.28</v>
      </c>
      <c r="L599" s="795">
        <v>3572.1520000000005</v>
      </c>
    </row>
    <row r="600" spans="5:12">
      <c r="E600" s="322" t="s">
        <v>81</v>
      </c>
      <c r="F600" s="793">
        <v>44505</v>
      </c>
      <c r="G600" s="795">
        <v>34615.912000000004</v>
      </c>
      <c r="H600" s="795">
        <v>19525.592000000004</v>
      </c>
      <c r="I600" s="795">
        <v>11494.112000000001</v>
      </c>
      <c r="J600" s="795">
        <v>5617.6160000000009</v>
      </c>
      <c r="K600" s="795">
        <v>171921.84</v>
      </c>
      <c r="L600" s="795">
        <v>18197.856</v>
      </c>
    </row>
    <row r="601" spans="5:12">
      <c r="E601" s="322" t="s">
        <v>82</v>
      </c>
      <c r="F601" s="793">
        <v>44506</v>
      </c>
      <c r="G601" s="795">
        <v>24687.056</v>
      </c>
      <c r="H601" s="795">
        <v>22842.712</v>
      </c>
      <c r="I601" s="795">
        <v>4815.4319999999998</v>
      </c>
      <c r="J601" s="795">
        <v>730.60800000000017</v>
      </c>
      <c r="K601" s="795">
        <v>112446.60000000002</v>
      </c>
      <c r="L601" s="795">
        <v>15515.856000000002</v>
      </c>
    </row>
    <row r="602" spans="5:12">
      <c r="E602" s="322" t="s">
        <v>83</v>
      </c>
      <c r="F602" s="793">
        <v>44507</v>
      </c>
      <c r="G602" s="795">
        <v>29012.528000000006</v>
      </c>
      <c r="H602" s="795">
        <v>12989.68</v>
      </c>
      <c r="I602" s="795">
        <v>5921.7440000000006</v>
      </c>
      <c r="J602" s="795">
        <v>974.71199999999953</v>
      </c>
      <c r="K602" s="795">
        <v>121536.36000000002</v>
      </c>
      <c r="L602" s="795">
        <v>13572.896000000001</v>
      </c>
    </row>
    <row r="603" spans="5:12">
      <c r="E603" s="322" t="s">
        <v>84</v>
      </c>
      <c r="F603" s="793">
        <v>44508</v>
      </c>
      <c r="G603" s="795">
        <v>26435.168000000001</v>
      </c>
      <c r="H603" s="795">
        <v>14376.136000000006</v>
      </c>
      <c r="I603" s="795">
        <v>9707.1759999999995</v>
      </c>
      <c r="J603" s="795">
        <v>2806.2960000000003</v>
      </c>
      <c r="K603" s="795">
        <v>109939.08</v>
      </c>
      <c r="L603" s="795">
        <v>12745.64</v>
      </c>
    </row>
    <row r="604" spans="5:12">
      <c r="E604" s="322" t="s">
        <v>85</v>
      </c>
      <c r="F604" s="793">
        <v>44509</v>
      </c>
      <c r="G604" s="795">
        <v>26841.288</v>
      </c>
      <c r="H604" s="795">
        <v>13747.392</v>
      </c>
      <c r="I604" s="795">
        <v>8918.2160000000003</v>
      </c>
      <c r="J604" s="795">
        <v>3173.1839999999997</v>
      </c>
      <c r="K604" s="795">
        <v>209613</v>
      </c>
      <c r="L604" s="795">
        <v>13431.296</v>
      </c>
    </row>
    <row r="605" spans="5:12">
      <c r="E605" s="322" t="s">
        <v>86</v>
      </c>
      <c r="F605" s="793">
        <v>44510</v>
      </c>
      <c r="G605" s="795">
        <v>11910.696000000002</v>
      </c>
      <c r="H605" s="795">
        <v>6693.0399999999981</v>
      </c>
      <c r="I605" s="795">
        <v>2474.328</v>
      </c>
      <c r="J605" s="795">
        <v>830.33600000000013</v>
      </c>
      <c r="K605" s="795">
        <v>50072.04</v>
      </c>
      <c r="L605" s="795">
        <v>5906.7760000000007</v>
      </c>
    </row>
    <row r="606" spans="5:12">
      <c r="E606" s="322" t="s">
        <v>89</v>
      </c>
      <c r="F606" s="793">
        <v>44511</v>
      </c>
      <c r="G606" s="795">
        <v>82960.407999999996</v>
      </c>
      <c r="H606" s="795">
        <v>71945.144</v>
      </c>
      <c r="I606" s="795">
        <v>21715.008000000002</v>
      </c>
      <c r="J606" s="795">
        <v>11258.760000000002</v>
      </c>
      <c r="K606" s="795">
        <v>404964.48</v>
      </c>
      <c r="L606" s="795">
        <v>48389.12000000001</v>
      </c>
    </row>
    <row r="607" spans="5:12">
      <c r="E607" s="322" t="s">
        <v>88</v>
      </c>
      <c r="F607" s="793">
        <v>44512</v>
      </c>
      <c r="G607" s="795">
        <v>16783.248000000003</v>
      </c>
      <c r="H607" s="795">
        <v>16441.448</v>
      </c>
      <c r="I607" s="795">
        <v>6261.96</v>
      </c>
      <c r="J607" s="795">
        <v>2619.6400000000012</v>
      </c>
      <c r="K607" s="795">
        <v>142771.91999999998</v>
      </c>
      <c r="L607" s="795">
        <v>11838.712000000001</v>
      </c>
    </row>
    <row r="608" spans="5:12">
      <c r="E608" s="322" t="s">
        <v>87</v>
      </c>
      <c r="F608" s="793">
        <v>44513</v>
      </c>
      <c r="G608" s="795">
        <v>22426.592000000004</v>
      </c>
      <c r="H608" s="795">
        <v>17528.383999999998</v>
      </c>
      <c r="I608" s="795">
        <v>6651.192</v>
      </c>
      <c r="J608" s="795">
        <v>3376.7200000000007</v>
      </c>
      <c r="K608" s="795">
        <v>207654</v>
      </c>
      <c r="L608" s="795">
        <v>14240.896000000001</v>
      </c>
    </row>
    <row r="609" spans="5:12">
      <c r="E609" s="322" t="s">
        <v>90</v>
      </c>
      <c r="F609" s="793">
        <v>44514</v>
      </c>
      <c r="G609" s="795">
        <v>20388.784</v>
      </c>
      <c r="H609" s="795">
        <v>17272.063999999998</v>
      </c>
      <c r="I609" s="795">
        <v>3527.5360000000001</v>
      </c>
      <c r="J609" s="795">
        <v>160.15999999999985</v>
      </c>
      <c r="K609" s="795">
        <v>87919.920000000013</v>
      </c>
      <c r="L609" s="795">
        <v>12811.904000000002</v>
      </c>
    </row>
    <row r="610" spans="5:12">
      <c r="E610" s="322" t="s">
        <v>91</v>
      </c>
      <c r="F610" s="793">
        <v>44515</v>
      </c>
      <c r="G610" s="795">
        <v>18183.552</v>
      </c>
      <c r="H610" s="795">
        <v>14382.792000000001</v>
      </c>
      <c r="I610" s="795">
        <v>5044.9840000000004</v>
      </c>
      <c r="J610" s="795">
        <v>3471.3520000000008</v>
      </c>
      <c r="K610" s="795">
        <v>90114.000000000015</v>
      </c>
      <c r="L610" s="795">
        <v>10429.392</v>
      </c>
    </row>
    <row r="611" spans="5:12">
      <c r="E611" s="322" t="s">
        <v>93</v>
      </c>
      <c r="F611" s="793">
        <v>44516</v>
      </c>
      <c r="G611" s="795">
        <v>28114.080000000002</v>
      </c>
      <c r="H611" s="795">
        <v>20960.144</v>
      </c>
      <c r="I611" s="795">
        <v>8238.9440000000013</v>
      </c>
      <c r="J611" s="795">
        <v>3895.6879999999992</v>
      </c>
      <c r="K611" s="795">
        <v>145749.60000000003</v>
      </c>
      <c r="L611" s="795">
        <v>18262.896000000001</v>
      </c>
    </row>
    <row r="612" spans="5:12">
      <c r="E612" s="322" t="s">
        <v>94</v>
      </c>
      <c r="F612" s="793">
        <v>44517</v>
      </c>
      <c r="G612" s="795">
        <v>8151.9440000000004</v>
      </c>
      <c r="H612" s="795">
        <v>3551.8800000000006</v>
      </c>
      <c r="I612" s="795">
        <v>3075.1360000000004</v>
      </c>
      <c r="J612" s="795">
        <v>2174.1280000000002</v>
      </c>
      <c r="K612" s="795">
        <v>42471.12</v>
      </c>
      <c r="L612" s="795">
        <v>3733.6640000000002</v>
      </c>
    </row>
    <row r="613" spans="5:12">
      <c r="E613" s="322" t="s">
        <v>92</v>
      </c>
      <c r="F613" s="793">
        <v>44518</v>
      </c>
      <c r="G613" s="795">
        <v>67511.128000000012</v>
      </c>
      <c r="H613" s="795">
        <v>35728.392000000007</v>
      </c>
      <c r="I613" s="795">
        <v>39063.984000000004</v>
      </c>
      <c r="J613" s="795">
        <v>12371.535999999996</v>
      </c>
      <c r="K613" s="795">
        <v>517332.72</v>
      </c>
      <c r="L613" s="795">
        <v>43603.424000000006</v>
      </c>
    </row>
    <row r="614" spans="5:12">
      <c r="E614" s="322" t="s">
        <v>95</v>
      </c>
      <c r="F614" s="793">
        <v>44519</v>
      </c>
      <c r="G614" s="795">
        <v>100163.04000000001</v>
      </c>
      <c r="H614" s="795">
        <v>68458.984000000011</v>
      </c>
      <c r="I614" s="795">
        <v>42199.096000000005</v>
      </c>
      <c r="J614" s="795">
        <v>9994.6319999999978</v>
      </c>
      <c r="K614" s="795">
        <v>478936.32000000001</v>
      </c>
      <c r="L614" s="795">
        <v>57242.896000000001</v>
      </c>
    </row>
    <row r="615" spans="5:12">
      <c r="E615" s="322" t="s">
        <v>96</v>
      </c>
      <c r="F615" s="793">
        <v>44520</v>
      </c>
      <c r="G615" s="795">
        <v>11749.567999999999</v>
      </c>
      <c r="H615" s="795">
        <v>10908.880000000003</v>
      </c>
      <c r="I615" s="795">
        <v>2668.9040000000005</v>
      </c>
      <c r="J615" s="795">
        <v>801.85599999999977</v>
      </c>
      <c r="K615" s="795">
        <v>76479.360000000001</v>
      </c>
      <c r="L615" s="795">
        <v>7276.6400000000012</v>
      </c>
    </row>
    <row r="616" spans="5:12">
      <c r="E616" s="322" t="s">
        <v>98</v>
      </c>
      <c r="F616" s="793">
        <v>44521</v>
      </c>
      <c r="G616" s="795">
        <v>8741.0399999999991</v>
      </c>
      <c r="H616" s="795">
        <v>4013.7600000000007</v>
      </c>
      <c r="I616" s="795">
        <v>2418.4720000000002</v>
      </c>
      <c r="J616" s="795">
        <v>345.55200000000008</v>
      </c>
      <c r="K616" s="795">
        <v>59005.080000000009</v>
      </c>
      <c r="L616" s="795">
        <v>3587.944</v>
      </c>
    </row>
    <row r="617" spans="5:12">
      <c r="E617" s="322" t="s">
        <v>99</v>
      </c>
      <c r="F617" s="793">
        <v>44522</v>
      </c>
      <c r="G617" s="795">
        <v>1543.2</v>
      </c>
      <c r="H617" s="795">
        <v>726.34399999999994</v>
      </c>
      <c r="I617" s="795">
        <v>304.76799999999997</v>
      </c>
      <c r="J617" s="795">
        <v>457.1280000000001</v>
      </c>
      <c r="K617" s="795">
        <v>11048.76</v>
      </c>
      <c r="L617" s="795">
        <v>1561.4560000000001</v>
      </c>
    </row>
    <row r="618" spans="5:12">
      <c r="E618" s="322" t="s">
        <v>97</v>
      </c>
      <c r="F618" s="793">
        <v>44523</v>
      </c>
      <c r="G618" s="795">
        <v>89647.528000000006</v>
      </c>
      <c r="H618" s="795">
        <v>63265.024000000005</v>
      </c>
      <c r="I618" s="795">
        <v>39490.584000000003</v>
      </c>
      <c r="J618" s="795">
        <v>11400.807999999997</v>
      </c>
      <c r="K618" s="795">
        <v>672563.88</v>
      </c>
      <c r="L618" s="795">
        <v>51491.136000000006</v>
      </c>
    </row>
    <row r="619" spans="5:12">
      <c r="E619" s="322" t="s">
        <v>100</v>
      </c>
      <c r="F619" s="793">
        <v>44524</v>
      </c>
      <c r="G619" s="795">
        <v>60459.416000000005</v>
      </c>
      <c r="H619" s="795">
        <v>43025.90400000001</v>
      </c>
      <c r="I619" s="795">
        <v>18069.912</v>
      </c>
      <c r="J619" s="795">
        <v>5342.2240000000011</v>
      </c>
      <c r="K619" s="795">
        <v>440853.36000000004</v>
      </c>
      <c r="L619" s="795">
        <v>34266.680000000008</v>
      </c>
    </row>
    <row r="620" spans="5:12">
      <c r="E620" s="322" t="s">
        <v>102</v>
      </c>
      <c r="F620" s="793">
        <v>44525</v>
      </c>
      <c r="G620" s="795">
        <v>10846.544000000002</v>
      </c>
      <c r="H620" s="795">
        <v>15345.712</v>
      </c>
      <c r="I620" s="795">
        <v>2171.288</v>
      </c>
      <c r="J620" s="795">
        <v>885.32799999999997</v>
      </c>
      <c r="K620" s="795">
        <v>60180.480000000003</v>
      </c>
      <c r="L620" s="795">
        <v>8772.6239999999998</v>
      </c>
    </row>
    <row r="621" spans="5:12">
      <c r="E621" s="322" t="s">
        <v>101</v>
      </c>
      <c r="F621" s="793">
        <v>44526</v>
      </c>
      <c r="G621" s="795">
        <v>324106.64</v>
      </c>
      <c r="H621" s="795">
        <v>320585.84800000006</v>
      </c>
      <c r="I621" s="795">
        <v>95895.040000000008</v>
      </c>
      <c r="J621" s="795">
        <v>54350.376000000004</v>
      </c>
      <c r="K621" s="795">
        <v>2341475.16</v>
      </c>
      <c r="L621" s="795">
        <v>290214.26599999995</v>
      </c>
    </row>
    <row r="622" spans="5:12">
      <c r="E622" s="322" t="s">
        <v>103</v>
      </c>
      <c r="F622" s="793">
        <v>44527</v>
      </c>
      <c r="G622" s="795">
        <v>3086.8320000000003</v>
      </c>
      <c r="H622" s="795">
        <v>2831.7440000000001</v>
      </c>
      <c r="I622" s="795">
        <v>1507.008</v>
      </c>
      <c r="J622" s="795">
        <v>394.47199999999998</v>
      </c>
      <c r="K622" s="795">
        <v>32519.399999999998</v>
      </c>
      <c r="L622" s="795">
        <v>1963.2639999999999</v>
      </c>
    </row>
    <row r="623" spans="5:12">
      <c r="E623" s="322" t="s">
        <v>77</v>
      </c>
      <c r="F623" s="793">
        <v>44531</v>
      </c>
      <c r="G623" s="795">
        <v>5381.344000000001</v>
      </c>
      <c r="H623" s="795">
        <v>2095.136</v>
      </c>
      <c r="I623" s="795">
        <v>1523.7600000000002</v>
      </c>
      <c r="J623" s="795">
        <v>170.69600000000011</v>
      </c>
      <c r="K623" s="795">
        <v>15358.560000000001</v>
      </c>
      <c r="L623" s="795">
        <v>2172.9840000000004</v>
      </c>
    </row>
    <row r="624" spans="5:12">
      <c r="E624" s="322" t="s">
        <v>78</v>
      </c>
      <c r="F624" s="793">
        <v>44532</v>
      </c>
      <c r="G624" s="795">
        <v>13792.824000000001</v>
      </c>
      <c r="H624" s="795">
        <v>13455.784000000003</v>
      </c>
      <c r="I624" s="795">
        <v>1120.296</v>
      </c>
      <c r="J624" s="795">
        <v>179.47200000000012</v>
      </c>
      <c r="K624" s="795">
        <v>57437.880000000005</v>
      </c>
      <c r="L624" s="795">
        <v>11653.976000000001</v>
      </c>
    </row>
    <row r="625" spans="5:12">
      <c r="E625" s="322" t="s">
        <v>80</v>
      </c>
      <c r="F625" s="793">
        <v>44533</v>
      </c>
      <c r="G625" s="795">
        <v>15016</v>
      </c>
      <c r="H625" s="795">
        <v>8168.1759999999986</v>
      </c>
      <c r="I625" s="795">
        <v>2869.2960000000003</v>
      </c>
      <c r="J625" s="795">
        <v>2271.0800000000004</v>
      </c>
      <c r="K625" s="795">
        <v>52109.4</v>
      </c>
      <c r="L625" s="795">
        <v>8105.1280000000006</v>
      </c>
    </row>
    <row r="626" spans="5:12">
      <c r="E626" s="322" t="s">
        <v>79</v>
      </c>
      <c r="F626" s="793">
        <v>44534</v>
      </c>
      <c r="G626" s="795">
        <v>5357.1680000000006</v>
      </c>
      <c r="H626" s="795">
        <v>2200.983999999999</v>
      </c>
      <c r="I626" s="795">
        <v>2422.8000000000002</v>
      </c>
      <c r="J626" s="795">
        <v>0</v>
      </c>
      <c r="K626" s="795">
        <v>27739.440000000002</v>
      </c>
      <c r="L626" s="795">
        <v>2897.3040000000001</v>
      </c>
    </row>
    <row r="627" spans="5:12">
      <c r="E627" s="322" t="s">
        <v>81</v>
      </c>
      <c r="F627" s="793">
        <v>44535</v>
      </c>
      <c r="G627" s="795">
        <v>42556.392</v>
      </c>
      <c r="H627" s="795">
        <v>32561.336000000007</v>
      </c>
      <c r="I627" s="795">
        <v>14876.023999999999</v>
      </c>
      <c r="J627" s="795">
        <v>11168.552000000003</v>
      </c>
      <c r="K627" s="795">
        <v>171216.6</v>
      </c>
      <c r="L627" s="795">
        <v>30402.664000000001</v>
      </c>
    </row>
    <row r="628" spans="5:12">
      <c r="E628" s="322" t="s">
        <v>82</v>
      </c>
      <c r="F628" s="793">
        <v>44536</v>
      </c>
      <c r="G628" s="795">
        <v>27493.344000000008</v>
      </c>
      <c r="H628" s="795">
        <v>29525.559999999998</v>
      </c>
      <c r="I628" s="795">
        <v>10717.256000000001</v>
      </c>
      <c r="J628" s="795">
        <v>8119.2880000000005</v>
      </c>
      <c r="K628" s="795">
        <v>110644.32000000002</v>
      </c>
      <c r="L628" s="795">
        <v>23795.352000000003</v>
      </c>
    </row>
    <row r="629" spans="5:12">
      <c r="E629" s="322" t="s">
        <v>83</v>
      </c>
      <c r="F629" s="793">
        <v>44537</v>
      </c>
      <c r="G629" s="795">
        <v>33759.455999999998</v>
      </c>
      <c r="H629" s="795">
        <v>17510.072000000004</v>
      </c>
      <c r="I629" s="795">
        <v>9230.84</v>
      </c>
      <c r="J629" s="795">
        <v>2975.0800000000004</v>
      </c>
      <c r="K629" s="795">
        <v>112054.80000000002</v>
      </c>
      <c r="L629" s="795">
        <v>18738.728000000003</v>
      </c>
    </row>
    <row r="630" spans="5:12">
      <c r="E630" s="322" t="s">
        <v>84</v>
      </c>
      <c r="F630" s="793">
        <v>44538</v>
      </c>
      <c r="G630" s="795">
        <v>35213.232000000004</v>
      </c>
      <c r="H630" s="795">
        <v>21274.384000000005</v>
      </c>
      <c r="I630" s="795">
        <v>12490</v>
      </c>
      <c r="J630" s="795">
        <v>3743.5679999999993</v>
      </c>
      <c r="K630" s="795">
        <v>116521.32</v>
      </c>
      <c r="L630" s="795">
        <v>19258.16</v>
      </c>
    </row>
    <row r="631" spans="5:12">
      <c r="E631" s="322" t="s">
        <v>85</v>
      </c>
      <c r="F631" s="793">
        <v>44539</v>
      </c>
      <c r="G631" s="795">
        <v>28909.360000000004</v>
      </c>
      <c r="H631" s="795">
        <v>19470.503999999997</v>
      </c>
      <c r="I631" s="795">
        <v>9034.3119999999999</v>
      </c>
      <c r="J631" s="795">
        <v>2299.5279999999998</v>
      </c>
      <c r="K631" s="795">
        <v>217370.63999999998</v>
      </c>
      <c r="L631" s="795">
        <v>17331.519999999997</v>
      </c>
    </row>
    <row r="632" spans="5:12">
      <c r="E632" s="322" t="s">
        <v>86</v>
      </c>
      <c r="F632" s="793">
        <v>44540</v>
      </c>
      <c r="G632" s="795">
        <v>15280.584000000001</v>
      </c>
      <c r="H632" s="795">
        <v>9046.36</v>
      </c>
      <c r="I632" s="795">
        <v>2493.5920000000001</v>
      </c>
      <c r="J632" s="795">
        <v>784.46399999999994</v>
      </c>
      <c r="K632" s="795">
        <v>45213.72</v>
      </c>
      <c r="L632" s="795">
        <v>7256.6319999999996</v>
      </c>
    </row>
    <row r="633" spans="5:12">
      <c r="E633" s="322" t="s">
        <v>89</v>
      </c>
      <c r="F633" s="793">
        <v>44541</v>
      </c>
      <c r="G633" s="795">
        <v>97917.024000000005</v>
      </c>
      <c r="H633" s="795">
        <v>78574.616000000024</v>
      </c>
      <c r="I633" s="795">
        <v>30490.696000000004</v>
      </c>
      <c r="J633" s="795">
        <v>13101.487999999996</v>
      </c>
      <c r="K633" s="795">
        <v>428237.32</v>
      </c>
      <c r="L633" s="795">
        <v>58809.087999999996</v>
      </c>
    </row>
    <row r="634" spans="5:12">
      <c r="E634" s="322" t="s">
        <v>88</v>
      </c>
      <c r="F634" s="793">
        <v>44542</v>
      </c>
      <c r="G634" s="795">
        <v>16909.464000000004</v>
      </c>
      <c r="H634" s="795">
        <v>11529.144</v>
      </c>
      <c r="I634" s="795">
        <v>6018.4720000000007</v>
      </c>
      <c r="J634" s="795">
        <v>1561.4479999999996</v>
      </c>
      <c r="K634" s="795">
        <v>121301.28</v>
      </c>
      <c r="L634" s="795">
        <v>12117.528000000002</v>
      </c>
    </row>
    <row r="635" spans="5:12">
      <c r="E635" s="322" t="s">
        <v>87</v>
      </c>
      <c r="F635" s="793">
        <v>44543</v>
      </c>
      <c r="G635" s="795">
        <v>32202.167999999994</v>
      </c>
      <c r="H635" s="795">
        <v>17625.112000000005</v>
      </c>
      <c r="I635" s="795">
        <v>15411.256000000001</v>
      </c>
      <c r="J635" s="795">
        <v>3089.5519999999992</v>
      </c>
      <c r="K635" s="795">
        <v>197075.40000000002</v>
      </c>
      <c r="L635" s="795">
        <v>20938.408000000003</v>
      </c>
    </row>
    <row r="636" spans="5:12">
      <c r="E636" s="322" t="s">
        <v>90</v>
      </c>
      <c r="F636" s="793">
        <v>44544</v>
      </c>
      <c r="G636" s="795">
        <v>20948.2</v>
      </c>
      <c r="H636" s="795">
        <v>17276.904000000006</v>
      </c>
      <c r="I636" s="795">
        <v>4798.3360000000002</v>
      </c>
      <c r="J636" s="795">
        <v>516.90400000000011</v>
      </c>
      <c r="K636" s="795">
        <v>77811.48</v>
      </c>
      <c r="L636" s="795">
        <v>13059.184000000001</v>
      </c>
    </row>
    <row r="637" spans="5:12">
      <c r="E637" s="322" t="s">
        <v>91</v>
      </c>
      <c r="F637" s="793">
        <v>44545</v>
      </c>
      <c r="G637" s="795">
        <v>20132</v>
      </c>
      <c r="H637" s="795">
        <v>22961.696000000004</v>
      </c>
      <c r="I637" s="795">
        <v>6715.9279999999999</v>
      </c>
      <c r="J637" s="795">
        <v>3427.4159999999993</v>
      </c>
      <c r="K637" s="795">
        <v>85569.12000000001</v>
      </c>
      <c r="L637" s="795">
        <v>17660.191999999999</v>
      </c>
    </row>
    <row r="638" spans="5:12">
      <c r="E638" s="322" t="s">
        <v>93</v>
      </c>
      <c r="F638" s="793">
        <v>44546</v>
      </c>
      <c r="G638" s="795">
        <v>40213.879999999997</v>
      </c>
      <c r="H638" s="795">
        <v>30701.232000000007</v>
      </c>
      <c r="I638" s="795">
        <v>10462.848</v>
      </c>
      <c r="J638" s="795">
        <v>8097.0720000000019</v>
      </c>
      <c r="K638" s="795">
        <v>149510.88</v>
      </c>
      <c r="L638" s="795">
        <v>25871.056000000004</v>
      </c>
    </row>
    <row r="639" spans="5:12">
      <c r="E639" s="322" t="s">
        <v>94</v>
      </c>
      <c r="F639" s="793">
        <v>44547</v>
      </c>
      <c r="G639" s="795">
        <v>6055.1040000000012</v>
      </c>
      <c r="H639" s="795">
        <v>4262.927999999999</v>
      </c>
      <c r="I639" s="795">
        <v>3056.1840000000002</v>
      </c>
      <c r="J639" s="795">
        <v>492.72000000000008</v>
      </c>
      <c r="K639" s="795">
        <v>41530.800000000003</v>
      </c>
      <c r="L639" s="795">
        <v>3874.6160000000004</v>
      </c>
    </row>
    <row r="640" spans="5:12">
      <c r="E640" s="322" t="s">
        <v>92</v>
      </c>
      <c r="F640" s="793">
        <v>44548</v>
      </c>
      <c r="G640" s="795">
        <v>76139.703999999998</v>
      </c>
      <c r="H640" s="795">
        <v>46856.488000000027</v>
      </c>
      <c r="I640" s="795">
        <v>39177.943999999996</v>
      </c>
      <c r="J640" s="795">
        <v>11751.712000000012</v>
      </c>
      <c r="K640" s="795">
        <v>491552.27999999997</v>
      </c>
      <c r="L640" s="795">
        <v>46747.936000000002</v>
      </c>
    </row>
    <row r="641" spans="5:12">
      <c r="E641" s="322" t="s">
        <v>95</v>
      </c>
      <c r="F641" s="793">
        <v>44549</v>
      </c>
      <c r="G641" s="795">
        <v>102634.48800000001</v>
      </c>
      <c r="H641" s="795">
        <v>73081.255999999994</v>
      </c>
      <c r="I641" s="795">
        <v>52042.664000000004</v>
      </c>
      <c r="J641" s="795">
        <v>16300.431999999995</v>
      </c>
      <c r="K641" s="795">
        <v>442422.35200000013</v>
      </c>
      <c r="L641" s="795">
        <v>73296.935999999987</v>
      </c>
    </row>
    <row r="642" spans="5:12">
      <c r="E642" s="322" t="s">
        <v>96</v>
      </c>
      <c r="F642" s="793">
        <v>44550</v>
      </c>
      <c r="G642" s="795">
        <v>14753.112000000001</v>
      </c>
      <c r="H642" s="795">
        <v>14675.536000000006</v>
      </c>
      <c r="I642" s="795">
        <v>2703.1200000000003</v>
      </c>
      <c r="J642" s="795">
        <v>82.27999999999993</v>
      </c>
      <c r="K642" s="795">
        <v>73658.400000000009</v>
      </c>
      <c r="L642" s="795">
        <v>11245.808000000001</v>
      </c>
    </row>
    <row r="643" spans="5:12">
      <c r="E643" s="322" t="s">
        <v>98</v>
      </c>
      <c r="F643" s="793">
        <v>44551</v>
      </c>
      <c r="G643" s="795">
        <v>9383.76</v>
      </c>
      <c r="H643" s="795">
        <v>3844.7440000000006</v>
      </c>
      <c r="I643" s="795">
        <v>2473.8960000000002</v>
      </c>
      <c r="J643" s="795">
        <v>612.64000000000021</v>
      </c>
      <c r="K643" s="795">
        <v>61826.04</v>
      </c>
      <c r="L643" s="795">
        <v>4673.3760000000002</v>
      </c>
    </row>
    <row r="644" spans="5:12">
      <c r="E644" s="322" t="s">
        <v>99</v>
      </c>
      <c r="F644" s="793">
        <v>44552</v>
      </c>
      <c r="G644" s="795">
        <v>1133.68</v>
      </c>
      <c r="H644" s="795">
        <v>901.85600000000022</v>
      </c>
      <c r="I644" s="795">
        <v>100.312</v>
      </c>
      <c r="J644" s="795">
        <v>0</v>
      </c>
      <c r="K644" s="795">
        <v>12537.6</v>
      </c>
      <c r="L644" s="795">
        <v>572.32000000000005</v>
      </c>
    </row>
    <row r="645" spans="5:12">
      <c r="E645" s="322" t="s">
        <v>97</v>
      </c>
      <c r="F645" s="793">
        <v>44553</v>
      </c>
      <c r="G645" s="795">
        <v>115289.40000000001</v>
      </c>
      <c r="H645" s="795">
        <v>77902.384000000005</v>
      </c>
      <c r="I645" s="795">
        <v>43338.304000000004</v>
      </c>
      <c r="J645" s="795">
        <v>16083.927999999998</v>
      </c>
      <c r="K645" s="795">
        <v>670526.52</v>
      </c>
      <c r="L645" s="795">
        <v>70376.247999999992</v>
      </c>
    </row>
    <row r="646" spans="5:12">
      <c r="E646" s="322" t="s">
        <v>100</v>
      </c>
      <c r="F646" s="793">
        <v>44554</v>
      </c>
      <c r="G646" s="795">
        <v>69960.495999999999</v>
      </c>
      <c r="H646" s="795">
        <v>57432.687999999995</v>
      </c>
      <c r="I646" s="795">
        <v>24089.104000000003</v>
      </c>
      <c r="J646" s="795">
        <v>6717.24</v>
      </c>
      <c r="K646" s="795">
        <v>409744.44</v>
      </c>
      <c r="L646" s="795">
        <v>47080.391999999993</v>
      </c>
    </row>
    <row r="647" spans="5:12">
      <c r="E647" s="322" t="s">
        <v>102</v>
      </c>
      <c r="F647" s="793">
        <v>44555</v>
      </c>
      <c r="G647" s="795">
        <v>10716.424000000001</v>
      </c>
      <c r="H647" s="795">
        <v>9346.5600000000031</v>
      </c>
      <c r="I647" s="795">
        <v>2749.28</v>
      </c>
      <c r="J647" s="795">
        <v>1087.08</v>
      </c>
      <c r="K647" s="795">
        <v>51482.520000000004</v>
      </c>
      <c r="L647" s="795">
        <v>6949.5919999999996</v>
      </c>
    </row>
    <row r="648" spans="5:12">
      <c r="E648" s="322" t="s">
        <v>101</v>
      </c>
      <c r="F648" s="793">
        <v>44556</v>
      </c>
      <c r="G648" s="795">
        <v>398806.42400000006</v>
      </c>
      <c r="H648" s="795">
        <v>366344.77600000001</v>
      </c>
      <c r="I648" s="795">
        <v>113256.71200000001</v>
      </c>
      <c r="J648" s="795">
        <v>63270.767999999996</v>
      </c>
      <c r="K648" s="795">
        <v>2216412.6</v>
      </c>
      <c r="L648" s="795">
        <v>338244.26400000002</v>
      </c>
    </row>
    <row r="649" spans="5:12">
      <c r="E649" s="322" t="s">
        <v>103</v>
      </c>
      <c r="F649" s="793">
        <v>44557</v>
      </c>
      <c r="G649" s="795">
        <v>4534.5440000000008</v>
      </c>
      <c r="H649" s="795">
        <v>3661.7759999999998</v>
      </c>
      <c r="I649" s="795">
        <v>2229.84</v>
      </c>
      <c r="J649" s="795">
        <v>608.50399999999979</v>
      </c>
      <c r="K649" s="795">
        <v>33224.639999999999</v>
      </c>
      <c r="L649" s="795">
        <v>3060.5840000000003</v>
      </c>
    </row>
    <row r="650" spans="5:12">
      <c r="E650" s="322" t="s">
        <v>77</v>
      </c>
      <c r="F650" s="793">
        <v>44562</v>
      </c>
    </row>
    <row r="651" spans="5:12">
      <c r="E651" s="322" t="s">
        <v>78</v>
      </c>
      <c r="F651" s="793">
        <v>44562</v>
      </c>
    </row>
    <row r="652" spans="5:12">
      <c r="E652" s="322" t="s">
        <v>80</v>
      </c>
      <c r="F652" s="793">
        <v>44562</v>
      </c>
    </row>
    <row r="653" spans="5:12">
      <c r="E653" s="322" t="s">
        <v>79</v>
      </c>
      <c r="F653" s="793">
        <v>44562</v>
      </c>
    </row>
    <row r="654" spans="5:12">
      <c r="E654" s="322" t="s">
        <v>81</v>
      </c>
      <c r="F654" s="793">
        <v>44562</v>
      </c>
    </row>
    <row r="655" spans="5:12">
      <c r="E655" s="322" t="s">
        <v>82</v>
      </c>
      <c r="F655" s="793">
        <v>44562</v>
      </c>
    </row>
    <row r="656" spans="5:12">
      <c r="E656" s="322" t="s">
        <v>83</v>
      </c>
      <c r="F656" s="793">
        <v>44562</v>
      </c>
    </row>
    <row r="657" spans="5:6">
      <c r="E657" s="322" t="s">
        <v>84</v>
      </c>
      <c r="F657" s="793">
        <v>44562</v>
      </c>
    </row>
    <row r="658" spans="5:6">
      <c r="E658" s="322" t="s">
        <v>85</v>
      </c>
      <c r="F658" s="793">
        <v>44562</v>
      </c>
    </row>
    <row r="659" spans="5:6">
      <c r="E659" s="322" t="s">
        <v>86</v>
      </c>
      <c r="F659" s="793">
        <v>44562</v>
      </c>
    </row>
    <row r="660" spans="5:6">
      <c r="E660" s="322" t="s">
        <v>89</v>
      </c>
      <c r="F660" s="793">
        <v>44562</v>
      </c>
    </row>
    <row r="661" spans="5:6">
      <c r="E661" s="322" t="s">
        <v>88</v>
      </c>
      <c r="F661" s="793">
        <v>44562</v>
      </c>
    </row>
    <row r="662" spans="5:6">
      <c r="E662" s="322" t="s">
        <v>87</v>
      </c>
      <c r="F662" s="793">
        <v>44562</v>
      </c>
    </row>
    <row r="663" spans="5:6">
      <c r="E663" s="322" t="s">
        <v>90</v>
      </c>
      <c r="F663" s="793">
        <v>44562</v>
      </c>
    </row>
    <row r="664" spans="5:6">
      <c r="E664" s="322" t="s">
        <v>91</v>
      </c>
      <c r="F664" s="793">
        <v>44562</v>
      </c>
    </row>
    <row r="665" spans="5:6">
      <c r="E665" s="322" t="s">
        <v>93</v>
      </c>
      <c r="F665" s="793">
        <v>44562</v>
      </c>
    </row>
    <row r="666" spans="5:6">
      <c r="E666" s="322" t="s">
        <v>94</v>
      </c>
      <c r="F666" s="793">
        <v>44562</v>
      </c>
    </row>
    <row r="667" spans="5:6">
      <c r="E667" s="322" t="s">
        <v>92</v>
      </c>
      <c r="F667" s="793">
        <v>44562</v>
      </c>
    </row>
    <row r="668" spans="5:6">
      <c r="E668" s="322" t="s">
        <v>95</v>
      </c>
      <c r="F668" s="793">
        <v>44562</v>
      </c>
    </row>
    <row r="669" spans="5:6">
      <c r="E669" s="322" t="s">
        <v>96</v>
      </c>
      <c r="F669" s="793">
        <v>44562</v>
      </c>
    </row>
    <row r="670" spans="5:6">
      <c r="E670" s="322" t="s">
        <v>98</v>
      </c>
      <c r="F670" s="793">
        <v>44562</v>
      </c>
    </row>
    <row r="671" spans="5:6">
      <c r="E671" s="322" t="s">
        <v>99</v>
      </c>
      <c r="F671" s="793">
        <v>44562</v>
      </c>
    </row>
    <row r="672" spans="5:6">
      <c r="E672" s="322" t="s">
        <v>97</v>
      </c>
      <c r="F672" s="793">
        <v>44562</v>
      </c>
    </row>
    <row r="673" spans="5:6">
      <c r="E673" s="322" t="s">
        <v>100</v>
      </c>
      <c r="F673" s="793">
        <v>44562</v>
      </c>
    </row>
    <row r="674" spans="5:6">
      <c r="E674" s="322" t="s">
        <v>102</v>
      </c>
      <c r="F674" s="793">
        <v>44562</v>
      </c>
    </row>
    <row r="675" spans="5:6">
      <c r="E675" s="322" t="s">
        <v>101</v>
      </c>
      <c r="F675" s="793">
        <v>44562</v>
      </c>
    </row>
    <row r="676" spans="5:6">
      <c r="E676" s="322" t="s">
        <v>103</v>
      </c>
      <c r="F676" s="793">
        <v>44562</v>
      </c>
    </row>
    <row r="677" spans="5:6">
      <c r="E677" s="322" t="s">
        <v>77</v>
      </c>
      <c r="F677" s="793">
        <v>44593</v>
      </c>
    </row>
    <row r="678" spans="5:6">
      <c r="E678" s="322" t="s">
        <v>78</v>
      </c>
      <c r="F678" s="793">
        <v>44594</v>
      </c>
    </row>
    <row r="679" spans="5:6">
      <c r="E679" s="322" t="s">
        <v>80</v>
      </c>
      <c r="F679" s="793">
        <v>44595</v>
      </c>
    </row>
    <row r="680" spans="5:6">
      <c r="E680" s="322" t="s">
        <v>79</v>
      </c>
      <c r="F680" s="793">
        <v>44596</v>
      </c>
    </row>
    <row r="681" spans="5:6">
      <c r="E681" s="322" t="s">
        <v>81</v>
      </c>
      <c r="F681" s="793">
        <v>44597</v>
      </c>
    </row>
    <row r="682" spans="5:6">
      <c r="E682" s="322" t="s">
        <v>82</v>
      </c>
      <c r="F682" s="793">
        <v>44598</v>
      </c>
    </row>
    <row r="683" spans="5:6">
      <c r="E683" s="322" t="s">
        <v>83</v>
      </c>
      <c r="F683" s="793">
        <v>44599</v>
      </c>
    </row>
    <row r="684" spans="5:6">
      <c r="E684" s="322" t="s">
        <v>84</v>
      </c>
      <c r="F684" s="793">
        <v>44600</v>
      </c>
    </row>
    <row r="685" spans="5:6">
      <c r="E685" s="322" t="s">
        <v>85</v>
      </c>
      <c r="F685" s="793">
        <v>44601</v>
      </c>
    </row>
    <row r="686" spans="5:6">
      <c r="E686" s="322" t="s">
        <v>86</v>
      </c>
      <c r="F686" s="793">
        <v>44602</v>
      </c>
    </row>
    <row r="687" spans="5:6">
      <c r="E687" s="322" t="s">
        <v>89</v>
      </c>
      <c r="F687" s="793">
        <v>44603</v>
      </c>
    </row>
    <row r="688" spans="5:6">
      <c r="E688" s="322" t="s">
        <v>88</v>
      </c>
      <c r="F688" s="793">
        <v>44604</v>
      </c>
    </row>
    <row r="689" spans="5:6">
      <c r="E689" s="322" t="s">
        <v>87</v>
      </c>
      <c r="F689" s="793">
        <v>44605</v>
      </c>
    </row>
    <row r="690" spans="5:6">
      <c r="E690" s="322" t="s">
        <v>90</v>
      </c>
      <c r="F690" s="793">
        <v>44606</v>
      </c>
    </row>
    <row r="691" spans="5:6">
      <c r="E691" s="322" t="s">
        <v>91</v>
      </c>
      <c r="F691" s="793">
        <v>44607</v>
      </c>
    </row>
    <row r="692" spans="5:6">
      <c r="E692" s="322" t="s">
        <v>93</v>
      </c>
      <c r="F692" s="793">
        <v>44608</v>
      </c>
    </row>
    <row r="693" spans="5:6">
      <c r="E693" s="322" t="s">
        <v>94</v>
      </c>
      <c r="F693" s="793">
        <v>44609</v>
      </c>
    </row>
    <row r="694" spans="5:6">
      <c r="E694" s="322" t="s">
        <v>92</v>
      </c>
      <c r="F694" s="793">
        <v>44610</v>
      </c>
    </row>
    <row r="695" spans="5:6">
      <c r="E695" s="322" t="s">
        <v>95</v>
      </c>
      <c r="F695" s="793">
        <v>44611</v>
      </c>
    </row>
    <row r="696" spans="5:6">
      <c r="E696" s="322" t="s">
        <v>96</v>
      </c>
      <c r="F696" s="793">
        <v>44612</v>
      </c>
    </row>
    <row r="697" spans="5:6">
      <c r="E697" s="322" t="s">
        <v>98</v>
      </c>
      <c r="F697" s="793">
        <v>44613</v>
      </c>
    </row>
    <row r="698" spans="5:6">
      <c r="E698" s="322" t="s">
        <v>99</v>
      </c>
      <c r="F698" s="793">
        <v>44614</v>
      </c>
    </row>
    <row r="699" spans="5:6">
      <c r="E699" s="322" t="s">
        <v>97</v>
      </c>
      <c r="F699" s="793">
        <v>44615</v>
      </c>
    </row>
    <row r="700" spans="5:6">
      <c r="E700" s="322" t="s">
        <v>100</v>
      </c>
      <c r="F700" s="793">
        <v>44616</v>
      </c>
    </row>
    <row r="701" spans="5:6">
      <c r="E701" s="322" t="s">
        <v>102</v>
      </c>
      <c r="F701" s="793">
        <v>44617</v>
      </c>
    </row>
    <row r="702" spans="5:6">
      <c r="E702" s="322" t="s">
        <v>101</v>
      </c>
      <c r="F702" s="793">
        <v>44618</v>
      </c>
    </row>
    <row r="703" spans="5:6">
      <c r="E703" s="322" t="s">
        <v>103</v>
      </c>
      <c r="F703" s="793">
        <v>44619</v>
      </c>
    </row>
    <row r="704" spans="5:6">
      <c r="E704" s="322" t="s">
        <v>77</v>
      </c>
      <c r="F704" s="793">
        <v>44621</v>
      </c>
    </row>
    <row r="705" spans="5:6">
      <c r="E705" s="322" t="s">
        <v>78</v>
      </c>
      <c r="F705" s="793">
        <v>44622</v>
      </c>
    </row>
    <row r="706" spans="5:6">
      <c r="E706" s="322" t="s">
        <v>80</v>
      </c>
      <c r="F706" s="793">
        <v>44623</v>
      </c>
    </row>
    <row r="707" spans="5:6">
      <c r="E707" s="322" t="s">
        <v>79</v>
      </c>
      <c r="F707" s="793">
        <v>44624</v>
      </c>
    </row>
    <row r="708" spans="5:6">
      <c r="E708" s="322" t="s">
        <v>81</v>
      </c>
      <c r="F708" s="793">
        <v>44625</v>
      </c>
    </row>
    <row r="709" spans="5:6">
      <c r="E709" s="322" t="s">
        <v>82</v>
      </c>
      <c r="F709" s="793">
        <v>44626</v>
      </c>
    </row>
    <row r="710" spans="5:6">
      <c r="E710" s="322" t="s">
        <v>83</v>
      </c>
      <c r="F710" s="793">
        <v>44627</v>
      </c>
    </row>
    <row r="711" spans="5:6">
      <c r="E711" s="322" t="s">
        <v>84</v>
      </c>
      <c r="F711" s="793">
        <v>44628</v>
      </c>
    </row>
    <row r="712" spans="5:6">
      <c r="E712" s="322" t="s">
        <v>85</v>
      </c>
      <c r="F712" s="793">
        <v>44629</v>
      </c>
    </row>
    <row r="713" spans="5:6">
      <c r="E713" s="322" t="s">
        <v>86</v>
      </c>
      <c r="F713" s="793">
        <v>44630</v>
      </c>
    </row>
    <row r="714" spans="5:6">
      <c r="E714" s="322" t="s">
        <v>89</v>
      </c>
      <c r="F714" s="793">
        <v>44631</v>
      </c>
    </row>
    <row r="715" spans="5:6">
      <c r="E715" s="322" t="s">
        <v>88</v>
      </c>
      <c r="F715" s="793">
        <v>44632</v>
      </c>
    </row>
    <row r="716" spans="5:6">
      <c r="E716" s="322" t="s">
        <v>87</v>
      </c>
      <c r="F716" s="793">
        <v>44633</v>
      </c>
    </row>
    <row r="717" spans="5:6">
      <c r="E717" s="322" t="s">
        <v>90</v>
      </c>
      <c r="F717" s="793">
        <v>44634</v>
      </c>
    </row>
    <row r="718" spans="5:6">
      <c r="E718" s="322" t="s">
        <v>91</v>
      </c>
      <c r="F718" s="793">
        <v>44635</v>
      </c>
    </row>
    <row r="719" spans="5:6">
      <c r="E719" s="322" t="s">
        <v>93</v>
      </c>
      <c r="F719" s="793">
        <v>44636</v>
      </c>
    </row>
    <row r="720" spans="5:6">
      <c r="E720" s="322" t="s">
        <v>94</v>
      </c>
      <c r="F720" s="793">
        <v>44637</v>
      </c>
    </row>
    <row r="721" spans="5:6">
      <c r="E721" s="322" t="s">
        <v>92</v>
      </c>
      <c r="F721" s="793">
        <v>44638</v>
      </c>
    </row>
    <row r="722" spans="5:6">
      <c r="E722" s="322" t="s">
        <v>95</v>
      </c>
      <c r="F722" s="793">
        <v>44639</v>
      </c>
    </row>
    <row r="723" spans="5:6">
      <c r="E723" s="322" t="s">
        <v>96</v>
      </c>
      <c r="F723" s="793">
        <v>44640</v>
      </c>
    </row>
    <row r="724" spans="5:6">
      <c r="E724" s="322" t="s">
        <v>98</v>
      </c>
      <c r="F724" s="793">
        <v>44641</v>
      </c>
    </row>
    <row r="725" spans="5:6">
      <c r="E725" s="322" t="s">
        <v>99</v>
      </c>
      <c r="F725" s="793">
        <v>44642</v>
      </c>
    </row>
    <row r="726" spans="5:6">
      <c r="E726" s="322" t="s">
        <v>97</v>
      </c>
      <c r="F726" s="793">
        <v>44643</v>
      </c>
    </row>
    <row r="727" spans="5:6">
      <c r="E727" s="322" t="s">
        <v>100</v>
      </c>
      <c r="F727" s="793">
        <v>44644</v>
      </c>
    </row>
    <row r="728" spans="5:6">
      <c r="E728" s="322" t="s">
        <v>102</v>
      </c>
      <c r="F728" s="793">
        <v>44645</v>
      </c>
    </row>
    <row r="729" spans="5:6">
      <c r="E729" s="322" t="s">
        <v>101</v>
      </c>
      <c r="F729" s="793">
        <v>44646</v>
      </c>
    </row>
    <row r="730" spans="5:6">
      <c r="E730" s="322" t="s">
        <v>103</v>
      </c>
      <c r="F730" s="793">
        <v>44647</v>
      </c>
    </row>
    <row r="731" spans="5:6">
      <c r="E731" s="322" t="s">
        <v>77</v>
      </c>
      <c r="F731" s="793">
        <v>44652</v>
      </c>
    </row>
    <row r="732" spans="5:6">
      <c r="E732" s="322" t="s">
        <v>78</v>
      </c>
      <c r="F732" s="793">
        <v>44653</v>
      </c>
    </row>
    <row r="733" spans="5:6">
      <c r="E733" s="322" t="s">
        <v>80</v>
      </c>
      <c r="F733" s="793">
        <v>44654</v>
      </c>
    </row>
    <row r="734" spans="5:6">
      <c r="E734" s="322" t="s">
        <v>79</v>
      </c>
      <c r="F734" s="793">
        <v>44655</v>
      </c>
    </row>
    <row r="735" spans="5:6">
      <c r="E735" s="322" t="s">
        <v>81</v>
      </c>
      <c r="F735" s="793">
        <v>44656</v>
      </c>
    </row>
    <row r="736" spans="5:6">
      <c r="E736" s="322" t="s">
        <v>82</v>
      </c>
      <c r="F736" s="793">
        <v>44657</v>
      </c>
    </row>
    <row r="737" spans="5:6">
      <c r="E737" s="322" t="s">
        <v>83</v>
      </c>
      <c r="F737" s="793">
        <v>44658</v>
      </c>
    </row>
    <row r="738" spans="5:6">
      <c r="E738" s="322" t="s">
        <v>84</v>
      </c>
      <c r="F738" s="793">
        <v>44659</v>
      </c>
    </row>
    <row r="739" spans="5:6">
      <c r="E739" s="322" t="s">
        <v>85</v>
      </c>
      <c r="F739" s="793">
        <v>44660</v>
      </c>
    </row>
    <row r="740" spans="5:6">
      <c r="E740" s="322" t="s">
        <v>86</v>
      </c>
      <c r="F740" s="793">
        <v>44661</v>
      </c>
    </row>
    <row r="741" spans="5:6">
      <c r="E741" s="322" t="s">
        <v>89</v>
      </c>
      <c r="F741" s="793">
        <v>44662</v>
      </c>
    </row>
    <row r="742" spans="5:6">
      <c r="E742" s="322" t="s">
        <v>88</v>
      </c>
      <c r="F742" s="793">
        <v>44663</v>
      </c>
    </row>
    <row r="743" spans="5:6">
      <c r="E743" s="322" t="s">
        <v>87</v>
      </c>
      <c r="F743" s="793">
        <v>44664</v>
      </c>
    </row>
    <row r="744" spans="5:6">
      <c r="E744" s="322" t="s">
        <v>90</v>
      </c>
      <c r="F744" s="793">
        <v>44665</v>
      </c>
    </row>
    <row r="745" spans="5:6">
      <c r="E745" s="322" t="s">
        <v>91</v>
      </c>
      <c r="F745" s="793">
        <v>44666</v>
      </c>
    </row>
    <row r="746" spans="5:6">
      <c r="E746" s="322" t="s">
        <v>93</v>
      </c>
      <c r="F746" s="793">
        <v>44667</v>
      </c>
    </row>
    <row r="747" spans="5:6">
      <c r="E747" s="322" t="s">
        <v>94</v>
      </c>
      <c r="F747" s="793">
        <v>44668</v>
      </c>
    </row>
    <row r="748" spans="5:6">
      <c r="E748" s="322" t="s">
        <v>92</v>
      </c>
      <c r="F748" s="793">
        <v>44669</v>
      </c>
    </row>
    <row r="749" spans="5:6">
      <c r="E749" s="322" t="s">
        <v>95</v>
      </c>
      <c r="F749" s="793">
        <v>44670</v>
      </c>
    </row>
    <row r="750" spans="5:6">
      <c r="E750" s="322" t="s">
        <v>96</v>
      </c>
      <c r="F750" s="793">
        <v>44671</v>
      </c>
    </row>
    <row r="751" spans="5:6">
      <c r="E751" s="322" t="s">
        <v>98</v>
      </c>
      <c r="F751" s="793">
        <v>44672</v>
      </c>
    </row>
    <row r="752" spans="5:6">
      <c r="E752" s="322" t="s">
        <v>99</v>
      </c>
      <c r="F752" s="793">
        <v>44673</v>
      </c>
    </row>
    <row r="753" spans="5:6">
      <c r="E753" s="322" t="s">
        <v>97</v>
      </c>
      <c r="F753" s="793">
        <v>44674</v>
      </c>
    </row>
    <row r="754" spans="5:6">
      <c r="E754" s="322" t="s">
        <v>100</v>
      </c>
      <c r="F754" s="793">
        <v>44675</v>
      </c>
    </row>
    <row r="755" spans="5:6">
      <c r="E755" s="322" t="s">
        <v>102</v>
      </c>
      <c r="F755" s="793">
        <v>44676</v>
      </c>
    </row>
    <row r="756" spans="5:6">
      <c r="E756" s="322" t="s">
        <v>101</v>
      </c>
      <c r="F756" s="793">
        <v>44677</v>
      </c>
    </row>
    <row r="757" spans="5:6">
      <c r="E757" s="322" t="s">
        <v>103</v>
      </c>
      <c r="F757" s="793">
        <v>44678</v>
      </c>
    </row>
    <row r="758" spans="5:6">
      <c r="E758" s="322" t="s">
        <v>77</v>
      </c>
      <c r="F758" s="793">
        <v>44682</v>
      </c>
    </row>
    <row r="759" spans="5:6">
      <c r="E759" s="322" t="s">
        <v>78</v>
      </c>
      <c r="F759" s="793">
        <v>44683</v>
      </c>
    </row>
    <row r="760" spans="5:6">
      <c r="E760" s="322" t="s">
        <v>80</v>
      </c>
      <c r="F760" s="793">
        <v>44684</v>
      </c>
    </row>
    <row r="761" spans="5:6">
      <c r="E761" s="322" t="s">
        <v>79</v>
      </c>
      <c r="F761" s="793">
        <v>44685</v>
      </c>
    </row>
    <row r="762" spans="5:6">
      <c r="E762" s="322" t="s">
        <v>81</v>
      </c>
      <c r="F762" s="793">
        <v>44686</v>
      </c>
    </row>
    <row r="763" spans="5:6">
      <c r="E763" s="322" t="s">
        <v>82</v>
      </c>
      <c r="F763" s="793">
        <v>44687</v>
      </c>
    </row>
    <row r="764" spans="5:6">
      <c r="E764" s="322" t="s">
        <v>83</v>
      </c>
      <c r="F764" s="793">
        <v>44688</v>
      </c>
    </row>
    <row r="765" spans="5:6">
      <c r="E765" s="322" t="s">
        <v>84</v>
      </c>
      <c r="F765" s="793">
        <v>44689</v>
      </c>
    </row>
    <row r="766" spans="5:6">
      <c r="E766" s="322" t="s">
        <v>85</v>
      </c>
      <c r="F766" s="793">
        <v>44690</v>
      </c>
    </row>
    <row r="767" spans="5:6">
      <c r="E767" s="322" t="s">
        <v>86</v>
      </c>
      <c r="F767" s="793">
        <v>44691</v>
      </c>
    </row>
    <row r="768" spans="5:6">
      <c r="E768" s="322" t="s">
        <v>89</v>
      </c>
      <c r="F768" s="793">
        <v>44692</v>
      </c>
    </row>
    <row r="769" spans="5:6">
      <c r="E769" s="322" t="s">
        <v>88</v>
      </c>
      <c r="F769" s="793">
        <v>44693</v>
      </c>
    </row>
    <row r="770" spans="5:6">
      <c r="E770" s="322" t="s">
        <v>87</v>
      </c>
      <c r="F770" s="793">
        <v>44694</v>
      </c>
    </row>
    <row r="771" spans="5:6">
      <c r="E771" s="322" t="s">
        <v>90</v>
      </c>
      <c r="F771" s="793">
        <v>44695</v>
      </c>
    </row>
    <row r="772" spans="5:6">
      <c r="E772" s="322" t="s">
        <v>91</v>
      </c>
      <c r="F772" s="793">
        <v>44696</v>
      </c>
    </row>
    <row r="773" spans="5:6">
      <c r="E773" s="322" t="s">
        <v>93</v>
      </c>
      <c r="F773" s="793">
        <v>44697</v>
      </c>
    </row>
    <row r="774" spans="5:6">
      <c r="E774" s="322" t="s">
        <v>94</v>
      </c>
      <c r="F774" s="793">
        <v>44698</v>
      </c>
    </row>
    <row r="775" spans="5:6">
      <c r="E775" s="322" t="s">
        <v>92</v>
      </c>
      <c r="F775" s="793">
        <v>44699</v>
      </c>
    </row>
    <row r="776" spans="5:6">
      <c r="E776" s="322" t="s">
        <v>95</v>
      </c>
      <c r="F776" s="793">
        <v>44700</v>
      </c>
    </row>
    <row r="777" spans="5:6">
      <c r="E777" s="322" t="s">
        <v>96</v>
      </c>
      <c r="F777" s="793">
        <v>44701</v>
      </c>
    </row>
    <row r="778" spans="5:6">
      <c r="E778" s="322" t="s">
        <v>98</v>
      </c>
      <c r="F778" s="793">
        <v>44702</v>
      </c>
    </row>
    <row r="779" spans="5:6">
      <c r="E779" s="322" t="s">
        <v>99</v>
      </c>
      <c r="F779" s="793">
        <v>44703</v>
      </c>
    </row>
    <row r="780" spans="5:6">
      <c r="E780" s="322" t="s">
        <v>97</v>
      </c>
      <c r="F780" s="793">
        <v>44704</v>
      </c>
    </row>
    <row r="781" spans="5:6">
      <c r="E781" s="322" t="s">
        <v>100</v>
      </c>
      <c r="F781" s="793">
        <v>44705</v>
      </c>
    </row>
    <row r="782" spans="5:6">
      <c r="E782" s="322" t="s">
        <v>102</v>
      </c>
      <c r="F782" s="793">
        <v>44706</v>
      </c>
    </row>
    <row r="783" spans="5:6">
      <c r="E783" s="322" t="s">
        <v>101</v>
      </c>
      <c r="F783" s="793">
        <v>44707</v>
      </c>
    </row>
    <row r="784" spans="5:6">
      <c r="E784" s="322" t="s">
        <v>103</v>
      </c>
      <c r="F784" s="793">
        <v>44708</v>
      </c>
    </row>
    <row r="785" spans="5:6">
      <c r="E785" s="322" t="s">
        <v>77</v>
      </c>
      <c r="F785" s="793">
        <v>44713</v>
      </c>
    </row>
    <row r="786" spans="5:6">
      <c r="E786" s="322" t="s">
        <v>78</v>
      </c>
      <c r="F786" s="793">
        <v>44714</v>
      </c>
    </row>
    <row r="787" spans="5:6">
      <c r="E787" s="322" t="s">
        <v>80</v>
      </c>
      <c r="F787" s="793">
        <v>44715</v>
      </c>
    </row>
    <row r="788" spans="5:6">
      <c r="E788" s="322" t="s">
        <v>79</v>
      </c>
      <c r="F788" s="793">
        <v>44716</v>
      </c>
    </row>
    <row r="789" spans="5:6">
      <c r="E789" s="322" t="s">
        <v>81</v>
      </c>
      <c r="F789" s="793">
        <v>44717</v>
      </c>
    </row>
    <row r="790" spans="5:6">
      <c r="E790" s="322" t="s">
        <v>82</v>
      </c>
      <c r="F790" s="793">
        <v>44718</v>
      </c>
    </row>
    <row r="791" spans="5:6">
      <c r="E791" s="322" t="s">
        <v>83</v>
      </c>
      <c r="F791" s="793">
        <v>44719</v>
      </c>
    </row>
    <row r="792" spans="5:6">
      <c r="E792" s="322" t="s">
        <v>84</v>
      </c>
      <c r="F792" s="793">
        <v>44720</v>
      </c>
    </row>
    <row r="793" spans="5:6">
      <c r="E793" s="322" t="s">
        <v>85</v>
      </c>
      <c r="F793" s="793">
        <v>44721</v>
      </c>
    </row>
    <row r="794" spans="5:6">
      <c r="E794" s="322" t="s">
        <v>86</v>
      </c>
      <c r="F794" s="793">
        <v>44722</v>
      </c>
    </row>
    <row r="795" spans="5:6">
      <c r="E795" s="322" t="s">
        <v>89</v>
      </c>
      <c r="F795" s="793">
        <v>44723</v>
      </c>
    </row>
    <row r="796" spans="5:6">
      <c r="E796" s="322" t="s">
        <v>88</v>
      </c>
      <c r="F796" s="793">
        <v>44724</v>
      </c>
    </row>
    <row r="797" spans="5:6">
      <c r="E797" s="322" t="s">
        <v>87</v>
      </c>
      <c r="F797" s="793">
        <v>44725</v>
      </c>
    </row>
    <row r="798" spans="5:6">
      <c r="E798" s="322" t="s">
        <v>90</v>
      </c>
      <c r="F798" s="793">
        <v>44726</v>
      </c>
    </row>
    <row r="799" spans="5:6">
      <c r="E799" s="322" t="s">
        <v>91</v>
      </c>
      <c r="F799" s="793">
        <v>44727</v>
      </c>
    </row>
    <row r="800" spans="5:6">
      <c r="E800" s="322" t="s">
        <v>93</v>
      </c>
      <c r="F800" s="793">
        <v>44728</v>
      </c>
    </row>
    <row r="801" spans="5:6">
      <c r="E801" s="322" t="s">
        <v>94</v>
      </c>
      <c r="F801" s="793">
        <v>44729</v>
      </c>
    </row>
    <row r="802" spans="5:6">
      <c r="E802" s="322" t="s">
        <v>92</v>
      </c>
      <c r="F802" s="793">
        <v>44730</v>
      </c>
    </row>
    <row r="803" spans="5:6">
      <c r="E803" s="322" t="s">
        <v>95</v>
      </c>
      <c r="F803" s="793">
        <v>44731</v>
      </c>
    </row>
    <row r="804" spans="5:6">
      <c r="E804" s="322" t="s">
        <v>96</v>
      </c>
      <c r="F804" s="793">
        <v>44732</v>
      </c>
    </row>
    <row r="805" spans="5:6">
      <c r="E805" s="322" t="s">
        <v>98</v>
      </c>
      <c r="F805" s="793">
        <v>44733</v>
      </c>
    </row>
    <row r="806" spans="5:6">
      <c r="E806" s="322" t="s">
        <v>99</v>
      </c>
      <c r="F806" s="793">
        <v>44734</v>
      </c>
    </row>
    <row r="807" spans="5:6">
      <c r="E807" s="322" t="s">
        <v>97</v>
      </c>
      <c r="F807" s="793">
        <v>44735</v>
      </c>
    </row>
    <row r="808" spans="5:6">
      <c r="E808" s="322" t="s">
        <v>100</v>
      </c>
      <c r="F808" s="793">
        <v>44736</v>
      </c>
    </row>
    <row r="809" spans="5:6">
      <c r="E809" s="322" t="s">
        <v>102</v>
      </c>
      <c r="F809" s="793">
        <v>44737</v>
      </c>
    </row>
    <row r="810" spans="5:6">
      <c r="E810" s="322" t="s">
        <v>101</v>
      </c>
      <c r="F810" s="793">
        <v>44738</v>
      </c>
    </row>
    <row r="811" spans="5:6">
      <c r="E811" s="322" t="s">
        <v>103</v>
      </c>
      <c r="F811" s="793">
        <v>44739</v>
      </c>
    </row>
    <row r="812" spans="5:6">
      <c r="E812" s="322" t="s">
        <v>77</v>
      </c>
      <c r="F812" s="793">
        <v>44743</v>
      </c>
    </row>
    <row r="813" spans="5:6">
      <c r="E813" s="322" t="s">
        <v>78</v>
      </c>
      <c r="F813" s="793">
        <v>44744</v>
      </c>
    </row>
    <row r="814" spans="5:6">
      <c r="E814" s="322" t="s">
        <v>80</v>
      </c>
      <c r="F814" s="793">
        <v>44745</v>
      </c>
    </row>
    <row r="815" spans="5:6">
      <c r="E815" s="322" t="s">
        <v>79</v>
      </c>
      <c r="F815" s="793">
        <v>44746</v>
      </c>
    </row>
    <row r="816" spans="5:6">
      <c r="E816" s="322" t="s">
        <v>81</v>
      </c>
      <c r="F816" s="793">
        <v>44747</v>
      </c>
    </row>
    <row r="817" spans="5:6">
      <c r="E817" s="322" t="s">
        <v>82</v>
      </c>
      <c r="F817" s="793">
        <v>44748</v>
      </c>
    </row>
    <row r="818" spans="5:6">
      <c r="E818" s="322" t="s">
        <v>83</v>
      </c>
      <c r="F818" s="793">
        <v>44749</v>
      </c>
    </row>
    <row r="819" spans="5:6">
      <c r="E819" s="322" t="s">
        <v>84</v>
      </c>
      <c r="F819" s="793">
        <v>44750</v>
      </c>
    </row>
    <row r="820" spans="5:6">
      <c r="E820" s="322" t="s">
        <v>85</v>
      </c>
      <c r="F820" s="793">
        <v>44751</v>
      </c>
    </row>
    <row r="821" spans="5:6">
      <c r="E821" s="322" t="s">
        <v>86</v>
      </c>
      <c r="F821" s="793">
        <v>44752</v>
      </c>
    </row>
    <row r="822" spans="5:6">
      <c r="E822" s="322" t="s">
        <v>89</v>
      </c>
      <c r="F822" s="793">
        <v>44753</v>
      </c>
    </row>
    <row r="823" spans="5:6">
      <c r="E823" s="322" t="s">
        <v>88</v>
      </c>
      <c r="F823" s="793">
        <v>44754</v>
      </c>
    </row>
    <row r="824" spans="5:6">
      <c r="E824" s="322" t="s">
        <v>87</v>
      </c>
      <c r="F824" s="793">
        <v>44755</v>
      </c>
    </row>
    <row r="825" spans="5:6">
      <c r="E825" s="322" t="s">
        <v>90</v>
      </c>
      <c r="F825" s="793">
        <v>44756</v>
      </c>
    </row>
    <row r="826" spans="5:6">
      <c r="E826" s="322" t="s">
        <v>91</v>
      </c>
      <c r="F826" s="793">
        <v>44757</v>
      </c>
    </row>
    <row r="827" spans="5:6">
      <c r="E827" s="322" t="s">
        <v>93</v>
      </c>
      <c r="F827" s="793">
        <v>44758</v>
      </c>
    </row>
    <row r="828" spans="5:6">
      <c r="E828" s="322" t="s">
        <v>94</v>
      </c>
      <c r="F828" s="793">
        <v>44759</v>
      </c>
    </row>
    <row r="829" spans="5:6">
      <c r="E829" s="322" t="s">
        <v>92</v>
      </c>
      <c r="F829" s="793">
        <v>44760</v>
      </c>
    </row>
    <row r="830" spans="5:6">
      <c r="E830" s="322" t="s">
        <v>95</v>
      </c>
      <c r="F830" s="793">
        <v>44761</v>
      </c>
    </row>
    <row r="831" spans="5:6">
      <c r="E831" s="322" t="s">
        <v>96</v>
      </c>
      <c r="F831" s="793">
        <v>44762</v>
      </c>
    </row>
    <row r="832" spans="5:6">
      <c r="E832" s="322" t="s">
        <v>98</v>
      </c>
      <c r="F832" s="793">
        <v>44763</v>
      </c>
    </row>
    <row r="833" spans="5:6">
      <c r="E833" s="322" t="s">
        <v>99</v>
      </c>
      <c r="F833" s="793">
        <v>44764</v>
      </c>
    </row>
    <row r="834" spans="5:6">
      <c r="E834" s="322" t="s">
        <v>97</v>
      </c>
      <c r="F834" s="793">
        <v>44765</v>
      </c>
    </row>
    <row r="835" spans="5:6">
      <c r="E835" s="322" t="s">
        <v>100</v>
      </c>
      <c r="F835" s="793">
        <v>44766</v>
      </c>
    </row>
    <row r="836" spans="5:6">
      <c r="E836" s="322" t="s">
        <v>102</v>
      </c>
      <c r="F836" s="793">
        <v>44767</v>
      </c>
    </row>
    <row r="837" spans="5:6">
      <c r="E837" s="322" t="s">
        <v>101</v>
      </c>
      <c r="F837" s="793">
        <v>44768</v>
      </c>
    </row>
    <row r="838" spans="5:6">
      <c r="E838" s="322" t="s">
        <v>103</v>
      </c>
      <c r="F838" s="793">
        <v>44769</v>
      </c>
    </row>
    <row r="839" spans="5:6">
      <c r="E839" s="322" t="s">
        <v>77</v>
      </c>
      <c r="F839" s="793">
        <v>44774</v>
      </c>
    </row>
    <row r="840" spans="5:6">
      <c r="E840" s="322" t="s">
        <v>78</v>
      </c>
      <c r="F840" s="793">
        <v>44775</v>
      </c>
    </row>
    <row r="841" spans="5:6">
      <c r="E841" s="322" t="s">
        <v>80</v>
      </c>
      <c r="F841" s="793">
        <v>44776</v>
      </c>
    </row>
    <row r="842" spans="5:6">
      <c r="E842" s="322" t="s">
        <v>79</v>
      </c>
      <c r="F842" s="793">
        <v>44777</v>
      </c>
    </row>
    <row r="843" spans="5:6">
      <c r="E843" s="322" t="s">
        <v>81</v>
      </c>
      <c r="F843" s="793">
        <v>44778</v>
      </c>
    </row>
    <row r="844" spans="5:6">
      <c r="E844" s="322" t="s">
        <v>82</v>
      </c>
      <c r="F844" s="793">
        <v>44779</v>
      </c>
    </row>
    <row r="845" spans="5:6">
      <c r="E845" s="322" t="s">
        <v>83</v>
      </c>
      <c r="F845" s="793">
        <v>44780</v>
      </c>
    </row>
    <row r="846" spans="5:6">
      <c r="E846" s="322" t="s">
        <v>84</v>
      </c>
      <c r="F846" s="793">
        <v>44781</v>
      </c>
    </row>
    <row r="847" spans="5:6">
      <c r="E847" s="322" t="s">
        <v>85</v>
      </c>
      <c r="F847" s="793">
        <v>44782</v>
      </c>
    </row>
    <row r="848" spans="5:6">
      <c r="E848" s="322" t="s">
        <v>86</v>
      </c>
      <c r="F848" s="793">
        <v>44783</v>
      </c>
    </row>
    <row r="849" spans="5:6">
      <c r="E849" s="322" t="s">
        <v>89</v>
      </c>
      <c r="F849" s="793">
        <v>44784</v>
      </c>
    </row>
    <row r="850" spans="5:6">
      <c r="E850" s="322" t="s">
        <v>88</v>
      </c>
      <c r="F850" s="793">
        <v>44785</v>
      </c>
    </row>
    <row r="851" spans="5:6">
      <c r="E851" s="322" t="s">
        <v>87</v>
      </c>
      <c r="F851" s="793">
        <v>44786</v>
      </c>
    </row>
    <row r="852" spans="5:6">
      <c r="E852" s="322" t="s">
        <v>90</v>
      </c>
      <c r="F852" s="793">
        <v>44787</v>
      </c>
    </row>
    <row r="853" spans="5:6">
      <c r="E853" s="322" t="s">
        <v>91</v>
      </c>
      <c r="F853" s="793">
        <v>44788</v>
      </c>
    </row>
    <row r="854" spans="5:6">
      <c r="E854" s="322" t="s">
        <v>93</v>
      </c>
      <c r="F854" s="793">
        <v>44789</v>
      </c>
    </row>
    <row r="855" spans="5:6">
      <c r="E855" s="322" t="s">
        <v>94</v>
      </c>
      <c r="F855" s="793">
        <v>44790</v>
      </c>
    </row>
    <row r="856" spans="5:6">
      <c r="E856" s="322" t="s">
        <v>92</v>
      </c>
      <c r="F856" s="793">
        <v>44791</v>
      </c>
    </row>
    <row r="857" spans="5:6">
      <c r="E857" s="322" t="s">
        <v>95</v>
      </c>
      <c r="F857" s="793">
        <v>44792</v>
      </c>
    </row>
    <row r="858" spans="5:6">
      <c r="E858" s="322" t="s">
        <v>96</v>
      </c>
      <c r="F858" s="793">
        <v>44793</v>
      </c>
    </row>
    <row r="859" spans="5:6">
      <c r="E859" s="322" t="s">
        <v>98</v>
      </c>
      <c r="F859" s="793">
        <v>44794</v>
      </c>
    </row>
    <row r="860" spans="5:6">
      <c r="E860" s="322" t="s">
        <v>99</v>
      </c>
      <c r="F860" s="793">
        <v>44795</v>
      </c>
    </row>
    <row r="861" spans="5:6">
      <c r="E861" s="322" t="s">
        <v>97</v>
      </c>
      <c r="F861" s="793">
        <v>44796</v>
      </c>
    </row>
    <row r="862" spans="5:6">
      <c r="E862" s="322" t="s">
        <v>100</v>
      </c>
      <c r="F862" s="793">
        <v>44797</v>
      </c>
    </row>
    <row r="863" spans="5:6">
      <c r="E863" s="322" t="s">
        <v>102</v>
      </c>
      <c r="F863" s="793">
        <v>44798</v>
      </c>
    </row>
    <row r="864" spans="5:6">
      <c r="E864" s="322" t="s">
        <v>101</v>
      </c>
      <c r="F864" s="793">
        <v>44799</v>
      </c>
    </row>
    <row r="865" spans="5:6">
      <c r="E865" s="322" t="s">
        <v>103</v>
      </c>
      <c r="F865" s="793">
        <v>44800</v>
      </c>
    </row>
    <row r="866" spans="5:6">
      <c r="E866" s="322" t="s">
        <v>77</v>
      </c>
      <c r="F866" s="793">
        <v>44805</v>
      </c>
    </row>
    <row r="867" spans="5:6">
      <c r="E867" s="322" t="s">
        <v>78</v>
      </c>
      <c r="F867" s="793">
        <v>44806</v>
      </c>
    </row>
    <row r="868" spans="5:6">
      <c r="E868" s="322" t="s">
        <v>80</v>
      </c>
      <c r="F868" s="793">
        <v>44807</v>
      </c>
    </row>
    <row r="869" spans="5:6">
      <c r="E869" s="322" t="s">
        <v>79</v>
      </c>
      <c r="F869" s="793">
        <v>44808</v>
      </c>
    </row>
    <row r="870" spans="5:6">
      <c r="E870" s="322" t="s">
        <v>81</v>
      </c>
      <c r="F870" s="793">
        <v>44809</v>
      </c>
    </row>
    <row r="871" spans="5:6">
      <c r="E871" s="322" t="s">
        <v>82</v>
      </c>
      <c r="F871" s="793">
        <v>44810</v>
      </c>
    </row>
    <row r="872" spans="5:6">
      <c r="E872" s="322" t="s">
        <v>83</v>
      </c>
      <c r="F872" s="793">
        <v>44811</v>
      </c>
    </row>
    <row r="873" spans="5:6">
      <c r="E873" s="322" t="s">
        <v>84</v>
      </c>
      <c r="F873" s="793">
        <v>44812</v>
      </c>
    </row>
    <row r="874" spans="5:6">
      <c r="E874" s="322" t="s">
        <v>85</v>
      </c>
      <c r="F874" s="793">
        <v>44813</v>
      </c>
    </row>
    <row r="875" spans="5:6">
      <c r="E875" s="322" t="s">
        <v>86</v>
      </c>
      <c r="F875" s="793">
        <v>44814</v>
      </c>
    </row>
    <row r="876" spans="5:6">
      <c r="E876" s="322" t="s">
        <v>89</v>
      </c>
      <c r="F876" s="793">
        <v>44815</v>
      </c>
    </row>
    <row r="877" spans="5:6">
      <c r="E877" s="322" t="s">
        <v>88</v>
      </c>
      <c r="F877" s="793">
        <v>44816</v>
      </c>
    </row>
    <row r="878" spans="5:6">
      <c r="E878" s="322" t="s">
        <v>87</v>
      </c>
      <c r="F878" s="793">
        <v>44817</v>
      </c>
    </row>
    <row r="879" spans="5:6">
      <c r="E879" s="322" t="s">
        <v>90</v>
      </c>
      <c r="F879" s="793">
        <v>44818</v>
      </c>
    </row>
    <row r="880" spans="5:6">
      <c r="E880" s="322" t="s">
        <v>91</v>
      </c>
      <c r="F880" s="793">
        <v>44819</v>
      </c>
    </row>
    <row r="881" spans="5:6">
      <c r="E881" s="322" t="s">
        <v>93</v>
      </c>
      <c r="F881" s="793">
        <v>44820</v>
      </c>
    </row>
    <row r="882" spans="5:6">
      <c r="E882" s="322" t="s">
        <v>94</v>
      </c>
      <c r="F882" s="793">
        <v>44821</v>
      </c>
    </row>
    <row r="883" spans="5:6">
      <c r="E883" s="322" t="s">
        <v>92</v>
      </c>
      <c r="F883" s="793">
        <v>44822</v>
      </c>
    </row>
    <row r="884" spans="5:6">
      <c r="E884" s="322" t="s">
        <v>95</v>
      </c>
      <c r="F884" s="793">
        <v>44823</v>
      </c>
    </row>
    <row r="885" spans="5:6">
      <c r="E885" s="322" t="s">
        <v>96</v>
      </c>
      <c r="F885" s="793">
        <v>44824</v>
      </c>
    </row>
    <row r="886" spans="5:6">
      <c r="E886" s="322" t="s">
        <v>98</v>
      </c>
      <c r="F886" s="793">
        <v>44825</v>
      </c>
    </row>
    <row r="887" spans="5:6">
      <c r="E887" s="322" t="s">
        <v>99</v>
      </c>
      <c r="F887" s="793">
        <v>44826</v>
      </c>
    </row>
    <row r="888" spans="5:6">
      <c r="E888" s="322" t="s">
        <v>97</v>
      </c>
      <c r="F888" s="793">
        <v>44827</v>
      </c>
    </row>
    <row r="889" spans="5:6">
      <c r="E889" s="322" t="s">
        <v>100</v>
      </c>
      <c r="F889" s="793">
        <v>44828</v>
      </c>
    </row>
    <row r="890" spans="5:6">
      <c r="E890" s="322" t="s">
        <v>102</v>
      </c>
      <c r="F890" s="793">
        <v>44829</v>
      </c>
    </row>
    <row r="891" spans="5:6">
      <c r="E891" s="322" t="s">
        <v>101</v>
      </c>
      <c r="F891" s="793">
        <v>44830</v>
      </c>
    </row>
    <row r="892" spans="5:6">
      <c r="E892" s="322" t="s">
        <v>103</v>
      </c>
      <c r="F892" s="793">
        <v>44831</v>
      </c>
    </row>
    <row r="893" spans="5:6">
      <c r="E893" s="322" t="s">
        <v>77</v>
      </c>
      <c r="F893" s="793">
        <v>44835</v>
      </c>
    </row>
    <row r="894" spans="5:6">
      <c r="E894" s="322" t="s">
        <v>78</v>
      </c>
      <c r="F894" s="793">
        <v>44836</v>
      </c>
    </row>
    <row r="895" spans="5:6">
      <c r="E895" s="322" t="s">
        <v>80</v>
      </c>
      <c r="F895" s="793">
        <v>44837</v>
      </c>
    </row>
    <row r="896" spans="5:6">
      <c r="E896" s="322" t="s">
        <v>79</v>
      </c>
      <c r="F896" s="793">
        <v>44838</v>
      </c>
    </row>
    <row r="897" spans="5:6">
      <c r="E897" s="322" t="s">
        <v>81</v>
      </c>
      <c r="F897" s="793">
        <v>44839</v>
      </c>
    </row>
    <row r="898" spans="5:6">
      <c r="E898" s="322" t="s">
        <v>82</v>
      </c>
      <c r="F898" s="793">
        <v>44840</v>
      </c>
    </row>
    <row r="899" spans="5:6">
      <c r="E899" s="322" t="s">
        <v>83</v>
      </c>
      <c r="F899" s="793">
        <v>44841</v>
      </c>
    </row>
    <row r="900" spans="5:6">
      <c r="E900" s="322" t="s">
        <v>84</v>
      </c>
      <c r="F900" s="793">
        <v>44842</v>
      </c>
    </row>
    <row r="901" spans="5:6">
      <c r="E901" s="322" t="s">
        <v>85</v>
      </c>
      <c r="F901" s="793">
        <v>44843</v>
      </c>
    </row>
    <row r="902" spans="5:6">
      <c r="E902" s="322" t="s">
        <v>86</v>
      </c>
      <c r="F902" s="793">
        <v>44844</v>
      </c>
    </row>
    <row r="903" spans="5:6">
      <c r="E903" s="322" t="s">
        <v>89</v>
      </c>
      <c r="F903" s="793">
        <v>44845</v>
      </c>
    </row>
    <row r="904" spans="5:6">
      <c r="E904" s="322" t="s">
        <v>88</v>
      </c>
      <c r="F904" s="793">
        <v>44846</v>
      </c>
    </row>
    <row r="905" spans="5:6">
      <c r="E905" s="322" t="s">
        <v>87</v>
      </c>
      <c r="F905" s="793">
        <v>44847</v>
      </c>
    </row>
    <row r="906" spans="5:6">
      <c r="E906" s="322" t="s">
        <v>90</v>
      </c>
      <c r="F906" s="793">
        <v>44848</v>
      </c>
    </row>
    <row r="907" spans="5:6">
      <c r="E907" s="322" t="s">
        <v>91</v>
      </c>
      <c r="F907" s="793">
        <v>44849</v>
      </c>
    </row>
    <row r="908" spans="5:6">
      <c r="E908" s="322" t="s">
        <v>93</v>
      </c>
      <c r="F908" s="793">
        <v>44850</v>
      </c>
    </row>
    <row r="909" spans="5:6">
      <c r="E909" s="322" t="s">
        <v>94</v>
      </c>
      <c r="F909" s="793">
        <v>44851</v>
      </c>
    </row>
    <row r="910" spans="5:6">
      <c r="E910" s="322" t="s">
        <v>92</v>
      </c>
      <c r="F910" s="793">
        <v>44852</v>
      </c>
    </row>
    <row r="911" spans="5:6">
      <c r="E911" s="322" t="s">
        <v>95</v>
      </c>
      <c r="F911" s="793">
        <v>44853</v>
      </c>
    </row>
    <row r="912" spans="5:6">
      <c r="E912" s="322" t="s">
        <v>96</v>
      </c>
      <c r="F912" s="793">
        <v>44854</v>
      </c>
    </row>
    <row r="913" spans="5:6">
      <c r="E913" s="322" t="s">
        <v>98</v>
      </c>
      <c r="F913" s="793">
        <v>44855</v>
      </c>
    </row>
    <row r="914" spans="5:6">
      <c r="E914" s="322" t="s">
        <v>99</v>
      </c>
      <c r="F914" s="793">
        <v>44856</v>
      </c>
    </row>
    <row r="915" spans="5:6">
      <c r="E915" s="322" t="s">
        <v>97</v>
      </c>
      <c r="F915" s="793">
        <v>44857</v>
      </c>
    </row>
    <row r="916" spans="5:6">
      <c r="E916" s="322" t="s">
        <v>100</v>
      </c>
      <c r="F916" s="793">
        <v>44858</v>
      </c>
    </row>
    <row r="917" spans="5:6">
      <c r="E917" s="322" t="s">
        <v>102</v>
      </c>
      <c r="F917" s="793">
        <v>44859</v>
      </c>
    </row>
    <row r="918" spans="5:6">
      <c r="E918" s="322" t="s">
        <v>101</v>
      </c>
      <c r="F918" s="793">
        <v>44860</v>
      </c>
    </row>
    <row r="919" spans="5:6">
      <c r="E919" s="322" t="s">
        <v>103</v>
      </c>
      <c r="F919" s="793">
        <v>44861</v>
      </c>
    </row>
    <row r="920" spans="5:6">
      <c r="E920" s="322" t="s">
        <v>77</v>
      </c>
      <c r="F920" s="793">
        <v>44866</v>
      </c>
    </row>
    <row r="921" spans="5:6">
      <c r="E921" s="322" t="s">
        <v>78</v>
      </c>
      <c r="F921" s="793">
        <v>44867</v>
      </c>
    </row>
    <row r="922" spans="5:6">
      <c r="E922" s="322" t="s">
        <v>80</v>
      </c>
      <c r="F922" s="793">
        <v>44868</v>
      </c>
    </row>
    <row r="923" spans="5:6">
      <c r="E923" s="322" t="s">
        <v>79</v>
      </c>
      <c r="F923" s="793">
        <v>44869</v>
      </c>
    </row>
    <row r="924" spans="5:6">
      <c r="E924" s="322" t="s">
        <v>81</v>
      </c>
      <c r="F924" s="793">
        <v>44870</v>
      </c>
    </row>
    <row r="925" spans="5:6">
      <c r="E925" s="322" t="s">
        <v>82</v>
      </c>
      <c r="F925" s="793">
        <v>44871</v>
      </c>
    </row>
    <row r="926" spans="5:6">
      <c r="E926" s="322" t="s">
        <v>83</v>
      </c>
      <c r="F926" s="793">
        <v>44872</v>
      </c>
    </row>
    <row r="927" spans="5:6">
      <c r="E927" s="322" t="s">
        <v>84</v>
      </c>
      <c r="F927" s="793">
        <v>44873</v>
      </c>
    </row>
    <row r="928" spans="5:6">
      <c r="E928" s="322" t="s">
        <v>85</v>
      </c>
      <c r="F928" s="793">
        <v>44874</v>
      </c>
    </row>
    <row r="929" spans="5:6">
      <c r="E929" s="322" t="s">
        <v>86</v>
      </c>
      <c r="F929" s="793">
        <v>44875</v>
      </c>
    </row>
    <row r="930" spans="5:6">
      <c r="E930" s="322" t="s">
        <v>89</v>
      </c>
      <c r="F930" s="793">
        <v>44876</v>
      </c>
    </row>
    <row r="931" spans="5:6">
      <c r="E931" s="322" t="s">
        <v>88</v>
      </c>
      <c r="F931" s="793">
        <v>44877</v>
      </c>
    </row>
    <row r="932" spans="5:6">
      <c r="E932" s="322" t="s">
        <v>87</v>
      </c>
      <c r="F932" s="793">
        <v>44878</v>
      </c>
    </row>
    <row r="933" spans="5:6">
      <c r="E933" s="322" t="s">
        <v>90</v>
      </c>
      <c r="F933" s="793">
        <v>44879</v>
      </c>
    </row>
    <row r="934" spans="5:6">
      <c r="E934" s="322" t="s">
        <v>91</v>
      </c>
      <c r="F934" s="793">
        <v>44880</v>
      </c>
    </row>
    <row r="935" spans="5:6">
      <c r="E935" s="322" t="s">
        <v>93</v>
      </c>
      <c r="F935" s="793">
        <v>44881</v>
      </c>
    </row>
    <row r="936" spans="5:6">
      <c r="E936" s="322" t="s">
        <v>94</v>
      </c>
      <c r="F936" s="793">
        <v>44882</v>
      </c>
    </row>
    <row r="937" spans="5:6">
      <c r="E937" s="322" t="s">
        <v>92</v>
      </c>
      <c r="F937" s="793">
        <v>44883</v>
      </c>
    </row>
    <row r="938" spans="5:6">
      <c r="E938" s="322" t="s">
        <v>95</v>
      </c>
      <c r="F938" s="793">
        <v>44884</v>
      </c>
    </row>
    <row r="939" spans="5:6">
      <c r="E939" s="322" t="s">
        <v>96</v>
      </c>
      <c r="F939" s="793">
        <v>44885</v>
      </c>
    </row>
    <row r="940" spans="5:6">
      <c r="E940" s="322" t="s">
        <v>98</v>
      </c>
      <c r="F940" s="793">
        <v>44886</v>
      </c>
    </row>
    <row r="941" spans="5:6">
      <c r="E941" s="322" t="s">
        <v>99</v>
      </c>
      <c r="F941" s="793">
        <v>44887</v>
      </c>
    </row>
    <row r="942" spans="5:6">
      <c r="E942" s="322" t="s">
        <v>97</v>
      </c>
      <c r="F942" s="793">
        <v>44888</v>
      </c>
    </row>
    <row r="943" spans="5:6">
      <c r="E943" s="322" t="s">
        <v>100</v>
      </c>
      <c r="F943" s="793">
        <v>44889</v>
      </c>
    </row>
    <row r="944" spans="5:6">
      <c r="E944" s="322" t="s">
        <v>102</v>
      </c>
      <c r="F944" s="793">
        <v>44890</v>
      </c>
    </row>
    <row r="945" spans="5:6">
      <c r="E945" s="322" t="s">
        <v>101</v>
      </c>
      <c r="F945" s="793">
        <v>44891</v>
      </c>
    </row>
    <row r="946" spans="5:6">
      <c r="E946" s="322" t="s">
        <v>103</v>
      </c>
      <c r="F946" s="793">
        <v>44892</v>
      </c>
    </row>
    <row r="947" spans="5:6">
      <c r="E947" s="322" t="s">
        <v>77</v>
      </c>
      <c r="F947" s="793">
        <v>44896</v>
      </c>
    </row>
    <row r="948" spans="5:6">
      <c r="E948" s="322" t="s">
        <v>78</v>
      </c>
      <c r="F948" s="793">
        <v>44897</v>
      </c>
    </row>
    <row r="949" spans="5:6">
      <c r="E949" s="322" t="s">
        <v>80</v>
      </c>
      <c r="F949" s="793">
        <v>44898</v>
      </c>
    </row>
    <row r="950" spans="5:6">
      <c r="E950" s="322" t="s">
        <v>79</v>
      </c>
      <c r="F950" s="793">
        <v>44899</v>
      </c>
    </row>
    <row r="951" spans="5:6">
      <c r="E951" s="322" t="s">
        <v>81</v>
      </c>
      <c r="F951" s="793">
        <v>44900</v>
      </c>
    </row>
    <row r="952" spans="5:6">
      <c r="E952" s="322" t="s">
        <v>82</v>
      </c>
      <c r="F952" s="793">
        <v>44901</v>
      </c>
    </row>
    <row r="953" spans="5:6">
      <c r="E953" s="322" t="s">
        <v>83</v>
      </c>
      <c r="F953" s="793">
        <v>44902</v>
      </c>
    </row>
    <row r="954" spans="5:6">
      <c r="E954" s="322" t="s">
        <v>84</v>
      </c>
      <c r="F954" s="793">
        <v>44903</v>
      </c>
    </row>
    <row r="955" spans="5:6">
      <c r="E955" s="322" t="s">
        <v>85</v>
      </c>
      <c r="F955" s="793">
        <v>44904</v>
      </c>
    </row>
    <row r="956" spans="5:6">
      <c r="E956" s="322" t="s">
        <v>86</v>
      </c>
      <c r="F956" s="793">
        <v>44905</v>
      </c>
    </row>
    <row r="957" spans="5:6">
      <c r="E957" s="322" t="s">
        <v>89</v>
      </c>
      <c r="F957" s="793">
        <v>44906</v>
      </c>
    </row>
    <row r="958" spans="5:6">
      <c r="E958" s="322" t="s">
        <v>88</v>
      </c>
      <c r="F958" s="793">
        <v>44907</v>
      </c>
    </row>
    <row r="959" spans="5:6">
      <c r="E959" s="322" t="s">
        <v>87</v>
      </c>
      <c r="F959" s="793">
        <v>44908</v>
      </c>
    </row>
    <row r="960" spans="5:6">
      <c r="E960" s="322" t="s">
        <v>90</v>
      </c>
      <c r="F960" s="793">
        <v>44909</v>
      </c>
    </row>
    <row r="961" spans="5:6">
      <c r="E961" s="322" t="s">
        <v>91</v>
      </c>
      <c r="F961" s="793">
        <v>44910</v>
      </c>
    </row>
    <row r="962" spans="5:6">
      <c r="E962" s="322" t="s">
        <v>93</v>
      </c>
      <c r="F962" s="793">
        <v>44911</v>
      </c>
    </row>
    <row r="963" spans="5:6">
      <c r="E963" s="322" t="s">
        <v>94</v>
      </c>
      <c r="F963" s="793">
        <v>44912</v>
      </c>
    </row>
    <row r="964" spans="5:6">
      <c r="E964" s="322" t="s">
        <v>92</v>
      </c>
      <c r="F964" s="793">
        <v>44913</v>
      </c>
    </row>
    <row r="965" spans="5:6">
      <c r="E965" s="322" t="s">
        <v>95</v>
      </c>
      <c r="F965" s="793">
        <v>44914</v>
      </c>
    </row>
    <row r="966" spans="5:6">
      <c r="E966" s="322" t="s">
        <v>96</v>
      </c>
      <c r="F966" s="793">
        <v>44915</v>
      </c>
    </row>
    <row r="967" spans="5:6">
      <c r="E967" s="322" t="s">
        <v>98</v>
      </c>
      <c r="F967" s="793">
        <v>44916</v>
      </c>
    </row>
    <row r="968" spans="5:6">
      <c r="E968" s="322" t="s">
        <v>99</v>
      </c>
      <c r="F968" s="793">
        <v>44917</v>
      </c>
    </row>
    <row r="969" spans="5:6">
      <c r="E969" s="322" t="s">
        <v>97</v>
      </c>
      <c r="F969" s="793">
        <v>44918</v>
      </c>
    </row>
    <row r="970" spans="5:6">
      <c r="E970" s="322" t="s">
        <v>100</v>
      </c>
      <c r="F970" s="793">
        <v>44919</v>
      </c>
    </row>
    <row r="971" spans="5:6">
      <c r="E971" s="322" t="s">
        <v>102</v>
      </c>
      <c r="F971" s="793">
        <v>44920</v>
      </c>
    </row>
    <row r="972" spans="5:6">
      <c r="E972" s="322" t="s">
        <v>101</v>
      </c>
      <c r="F972" s="793">
        <v>44921</v>
      </c>
    </row>
    <row r="973" spans="5:6">
      <c r="E973" s="322" t="s">
        <v>103</v>
      </c>
      <c r="F973" s="793">
        <v>44922</v>
      </c>
    </row>
  </sheetData>
  <autoFilter ref="A1:L187"/>
  <pageMargins left="0.511811024" right="0.511811024" top="0.78740157499999996" bottom="0.78740157499999996" header="0.31496062000000002" footer="0.3149606200000000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0">
    <tabColor rgb="FF7030A0"/>
  </sheetPr>
  <dimension ref="A1:G973"/>
  <sheetViews>
    <sheetView workbookViewId="0">
      <pane ySplit="1" topLeftCell="A835" activePane="bottomLeft" state="frozen"/>
      <selection activeCell="A2" sqref="A2:AC37"/>
      <selection pane="bottomLeft" activeCell="A2" sqref="A2:AC37"/>
    </sheetView>
  </sheetViews>
  <sheetFormatPr defaultRowHeight="15"/>
  <cols>
    <col min="1" max="1" width="9.140625" style="790"/>
    <col min="2" max="2" width="21.5703125" style="793" customWidth="1"/>
    <col min="3" max="3" width="9.85546875" style="790" bestFit="1" customWidth="1"/>
    <col min="4" max="4" width="9.140625" style="790"/>
    <col min="5" max="5" width="18" style="790" bestFit="1" customWidth="1"/>
    <col min="6" max="6" width="18.140625" style="790" bestFit="1" customWidth="1"/>
    <col min="7" max="16384" width="9.140625" style="790"/>
  </cols>
  <sheetData>
    <row r="1" spans="1:7">
      <c r="A1" s="790" t="s">
        <v>172</v>
      </c>
      <c r="B1" s="793" t="s">
        <v>693</v>
      </c>
      <c r="C1" s="790" t="s">
        <v>714</v>
      </c>
      <c r="E1" s="106" t="s">
        <v>172</v>
      </c>
      <c r="F1" s="790" t="s">
        <v>716</v>
      </c>
      <c r="G1"/>
    </row>
    <row r="2" spans="1:7">
      <c r="A2" s="322" t="s">
        <v>77</v>
      </c>
      <c r="B2" s="793">
        <v>43831</v>
      </c>
      <c r="C2" s="790">
        <v>206</v>
      </c>
      <c r="E2"/>
      <c r="F2"/>
      <c r="G2"/>
    </row>
    <row r="3" spans="1:7">
      <c r="A3" s="322" t="s">
        <v>78</v>
      </c>
      <c r="B3" s="793">
        <v>43831</v>
      </c>
      <c r="C3" s="790">
        <v>518</v>
      </c>
      <c r="E3" s="106" t="s">
        <v>256</v>
      </c>
      <c r="F3" s="169" t="s">
        <v>715</v>
      </c>
      <c r="G3"/>
    </row>
    <row r="4" spans="1:7">
      <c r="A4" s="322" t="s">
        <v>80</v>
      </c>
      <c r="B4" s="793">
        <v>43831</v>
      </c>
      <c r="C4" s="790">
        <v>452</v>
      </c>
      <c r="E4" s="322" t="s">
        <v>707</v>
      </c>
      <c r="F4" s="169">
        <v>839410</v>
      </c>
      <c r="G4"/>
    </row>
    <row r="5" spans="1:7">
      <c r="A5" s="322" t="s">
        <v>79</v>
      </c>
      <c r="B5" s="793">
        <v>43831</v>
      </c>
      <c r="C5" s="790">
        <v>303</v>
      </c>
      <c r="E5" s="797" t="s">
        <v>195</v>
      </c>
      <c r="F5" s="169">
        <v>66496</v>
      </c>
      <c r="G5"/>
    </row>
    <row r="6" spans="1:7">
      <c r="A6" s="322" t="s">
        <v>81</v>
      </c>
      <c r="B6" s="793">
        <v>43831</v>
      </c>
      <c r="C6" s="790">
        <v>1330</v>
      </c>
      <c r="E6" s="797" t="s">
        <v>196</v>
      </c>
      <c r="F6" s="169">
        <v>63031</v>
      </c>
      <c r="G6"/>
    </row>
    <row r="7" spans="1:7">
      <c r="A7" s="322" t="s">
        <v>82</v>
      </c>
      <c r="B7" s="793">
        <v>43831</v>
      </c>
      <c r="C7" s="790">
        <v>1024</v>
      </c>
      <c r="E7" s="797" t="s">
        <v>197</v>
      </c>
      <c r="F7" s="169">
        <v>67571</v>
      </c>
      <c r="G7"/>
    </row>
    <row r="8" spans="1:7">
      <c r="A8" s="322" t="s">
        <v>83</v>
      </c>
      <c r="B8" s="793">
        <v>43831</v>
      </c>
      <c r="C8" s="790">
        <v>1381</v>
      </c>
      <c r="E8" s="797" t="s">
        <v>198</v>
      </c>
      <c r="F8" s="169">
        <v>41037</v>
      </c>
      <c r="G8"/>
    </row>
    <row r="9" spans="1:7">
      <c r="A9" s="322" t="s">
        <v>84</v>
      </c>
      <c r="B9" s="793">
        <v>43831</v>
      </c>
      <c r="C9" s="790">
        <v>1147</v>
      </c>
      <c r="E9" s="797" t="s">
        <v>199</v>
      </c>
      <c r="F9" s="169">
        <v>49700</v>
      </c>
      <c r="G9"/>
    </row>
    <row r="10" spans="1:7">
      <c r="A10" s="322" t="s">
        <v>85</v>
      </c>
      <c r="B10" s="793">
        <v>43831</v>
      </c>
      <c r="C10" s="790">
        <v>2127</v>
      </c>
      <c r="E10" s="797" t="s">
        <v>200</v>
      </c>
      <c r="F10" s="169">
        <v>62825</v>
      </c>
      <c r="G10"/>
    </row>
    <row r="11" spans="1:7">
      <c r="A11" s="322" t="s">
        <v>86</v>
      </c>
      <c r="B11" s="793">
        <v>43831</v>
      </c>
      <c r="C11" s="790">
        <v>358</v>
      </c>
      <c r="E11" s="797" t="s">
        <v>201</v>
      </c>
      <c r="F11" s="169">
        <v>79892</v>
      </c>
      <c r="G11"/>
    </row>
    <row r="12" spans="1:7">
      <c r="A12" s="322" t="s">
        <v>89</v>
      </c>
      <c r="B12" s="793">
        <v>43831</v>
      </c>
      <c r="C12" s="790">
        <v>4297</v>
      </c>
      <c r="E12" s="797" t="s">
        <v>202</v>
      </c>
      <c r="F12" s="169">
        <v>84156</v>
      </c>
      <c r="G12"/>
    </row>
    <row r="13" spans="1:7">
      <c r="A13" s="322" t="s">
        <v>88</v>
      </c>
      <c r="B13" s="793">
        <v>43831</v>
      </c>
      <c r="C13" s="790">
        <v>1306</v>
      </c>
      <c r="E13" s="797" t="s">
        <v>203</v>
      </c>
      <c r="F13" s="169">
        <v>82037</v>
      </c>
      <c r="G13"/>
    </row>
    <row r="14" spans="1:7">
      <c r="A14" s="322" t="s">
        <v>87</v>
      </c>
      <c r="B14" s="793">
        <v>43831</v>
      </c>
      <c r="C14" s="790">
        <v>1902</v>
      </c>
      <c r="E14" s="797" t="s">
        <v>204</v>
      </c>
      <c r="F14" s="169">
        <v>89625</v>
      </c>
      <c r="G14"/>
    </row>
    <row r="15" spans="1:7">
      <c r="A15" s="322" t="s">
        <v>90</v>
      </c>
      <c r="B15" s="793">
        <v>43831</v>
      </c>
      <c r="C15" s="790">
        <v>577</v>
      </c>
      <c r="E15" s="797" t="s">
        <v>205</v>
      </c>
      <c r="F15" s="169">
        <v>81149</v>
      </c>
      <c r="G15"/>
    </row>
    <row r="16" spans="1:7">
      <c r="A16" s="322" t="s">
        <v>91</v>
      </c>
      <c r="B16" s="793">
        <v>43831</v>
      </c>
      <c r="C16" s="790">
        <v>798</v>
      </c>
      <c r="E16" s="797" t="s">
        <v>206</v>
      </c>
      <c r="F16" s="169">
        <v>71891</v>
      </c>
      <c r="G16"/>
    </row>
    <row r="17" spans="1:7">
      <c r="A17" s="322" t="s">
        <v>93</v>
      </c>
      <c r="B17" s="793">
        <v>43831</v>
      </c>
      <c r="C17" s="790">
        <v>1405</v>
      </c>
      <c r="E17" s="322" t="s">
        <v>708</v>
      </c>
      <c r="F17" s="169">
        <v>995957</v>
      </c>
      <c r="G17"/>
    </row>
    <row r="18" spans="1:7">
      <c r="A18" s="322" t="s">
        <v>94</v>
      </c>
      <c r="B18" s="793">
        <v>43831</v>
      </c>
      <c r="C18" s="790">
        <v>423</v>
      </c>
      <c r="E18" s="797" t="s">
        <v>195</v>
      </c>
      <c r="F18" s="169">
        <v>61814</v>
      </c>
      <c r="G18"/>
    </row>
    <row r="19" spans="1:7">
      <c r="A19" s="322" t="s">
        <v>92</v>
      </c>
      <c r="B19" s="793">
        <v>43831</v>
      </c>
      <c r="C19" s="790">
        <v>5118</v>
      </c>
      <c r="E19" s="797" t="s">
        <v>196</v>
      </c>
      <c r="F19" s="169">
        <v>74217</v>
      </c>
    </row>
    <row r="20" spans="1:7">
      <c r="A20" s="322" t="s">
        <v>95</v>
      </c>
      <c r="B20" s="793">
        <v>43831</v>
      </c>
      <c r="C20" s="790">
        <v>4698</v>
      </c>
      <c r="E20" s="797" t="s">
        <v>197</v>
      </c>
      <c r="F20" s="169">
        <v>84947</v>
      </c>
    </row>
    <row r="21" spans="1:7">
      <c r="A21" s="322" t="s">
        <v>96</v>
      </c>
      <c r="B21" s="793">
        <v>43831</v>
      </c>
      <c r="C21" s="790">
        <v>579</v>
      </c>
      <c r="E21" s="797" t="s">
        <v>198</v>
      </c>
      <c r="F21" s="169">
        <v>76771</v>
      </c>
    </row>
    <row r="22" spans="1:7">
      <c r="A22" s="322" t="s">
        <v>98</v>
      </c>
      <c r="B22" s="793">
        <v>43831</v>
      </c>
      <c r="C22" s="790">
        <v>708</v>
      </c>
      <c r="E22" s="797" t="s">
        <v>199</v>
      </c>
      <c r="F22" s="169">
        <v>79973</v>
      </c>
    </row>
    <row r="23" spans="1:7">
      <c r="A23" s="322" t="s">
        <v>99</v>
      </c>
      <c r="B23" s="793">
        <v>43831</v>
      </c>
      <c r="C23" s="790">
        <v>110</v>
      </c>
      <c r="E23" s="797" t="s">
        <v>200</v>
      </c>
      <c r="F23" s="169">
        <v>86640</v>
      </c>
    </row>
    <row r="24" spans="1:7">
      <c r="A24" s="322" t="s">
        <v>97</v>
      </c>
      <c r="B24" s="793">
        <v>43831</v>
      </c>
      <c r="C24" s="790">
        <v>7312</v>
      </c>
      <c r="E24" s="797" t="s">
        <v>201</v>
      </c>
      <c r="F24" s="169">
        <v>94475</v>
      </c>
    </row>
    <row r="25" spans="1:7">
      <c r="A25" s="322" t="s">
        <v>100</v>
      </c>
      <c r="B25" s="793">
        <v>43831</v>
      </c>
      <c r="C25" s="790">
        <v>3596</v>
      </c>
      <c r="E25" s="797" t="s">
        <v>202</v>
      </c>
      <c r="F25" s="169">
        <v>97162</v>
      </c>
    </row>
    <row r="26" spans="1:7">
      <c r="A26" s="322" t="s">
        <v>102</v>
      </c>
      <c r="B26" s="793">
        <v>43831</v>
      </c>
      <c r="C26" s="790">
        <v>644</v>
      </c>
      <c r="E26" s="797" t="s">
        <v>203</v>
      </c>
      <c r="F26" s="169">
        <v>91604</v>
      </c>
    </row>
    <row r="27" spans="1:7">
      <c r="A27" s="322" t="s">
        <v>101</v>
      </c>
      <c r="B27" s="793">
        <v>43831</v>
      </c>
      <c r="C27" s="790">
        <v>23874</v>
      </c>
      <c r="E27" s="797" t="s">
        <v>204</v>
      </c>
      <c r="F27" s="169">
        <v>86012</v>
      </c>
    </row>
    <row r="28" spans="1:7">
      <c r="A28" s="322" t="s">
        <v>103</v>
      </c>
      <c r="B28" s="793">
        <v>43831</v>
      </c>
      <c r="C28" s="790">
        <v>303</v>
      </c>
      <c r="E28" s="797" t="s">
        <v>205</v>
      </c>
      <c r="F28" s="169">
        <v>86092</v>
      </c>
    </row>
    <row r="29" spans="1:7">
      <c r="A29" s="322" t="s">
        <v>77</v>
      </c>
      <c r="B29" s="793">
        <v>43862</v>
      </c>
      <c r="C29" s="790">
        <v>171</v>
      </c>
      <c r="E29" s="797" t="s">
        <v>206</v>
      </c>
      <c r="F29" s="169">
        <v>76250</v>
      </c>
    </row>
    <row r="30" spans="1:7">
      <c r="A30" s="322" t="s">
        <v>78</v>
      </c>
      <c r="B30" s="793">
        <v>43863</v>
      </c>
      <c r="C30" s="790">
        <v>494</v>
      </c>
      <c r="E30" s="322" t="s">
        <v>709</v>
      </c>
      <c r="F30" s="169">
        <v>672880</v>
      </c>
    </row>
    <row r="31" spans="1:7">
      <c r="A31" s="322" t="s">
        <v>80</v>
      </c>
      <c r="B31" s="793">
        <v>43864</v>
      </c>
      <c r="C31" s="790">
        <v>465</v>
      </c>
      <c r="E31" s="797" t="s">
        <v>195</v>
      </c>
      <c r="F31" s="169">
        <v>65965</v>
      </c>
    </row>
    <row r="32" spans="1:7">
      <c r="A32" s="322" t="s">
        <v>79</v>
      </c>
      <c r="B32" s="793">
        <v>43865</v>
      </c>
      <c r="C32" s="790">
        <v>296</v>
      </c>
      <c r="E32" s="797" t="s">
        <v>196</v>
      </c>
      <c r="F32" s="169">
        <v>73809</v>
      </c>
    </row>
    <row r="33" spans="1:6">
      <c r="A33" s="322" t="s">
        <v>81</v>
      </c>
      <c r="B33" s="793">
        <v>43866</v>
      </c>
      <c r="C33" s="790">
        <v>1408</v>
      </c>
      <c r="E33" s="797" t="s">
        <v>197</v>
      </c>
      <c r="F33" s="169">
        <v>94024</v>
      </c>
    </row>
    <row r="34" spans="1:6">
      <c r="A34" s="322" t="s">
        <v>82</v>
      </c>
      <c r="B34" s="793">
        <v>43867</v>
      </c>
      <c r="C34" s="790">
        <v>835</v>
      </c>
      <c r="E34" s="797" t="s">
        <v>198</v>
      </c>
      <c r="F34" s="169">
        <v>78399</v>
      </c>
    </row>
    <row r="35" spans="1:6">
      <c r="A35" s="322" t="s">
        <v>83</v>
      </c>
      <c r="B35" s="793">
        <v>43868</v>
      </c>
      <c r="C35" s="790">
        <v>1188</v>
      </c>
      <c r="E35" s="797" t="s">
        <v>199</v>
      </c>
      <c r="F35" s="169">
        <v>93305</v>
      </c>
    </row>
    <row r="36" spans="1:6">
      <c r="A36" s="322" t="s">
        <v>84</v>
      </c>
      <c r="B36" s="793">
        <v>43869</v>
      </c>
      <c r="C36" s="790">
        <v>881</v>
      </c>
      <c r="E36" s="797" t="s">
        <v>200</v>
      </c>
      <c r="F36" s="169">
        <v>86380</v>
      </c>
    </row>
    <row r="37" spans="1:6">
      <c r="A37" s="322" t="s">
        <v>85</v>
      </c>
      <c r="B37" s="793">
        <v>43870</v>
      </c>
      <c r="C37" s="790">
        <v>1928</v>
      </c>
      <c r="E37" s="797" t="s">
        <v>201</v>
      </c>
      <c r="F37" s="169">
        <v>85436</v>
      </c>
    </row>
    <row r="38" spans="1:6">
      <c r="A38" s="322" t="s">
        <v>86</v>
      </c>
      <c r="B38" s="793">
        <v>43871</v>
      </c>
      <c r="C38" s="790">
        <v>334</v>
      </c>
      <c r="E38" s="797" t="s">
        <v>202</v>
      </c>
      <c r="F38" s="169">
        <v>95562</v>
      </c>
    </row>
    <row r="39" spans="1:6">
      <c r="A39" s="322" t="s">
        <v>89</v>
      </c>
      <c r="B39" s="793">
        <v>43872</v>
      </c>
      <c r="C39" s="790">
        <v>3418</v>
      </c>
      <c r="E39" s="322" t="s">
        <v>257</v>
      </c>
      <c r="F39" s="169">
        <v>2508247</v>
      </c>
    </row>
    <row r="40" spans="1:6">
      <c r="A40" s="322" t="s">
        <v>88</v>
      </c>
      <c r="B40" s="793">
        <v>43873</v>
      </c>
      <c r="C40" s="790">
        <v>1444</v>
      </c>
      <c r="E40"/>
      <c r="F40"/>
    </row>
    <row r="41" spans="1:6">
      <c r="A41" s="322" t="s">
        <v>87</v>
      </c>
      <c r="B41" s="793">
        <v>43874</v>
      </c>
      <c r="C41" s="790">
        <v>1921</v>
      </c>
      <c r="E41"/>
      <c r="F41"/>
    </row>
    <row r="42" spans="1:6">
      <c r="A42" s="322" t="s">
        <v>90</v>
      </c>
      <c r="B42" s="793">
        <v>43875</v>
      </c>
      <c r="C42" s="790">
        <v>524</v>
      </c>
      <c r="E42"/>
      <c r="F42"/>
    </row>
    <row r="43" spans="1:6">
      <c r="A43" s="322" t="s">
        <v>91</v>
      </c>
      <c r="B43" s="793">
        <v>43876</v>
      </c>
      <c r="C43" s="790">
        <v>689</v>
      </c>
      <c r="E43"/>
      <c r="F43"/>
    </row>
    <row r="44" spans="1:6">
      <c r="A44" s="322" t="s">
        <v>93</v>
      </c>
      <c r="B44" s="793">
        <v>43877</v>
      </c>
      <c r="C44" s="790">
        <v>1258</v>
      </c>
      <c r="E44"/>
      <c r="F44"/>
    </row>
    <row r="45" spans="1:6">
      <c r="A45" s="322" t="s">
        <v>94</v>
      </c>
      <c r="B45" s="793">
        <v>43878</v>
      </c>
      <c r="C45" s="790">
        <v>325</v>
      </c>
      <c r="E45"/>
      <c r="F45"/>
    </row>
    <row r="46" spans="1:6">
      <c r="A46" s="322" t="s">
        <v>92</v>
      </c>
      <c r="B46" s="793">
        <v>43879</v>
      </c>
      <c r="C46" s="790">
        <v>5312</v>
      </c>
      <c r="E46"/>
      <c r="F46"/>
    </row>
    <row r="47" spans="1:6">
      <c r="A47" s="322" t="s">
        <v>95</v>
      </c>
      <c r="B47" s="793">
        <v>43880</v>
      </c>
      <c r="C47" s="790">
        <v>4050</v>
      </c>
      <c r="E47"/>
      <c r="F47"/>
    </row>
    <row r="48" spans="1:6">
      <c r="A48" s="322" t="s">
        <v>96</v>
      </c>
      <c r="B48" s="793">
        <v>43881</v>
      </c>
      <c r="C48" s="790">
        <v>528</v>
      </c>
      <c r="E48"/>
      <c r="F48"/>
    </row>
    <row r="49" spans="1:6">
      <c r="A49" s="322" t="s">
        <v>98</v>
      </c>
      <c r="B49" s="793">
        <v>43882</v>
      </c>
      <c r="C49" s="790">
        <v>682</v>
      </c>
      <c r="E49"/>
      <c r="F49"/>
    </row>
    <row r="50" spans="1:6">
      <c r="A50" s="322" t="s">
        <v>99</v>
      </c>
      <c r="B50" s="793">
        <v>43883</v>
      </c>
      <c r="C50" s="790">
        <v>88</v>
      </c>
      <c r="E50"/>
      <c r="F50"/>
    </row>
    <row r="51" spans="1:6">
      <c r="A51" s="322" t="s">
        <v>97</v>
      </c>
      <c r="B51" s="793">
        <v>43884</v>
      </c>
      <c r="C51" s="790">
        <v>6716</v>
      </c>
      <c r="E51"/>
      <c r="F51"/>
    </row>
    <row r="52" spans="1:6">
      <c r="A52" s="322" t="s">
        <v>100</v>
      </c>
      <c r="B52" s="793">
        <v>43885</v>
      </c>
      <c r="C52" s="790">
        <v>3804</v>
      </c>
      <c r="E52"/>
      <c r="F52"/>
    </row>
    <row r="53" spans="1:6">
      <c r="A53" s="322" t="s">
        <v>102</v>
      </c>
      <c r="B53" s="793">
        <v>43886</v>
      </c>
      <c r="C53" s="790">
        <v>505</v>
      </c>
      <c r="E53"/>
      <c r="F53"/>
    </row>
    <row r="54" spans="1:6">
      <c r="A54" s="322" t="s">
        <v>101</v>
      </c>
      <c r="B54" s="793">
        <v>43887</v>
      </c>
      <c r="C54" s="790">
        <v>23455</v>
      </c>
      <c r="E54"/>
      <c r="F54"/>
    </row>
    <row r="55" spans="1:6">
      <c r="A55" s="322" t="s">
        <v>103</v>
      </c>
      <c r="B55" s="793">
        <v>43888</v>
      </c>
      <c r="C55" s="790">
        <v>312</v>
      </c>
      <c r="E55"/>
      <c r="F55"/>
    </row>
    <row r="56" spans="1:6">
      <c r="A56" s="322" t="s">
        <v>77</v>
      </c>
      <c r="B56" s="793">
        <v>43891</v>
      </c>
      <c r="C56" s="790">
        <v>189</v>
      </c>
      <c r="E56"/>
      <c r="F56"/>
    </row>
    <row r="57" spans="1:6">
      <c r="A57" s="322" t="s">
        <v>78</v>
      </c>
      <c r="B57" s="793">
        <v>43892</v>
      </c>
      <c r="C57" s="790">
        <v>529</v>
      </c>
      <c r="E57"/>
      <c r="F57"/>
    </row>
    <row r="58" spans="1:6">
      <c r="A58" s="322" t="s">
        <v>80</v>
      </c>
      <c r="B58" s="793">
        <v>43893</v>
      </c>
      <c r="C58" s="790">
        <v>555</v>
      </c>
      <c r="E58"/>
      <c r="F58"/>
    </row>
    <row r="59" spans="1:6">
      <c r="A59" s="322" t="s">
        <v>79</v>
      </c>
      <c r="B59" s="793">
        <v>43894</v>
      </c>
      <c r="C59" s="790">
        <v>286</v>
      </c>
      <c r="E59"/>
      <c r="F59"/>
    </row>
    <row r="60" spans="1:6">
      <c r="A60" s="322" t="s">
        <v>81</v>
      </c>
      <c r="B60" s="793">
        <v>43895</v>
      </c>
      <c r="C60" s="790">
        <v>1347</v>
      </c>
      <c r="E60"/>
      <c r="F60"/>
    </row>
    <row r="61" spans="1:6">
      <c r="A61" s="322" t="s">
        <v>82</v>
      </c>
      <c r="B61" s="793">
        <v>43896</v>
      </c>
      <c r="C61" s="790">
        <v>743</v>
      </c>
      <c r="E61"/>
      <c r="F61"/>
    </row>
    <row r="62" spans="1:6">
      <c r="A62" s="322" t="s">
        <v>83</v>
      </c>
      <c r="B62" s="793">
        <v>43897</v>
      </c>
      <c r="C62" s="790">
        <v>1265</v>
      </c>
      <c r="E62"/>
      <c r="F62"/>
    </row>
    <row r="63" spans="1:6">
      <c r="A63" s="322" t="s">
        <v>84</v>
      </c>
      <c r="B63" s="793">
        <v>43898</v>
      </c>
      <c r="C63" s="790">
        <v>1052</v>
      </c>
      <c r="E63"/>
      <c r="F63"/>
    </row>
    <row r="64" spans="1:6">
      <c r="A64" s="322" t="s">
        <v>85</v>
      </c>
      <c r="B64" s="793">
        <v>43899</v>
      </c>
      <c r="C64" s="790">
        <v>2040</v>
      </c>
      <c r="E64"/>
      <c r="F64"/>
    </row>
    <row r="65" spans="1:6">
      <c r="A65" s="322" t="s">
        <v>86</v>
      </c>
      <c r="B65" s="793">
        <v>43900</v>
      </c>
      <c r="C65" s="790">
        <v>333</v>
      </c>
      <c r="E65"/>
      <c r="F65"/>
    </row>
    <row r="66" spans="1:6">
      <c r="A66" s="322" t="s">
        <v>89</v>
      </c>
      <c r="B66" s="793">
        <v>43901</v>
      </c>
      <c r="C66" s="790">
        <v>3721</v>
      </c>
      <c r="E66"/>
      <c r="F66"/>
    </row>
    <row r="67" spans="1:6">
      <c r="A67" s="322" t="s">
        <v>88</v>
      </c>
      <c r="B67" s="793">
        <v>43902</v>
      </c>
      <c r="C67" s="790">
        <v>1598</v>
      </c>
      <c r="E67"/>
      <c r="F67"/>
    </row>
    <row r="68" spans="1:6">
      <c r="A68" s="322" t="s">
        <v>87</v>
      </c>
      <c r="B68" s="793">
        <v>43903</v>
      </c>
      <c r="C68" s="790">
        <v>2367</v>
      </c>
      <c r="E68"/>
      <c r="F68"/>
    </row>
    <row r="69" spans="1:6">
      <c r="A69" s="322" t="s">
        <v>90</v>
      </c>
      <c r="B69" s="793">
        <v>43904</v>
      </c>
      <c r="C69" s="790">
        <v>564</v>
      </c>
      <c r="E69"/>
      <c r="F69"/>
    </row>
    <row r="70" spans="1:6">
      <c r="A70" s="322" t="s">
        <v>91</v>
      </c>
      <c r="B70" s="793">
        <v>43905</v>
      </c>
      <c r="C70" s="790">
        <v>763</v>
      </c>
      <c r="E70"/>
      <c r="F70"/>
    </row>
    <row r="71" spans="1:6">
      <c r="A71" s="322" t="s">
        <v>93</v>
      </c>
      <c r="B71" s="793">
        <v>43906</v>
      </c>
      <c r="C71" s="790">
        <v>1183</v>
      </c>
      <c r="E71"/>
      <c r="F71"/>
    </row>
    <row r="72" spans="1:6">
      <c r="A72" s="322" t="s">
        <v>94</v>
      </c>
      <c r="B72" s="793">
        <v>43907</v>
      </c>
      <c r="C72" s="790">
        <v>324</v>
      </c>
      <c r="E72"/>
      <c r="F72"/>
    </row>
    <row r="73" spans="1:6">
      <c r="A73" s="322" t="s">
        <v>92</v>
      </c>
      <c r="B73" s="793">
        <v>43908</v>
      </c>
      <c r="C73" s="790">
        <v>5885</v>
      </c>
      <c r="E73"/>
      <c r="F73"/>
    </row>
    <row r="74" spans="1:6">
      <c r="A74" s="322" t="s">
        <v>95</v>
      </c>
      <c r="B74" s="793">
        <v>43909</v>
      </c>
      <c r="C74" s="790">
        <v>3807</v>
      </c>
      <c r="E74"/>
      <c r="F74"/>
    </row>
    <row r="75" spans="1:6">
      <c r="A75" s="322" t="s">
        <v>96</v>
      </c>
      <c r="B75" s="793">
        <v>43910</v>
      </c>
      <c r="C75" s="790">
        <v>637</v>
      </c>
      <c r="E75"/>
      <c r="F75"/>
    </row>
    <row r="76" spans="1:6">
      <c r="A76" s="322" t="s">
        <v>98</v>
      </c>
      <c r="B76" s="793">
        <v>43911</v>
      </c>
      <c r="C76" s="790">
        <v>605</v>
      </c>
      <c r="E76"/>
      <c r="F76"/>
    </row>
    <row r="77" spans="1:6">
      <c r="A77" s="322" t="s">
        <v>99</v>
      </c>
      <c r="B77" s="793">
        <v>43912</v>
      </c>
      <c r="C77" s="790">
        <v>100</v>
      </c>
      <c r="E77"/>
      <c r="F77"/>
    </row>
    <row r="78" spans="1:6">
      <c r="A78" s="322" t="s">
        <v>97</v>
      </c>
      <c r="B78" s="793">
        <v>43913</v>
      </c>
      <c r="C78" s="790">
        <v>6925</v>
      </c>
      <c r="E78"/>
      <c r="F78"/>
    </row>
    <row r="79" spans="1:6">
      <c r="A79" s="322" t="s">
        <v>100</v>
      </c>
      <c r="B79" s="793">
        <v>43914</v>
      </c>
      <c r="C79" s="790">
        <v>4095</v>
      </c>
      <c r="E79"/>
      <c r="F79"/>
    </row>
    <row r="80" spans="1:6">
      <c r="A80" s="322" t="s">
        <v>102</v>
      </c>
      <c r="B80" s="793">
        <v>43915</v>
      </c>
      <c r="C80" s="790">
        <v>544</v>
      </c>
      <c r="E80"/>
      <c r="F80"/>
    </row>
    <row r="81" spans="1:6">
      <c r="A81" s="322" t="s">
        <v>101</v>
      </c>
      <c r="B81" s="793">
        <v>43916</v>
      </c>
      <c r="C81" s="790">
        <v>25758</v>
      </c>
      <c r="E81"/>
      <c r="F81"/>
    </row>
    <row r="82" spans="1:6">
      <c r="A82" s="322" t="s">
        <v>103</v>
      </c>
      <c r="B82" s="793">
        <v>43917</v>
      </c>
      <c r="C82" s="790">
        <v>356</v>
      </c>
      <c r="E82"/>
      <c r="F82"/>
    </row>
    <row r="83" spans="1:6">
      <c r="A83" s="322" t="s">
        <v>77</v>
      </c>
      <c r="B83" s="793">
        <v>43922</v>
      </c>
      <c r="C83" s="790">
        <v>103</v>
      </c>
      <c r="E83"/>
      <c r="F83"/>
    </row>
    <row r="84" spans="1:6">
      <c r="A84" s="322" t="s">
        <v>78</v>
      </c>
      <c r="B84" s="793">
        <v>43923</v>
      </c>
      <c r="C84" s="790">
        <v>373</v>
      </c>
      <c r="E84"/>
      <c r="F84"/>
    </row>
    <row r="85" spans="1:6">
      <c r="A85" s="322" t="s">
        <v>80</v>
      </c>
      <c r="B85" s="793">
        <v>43924</v>
      </c>
      <c r="C85" s="790">
        <v>218</v>
      </c>
      <c r="E85"/>
      <c r="F85"/>
    </row>
    <row r="86" spans="1:6">
      <c r="A86" s="322" t="s">
        <v>79</v>
      </c>
      <c r="B86" s="793">
        <v>43925</v>
      </c>
      <c r="C86" s="790">
        <v>165</v>
      </c>
      <c r="E86"/>
      <c r="F86"/>
    </row>
    <row r="87" spans="1:6">
      <c r="A87" s="322" t="s">
        <v>81</v>
      </c>
      <c r="B87" s="793">
        <v>43926</v>
      </c>
      <c r="C87" s="790">
        <v>785</v>
      </c>
      <c r="E87"/>
      <c r="F87"/>
    </row>
    <row r="88" spans="1:6">
      <c r="A88" s="322" t="s">
        <v>82</v>
      </c>
      <c r="B88" s="793">
        <v>43927</v>
      </c>
      <c r="C88" s="790">
        <v>371</v>
      </c>
      <c r="E88"/>
      <c r="F88"/>
    </row>
    <row r="89" spans="1:6">
      <c r="A89" s="322" t="s">
        <v>83</v>
      </c>
      <c r="B89" s="793">
        <v>43928</v>
      </c>
      <c r="C89" s="790">
        <v>788</v>
      </c>
      <c r="E89"/>
      <c r="F89"/>
    </row>
    <row r="90" spans="1:6">
      <c r="A90" s="322" t="s">
        <v>84</v>
      </c>
      <c r="B90" s="793">
        <v>43929</v>
      </c>
      <c r="C90" s="790">
        <v>622</v>
      </c>
      <c r="E90"/>
      <c r="F90"/>
    </row>
    <row r="91" spans="1:6">
      <c r="A91" s="322" t="s">
        <v>85</v>
      </c>
      <c r="B91" s="793">
        <v>43930</v>
      </c>
      <c r="C91" s="790">
        <v>1507</v>
      </c>
      <c r="E91"/>
      <c r="F91"/>
    </row>
    <row r="92" spans="1:6">
      <c r="A92" s="322" t="s">
        <v>86</v>
      </c>
      <c r="B92" s="793">
        <v>43931</v>
      </c>
      <c r="C92" s="790">
        <v>163</v>
      </c>
      <c r="E92"/>
      <c r="F92"/>
    </row>
    <row r="93" spans="1:6">
      <c r="A93" s="322" t="s">
        <v>89</v>
      </c>
      <c r="B93" s="793">
        <v>43932</v>
      </c>
      <c r="C93" s="790">
        <v>2618</v>
      </c>
      <c r="E93"/>
      <c r="F93"/>
    </row>
    <row r="94" spans="1:6">
      <c r="A94" s="322" t="s">
        <v>88</v>
      </c>
      <c r="B94" s="793">
        <v>43933</v>
      </c>
      <c r="C94" s="790">
        <v>1192</v>
      </c>
      <c r="E94"/>
      <c r="F94"/>
    </row>
    <row r="95" spans="1:6">
      <c r="A95" s="322" t="s">
        <v>87</v>
      </c>
      <c r="B95" s="793">
        <v>43934</v>
      </c>
      <c r="C95" s="790">
        <v>2057</v>
      </c>
      <c r="E95"/>
      <c r="F95"/>
    </row>
    <row r="96" spans="1:6">
      <c r="A96" s="322" t="s">
        <v>90</v>
      </c>
      <c r="B96" s="793">
        <v>43935</v>
      </c>
      <c r="C96" s="790">
        <v>382</v>
      </c>
      <c r="E96"/>
      <c r="F96"/>
    </row>
    <row r="97" spans="1:6">
      <c r="A97" s="322" t="s">
        <v>91</v>
      </c>
      <c r="B97" s="793">
        <v>43936</v>
      </c>
      <c r="C97" s="790">
        <v>385</v>
      </c>
      <c r="E97"/>
      <c r="F97"/>
    </row>
    <row r="98" spans="1:6">
      <c r="A98" s="322" t="s">
        <v>93</v>
      </c>
      <c r="B98" s="793">
        <v>43937</v>
      </c>
      <c r="C98" s="790">
        <v>550</v>
      </c>
      <c r="E98"/>
      <c r="F98"/>
    </row>
    <row r="99" spans="1:6">
      <c r="A99" s="322" t="s">
        <v>94</v>
      </c>
      <c r="B99" s="793">
        <v>43938</v>
      </c>
      <c r="C99" s="790">
        <v>179</v>
      </c>
      <c r="E99"/>
      <c r="F99"/>
    </row>
    <row r="100" spans="1:6">
      <c r="A100" s="322" t="s">
        <v>92</v>
      </c>
      <c r="B100" s="793">
        <v>43939</v>
      </c>
      <c r="C100" s="790">
        <v>4027</v>
      </c>
      <c r="E100"/>
      <c r="F100"/>
    </row>
    <row r="101" spans="1:6">
      <c r="A101" s="322" t="s">
        <v>95</v>
      </c>
      <c r="B101" s="793">
        <v>43940</v>
      </c>
      <c r="C101" s="790">
        <v>1664</v>
      </c>
      <c r="E101"/>
      <c r="F101"/>
    </row>
    <row r="102" spans="1:6">
      <c r="A102" s="322" t="s">
        <v>96</v>
      </c>
      <c r="B102" s="793">
        <v>43941</v>
      </c>
      <c r="C102" s="790">
        <v>361</v>
      </c>
      <c r="E102"/>
      <c r="F102"/>
    </row>
    <row r="103" spans="1:6">
      <c r="A103" s="322" t="s">
        <v>98</v>
      </c>
      <c r="B103" s="793">
        <v>43942</v>
      </c>
      <c r="C103" s="790">
        <v>547</v>
      </c>
      <c r="E103"/>
      <c r="F103"/>
    </row>
    <row r="104" spans="1:6">
      <c r="A104" s="322" t="s">
        <v>99</v>
      </c>
      <c r="B104" s="793">
        <v>43943</v>
      </c>
      <c r="C104" s="790">
        <v>53</v>
      </c>
      <c r="E104"/>
      <c r="F104"/>
    </row>
    <row r="105" spans="1:6">
      <c r="A105" s="322" t="s">
        <v>97</v>
      </c>
      <c r="B105" s="793">
        <v>43944</v>
      </c>
      <c r="C105" s="790">
        <v>4260</v>
      </c>
      <c r="E105"/>
      <c r="F105"/>
    </row>
    <row r="106" spans="1:6">
      <c r="A106" s="322" t="s">
        <v>100</v>
      </c>
      <c r="B106" s="793">
        <v>43945</v>
      </c>
      <c r="C106" s="790">
        <v>3414</v>
      </c>
      <c r="E106"/>
      <c r="F106"/>
    </row>
    <row r="107" spans="1:6">
      <c r="A107" s="322" t="s">
        <v>102</v>
      </c>
      <c r="B107" s="793">
        <v>43946</v>
      </c>
      <c r="C107" s="790">
        <v>405</v>
      </c>
      <c r="E107"/>
      <c r="F107"/>
    </row>
    <row r="108" spans="1:6">
      <c r="A108" s="322" t="s">
        <v>101</v>
      </c>
      <c r="B108" s="793">
        <v>43947</v>
      </c>
      <c r="C108" s="790">
        <v>13653</v>
      </c>
      <c r="E108"/>
      <c r="F108"/>
    </row>
    <row r="109" spans="1:6">
      <c r="A109" s="322" t="s">
        <v>103</v>
      </c>
      <c r="B109" s="793">
        <v>43948</v>
      </c>
      <c r="C109" s="790">
        <v>195</v>
      </c>
      <c r="E109"/>
      <c r="F109"/>
    </row>
    <row r="110" spans="1:6">
      <c r="A110" s="322" t="s">
        <v>77</v>
      </c>
      <c r="B110" s="793">
        <v>43952</v>
      </c>
      <c r="C110" s="790">
        <v>146</v>
      </c>
      <c r="E110"/>
      <c r="F110"/>
    </row>
    <row r="111" spans="1:6">
      <c r="A111" s="322" t="s">
        <v>78</v>
      </c>
      <c r="B111" s="793">
        <v>43953</v>
      </c>
      <c r="C111" s="790">
        <v>407</v>
      </c>
      <c r="E111"/>
      <c r="F111"/>
    </row>
    <row r="112" spans="1:6">
      <c r="A112" s="322" t="s">
        <v>80</v>
      </c>
      <c r="B112" s="793">
        <v>43954</v>
      </c>
      <c r="C112" s="790">
        <v>267</v>
      </c>
      <c r="E112"/>
      <c r="F112"/>
    </row>
    <row r="113" spans="1:6">
      <c r="A113" s="322" t="s">
        <v>79</v>
      </c>
      <c r="B113" s="793">
        <v>43955</v>
      </c>
      <c r="C113" s="790">
        <v>172</v>
      </c>
      <c r="E113"/>
      <c r="F113"/>
    </row>
    <row r="114" spans="1:6">
      <c r="A114" s="322" t="s">
        <v>81</v>
      </c>
      <c r="B114" s="793">
        <v>43956</v>
      </c>
      <c r="C114" s="790">
        <v>805</v>
      </c>
      <c r="E114"/>
      <c r="F114"/>
    </row>
    <row r="115" spans="1:6">
      <c r="A115" s="322" t="s">
        <v>82</v>
      </c>
      <c r="B115" s="793">
        <v>43957</v>
      </c>
      <c r="C115" s="790">
        <v>358</v>
      </c>
      <c r="E115"/>
      <c r="F115"/>
    </row>
    <row r="116" spans="1:6">
      <c r="A116" s="322" t="s">
        <v>83</v>
      </c>
      <c r="B116" s="793">
        <v>43958</v>
      </c>
      <c r="C116" s="790">
        <v>1019</v>
      </c>
      <c r="E116"/>
      <c r="F116"/>
    </row>
    <row r="117" spans="1:6">
      <c r="A117" s="322" t="s">
        <v>84</v>
      </c>
      <c r="B117" s="793">
        <v>43959</v>
      </c>
      <c r="C117" s="790">
        <v>846</v>
      </c>
      <c r="E117"/>
      <c r="F117"/>
    </row>
    <row r="118" spans="1:6">
      <c r="A118" s="322" t="s">
        <v>85</v>
      </c>
      <c r="B118" s="793">
        <v>43960</v>
      </c>
      <c r="C118" s="790">
        <v>1843</v>
      </c>
      <c r="E118"/>
      <c r="F118"/>
    </row>
    <row r="119" spans="1:6">
      <c r="A119" s="322" t="s">
        <v>86</v>
      </c>
      <c r="B119" s="793">
        <v>43961</v>
      </c>
      <c r="C119" s="790">
        <v>168</v>
      </c>
      <c r="E119"/>
      <c r="F119"/>
    </row>
    <row r="120" spans="1:6">
      <c r="A120" s="322" t="s">
        <v>89</v>
      </c>
      <c r="B120" s="793">
        <v>43962</v>
      </c>
      <c r="C120" s="790">
        <v>3243</v>
      </c>
      <c r="E120"/>
      <c r="F120"/>
    </row>
    <row r="121" spans="1:6">
      <c r="A121" s="322" t="s">
        <v>88</v>
      </c>
      <c r="B121" s="793">
        <v>43963</v>
      </c>
      <c r="C121" s="790">
        <v>1400</v>
      </c>
      <c r="E121"/>
      <c r="F121"/>
    </row>
    <row r="122" spans="1:6">
      <c r="A122" s="322" t="s">
        <v>87</v>
      </c>
      <c r="B122" s="793">
        <v>43964</v>
      </c>
      <c r="C122" s="790">
        <v>2519</v>
      </c>
      <c r="E122"/>
      <c r="F122"/>
    </row>
    <row r="123" spans="1:6">
      <c r="A123" s="322" t="s">
        <v>90</v>
      </c>
      <c r="B123" s="793">
        <v>43965</v>
      </c>
      <c r="C123" s="790">
        <v>282</v>
      </c>
      <c r="E123"/>
      <c r="F123"/>
    </row>
    <row r="124" spans="1:6">
      <c r="A124" s="322" t="s">
        <v>91</v>
      </c>
      <c r="B124" s="793">
        <v>43966</v>
      </c>
      <c r="C124" s="790">
        <v>483</v>
      </c>
      <c r="E124"/>
      <c r="F124"/>
    </row>
    <row r="125" spans="1:6">
      <c r="A125" s="322" t="s">
        <v>93</v>
      </c>
      <c r="B125" s="793">
        <v>43967</v>
      </c>
      <c r="C125" s="790">
        <v>701</v>
      </c>
      <c r="E125"/>
      <c r="F125"/>
    </row>
    <row r="126" spans="1:6">
      <c r="A126" s="322" t="s">
        <v>94</v>
      </c>
      <c r="B126" s="793">
        <v>43968</v>
      </c>
      <c r="C126" s="790">
        <v>174</v>
      </c>
      <c r="E126"/>
      <c r="F126"/>
    </row>
    <row r="127" spans="1:6">
      <c r="A127" s="322" t="s">
        <v>92</v>
      </c>
      <c r="B127" s="793">
        <v>43969</v>
      </c>
      <c r="C127" s="790">
        <v>5600</v>
      </c>
      <c r="E127"/>
      <c r="F127"/>
    </row>
    <row r="128" spans="1:6">
      <c r="A128" s="322" t="s">
        <v>95</v>
      </c>
      <c r="B128" s="793">
        <v>43970</v>
      </c>
      <c r="C128" s="790">
        <v>1961</v>
      </c>
      <c r="E128"/>
      <c r="F128"/>
    </row>
    <row r="129" spans="1:6">
      <c r="A129" s="322" t="s">
        <v>96</v>
      </c>
      <c r="B129" s="793">
        <v>43971</v>
      </c>
      <c r="C129" s="790">
        <v>496</v>
      </c>
      <c r="E129"/>
      <c r="F129"/>
    </row>
    <row r="130" spans="1:6">
      <c r="A130" s="322" t="s">
        <v>98</v>
      </c>
      <c r="B130" s="793">
        <v>43972</v>
      </c>
      <c r="C130" s="790">
        <v>662</v>
      </c>
      <c r="E130"/>
      <c r="F130"/>
    </row>
    <row r="131" spans="1:6">
      <c r="A131" s="322" t="s">
        <v>99</v>
      </c>
      <c r="B131" s="793">
        <v>43973</v>
      </c>
      <c r="C131" s="790">
        <v>73</v>
      </c>
      <c r="E131"/>
      <c r="F131"/>
    </row>
    <row r="132" spans="1:6">
      <c r="A132" s="322" t="s">
        <v>97</v>
      </c>
      <c r="B132" s="793">
        <v>43974</v>
      </c>
      <c r="C132" s="790">
        <v>5722</v>
      </c>
      <c r="E132"/>
      <c r="F132"/>
    </row>
    <row r="133" spans="1:6">
      <c r="A133" s="322" t="s">
        <v>100</v>
      </c>
      <c r="B133" s="793">
        <v>43975</v>
      </c>
      <c r="C133" s="790">
        <v>4089</v>
      </c>
      <c r="E133"/>
      <c r="F133"/>
    </row>
    <row r="134" spans="1:6">
      <c r="A134" s="322" t="s">
        <v>102</v>
      </c>
      <c r="B134" s="793">
        <v>43976</v>
      </c>
      <c r="C134" s="790">
        <v>366</v>
      </c>
      <c r="E134"/>
      <c r="F134"/>
    </row>
    <row r="135" spans="1:6">
      <c r="A135" s="322" t="s">
        <v>101</v>
      </c>
      <c r="B135" s="793">
        <v>43977</v>
      </c>
      <c r="C135" s="790">
        <v>15563</v>
      </c>
      <c r="E135"/>
      <c r="F135"/>
    </row>
    <row r="136" spans="1:6">
      <c r="A136" s="322" t="s">
        <v>103</v>
      </c>
      <c r="B136" s="793">
        <v>43978</v>
      </c>
      <c r="C136" s="790">
        <v>335</v>
      </c>
      <c r="E136"/>
      <c r="F136"/>
    </row>
    <row r="137" spans="1:6">
      <c r="A137" s="322" t="s">
        <v>77</v>
      </c>
      <c r="B137" s="793">
        <v>43983</v>
      </c>
      <c r="C137" s="790">
        <v>175</v>
      </c>
      <c r="E137"/>
      <c r="F137"/>
    </row>
    <row r="138" spans="1:6">
      <c r="A138" s="322" t="s">
        <v>78</v>
      </c>
      <c r="B138" s="793">
        <v>43984</v>
      </c>
      <c r="C138" s="790">
        <v>435</v>
      </c>
      <c r="E138"/>
      <c r="F138"/>
    </row>
    <row r="139" spans="1:6">
      <c r="A139" s="322" t="s">
        <v>80</v>
      </c>
      <c r="B139" s="793">
        <v>43985</v>
      </c>
      <c r="C139" s="790">
        <v>487</v>
      </c>
      <c r="E139"/>
      <c r="F139"/>
    </row>
    <row r="140" spans="1:6">
      <c r="A140" s="322" t="s">
        <v>79</v>
      </c>
      <c r="B140" s="793">
        <v>43986</v>
      </c>
      <c r="C140" s="790">
        <v>205</v>
      </c>
      <c r="E140"/>
      <c r="F140"/>
    </row>
    <row r="141" spans="1:6">
      <c r="A141" s="322" t="s">
        <v>81</v>
      </c>
      <c r="B141" s="793">
        <v>43987</v>
      </c>
      <c r="C141" s="790">
        <v>1162</v>
      </c>
      <c r="E141"/>
      <c r="F141"/>
    </row>
    <row r="142" spans="1:6">
      <c r="A142" s="322" t="s">
        <v>82</v>
      </c>
      <c r="B142" s="793">
        <v>43988</v>
      </c>
      <c r="C142" s="790">
        <v>861</v>
      </c>
      <c r="E142"/>
      <c r="F142"/>
    </row>
    <row r="143" spans="1:6">
      <c r="A143" s="322" t="s">
        <v>83</v>
      </c>
      <c r="B143" s="793">
        <v>43989</v>
      </c>
      <c r="C143" s="790">
        <v>1300</v>
      </c>
      <c r="E143"/>
      <c r="F143"/>
    </row>
    <row r="144" spans="1:6">
      <c r="A144" s="322" t="s">
        <v>84</v>
      </c>
      <c r="B144" s="793">
        <v>43990</v>
      </c>
      <c r="C144" s="790">
        <v>952</v>
      </c>
      <c r="E144"/>
      <c r="F144"/>
    </row>
    <row r="145" spans="1:6">
      <c r="A145" s="322" t="s">
        <v>85</v>
      </c>
      <c r="B145" s="793">
        <v>43991</v>
      </c>
      <c r="C145" s="790">
        <v>2464</v>
      </c>
      <c r="E145"/>
      <c r="F145"/>
    </row>
    <row r="146" spans="1:6">
      <c r="A146" s="322" t="s">
        <v>86</v>
      </c>
      <c r="B146" s="793">
        <v>43992</v>
      </c>
      <c r="C146" s="790">
        <v>307</v>
      </c>
      <c r="E146"/>
      <c r="F146"/>
    </row>
    <row r="147" spans="1:6">
      <c r="A147" s="322" t="s">
        <v>89</v>
      </c>
      <c r="B147" s="793">
        <v>43993</v>
      </c>
      <c r="C147" s="790">
        <v>3912</v>
      </c>
      <c r="E147"/>
      <c r="F147"/>
    </row>
    <row r="148" spans="1:6">
      <c r="A148" s="322" t="s">
        <v>88</v>
      </c>
      <c r="B148" s="793">
        <v>43994</v>
      </c>
      <c r="C148" s="790">
        <v>1657</v>
      </c>
      <c r="E148"/>
      <c r="F148"/>
    </row>
    <row r="149" spans="1:6">
      <c r="A149" s="322" t="s">
        <v>87</v>
      </c>
      <c r="B149" s="793">
        <v>43995</v>
      </c>
      <c r="C149" s="790">
        <v>2706</v>
      </c>
      <c r="E149"/>
      <c r="F149"/>
    </row>
    <row r="150" spans="1:6">
      <c r="A150" s="322" t="s">
        <v>90</v>
      </c>
      <c r="B150" s="793">
        <v>43996</v>
      </c>
      <c r="C150" s="790">
        <v>578</v>
      </c>
      <c r="E150"/>
      <c r="F150"/>
    </row>
    <row r="151" spans="1:6">
      <c r="A151" s="322" t="s">
        <v>91</v>
      </c>
      <c r="B151" s="793">
        <v>43997</v>
      </c>
      <c r="C151" s="790">
        <v>521</v>
      </c>
      <c r="E151"/>
      <c r="F151"/>
    </row>
    <row r="152" spans="1:6">
      <c r="A152" s="322" t="s">
        <v>93</v>
      </c>
      <c r="B152" s="793">
        <v>43998</v>
      </c>
      <c r="C152" s="790">
        <v>871</v>
      </c>
      <c r="E152"/>
      <c r="F152"/>
    </row>
    <row r="153" spans="1:6">
      <c r="A153" s="322" t="s">
        <v>94</v>
      </c>
      <c r="B153" s="793">
        <v>43999</v>
      </c>
      <c r="C153" s="790">
        <v>317</v>
      </c>
      <c r="E153"/>
      <c r="F153"/>
    </row>
    <row r="154" spans="1:6">
      <c r="A154" s="322" t="s">
        <v>92</v>
      </c>
      <c r="B154" s="793">
        <v>44000</v>
      </c>
      <c r="C154" s="790">
        <v>6244</v>
      </c>
      <c r="E154"/>
      <c r="F154"/>
    </row>
    <row r="155" spans="1:6">
      <c r="A155" s="322" t="s">
        <v>95</v>
      </c>
      <c r="B155" s="793">
        <v>44001</v>
      </c>
      <c r="C155" s="790">
        <v>2874</v>
      </c>
      <c r="E155"/>
      <c r="F155"/>
    </row>
    <row r="156" spans="1:6">
      <c r="A156" s="322" t="s">
        <v>96</v>
      </c>
      <c r="B156" s="793">
        <v>44002</v>
      </c>
      <c r="C156" s="790">
        <v>474</v>
      </c>
      <c r="E156"/>
      <c r="F156"/>
    </row>
    <row r="157" spans="1:6">
      <c r="A157" s="322" t="s">
        <v>98</v>
      </c>
      <c r="B157" s="793">
        <v>44003</v>
      </c>
      <c r="C157" s="790">
        <v>849</v>
      </c>
      <c r="E157"/>
      <c r="F157"/>
    </row>
    <row r="158" spans="1:6">
      <c r="A158" s="322" t="s">
        <v>99</v>
      </c>
      <c r="B158" s="793">
        <v>44004</v>
      </c>
      <c r="C158" s="790">
        <v>70</v>
      </c>
      <c r="E158"/>
      <c r="F158"/>
    </row>
    <row r="159" spans="1:6">
      <c r="A159" s="322" t="s">
        <v>97</v>
      </c>
      <c r="B159" s="793">
        <v>44005</v>
      </c>
      <c r="C159" s="790">
        <v>6517</v>
      </c>
      <c r="E159"/>
      <c r="F159"/>
    </row>
    <row r="160" spans="1:6">
      <c r="A160" s="322" t="s">
        <v>100</v>
      </c>
      <c r="B160" s="793">
        <v>44006</v>
      </c>
      <c r="C160" s="790">
        <v>4571</v>
      </c>
      <c r="E160"/>
      <c r="F160"/>
    </row>
    <row r="161" spans="1:6">
      <c r="A161" s="322" t="s">
        <v>102</v>
      </c>
      <c r="B161" s="793">
        <v>44007</v>
      </c>
      <c r="C161" s="790">
        <v>495</v>
      </c>
      <c r="E161"/>
      <c r="F161"/>
    </row>
    <row r="162" spans="1:6">
      <c r="A162" s="322" t="s">
        <v>101</v>
      </c>
      <c r="B162" s="793">
        <v>44008</v>
      </c>
      <c r="C162" s="790">
        <v>21456</v>
      </c>
      <c r="E162"/>
      <c r="F162"/>
    </row>
    <row r="163" spans="1:6">
      <c r="A163" s="322" t="s">
        <v>103</v>
      </c>
      <c r="B163" s="793">
        <v>44009</v>
      </c>
      <c r="C163" s="790">
        <v>365</v>
      </c>
      <c r="E163"/>
      <c r="F163"/>
    </row>
    <row r="164" spans="1:6">
      <c r="A164" s="322" t="s">
        <v>77</v>
      </c>
      <c r="B164" s="793">
        <v>44013</v>
      </c>
      <c r="C164" s="790">
        <v>231</v>
      </c>
      <c r="E164"/>
      <c r="F164"/>
    </row>
    <row r="165" spans="1:6">
      <c r="A165" s="322" t="s">
        <v>78</v>
      </c>
      <c r="B165" s="793">
        <v>44014</v>
      </c>
      <c r="C165" s="790">
        <v>602</v>
      </c>
      <c r="E165"/>
      <c r="F165"/>
    </row>
    <row r="166" spans="1:6">
      <c r="A166" s="322" t="s">
        <v>80</v>
      </c>
      <c r="B166" s="793">
        <v>44015</v>
      </c>
      <c r="C166" s="790">
        <v>672</v>
      </c>
      <c r="E166"/>
      <c r="F166"/>
    </row>
    <row r="167" spans="1:6">
      <c r="A167" s="322" t="s">
        <v>79</v>
      </c>
      <c r="B167" s="793">
        <v>44016</v>
      </c>
      <c r="C167" s="790">
        <v>352</v>
      </c>
      <c r="E167"/>
      <c r="F167"/>
    </row>
    <row r="168" spans="1:6">
      <c r="A168" s="322" t="s">
        <v>81</v>
      </c>
      <c r="B168" s="793">
        <v>44017</v>
      </c>
      <c r="C168" s="790">
        <v>1521</v>
      </c>
      <c r="E168"/>
      <c r="F168"/>
    </row>
    <row r="169" spans="1:6">
      <c r="A169" s="322" t="s">
        <v>82</v>
      </c>
      <c r="B169" s="793">
        <v>44018</v>
      </c>
      <c r="C169" s="790">
        <v>1089</v>
      </c>
      <c r="E169"/>
      <c r="F169"/>
    </row>
    <row r="170" spans="1:6">
      <c r="A170" s="322" t="s">
        <v>83</v>
      </c>
      <c r="B170" s="793">
        <v>44019</v>
      </c>
      <c r="C170" s="790">
        <v>1683</v>
      </c>
      <c r="E170"/>
      <c r="F170"/>
    </row>
    <row r="171" spans="1:6">
      <c r="A171" s="322" t="s">
        <v>84</v>
      </c>
      <c r="B171" s="793">
        <v>44020</v>
      </c>
      <c r="C171" s="790">
        <v>1304</v>
      </c>
      <c r="E171"/>
      <c r="F171"/>
    </row>
    <row r="172" spans="1:6">
      <c r="A172" s="322" t="s">
        <v>85</v>
      </c>
      <c r="B172" s="793">
        <v>44021</v>
      </c>
      <c r="C172" s="790">
        <v>3089</v>
      </c>
      <c r="E172"/>
      <c r="F172"/>
    </row>
    <row r="173" spans="1:6">
      <c r="A173" s="322" t="s">
        <v>86</v>
      </c>
      <c r="B173" s="793">
        <v>44022</v>
      </c>
      <c r="C173" s="790">
        <v>469</v>
      </c>
      <c r="E173"/>
      <c r="F173"/>
    </row>
    <row r="174" spans="1:6">
      <c r="A174" s="322" t="s">
        <v>89</v>
      </c>
      <c r="B174" s="793">
        <v>44023</v>
      </c>
      <c r="C174" s="790">
        <v>5010</v>
      </c>
      <c r="E174"/>
      <c r="F174"/>
    </row>
    <row r="175" spans="1:6">
      <c r="A175" s="322" t="s">
        <v>88</v>
      </c>
      <c r="B175" s="793">
        <v>44024</v>
      </c>
      <c r="C175" s="790">
        <v>1985</v>
      </c>
      <c r="E175"/>
      <c r="F175"/>
    </row>
    <row r="176" spans="1:6">
      <c r="A176" s="322" t="s">
        <v>87</v>
      </c>
      <c r="B176" s="793">
        <v>44025</v>
      </c>
      <c r="C176" s="790">
        <v>2972</v>
      </c>
      <c r="E176"/>
      <c r="F176"/>
    </row>
    <row r="177" spans="1:6">
      <c r="A177" s="322" t="s">
        <v>90</v>
      </c>
      <c r="B177" s="793">
        <v>44026</v>
      </c>
      <c r="C177" s="790">
        <v>725</v>
      </c>
      <c r="E177"/>
      <c r="F177"/>
    </row>
    <row r="178" spans="1:6">
      <c r="A178" s="322" t="s">
        <v>91</v>
      </c>
      <c r="B178" s="793">
        <v>44027</v>
      </c>
      <c r="C178" s="790">
        <v>870</v>
      </c>
      <c r="E178"/>
      <c r="F178"/>
    </row>
    <row r="179" spans="1:6">
      <c r="A179" s="322" t="s">
        <v>93</v>
      </c>
      <c r="B179" s="793">
        <v>44028</v>
      </c>
      <c r="C179" s="790">
        <v>1420</v>
      </c>
      <c r="E179"/>
      <c r="F179"/>
    </row>
    <row r="180" spans="1:6">
      <c r="A180" s="322" t="s">
        <v>94</v>
      </c>
      <c r="B180" s="793">
        <v>44029</v>
      </c>
      <c r="C180" s="790">
        <v>489</v>
      </c>
      <c r="E180"/>
      <c r="F180"/>
    </row>
    <row r="181" spans="1:6">
      <c r="A181" s="322" t="s">
        <v>92</v>
      </c>
      <c r="B181" s="793">
        <v>44030</v>
      </c>
      <c r="C181" s="790">
        <v>7325</v>
      </c>
      <c r="E181"/>
      <c r="F181"/>
    </row>
    <row r="182" spans="1:6">
      <c r="A182" s="322" t="s">
        <v>95</v>
      </c>
      <c r="B182" s="793">
        <v>44031</v>
      </c>
      <c r="C182" s="790">
        <v>4208</v>
      </c>
      <c r="E182"/>
      <c r="F182"/>
    </row>
    <row r="183" spans="1:6">
      <c r="A183" s="322" t="s">
        <v>96</v>
      </c>
      <c r="B183" s="793">
        <v>44032</v>
      </c>
      <c r="C183" s="790">
        <v>778</v>
      </c>
      <c r="E183"/>
      <c r="F183"/>
    </row>
    <row r="184" spans="1:6">
      <c r="A184" s="322" t="s">
        <v>98</v>
      </c>
      <c r="B184" s="793">
        <v>44033</v>
      </c>
      <c r="C184" s="790">
        <v>1163</v>
      </c>
      <c r="E184"/>
      <c r="F184"/>
    </row>
    <row r="185" spans="1:6">
      <c r="A185" s="322" t="s">
        <v>99</v>
      </c>
      <c r="B185" s="793">
        <v>44034</v>
      </c>
      <c r="C185" s="790">
        <v>82</v>
      </c>
      <c r="E185"/>
      <c r="F185"/>
    </row>
    <row r="186" spans="1:6">
      <c r="A186" s="322" t="s">
        <v>97</v>
      </c>
      <c r="B186" s="793">
        <v>44035</v>
      </c>
      <c r="C186" s="790">
        <v>7342</v>
      </c>
      <c r="E186"/>
      <c r="F186"/>
    </row>
    <row r="187" spans="1:6">
      <c r="A187" s="322" t="s">
        <v>100</v>
      </c>
      <c r="B187" s="793">
        <v>44036</v>
      </c>
      <c r="C187" s="790">
        <v>4867</v>
      </c>
      <c r="E187"/>
      <c r="F187"/>
    </row>
    <row r="188" spans="1:6">
      <c r="A188" s="322" t="s">
        <v>102</v>
      </c>
      <c r="B188" s="793">
        <v>44037</v>
      </c>
      <c r="C188" s="790">
        <v>596</v>
      </c>
      <c r="E188"/>
      <c r="F188"/>
    </row>
    <row r="189" spans="1:6">
      <c r="A189" s="322" t="s">
        <v>101</v>
      </c>
      <c r="B189" s="793">
        <v>44038</v>
      </c>
      <c r="C189" s="790">
        <v>28574</v>
      </c>
      <c r="E189"/>
      <c r="F189"/>
    </row>
    <row r="190" spans="1:6">
      <c r="A190" s="322" t="s">
        <v>103</v>
      </c>
      <c r="B190" s="793">
        <v>44039</v>
      </c>
      <c r="C190" s="790">
        <v>474</v>
      </c>
      <c r="E190"/>
      <c r="F190"/>
    </row>
    <row r="191" spans="1:6">
      <c r="A191" s="322" t="s">
        <v>77</v>
      </c>
      <c r="B191" s="793">
        <v>44044</v>
      </c>
      <c r="C191" s="790">
        <v>320</v>
      </c>
      <c r="E191"/>
      <c r="F191"/>
    </row>
    <row r="192" spans="1:6">
      <c r="A192" s="322" t="s">
        <v>78</v>
      </c>
      <c r="B192" s="793">
        <v>44045</v>
      </c>
      <c r="C192" s="790">
        <v>616</v>
      </c>
      <c r="E192"/>
      <c r="F192"/>
    </row>
    <row r="193" spans="1:6">
      <c r="A193" s="322" t="s">
        <v>80</v>
      </c>
      <c r="B193" s="793">
        <v>44046</v>
      </c>
      <c r="C193" s="790">
        <v>710</v>
      </c>
      <c r="E193"/>
      <c r="F193"/>
    </row>
    <row r="194" spans="1:6">
      <c r="A194" s="322" t="s">
        <v>79</v>
      </c>
      <c r="B194" s="793">
        <v>44047</v>
      </c>
      <c r="C194" s="790">
        <v>423</v>
      </c>
      <c r="E194"/>
      <c r="F194"/>
    </row>
    <row r="195" spans="1:6">
      <c r="A195" s="322" t="s">
        <v>81</v>
      </c>
      <c r="B195" s="793">
        <v>44048</v>
      </c>
      <c r="C195" s="790">
        <v>1670</v>
      </c>
      <c r="E195"/>
      <c r="F195"/>
    </row>
    <row r="196" spans="1:6">
      <c r="A196" s="322" t="s">
        <v>82</v>
      </c>
      <c r="B196" s="793">
        <v>44049</v>
      </c>
      <c r="C196" s="790">
        <v>1247</v>
      </c>
      <c r="E196"/>
      <c r="F196"/>
    </row>
    <row r="197" spans="1:6">
      <c r="A197" s="322" t="s">
        <v>83</v>
      </c>
      <c r="B197" s="793">
        <v>44050</v>
      </c>
      <c r="C197" s="790">
        <v>1838</v>
      </c>
      <c r="E197"/>
      <c r="F197"/>
    </row>
    <row r="198" spans="1:6">
      <c r="A198" s="322" t="s">
        <v>84</v>
      </c>
      <c r="B198" s="793">
        <v>44051</v>
      </c>
      <c r="C198" s="790">
        <v>1438</v>
      </c>
      <c r="E198"/>
      <c r="F198"/>
    </row>
    <row r="199" spans="1:6">
      <c r="A199" s="322" t="s">
        <v>85</v>
      </c>
      <c r="B199" s="793">
        <v>44052</v>
      </c>
      <c r="C199" s="790">
        <v>2737</v>
      </c>
      <c r="E199"/>
      <c r="F199"/>
    </row>
    <row r="200" spans="1:6">
      <c r="A200" s="322" t="s">
        <v>86</v>
      </c>
      <c r="B200" s="793">
        <v>44053</v>
      </c>
      <c r="C200" s="790">
        <v>484</v>
      </c>
      <c r="E200"/>
      <c r="F200"/>
    </row>
    <row r="201" spans="1:6">
      <c r="A201" s="322" t="s">
        <v>89</v>
      </c>
      <c r="B201" s="793">
        <v>44054</v>
      </c>
      <c r="C201" s="790">
        <v>5030</v>
      </c>
      <c r="E201"/>
      <c r="F201"/>
    </row>
    <row r="202" spans="1:6">
      <c r="A202" s="322" t="s">
        <v>88</v>
      </c>
      <c r="B202" s="793">
        <v>44055</v>
      </c>
      <c r="C202" s="790">
        <v>2084</v>
      </c>
      <c r="E202"/>
      <c r="F202"/>
    </row>
    <row r="203" spans="1:6">
      <c r="A203" s="322" t="s">
        <v>87</v>
      </c>
      <c r="B203" s="793">
        <v>44056</v>
      </c>
      <c r="C203" s="790">
        <v>2994</v>
      </c>
      <c r="E203"/>
      <c r="F203"/>
    </row>
    <row r="204" spans="1:6">
      <c r="A204" s="322" t="s">
        <v>90</v>
      </c>
      <c r="B204" s="793">
        <v>44057</v>
      </c>
      <c r="C204" s="790">
        <v>971</v>
      </c>
      <c r="E204"/>
      <c r="F204"/>
    </row>
    <row r="205" spans="1:6">
      <c r="A205" s="322" t="s">
        <v>91</v>
      </c>
      <c r="B205" s="793">
        <v>44058</v>
      </c>
      <c r="C205" s="790">
        <v>1002</v>
      </c>
      <c r="E205"/>
      <c r="F205"/>
    </row>
    <row r="206" spans="1:6">
      <c r="A206" s="322" t="s">
        <v>93</v>
      </c>
      <c r="B206" s="793">
        <v>44059</v>
      </c>
      <c r="C206" s="790">
        <v>1439</v>
      </c>
      <c r="E206"/>
      <c r="F206"/>
    </row>
    <row r="207" spans="1:6">
      <c r="A207" s="322" t="s">
        <v>94</v>
      </c>
      <c r="B207" s="793">
        <v>44060</v>
      </c>
      <c r="C207" s="790">
        <v>492</v>
      </c>
      <c r="E207"/>
      <c r="F207"/>
    </row>
    <row r="208" spans="1:6">
      <c r="A208" s="322" t="s">
        <v>92</v>
      </c>
      <c r="B208" s="793">
        <v>44061</v>
      </c>
      <c r="C208" s="790">
        <v>7265</v>
      </c>
      <c r="E208"/>
      <c r="F208"/>
    </row>
    <row r="209" spans="1:6">
      <c r="A209" s="322" t="s">
        <v>95</v>
      </c>
      <c r="B209" s="793">
        <v>44062</v>
      </c>
      <c r="C209" s="790">
        <v>5100</v>
      </c>
      <c r="E209"/>
      <c r="F209"/>
    </row>
    <row r="210" spans="1:6">
      <c r="A210" s="322" t="s">
        <v>96</v>
      </c>
      <c r="B210" s="793">
        <v>44063</v>
      </c>
      <c r="C210" s="790">
        <v>859</v>
      </c>
      <c r="E210"/>
      <c r="F210"/>
    </row>
    <row r="211" spans="1:6">
      <c r="A211" s="322" t="s">
        <v>98</v>
      </c>
      <c r="B211" s="793">
        <v>44064</v>
      </c>
      <c r="C211" s="790">
        <v>968</v>
      </c>
      <c r="E211"/>
      <c r="F211"/>
    </row>
    <row r="212" spans="1:6">
      <c r="A212" s="322" t="s">
        <v>99</v>
      </c>
      <c r="B212" s="793">
        <v>44065</v>
      </c>
      <c r="C212" s="790">
        <v>121</v>
      </c>
      <c r="E212"/>
      <c r="F212"/>
    </row>
    <row r="213" spans="1:6">
      <c r="A213" s="322" t="s">
        <v>97</v>
      </c>
      <c r="B213" s="793">
        <v>44066</v>
      </c>
      <c r="C213" s="790">
        <v>8343</v>
      </c>
      <c r="E213"/>
      <c r="F213"/>
    </row>
    <row r="214" spans="1:6">
      <c r="A214" s="322" t="s">
        <v>100</v>
      </c>
      <c r="B214" s="793">
        <v>44067</v>
      </c>
      <c r="C214" s="790">
        <v>5443</v>
      </c>
      <c r="E214"/>
      <c r="F214"/>
    </row>
    <row r="215" spans="1:6">
      <c r="A215" s="322" t="s">
        <v>102</v>
      </c>
      <c r="B215" s="793">
        <v>44068</v>
      </c>
      <c r="C215" s="790">
        <v>611</v>
      </c>
      <c r="E215"/>
      <c r="F215"/>
    </row>
    <row r="216" spans="1:6">
      <c r="A216" s="322" t="s">
        <v>101</v>
      </c>
      <c r="B216" s="793">
        <v>44069</v>
      </c>
      <c r="C216" s="790">
        <v>29460</v>
      </c>
      <c r="E216"/>
      <c r="F216"/>
    </row>
    <row r="217" spans="1:6">
      <c r="A217" s="322" t="s">
        <v>103</v>
      </c>
      <c r="B217" s="793">
        <v>44070</v>
      </c>
      <c r="C217" s="790">
        <v>491</v>
      </c>
      <c r="E217"/>
      <c r="F217"/>
    </row>
    <row r="218" spans="1:6">
      <c r="A218" s="322" t="s">
        <v>77</v>
      </c>
      <c r="B218" s="793">
        <v>44075</v>
      </c>
      <c r="C218" s="790">
        <v>329</v>
      </c>
      <c r="E218"/>
      <c r="F218"/>
    </row>
    <row r="219" spans="1:6">
      <c r="A219" s="322" t="s">
        <v>78</v>
      </c>
      <c r="B219" s="793">
        <v>44076</v>
      </c>
      <c r="C219" s="790">
        <v>592</v>
      </c>
      <c r="E219"/>
      <c r="F219"/>
    </row>
    <row r="220" spans="1:6">
      <c r="A220" s="322" t="s">
        <v>80</v>
      </c>
      <c r="B220" s="793">
        <v>44077</v>
      </c>
      <c r="C220" s="790">
        <v>615</v>
      </c>
      <c r="E220"/>
      <c r="F220"/>
    </row>
    <row r="221" spans="1:6">
      <c r="A221" s="322" t="s">
        <v>79</v>
      </c>
      <c r="B221" s="793">
        <v>44078</v>
      </c>
      <c r="C221" s="790">
        <v>364</v>
      </c>
      <c r="E221"/>
      <c r="F221"/>
    </row>
    <row r="222" spans="1:6">
      <c r="A222" s="322" t="s">
        <v>81</v>
      </c>
      <c r="B222" s="793">
        <v>44079</v>
      </c>
      <c r="C222" s="790">
        <v>1650</v>
      </c>
      <c r="E222"/>
      <c r="F222"/>
    </row>
    <row r="223" spans="1:6">
      <c r="A223" s="322" t="s">
        <v>82</v>
      </c>
      <c r="B223" s="793">
        <v>44080</v>
      </c>
      <c r="C223" s="790">
        <v>1148</v>
      </c>
      <c r="E223"/>
      <c r="F223"/>
    </row>
    <row r="224" spans="1:6">
      <c r="A224" s="322" t="s">
        <v>83</v>
      </c>
      <c r="B224" s="793">
        <v>44081</v>
      </c>
      <c r="C224" s="790">
        <v>1645</v>
      </c>
      <c r="E224"/>
      <c r="F224"/>
    </row>
    <row r="225" spans="1:6">
      <c r="A225" s="322" t="s">
        <v>84</v>
      </c>
      <c r="B225" s="793">
        <v>44082</v>
      </c>
      <c r="C225" s="790">
        <v>1234</v>
      </c>
      <c r="E225"/>
      <c r="F225"/>
    </row>
    <row r="226" spans="1:6">
      <c r="A226" s="322" t="s">
        <v>85</v>
      </c>
      <c r="B226" s="793">
        <v>44083</v>
      </c>
      <c r="C226" s="790">
        <v>2546</v>
      </c>
      <c r="E226"/>
      <c r="F226"/>
    </row>
    <row r="227" spans="1:6">
      <c r="A227" s="322" t="s">
        <v>86</v>
      </c>
      <c r="B227" s="793">
        <v>44084</v>
      </c>
      <c r="C227" s="790">
        <v>530</v>
      </c>
      <c r="E227"/>
      <c r="F227"/>
    </row>
    <row r="228" spans="1:6">
      <c r="A228" s="322" t="s">
        <v>89</v>
      </c>
      <c r="B228" s="793">
        <v>44085</v>
      </c>
      <c r="C228" s="790">
        <v>4759</v>
      </c>
      <c r="E228"/>
      <c r="F228"/>
    </row>
    <row r="229" spans="1:6">
      <c r="A229" s="322" t="s">
        <v>88</v>
      </c>
      <c r="B229" s="793">
        <v>44086</v>
      </c>
      <c r="C229" s="790">
        <v>1745</v>
      </c>
      <c r="E229"/>
      <c r="F229"/>
    </row>
    <row r="230" spans="1:6">
      <c r="A230" s="322" t="s">
        <v>87</v>
      </c>
      <c r="B230" s="793">
        <v>44087</v>
      </c>
      <c r="C230" s="790">
        <v>2497</v>
      </c>
      <c r="E230"/>
      <c r="F230"/>
    </row>
    <row r="231" spans="1:6">
      <c r="A231" s="322" t="s">
        <v>90</v>
      </c>
      <c r="B231" s="793">
        <v>44088</v>
      </c>
      <c r="C231" s="790">
        <v>750</v>
      </c>
      <c r="E231"/>
      <c r="F231"/>
    </row>
    <row r="232" spans="1:6">
      <c r="A232" s="322" t="s">
        <v>91</v>
      </c>
      <c r="B232" s="793">
        <v>44089</v>
      </c>
      <c r="C232" s="790">
        <v>1005</v>
      </c>
      <c r="E232"/>
      <c r="F232"/>
    </row>
    <row r="233" spans="1:6">
      <c r="A233" s="322" t="s">
        <v>93</v>
      </c>
      <c r="B233" s="793">
        <v>44090</v>
      </c>
      <c r="C233" s="790">
        <v>1434</v>
      </c>
      <c r="E233"/>
      <c r="F233"/>
    </row>
    <row r="234" spans="1:6">
      <c r="A234" s="322" t="s">
        <v>94</v>
      </c>
      <c r="B234" s="793">
        <v>44091</v>
      </c>
      <c r="C234" s="790">
        <v>408</v>
      </c>
      <c r="E234"/>
      <c r="F234"/>
    </row>
    <row r="235" spans="1:6">
      <c r="A235" s="322" t="s">
        <v>92</v>
      </c>
      <c r="B235" s="793">
        <v>44092</v>
      </c>
      <c r="C235" s="790">
        <v>7252</v>
      </c>
      <c r="E235"/>
      <c r="F235"/>
    </row>
    <row r="236" spans="1:6">
      <c r="A236" s="322" t="s">
        <v>95</v>
      </c>
      <c r="B236" s="793">
        <v>44093</v>
      </c>
      <c r="C236" s="790">
        <v>5174</v>
      </c>
      <c r="E236"/>
      <c r="F236"/>
    </row>
    <row r="237" spans="1:6">
      <c r="A237" s="322" t="s">
        <v>96</v>
      </c>
      <c r="B237" s="793">
        <v>44094</v>
      </c>
      <c r="C237" s="790">
        <v>867</v>
      </c>
      <c r="E237"/>
      <c r="F237"/>
    </row>
    <row r="238" spans="1:6">
      <c r="A238" s="322" t="s">
        <v>98</v>
      </c>
      <c r="B238" s="793">
        <v>44095</v>
      </c>
      <c r="C238" s="790">
        <v>911</v>
      </c>
      <c r="E238"/>
      <c r="F238"/>
    </row>
    <row r="239" spans="1:6">
      <c r="A239" s="322" t="s">
        <v>99</v>
      </c>
      <c r="B239" s="793">
        <v>44096</v>
      </c>
      <c r="C239" s="790">
        <v>128</v>
      </c>
      <c r="E239"/>
      <c r="F239"/>
    </row>
    <row r="240" spans="1:6">
      <c r="A240" s="322" t="s">
        <v>97</v>
      </c>
      <c r="B240" s="793">
        <v>44097</v>
      </c>
      <c r="C240" s="790">
        <v>8151</v>
      </c>
      <c r="E240"/>
      <c r="F240"/>
    </row>
    <row r="241" spans="1:6">
      <c r="A241" s="322" t="s">
        <v>100</v>
      </c>
      <c r="B241" s="793">
        <v>44098</v>
      </c>
      <c r="C241" s="790">
        <v>5444</v>
      </c>
      <c r="E241"/>
      <c r="F241"/>
    </row>
    <row r="242" spans="1:6">
      <c r="A242" s="322" t="s">
        <v>102</v>
      </c>
      <c r="B242" s="793">
        <v>44099</v>
      </c>
      <c r="C242" s="790">
        <v>691</v>
      </c>
      <c r="E242"/>
      <c r="F242"/>
    </row>
    <row r="243" spans="1:6">
      <c r="A243" s="322" t="s">
        <v>101</v>
      </c>
      <c r="B243" s="793">
        <v>44100</v>
      </c>
      <c r="C243" s="790">
        <v>29786</v>
      </c>
      <c r="E243"/>
      <c r="F243"/>
    </row>
    <row r="244" spans="1:6">
      <c r="A244" s="322" t="s">
        <v>103</v>
      </c>
      <c r="B244" s="793">
        <v>44101</v>
      </c>
      <c r="C244" s="790">
        <v>382</v>
      </c>
      <c r="E244"/>
      <c r="F244"/>
    </row>
    <row r="245" spans="1:6">
      <c r="A245" s="322" t="s">
        <v>77</v>
      </c>
      <c r="B245" s="793">
        <v>44105</v>
      </c>
      <c r="C245" s="790">
        <v>301</v>
      </c>
      <c r="E245"/>
      <c r="F245"/>
    </row>
    <row r="246" spans="1:6">
      <c r="A246" s="322" t="s">
        <v>78</v>
      </c>
      <c r="B246" s="793">
        <v>44106</v>
      </c>
      <c r="C246" s="790">
        <v>816</v>
      </c>
      <c r="E246"/>
      <c r="F246"/>
    </row>
    <row r="247" spans="1:6">
      <c r="A247" s="322" t="s">
        <v>80</v>
      </c>
      <c r="B247" s="793">
        <v>44107</v>
      </c>
      <c r="C247" s="790">
        <v>632</v>
      </c>
      <c r="E247"/>
      <c r="F247"/>
    </row>
    <row r="248" spans="1:6">
      <c r="A248" s="322" t="s">
        <v>79</v>
      </c>
      <c r="B248" s="793">
        <v>44108</v>
      </c>
      <c r="C248" s="790">
        <v>361</v>
      </c>
      <c r="E248"/>
      <c r="F248"/>
    </row>
    <row r="249" spans="1:6">
      <c r="A249" s="322" t="s">
        <v>81</v>
      </c>
      <c r="B249" s="793">
        <v>44109</v>
      </c>
      <c r="C249" s="790">
        <v>1833</v>
      </c>
      <c r="E249"/>
      <c r="F249"/>
    </row>
    <row r="250" spans="1:6">
      <c r="A250" s="322" t="s">
        <v>82</v>
      </c>
      <c r="B250" s="793">
        <v>44110</v>
      </c>
      <c r="C250" s="790">
        <v>1320</v>
      </c>
      <c r="E250"/>
      <c r="F250"/>
    </row>
    <row r="251" spans="1:6">
      <c r="A251" s="322" t="s">
        <v>83</v>
      </c>
      <c r="B251" s="793">
        <v>44111</v>
      </c>
      <c r="C251" s="790">
        <v>1840</v>
      </c>
      <c r="E251"/>
      <c r="F251"/>
    </row>
    <row r="252" spans="1:6">
      <c r="A252" s="322" t="s">
        <v>84</v>
      </c>
      <c r="B252" s="793">
        <v>44112</v>
      </c>
      <c r="C252" s="790">
        <v>1553</v>
      </c>
      <c r="E252"/>
      <c r="F252"/>
    </row>
    <row r="253" spans="1:6">
      <c r="A253" s="322" t="s">
        <v>85</v>
      </c>
      <c r="B253" s="793">
        <v>44113</v>
      </c>
      <c r="C253" s="790">
        <v>2847</v>
      </c>
      <c r="E253"/>
      <c r="F253"/>
    </row>
    <row r="254" spans="1:6">
      <c r="A254" s="322" t="s">
        <v>86</v>
      </c>
      <c r="B254" s="793">
        <v>44114</v>
      </c>
      <c r="C254" s="790">
        <v>497</v>
      </c>
      <c r="E254"/>
      <c r="F254"/>
    </row>
    <row r="255" spans="1:6">
      <c r="A255" s="322" t="s">
        <v>89</v>
      </c>
      <c r="B255" s="793">
        <v>44115</v>
      </c>
      <c r="C255" s="790">
        <v>4934</v>
      </c>
      <c r="E255"/>
      <c r="F255"/>
    </row>
    <row r="256" spans="1:6">
      <c r="A256" s="322" t="s">
        <v>88</v>
      </c>
      <c r="B256" s="793">
        <v>44116</v>
      </c>
      <c r="C256" s="790">
        <v>1962</v>
      </c>
      <c r="E256"/>
      <c r="F256"/>
    </row>
    <row r="257" spans="1:6">
      <c r="A257" s="322" t="s">
        <v>87</v>
      </c>
      <c r="B257" s="793">
        <v>44117</v>
      </c>
      <c r="C257" s="790">
        <v>2907</v>
      </c>
      <c r="E257"/>
      <c r="F257"/>
    </row>
    <row r="258" spans="1:6">
      <c r="A258" s="322" t="s">
        <v>90</v>
      </c>
      <c r="B258" s="793">
        <v>44118</v>
      </c>
      <c r="C258" s="790">
        <v>827</v>
      </c>
      <c r="E258"/>
      <c r="F258"/>
    </row>
    <row r="259" spans="1:6">
      <c r="A259" s="322" t="s">
        <v>91</v>
      </c>
      <c r="B259" s="793">
        <v>44119</v>
      </c>
      <c r="C259" s="790">
        <v>1053</v>
      </c>
      <c r="E259"/>
      <c r="F259"/>
    </row>
    <row r="260" spans="1:6">
      <c r="A260" s="322" t="s">
        <v>93</v>
      </c>
      <c r="B260" s="793">
        <v>44120</v>
      </c>
      <c r="C260" s="790">
        <v>1691</v>
      </c>
      <c r="E260"/>
      <c r="F260"/>
    </row>
    <row r="261" spans="1:6">
      <c r="A261" s="322" t="s">
        <v>94</v>
      </c>
      <c r="B261" s="793">
        <v>44121</v>
      </c>
      <c r="C261" s="790">
        <v>615</v>
      </c>
      <c r="E261"/>
      <c r="F261"/>
    </row>
    <row r="262" spans="1:6">
      <c r="A262" s="322" t="s">
        <v>92</v>
      </c>
      <c r="B262" s="793">
        <v>44122</v>
      </c>
      <c r="C262" s="790">
        <v>7531</v>
      </c>
      <c r="E262"/>
      <c r="F262"/>
    </row>
    <row r="263" spans="1:6">
      <c r="A263" s="322" t="s">
        <v>95</v>
      </c>
      <c r="B263" s="793">
        <v>44123</v>
      </c>
      <c r="C263" s="790">
        <v>5569</v>
      </c>
      <c r="E263"/>
      <c r="F263"/>
    </row>
    <row r="264" spans="1:6">
      <c r="A264" s="322" t="s">
        <v>96</v>
      </c>
      <c r="B264" s="793">
        <v>44124</v>
      </c>
      <c r="C264" s="790">
        <v>831</v>
      </c>
      <c r="E264"/>
      <c r="F264"/>
    </row>
    <row r="265" spans="1:6">
      <c r="A265" s="322" t="s">
        <v>98</v>
      </c>
      <c r="B265" s="793">
        <v>44125</v>
      </c>
      <c r="C265" s="790">
        <v>832</v>
      </c>
      <c r="E265"/>
      <c r="F265"/>
    </row>
    <row r="266" spans="1:6">
      <c r="A266" s="322" t="s">
        <v>99</v>
      </c>
      <c r="B266" s="793">
        <v>44126</v>
      </c>
      <c r="C266" s="790">
        <v>96</v>
      </c>
      <c r="E266"/>
      <c r="F266"/>
    </row>
    <row r="267" spans="1:6">
      <c r="A267" s="322" t="s">
        <v>97</v>
      </c>
      <c r="B267" s="793">
        <v>44127</v>
      </c>
      <c r="C267" s="790">
        <v>9031</v>
      </c>
      <c r="E267"/>
      <c r="F267"/>
    </row>
    <row r="268" spans="1:6">
      <c r="A268" s="322" t="s">
        <v>100</v>
      </c>
      <c r="B268" s="793">
        <v>44128</v>
      </c>
      <c r="C268" s="790">
        <v>5713</v>
      </c>
      <c r="E268"/>
      <c r="F268"/>
    </row>
    <row r="269" spans="1:6">
      <c r="A269" s="322" t="s">
        <v>102</v>
      </c>
      <c r="B269" s="793">
        <v>44129</v>
      </c>
      <c r="C269" s="790">
        <v>770</v>
      </c>
      <c r="E269"/>
      <c r="F269"/>
    </row>
    <row r="270" spans="1:6">
      <c r="A270" s="322" t="s">
        <v>101</v>
      </c>
      <c r="B270" s="793">
        <v>44130</v>
      </c>
      <c r="C270" s="790">
        <v>32781</v>
      </c>
      <c r="E270"/>
      <c r="F270"/>
    </row>
    <row r="271" spans="1:6">
      <c r="A271" s="322" t="s">
        <v>103</v>
      </c>
      <c r="B271" s="793">
        <v>44131</v>
      </c>
      <c r="C271" s="790">
        <v>482</v>
      </c>
      <c r="E271"/>
      <c r="F271"/>
    </row>
    <row r="272" spans="1:6">
      <c r="A272" s="322" t="s">
        <v>77</v>
      </c>
      <c r="B272" s="793">
        <v>44136</v>
      </c>
      <c r="C272" s="790">
        <v>271</v>
      </c>
      <c r="E272"/>
      <c r="F272"/>
    </row>
    <row r="273" spans="1:6">
      <c r="A273" s="322" t="s">
        <v>78</v>
      </c>
      <c r="B273" s="793">
        <v>44137</v>
      </c>
      <c r="C273" s="790">
        <v>633</v>
      </c>
      <c r="E273"/>
      <c r="F273"/>
    </row>
    <row r="274" spans="1:6">
      <c r="A274" s="322" t="s">
        <v>80</v>
      </c>
      <c r="B274" s="793">
        <v>44138</v>
      </c>
      <c r="C274" s="790">
        <v>623</v>
      </c>
      <c r="E274"/>
      <c r="F274"/>
    </row>
    <row r="275" spans="1:6">
      <c r="A275" s="322" t="s">
        <v>79</v>
      </c>
      <c r="B275" s="793">
        <v>44139</v>
      </c>
      <c r="C275" s="790">
        <v>200</v>
      </c>
      <c r="E275"/>
      <c r="F275"/>
    </row>
    <row r="276" spans="1:6">
      <c r="A276" s="322" t="s">
        <v>81</v>
      </c>
      <c r="B276" s="793">
        <v>44140</v>
      </c>
      <c r="C276" s="790">
        <v>1836</v>
      </c>
      <c r="E276"/>
      <c r="F276"/>
    </row>
    <row r="277" spans="1:6">
      <c r="A277" s="322" t="s">
        <v>82</v>
      </c>
      <c r="B277" s="793">
        <v>44141</v>
      </c>
      <c r="C277" s="790">
        <v>1298</v>
      </c>
      <c r="E277"/>
      <c r="F277"/>
    </row>
    <row r="278" spans="1:6">
      <c r="A278" s="322" t="s">
        <v>83</v>
      </c>
      <c r="B278" s="793">
        <v>44142</v>
      </c>
      <c r="C278" s="790">
        <v>1764</v>
      </c>
      <c r="E278"/>
      <c r="F278"/>
    </row>
    <row r="279" spans="1:6">
      <c r="A279" s="322" t="s">
        <v>84</v>
      </c>
      <c r="B279" s="793">
        <v>44143</v>
      </c>
      <c r="C279" s="790">
        <v>1338</v>
      </c>
      <c r="E279"/>
      <c r="F279"/>
    </row>
    <row r="280" spans="1:6">
      <c r="A280" s="322" t="s">
        <v>85</v>
      </c>
      <c r="B280" s="793">
        <v>44144</v>
      </c>
      <c r="C280" s="790">
        <v>2297</v>
      </c>
      <c r="E280"/>
      <c r="F280"/>
    </row>
    <row r="281" spans="1:6">
      <c r="A281" s="322" t="s">
        <v>86</v>
      </c>
      <c r="B281" s="793">
        <v>44145</v>
      </c>
      <c r="C281" s="790">
        <v>461</v>
      </c>
      <c r="E281"/>
      <c r="F281"/>
    </row>
    <row r="282" spans="1:6">
      <c r="A282" s="322" t="s">
        <v>89</v>
      </c>
      <c r="B282" s="793">
        <v>44146</v>
      </c>
      <c r="C282" s="790">
        <v>4906</v>
      </c>
      <c r="E282"/>
      <c r="F282"/>
    </row>
    <row r="283" spans="1:6">
      <c r="A283" s="322" t="s">
        <v>88</v>
      </c>
      <c r="B283" s="793">
        <v>44147</v>
      </c>
      <c r="C283" s="790">
        <v>1865</v>
      </c>
      <c r="E283"/>
      <c r="F283"/>
    </row>
    <row r="284" spans="1:6">
      <c r="A284" s="322" t="s">
        <v>87</v>
      </c>
      <c r="B284" s="793">
        <v>44148</v>
      </c>
      <c r="C284" s="790">
        <v>2502</v>
      </c>
      <c r="E284"/>
      <c r="F284"/>
    </row>
    <row r="285" spans="1:6">
      <c r="A285" s="322" t="s">
        <v>90</v>
      </c>
      <c r="B285" s="793">
        <v>44149</v>
      </c>
      <c r="C285" s="790">
        <v>800</v>
      </c>
      <c r="E285"/>
      <c r="F285"/>
    </row>
    <row r="286" spans="1:6">
      <c r="A286" s="322" t="s">
        <v>91</v>
      </c>
      <c r="B286" s="793">
        <v>44150</v>
      </c>
      <c r="C286" s="790">
        <v>979</v>
      </c>
      <c r="E286"/>
      <c r="F286"/>
    </row>
    <row r="287" spans="1:6">
      <c r="A287" s="322" t="s">
        <v>93</v>
      </c>
      <c r="B287" s="793">
        <v>44151</v>
      </c>
      <c r="C287" s="790">
        <v>1560</v>
      </c>
      <c r="E287"/>
      <c r="F287"/>
    </row>
    <row r="288" spans="1:6">
      <c r="A288" s="322" t="s">
        <v>94</v>
      </c>
      <c r="B288" s="793">
        <v>44152</v>
      </c>
      <c r="C288" s="790">
        <v>509</v>
      </c>
      <c r="E288"/>
      <c r="F288"/>
    </row>
    <row r="289" spans="1:6">
      <c r="A289" s="322" t="s">
        <v>92</v>
      </c>
      <c r="B289" s="793">
        <v>44153</v>
      </c>
      <c r="C289" s="790">
        <v>6938</v>
      </c>
      <c r="E289"/>
      <c r="F289"/>
    </row>
    <row r="290" spans="1:6">
      <c r="A290" s="322" t="s">
        <v>95</v>
      </c>
      <c r="B290" s="793">
        <v>44154</v>
      </c>
      <c r="C290" s="790">
        <v>5255</v>
      </c>
      <c r="E290"/>
      <c r="F290"/>
    </row>
    <row r="291" spans="1:6">
      <c r="A291" s="322" t="s">
        <v>96</v>
      </c>
      <c r="B291" s="793">
        <v>44155</v>
      </c>
      <c r="C291" s="790">
        <v>827</v>
      </c>
      <c r="E291"/>
      <c r="F291"/>
    </row>
    <row r="292" spans="1:6">
      <c r="A292" s="322" t="s">
        <v>98</v>
      </c>
      <c r="B292" s="793">
        <v>44156</v>
      </c>
      <c r="C292" s="790">
        <v>901</v>
      </c>
      <c r="E292"/>
      <c r="F292"/>
    </row>
    <row r="293" spans="1:6">
      <c r="A293" s="322" t="s">
        <v>99</v>
      </c>
      <c r="B293" s="793">
        <v>44157</v>
      </c>
      <c r="C293" s="790">
        <v>137</v>
      </c>
      <c r="E293"/>
      <c r="F293"/>
    </row>
    <row r="294" spans="1:6">
      <c r="A294" s="322" t="s">
        <v>97</v>
      </c>
      <c r="B294" s="793">
        <v>44158</v>
      </c>
      <c r="C294" s="790">
        <v>8292</v>
      </c>
      <c r="E294"/>
      <c r="F294"/>
    </row>
    <row r="295" spans="1:6">
      <c r="A295" s="322" t="s">
        <v>100</v>
      </c>
      <c r="B295" s="793">
        <v>44159</v>
      </c>
      <c r="C295" s="790">
        <v>5057</v>
      </c>
      <c r="E295"/>
      <c r="F295"/>
    </row>
    <row r="296" spans="1:6">
      <c r="A296" s="322" t="s">
        <v>102</v>
      </c>
      <c r="B296" s="793">
        <v>44160</v>
      </c>
      <c r="C296" s="790">
        <v>584</v>
      </c>
      <c r="E296"/>
      <c r="F296"/>
    </row>
    <row r="297" spans="1:6">
      <c r="A297" s="322" t="s">
        <v>101</v>
      </c>
      <c r="B297" s="793">
        <v>44161</v>
      </c>
      <c r="C297" s="790">
        <v>28811</v>
      </c>
      <c r="E297"/>
      <c r="F297"/>
    </row>
    <row r="298" spans="1:6">
      <c r="A298" s="322" t="s">
        <v>103</v>
      </c>
      <c r="B298" s="793">
        <v>44162</v>
      </c>
      <c r="C298" s="790">
        <v>505</v>
      </c>
      <c r="E298"/>
      <c r="F298"/>
    </row>
    <row r="299" spans="1:6">
      <c r="A299" s="322" t="s">
        <v>77</v>
      </c>
      <c r="B299" s="793">
        <v>44166</v>
      </c>
      <c r="C299" s="790">
        <v>243</v>
      </c>
      <c r="E299"/>
      <c r="F299"/>
    </row>
    <row r="300" spans="1:6">
      <c r="A300" s="322" t="s">
        <v>78</v>
      </c>
      <c r="B300" s="793">
        <v>44167</v>
      </c>
      <c r="C300" s="790">
        <v>625</v>
      </c>
      <c r="E300"/>
      <c r="F300"/>
    </row>
    <row r="301" spans="1:6">
      <c r="A301" s="322" t="s">
        <v>80</v>
      </c>
      <c r="B301" s="793">
        <v>44168</v>
      </c>
      <c r="C301" s="790">
        <v>496</v>
      </c>
      <c r="E301"/>
      <c r="F301"/>
    </row>
    <row r="302" spans="1:6">
      <c r="A302" s="322" t="s">
        <v>79</v>
      </c>
      <c r="B302" s="793">
        <v>44169</v>
      </c>
      <c r="C302" s="790">
        <v>246</v>
      </c>
      <c r="E302"/>
      <c r="F302"/>
    </row>
    <row r="303" spans="1:6">
      <c r="A303" s="322" t="s">
        <v>81</v>
      </c>
      <c r="B303" s="793">
        <v>44170</v>
      </c>
      <c r="C303" s="790">
        <v>1775</v>
      </c>
      <c r="E303"/>
      <c r="F303"/>
    </row>
    <row r="304" spans="1:6">
      <c r="A304" s="322" t="s">
        <v>82</v>
      </c>
      <c r="B304" s="793">
        <v>44171</v>
      </c>
      <c r="C304" s="790">
        <v>1126</v>
      </c>
      <c r="E304"/>
      <c r="F304"/>
    </row>
    <row r="305" spans="1:6">
      <c r="A305" s="322" t="s">
        <v>83</v>
      </c>
      <c r="B305" s="793">
        <v>44172</v>
      </c>
      <c r="C305" s="790">
        <v>1486</v>
      </c>
      <c r="E305"/>
      <c r="F305"/>
    </row>
    <row r="306" spans="1:6">
      <c r="A306" s="322" t="s">
        <v>84</v>
      </c>
      <c r="B306" s="793">
        <v>44173</v>
      </c>
      <c r="C306" s="790">
        <v>1192</v>
      </c>
      <c r="E306"/>
      <c r="F306"/>
    </row>
    <row r="307" spans="1:6">
      <c r="A307" s="322" t="s">
        <v>85</v>
      </c>
      <c r="B307" s="793">
        <v>44174</v>
      </c>
      <c r="C307" s="790">
        <v>2394</v>
      </c>
      <c r="E307"/>
      <c r="F307"/>
    </row>
    <row r="308" spans="1:6">
      <c r="A308" s="322" t="s">
        <v>86</v>
      </c>
      <c r="B308" s="793">
        <v>44175</v>
      </c>
      <c r="C308" s="790">
        <v>394</v>
      </c>
      <c r="E308"/>
      <c r="F308"/>
    </row>
    <row r="309" spans="1:6">
      <c r="A309" s="322" t="s">
        <v>89</v>
      </c>
      <c r="B309" s="793">
        <v>44176</v>
      </c>
      <c r="C309" s="790">
        <v>4363</v>
      </c>
      <c r="E309"/>
      <c r="F309"/>
    </row>
    <row r="310" spans="1:6">
      <c r="A310" s="322" t="s">
        <v>88</v>
      </c>
      <c r="B310" s="793">
        <v>44177</v>
      </c>
      <c r="C310" s="790">
        <v>1391</v>
      </c>
      <c r="E310"/>
      <c r="F310"/>
    </row>
    <row r="311" spans="1:6">
      <c r="A311" s="322" t="s">
        <v>87</v>
      </c>
      <c r="B311" s="793">
        <v>44178</v>
      </c>
      <c r="C311" s="790">
        <v>2041</v>
      </c>
      <c r="E311"/>
      <c r="F311"/>
    </row>
    <row r="312" spans="1:6">
      <c r="A312" s="322" t="s">
        <v>90</v>
      </c>
      <c r="B312" s="793">
        <v>44179</v>
      </c>
      <c r="C312" s="790">
        <v>708</v>
      </c>
      <c r="E312"/>
      <c r="F312"/>
    </row>
    <row r="313" spans="1:6">
      <c r="A313" s="322" t="s">
        <v>91</v>
      </c>
      <c r="B313" s="793">
        <v>44180</v>
      </c>
      <c r="C313" s="790">
        <v>970</v>
      </c>
      <c r="E313"/>
      <c r="F313"/>
    </row>
    <row r="314" spans="1:6">
      <c r="A314" s="322" t="s">
        <v>93</v>
      </c>
      <c r="B314" s="793">
        <v>44181</v>
      </c>
      <c r="C314" s="790">
        <v>1542</v>
      </c>
      <c r="E314"/>
      <c r="F314"/>
    </row>
    <row r="315" spans="1:6">
      <c r="A315" s="322" t="s">
        <v>94</v>
      </c>
      <c r="B315" s="793">
        <v>44182</v>
      </c>
      <c r="C315" s="790">
        <v>380</v>
      </c>
      <c r="E315"/>
      <c r="F315"/>
    </row>
    <row r="316" spans="1:6">
      <c r="A316" s="322" t="s">
        <v>92</v>
      </c>
      <c r="B316" s="793">
        <v>44183</v>
      </c>
      <c r="C316" s="790">
        <v>6019</v>
      </c>
      <c r="E316"/>
      <c r="F316"/>
    </row>
    <row r="317" spans="1:6">
      <c r="A317" s="322" t="s">
        <v>95</v>
      </c>
      <c r="B317" s="793">
        <v>44184</v>
      </c>
      <c r="C317" s="790">
        <v>4334</v>
      </c>
      <c r="E317"/>
      <c r="F317"/>
    </row>
    <row r="318" spans="1:6">
      <c r="A318" s="322" t="s">
        <v>96</v>
      </c>
      <c r="B318" s="793">
        <v>44185</v>
      </c>
      <c r="C318" s="790">
        <v>779</v>
      </c>
      <c r="E318"/>
      <c r="F318"/>
    </row>
    <row r="319" spans="1:6">
      <c r="A319" s="322" t="s">
        <v>98</v>
      </c>
      <c r="B319" s="793">
        <v>44186</v>
      </c>
      <c r="C319" s="790">
        <v>851</v>
      </c>
      <c r="E319"/>
      <c r="F319"/>
    </row>
    <row r="320" spans="1:6">
      <c r="A320" s="322" t="s">
        <v>99</v>
      </c>
      <c r="B320" s="793">
        <v>44187</v>
      </c>
      <c r="C320" s="790">
        <v>133</v>
      </c>
      <c r="E320"/>
      <c r="F320"/>
    </row>
    <row r="321" spans="1:6">
      <c r="A321" s="322" t="s">
        <v>97</v>
      </c>
      <c r="B321" s="793">
        <v>44188</v>
      </c>
      <c r="C321" s="790">
        <v>7661</v>
      </c>
      <c r="E321"/>
      <c r="F321"/>
    </row>
    <row r="322" spans="1:6">
      <c r="A322" s="322" t="s">
        <v>100</v>
      </c>
      <c r="B322" s="793">
        <v>44189</v>
      </c>
      <c r="C322" s="790">
        <v>4525</v>
      </c>
      <c r="E322"/>
      <c r="F322"/>
    </row>
    <row r="323" spans="1:6">
      <c r="A323" s="322" t="s">
        <v>102</v>
      </c>
      <c r="B323" s="793">
        <v>44190</v>
      </c>
      <c r="C323" s="790">
        <v>599</v>
      </c>
      <c r="E323"/>
      <c r="F323"/>
    </row>
    <row r="324" spans="1:6">
      <c r="A324" s="322" t="s">
        <v>101</v>
      </c>
      <c r="B324" s="793">
        <v>44191</v>
      </c>
      <c r="C324" s="790">
        <v>25253</v>
      </c>
      <c r="E324"/>
      <c r="F324"/>
    </row>
    <row r="325" spans="1:6">
      <c r="A325" s="322" t="s">
        <v>103</v>
      </c>
      <c r="B325" s="793">
        <v>44192</v>
      </c>
      <c r="C325" s="790">
        <v>365</v>
      </c>
      <c r="E325"/>
      <c r="F325"/>
    </row>
    <row r="326" spans="1:6">
      <c r="A326" s="322" t="s">
        <v>77</v>
      </c>
      <c r="B326" s="793">
        <v>44197</v>
      </c>
      <c r="C326" s="790">
        <v>181</v>
      </c>
      <c r="E326"/>
      <c r="F326"/>
    </row>
    <row r="327" spans="1:6">
      <c r="A327" s="322" t="s">
        <v>78</v>
      </c>
      <c r="B327" s="793">
        <v>44197</v>
      </c>
      <c r="C327" s="790">
        <v>483</v>
      </c>
      <c r="E327"/>
      <c r="F327"/>
    </row>
    <row r="328" spans="1:6">
      <c r="A328" s="322" t="s">
        <v>80</v>
      </c>
      <c r="B328" s="793">
        <v>44197</v>
      </c>
      <c r="C328" s="790">
        <v>308</v>
      </c>
      <c r="E328"/>
      <c r="F328"/>
    </row>
    <row r="329" spans="1:6">
      <c r="A329" s="322" t="s">
        <v>79</v>
      </c>
      <c r="B329" s="793">
        <v>44197</v>
      </c>
      <c r="C329" s="790">
        <v>281</v>
      </c>
      <c r="E329"/>
      <c r="F329"/>
    </row>
    <row r="330" spans="1:6">
      <c r="A330" s="322" t="s">
        <v>81</v>
      </c>
      <c r="B330" s="793">
        <v>44197</v>
      </c>
      <c r="C330" s="790">
        <v>1438</v>
      </c>
      <c r="E330"/>
      <c r="F330"/>
    </row>
    <row r="331" spans="1:6">
      <c r="A331" s="322" t="s">
        <v>82</v>
      </c>
      <c r="B331" s="793">
        <v>44197</v>
      </c>
      <c r="C331" s="790">
        <v>898</v>
      </c>
      <c r="E331"/>
      <c r="F331"/>
    </row>
    <row r="332" spans="1:6">
      <c r="A332" s="322" t="s">
        <v>83</v>
      </c>
      <c r="B332" s="793">
        <v>44197</v>
      </c>
      <c r="C332" s="790">
        <v>1342</v>
      </c>
      <c r="E332"/>
      <c r="F332"/>
    </row>
    <row r="333" spans="1:6">
      <c r="A333" s="322" t="s">
        <v>84</v>
      </c>
      <c r="B333" s="793">
        <v>44197</v>
      </c>
      <c r="C333" s="790">
        <v>1002</v>
      </c>
      <c r="E333"/>
      <c r="F333"/>
    </row>
    <row r="334" spans="1:6">
      <c r="A334" s="322" t="s">
        <v>85</v>
      </c>
      <c r="B334" s="793">
        <v>44197</v>
      </c>
      <c r="C334" s="790">
        <v>2003</v>
      </c>
      <c r="E334"/>
      <c r="F334"/>
    </row>
    <row r="335" spans="1:6">
      <c r="A335" s="322" t="s">
        <v>86</v>
      </c>
      <c r="B335" s="793">
        <v>44197</v>
      </c>
      <c r="C335" s="790">
        <v>356</v>
      </c>
      <c r="E335"/>
      <c r="F335"/>
    </row>
    <row r="336" spans="1:6">
      <c r="A336" s="322" t="s">
        <v>89</v>
      </c>
      <c r="B336" s="793">
        <v>44197</v>
      </c>
      <c r="C336" s="790">
        <v>3778</v>
      </c>
      <c r="E336"/>
      <c r="F336"/>
    </row>
    <row r="337" spans="1:6">
      <c r="A337" s="322" t="s">
        <v>88</v>
      </c>
      <c r="B337" s="793">
        <v>44197</v>
      </c>
      <c r="C337" s="790">
        <v>1327</v>
      </c>
      <c r="E337"/>
      <c r="F337"/>
    </row>
    <row r="338" spans="1:6">
      <c r="A338" s="322" t="s">
        <v>87</v>
      </c>
      <c r="B338" s="793">
        <v>44197</v>
      </c>
      <c r="C338" s="790">
        <v>1683</v>
      </c>
      <c r="E338"/>
      <c r="F338"/>
    </row>
    <row r="339" spans="1:6">
      <c r="A339" s="322" t="s">
        <v>90</v>
      </c>
      <c r="B339" s="793">
        <v>44197</v>
      </c>
      <c r="C339" s="790">
        <v>590</v>
      </c>
      <c r="E339"/>
      <c r="F339"/>
    </row>
    <row r="340" spans="1:6">
      <c r="A340" s="322" t="s">
        <v>91</v>
      </c>
      <c r="B340" s="793">
        <v>44197</v>
      </c>
      <c r="C340" s="790">
        <v>821</v>
      </c>
      <c r="E340"/>
      <c r="F340"/>
    </row>
    <row r="341" spans="1:6">
      <c r="A341" s="322" t="s">
        <v>93</v>
      </c>
      <c r="B341" s="793">
        <v>44197</v>
      </c>
      <c r="C341" s="790">
        <v>1246</v>
      </c>
      <c r="E341"/>
      <c r="F341"/>
    </row>
    <row r="342" spans="1:6">
      <c r="A342" s="322" t="s">
        <v>94</v>
      </c>
      <c r="B342" s="793">
        <v>44197</v>
      </c>
      <c r="C342" s="790">
        <v>426</v>
      </c>
      <c r="E342"/>
      <c r="F342"/>
    </row>
    <row r="343" spans="1:6">
      <c r="A343" s="322" t="s">
        <v>92</v>
      </c>
      <c r="B343" s="793">
        <v>44197</v>
      </c>
      <c r="C343" s="790">
        <v>4941</v>
      </c>
      <c r="E343"/>
      <c r="F343"/>
    </row>
    <row r="344" spans="1:6">
      <c r="A344" s="322" t="s">
        <v>95</v>
      </c>
      <c r="B344" s="793">
        <v>44197</v>
      </c>
      <c r="C344" s="790">
        <v>3871</v>
      </c>
      <c r="E344"/>
      <c r="F344"/>
    </row>
    <row r="345" spans="1:6">
      <c r="A345" s="322" t="s">
        <v>96</v>
      </c>
      <c r="B345" s="793">
        <v>44197</v>
      </c>
      <c r="C345" s="790">
        <v>628</v>
      </c>
      <c r="E345"/>
      <c r="F345"/>
    </row>
    <row r="346" spans="1:6">
      <c r="A346" s="322" t="s">
        <v>98</v>
      </c>
      <c r="B346" s="793">
        <v>44197</v>
      </c>
      <c r="C346" s="790">
        <v>531</v>
      </c>
      <c r="E346"/>
      <c r="F346"/>
    </row>
    <row r="347" spans="1:6">
      <c r="A347" s="322" t="s">
        <v>99</v>
      </c>
      <c r="B347" s="793">
        <v>44197</v>
      </c>
      <c r="C347" s="790">
        <v>72</v>
      </c>
      <c r="E347"/>
      <c r="F347"/>
    </row>
    <row r="348" spans="1:6">
      <c r="A348" s="322" t="s">
        <v>97</v>
      </c>
      <c r="B348" s="793">
        <v>44197</v>
      </c>
      <c r="C348" s="790">
        <v>6125</v>
      </c>
      <c r="E348"/>
      <c r="F348"/>
    </row>
    <row r="349" spans="1:6">
      <c r="A349" s="322" t="s">
        <v>100</v>
      </c>
      <c r="B349" s="793">
        <v>44197</v>
      </c>
      <c r="C349" s="790">
        <v>3675</v>
      </c>
      <c r="E349"/>
      <c r="F349"/>
    </row>
    <row r="350" spans="1:6">
      <c r="A350" s="322" t="s">
        <v>102</v>
      </c>
      <c r="B350" s="793">
        <v>44197</v>
      </c>
      <c r="C350" s="790">
        <v>618</v>
      </c>
      <c r="E350"/>
      <c r="F350"/>
    </row>
    <row r="351" spans="1:6">
      <c r="A351" s="322" t="s">
        <v>101</v>
      </c>
      <c r="B351" s="793">
        <v>44197</v>
      </c>
      <c r="C351" s="790">
        <v>22884</v>
      </c>
      <c r="E351"/>
      <c r="F351"/>
    </row>
    <row r="352" spans="1:6">
      <c r="A352" s="322" t="s">
        <v>103</v>
      </c>
      <c r="B352" s="793">
        <v>44197</v>
      </c>
      <c r="C352" s="790">
        <v>306</v>
      </c>
      <c r="E352"/>
      <c r="F352"/>
    </row>
    <row r="353" spans="1:6">
      <c r="A353" s="322" t="s">
        <v>77</v>
      </c>
      <c r="B353" s="793">
        <v>44228</v>
      </c>
      <c r="C353" s="790">
        <v>172</v>
      </c>
      <c r="E353"/>
      <c r="F353"/>
    </row>
    <row r="354" spans="1:6">
      <c r="A354" s="322" t="s">
        <v>78</v>
      </c>
      <c r="B354" s="793">
        <v>44229</v>
      </c>
      <c r="C354" s="790">
        <v>721</v>
      </c>
      <c r="E354"/>
      <c r="F354"/>
    </row>
    <row r="355" spans="1:6">
      <c r="A355" s="322" t="s">
        <v>80</v>
      </c>
      <c r="B355" s="793">
        <v>44230</v>
      </c>
      <c r="C355" s="790">
        <v>347</v>
      </c>
      <c r="E355"/>
      <c r="F355"/>
    </row>
    <row r="356" spans="1:6">
      <c r="A356" s="322" t="s">
        <v>79</v>
      </c>
      <c r="B356" s="793">
        <v>44231</v>
      </c>
      <c r="C356" s="790">
        <v>302</v>
      </c>
      <c r="E356"/>
      <c r="F356"/>
    </row>
    <row r="357" spans="1:6">
      <c r="A357" s="322" t="s">
        <v>81</v>
      </c>
      <c r="B357" s="793">
        <v>44232</v>
      </c>
      <c r="C357" s="790">
        <v>1622</v>
      </c>
      <c r="E357"/>
      <c r="F357"/>
    </row>
    <row r="358" spans="1:6">
      <c r="A358" s="322" t="s">
        <v>82</v>
      </c>
      <c r="B358" s="793">
        <v>44233</v>
      </c>
      <c r="C358" s="790">
        <v>1181</v>
      </c>
      <c r="E358"/>
      <c r="F358"/>
    </row>
    <row r="359" spans="1:6">
      <c r="A359" s="322" t="s">
        <v>83</v>
      </c>
      <c r="B359" s="793">
        <v>44234</v>
      </c>
      <c r="C359" s="790">
        <v>1565</v>
      </c>
      <c r="E359"/>
      <c r="F359"/>
    </row>
    <row r="360" spans="1:6">
      <c r="A360" s="322" t="s">
        <v>84</v>
      </c>
      <c r="B360" s="793">
        <v>44235</v>
      </c>
      <c r="C360" s="790">
        <v>1100</v>
      </c>
      <c r="E360"/>
      <c r="F360"/>
    </row>
    <row r="361" spans="1:6">
      <c r="A361" s="322" t="s">
        <v>85</v>
      </c>
      <c r="B361" s="793">
        <v>44236</v>
      </c>
      <c r="C361" s="790">
        <v>2408</v>
      </c>
      <c r="E361"/>
      <c r="F361"/>
    </row>
    <row r="362" spans="1:6">
      <c r="A362" s="322" t="s">
        <v>86</v>
      </c>
      <c r="B362" s="793">
        <v>44237</v>
      </c>
      <c r="C362" s="790">
        <v>423</v>
      </c>
      <c r="E362"/>
      <c r="F362"/>
    </row>
    <row r="363" spans="1:6">
      <c r="A363" s="322" t="s">
        <v>89</v>
      </c>
      <c r="B363" s="793">
        <v>44238</v>
      </c>
      <c r="C363" s="790">
        <v>4338</v>
      </c>
      <c r="E363"/>
      <c r="F363"/>
    </row>
    <row r="364" spans="1:6">
      <c r="A364" s="322" t="s">
        <v>88</v>
      </c>
      <c r="B364" s="793">
        <v>44239</v>
      </c>
      <c r="C364" s="790">
        <v>1660</v>
      </c>
      <c r="E364"/>
      <c r="F364"/>
    </row>
    <row r="365" spans="1:6">
      <c r="A365" s="322" t="s">
        <v>87</v>
      </c>
      <c r="B365" s="793">
        <v>44240</v>
      </c>
      <c r="C365" s="790">
        <v>2492</v>
      </c>
      <c r="E365"/>
      <c r="F365"/>
    </row>
    <row r="366" spans="1:6">
      <c r="A366" s="322" t="s">
        <v>90</v>
      </c>
      <c r="B366" s="793">
        <v>44241</v>
      </c>
      <c r="C366" s="790">
        <v>805</v>
      </c>
      <c r="E366"/>
      <c r="F366"/>
    </row>
    <row r="367" spans="1:6">
      <c r="A367" s="322" t="s">
        <v>91</v>
      </c>
      <c r="B367" s="793">
        <v>44242</v>
      </c>
      <c r="C367" s="790">
        <v>930</v>
      </c>
      <c r="E367"/>
      <c r="F367"/>
    </row>
    <row r="368" spans="1:6">
      <c r="A368" s="322" t="s">
        <v>93</v>
      </c>
      <c r="B368" s="793">
        <v>44243</v>
      </c>
      <c r="C368" s="790">
        <v>1401</v>
      </c>
      <c r="E368"/>
      <c r="F368"/>
    </row>
    <row r="369" spans="1:6">
      <c r="A369" s="322" t="s">
        <v>94</v>
      </c>
      <c r="B369" s="793">
        <v>44244</v>
      </c>
      <c r="C369" s="790">
        <v>507</v>
      </c>
      <c r="E369"/>
      <c r="F369"/>
    </row>
    <row r="370" spans="1:6">
      <c r="A370" s="322" t="s">
        <v>92</v>
      </c>
      <c r="B370" s="793">
        <v>44245</v>
      </c>
      <c r="C370" s="790">
        <v>5985</v>
      </c>
      <c r="E370"/>
      <c r="F370"/>
    </row>
    <row r="371" spans="1:6">
      <c r="A371" s="322" t="s">
        <v>95</v>
      </c>
      <c r="B371" s="793">
        <v>44246</v>
      </c>
      <c r="C371" s="790">
        <v>4428</v>
      </c>
      <c r="E371"/>
      <c r="F371"/>
    </row>
    <row r="372" spans="1:6">
      <c r="A372" s="322" t="s">
        <v>96</v>
      </c>
      <c r="B372" s="793">
        <v>44247</v>
      </c>
      <c r="C372" s="790">
        <v>774</v>
      </c>
      <c r="E372"/>
      <c r="F372"/>
    </row>
    <row r="373" spans="1:6">
      <c r="A373" s="322" t="s">
        <v>98</v>
      </c>
      <c r="B373" s="793">
        <v>44248</v>
      </c>
      <c r="C373" s="790">
        <v>711</v>
      </c>
      <c r="E373"/>
      <c r="F373"/>
    </row>
    <row r="374" spans="1:6">
      <c r="A374" s="322" t="s">
        <v>99</v>
      </c>
      <c r="B374" s="793">
        <v>44249</v>
      </c>
      <c r="C374" s="790">
        <v>116</v>
      </c>
      <c r="E374"/>
      <c r="F374"/>
    </row>
    <row r="375" spans="1:6">
      <c r="A375" s="322" t="s">
        <v>97</v>
      </c>
      <c r="B375" s="793">
        <v>44250</v>
      </c>
      <c r="C375" s="790">
        <v>7095</v>
      </c>
      <c r="E375"/>
      <c r="F375"/>
    </row>
    <row r="376" spans="1:6">
      <c r="A376" s="322" t="s">
        <v>100</v>
      </c>
      <c r="B376" s="793">
        <v>44251</v>
      </c>
      <c r="C376" s="790">
        <v>4694</v>
      </c>
      <c r="E376"/>
      <c r="F376"/>
    </row>
    <row r="377" spans="1:6">
      <c r="A377" s="322" t="s">
        <v>102</v>
      </c>
      <c r="B377" s="793">
        <v>44252</v>
      </c>
      <c r="C377" s="790">
        <v>697</v>
      </c>
      <c r="E377"/>
      <c r="F377"/>
    </row>
    <row r="378" spans="1:6">
      <c r="A378" s="322" t="s">
        <v>101</v>
      </c>
      <c r="B378" s="793">
        <v>44253</v>
      </c>
      <c r="C378" s="790">
        <v>27355</v>
      </c>
      <c r="E378"/>
      <c r="F378"/>
    </row>
    <row r="379" spans="1:6">
      <c r="A379" s="322" t="s">
        <v>103</v>
      </c>
      <c r="B379" s="793">
        <v>44254</v>
      </c>
      <c r="C379" s="790">
        <v>388</v>
      </c>
      <c r="E379"/>
      <c r="F379"/>
    </row>
    <row r="380" spans="1:6">
      <c r="A380" s="322" t="s">
        <v>77</v>
      </c>
      <c r="B380" s="793">
        <v>44256</v>
      </c>
      <c r="C380" s="790">
        <v>207</v>
      </c>
      <c r="E380"/>
      <c r="F380"/>
    </row>
    <row r="381" spans="1:6">
      <c r="A381" s="322" t="s">
        <v>78</v>
      </c>
      <c r="B381" s="793">
        <v>44257</v>
      </c>
      <c r="C381" s="790">
        <v>821</v>
      </c>
      <c r="E381"/>
      <c r="F381"/>
    </row>
    <row r="382" spans="1:6">
      <c r="A382" s="322" t="s">
        <v>80</v>
      </c>
      <c r="B382" s="793">
        <v>44258</v>
      </c>
      <c r="C382" s="790">
        <v>671</v>
      </c>
      <c r="E382"/>
      <c r="F382"/>
    </row>
    <row r="383" spans="1:6">
      <c r="A383" s="322" t="s">
        <v>79</v>
      </c>
      <c r="B383" s="793">
        <v>44259</v>
      </c>
      <c r="C383" s="790">
        <v>334</v>
      </c>
      <c r="E383"/>
      <c r="F383"/>
    </row>
    <row r="384" spans="1:6">
      <c r="A384" s="322" t="s">
        <v>81</v>
      </c>
      <c r="B384" s="793">
        <v>44260</v>
      </c>
      <c r="C384" s="790">
        <v>1938</v>
      </c>
      <c r="E384"/>
      <c r="F384"/>
    </row>
    <row r="385" spans="1:6">
      <c r="A385" s="322" t="s">
        <v>82</v>
      </c>
      <c r="B385" s="793">
        <v>44261</v>
      </c>
      <c r="C385" s="790">
        <v>1111</v>
      </c>
      <c r="E385"/>
      <c r="F385"/>
    </row>
    <row r="386" spans="1:6">
      <c r="A386" s="322" t="s">
        <v>83</v>
      </c>
      <c r="B386" s="793">
        <v>44262</v>
      </c>
      <c r="C386" s="790">
        <v>1919</v>
      </c>
      <c r="E386"/>
      <c r="F386"/>
    </row>
    <row r="387" spans="1:6">
      <c r="A387" s="322" t="s">
        <v>84</v>
      </c>
      <c r="B387" s="793">
        <v>44263</v>
      </c>
      <c r="C387" s="790">
        <v>1515</v>
      </c>
      <c r="E387"/>
      <c r="F387"/>
    </row>
    <row r="388" spans="1:6">
      <c r="A388" s="322" t="s">
        <v>85</v>
      </c>
      <c r="B388" s="793">
        <v>44264</v>
      </c>
      <c r="C388" s="790">
        <v>2313</v>
      </c>
      <c r="E388"/>
      <c r="F388"/>
    </row>
    <row r="389" spans="1:6">
      <c r="A389" s="322" t="s">
        <v>86</v>
      </c>
      <c r="B389" s="793">
        <v>44265</v>
      </c>
      <c r="C389" s="790">
        <v>483</v>
      </c>
      <c r="E389"/>
      <c r="F389"/>
    </row>
    <row r="390" spans="1:6">
      <c r="A390" s="322" t="s">
        <v>89</v>
      </c>
      <c r="B390" s="793">
        <v>44266</v>
      </c>
      <c r="C390" s="790">
        <v>5432</v>
      </c>
      <c r="E390"/>
      <c r="F390"/>
    </row>
    <row r="391" spans="1:6">
      <c r="A391" s="322" t="s">
        <v>88</v>
      </c>
      <c r="B391" s="793">
        <v>44267</v>
      </c>
      <c r="C391" s="790">
        <v>1985</v>
      </c>
      <c r="E391"/>
      <c r="F391"/>
    </row>
    <row r="392" spans="1:6">
      <c r="A392" s="322" t="s">
        <v>87</v>
      </c>
      <c r="B392" s="793">
        <v>44268</v>
      </c>
      <c r="C392" s="790">
        <v>2987</v>
      </c>
      <c r="E392"/>
      <c r="F392"/>
    </row>
    <row r="393" spans="1:6">
      <c r="A393" s="322" t="s">
        <v>90</v>
      </c>
      <c r="B393" s="793">
        <v>44269</v>
      </c>
      <c r="C393" s="790">
        <v>697</v>
      </c>
      <c r="E393"/>
      <c r="F393"/>
    </row>
    <row r="394" spans="1:6">
      <c r="A394" s="322" t="s">
        <v>91</v>
      </c>
      <c r="B394" s="793">
        <v>44270</v>
      </c>
      <c r="C394" s="790">
        <v>1067</v>
      </c>
      <c r="E394"/>
      <c r="F394"/>
    </row>
    <row r="395" spans="1:6">
      <c r="A395" s="322" t="s">
        <v>93</v>
      </c>
      <c r="B395" s="793">
        <v>44271</v>
      </c>
      <c r="C395" s="790">
        <v>1777</v>
      </c>
      <c r="E395"/>
      <c r="F395"/>
    </row>
    <row r="396" spans="1:6">
      <c r="A396" s="322" t="s">
        <v>94</v>
      </c>
      <c r="B396" s="793">
        <v>44272</v>
      </c>
      <c r="C396" s="790">
        <v>499</v>
      </c>
      <c r="E396"/>
      <c r="F396"/>
    </row>
    <row r="397" spans="1:6">
      <c r="A397" s="322" t="s">
        <v>92</v>
      </c>
      <c r="B397" s="793">
        <v>44273</v>
      </c>
      <c r="C397" s="790">
        <v>7257</v>
      </c>
      <c r="E397"/>
      <c r="F397"/>
    </row>
    <row r="398" spans="1:6">
      <c r="A398" s="322" t="s">
        <v>95</v>
      </c>
      <c r="B398" s="793">
        <v>44274</v>
      </c>
      <c r="C398" s="790">
        <v>5563</v>
      </c>
      <c r="E398"/>
      <c r="F398"/>
    </row>
    <row r="399" spans="1:6">
      <c r="A399" s="322" t="s">
        <v>96</v>
      </c>
      <c r="B399" s="793">
        <v>44275</v>
      </c>
      <c r="C399" s="790">
        <v>869</v>
      </c>
      <c r="E399"/>
      <c r="F399"/>
    </row>
    <row r="400" spans="1:6">
      <c r="A400" s="322" t="s">
        <v>98</v>
      </c>
      <c r="B400" s="793">
        <v>44276</v>
      </c>
      <c r="C400" s="790">
        <v>892</v>
      </c>
      <c r="E400"/>
      <c r="F400"/>
    </row>
    <row r="401" spans="1:6">
      <c r="A401" s="322" t="s">
        <v>99</v>
      </c>
      <c r="B401" s="793">
        <v>44277</v>
      </c>
      <c r="C401" s="790">
        <v>139</v>
      </c>
      <c r="E401"/>
      <c r="F401"/>
    </row>
    <row r="402" spans="1:6">
      <c r="A402" s="322" t="s">
        <v>97</v>
      </c>
      <c r="B402" s="793">
        <v>44278</v>
      </c>
      <c r="C402" s="790">
        <v>8228</v>
      </c>
      <c r="E402"/>
      <c r="F402"/>
    </row>
    <row r="403" spans="1:6">
      <c r="A403" s="322" t="s">
        <v>100</v>
      </c>
      <c r="B403" s="793">
        <v>44279</v>
      </c>
      <c r="C403" s="790">
        <v>5866</v>
      </c>
      <c r="E403"/>
      <c r="F403"/>
    </row>
    <row r="404" spans="1:6">
      <c r="A404" s="322" t="s">
        <v>102</v>
      </c>
      <c r="B404" s="793">
        <v>44280</v>
      </c>
      <c r="C404" s="790">
        <v>818</v>
      </c>
      <c r="E404"/>
      <c r="F404"/>
    </row>
    <row r="405" spans="1:6">
      <c r="A405" s="322" t="s">
        <v>101</v>
      </c>
      <c r="B405" s="793">
        <v>44281</v>
      </c>
      <c r="C405" s="790">
        <v>29102</v>
      </c>
      <c r="E405"/>
      <c r="F405"/>
    </row>
    <row r="406" spans="1:6">
      <c r="A406" s="322" t="s">
        <v>103</v>
      </c>
      <c r="B406" s="793">
        <v>44282</v>
      </c>
      <c r="C406" s="790">
        <v>457</v>
      </c>
      <c r="E406"/>
      <c r="F406"/>
    </row>
    <row r="407" spans="1:6">
      <c r="A407" s="322" t="s">
        <v>77</v>
      </c>
      <c r="B407" s="793">
        <v>44287</v>
      </c>
      <c r="C407" s="790">
        <v>219</v>
      </c>
      <c r="E407"/>
      <c r="F407"/>
    </row>
    <row r="408" spans="1:6">
      <c r="A408" s="322" t="s">
        <v>78</v>
      </c>
      <c r="B408" s="793">
        <v>44288</v>
      </c>
      <c r="C408" s="790">
        <v>691</v>
      </c>
      <c r="E408"/>
      <c r="F408"/>
    </row>
    <row r="409" spans="1:6">
      <c r="A409" s="322" t="s">
        <v>80</v>
      </c>
      <c r="B409" s="793">
        <v>44289</v>
      </c>
      <c r="C409" s="790">
        <v>622</v>
      </c>
      <c r="E409"/>
      <c r="F409"/>
    </row>
    <row r="410" spans="1:6">
      <c r="A410" s="322" t="s">
        <v>79</v>
      </c>
      <c r="B410" s="793">
        <v>44290</v>
      </c>
      <c r="C410" s="790">
        <v>261</v>
      </c>
      <c r="E410"/>
      <c r="F410"/>
    </row>
    <row r="411" spans="1:6">
      <c r="A411" s="322" t="s">
        <v>81</v>
      </c>
      <c r="B411" s="793">
        <v>44291</v>
      </c>
      <c r="C411" s="790">
        <v>1864</v>
      </c>
      <c r="E411"/>
      <c r="F411"/>
    </row>
    <row r="412" spans="1:6">
      <c r="A412" s="322" t="s">
        <v>82</v>
      </c>
      <c r="B412" s="793">
        <v>44292</v>
      </c>
      <c r="C412" s="790">
        <v>1100</v>
      </c>
      <c r="E412"/>
      <c r="F412"/>
    </row>
    <row r="413" spans="1:6">
      <c r="A413" s="322" t="s">
        <v>83</v>
      </c>
      <c r="B413" s="793">
        <v>44293</v>
      </c>
      <c r="C413" s="790">
        <v>1665</v>
      </c>
      <c r="E413"/>
      <c r="F413"/>
    </row>
    <row r="414" spans="1:6">
      <c r="A414" s="322" t="s">
        <v>84</v>
      </c>
      <c r="B414" s="793">
        <v>44294</v>
      </c>
      <c r="C414" s="790">
        <v>1272</v>
      </c>
      <c r="E414"/>
      <c r="F414"/>
    </row>
    <row r="415" spans="1:6">
      <c r="A415" s="322" t="s">
        <v>85</v>
      </c>
      <c r="B415" s="793">
        <v>44295</v>
      </c>
      <c r="C415" s="790">
        <v>2392</v>
      </c>
      <c r="E415"/>
      <c r="F415"/>
    </row>
    <row r="416" spans="1:6">
      <c r="A416" s="322" t="s">
        <v>86</v>
      </c>
      <c r="B416" s="793">
        <v>44296</v>
      </c>
      <c r="C416" s="790">
        <v>406</v>
      </c>
      <c r="E416"/>
      <c r="F416"/>
    </row>
    <row r="417" spans="1:6">
      <c r="A417" s="322" t="s">
        <v>89</v>
      </c>
      <c r="B417" s="793">
        <v>44297</v>
      </c>
      <c r="C417" s="790">
        <v>4801</v>
      </c>
      <c r="E417"/>
      <c r="F417"/>
    </row>
    <row r="418" spans="1:6">
      <c r="A418" s="322" t="s">
        <v>88</v>
      </c>
      <c r="B418" s="793">
        <v>44298</v>
      </c>
      <c r="C418" s="790">
        <v>1776</v>
      </c>
      <c r="E418"/>
      <c r="F418"/>
    </row>
    <row r="419" spans="1:6">
      <c r="A419" s="322" t="s">
        <v>87</v>
      </c>
      <c r="B419" s="793">
        <v>44299</v>
      </c>
      <c r="C419" s="790">
        <v>2595</v>
      </c>
      <c r="E419"/>
      <c r="F419"/>
    </row>
    <row r="420" spans="1:6">
      <c r="A420" s="322" t="s">
        <v>90</v>
      </c>
      <c r="B420" s="793">
        <v>44300</v>
      </c>
      <c r="C420" s="790">
        <v>787</v>
      </c>
      <c r="E420"/>
      <c r="F420"/>
    </row>
    <row r="421" spans="1:6">
      <c r="A421" s="322" t="s">
        <v>91</v>
      </c>
      <c r="B421" s="793">
        <v>44301</v>
      </c>
      <c r="C421" s="790">
        <v>1098</v>
      </c>
      <c r="E421"/>
      <c r="F421"/>
    </row>
    <row r="422" spans="1:6">
      <c r="A422" s="322" t="s">
        <v>93</v>
      </c>
      <c r="B422" s="793">
        <v>44302</v>
      </c>
      <c r="C422" s="790">
        <v>1559</v>
      </c>
      <c r="E422"/>
      <c r="F422"/>
    </row>
    <row r="423" spans="1:6">
      <c r="A423" s="322" t="s">
        <v>94</v>
      </c>
      <c r="B423" s="793">
        <v>44303</v>
      </c>
      <c r="C423" s="790">
        <v>449</v>
      </c>
      <c r="E423"/>
      <c r="F423"/>
    </row>
    <row r="424" spans="1:6">
      <c r="A424" s="322" t="s">
        <v>92</v>
      </c>
      <c r="B424" s="793">
        <v>44304</v>
      </c>
      <c r="C424" s="790">
        <v>6840</v>
      </c>
      <c r="E424"/>
      <c r="F424"/>
    </row>
    <row r="425" spans="1:6">
      <c r="A425" s="322" t="s">
        <v>95</v>
      </c>
      <c r="B425" s="793">
        <v>44305</v>
      </c>
      <c r="C425" s="790">
        <v>4749</v>
      </c>
      <c r="E425"/>
      <c r="F425"/>
    </row>
    <row r="426" spans="1:6">
      <c r="A426" s="322" t="s">
        <v>96</v>
      </c>
      <c r="B426" s="793">
        <v>44306</v>
      </c>
      <c r="C426" s="790">
        <v>762</v>
      </c>
      <c r="E426"/>
      <c r="F426"/>
    </row>
    <row r="427" spans="1:6">
      <c r="A427" s="322" t="s">
        <v>98</v>
      </c>
      <c r="B427" s="793">
        <v>44307</v>
      </c>
      <c r="C427" s="790">
        <v>821</v>
      </c>
      <c r="E427"/>
      <c r="F427"/>
    </row>
    <row r="428" spans="1:6">
      <c r="A428" s="322" t="s">
        <v>99</v>
      </c>
      <c r="B428" s="793">
        <v>44308</v>
      </c>
      <c r="C428" s="790">
        <v>88</v>
      </c>
      <c r="E428"/>
      <c r="F428"/>
    </row>
    <row r="429" spans="1:6">
      <c r="A429" s="322" t="s">
        <v>97</v>
      </c>
      <c r="B429" s="793">
        <v>44309</v>
      </c>
      <c r="C429" s="790">
        <v>7218</v>
      </c>
      <c r="E429"/>
      <c r="F429"/>
    </row>
    <row r="430" spans="1:6">
      <c r="A430" s="322" t="s">
        <v>100</v>
      </c>
      <c r="B430" s="793">
        <v>44310</v>
      </c>
      <c r="C430" s="790">
        <v>5093</v>
      </c>
      <c r="E430"/>
      <c r="F430"/>
    </row>
    <row r="431" spans="1:6">
      <c r="A431" s="322" t="s">
        <v>102</v>
      </c>
      <c r="B431" s="793">
        <v>44311</v>
      </c>
      <c r="C431" s="790">
        <v>759</v>
      </c>
      <c r="E431"/>
      <c r="F431"/>
    </row>
    <row r="432" spans="1:6">
      <c r="A432" s="322" t="s">
        <v>101</v>
      </c>
      <c r="B432" s="793">
        <v>44312</v>
      </c>
      <c r="C432" s="790">
        <v>26475</v>
      </c>
      <c r="E432"/>
      <c r="F432"/>
    </row>
    <row r="433" spans="1:6">
      <c r="A433" s="322" t="s">
        <v>103</v>
      </c>
      <c r="B433" s="793">
        <v>44313</v>
      </c>
      <c r="C433" s="790">
        <v>409</v>
      </c>
      <c r="E433"/>
      <c r="F433"/>
    </row>
    <row r="434" spans="1:6">
      <c r="A434" s="322" t="s">
        <v>77</v>
      </c>
      <c r="B434" s="793">
        <v>44317</v>
      </c>
      <c r="C434" s="790">
        <v>343</v>
      </c>
      <c r="E434"/>
      <c r="F434"/>
    </row>
    <row r="435" spans="1:6">
      <c r="A435" s="322" t="s">
        <v>78</v>
      </c>
      <c r="B435" s="793">
        <v>44318</v>
      </c>
      <c r="C435" s="790">
        <v>898</v>
      </c>
      <c r="E435"/>
      <c r="F435"/>
    </row>
    <row r="436" spans="1:6">
      <c r="A436" s="322" t="s">
        <v>80</v>
      </c>
      <c r="B436" s="793">
        <v>44319</v>
      </c>
      <c r="C436" s="790">
        <v>755</v>
      </c>
      <c r="E436"/>
      <c r="F436"/>
    </row>
    <row r="437" spans="1:6">
      <c r="A437" s="322" t="s">
        <v>79</v>
      </c>
      <c r="B437" s="793">
        <v>44320</v>
      </c>
      <c r="C437" s="790">
        <v>232</v>
      </c>
      <c r="E437"/>
      <c r="F437"/>
    </row>
    <row r="438" spans="1:6">
      <c r="A438" s="322" t="s">
        <v>81</v>
      </c>
      <c r="B438" s="793">
        <v>44321</v>
      </c>
      <c r="C438" s="790">
        <v>2424</v>
      </c>
      <c r="E438"/>
      <c r="F438"/>
    </row>
    <row r="439" spans="1:6">
      <c r="A439" s="322" t="s">
        <v>82</v>
      </c>
      <c r="B439" s="793">
        <v>44322</v>
      </c>
      <c r="C439" s="790">
        <v>1062</v>
      </c>
      <c r="E439"/>
      <c r="F439"/>
    </row>
    <row r="440" spans="1:6">
      <c r="A440" s="322" t="s">
        <v>83</v>
      </c>
      <c r="B440" s="793">
        <v>44323</v>
      </c>
      <c r="C440" s="790">
        <v>836</v>
      </c>
      <c r="E440"/>
      <c r="F440"/>
    </row>
    <row r="441" spans="1:6">
      <c r="A441" s="322" t="s">
        <v>84</v>
      </c>
      <c r="B441" s="793">
        <v>44324</v>
      </c>
      <c r="C441" s="790">
        <v>1385</v>
      </c>
      <c r="E441"/>
      <c r="F441"/>
    </row>
    <row r="442" spans="1:6">
      <c r="A442" s="322" t="s">
        <v>85</v>
      </c>
      <c r="B442" s="793">
        <v>44325</v>
      </c>
      <c r="C442" s="790">
        <v>3423</v>
      </c>
      <c r="E442"/>
      <c r="F442"/>
    </row>
    <row r="443" spans="1:6">
      <c r="A443" s="322" t="s">
        <v>86</v>
      </c>
      <c r="B443" s="793">
        <v>44326</v>
      </c>
      <c r="C443" s="790">
        <v>1025</v>
      </c>
      <c r="E443"/>
      <c r="F443"/>
    </row>
    <row r="444" spans="1:6">
      <c r="A444" s="322" t="s">
        <v>89</v>
      </c>
      <c r="B444" s="793">
        <v>44327</v>
      </c>
      <c r="C444" s="790">
        <v>5112</v>
      </c>
      <c r="E444"/>
      <c r="F444"/>
    </row>
    <row r="445" spans="1:6">
      <c r="A445" s="322" t="s">
        <v>88</v>
      </c>
      <c r="B445" s="793">
        <v>44328</v>
      </c>
      <c r="C445" s="790">
        <v>1972</v>
      </c>
      <c r="E445"/>
      <c r="F445"/>
    </row>
    <row r="446" spans="1:6">
      <c r="A446" s="322" t="s">
        <v>87</v>
      </c>
      <c r="B446" s="793">
        <v>44329</v>
      </c>
      <c r="C446" s="790">
        <v>3199</v>
      </c>
      <c r="E446"/>
      <c r="F446"/>
    </row>
    <row r="447" spans="1:6">
      <c r="A447" s="322" t="s">
        <v>90</v>
      </c>
      <c r="B447" s="793">
        <v>44330</v>
      </c>
      <c r="C447" s="790">
        <v>1213</v>
      </c>
      <c r="E447"/>
      <c r="F447"/>
    </row>
    <row r="448" spans="1:6">
      <c r="A448" s="322" t="s">
        <v>91</v>
      </c>
      <c r="B448" s="793">
        <v>44331</v>
      </c>
      <c r="C448" s="790">
        <v>840</v>
      </c>
      <c r="E448"/>
      <c r="F448"/>
    </row>
    <row r="449" spans="1:6">
      <c r="A449" s="322" t="s">
        <v>93</v>
      </c>
      <c r="B449" s="793">
        <v>44332</v>
      </c>
      <c r="C449" s="790">
        <v>1443</v>
      </c>
      <c r="E449"/>
      <c r="F449"/>
    </row>
    <row r="450" spans="1:6">
      <c r="A450" s="322" t="s">
        <v>94</v>
      </c>
      <c r="B450" s="793">
        <v>44333</v>
      </c>
      <c r="C450" s="790">
        <v>353</v>
      </c>
      <c r="E450"/>
      <c r="F450"/>
    </row>
    <row r="451" spans="1:6">
      <c r="A451" s="322" t="s">
        <v>92</v>
      </c>
      <c r="B451" s="793">
        <v>44334</v>
      </c>
      <c r="C451" s="790">
        <v>6257</v>
      </c>
      <c r="E451"/>
      <c r="F451"/>
    </row>
    <row r="452" spans="1:6">
      <c r="A452" s="322" t="s">
        <v>95</v>
      </c>
      <c r="B452" s="793">
        <v>44335</v>
      </c>
      <c r="C452" s="790">
        <v>5703</v>
      </c>
      <c r="E452"/>
      <c r="F452"/>
    </row>
    <row r="453" spans="1:6">
      <c r="A453" s="322" t="s">
        <v>96</v>
      </c>
      <c r="B453" s="793">
        <v>44336</v>
      </c>
      <c r="C453" s="790">
        <v>856</v>
      </c>
      <c r="E453"/>
      <c r="F453"/>
    </row>
    <row r="454" spans="1:6">
      <c r="A454" s="322" t="s">
        <v>98</v>
      </c>
      <c r="B454" s="793">
        <v>44337</v>
      </c>
      <c r="C454" s="790">
        <v>926</v>
      </c>
      <c r="E454"/>
      <c r="F454"/>
    </row>
    <row r="455" spans="1:6">
      <c r="A455" s="322" t="s">
        <v>99</v>
      </c>
      <c r="B455" s="793">
        <v>44338</v>
      </c>
      <c r="C455" s="790">
        <v>164</v>
      </c>
      <c r="E455"/>
      <c r="F455"/>
    </row>
    <row r="456" spans="1:6">
      <c r="A456" s="322" t="s">
        <v>97</v>
      </c>
      <c r="B456" s="793">
        <v>44339</v>
      </c>
      <c r="C456" s="790">
        <v>7666</v>
      </c>
      <c r="E456"/>
      <c r="F456"/>
    </row>
    <row r="457" spans="1:6">
      <c r="A457" s="322" t="s">
        <v>100</v>
      </c>
      <c r="B457" s="793">
        <v>44340</v>
      </c>
      <c r="C457" s="790">
        <v>6044</v>
      </c>
      <c r="E457"/>
      <c r="F457"/>
    </row>
    <row r="458" spans="1:6">
      <c r="A458" s="322" t="s">
        <v>102</v>
      </c>
      <c r="B458" s="793">
        <v>44341</v>
      </c>
      <c r="C458" s="790">
        <v>660</v>
      </c>
      <c r="E458"/>
      <c r="F458"/>
    </row>
    <row r="459" spans="1:6">
      <c r="A459" s="322" t="s">
        <v>101</v>
      </c>
      <c r="B459" s="793">
        <v>44342</v>
      </c>
      <c r="C459" s="790">
        <v>24761</v>
      </c>
      <c r="E459"/>
      <c r="F459"/>
    </row>
    <row r="460" spans="1:6">
      <c r="A460" s="322" t="s">
        <v>103</v>
      </c>
      <c r="B460" s="793">
        <v>44343</v>
      </c>
      <c r="C460" s="790">
        <v>421</v>
      </c>
      <c r="E460"/>
      <c r="F460"/>
    </row>
    <row r="461" spans="1:6">
      <c r="A461" s="322" t="s">
        <v>77</v>
      </c>
      <c r="B461" s="793">
        <v>44348</v>
      </c>
      <c r="C461" s="790">
        <v>303</v>
      </c>
      <c r="E461"/>
      <c r="F461"/>
    </row>
    <row r="462" spans="1:6">
      <c r="A462" s="322" t="s">
        <v>78</v>
      </c>
      <c r="B462" s="793">
        <v>44349</v>
      </c>
      <c r="C462" s="790">
        <v>709</v>
      </c>
      <c r="E462"/>
      <c r="F462"/>
    </row>
    <row r="463" spans="1:6">
      <c r="A463" s="322" t="s">
        <v>80</v>
      </c>
      <c r="B463" s="793">
        <v>44350</v>
      </c>
      <c r="C463" s="790">
        <v>650</v>
      </c>
      <c r="E463"/>
      <c r="F463"/>
    </row>
    <row r="464" spans="1:6">
      <c r="A464" s="322" t="s">
        <v>79</v>
      </c>
      <c r="B464" s="793">
        <v>44351</v>
      </c>
      <c r="C464" s="790">
        <v>353</v>
      </c>
      <c r="E464"/>
      <c r="F464"/>
    </row>
    <row r="465" spans="1:6">
      <c r="A465" s="322" t="s">
        <v>81</v>
      </c>
      <c r="B465" s="793">
        <v>44352</v>
      </c>
      <c r="C465" s="790">
        <v>2043</v>
      </c>
      <c r="E465"/>
      <c r="F465"/>
    </row>
    <row r="466" spans="1:6">
      <c r="A466" s="322" t="s">
        <v>82</v>
      </c>
      <c r="B466" s="793">
        <v>44353</v>
      </c>
      <c r="C466" s="790">
        <v>1325</v>
      </c>
      <c r="E466"/>
      <c r="F466"/>
    </row>
    <row r="467" spans="1:6">
      <c r="A467" s="322" t="s">
        <v>83</v>
      </c>
      <c r="B467" s="793">
        <v>44354</v>
      </c>
      <c r="C467" s="790">
        <v>1605</v>
      </c>
      <c r="E467"/>
      <c r="F467"/>
    </row>
    <row r="468" spans="1:6">
      <c r="A468" s="322" t="s">
        <v>84</v>
      </c>
      <c r="B468" s="793">
        <v>44355</v>
      </c>
      <c r="C468" s="790">
        <v>1494</v>
      </c>
      <c r="E468"/>
      <c r="F468"/>
    </row>
    <row r="469" spans="1:6">
      <c r="A469" s="322" t="s">
        <v>85</v>
      </c>
      <c r="B469" s="793">
        <v>44356</v>
      </c>
      <c r="C469" s="790">
        <v>3198</v>
      </c>
      <c r="E469"/>
      <c r="F469"/>
    </row>
    <row r="470" spans="1:6">
      <c r="A470" s="322" t="s">
        <v>86</v>
      </c>
      <c r="B470" s="793">
        <v>44357</v>
      </c>
      <c r="C470" s="790">
        <v>674</v>
      </c>
      <c r="E470"/>
      <c r="F470"/>
    </row>
    <row r="471" spans="1:6">
      <c r="A471" s="322" t="s">
        <v>89</v>
      </c>
      <c r="B471" s="793">
        <v>44358</v>
      </c>
      <c r="C471" s="790">
        <v>5427</v>
      </c>
      <c r="E471"/>
      <c r="F471"/>
    </row>
    <row r="472" spans="1:6">
      <c r="A472" s="322" t="s">
        <v>88</v>
      </c>
      <c r="B472" s="793">
        <v>44359</v>
      </c>
      <c r="C472" s="790">
        <v>1786</v>
      </c>
      <c r="E472"/>
      <c r="F472"/>
    </row>
    <row r="473" spans="1:6">
      <c r="A473" s="322" t="s">
        <v>87</v>
      </c>
      <c r="B473" s="793">
        <v>44360</v>
      </c>
      <c r="C473" s="790">
        <v>3284</v>
      </c>
      <c r="E473"/>
      <c r="F473"/>
    </row>
    <row r="474" spans="1:6">
      <c r="A474" s="322" t="s">
        <v>90</v>
      </c>
      <c r="B474" s="793">
        <v>44361</v>
      </c>
      <c r="C474" s="790">
        <v>1027</v>
      </c>
      <c r="E474"/>
      <c r="F474"/>
    </row>
    <row r="475" spans="1:6">
      <c r="A475" s="322" t="s">
        <v>91</v>
      </c>
      <c r="B475" s="793">
        <v>44362</v>
      </c>
      <c r="C475" s="790">
        <v>1034</v>
      </c>
      <c r="E475"/>
      <c r="F475"/>
    </row>
    <row r="476" spans="1:6">
      <c r="A476" s="322" t="s">
        <v>93</v>
      </c>
      <c r="B476" s="793">
        <v>44363</v>
      </c>
      <c r="C476" s="790">
        <v>1529</v>
      </c>
      <c r="E476"/>
      <c r="F476"/>
    </row>
    <row r="477" spans="1:6">
      <c r="A477" s="322" t="s">
        <v>94</v>
      </c>
      <c r="B477" s="793">
        <v>44364</v>
      </c>
      <c r="C477" s="790">
        <v>614</v>
      </c>
      <c r="E477"/>
      <c r="F477"/>
    </row>
    <row r="478" spans="1:6">
      <c r="A478" s="322" t="s">
        <v>92</v>
      </c>
      <c r="B478" s="793">
        <v>44365</v>
      </c>
      <c r="C478" s="790">
        <v>7200</v>
      </c>
      <c r="E478"/>
      <c r="F478"/>
    </row>
    <row r="479" spans="1:6">
      <c r="A479" s="322" t="s">
        <v>95</v>
      </c>
      <c r="B479" s="793">
        <v>44366</v>
      </c>
      <c r="C479" s="790">
        <v>5650</v>
      </c>
      <c r="E479"/>
      <c r="F479"/>
    </row>
    <row r="480" spans="1:6">
      <c r="A480" s="322" t="s">
        <v>96</v>
      </c>
      <c r="B480" s="793">
        <v>44367</v>
      </c>
      <c r="C480" s="790">
        <v>852</v>
      </c>
      <c r="E480"/>
      <c r="F480"/>
    </row>
    <row r="481" spans="1:6">
      <c r="A481" s="322" t="s">
        <v>98</v>
      </c>
      <c r="B481" s="793">
        <v>44368</v>
      </c>
      <c r="C481" s="790">
        <v>889</v>
      </c>
      <c r="E481"/>
      <c r="F481"/>
    </row>
    <row r="482" spans="1:6">
      <c r="A482" s="322" t="s">
        <v>99</v>
      </c>
      <c r="B482" s="793">
        <v>44369</v>
      </c>
      <c r="C482" s="790">
        <v>109</v>
      </c>
      <c r="E482"/>
      <c r="F482"/>
    </row>
    <row r="483" spans="1:6">
      <c r="A483" s="322" t="s">
        <v>97</v>
      </c>
      <c r="B483" s="793">
        <v>44370</v>
      </c>
      <c r="C483" s="790">
        <v>8212</v>
      </c>
      <c r="E483"/>
      <c r="F483"/>
    </row>
    <row r="484" spans="1:6">
      <c r="A484" s="322" t="s">
        <v>100</v>
      </c>
      <c r="B484" s="793">
        <v>44371</v>
      </c>
      <c r="C484" s="790">
        <v>6020</v>
      </c>
      <c r="E484"/>
      <c r="F484"/>
    </row>
    <row r="485" spans="1:6">
      <c r="A485" s="322" t="s">
        <v>102</v>
      </c>
      <c r="B485" s="793">
        <v>44372</v>
      </c>
      <c r="C485" s="790">
        <v>727</v>
      </c>
      <c r="E485"/>
      <c r="F485"/>
    </row>
    <row r="486" spans="1:6">
      <c r="A486" s="322" t="s">
        <v>101</v>
      </c>
      <c r="B486" s="793">
        <v>44373</v>
      </c>
      <c r="C486" s="790">
        <v>29400</v>
      </c>
      <c r="E486"/>
      <c r="F486"/>
    </row>
    <row r="487" spans="1:6">
      <c r="A487" s="322" t="s">
        <v>103</v>
      </c>
      <c r="B487" s="793">
        <v>44374</v>
      </c>
      <c r="C487" s="790">
        <v>526</v>
      </c>
      <c r="E487"/>
      <c r="F487"/>
    </row>
    <row r="488" spans="1:6">
      <c r="A488" s="322" t="s">
        <v>77</v>
      </c>
      <c r="B488" s="793">
        <v>44378</v>
      </c>
      <c r="C488" s="790">
        <v>340</v>
      </c>
      <c r="E488"/>
      <c r="F488"/>
    </row>
    <row r="489" spans="1:6">
      <c r="A489" s="322" t="s">
        <v>78</v>
      </c>
      <c r="B489" s="793">
        <v>44379</v>
      </c>
      <c r="C489" s="790">
        <v>914</v>
      </c>
      <c r="E489"/>
      <c r="F489"/>
    </row>
    <row r="490" spans="1:6">
      <c r="A490" s="322" t="s">
        <v>80</v>
      </c>
      <c r="B490" s="793">
        <v>44380</v>
      </c>
      <c r="C490" s="790">
        <v>840</v>
      </c>
      <c r="E490"/>
      <c r="F490"/>
    </row>
    <row r="491" spans="1:6">
      <c r="A491" s="322" t="s">
        <v>79</v>
      </c>
      <c r="B491" s="793">
        <v>44381</v>
      </c>
      <c r="C491" s="790">
        <v>372</v>
      </c>
      <c r="E491"/>
      <c r="F491"/>
    </row>
    <row r="492" spans="1:6">
      <c r="A492" s="322" t="s">
        <v>81</v>
      </c>
      <c r="B492" s="793">
        <v>44382</v>
      </c>
      <c r="C492" s="790">
        <v>2287</v>
      </c>
      <c r="E492"/>
      <c r="F492"/>
    </row>
    <row r="493" spans="1:6">
      <c r="A493" s="322" t="s">
        <v>82</v>
      </c>
      <c r="B493" s="793">
        <v>44383</v>
      </c>
      <c r="C493" s="790">
        <v>1712</v>
      </c>
      <c r="E493"/>
      <c r="F493"/>
    </row>
    <row r="494" spans="1:6">
      <c r="A494" s="322" t="s">
        <v>83</v>
      </c>
      <c r="B494" s="793">
        <v>44384</v>
      </c>
      <c r="C494" s="790">
        <v>1930</v>
      </c>
      <c r="E494"/>
      <c r="F494"/>
    </row>
    <row r="495" spans="1:6">
      <c r="A495" s="322" t="s">
        <v>84</v>
      </c>
      <c r="B495" s="793">
        <v>44385</v>
      </c>
      <c r="C495" s="790">
        <v>1762</v>
      </c>
      <c r="E495"/>
      <c r="F495"/>
    </row>
    <row r="496" spans="1:6">
      <c r="A496" s="322" t="s">
        <v>85</v>
      </c>
      <c r="B496" s="793">
        <v>44386</v>
      </c>
      <c r="C496" s="790">
        <v>3432</v>
      </c>
      <c r="E496"/>
      <c r="F496"/>
    </row>
    <row r="497" spans="1:6">
      <c r="A497" s="322" t="s">
        <v>86</v>
      </c>
      <c r="B497" s="793">
        <v>44387</v>
      </c>
      <c r="C497" s="790">
        <v>806</v>
      </c>
      <c r="E497"/>
      <c r="F497"/>
    </row>
    <row r="498" spans="1:6">
      <c r="A498" s="322" t="s">
        <v>89</v>
      </c>
      <c r="B498" s="793">
        <v>44388</v>
      </c>
      <c r="C498" s="790">
        <v>6039</v>
      </c>
      <c r="E498"/>
      <c r="F498"/>
    </row>
    <row r="499" spans="1:6">
      <c r="A499" s="322" t="s">
        <v>88</v>
      </c>
      <c r="B499" s="793">
        <v>44389</v>
      </c>
      <c r="C499" s="790">
        <v>2106</v>
      </c>
      <c r="E499"/>
      <c r="F499"/>
    </row>
    <row r="500" spans="1:6">
      <c r="A500" s="322" t="s">
        <v>87</v>
      </c>
      <c r="B500" s="793">
        <v>44390</v>
      </c>
      <c r="C500" s="790">
        <v>3379</v>
      </c>
      <c r="E500"/>
      <c r="F500"/>
    </row>
    <row r="501" spans="1:6">
      <c r="A501" s="322" t="s">
        <v>90</v>
      </c>
      <c r="B501" s="793">
        <v>44391</v>
      </c>
      <c r="C501" s="790">
        <v>970</v>
      </c>
      <c r="E501"/>
      <c r="F501"/>
    </row>
    <row r="502" spans="1:6">
      <c r="A502" s="322" t="s">
        <v>91</v>
      </c>
      <c r="B502" s="793">
        <v>44392</v>
      </c>
      <c r="C502" s="790">
        <v>1203</v>
      </c>
      <c r="E502"/>
      <c r="F502"/>
    </row>
    <row r="503" spans="1:6">
      <c r="A503" s="322" t="s">
        <v>93</v>
      </c>
      <c r="B503" s="793">
        <v>44393</v>
      </c>
      <c r="C503" s="790">
        <v>1949</v>
      </c>
      <c r="E503"/>
      <c r="F503"/>
    </row>
    <row r="504" spans="1:6">
      <c r="A504" s="322" t="s">
        <v>94</v>
      </c>
      <c r="B504" s="793">
        <v>44394</v>
      </c>
      <c r="C504" s="790">
        <v>708</v>
      </c>
      <c r="E504"/>
      <c r="F504"/>
    </row>
    <row r="505" spans="1:6">
      <c r="A505" s="322" t="s">
        <v>92</v>
      </c>
      <c r="B505" s="793">
        <v>44395</v>
      </c>
      <c r="C505" s="790">
        <v>7745</v>
      </c>
      <c r="E505"/>
      <c r="F505"/>
    </row>
    <row r="506" spans="1:6">
      <c r="A506" s="322" t="s">
        <v>95</v>
      </c>
      <c r="B506" s="793">
        <v>44396</v>
      </c>
      <c r="C506" s="790">
        <v>6127</v>
      </c>
      <c r="E506"/>
      <c r="F506"/>
    </row>
    <row r="507" spans="1:6">
      <c r="A507" s="322" t="s">
        <v>96</v>
      </c>
      <c r="B507" s="793">
        <v>44397</v>
      </c>
      <c r="C507" s="790">
        <v>1077</v>
      </c>
      <c r="E507"/>
      <c r="F507"/>
    </row>
    <row r="508" spans="1:6">
      <c r="A508" s="322" t="s">
        <v>98</v>
      </c>
      <c r="B508" s="793">
        <v>44398</v>
      </c>
      <c r="C508" s="790">
        <v>972</v>
      </c>
      <c r="E508"/>
      <c r="F508"/>
    </row>
    <row r="509" spans="1:6">
      <c r="A509" s="322" t="s">
        <v>99</v>
      </c>
      <c r="B509" s="793">
        <v>44399</v>
      </c>
      <c r="C509" s="790">
        <v>154</v>
      </c>
      <c r="E509"/>
      <c r="F509"/>
    </row>
    <row r="510" spans="1:6">
      <c r="A510" s="322" t="s">
        <v>97</v>
      </c>
      <c r="B510" s="793">
        <v>44400</v>
      </c>
      <c r="C510" s="790">
        <v>9027</v>
      </c>
      <c r="E510"/>
      <c r="F510"/>
    </row>
    <row r="511" spans="1:6">
      <c r="A511" s="322" t="s">
        <v>100</v>
      </c>
      <c r="B511" s="793">
        <v>44401</v>
      </c>
      <c r="C511" s="790">
        <v>5984</v>
      </c>
      <c r="E511"/>
      <c r="F511"/>
    </row>
    <row r="512" spans="1:6">
      <c r="A512" s="322" t="s">
        <v>102</v>
      </c>
      <c r="B512" s="793">
        <v>44402</v>
      </c>
      <c r="C512" s="790">
        <v>861</v>
      </c>
      <c r="E512"/>
      <c r="F512"/>
    </row>
    <row r="513" spans="1:6">
      <c r="A513" s="322" t="s">
        <v>101</v>
      </c>
      <c r="B513" s="793">
        <v>44403</v>
      </c>
      <c r="C513" s="790">
        <v>31132</v>
      </c>
      <c r="E513"/>
      <c r="F513"/>
    </row>
    <row r="514" spans="1:6">
      <c r="A514" s="322" t="s">
        <v>103</v>
      </c>
      <c r="B514" s="793">
        <v>44404</v>
      </c>
      <c r="C514" s="790">
        <v>647</v>
      </c>
      <c r="E514"/>
      <c r="F514"/>
    </row>
    <row r="515" spans="1:6">
      <c r="A515" s="322" t="s">
        <v>77</v>
      </c>
      <c r="B515" s="793">
        <v>44409</v>
      </c>
      <c r="C515" s="790">
        <v>315</v>
      </c>
      <c r="E515"/>
      <c r="F515"/>
    </row>
    <row r="516" spans="1:6">
      <c r="A516" s="322" t="s">
        <v>78</v>
      </c>
      <c r="B516" s="793">
        <v>44410</v>
      </c>
      <c r="C516" s="790">
        <v>848</v>
      </c>
      <c r="E516"/>
      <c r="F516"/>
    </row>
    <row r="517" spans="1:6">
      <c r="A517" s="322" t="s">
        <v>80</v>
      </c>
      <c r="B517" s="793">
        <v>44411</v>
      </c>
      <c r="C517" s="790">
        <v>784</v>
      </c>
      <c r="E517"/>
      <c r="F517"/>
    </row>
    <row r="518" spans="1:6">
      <c r="A518" s="322" t="s">
        <v>79</v>
      </c>
      <c r="B518" s="793">
        <v>44412</v>
      </c>
      <c r="C518" s="790">
        <v>411</v>
      </c>
      <c r="E518"/>
      <c r="F518"/>
    </row>
    <row r="519" spans="1:6">
      <c r="A519" s="322" t="s">
        <v>81</v>
      </c>
      <c r="B519" s="793">
        <v>44413</v>
      </c>
      <c r="C519" s="790">
        <v>2469</v>
      </c>
      <c r="E519"/>
      <c r="F519"/>
    </row>
    <row r="520" spans="1:6">
      <c r="A520" s="322" t="s">
        <v>82</v>
      </c>
      <c r="B520" s="793">
        <v>44414</v>
      </c>
      <c r="C520" s="790">
        <v>1525</v>
      </c>
      <c r="E520"/>
      <c r="F520"/>
    </row>
    <row r="521" spans="1:6">
      <c r="A521" s="322" t="s">
        <v>83</v>
      </c>
      <c r="B521" s="793">
        <v>44415</v>
      </c>
      <c r="C521" s="790">
        <v>1719</v>
      </c>
      <c r="E521"/>
      <c r="F521"/>
    </row>
    <row r="522" spans="1:6">
      <c r="A522" s="322" t="s">
        <v>84</v>
      </c>
      <c r="B522" s="793">
        <v>44416</v>
      </c>
      <c r="C522" s="790">
        <v>1875</v>
      </c>
      <c r="E522"/>
      <c r="F522"/>
    </row>
    <row r="523" spans="1:6">
      <c r="A523" s="322" t="s">
        <v>85</v>
      </c>
      <c r="B523" s="793">
        <v>44417</v>
      </c>
      <c r="C523" s="790">
        <v>3183</v>
      </c>
      <c r="E523"/>
      <c r="F523"/>
    </row>
    <row r="524" spans="1:6">
      <c r="A524" s="322" t="s">
        <v>86</v>
      </c>
      <c r="B524" s="793">
        <v>44418</v>
      </c>
      <c r="C524" s="790">
        <v>763</v>
      </c>
      <c r="E524"/>
      <c r="F524"/>
    </row>
    <row r="525" spans="1:6">
      <c r="A525" s="322" t="s">
        <v>89</v>
      </c>
      <c r="B525" s="793">
        <v>44419</v>
      </c>
      <c r="C525" s="790">
        <v>6053</v>
      </c>
      <c r="E525"/>
      <c r="F525"/>
    </row>
    <row r="526" spans="1:6">
      <c r="A526" s="322" t="s">
        <v>88</v>
      </c>
      <c r="B526" s="793">
        <v>44420</v>
      </c>
      <c r="C526" s="790">
        <v>2105</v>
      </c>
      <c r="E526"/>
      <c r="F526"/>
    </row>
    <row r="527" spans="1:6">
      <c r="A527" s="322" t="s">
        <v>87</v>
      </c>
      <c r="B527" s="793">
        <v>44421</v>
      </c>
      <c r="C527" s="790">
        <v>3401</v>
      </c>
      <c r="E527"/>
      <c r="F527"/>
    </row>
    <row r="528" spans="1:6">
      <c r="A528" s="322" t="s">
        <v>90</v>
      </c>
      <c r="B528" s="793">
        <v>44422</v>
      </c>
      <c r="C528" s="790">
        <v>1065</v>
      </c>
      <c r="E528"/>
      <c r="F528"/>
    </row>
    <row r="529" spans="1:6">
      <c r="A529" s="322" t="s">
        <v>91</v>
      </c>
      <c r="B529" s="793">
        <v>44423</v>
      </c>
      <c r="C529" s="790">
        <v>1166</v>
      </c>
      <c r="E529"/>
      <c r="F529"/>
    </row>
    <row r="530" spans="1:6">
      <c r="A530" s="322" t="s">
        <v>93</v>
      </c>
      <c r="B530" s="793">
        <v>44424</v>
      </c>
      <c r="C530" s="790">
        <v>1892</v>
      </c>
      <c r="E530"/>
      <c r="F530"/>
    </row>
    <row r="531" spans="1:6">
      <c r="A531" s="322" t="s">
        <v>94</v>
      </c>
      <c r="B531" s="793">
        <v>44425</v>
      </c>
      <c r="C531" s="790">
        <v>659</v>
      </c>
      <c r="E531"/>
      <c r="F531"/>
    </row>
    <row r="532" spans="1:6">
      <c r="A532" s="322" t="s">
        <v>92</v>
      </c>
      <c r="B532" s="793">
        <v>44426</v>
      </c>
      <c r="C532" s="790">
        <v>7503</v>
      </c>
      <c r="E532"/>
      <c r="F532"/>
    </row>
    <row r="533" spans="1:6">
      <c r="A533" s="322" t="s">
        <v>95</v>
      </c>
      <c r="B533" s="793">
        <v>44427</v>
      </c>
      <c r="C533" s="790">
        <v>6410</v>
      </c>
      <c r="E533"/>
      <c r="F533"/>
    </row>
    <row r="534" spans="1:6">
      <c r="A534" s="322" t="s">
        <v>96</v>
      </c>
      <c r="B534" s="793">
        <v>44428</v>
      </c>
      <c r="C534" s="790">
        <v>982</v>
      </c>
      <c r="E534"/>
      <c r="F534"/>
    </row>
    <row r="535" spans="1:6">
      <c r="A535" s="322" t="s">
        <v>98</v>
      </c>
      <c r="B535" s="793">
        <v>44429</v>
      </c>
      <c r="C535" s="790">
        <v>928</v>
      </c>
      <c r="E535"/>
      <c r="F535"/>
    </row>
    <row r="536" spans="1:6">
      <c r="A536" s="322" t="s">
        <v>99</v>
      </c>
      <c r="B536" s="793">
        <v>44430</v>
      </c>
      <c r="C536" s="790">
        <v>140</v>
      </c>
      <c r="E536"/>
      <c r="F536"/>
    </row>
    <row r="537" spans="1:6">
      <c r="A537" s="322" t="s">
        <v>97</v>
      </c>
      <c r="B537" s="793">
        <v>44431</v>
      </c>
      <c r="C537" s="790">
        <v>9415</v>
      </c>
      <c r="E537"/>
      <c r="F537"/>
    </row>
    <row r="538" spans="1:6">
      <c r="A538" s="322" t="s">
        <v>100</v>
      </c>
      <c r="B538" s="793">
        <v>44432</v>
      </c>
      <c r="C538" s="790">
        <v>6286</v>
      </c>
      <c r="E538"/>
      <c r="F538"/>
    </row>
    <row r="539" spans="1:6">
      <c r="A539" s="322" t="s">
        <v>102</v>
      </c>
      <c r="B539" s="793">
        <v>44433</v>
      </c>
      <c r="C539" s="790">
        <v>812</v>
      </c>
      <c r="E539"/>
      <c r="F539"/>
    </row>
    <row r="540" spans="1:6">
      <c r="A540" s="322" t="s">
        <v>101</v>
      </c>
      <c r="B540" s="793">
        <v>44434</v>
      </c>
      <c r="C540" s="790">
        <v>33978</v>
      </c>
      <c r="E540"/>
      <c r="F540"/>
    </row>
    <row r="541" spans="1:6">
      <c r="A541" s="322" t="s">
        <v>103</v>
      </c>
      <c r="B541" s="793">
        <v>44435</v>
      </c>
      <c r="C541" s="790">
        <v>475</v>
      </c>
      <c r="E541"/>
      <c r="F541"/>
    </row>
    <row r="542" spans="1:6">
      <c r="A542" s="322" t="s">
        <v>77</v>
      </c>
      <c r="B542" s="793">
        <v>44440</v>
      </c>
      <c r="C542" s="790">
        <v>292</v>
      </c>
      <c r="E542"/>
      <c r="F542"/>
    </row>
    <row r="543" spans="1:6">
      <c r="A543" s="322" t="s">
        <v>78</v>
      </c>
      <c r="B543" s="793">
        <v>44441</v>
      </c>
      <c r="C543" s="790">
        <v>815</v>
      </c>
      <c r="E543"/>
      <c r="F543"/>
    </row>
    <row r="544" spans="1:6">
      <c r="A544" s="322" t="s">
        <v>80</v>
      </c>
      <c r="B544" s="793">
        <v>44442</v>
      </c>
      <c r="C544" s="790">
        <v>772</v>
      </c>
      <c r="E544"/>
      <c r="F544"/>
    </row>
    <row r="545" spans="1:6">
      <c r="A545" s="322" t="s">
        <v>79</v>
      </c>
      <c r="B545" s="793">
        <v>44443</v>
      </c>
      <c r="C545" s="790">
        <v>377</v>
      </c>
      <c r="E545"/>
      <c r="F545"/>
    </row>
    <row r="546" spans="1:6">
      <c r="A546" s="322" t="s">
        <v>81</v>
      </c>
      <c r="B546" s="793">
        <v>44444</v>
      </c>
      <c r="C546" s="790">
        <v>2487</v>
      </c>
      <c r="E546"/>
      <c r="F546"/>
    </row>
    <row r="547" spans="1:6">
      <c r="A547" s="322" t="s">
        <v>82</v>
      </c>
      <c r="B547" s="793">
        <v>44445</v>
      </c>
      <c r="C547" s="790">
        <v>1464</v>
      </c>
      <c r="E547"/>
      <c r="F547"/>
    </row>
    <row r="548" spans="1:6">
      <c r="A548" s="322" t="s">
        <v>83</v>
      </c>
      <c r="B548" s="793">
        <v>44446</v>
      </c>
      <c r="C548" s="790">
        <v>1628</v>
      </c>
      <c r="E548"/>
      <c r="F548"/>
    </row>
    <row r="549" spans="1:6">
      <c r="A549" s="322" t="s">
        <v>84</v>
      </c>
      <c r="B549" s="793">
        <v>44447</v>
      </c>
      <c r="C549" s="790">
        <v>1543</v>
      </c>
      <c r="E549"/>
      <c r="F549"/>
    </row>
    <row r="550" spans="1:6">
      <c r="A550" s="322" t="s">
        <v>85</v>
      </c>
      <c r="B550" s="793">
        <v>44448</v>
      </c>
      <c r="C550" s="790">
        <v>2896</v>
      </c>
      <c r="E550"/>
      <c r="F550"/>
    </row>
    <row r="551" spans="1:6">
      <c r="A551" s="322" t="s">
        <v>86</v>
      </c>
      <c r="B551" s="793">
        <v>44449</v>
      </c>
      <c r="C551" s="790">
        <v>680</v>
      </c>
      <c r="E551"/>
      <c r="F551"/>
    </row>
    <row r="552" spans="1:6">
      <c r="A552" s="322" t="s">
        <v>89</v>
      </c>
      <c r="B552" s="793">
        <v>44450</v>
      </c>
      <c r="C552" s="790">
        <v>5551</v>
      </c>
      <c r="E552"/>
      <c r="F552"/>
    </row>
    <row r="553" spans="1:6">
      <c r="A553" s="322" t="s">
        <v>88</v>
      </c>
      <c r="B553" s="793">
        <v>44451</v>
      </c>
      <c r="C553" s="790">
        <v>1914</v>
      </c>
      <c r="E553"/>
      <c r="F553"/>
    </row>
    <row r="554" spans="1:6">
      <c r="A554" s="322" t="s">
        <v>87</v>
      </c>
      <c r="B554" s="793">
        <v>44452</v>
      </c>
      <c r="C554" s="790">
        <v>3161</v>
      </c>
      <c r="E554"/>
      <c r="F554"/>
    </row>
    <row r="555" spans="1:6">
      <c r="A555" s="322" t="s">
        <v>90</v>
      </c>
      <c r="B555" s="793">
        <v>44453</v>
      </c>
      <c r="C555" s="790">
        <v>1066</v>
      </c>
      <c r="E555"/>
      <c r="F555"/>
    </row>
    <row r="556" spans="1:6">
      <c r="A556" s="322" t="s">
        <v>91</v>
      </c>
      <c r="B556" s="793">
        <v>44454</v>
      </c>
      <c r="C556" s="790">
        <v>1266</v>
      </c>
      <c r="E556"/>
      <c r="F556"/>
    </row>
    <row r="557" spans="1:6">
      <c r="A557" s="322" t="s">
        <v>93</v>
      </c>
      <c r="B557" s="793">
        <v>44455</v>
      </c>
      <c r="C557" s="790">
        <v>1873</v>
      </c>
      <c r="E557"/>
      <c r="F557"/>
    </row>
    <row r="558" spans="1:6">
      <c r="A558" s="322" t="s">
        <v>94</v>
      </c>
      <c r="B558" s="793">
        <v>44456</v>
      </c>
      <c r="C558" s="790">
        <v>635</v>
      </c>
      <c r="E558"/>
      <c r="F558"/>
    </row>
    <row r="559" spans="1:6">
      <c r="A559" s="322" t="s">
        <v>92</v>
      </c>
      <c r="B559" s="793">
        <v>44457</v>
      </c>
      <c r="C559" s="790">
        <v>6966</v>
      </c>
      <c r="E559"/>
      <c r="F559"/>
    </row>
    <row r="560" spans="1:6">
      <c r="A560" s="322" t="s">
        <v>95</v>
      </c>
      <c r="B560" s="793">
        <v>44458</v>
      </c>
      <c r="C560" s="790">
        <v>6178</v>
      </c>
      <c r="E560"/>
      <c r="F560"/>
    </row>
    <row r="561" spans="1:6">
      <c r="A561" s="322" t="s">
        <v>96</v>
      </c>
      <c r="B561" s="793">
        <v>44459</v>
      </c>
      <c r="C561" s="790">
        <v>961</v>
      </c>
      <c r="E561"/>
      <c r="F561"/>
    </row>
    <row r="562" spans="1:6">
      <c r="A562" s="322" t="s">
        <v>98</v>
      </c>
      <c r="B562" s="793">
        <v>44460</v>
      </c>
      <c r="C562" s="790">
        <v>936</v>
      </c>
      <c r="E562"/>
      <c r="F562"/>
    </row>
    <row r="563" spans="1:6">
      <c r="A563" s="322" t="s">
        <v>99</v>
      </c>
      <c r="B563" s="793">
        <v>44461</v>
      </c>
      <c r="C563" s="790">
        <v>142</v>
      </c>
      <c r="E563"/>
      <c r="F563"/>
    </row>
    <row r="564" spans="1:6">
      <c r="A564" s="322" t="s">
        <v>97</v>
      </c>
      <c r="B564" s="793">
        <v>44462</v>
      </c>
      <c r="C564" s="790">
        <v>8620</v>
      </c>
      <c r="E564"/>
      <c r="F564"/>
    </row>
    <row r="565" spans="1:6">
      <c r="A565" s="322" t="s">
        <v>100</v>
      </c>
      <c r="B565" s="793">
        <v>44463</v>
      </c>
      <c r="C565" s="790">
        <v>5883</v>
      </c>
      <c r="E565"/>
      <c r="F565"/>
    </row>
    <row r="566" spans="1:6">
      <c r="A566" s="322" t="s">
        <v>102</v>
      </c>
      <c r="B566" s="793">
        <v>44464</v>
      </c>
      <c r="C566" s="790">
        <v>790</v>
      </c>
      <c r="E566"/>
      <c r="F566"/>
    </row>
    <row r="567" spans="1:6">
      <c r="A567" s="322" t="s">
        <v>101</v>
      </c>
      <c r="B567" s="793">
        <v>44465</v>
      </c>
      <c r="C567" s="790">
        <v>32240</v>
      </c>
      <c r="E567"/>
      <c r="F567"/>
    </row>
    <row r="568" spans="1:6">
      <c r="A568" s="322" t="s">
        <v>103</v>
      </c>
      <c r="B568" s="793">
        <v>44466</v>
      </c>
      <c r="C568" s="790">
        <v>468</v>
      </c>
      <c r="E568"/>
      <c r="F568"/>
    </row>
    <row r="569" spans="1:6">
      <c r="A569" s="322" t="s">
        <v>77</v>
      </c>
      <c r="B569" s="793">
        <v>44470</v>
      </c>
      <c r="C569" s="790">
        <v>221</v>
      </c>
      <c r="E569"/>
      <c r="F569"/>
    </row>
    <row r="570" spans="1:6">
      <c r="A570" s="322" t="s">
        <v>78</v>
      </c>
      <c r="B570" s="793">
        <v>44471</v>
      </c>
      <c r="C570" s="790">
        <v>791</v>
      </c>
      <c r="E570"/>
      <c r="F570"/>
    </row>
    <row r="571" spans="1:6">
      <c r="A571" s="322" t="s">
        <v>80</v>
      </c>
      <c r="B571" s="793">
        <v>44472</v>
      </c>
      <c r="C571" s="790">
        <v>710</v>
      </c>
      <c r="E571"/>
      <c r="F571"/>
    </row>
    <row r="572" spans="1:6">
      <c r="A572" s="322" t="s">
        <v>79</v>
      </c>
      <c r="B572" s="793">
        <v>44473</v>
      </c>
      <c r="C572" s="790">
        <v>377</v>
      </c>
      <c r="E572"/>
      <c r="F572"/>
    </row>
    <row r="573" spans="1:6">
      <c r="A573" s="322" t="s">
        <v>81</v>
      </c>
      <c r="B573" s="793">
        <v>44474</v>
      </c>
      <c r="C573" s="790">
        <v>2139</v>
      </c>
      <c r="E573"/>
      <c r="F573"/>
    </row>
    <row r="574" spans="1:6">
      <c r="A574" s="322" t="s">
        <v>82</v>
      </c>
      <c r="B574" s="793">
        <v>44475</v>
      </c>
      <c r="C574" s="790">
        <v>1401</v>
      </c>
      <c r="E574"/>
      <c r="F574"/>
    </row>
    <row r="575" spans="1:6">
      <c r="A575" s="322" t="s">
        <v>83</v>
      </c>
      <c r="B575" s="793">
        <v>44476</v>
      </c>
      <c r="C575" s="790">
        <v>1634</v>
      </c>
      <c r="E575"/>
      <c r="F575"/>
    </row>
    <row r="576" spans="1:6">
      <c r="A576" s="322" t="s">
        <v>84</v>
      </c>
      <c r="B576" s="793">
        <v>44477</v>
      </c>
      <c r="C576" s="790">
        <v>1565</v>
      </c>
      <c r="E576"/>
      <c r="F576"/>
    </row>
    <row r="577" spans="1:6">
      <c r="A577" s="322" t="s">
        <v>85</v>
      </c>
      <c r="B577" s="793">
        <v>44478</v>
      </c>
      <c r="C577" s="790">
        <v>2715</v>
      </c>
      <c r="E577"/>
      <c r="F577"/>
    </row>
    <row r="578" spans="1:6">
      <c r="A578" s="322" t="s">
        <v>86</v>
      </c>
      <c r="B578" s="793">
        <v>44479</v>
      </c>
      <c r="C578" s="790">
        <v>703</v>
      </c>
      <c r="E578"/>
      <c r="F578"/>
    </row>
    <row r="579" spans="1:6">
      <c r="A579" s="322" t="s">
        <v>89</v>
      </c>
      <c r="B579" s="793">
        <v>44480</v>
      </c>
      <c r="C579" s="790">
        <v>5165</v>
      </c>
      <c r="E579"/>
      <c r="F579"/>
    </row>
    <row r="580" spans="1:6">
      <c r="A580" s="322" t="s">
        <v>88</v>
      </c>
      <c r="B580" s="793">
        <v>44481</v>
      </c>
      <c r="C580" s="790">
        <v>1665</v>
      </c>
      <c r="E580"/>
      <c r="F580"/>
    </row>
    <row r="581" spans="1:6">
      <c r="A581" s="322" t="s">
        <v>87</v>
      </c>
      <c r="B581" s="793">
        <v>44482</v>
      </c>
      <c r="C581" s="790">
        <v>2691</v>
      </c>
      <c r="E581"/>
      <c r="F581"/>
    </row>
    <row r="582" spans="1:6">
      <c r="A582" s="322" t="s">
        <v>90</v>
      </c>
      <c r="B582" s="793">
        <v>44483</v>
      </c>
      <c r="C582" s="790">
        <v>1054</v>
      </c>
      <c r="E582"/>
      <c r="F582"/>
    </row>
    <row r="583" spans="1:6">
      <c r="A583" s="322" t="s">
        <v>91</v>
      </c>
      <c r="B583" s="793">
        <v>44484</v>
      </c>
      <c r="C583" s="790">
        <v>1122</v>
      </c>
      <c r="E583"/>
      <c r="F583"/>
    </row>
    <row r="584" spans="1:6">
      <c r="A584" s="322" t="s">
        <v>93</v>
      </c>
      <c r="B584" s="793">
        <v>44485</v>
      </c>
      <c r="C584" s="790">
        <v>1790</v>
      </c>
      <c r="E584"/>
      <c r="F584"/>
    </row>
    <row r="585" spans="1:6">
      <c r="A585" s="322" t="s">
        <v>94</v>
      </c>
      <c r="B585" s="793">
        <v>44486</v>
      </c>
      <c r="C585" s="790">
        <v>505</v>
      </c>
      <c r="E585"/>
      <c r="F585"/>
    </row>
    <row r="586" spans="1:6">
      <c r="A586" s="322" t="s">
        <v>92</v>
      </c>
      <c r="B586" s="793">
        <v>44487</v>
      </c>
      <c r="C586" s="790">
        <v>6483</v>
      </c>
      <c r="E586"/>
      <c r="F586"/>
    </row>
    <row r="587" spans="1:6">
      <c r="A587" s="322" t="s">
        <v>95</v>
      </c>
      <c r="B587" s="793">
        <v>44488</v>
      </c>
      <c r="C587" s="790">
        <v>5890</v>
      </c>
      <c r="E587"/>
      <c r="F587"/>
    </row>
    <row r="588" spans="1:6">
      <c r="A588" s="322" t="s">
        <v>96</v>
      </c>
      <c r="B588" s="793">
        <v>44489</v>
      </c>
      <c r="C588" s="790">
        <v>856</v>
      </c>
      <c r="E588"/>
      <c r="F588"/>
    </row>
    <row r="589" spans="1:6">
      <c r="A589" s="322" t="s">
        <v>98</v>
      </c>
      <c r="B589" s="793">
        <v>44490</v>
      </c>
      <c r="C589" s="790">
        <v>822</v>
      </c>
      <c r="E589"/>
      <c r="F589"/>
    </row>
    <row r="590" spans="1:6">
      <c r="A590" s="322" t="s">
        <v>99</v>
      </c>
      <c r="B590" s="793">
        <v>44491</v>
      </c>
      <c r="C590" s="790">
        <v>124</v>
      </c>
      <c r="E590"/>
      <c r="F590"/>
    </row>
    <row r="591" spans="1:6">
      <c r="A591" s="322" t="s">
        <v>97</v>
      </c>
      <c r="B591" s="793">
        <v>44492</v>
      </c>
      <c r="C591" s="790">
        <v>8632</v>
      </c>
      <c r="E591"/>
      <c r="F591"/>
    </row>
    <row r="592" spans="1:6">
      <c r="A592" s="322" t="s">
        <v>100</v>
      </c>
      <c r="B592" s="793">
        <v>44493</v>
      </c>
      <c r="C592" s="790">
        <v>5779</v>
      </c>
      <c r="E592"/>
      <c r="F592"/>
    </row>
    <row r="593" spans="1:6">
      <c r="A593" s="322" t="s">
        <v>102</v>
      </c>
      <c r="B593" s="793">
        <v>44494</v>
      </c>
      <c r="C593" s="790">
        <v>770</v>
      </c>
      <c r="E593"/>
      <c r="F593"/>
    </row>
    <row r="594" spans="1:6">
      <c r="A594" s="322" t="s">
        <v>101</v>
      </c>
      <c r="B594" s="793">
        <v>44495</v>
      </c>
      <c r="C594" s="790">
        <v>29917</v>
      </c>
      <c r="E594"/>
      <c r="F594"/>
    </row>
    <row r="595" spans="1:6">
      <c r="A595" s="322" t="s">
        <v>103</v>
      </c>
      <c r="B595" s="793">
        <v>44496</v>
      </c>
      <c r="C595" s="790">
        <v>491</v>
      </c>
      <c r="E595"/>
      <c r="F595"/>
    </row>
    <row r="596" spans="1:6">
      <c r="A596" s="322" t="s">
        <v>77</v>
      </c>
      <c r="B596" s="793">
        <v>44501</v>
      </c>
      <c r="C596" s="790">
        <v>256</v>
      </c>
      <c r="E596"/>
      <c r="F596"/>
    </row>
    <row r="597" spans="1:6">
      <c r="A597" s="322" t="s">
        <v>78</v>
      </c>
      <c r="B597" s="793">
        <v>44502</v>
      </c>
      <c r="C597" s="790">
        <v>755</v>
      </c>
      <c r="E597"/>
      <c r="F597"/>
    </row>
    <row r="598" spans="1:6">
      <c r="A598" s="322" t="s">
        <v>80</v>
      </c>
      <c r="B598" s="793">
        <v>44503</v>
      </c>
      <c r="C598" s="790">
        <v>720</v>
      </c>
      <c r="E598"/>
      <c r="F598"/>
    </row>
    <row r="599" spans="1:6">
      <c r="A599" s="322" t="s">
        <v>79</v>
      </c>
      <c r="B599" s="793">
        <v>44504</v>
      </c>
      <c r="C599" s="790">
        <v>411</v>
      </c>
      <c r="E599"/>
      <c r="F599"/>
    </row>
    <row r="600" spans="1:6">
      <c r="A600" s="322" t="s">
        <v>81</v>
      </c>
      <c r="B600" s="793">
        <v>44505</v>
      </c>
      <c r="C600" s="790">
        <v>2190</v>
      </c>
      <c r="E600"/>
      <c r="F600"/>
    </row>
    <row r="601" spans="1:6">
      <c r="A601" s="322" t="s">
        <v>82</v>
      </c>
      <c r="B601" s="793">
        <v>44506</v>
      </c>
      <c r="C601" s="790">
        <v>1417</v>
      </c>
      <c r="E601"/>
      <c r="F601"/>
    </row>
    <row r="602" spans="1:6">
      <c r="A602" s="322" t="s">
        <v>83</v>
      </c>
      <c r="B602" s="793">
        <v>44507</v>
      </c>
      <c r="C602" s="790">
        <v>1478</v>
      </c>
      <c r="E602"/>
      <c r="F602"/>
    </row>
    <row r="603" spans="1:6">
      <c r="A603" s="322" t="s">
        <v>84</v>
      </c>
      <c r="B603" s="793">
        <v>44508</v>
      </c>
      <c r="C603" s="790">
        <v>1353</v>
      </c>
      <c r="E603"/>
      <c r="F603"/>
    </row>
    <row r="604" spans="1:6">
      <c r="A604" s="322" t="s">
        <v>85</v>
      </c>
      <c r="B604" s="793">
        <v>44509</v>
      </c>
      <c r="C604" s="790">
        <v>2668</v>
      </c>
      <c r="E604"/>
      <c r="F604"/>
    </row>
    <row r="605" spans="1:6">
      <c r="A605" s="322" t="s">
        <v>86</v>
      </c>
      <c r="B605" s="793">
        <v>44510</v>
      </c>
      <c r="C605" s="790">
        <v>625</v>
      </c>
      <c r="E605"/>
      <c r="F605"/>
    </row>
    <row r="606" spans="1:6">
      <c r="A606" s="322" t="s">
        <v>89</v>
      </c>
      <c r="B606" s="793">
        <v>44511</v>
      </c>
      <c r="C606" s="790">
        <v>5212</v>
      </c>
      <c r="E606"/>
      <c r="F606"/>
    </row>
    <row r="607" spans="1:6">
      <c r="A607" s="322" t="s">
        <v>88</v>
      </c>
      <c r="B607" s="793">
        <v>44512</v>
      </c>
      <c r="C607" s="790">
        <v>1813</v>
      </c>
      <c r="E607"/>
      <c r="F607"/>
    </row>
    <row r="608" spans="1:6">
      <c r="A608" s="322" t="s">
        <v>87</v>
      </c>
      <c r="B608" s="793">
        <v>44513</v>
      </c>
      <c r="C608" s="790">
        <v>2706</v>
      </c>
      <c r="E608"/>
      <c r="F608"/>
    </row>
    <row r="609" spans="1:6">
      <c r="A609" s="322" t="s">
        <v>90</v>
      </c>
      <c r="B609" s="793">
        <v>44514</v>
      </c>
      <c r="C609" s="790">
        <v>1050</v>
      </c>
      <c r="E609"/>
      <c r="F609"/>
    </row>
    <row r="610" spans="1:6">
      <c r="A610" s="322" t="s">
        <v>91</v>
      </c>
      <c r="B610" s="793">
        <v>44515</v>
      </c>
      <c r="C610" s="790">
        <v>1140</v>
      </c>
      <c r="E610"/>
      <c r="F610"/>
    </row>
    <row r="611" spans="1:6">
      <c r="A611" s="322" t="s">
        <v>93</v>
      </c>
      <c r="B611" s="793">
        <v>44516</v>
      </c>
      <c r="C611" s="790">
        <v>1857</v>
      </c>
      <c r="E611"/>
      <c r="F611"/>
    </row>
    <row r="612" spans="1:6">
      <c r="A612" s="322" t="s">
        <v>94</v>
      </c>
      <c r="B612" s="793">
        <v>44517</v>
      </c>
      <c r="C612" s="790">
        <v>525</v>
      </c>
      <c r="E612"/>
      <c r="F612"/>
    </row>
    <row r="613" spans="1:6">
      <c r="A613" s="322" t="s">
        <v>92</v>
      </c>
      <c r="B613" s="793">
        <v>44518</v>
      </c>
      <c r="C613" s="790">
        <v>6634</v>
      </c>
      <c r="E613"/>
      <c r="F613"/>
    </row>
    <row r="614" spans="1:6">
      <c r="A614" s="322" t="s">
        <v>95</v>
      </c>
      <c r="B614" s="793">
        <v>44519</v>
      </c>
      <c r="C614" s="790">
        <v>6107</v>
      </c>
      <c r="E614"/>
      <c r="F614"/>
    </row>
    <row r="615" spans="1:6">
      <c r="A615" s="322" t="s">
        <v>96</v>
      </c>
      <c r="B615" s="793">
        <v>44520</v>
      </c>
      <c r="C615" s="790">
        <v>967</v>
      </c>
      <c r="E615"/>
      <c r="F615"/>
    </row>
    <row r="616" spans="1:6">
      <c r="A616" s="322" t="s">
        <v>98</v>
      </c>
      <c r="B616" s="793">
        <v>44521</v>
      </c>
      <c r="C616" s="790">
        <v>745</v>
      </c>
      <c r="E616"/>
      <c r="F616"/>
    </row>
    <row r="617" spans="1:6">
      <c r="A617" s="322" t="s">
        <v>99</v>
      </c>
      <c r="B617" s="793">
        <v>44522</v>
      </c>
      <c r="C617" s="790">
        <v>140</v>
      </c>
      <c r="E617"/>
      <c r="F617"/>
    </row>
    <row r="618" spans="1:6">
      <c r="A618" s="322" t="s">
        <v>97</v>
      </c>
      <c r="B618" s="793">
        <v>44523</v>
      </c>
      <c r="C618" s="790">
        <v>8610</v>
      </c>
      <c r="E618"/>
      <c r="F618"/>
    </row>
    <row r="619" spans="1:6">
      <c r="A619" s="322" t="s">
        <v>100</v>
      </c>
      <c r="B619" s="793">
        <v>44524</v>
      </c>
      <c r="C619" s="790">
        <v>5504</v>
      </c>
      <c r="E619"/>
      <c r="F619"/>
    </row>
    <row r="620" spans="1:6">
      <c r="A620" s="322" t="s">
        <v>102</v>
      </c>
      <c r="B620" s="793">
        <v>44525</v>
      </c>
      <c r="C620" s="790">
        <v>769</v>
      </c>
      <c r="E620"/>
      <c r="F620"/>
    </row>
    <row r="621" spans="1:6">
      <c r="A621" s="322" t="s">
        <v>101</v>
      </c>
      <c r="B621" s="793">
        <v>44526</v>
      </c>
      <c r="C621" s="790">
        <v>30033</v>
      </c>
      <c r="E621"/>
      <c r="F621"/>
    </row>
    <row r="622" spans="1:6">
      <c r="A622" s="322" t="s">
        <v>103</v>
      </c>
      <c r="B622" s="793">
        <v>44527</v>
      </c>
      <c r="C622" s="790">
        <v>407</v>
      </c>
      <c r="E622"/>
      <c r="F622"/>
    </row>
    <row r="623" spans="1:6">
      <c r="A623" s="322" t="s">
        <v>77</v>
      </c>
      <c r="B623" s="793">
        <v>44531</v>
      </c>
      <c r="C623" s="790">
        <v>175</v>
      </c>
      <c r="E623"/>
      <c r="F623"/>
    </row>
    <row r="624" spans="1:6">
      <c r="A624" s="322" t="s">
        <v>78</v>
      </c>
      <c r="B624" s="793">
        <v>44532</v>
      </c>
      <c r="C624" s="790">
        <v>696</v>
      </c>
      <c r="E624"/>
      <c r="F624"/>
    </row>
    <row r="625" spans="1:6">
      <c r="A625" s="322" t="s">
        <v>80</v>
      </c>
      <c r="B625" s="793">
        <v>44533</v>
      </c>
      <c r="C625" s="790">
        <v>604</v>
      </c>
      <c r="E625"/>
      <c r="F625"/>
    </row>
    <row r="626" spans="1:6">
      <c r="A626" s="322" t="s">
        <v>79</v>
      </c>
      <c r="B626" s="793">
        <v>44534</v>
      </c>
      <c r="C626" s="790">
        <v>308</v>
      </c>
      <c r="E626"/>
      <c r="F626"/>
    </row>
    <row r="627" spans="1:6">
      <c r="A627" s="322" t="s">
        <v>81</v>
      </c>
      <c r="B627" s="793">
        <v>44535</v>
      </c>
      <c r="C627" s="790">
        <v>1983</v>
      </c>
      <c r="E627"/>
      <c r="F627"/>
    </row>
    <row r="628" spans="1:6">
      <c r="A628" s="322" t="s">
        <v>82</v>
      </c>
      <c r="B628" s="793">
        <v>44536</v>
      </c>
      <c r="C628" s="790">
        <v>1295</v>
      </c>
      <c r="E628"/>
      <c r="F628"/>
    </row>
    <row r="629" spans="1:6">
      <c r="A629" s="322" t="s">
        <v>83</v>
      </c>
      <c r="B629" s="793">
        <v>44537</v>
      </c>
      <c r="C629" s="790">
        <v>1317</v>
      </c>
      <c r="E629"/>
      <c r="F629"/>
    </row>
    <row r="630" spans="1:6">
      <c r="A630" s="322" t="s">
        <v>84</v>
      </c>
      <c r="B630" s="793">
        <v>44538</v>
      </c>
      <c r="C630" s="790">
        <v>1380</v>
      </c>
      <c r="E630"/>
      <c r="F630"/>
    </row>
    <row r="631" spans="1:6">
      <c r="A631" s="322" t="s">
        <v>85</v>
      </c>
      <c r="B631" s="793">
        <v>44539</v>
      </c>
      <c r="C631" s="790">
        <v>2508</v>
      </c>
      <c r="E631"/>
      <c r="F631"/>
    </row>
    <row r="632" spans="1:6">
      <c r="A632" s="322" t="s">
        <v>86</v>
      </c>
      <c r="B632" s="793">
        <v>44540</v>
      </c>
      <c r="C632" s="790">
        <v>513</v>
      </c>
      <c r="E632"/>
      <c r="F632"/>
    </row>
    <row r="633" spans="1:6">
      <c r="A633" s="322" t="s">
        <v>89</v>
      </c>
      <c r="B633" s="793">
        <v>44541</v>
      </c>
      <c r="C633" s="790">
        <v>4868</v>
      </c>
      <c r="E633"/>
      <c r="F633"/>
    </row>
    <row r="634" spans="1:6">
      <c r="A634" s="322" t="s">
        <v>88</v>
      </c>
      <c r="B634" s="793">
        <v>44542</v>
      </c>
      <c r="C634" s="790">
        <v>1430</v>
      </c>
      <c r="E634"/>
      <c r="F634"/>
    </row>
    <row r="635" spans="1:6">
      <c r="A635" s="322" t="s">
        <v>87</v>
      </c>
      <c r="B635" s="793">
        <v>44543</v>
      </c>
      <c r="C635" s="790">
        <v>2235</v>
      </c>
      <c r="E635"/>
      <c r="F635"/>
    </row>
    <row r="636" spans="1:6">
      <c r="A636" s="322" t="s">
        <v>90</v>
      </c>
      <c r="B636" s="793">
        <v>44544</v>
      </c>
      <c r="C636" s="790">
        <v>897</v>
      </c>
      <c r="E636"/>
      <c r="F636"/>
    </row>
    <row r="637" spans="1:6">
      <c r="A637" s="322" t="s">
        <v>91</v>
      </c>
      <c r="B637" s="793">
        <v>44545</v>
      </c>
      <c r="C637" s="790">
        <v>1007</v>
      </c>
      <c r="E637"/>
      <c r="F637"/>
    </row>
    <row r="638" spans="1:6">
      <c r="A638" s="322" t="s">
        <v>93</v>
      </c>
      <c r="B638" s="793">
        <v>44546</v>
      </c>
      <c r="C638" s="790">
        <v>1731</v>
      </c>
      <c r="E638"/>
      <c r="F638"/>
    </row>
    <row r="639" spans="1:6">
      <c r="A639" s="322" t="s">
        <v>94</v>
      </c>
      <c r="B639" s="793">
        <v>44547</v>
      </c>
      <c r="C639" s="790">
        <v>494</v>
      </c>
      <c r="E639"/>
      <c r="F639"/>
    </row>
    <row r="640" spans="1:6">
      <c r="A640" s="322" t="s">
        <v>92</v>
      </c>
      <c r="B640" s="793">
        <v>44548</v>
      </c>
      <c r="C640" s="790">
        <v>5818</v>
      </c>
      <c r="E640"/>
      <c r="F640"/>
    </row>
    <row r="641" spans="1:6">
      <c r="A641" s="322" t="s">
        <v>95</v>
      </c>
      <c r="B641" s="793">
        <v>44549</v>
      </c>
      <c r="C641" s="790">
        <v>5165</v>
      </c>
      <c r="E641"/>
      <c r="F641"/>
    </row>
    <row r="642" spans="1:6">
      <c r="A642" s="322" t="s">
        <v>96</v>
      </c>
      <c r="B642" s="793">
        <v>44550</v>
      </c>
      <c r="C642" s="790">
        <v>868</v>
      </c>
      <c r="E642"/>
      <c r="F642"/>
    </row>
    <row r="643" spans="1:6">
      <c r="A643" s="322" t="s">
        <v>98</v>
      </c>
      <c r="B643" s="793">
        <v>44551</v>
      </c>
      <c r="C643" s="790">
        <v>734</v>
      </c>
      <c r="E643"/>
      <c r="F643"/>
    </row>
    <row r="644" spans="1:6">
      <c r="A644" s="322" t="s">
        <v>99</v>
      </c>
      <c r="B644" s="793">
        <v>44552</v>
      </c>
      <c r="C644" s="790">
        <v>152</v>
      </c>
      <c r="E644"/>
      <c r="F644"/>
    </row>
    <row r="645" spans="1:6">
      <c r="A645" s="322" t="s">
        <v>97</v>
      </c>
      <c r="B645" s="793">
        <v>44553</v>
      </c>
      <c r="C645" s="790">
        <v>8026</v>
      </c>
      <c r="E645"/>
      <c r="F645"/>
    </row>
    <row r="646" spans="1:6">
      <c r="A646" s="322" t="s">
        <v>100</v>
      </c>
      <c r="B646" s="793">
        <v>44554</v>
      </c>
      <c r="C646" s="790">
        <v>4705</v>
      </c>
      <c r="E646"/>
      <c r="F646"/>
    </row>
    <row r="647" spans="1:6">
      <c r="A647" s="322" t="s">
        <v>102</v>
      </c>
      <c r="B647" s="793">
        <v>44555</v>
      </c>
      <c r="C647" s="790">
        <v>609</v>
      </c>
      <c r="E647"/>
      <c r="F647"/>
    </row>
    <row r="648" spans="1:6">
      <c r="A648" s="322" t="s">
        <v>101</v>
      </c>
      <c r="B648" s="793">
        <v>44556</v>
      </c>
      <c r="C648" s="790">
        <v>26361</v>
      </c>
      <c r="E648"/>
      <c r="F648"/>
    </row>
    <row r="649" spans="1:6">
      <c r="A649" s="322" t="s">
        <v>103</v>
      </c>
      <c r="B649" s="793">
        <v>44557</v>
      </c>
      <c r="C649" s="790">
        <v>371</v>
      </c>
      <c r="E649"/>
      <c r="F649"/>
    </row>
    <row r="650" spans="1:6">
      <c r="A650" s="322" t="s">
        <v>77</v>
      </c>
      <c r="B650" s="793">
        <v>44562</v>
      </c>
      <c r="C650" s="790">
        <v>204</v>
      </c>
      <c r="E650"/>
      <c r="F650"/>
    </row>
    <row r="651" spans="1:6">
      <c r="A651" s="322" t="s">
        <v>78</v>
      </c>
      <c r="B651" s="793">
        <v>44562</v>
      </c>
      <c r="C651" s="790">
        <v>679</v>
      </c>
      <c r="E651"/>
      <c r="F651"/>
    </row>
    <row r="652" spans="1:6">
      <c r="A652" s="322" t="s">
        <v>80</v>
      </c>
      <c r="B652" s="793">
        <v>44562</v>
      </c>
      <c r="C652" s="790">
        <v>534</v>
      </c>
      <c r="E652"/>
      <c r="F652"/>
    </row>
    <row r="653" spans="1:6">
      <c r="A653" s="322" t="s">
        <v>79</v>
      </c>
      <c r="B653" s="793">
        <v>44562</v>
      </c>
      <c r="C653" s="790">
        <v>275</v>
      </c>
      <c r="E653"/>
      <c r="F653"/>
    </row>
    <row r="654" spans="1:6">
      <c r="A654" s="322" t="s">
        <v>81</v>
      </c>
      <c r="B654" s="793">
        <v>44562</v>
      </c>
      <c r="C654" s="790">
        <v>1725</v>
      </c>
      <c r="E654"/>
      <c r="F654"/>
    </row>
    <row r="655" spans="1:6">
      <c r="A655" s="322" t="s">
        <v>82</v>
      </c>
      <c r="B655" s="793">
        <v>44562</v>
      </c>
      <c r="C655" s="790">
        <v>1100</v>
      </c>
      <c r="E655"/>
      <c r="F655"/>
    </row>
    <row r="656" spans="1:6">
      <c r="A656" s="322" t="s">
        <v>83</v>
      </c>
      <c r="B656" s="793">
        <v>44562</v>
      </c>
      <c r="C656" s="790">
        <v>1367</v>
      </c>
      <c r="E656"/>
      <c r="F656"/>
    </row>
    <row r="657" spans="1:6">
      <c r="A657" s="322" t="s">
        <v>84</v>
      </c>
      <c r="B657" s="793">
        <v>44562</v>
      </c>
      <c r="C657" s="790">
        <v>1165</v>
      </c>
      <c r="E657"/>
      <c r="F657"/>
    </row>
    <row r="658" spans="1:6">
      <c r="A658" s="322" t="s">
        <v>85</v>
      </c>
      <c r="B658" s="793">
        <v>44562</v>
      </c>
      <c r="C658" s="790">
        <v>2134</v>
      </c>
      <c r="E658"/>
      <c r="F658"/>
    </row>
    <row r="659" spans="1:6">
      <c r="A659" s="322" t="s">
        <v>86</v>
      </c>
      <c r="B659" s="793">
        <v>44562</v>
      </c>
      <c r="C659" s="790">
        <v>530</v>
      </c>
      <c r="E659"/>
      <c r="F659"/>
    </row>
    <row r="660" spans="1:6">
      <c r="A660" s="322" t="s">
        <v>89</v>
      </c>
      <c r="B660" s="793">
        <v>44562</v>
      </c>
      <c r="C660" s="790">
        <v>4091</v>
      </c>
      <c r="E660"/>
      <c r="F660"/>
    </row>
    <row r="661" spans="1:6">
      <c r="A661" s="322" t="s">
        <v>88</v>
      </c>
      <c r="B661" s="793">
        <v>44562</v>
      </c>
      <c r="C661" s="790">
        <v>1326</v>
      </c>
      <c r="E661"/>
      <c r="F661"/>
    </row>
    <row r="662" spans="1:6">
      <c r="A662" s="322" t="s">
        <v>87</v>
      </c>
      <c r="B662" s="793">
        <v>44562</v>
      </c>
      <c r="C662" s="790">
        <v>1810</v>
      </c>
      <c r="E662"/>
      <c r="F662"/>
    </row>
    <row r="663" spans="1:6">
      <c r="A663" s="322" t="s">
        <v>90</v>
      </c>
      <c r="B663" s="793">
        <v>44562</v>
      </c>
      <c r="C663" s="790">
        <v>726</v>
      </c>
      <c r="E663"/>
      <c r="F663"/>
    </row>
    <row r="664" spans="1:6">
      <c r="A664" s="322" t="s">
        <v>91</v>
      </c>
      <c r="B664" s="793">
        <v>44562</v>
      </c>
      <c r="C664" s="790">
        <v>851</v>
      </c>
      <c r="E664"/>
      <c r="F664"/>
    </row>
    <row r="665" spans="1:6">
      <c r="A665" s="322" t="s">
        <v>93</v>
      </c>
      <c r="B665" s="793">
        <v>44562</v>
      </c>
      <c r="C665" s="790">
        <v>1397</v>
      </c>
      <c r="E665"/>
      <c r="F665"/>
    </row>
    <row r="666" spans="1:6">
      <c r="A666" s="322" t="s">
        <v>94</v>
      </c>
      <c r="B666" s="793">
        <v>44562</v>
      </c>
      <c r="C666" s="790">
        <v>366</v>
      </c>
      <c r="E666"/>
      <c r="F666"/>
    </row>
    <row r="667" spans="1:6">
      <c r="A667" s="322" t="s">
        <v>92</v>
      </c>
      <c r="B667" s="793">
        <v>44562</v>
      </c>
      <c r="C667" s="790">
        <v>5049</v>
      </c>
      <c r="E667"/>
      <c r="F667"/>
    </row>
    <row r="668" spans="1:6">
      <c r="A668" s="322" t="s">
        <v>95</v>
      </c>
      <c r="B668" s="793">
        <v>44562</v>
      </c>
      <c r="C668" s="790">
        <v>4464</v>
      </c>
      <c r="E668"/>
      <c r="F668"/>
    </row>
    <row r="669" spans="1:6">
      <c r="A669" s="322" t="s">
        <v>96</v>
      </c>
      <c r="B669" s="793">
        <v>44562</v>
      </c>
      <c r="C669" s="790">
        <v>654</v>
      </c>
      <c r="E669"/>
      <c r="F669"/>
    </row>
    <row r="670" spans="1:6">
      <c r="A670" s="322" t="s">
        <v>98</v>
      </c>
      <c r="B670" s="793">
        <v>44562</v>
      </c>
      <c r="C670" s="790">
        <v>555</v>
      </c>
      <c r="E670"/>
      <c r="F670"/>
    </row>
    <row r="671" spans="1:6">
      <c r="A671" s="322" t="s">
        <v>99</v>
      </c>
      <c r="B671" s="793">
        <v>44562</v>
      </c>
      <c r="C671" s="790">
        <v>129</v>
      </c>
      <c r="E671"/>
      <c r="F671"/>
    </row>
    <row r="672" spans="1:6">
      <c r="A672" s="322" t="s">
        <v>97</v>
      </c>
      <c r="B672" s="793">
        <v>44562</v>
      </c>
      <c r="C672" s="790">
        <v>6803</v>
      </c>
      <c r="E672"/>
      <c r="F672"/>
    </row>
    <row r="673" spans="1:6">
      <c r="A673" s="322" t="s">
        <v>100</v>
      </c>
      <c r="B673" s="793">
        <v>44562</v>
      </c>
      <c r="C673" s="790">
        <v>3992</v>
      </c>
      <c r="E673"/>
      <c r="F673"/>
    </row>
    <row r="674" spans="1:6">
      <c r="A674" s="322" t="s">
        <v>102</v>
      </c>
      <c r="B674" s="793">
        <v>44562</v>
      </c>
      <c r="C674" s="790">
        <v>601</v>
      </c>
      <c r="E674"/>
      <c r="F674"/>
    </row>
    <row r="675" spans="1:6">
      <c r="A675" s="322" t="s">
        <v>101</v>
      </c>
      <c r="B675" s="793">
        <v>44562</v>
      </c>
      <c r="C675" s="790">
        <v>23130</v>
      </c>
      <c r="E675"/>
      <c r="F675"/>
    </row>
    <row r="676" spans="1:6">
      <c r="A676" s="322" t="s">
        <v>103</v>
      </c>
      <c r="B676" s="793">
        <v>44562</v>
      </c>
      <c r="C676" s="790">
        <v>308</v>
      </c>
      <c r="E676"/>
      <c r="F676"/>
    </row>
    <row r="677" spans="1:6">
      <c r="A677" s="322" t="s">
        <v>77</v>
      </c>
      <c r="B677" s="793">
        <v>44593</v>
      </c>
      <c r="C677" s="790">
        <v>178</v>
      </c>
      <c r="E677"/>
      <c r="F677"/>
    </row>
    <row r="678" spans="1:6">
      <c r="A678" s="322" t="s">
        <v>78</v>
      </c>
      <c r="B678" s="793">
        <v>44594</v>
      </c>
      <c r="C678" s="790">
        <v>714</v>
      </c>
      <c r="E678"/>
      <c r="F678"/>
    </row>
    <row r="679" spans="1:6">
      <c r="A679" s="322" t="s">
        <v>80</v>
      </c>
      <c r="B679" s="793">
        <v>44595</v>
      </c>
      <c r="C679" s="790">
        <v>593</v>
      </c>
      <c r="E679"/>
      <c r="F679"/>
    </row>
    <row r="680" spans="1:6">
      <c r="A680" s="322" t="s">
        <v>79</v>
      </c>
      <c r="B680" s="793">
        <v>44596</v>
      </c>
      <c r="C680" s="790">
        <v>224</v>
      </c>
      <c r="E680"/>
      <c r="F680"/>
    </row>
    <row r="681" spans="1:6">
      <c r="A681" s="322" t="s">
        <v>81</v>
      </c>
      <c r="B681" s="793">
        <v>44597</v>
      </c>
      <c r="C681" s="790">
        <v>2083</v>
      </c>
      <c r="E681"/>
      <c r="F681"/>
    </row>
    <row r="682" spans="1:6">
      <c r="A682" s="322" t="s">
        <v>82</v>
      </c>
      <c r="B682" s="793">
        <v>44598</v>
      </c>
      <c r="C682" s="790">
        <v>1236</v>
      </c>
      <c r="E682"/>
      <c r="F682"/>
    </row>
    <row r="683" spans="1:6">
      <c r="A683" s="322" t="s">
        <v>83</v>
      </c>
      <c r="B683" s="793">
        <v>44599</v>
      </c>
      <c r="C683" s="790">
        <v>1399</v>
      </c>
      <c r="E683"/>
      <c r="F683"/>
    </row>
    <row r="684" spans="1:6">
      <c r="A684" s="322" t="s">
        <v>84</v>
      </c>
      <c r="B684" s="793">
        <v>44600</v>
      </c>
      <c r="C684" s="790">
        <v>1277</v>
      </c>
      <c r="E684"/>
      <c r="F684"/>
    </row>
    <row r="685" spans="1:6">
      <c r="A685" s="322" t="s">
        <v>85</v>
      </c>
      <c r="B685" s="793">
        <v>44601</v>
      </c>
      <c r="C685" s="790">
        <v>2476</v>
      </c>
      <c r="E685"/>
      <c r="F685"/>
    </row>
    <row r="686" spans="1:6">
      <c r="A686" s="322" t="s">
        <v>86</v>
      </c>
      <c r="B686" s="793">
        <v>44602</v>
      </c>
      <c r="C686" s="790">
        <v>652</v>
      </c>
      <c r="E686"/>
      <c r="F686"/>
    </row>
    <row r="687" spans="1:6">
      <c r="A687" s="322" t="s">
        <v>89</v>
      </c>
      <c r="B687" s="793">
        <v>44603</v>
      </c>
      <c r="C687" s="790">
        <v>4349</v>
      </c>
      <c r="E687"/>
      <c r="F687"/>
    </row>
    <row r="688" spans="1:6">
      <c r="A688" s="322" t="s">
        <v>88</v>
      </c>
      <c r="B688" s="793">
        <v>44604</v>
      </c>
      <c r="C688" s="790">
        <v>1564</v>
      </c>
      <c r="E688"/>
      <c r="F688"/>
    </row>
    <row r="689" spans="1:6">
      <c r="A689" s="322" t="s">
        <v>87</v>
      </c>
      <c r="B689" s="793">
        <v>44605</v>
      </c>
      <c r="C689" s="790">
        <v>2454</v>
      </c>
      <c r="E689"/>
      <c r="F689"/>
    </row>
    <row r="690" spans="1:6">
      <c r="A690" s="322" t="s">
        <v>90</v>
      </c>
      <c r="B690" s="793">
        <v>44606</v>
      </c>
      <c r="C690" s="790">
        <v>791</v>
      </c>
      <c r="E690"/>
      <c r="F690"/>
    </row>
    <row r="691" spans="1:6">
      <c r="A691" s="322" t="s">
        <v>91</v>
      </c>
      <c r="B691" s="793">
        <v>44607</v>
      </c>
      <c r="C691" s="790">
        <v>889</v>
      </c>
      <c r="E691"/>
      <c r="F691"/>
    </row>
    <row r="692" spans="1:6">
      <c r="A692" s="322" t="s">
        <v>93</v>
      </c>
      <c r="B692" s="793">
        <v>44608</v>
      </c>
      <c r="C692" s="790">
        <v>1560</v>
      </c>
      <c r="E692"/>
      <c r="F692"/>
    </row>
    <row r="693" spans="1:6">
      <c r="A693" s="322" t="s">
        <v>94</v>
      </c>
      <c r="B693" s="793">
        <v>44609</v>
      </c>
      <c r="C693" s="790">
        <v>445</v>
      </c>
      <c r="E693"/>
      <c r="F693"/>
    </row>
    <row r="694" spans="1:6">
      <c r="A694" s="322" t="s">
        <v>92</v>
      </c>
      <c r="B694" s="793">
        <v>44610</v>
      </c>
      <c r="C694" s="790">
        <v>5624</v>
      </c>
      <c r="E694"/>
      <c r="F694"/>
    </row>
    <row r="695" spans="1:6">
      <c r="A695" s="322" t="s">
        <v>95</v>
      </c>
      <c r="B695" s="793">
        <v>44611</v>
      </c>
      <c r="C695" s="790">
        <v>5001</v>
      </c>
      <c r="E695"/>
      <c r="F695"/>
    </row>
    <row r="696" spans="1:6">
      <c r="A696" s="322" t="s">
        <v>96</v>
      </c>
      <c r="B696" s="793">
        <v>44612</v>
      </c>
      <c r="C696" s="790">
        <v>767</v>
      </c>
      <c r="E696"/>
      <c r="F696"/>
    </row>
    <row r="697" spans="1:6">
      <c r="A697" s="322" t="s">
        <v>98</v>
      </c>
      <c r="B697" s="793">
        <v>44613</v>
      </c>
      <c r="C697" s="790">
        <v>633</v>
      </c>
      <c r="E697"/>
      <c r="F697"/>
    </row>
    <row r="698" spans="1:6">
      <c r="A698" s="322" t="s">
        <v>99</v>
      </c>
      <c r="B698" s="793">
        <v>44614</v>
      </c>
      <c r="C698" s="790">
        <v>144</v>
      </c>
      <c r="E698"/>
      <c r="F698"/>
    </row>
    <row r="699" spans="1:6">
      <c r="A699" s="322" t="s">
        <v>97</v>
      </c>
      <c r="B699" s="793">
        <v>44615</v>
      </c>
      <c r="C699" s="790">
        <v>7579</v>
      </c>
      <c r="E699"/>
      <c r="F699"/>
    </row>
    <row r="700" spans="1:6">
      <c r="A700" s="322" t="s">
        <v>100</v>
      </c>
      <c r="B700" s="793">
        <v>44616</v>
      </c>
      <c r="C700" s="790">
        <v>4531</v>
      </c>
      <c r="E700"/>
      <c r="F700"/>
    </row>
    <row r="701" spans="1:6">
      <c r="A701" s="322" t="s">
        <v>102</v>
      </c>
      <c r="B701" s="793">
        <v>44617</v>
      </c>
      <c r="C701" s="790">
        <v>670</v>
      </c>
      <c r="E701"/>
      <c r="F701"/>
    </row>
    <row r="702" spans="1:6">
      <c r="A702" s="322" t="s">
        <v>101</v>
      </c>
      <c r="B702" s="793">
        <v>44618</v>
      </c>
      <c r="C702" s="790">
        <v>25601</v>
      </c>
      <c r="E702"/>
      <c r="F702"/>
    </row>
    <row r="703" spans="1:6">
      <c r="A703" s="322" t="s">
        <v>103</v>
      </c>
      <c r="B703" s="793">
        <v>44619</v>
      </c>
      <c r="C703" s="790">
        <v>375</v>
      </c>
      <c r="E703"/>
      <c r="F703"/>
    </row>
    <row r="704" spans="1:6">
      <c r="A704" s="322" t="s">
        <v>77</v>
      </c>
      <c r="B704" s="793">
        <v>44621</v>
      </c>
      <c r="C704" s="790">
        <v>261</v>
      </c>
      <c r="E704"/>
      <c r="F704"/>
    </row>
    <row r="705" spans="1:6">
      <c r="A705" s="322" t="s">
        <v>78</v>
      </c>
      <c r="B705" s="793">
        <v>44622</v>
      </c>
      <c r="C705" s="790">
        <v>902</v>
      </c>
      <c r="E705"/>
      <c r="F705"/>
    </row>
    <row r="706" spans="1:6">
      <c r="A706" s="322" t="s">
        <v>80</v>
      </c>
      <c r="B706" s="793">
        <v>44623</v>
      </c>
      <c r="C706" s="790">
        <v>760</v>
      </c>
      <c r="E706"/>
      <c r="F706"/>
    </row>
    <row r="707" spans="1:6">
      <c r="A707" s="322" t="s">
        <v>79</v>
      </c>
      <c r="B707" s="793">
        <v>44624</v>
      </c>
      <c r="C707" s="790">
        <v>385</v>
      </c>
      <c r="E707"/>
      <c r="F707"/>
    </row>
    <row r="708" spans="1:6">
      <c r="A708" s="322" t="s">
        <v>81</v>
      </c>
      <c r="B708" s="793">
        <v>44625</v>
      </c>
      <c r="C708" s="790">
        <v>2520</v>
      </c>
    </row>
    <row r="709" spans="1:6">
      <c r="A709" s="322" t="s">
        <v>82</v>
      </c>
      <c r="B709" s="793">
        <v>44626</v>
      </c>
      <c r="C709" s="790">
        <v>1334</v>
      </c>
    </row>
    <row r="710" spans="1:6">
      <c r="A710" s="322" t="s">
        <v>83</v>
      </c>
      <c r="B710" s="793">
        <v>44627</v>
      </c>
      <c r="C710" s="790">
        <v>1614</v>
      </c>
    </row>
    <row r="711" spans="1:6">
      <c r="A711" s="322" t="s">
        <v>84</v>
      </c>
      <c r="B711" s="793">
        <v>44628</v>
      </c>
      <c r="C711" s="790">
        <v>1683</v>
      </c>
    </row>
    <row r="712" spans="1:6">
      <c r="A712" s="322" t="s">
        <v>85</v>
      </c>
      <c r="B712" s="793">
        <v>44629</v>
      </c>
      <c r="C712" s="790">
        <v>3378</v>
      </c>
    </row>
    <row r="713" spans="1:6">
      <c r="A713" s="322" t="s">
        <v>86</v>
      </c>
      <c r="B713" s="793">
        <v>44630</v>
      </c>
      <c r="C713" s="790">
        <v>700</v>
      </c>
    </row>
    <row r="714" spans="1:6">
      <c r="A714" s="322" t="s">
        <v>89</v>
      </c>
      <c r="B714" s="793">
        <v>44631</v>
      </c>
      <c r="C714" s="790">
        <v>5847</v>
      </c>
    </row>
    <row r="715" spans="1:6">
      <c r="A715" s="322" t="s">
        <v>88</v>
      </c>
      <c r="B715" s="793">
        <v>44632</v>
      </c>
      <c r="C715" s="790">
        <v>2166</v>
      </c>
    </row>
    <row r="716" spans="1:6">
      <c r="A716" s="322" t="s">
        <v>87</v>
      </c>
      <c r="B716" s="793">
        <v>44633</v>
      </c>
      <c r="C716" s="790">
        <v>3220</v>
      </c>
    </row>
    <row r="717" spans="1:6">
      <c r="A717" s="322" t="s">
        <v>90</v>
      </c>
      <c r="B717" s="793">
        <v>44634</v>
      </c>
      <c r="C717" s="790">
        <v>1091</v>
      </c>
    </row>
    <row r="718" spans="1:6">
      <c r="A718" s="322" t="s">
        <v>91</v>
      </c>
      <c r="B718" s="793">
        <v>44635</v>
      </c>
      <c r="C718" s="790">
        <v>1174</v>
      </c>
    </row>
    <row r="719" spans="1:6">
      <c r="A719" s="322" t="s">
        <v>93</v>
      </c>
      <c r="B719" s="793">
        <v>44636</v>
      </c>
      <c r="C719" s="790">
        <v>1969</v>
      </c>
    </row>
    <row r="720" spans="1:6">
      <c r="A720" s="322" t="s">
        <v>94</v>
      </c>
      <c r="B720" s="793">
        <v>44637</v>
      </c>
      <c r="C720" s="790">
        <v>518</v>
      </c>
    </row>
    <row r="721" spans="1:3">
      <c r="A721" s="322" t="s">
        <v>92</v>
      </c>
      <c r="B721" s="793">
        <v>44638</v>
      </c>
      <c r="C721" s="790">
        <v>7162</v>
      </c>
    </row>
    <row r="722" spans="1:3">
      <c r="A722" s="322" t="s">
        <v>95</v>
      </c>
      <c r="B722" s="793">
        <v>44639</v>
      </c>
      <c r="C722" s="790">
        <v>6025</v>
      </c>
    </row>
    <row r="723" spans="1:3">
      <c r="A723" s="322" t="s">
        <v>96</v>
      </c>
      <c r="B723" s="793">
        <v>44640</v>
      </c>
      <c r="C723" s="790">
        <v>894</v>
      </c>
    </row>
    <row r="724" spans="1:3">
      <c r="A724" s="322" t="s">
        <v>98</v>
      </c>
      <c r="B724" s="793">
        <v>44641</v>
      </c>
      <c r="C724" s="790">
        <v>820</v>
      </c>
    </row>
    <row r="725" spans="1:3">
      <c r="A725" s="322" t="s">
        <v>99</v>
      </c>
      <c r="B725" s="793">
        <v>44642</v>
      </c>
      <c r="C725" s="790">
        <v>145</v>
      </c>
    </row>
    <row r="726" spans="1:3">
      <c r="A726" s="322" t="s">
        <v>97</v>
      </c>
      <c r="B726" s="793">
        <v>44643</v>
      </c>
      <c r="C726" s="790">
        <v>8797</v>
      </c>
    </row>
    <row r="727" spans="1:3">
      <c r="A727" s="322" t="s">
        <v>100</v>
      </c>
      <c r="B727" s="793">
        <v>44644</v>
      </c>
      <c r="C727" s="790">
        <v>6453</v>
      </c>
    </row>
    <row r="728" spans="1:3">
      <c r="A728" s="322" t="s">
        <v>102</v>
      </c>
      <c r="B728" s="793">
        <v>44645</v>
      </c>
      <c r="C728" s="790">
        <v>961</v>
      </c>
    </row>
    <row r="729" spans="1:3">
      <c r="A729" s="322" t="s">
        <v>101</v>
      </c>
      <c r="B729" s="793">
        <v>44646</v>
      </c>
      <c r="C729" s="790">
        <v>32744</v>
      </c>
    </row>
    <row r="730" spans="1:3">
      <c r="A730" s="322" t="s">
        <v>103</v>
      </c>
      <c r="B730" s="793">
        <v>44647</v>
      </c>
      <c r="C730" s="790">
        <v>501</v>
      </c>
    </row>
    <row r="731" spans="1:3">
      <c r="A731" s="322" t="s">
        <v>77</v>
      </c>
      <c r="B731" s="793">
        <v>44652</v>
      </c>
      <c r="C731" s="790">
        <v>207</v>
      </c>
    </row>
    <row r="732" spans="1:3">
      <c r="A732" s="322" t="s">
        <v>78</v>
      </c>
      <c r="B732" s="793">
        <v>44653</v>
      </c>
      <c r="C732" s="790">
        <v>821</v>
      </c>
    </row>
    <row r="733" spans="1:3">
      <c r="A733" s="322" t="s">
        <v>80</v>
      </c>
      <c r="B733" s="793">
        <v>44654</v>
      </c>
      <c r="C733" s="790">
        <v>641</v>
      </c>
    </row>
    <row r="734" spans="1:3">
      <c r="A734" s="322" t="s">
        <v>79</v>
      </c>
      <c r="B734" s="793">
        <v>44655</v>
      </c>
      <c r="C734" s="790">
        <v>275</v>
      </c>
    </row>
    <row r="735" spans="1:3">
      <c r="A735" s="322" t="s">
        <v>81</v>
      </c>
      <c r="B735" s="793">
        <v>44656</v>
      </c>
      <c r="C735" s="790">
        <v>2024</v>
      </c>
    </row>
    <row r="736" spans="1:3">
      <c r="A736" s="322" t="s">
        <v>82</v>
      </c>
      <c r="B736" s="793">
        <v>44657</v>
      </c>
      <c r="C736" s="790">
        <v>1155</v>
      </c>
    </row>
    <row r="737" spans="1:3">
      <c r="A737" s="322" t="s">
        <v>83</v>
      </c>
      <c r="B737" s="793">
        <v>44658</v>
      </c>
      <c r="C737" s="790">
        <v>1422</v>
      </c>
    </row>
    <row r="738" spans="1:3">
      <c r="A738" s="322" t="s">
        <v>84</v>
      </c>
      <c r="B738" s="793">
        <v>44659</v>
      </c>
      <c r="C738" s="790">
        <v>1311</v>
      </c>
    </row>
    <row r="739" spans="1:3">
      <c r="A739" s="322" t="s">
        <v>85</v>
      </c>
      <c r="B739" s="793">
        <v>44660</v>
      </c>
      <c r="C739" s="790">
        <v>2626</v>
      </c>
    </row>
    <row r="740" spans="1:3">
      <c r="A740" s="322" t="s">
        <v>86</v>
      </c>
      <c r="B740" s="793">
        <v>44661</v>
      </c>
      <c r="C740" s="790">
        <v>611</v>
      </c>
    </row>
    <row r="741" spans="1:3">
      <c r="A741" s="322" t="s">
        <v>89</v>
      </c>
      <c r="B741" s="793">
        <v>44662</v>
      </c>
      <c r="C741" s="790">
        <v>4913</v>
      </c>
    </row>
    <row r="742" spans="1:3">
      <c r="A742" s="322" t="s">
        <v>88</v>
      </c>
      <c r="B742" s="793">
        <v>44663</v>
      </c>
      <c r="C742" s="790">
        <v>1592</v>
      </c>
    </row>
    <row r="743" spans="1:3">
      <c r="A743" s="322" t="s">
        <v>87</v>
      </c>
      <c r="B743" s="793">
        <v>44664</v>
      </c>
      <c r="C743" s="790">
        <v>2686</v>
      </c>
    </row>
    <row r="744" spans="1:3">
      <c r="A744" s="322" t="s">
        <v>90</v>
      </c>
      <c r="B744" s="793">
        <v>44665</v>
      </c>
      <c r="C744" s="790">
        <v>1011</v>
      </c>
    </row>
    <row r="745" spans="1:3">
      <c r="A745" s="322" t="s">
        <v>91</v>
      </c>
      <c r="B745" s="793">
        <v>44666</v>
      </c>
      <c r="C745" s="790">
        <v>898</v>
      </c>
    </row>
    <row r="746" spans="1:3">
      <c r="A746" s="322" t="s">
        <v>93</v>
      </c>
      <c r="B746" s="793">
        <v>44667</v>
      </c>
      <c r="C746" s="790">
        <v>1667</v>
      </c>
    </row>
    <row r="747" spans="1:3">
      <c r="A747" s="322" t="s">
        <v>94</v>
      </c>
      <c r="B747" s="793">
        <v>44668</v>
      </c>
      <c r="C747" s="790">
        <v>478</v>
      </c>
    </row>
    <row r="748" spans="1:3">
      <c r="A748" s="322" t="s">
        <v>92</v>
      </c>
      <c r="B748" s="793">
        <v>44669</v>
      </c>
      <c r="C748" s="790">
        <v>6003</v>
      </c>
    </row>
    <row r="749" spans="1:3">
      <c r="A749" s="322" t="s">
        <v>95</v>
      </c>
      <c r="B749" s="793">
        <v>44670</v>
      </c>
      <c r="C749" s="790">
        <v>5065</v>
      </c>
    </row>
    <row r="750" spans="1:3">
      <c r="A750" s="322" t="s">
        <v>96</v>
      </c>
      <c r="B750" s="793">
        <v>44671</v>
      </c>
      <c r="C750" s="790">
        <v>791</v>
      </c>
    </row>
    <row r="751" spans="1:3">
      <c r="A751" s="322" t="s">
        <v>98</v>
      </c>
      <c r="B751" s="793">
        <v>44672</v>
      </c>
      <c r="C751" s="790">
        <v>816</v>
      </c>
    </row>
    <row r="752" spans="1:3">
      <c r="A752" s="322" t="s">
        <v>99</v>
      </c>
      <c r="B752" s="793">
        <v>44673</v>
      </c>
      <c r="C752" s="790">
        <v>145</v>
      </c>
    </row>
    <row r="753" spans="1:3">
      <c r="A753" s="322" t="s">
        <v>97</v>
      </c>
      <c r="B753" s="793">
        <v>44674</v>
      </c>
      <c r="C753" s="790">
        <v>7546</v>
      </c>
    </row>
    <row r="754" spans="1:3">
      <c r="A754" s="322" t="s">
        <v>100</v>
      </c>
      <c r="B754" s="793">
        <v>44675</v>
      </c>
      <c r="C754" s="790">
        <v>4932</v>
      </c>
    </row>
    <row r="755" spans="1:3">
      <c r="A755" s="322" t="s">
        <v>102</v>
      </c>
      <c r="B755" s="793">
        <v>44676</v>
      </c>
      <c r="C755" s="790">
        <v>732</v>
      </c>
    </row>
    <row r="756" spans="1:3">
      <c r="A756" s="322" t="s">
        <v>101</v>
      </c>
      <c r="B756" s="793">
        <v>44677</v>
      </c>
      <c r="C756" s="790">
        <v>27573</v>
      </c>
    </row>
    <row r="757" spans="1:3">
      <c r="A757" s="322" t="s">
        <v>103</v>
      </c>
      <c r="B757" s="793">
        <v>44678</v>
      </c>
      <c r="C757" s="790">
        <v>458</v>
      </c>
    </row>
    <row r="758" spans="1:3">
      <c r="A758" s="322" t="s">
        <v>77</v>
      </c>
      <c r="B758" s="793">
        <v>44682</v>
      </c>
      <c r="C758" s="790">
        <v>249</v>
      </c>
    </row>
    <row r="759" spans="1:3">
      <c r="A759" s="322" t="s">
        <v>78</v>
      </c>
      <c r="B759" s="793">
        <v>44683</v>
      </c>
      <c r="C759" s="790">
        <v>756</v>
      </c>
    </row>
    <row r="760" spans="1:3">
      <c r="A760" s="322" t="s">
        <v>80</v>
      </c>
      <c r="B760" s="793">
        <v>44684</v>
      </c>
      <c r="C760" s="790">
        <v>735</v>
      </c>
    </row>
    <row r="761" spans="1:3">
      <c r="A761" s="322" t="s">
        <v>79</v>
      </c>
      <c r="B761" s="793">
        <v>44685</v>
      </c>
      <c r="C761" s="790">
        <v>387</v>
      </c>
    </row>
    <row r="762" spans="1:3">
      <c r="A762" s="322" t="s">
        <v>81</v>
      </c>
      <c r="B762" s="793">
        <v>44686</v>
      </c>
      <c r="C762" s="790">
        <v>2701</v>
      </c>
    </row>
    <row r="763" spans="1:3">
      <c r="A763" s="322" t="s">
        <v>82</v>
      </c>
      <c r="B763" s="793">
        <v>44687</v>
      </c>
      <c r="C763" s="790">
        <v>1562</v>
      </c>
    </row>
    <row r="764" spans="1:3">
      <c r="A764" s="322" t="s">
        <v>83</v>
      </c>
      <c r="B764" s="793">
        <v>44688</v>
      </c>
      <c r="C764" s="790">
        <v>1792</v>
      </c>
    </row>
    <row r="765" spans="1:3">
      <c r="A765" s="322" t="s">
        <v>84</v>
      </c>
      <c r="B765" s="793">
        <v>44689</v>
      </c>
      <c r="C765" s="790">
        <v>1609</v>
      </c>
    </row>
    <row r="766" spans="1:3">
      <c r="A766" s="322" t="s">
        <v>85</v>
      </c>
      <c r="B766" s="793">
        <v>44690</v>
      </c>
      <c r="C766" s="790">
        <v>3151</v>
      </c>
    </row>
    <row r="767" spans="1:3">
      <c r="A767" s="322" t="s">
        <v>86</v>
      </c>
      <c r="B767" s="793">
        <v>44691</v>
      </c>
      <c r="C767" s="790">
        <v>686</v>
      </c>
    </row>
    <row r="768" spans="1:3">
      <c r="A768" s="322" t="s">
        <v>89</v>
      </c>
      <c r="B768" s="793">
        <v>44692</v>
      </c>
      <c r="C768" s="790">
        <v>5854</v>
      </c>
    </row>
    <row r="769" spans="1:3">
      <c r="A769" s="322" t="s">
        <v>88</v>
      </c>
      <c r="B769" s="793">
        <v>44693</v>
      </c>
      <c r="C769" s="790">
        <v>2025</v>
      </c>
    </row>
    <row r="770" spans="1:3">
      <c r="A770" s="322" t="s">
        <v>87</v>
      </c>
      <c r="B770" s="793">
        <v>44694</v>
      </c>
      <c r="C770" s="790">
        <v>3258</v>
      </c>
    </row>
    <row r="771" spans="1:3">
      <c r="A771" s="322" t="s">
        <v>90</v>
      </c>
      <c r="B771" s="793">
        <v>44695</v>
      </c>
      <c r="C771" s="790">
        <v>1157</v>
      </c>
    </row>
    <row r="772" spans="1:3">
      <c r="A772" s="322" t="s">
        <v>91</v>
      </c>
      <c r="B772" s="793">
        <v>44696</v>
      </c>
      <c r="C772" s="790">
        <v>1125</v>
      </c>
    </row>
    <row r="773" spans="1:3">
      <c r="A773" s="322" t="s">
        <v>93</v>
      </c>
      <c r="B773" s="793">
        <v>44697</v>
      </c>
      <c r="C773" s="790">
        <v>1919</v>
      </c>
    </row>
    <row r="774" spans="1:3">
      <c r="A774" s="322" t="s">
        <v>94</v>
      </c>
      <c r="B774" s="793">
        <v>44698</v>
      </c>
      <c r="C774" s="790">
        <v>523</v>
      </c>
    </row>
    <row r="775" spans="1:3">
      <c r="A775" s="322" t="s">
        <v>92</v>
      </c>
      <c r="B775" s="793">
        <v>44699</v>
      </c>
      <c r="C775" s="790">
        <v>6587</v>
      </c>
    </row>
    <row r="776" spans="1:3">
      <c r="A776" s="322" t="s">
        <v>95</v>
      </c>
      <c r="B776" s="793">
        <v>44700</v>
      </c>
      <c r="C776" s="790">
        <v>6372</v>
      </c>
    </row>
    <row r="777" spans="1:3">
      <c r="A777" s="322" t="s">
        <v>96</v>
      </c>
      <c r="B777" s="793">
        <v>44701</v>
      </c>
      <c r="C777" s="790">
        <v>921</v>
      </c>
    </row>
    <row r="778" spans="1:3">
      <c r="A778" s="322" t="s">
        <v>98</v>
      </c>
      <c r="B778" s="793">
        <v>44702</v>
      </c>
      <c r="C778" s="790">
        <v>981</v>
      </c>
    </row>
    <row r="779" spans="1:3">
      <c r="A779" s="322" t="s">
        <v>99</v>
      </c>
      <c r="B779" s="793">
        <v>44703</v>
      </c>
      <c r="C779" s="790">
        <v>191</v>
      </c>
    </row>
    <row r="780" spans="1:3">
      <c r="A780" s="322" t="s">
        <v>97</v>
      </c>
      <c r="B780" s="793">
        <v>44704</v>
      </c>
      <c r="C780" s="790">
        <v>8694</v>
      </c>
    </row>
    <row r="781" spans="1:3">
      <c r="A781" s="322" t="s">
        <v>100</v>
      </c>
      <c r="B781" s="793">
        <v>44705</v>
      </c>
      <c r="C781" s="790">
        <v>5758</v>
      </c>
    </row>
    <row r="782" spans="1:3">
      <c r="A782" s="322" t="s">
        <v>102</v>
      </c>
      <c r="B782" s="793">
        <v>44706</v>
      </c>
      <c r="C782" s="790">
        <v>797</v>
      </c>
    </row>
    <row r="783" spans="1:3">
      <c r="A783" s="322" t="s">
        <v>101</v>
      </c>
      <c r="B783" s="793">
        <v>44707</v>
      </c>
      <c r="C783" s="790">
        <v>32927</v>
      </c>
    </row>
    <row r="784" spans="1:3">
      <c r="A784" s="322" t="s">
        <v>103</v>
      </c>
      <c r="B784" s="793">
        <v>44708</v>
      </c>
      <c r="C784" s="790">
        <v>588</v>
      </c>
    </row>
    <row r="785" spans="1:3">
      <c r="A785" s="322" t="s">
        <v>77</v>
      </c>
      <c r="B785" s="793">
        <v>44713</v>
      </c>
      <c r="C785" s="169">
        <v>328</v>
      </c>
    </row>
    <row r="786" spans="1:3">
      <c r="A786" s="322" t="s">
        <v>78</v>
      </c>
      <c r="B786" s="793">
        <v>44714</v>
      </c>
      <c r="C786" s="169">
        <v>626</v>
      </c>
    </row>
    <row r="787" spans="1:3">
      <c r="A787" s="322" t="s">
        <v>80</v>
      </c>
      <c r="B787" s="793">
        <v>44715</v>
      </c>
      <c r="C787" s="169">
        <v>755</v>
      </c>
    </row>
    <row r="788" spans="1:3">
      <c r="A788" s="322" t="s">
        <v>79</v>
      </c>
      <c r="B788" s="793">
        <v>44716</v>
      </c>
      <c r="C788" s="169">
        <v>389</v>
      </c>
    </row>
    <row r="789" spans="1:3">
      <c r="A789" s="322" t="s">
        <v>81</v>
      </c>
      <c r="B789" s="793">
        <v>44717</v>
      </c>
      <c r="C789" s="169">
        <v>2034</v>
      </c>
    </row>
    <row r="790" spans="1:3">
      <c r="A790" s="322" t="s">
        <v>82</v>
      </c>
      <c r="B790" s="793">
        <v>44718</v>
      </c>
      <c r="C790" s="169">
        <v>1554</v>
      </c>
    </row>
    <row r="791" spans="1:3">
      <c r="A791" s="322" t="s">
        <v>83</v>
      </c>
      <c r="B791" s="793">
        <v>44719</v>
      </c>
      <c r="C791" s="169">
        <v>1547</v>
      </c>
    </row>
    <row r="792" spans="1:3">
      <c r="A792" s="322" t="s">
        <v>84</v>
      </c>
      <c r="B792" s="793">
        <v>44720</v>
      </c>
      <c r="C792" s="169">
        <v>1488</v>
      </c>
    </row>
    <row r="793" spans="1:3">
      <c r="A793" s="322" t="s">
        <v>85</v>
      </c>
      <c r="B793" s="793">
        <v>44721</v>
      </c>
      <c r="C793" s="169">
        <v>2894</v>
      </c>
    </row>
    <row r="794" spans="1:3">
      <c r="A794" s="322" t="s">
        <v>86</v>
      </c>
      <c r="B794" s="793">
        <v>44722</v>
      </c>
      <c r="C794" s="169">
        <v>648</v>
      </c>
    </row>
    <row r="795" spans="1:3">
      <c r="A795" s="322" t="s">
        <v>89</v>
      </c>
      <c r="B795" s="793">
        <v>44723</v>
      </c>
      <c r="C795" s="169">
        <v>5557</v>
      </c>
    </row>
    <row r="796" spans="1:3">
      <c r="A796" s="322" t="s">
        <v>88</v>
      </c>
      <c r="B796" s="793">
        <v>44724</v>
      </c>
      <c r="C796" s="169">
        <v>1876</v>
      </c>
    </row>
    <row r="797" spans="1:3">
      <c r="A797" s="322" t="s">
        <v>87</v>
      </c>
      <c r="B797" s="793">
        <v>44725</v>
      </c>
      <c r="C797" s="169">
        <v>3134</v>
      </c>
    </row>
    <row r="798" spans="1:3">
      <c r="A798" s="322" t="s">
        <v>90</v>
      </c>
      <c r="B798" s="793">
        <v>44726</v>
      </c>
      <c r="C798" s="169">
        <v>1131</v>
      </c>
    </row>
    <row r="799" spans="1:3">
      <c r="A799" s="322" t="s">
        <v>91</v>
      </c>
      <c r="B799" s="793">
        <v>44727</v>
      </c>
      <c r="C799" s="169">
        <v>955</v>
      </c>
    </row>
    <row r="800" spans="1:3">
      <c r="A800" s="322" t="s">
        <v>93</v>
      </c>
      <c r="B800" s="793">
        <v>44728</v>
      </c>
      <c r="C800" s="169">
        <v>1465</v>
      </c>
    </row>
    <row r="801" spans="1:3">
      <c r="A801" s="322" t="s">
        <v>94</v>
      </c>
      <c r="B801" s="793">
        <v>44729</v>
      </c>
      <c r="C801" s="169">
        <v>505</v>
      </c>
    </row>
    <row r="802" spans="1:3">
      <c r="A802" s="322" t="s">
        <v>92</v>
      </c>
      <c r="B802" s="793">
        <v>44730</v>
      </c>
      <c r="C802" s="169">
        <v>6258</v>
      </c>
    </row>
    <row r="803" spans="1:3">
      <c r="A803" s="322" t="s">
        <v>95</v>
      </c>
      <c r="B803" s="793">
        <v>44731</v>
      </c>
      <c r="C803" s="169">
        <v>5854</v>
      </c>
    </row>
    <row r="804" spans="1:3">
      <c r="A804" s="322" t="s">
        <v>96</v>
      </c>
      <c r="B804" s="793">
        <v>44732</v>
      </c>
      <c r="C804" s="169">
        <v>853</v>
      </c>
    </row>
    <row r="805" spans="1:3">
      <c r="A805" s="322" t="s">
        <v>98</v>
      </c>
      <c r="B805" s="793">
        <v>44733</v>
      </c>
      <c r="C805" s="169">
        <v>806</v>
      </c>
    </row>
    <row r="806" spans="1:3">
      <c r="A806" s="322" t="s">
        <v>99</v>
      </c>
      <c r="B806" s="793">
        <v>44734</v>
      </c>
      <c r="C806" s="169">
        <v>147</v>
      </c>
    </row>
    <row r="807" spans="1:3">
      <c r="A807" s="322" t="s">
        <v>97</v>
      </c>
      <c r="B807" s="793">
        <v>44735</v>
      </c>
      <c r="C807" s="169">
        <v>8167</v>
      </c>
    </row>
    <row r="808" spans="1:3">
      <c r="A808" s="322" t="s">
        <v>100</v>
      </c>
      <c r="B808" s="793">
        <v>44736</v>
      </c>
      <c r="C808" s="169">
        <v>5423</v>
      </c>
    </row>
    <row r="809" spans="1:3">
      <c r="A809" s="322" t="s">
        <v>102</v>
      </c>
      <c r="B809" s="793">
        <v>44737</v>
      </c>
      <c r="C809" s="169">
        <v>596</v>
      </c>
    </row>
    <row r="810" spans="1:3">
      <c r="A810" s="322" t="s">
        <v>101</v>
      </c>
      <c r="B810" s="793">
        <v>44738</v>
      </c>
      <c r="C810" s="169">
        <v>30909</v>
      </c>
    </row>
    <row r="811" spans="1:3">
      <c r="A811" s="322" t="s">
        <v>103</v>
      </c>
      <c r="B811" s="793">
        <v>44739</v>
      </c>
      <c r="C811" s="169">
        <v>481</v>
      </c>
    </row>
    <row r="812" spans="1:3">
      <c r="A812" s="322" t="s">
        <v>77</v>
      </c>
      <c r="B812" s="793">
        <v>44743</v>
      </c>
      <c r="C812" s="169">
        <v>269</v>
      </c>
    </row>
    <row r="813" spans="1:3">
      <c r="A813" s="322" t="s">
        <v>78</v>
      </c>
      <c r="B813" s="793">
        <v>44744</v>
      </c>
      <c r="C813" s="169">
        <v>644</v>
      </c>
    </row>
    <row r="814" spans="1:3">
      <c r="A814" s="322" t="s">
        <v>80</v>
      </c>
      <c r="B814" s="793">
        <v>44745</v>
      </c>
      <c r="C814" s="169">
        <v>665</v>
      </c>
    </row>
    <row r="815" spans="1:3">
      <c r="A815" s="322" t="s">
        <v>79</v>
      </c>
      <c r="B815" s="793">
        <v>44746</v>
      </c>
      <c r="C815" s="169">
        <v>346</v>
      </c>
    </row>
    <row r="816" spans="1:3">
      <c r="A816" s="322" t="s">
        <v>81</v>
      </c>
      <c r="B816" s="793">
        <v>44747</v>
      </c>
      <c r="C816" s="169">
        <v>2195</v>
      </c>
    </row>
    <row r="817" spans="1:3">
      <c r="A817" s="322" t="s">
        <v>82</v>
      </c>
      <c r="B817" s="793">
        <v>44748</v>
      </c>
      <c r="C817" s="169">
        <v>1515</v>
      </c>
    </row>
    <row r="818" spans="1:3">
      <c r="A818" s="322" t="s">
        <v>83</v>
      </c>
      <c r="B818" s="793">
        <v>44749</v>
      </c>
      <c r="C818" s="169">
        <v>1433</v>
      </c>
    </row>
    <row r="819" spans="1:3">
      <c r="A819" s="322" t="s">
        <v>84</v>
      </c>
      <c r="B819" s="793">
        <v>44750</v>
      </c>
      <c r="C819" s="169">
        <v>1634</v>
      </c>
    </row>
    <row r="820" spans="1:3">
      <c r="A820" s="322" t="s">
        <v>85</v>
      </c>
      <c r="B820" s="793">
        <v>44751</v>
      </c>
      <c r="C820" s="169">
        <v>2686</v>
      </c>
    </row>
    <row r="821" spans="1:3">
      <c r="A821" s="322" t="s">
        <v>86</v>
      </c>
      <c r="B821" s="793">
        <v>44752</v>
      </c>
      <c r="C821" s="169">
        <v>690</v>
      </c>
    </row>
    <row r="822" spans="1:3">
      <c r="A822" s="322" t="s">
        <v>89</v>
      </c>
      <c r="B822" s="793">
        <v>44753</v>
      </c>
      <c r="C822" s="169">
        <v>5413</v>
      </c>
    </row>
    <row r="823" spans="1:3">
      <c r="A823" s="322" t="s">
        <v>88</v>
      </c>
      <c r="B823" s="793">
        <v>44754</v>
      </c>
      <c r="C823" s="169">
        <v>1956</v>
      </c>
    </row>
    <row r="824" spans="1:3">
      <c r="A824" s="322" t="s">
        <v>87</v>
      </c>
      <c r="B824" s="793">
        <v>44755</v>
      </c>
      <c r="C824" s="169">
        <v>2940</v>
      </c>
    </row>
    <row r="825" spans="1:3">
      <c r="A825" s="322" t="s">
        <v>90</v>
      </c>
      <c r="B825" s="793">
        <v>44756</v>
      </c>
      <c r="C825" s="169">
        <v>922</v>
      </c>
    </row>
    <row r="826" spans="1:3">
      <c r="A826" s="322" t="s">
        <v>91</v>
      </c>
      <c r="B826" s="793">
        <v>44757</v>
      </c>
      <c r="C826" s="169">
        <v>938</v>
      </c>
    </row>
    <row r="827" spans="1:3">
      <c r="A827" s="322" t="s">
        <v>93</v>
      </c>
      <c r="B827" s="793">
        <v>44758</v>
      </c>
      <c r="C827" s="169">
        <v>1724</v>
      </c>
    </row>
    <row r="828" spans="1:3">
      <c r="A828" s="322" t="s">
        <v>94</v>
      </c>
      <c r="B828" s="793">
        <v>44759</v>
      </c>
      <c r="C828" s="169">
        <v>541</v>
      </c>
    </row>
    <row r="829" spans="1:3">
      <c r="A829" s="322" t="s">
        <v>92</v>
      </c>
      <c r="B829" s="793">
        <v>44760</v>
      </c>
      <c r="C829" s="169">
        <v>6571</v>
      </c>
    </row>
    <row r="830" spans="1:3">
      <c r="A830" s="322" t="s">
        <v>95</v>
      </c>
      <c r="B830" s="793">
        <v>44761</v>
      </c>
      <c r="C830" s="169">
        <v>5883</v>
      </c>
    </row>
    <row r="831" spans="1:3">
      <c r="A831" s="322" t="s">
        <v>96</v>
      </c>
      <c r="B831" s="793">
        <v>44762</v>
      </c>
      <c r="C831" s="169">
        <v>809</v>
      </c>
    </row>
    <row r="832" spans="1:3">
      <c r="A832" s="322" t="s">
        <v>98</v>
      </c>
      <c r="B832" s="793">
        <v>44763</v>
      </c>
      <c r="C832" s="169">
        <v>860</v>
      </c>
    </row>
    <row r="833" spans="1:3">
      <c r="A833" s="322" t="s">
        <v>99</v>
      </c>
      <c r="B833" s="793">
        <v>44764</v>
      </c>
      <c r="C833" s="169">
        <v>130</v>
      </c>
    </row>
    <row r="834" spans="1:3">
      <c r="A834" s="322" t="s">
        <v>97</v>
      </c>
      <c r="B834" s="793">
        <v>44765</v>
      </c>
      <c r="C834" s="169">
        <v>8151</v>
      </c>
    </row>
    <row r="835" spans="1:3">
      <c r="A835" s="322" t="s">
        <v>100</v>
      </c>
      <c r="B835" s="793">
        <v>44766</v>
      </c>
      <c r="C835" s="169">
        <v>5471</v>
      </c>
    </row>
    <row r="836" spans="1:3">
      <c r="A836" s="322" t="s">
        <v>102</v>
      </c>
      <c r="B836" s="793">
        <v>44767</v>
      </c>
      <c r="C836" s="169">
        <v>669</v>
      </c>
    </row>
    <row r="837" spans="1:3">
      <c r="A837" s="322" t="s">
        <v>101</v>
      </c>
      <c r="B837" s="793">
        <v>44768</v>
      </c>
      <c r="C837" s="169">
        <v>29999</v>
      </c>
    </row>
    <row r="838" spans="1:3">
      <c r="A838" s="322" t="s">
        <v>103</v>
      </c>
      <c r="B838" s="793">
        <v>44769</v>
      </c>
      <c r="C838" s="169">
        <v>382</v>
      </c>
    </row>
    <row r="839" spans="1:3">
      <c r="A839" s="322" t="s">
        <v>77</v>
      </c>
      <c r="B839" s="793">
        <v>44774</v>
      </c>
      <c r="C839" s="169">
        <v>540</v>
      </c>
    </row>
    <row r="840" spans="1:3">
      <c r="A840" s="322" t="s">
        <v>78</v>
      </c>
      <c r="B840" s="793">
        <v>44775</v>
      </c>
      <c r="C840" s="169">
        <v>1719</v>
      </c>
    </row>
    <row r="841" spans="1:3">
      <c r="A841" s="322" t="s">
        <v>80</v>
      </c>
      <c r="B841" s="793">
        <v>44776</v>
      </c>
      <c r="C841" s="169">
        <v>1476</v>
      </c>
    </row>
    <row r="842" spans="1:3">
      <c r="A842" s="322" t="s">
        <v>79</v>
      </c>
      <c r="B842" s="793">
        <v>44777</v>
      </c>
      <c r="C842" s="169">
        <v>802</v>
      </c>
    </row>
    <row r="843" spans="1:3">
      <c r="A843" s="322" t="s">
        <v>81</v>
      </c>
      <c r="B843" s="793">
        <v>44778</v>
      </c>
      <c r="C843" s="169">
        <v>4817</v>
      </c>
    </row>
    <row r="844" spans="1:3">
      <c r="A844" s="322" t="s">
        <v>82</v>
      </c>
      <c r="B844" s="793">
        <v>44779</v>
      </c>
      <c r="C844" s="169">
        <v>3204</v>
      </c>
    </row>
    <row r="845" spans="1:3">
      <c r="A845" s="322" t="s">
        <v>83</v>
      </c>
      <c r="B845" s="793">
        <v>44780</v>
      </c>
      <c r="C845" s="169">
        <v>3025</v>
      </c>
    </row>
    <row r="846" spans="1:3">
      <c r="A846" s="322" t="s">
        <v>84</v>
      </c>
      <c r="B846" s="793">
        <v>44781</v>
      </c>
      <c r="C846" s="169">
        <v>3253</v>
      </c>
    </row>
    <row r="847" spans="1:3">
      <c r="A847" s="322" t="s">
        <v>85</v>
      </c>
      <c r="B847" s="793">
        <v>44782</v>
      </c>
      <c r="C847" s="169">
        <v>5965</v>
      </c>
    </row>
    <row r="848" spans="1:3">
      <c r="A848" s="322" t="s">
        <v>86</v>
      </c>
      <c r="B848" s="793">
        <v>44783</v>
      </c>
      <c r="C848" s="169">
        <v>1448</v>
      </c>
    </row>
    <row r="849" spans="1:3">
      <c r="A849" s="322" t="s">
        <v>89</v>
      </c>
      <c r="B849" s="793">
        <v>44784</v>
      </c>
      <c r="C849" s="169">
        <v>11491</v>
      </c>
    </row>
    <row r="850" spans="1:3">
      <c r="A850" s="322" t="s">
        <v>88</v>
      </c>
      <c r="B850" s="793">
        <v>44785</v>
      </c>
      <c r="C850" s="169">
        <v>3779</v>
      </c>
    </row>
    <row r="851" spans="1:3">
      <c r="A851" s="322" t="s">
        <v>87</v>
      </c>
      <c r="B851" s="793">
        <v>44786</v>
      </c>
      <c r="C851" s="169">
        <v>6018</v>
      </c>
    </row>
    <row r="852" spans="1:3">
      <c r="A852" s="322" t="s">
        <v>90</v>
      </c>
      <c r="B852" s="793">
        <v>44787</v>
      </c>
      <c r="C852" s="169">
        <v>2182</v>
      </c>
    </row>
    <row r="853" spans="1:3">
      <c r="A853" s="322" t="s">
        <v>91</v>
      </c>
      <c r="B853" s="793">
        <v>44788</v>
      </c>
      <c r="C853" s="169">
        <v>2235</v>
      </c>
    </row>
    <row r="854" spans="1:3">
      <c r="A854" s="322" t="s">
        <v>93</v>
      </c>
      <c r="B854" s="793">
        <v>44789</v>
      </c>
      <c r="C854" s="169">
        <v>3880</v>
      </c>
    </row>
    <row r="855" spans="1:3">
      <c r="A855" s="322" t="s">
        <v>94</v>
      </c>
      <c r="B855" s="793">
        <v>44790</v>
      </c>
      <c r="C855" s="169">
        <v>1073</v>
      </c>
    </row>
    <row r="856" spans="1:3">
      <c r="A856" s="322" t="s">
        <v>92</v>
      </c>
      <c r="B856" s="793">
        <v>44791</v>
      </c>
      <c r="C856" s="169">
        <v>13404</v>
      </c>
    </row>
    <row r="857" spans="1:3">
      <c r="A857" s="322" t="s">
        <v>95</v>
      </c>
      <c r="B857" s="793">
        <v>44792</v>
      </c>
      <c r="C857" s="169">
        <v>12480</v>
      </c>
    </row>
    <row r="858" spans="1:3">
      <c r="A858" s="322" t="s">
        <v>96</v>
      </c>
      <c r="B858" s="793">
        <v>44793</v>
      </c>
      <c r="C858" s="169">
        <v>1800</v>
      </c>
    </row>
    <row r="859" spans="1:3">
      <c r="A859" s="322" t="s">
        <v>98</v>
      </c>
      <c r="B859" s="793">
        <v>44794</v>
      </c>
      <c r="C859" s="169">
        <v>1696</v>
      </c>
    </row>
    <row r="860" spans="1:3">
      <c r="A860" s="322" t="s">
        <v>99</v>
      </c>
      <c r="B860" s="793">
        <v>44795</v>
      </c>
      <c r="C860" s="169">
        <v>265</v>
      </c>
    </row>
    <row r="861" spans="1:3">
      <c r="A861" s="322" t="s">
        <v>97</v>
      </c>
      <c r="B861" s="793">
        <v>44796</v>
      </c>
      <c r="C861" s="169">
        <v>17766</v>
      </c>
    </row>
    <row r="862" spans="1:3">
      <c r="A862" s="322" t="s">
        <v>100</v>
      </c>
      <c r="B862" s="793">
        <v>44797</v>
      </c>
      <c r="C862" s="169">
        <v>11237</v>
      </c>
    </row>
    <row r="863" spans="1:3">
      <c r="A863" s="322" t="s">
        <v>102</v>
      </c>
      <c r="B863" s="793">
        <v>44798</v>
      </c>
      <c r="C863" s="169">
        <v>1676</v>
      </c>
    </row>
    <row r="864" spans="1:3">
      <c r="A864" s="322" t="s">
        <v>101</v>
      </c>
      <c r="B864" s="793">
        <v>44799</v>
      </c>
      <c r="C864" s="169">
        <v>62684</v>
      </c>
    </row>
    <row r="865" spans="1:3">
      <c r="A865" s="322" t="s">
        <v>103</v>
      </c>
      <c r="B865" s="793">
        <v>44800</v>
      </c>
      <c r="C865" s="169">
        <v>897</v>
      </c>
    </row>
    <row r="866" spans="1:3">
      <c r="A866" s="322" t="s">
        <v>77</v>
      </c>
      <c r="B866" s="793">
        <v>44805</v>
      </c>
    </row>
    <row r="867" spans="1:3">
      <c r="A867" s="322" t="s">
        <v>78</v>
      </c>
      <c r="B867" s="793">
        <v>44806</v>
      </c>
    </row>
    <row r="868" spans="1:3">
      <c r="A868" s="322" t="s">
        <v>80</v>
      </c>
      <c r="B868" s="793">
        <v>44807</v>
      </c>
    </row>
    <row r="869" spans="1:3">
      <c r="A869" s="322" t="s">
        <v>79</v>
      </c>
      <c r="B869" s="793">
        <v>44808</v>
      </c>
    </row>
    <row r="870" spans="1:3">
      <c r="A870" s="322" t="s">
        <v>81</v>
      </c>
      <c r="B870" s="793">
        <v>44809</v>
      </c>
    </row>
    <row r="871" spans="1:3">
      <c r="A871" s="322" t="s">
        <v>82</v>
      </c>
      <c r="B871" s="793">
        <v>44810</v>
      </c>
    </row>
    <row r="872" spans="1:3">
      <c r="A872" s="322" t="s">
        <v>83</v>
      </c>
      <c r="B872" s="793">
        <v>44811</v>
      </c>
    </row>
    <row r="873" spans="1:3">
      <c r="A873" s="322" t="s">
        <v>84</v>
      </c>
      <c r="B873" s="793">
        <v>44812</v>
      </c>
    </row>
    <row r="874" spans="1:3">
      <c r="A874" s="322" t="s">
        <v>85</v>
      </c>
      <c r="B874" s="793">
        <v>44813</v>
      </c>
    </row>
    <row r="875" spans="1:3">
      <c r="A875" s="322" t="s">
        <v>86</v>
      </c>
      <c r="B875" s="793">
        <v>44814</v>
      </c>
    </row>
    <row r="876" spans="1:3">
      <c r="A876" s="322" t="s">
        <v>89</v>
      </c>
      <c r="B876" s="793">
        <v>44815</v>
      </c>
    </row>
    <row r="877" spans="1:3">
      <c r="A877" s="322" t="s">
        <v>88</v>
      </c>
      <c r="B877" s="793">
        <v>44816</v>
      </c>
    </row>
    <row r="878" spans="1:3">
      <c r="A878" s="322" t="s">
        <v>87</v>
      </c>
      <c r="B878" s="793">
        <v>44817</v>
      </c>
    </row>
    <row r="879" spans="1:3">
      <c r="A879" s="322" t="s">
        <v>90</v>
      </c>
      <c r="B879" s="793">
        <v>44818</v>
      </c>
    </row>
    <row r="880" spans="1:3">
      <c r="A880" s="322" t="s">
        <v>91</v>
      </c>
      <c r="B880" s="793">
        <v>44819</v>
      </c>
    </row>
    <row r="881" spans="1:2">
      <c r="A881" s="322" t="s">
        <v>93</v>
      </c>
      <c r="B881" s="793">
        <v>44820</v>
      </c>
    </row>
    <row r="882" spans="1:2">
      <c r="A882" s="322" t="s">
        <v>94</v>
      </c>
      <c r="B882" s="793">
        <v>44821</v>
      </c>
    </row>
    <row r="883" spans="1:2">
      <c r="A883" s="322" t="s">
        <v>92</v>
      </c>
      <c r="B883" s="793">
        <v>44822</v>
      </c>
    </row>
    <row r="884" spans="1:2">
      <c r="A884" s="322" t="s">
        <v>95</v>
      </c>
      <c r="B884" s="793">
        <v>44823</v>
      </c>
    </row>
    <row r="885" spans="1:2">
      <c r="A885" s="322" t="s">
        <v>96</v>
      </c>
      <c r="B885" s="793">
        <v>44824</v>
      </c>
    </row>
    <row r="886" spans="1:2">
      <c r="A886" s="322" t="s">
        <v>98</v>
      </c>
      <c r="B886" s="793">
        <v>44825</v>
      </c>
    </row>
    <row r="887" spans="1:2">
      <c r="A887" s="322" t="s">
        <v>99</v>
      </c>
      <c r="B887" s="793">
        <v>44826</v>
      </c>
    </row>
    <row r="888" spans="1:2">
      <c r="A888" s="322" t="s">
        <v>97</v>
      </c>
      <c r="B888" s="793">
        <v>44827</v>
      </c>
    </row>
    <row r="889" spans="1:2">
      <c r="A889" s="322" t="s">
        <v>100</v>
      </c>
      <c r="B889" s="793">
        <v>44828</v>
      </c>
    </row>
    <row r="890" spans="1:2">
      <c r="A890" s="322" t="s">
        <v>102</v>
      </c>
      <c r="B890" s="793">
        <v>44829</v>
      </c>
    </row>
    <row r="891" spans="1:2">
      <c r="A891" s="322" t="s">
        <v>101</v>
      </c>
      <c r="B891" s="793">
        <v>44830</v>
      </c>
    </row>
    <row r="892" spans="1:2">
      <c r="A892" s="322" t="s">
        <v>103</v>
      </c>
      <c r="B892" s="793">
        <v>44831</v>
      </c>
    </row>
    <row r="893" spans="1:2">
      <c r="A893" s="322" t="s">
        <v>77</v>
      </c>
      <c r="B893" s="793">
        <v>44835</v>
      </c>
    </row>
    <row r="894" spans="1:2">
      <c r="A894" s="322" t="s">
        <v>78</v>
      </c>
      <c r="B894" s="793">
        <v>44836</v>
      </c>
    </row>
    <row r="895" spans="1:2">
      <c r="A895" s="322" t="s">
        <v>80</v>
      </c>
      <c r="B895" s="793">
        <v>44837</v>
      </c>
    </row>
    <row r="896" spans="1:2">
      <c r="A896" s="322" t="s">
        <v>79</v>
      </c>
      <c r="B896" s="793">
        <v>44838</v>
      </c>
    </row>
    <row r="897" spans="1:2">
      <c r="A897" s="322" t="s">
        <v>81</v>
      </c>
      <c r="B897" s="793">
        <v>44839</v>
      </c>
    </row>
    <row r="898" spans="1:2">
      <c r="A898" s="322" t="s">
        <v>82</v>
      </c>
      <c r="B898" s="793">
        <v>44840</v>
      </c>
    </row>
    <row r="899" spans="1:2">
      <c r="A899" s="322" t="s">
        <v>83</v>
      </c>
      <c r="B899" s="793">
        <v>44841</v>
      </c>
    </row>
    <row r="900" spans="1:2">
      <c r="A900" s="322" t="s">
        <v>84</v>
      </c>
      <c r="B900" s="793">
        <v>44842</v>
      </c>
    </row>
    <row r="901" spans="1:2">
      <c r="A901" s="322" t="s">
        <v>85</v>
      </c>
      <c r="B901" s="793">
        <v>44843</v>
      </c>
    </row>
    <row r="902" spans="1:2">
      <c r="A902" s="322" t="s">
        <v>86</v>
      </c>
      <c r="B902" s="793">
        <v>44844</v>
      </c>
    </row>
    <row r="903" spans="1:2">
      <c r="A903" s="322" t="s">
        <v>89</v>
      </c>
      <c r="B903" s="793">
        <v>44845</v>
      </c>
    </row>
    <row r="904" spans="1:2">
      <c r="A904" s="322" t="s">
        <v>88</v>
      </c>
      <c r="B904" s="793">
        <v>44846</v>
      </c>
    </row>
    <row r="905" spans="1:2">
      <c r="A905" s="322" t="s">
        <v>87</v>
      </c>
      <c r="B905" s="793">
        <v>44847</v>
      </c>
    </row>
    <row r="906" spans="1:2">
      <c r="A906" s="322" t="s">
        <v>90</v>
      </c>
      <c r="B906" s="793">
        <v>44848</v>
      </c>
    </row>
    <row r="907" spans="1:2">
      <c r="A907" s="322" t="s">
        <v>91</v>
      </c>
      <c r="B907" s="793">
        <v>44849</v>
      </c>
    </row>
    <row r="908" spans="1:2">
      <c r="A908" s="322" t="s">
        <v>93</v>
      </c>
      <c r="B908" s="793">
        <v>44850</v>
      </c>
    </row>
    <row r="909" spans="1:2">
      <c r="A909" s="322" t="s">
        <v>94</v>
      </c>
      <c r="B909" s="793">
        <v>44851</v>
      </c>
    </row>
    <row r="910" spans="1:2">
      <c r="A910" s="322" t="s">
        <v>92</v>
      </c>
      <c r="B910" s="793">
        <v>44852</v>
      </c>
    </row>
    <row r="911" spans="1:2">
      <c r="A911" s="322" t="s">
        <v>95</v>
      </c>
      <c r="B911" s="793">
        <v>44853</v>
      </c>
    </row>
    <row r="912" spans="1:2">
      <c r="A912" s="322" t="s">
        <v>96</v>
      </c>
      <c r="B912" s="793">
        <v>44854</v>
      </c>
    </row>
    <row r="913" spans="1:2">
      <c r="A913" s="322" t="s">
        <v>98</v>
      </c>
      <c r="B913" s="793">
        <v>44855</v>
      </c>
    </row>
    <row r="914" spans="1:2">
      <c r="A914" s="322" t="s">
        <v>99</v>
      </c>
      <c r="B914" s="793">
        <v>44856</v>
      </c>
    </row>
    <row r="915" spans="1:2">
      <c r="A915" s="322" t="s">
        <v>97</v>
      </c>
      <c r="B915" s="793">
        <v>44857</v>
      </c>
    </row>
    <row r="916" spans="1:2">
      <c r="A916" s="322" t="s">
        <v>100</v>
      </c>
      <c r="B916" s="793">
        <v>44858</v>
      </c>
    </row>
    <row r="917" spans="1:2">
      <c r="A917" s="322" t="s">
        <v>102</v>
      </c>
      <c r="B917" s="793">
        <v>44859</v>
      </c>
    </row>
    <row r="918" spans="1:2">
      <c r="A918" s="322" t="s">
        <v>101</v>
      </c>
      <c r="B918" s="793">
        <v>44860</v>
      </c>
    </row>
    <row r="919" spans="1:2">
      <c r="A919" s="322" t="s">
        <v>103</v>
      </c>
      <c r="B919" s="793">
        <v>44861</v>
      </c>
    </row>
    <row r="920" spans="1:2">
      <c r="A920" s="322" t="s">
        <v>77</v>
      </c>
      <c r="B920" s="793">
        <v>44866</v>
      </c>
    </row>
    <row r="921" spans="1:2">
      <c r="A921" s="322" t="s">
        <v>78</v>
      </c>
      <c r="B921" s="793">
        <v>44867</v>
      </c>
    </row>
    <row r="922" spans="1:2">
      <c r="A922" s="322" t="s">
        <v>80</v>
      </c>
      <c r="B922" s="793">
        <v>44868</v>
      </c>
    </row>
    <row r="923" spans="1:2">
      <c r="A923" s="322" t="s">
        <v>79</v>
      </c>
      <c r="B923" s="793">
        <v>44869</v>
      </c>
    </row>
    <row r="924" spans="1:2">
      <c r="A924" s="322" t="s">
        <v>81</v>
      </c>
      <c r="B924" s="793">
        <v>44870</v>
      </c>
    </row>
    <row r="925" spans="1:2">
      <c r="A925" s="322" t="s">
        <v>82</v>
      </c>
      <c r="B925" s="793">
        <v>44871</v>
      </c>
    </row>
    <row r="926" spans="1:2">
      <c r="A926" s="322" t="s">
        <v>83</v>
      </c>
      <c r="B926" s="793">
        <v>44872</v>
      </c>
    </row>
    <row r="927" spans="1:2">
      <c r="A927" s="322" t="s">
        <v>84</v>
      </c>
      <c r="B927" s="793">
        <v>44873</v>
      </c>
    </row>
    <row r="928" spans="1:2">
      <c r="A928" s="322" t="s">
        <v>85</v>
      </c>
      <c r="B928" s="793">
        <v>44874</v>
      </c>
    </row>
    <row r="929" spans="1:2">
      <c r="A929" s="322" t="s">
        <v>86</v>
      </c>
      <c r="B929" s="793">
        <v>44875</v>
      </c>
    </row>
    <row r="930" spans="1:2">
      <c r="A930" s="322" t="s">
        <v>89</v>
      </c>
      <c r="B930" s="793">
        <v>44876</v>
      </c>
    </row>
    <row r="931" spans="1:2">
      <c r="A931" s="322" t="s">
        <v>88</v>
      </c>
      <c r="B931" s="793">
        <v>44877</v>
      </c>
    </row>
    <row r="932" spans="1:2">
      <c r="A932" s="322" t="s">
        <v>87</v>
      </c>
      <c r="B932" s="793">
        <v>44878</v>
      </c>
    </row>
    <row r="933" spans="1:2">
      <c r="A933" s="322" t="s">
        <v>90</v>
      </c>
      <c r="B933" s="793">
        <v>44879</v>
      </c>
    </row>
    <row r="934" spans="1:2">
      <c r="A934" s="322" t="s">
        <v>91</v>
      </c>
      <c r="B934" s="793">
        <v>44880</v>
      </c>
    </row>
    <row r="935" spans="1:2">
      <c r="A935" s="322" t="s">
        <v>93</v>
      </c>
      <c r="B935" s="793">
        <v>44881</v>
      </c>
    </row>
    <row r="936" spans="1:2">
      <c r="A936" s="322" t="s">
        <v>94</v>
      </c>
      <c r="B936" s="793">
        <v>44882</v>
      </c>
    </row>
    <row r="937" spans="1:2">
      <c r="A937" s="322" t="s">
        <v>92</v>
      </c>
      <c r="B937" s="793">
        <v>44883</v>
      </c>
    </row>
    <row r="938" spans="1:2">
      <c r="A938" s="322" t="s">
        <v>95</v>
      </c>
      <c r="B938" s="793">
        <v>44884</v>
      </c>
    </row>
    <row r="939" spans="1:2">
      <c r="A939" s="322" t="s">
        <v>96</v>
      </c>
      <c r="B939" s="793">
        <v>44885</v>
      </c>
    </row>
    <row r="940" spans="1:2">
      <c r="A940" s="322" t="s">
        <v>98</v>
      </c>
      <c r="B940" s="793">
        <v>44886</v>
      </c>
    </row>
    <row r="941" spans="1:2">
      <c r="A941" s="322" t="s">
        <v>99</v>
      </c>
      <c r="B941" s="793">
        <v>44887</v>
      </c>
    </row>
    <row r="942" spans="1:2">
      <c r="A942" s="322" t="s">
        <v>97</v>
      </c>
      <c r="B942" s="793">
        <v>44888</v>
      </c>
    </row>
    <row r="943" spans="1:2">
      <c r="A943" s="322" t="s">
        <v>100</v>
      </c>
      <c r="B943" s="793">
        <v>44889</v>
      </c>
    </row>
    <row r="944" spans="1:2">
      <c r="A944" s="322" t="s">
        <v>102</v>
      </c>
      <c r="B944" s="793">
        <v>44890</v>
      </c>
    </row>
    <row r="945" spans="1:2">
      <c r="A945" s="322" t="s">
        <v>101</v>
      </c>
      <c r="B945" s="793">
        <v>44891</v>
      </c>
    </row>
    <row r="946" spans="1:2">
      <c r="A946" s="322" t="s">
        <v>103</v>
      </c>
      <c r="B946" s="793">
        <v>44892</v>
      </c>
    </row>
    <row r="947" spans="1:2">
      <c r="A947" s="322" t="s">
        <v>77</v>
      </c>
      <c r="B947" s="793">
        <v>44896</v>
      </c>
    </row>
    <row r="948" spans="1:2">
      <c r="A948" s="322" t="s">
        <v>78</v>
      </c>
      <c r="B948" s="793">
        <v>44897</v>
      </c>
    </row>
    <row r="949" spans="1:2">
      <c r="A949" s="322" t="s">
        <v>80</v>
      </c>
      <c r="B949" s="793">
        <v>44898</v>
      </c>
    </row>
    <row r="950" spans="1:2">
      <c r="A950" s="322" t="s">
        <v>79</v>
      </c>
      <c r="B950" s="793">
        <v>44899</v>
      </c>
    </row>
    <row r="951" spans="1:2">
      <c r="A951" s="322" t="s">
        <v>81</v>
      </c>
      <c r="B951" s="793">
        <v>44900</v>
      </c>
    </row>
    <row r="952" spans="1:2">
      <c r="A952" s="322" t="s">
        <v>82</v>
      </c>
      <c r="B952" s="793">
        <v>44901</v>
      </c>
    </row>
    <row r="953" spans="1:2">
      <c r="A953" s="322" t="s">
        <v>83</v>
      </c>
      <c r="B953" s="793">
        <v>44902</v>
      </c>
    </row>
    <row r="954" spans="1:2">
      <c r="A954" s="322" t="s">
        <v>84</v>
      </c>
      <c r="B954" s="793">
        <v>44903</v>
      </c>
    </row>
    <row r="955" spans="1:2">
      <c r="A955" s="322" t="s">
        <v>85</v>
      </c>
      <c r="B955" s="793">
        <v>44904</v>
      </c>
    </row>
    <row r="956" spans="1:2">
      <c r="A956" s="322" t="s">
        <v>86</v>
      </c>
      <c r="B956" s="793">
        <v>44905</v>
      </c>
    </row>
    <row r="957" spans="1:2">
      <c r="A957" s="322" t="s">
        <v>89</v>
      </c>
      <c r="B957" s="793">
        <v>44906</v>
      </c>
    </row>
    <row r="958" spans="1:2">
      <c r="A958" s="322" t="s">
        <v>88</v>
      </c>
      <c r="B958" s="793">
        <v>44907</v>
      </c>
    </row>
    <row r="959" spans="1:2">
      <c r="A959" s="322" t="s">
        <v>87</v>
      </c>
      <c r="B959" s="793">
        <v>44908</v>
      </c>
    </row>
    <row r="960" spans="1:2">
      <c r="A960" s="322" t="s">
        <v>90</v>
      </c>
      <c r="B960" s="793">
        <v>44909</v>
      </c>
    </row>
    <row r="961" spans="1:2">
      <c r="A961" s="322" t="s">
        <v>91</v>
      </c>
      <c r="B961" s="793">
        <v>44910</v>
      </c>
    </row>
    <row r="962" spans="1:2">
      <c r="A962" s="322" t="s">
        <v>93</v>
      </c>
      <c r="B962" s="793">
        <v>44911</v>
      </c>
    </row>
    <row r="963" spans="1:2">
      <c r="A963" s="322" t="s">
        <v>94</v>
      </c>
      <c r="B963" s="793">
        <v>44912</v>
      </c>
    </row>
    <row r="964" spans="1:2">
      <c r="A964" s="322" t="s">
        <v>92</v>
      </c>
      <c r="B964" s="793">
        <v>44913</v>
      </c>
    </row>
    <row r="965" spans="1:2">
      <c r="A965" s="322" t="s">
        <v>95</v>
      </c>
      <c r="B965" s="793">
        <v>44914</v>
      </c>
    </row>
    <row r="966" spans="1:2">
      <c r="A966" s="322" t="s">
        <v>96</v>
      </c>
      <c r="B966" s="793">
        <v>44915</v>
      </c>
    </row>
    <row r="967" spans="1:2">
      <c r="A967" s="322" t="s">
        <v>98</v>
      </c>
      <c r="B967" s="793">
        <v>44916</v>
      </c>
    </row>
    <row r="968" spans="1:2">
      <c r="A968" s="322" t="s">
        <v>99</v>
      </c>
      <c r="B968" s="793">
        <v>44917</v>
      </c>
    </row>
    <row r="969" spans="1:2">
      <c r="A969" s="322" t="s">
        <v>97</v>
      </c>
      <c r="B969" s="793">
        <v>44918</v>
      </c>
    </row>
    <row r="970" spans="1:2">
      <c r="A970" s="322" t="s">
        <v>100</v>
      </c>
      <c r="B970" s="793">
        <v>44919</v>
      </c>
    </row>
    <row r="971" spans="1:2">
      <c r="A971" s="322" t="s">
        <v>102</v>
      </c>
      <c r="B971" s="793">
        <v>44920</v>
      </c>
    </row>
    <row r="972" spans="1:2">
      <c r="A972" s="322" t="s">
        <v>101</v>
      </c>
      <c r="B972" s="793">
        <v>44921</v>
      </c>
    </row>
    <row r="973" spans="1:2">
      <c r="A973" s="322" t="s">
        <v>103</v>
      </c>
      <c r="B973" s="793">
        <v>44922</v>
      </c>
    </row>
  </sheetData>
  <autoFilter ref="A1:C973"/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pageSetUpPr fitToPage="1"/>
  </sheetPr>
  <dimension ref="A2:AN105"/>
  <sheetViews>
    <sheetView topLeftCell="J19" zoomScale="60" zoomScaleNormal="60" workbookViewId="0">
      <selection activeCell="EF33" sqref="EF33"/>
    </sheetView>
  </sheetViews>
  <sheetFormatPr defaultRowHeight="15"/>
  <cols>
    <col min="1" max="1" width="20.85546875" style="370" customWidth="1"/>
    <col min="2" max="12" width="20.85546875" style="357" customWidth="1"/>
    <col min="13" max="13" width="19.42578125" style="357" bestFit="1" customWidth="1"/>
    <col min="14" max="14" width="25.140625" style="357" bestFit="1" customWidth="1"/>
    <col min="15" max="15" width="28.7109375" style="357" customWidth="1"/>
    <col min="16" max="18" width="20.85546875" style="357" customWidth="1"/>
    <col min="19" max="24" width="15.5703125" style="357" customWidth="1"/>
    <col min="25" max="26" width="16.5703125" style="357" bestFit="1" customWidth="1"/>
    <col min="27" max="27" width="16.5703125" style="357" customWidth="1"/>
    <col min="28" max="16384" width="9.140625" style="357"/>
  </cols>
  <sheetData>
    <row r="2" spans="1:40" ht="46.5">
      <c r="A2" s="837" t="s">
        <v>63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</row>
    <row r="3" spans="1:40" s="372" customFormat="1" ht="35.1" customHeight="1">
      <c r="A3" s="835" t="s">
        <v>33</v>
      </c>
      <c r="B3" s="833" t="s">
        <v>27</v>
      </c>
      <c r="C3" s="834"/>
      <c r="D3" s="833" t="s">
        <v>29</v>
      </c>
      <c r="E3" s="834"/>
      <c r="F3" s="835" t="s">
        <v>28</v>
      </c>
      <c r="G3" s="835" t="s">
        <v>36</v>
      </c>
      <c r="H3" s="835" t="s">
        <v>30</v>
      </c>
      <c r="I3" s="835" t="s">
        <v>31</v>
      </c>
      <c r="J3" s="835" t="s">
        <v>41</v>
      </c>
      <c r="K3" s="835" t="s">
        <v>35</v>
      </c>
      <c r="L3" s="835" t="s">
        <v>40</v>
      </c>
      <c r="M3" s="835" t="s">
        <v>42</v>
      </c>
      <c r="N3" s="835" t="s">
        <v>45</v>
      </c>
      <c r="O3" s="835" t="s">
        <v>279</v>
      </c>
      <c r="P3" s="833" t="s">
        <v>49</v>
      </c>
      <c r="Q3" s="834"/>
      <c r="R3" s="835" t="s">
        <v>34</v>
      </c>
    </row>
    <row r="4" spans="1:40" s="372" customFormat="1" ht="35.1" customHeight="1">
      <c r="A4" s="836"/>
      <c r="B4" s="361" t="s">
        <v>43</v>
      </c>
      <c r="C4" s="361" t="s">
        <v>44</v>
      </c>
      <c r="D4" s="361" t="s">
        <v>43</v>
      </c>
      <c r="E4" s="361" t="s">
        <v>44</v>
      </c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725" t="s">
        <v>50</v>
      </c>
      <c r="Q4" s="725" t="s">
        <v>51</v>
      </c>
      <c r="R4" s="836"/>
      <c r="S4" s="372" t="s">
        <v>173</v>
      </c>
      <c r="T4" s="372" t="s">
        <v>291</v>
      </c>
      <c r="U4" s="372" t="s">
        <v>174</v>
      </c>
      <c r="V4" s="372" t="s">
        <v>292</v>
      </c>
      <c r="W4" s="372" t="s">
        <v>28</v>
      </c>
      <c r="X4" s="372" t="s">
        <v>175</v>
      </c>
    </row>
    <row r="5" spans="1:40">
      <c r="A5" s="2" t="s">
        <v>77</v>
      </c>
      <c r="B5" s="16">
        <f t="shared" ref="B5:Q5" si="0">B75*0.8</f>
        <v>18805.28</v>
      </c>
      <c r="C5" s="16">
        <f t="shared" si="0"/>
        <v>5531.6800000000021</v>
      </c>
      <c r="D5" s="16">
        <f t="shared" si="0"/>
        <v>811.58400000000006</v>
      </c>
      <c r="E5" s="16">
        <f t="shared" si="0"/>
        <v>1414.1599999999999</v>
      </c>
      <c r="F5" s="16">
        <f t="shared" si="0"/>
        <v>27215.976000000002</v>
      </c>
      <c r="G5" s="16">
        <f t="shared" si="0"/>
        <v>1652.0879999999997</v>
      </c>
      <c r="H5" s="16">
        <f t="shared" si="0"/>
        <v>801.85599999999999</v>
      </c>
      <c r="I5" s="16">
        <f t="shared" si="0"/>
        <v>0</v>
      </c>
      <c r="J5" s="16">
        <f t="shared" si="0"/>
        <v>1530.232</v>
      </c>
      <c r="K5" s="16">
        <f t="shared" si="0"/>
        <v>86.951999999999998</v>
      </c>
      <c r="L5" s="16">
        <f t="shared" si="0"/>
        <v>0</v>
      </c>
      <c r="M5" s="16">
        <f t="shared" si="0"/>
        <v>0</v>
      </c>
      <c r="N5" s="16">
        <f t="shared" si="0"/>
        <v>0</v>
      </c>
      <c r="O5" s="16">
        <f t="shared" si="0"/>
        <v>0</v>
      </c>
      <c r="P5" s="16">
        <f t="shared" si="0"/>
        <v>0</v>
      </c>
      <c r="Q5" s="16">
        <f t="shared" si="0"/>
        <v>0</v>
      </c>
      <c r="R5" s="8">
        <f t="shared" ref="R5:R31" si="1">SUM(B5:Q5)</f>
        <v>57849.807999999997</v>
      </c>
      <c r="S5" s="363">
        <f>B5</f>
        <v>18805.28</v>
      </c>
      <c r="T5" s="363">
        <f>C5</f>
        <v>5531.6800000000021</v>
      </c>
      <c r="U5" s="363">
        <f>D5</f>
        <v>811.58400000000006</v>
      </c>
      <c r="V5" s="363">
        <f>E5</f>
        <v>1414.1599999999999</v>
      </c>
      <c r="W5" s="363">
        <f>F5+G5</f>
        <v>28868.064000000002</v>
      </c>
      <c r="X5" s="363">
        <f>SUM(H5:Q5)</f>
        <v>2419.04</v>
      </c>
      <c r="Y5" s="363"/>
      <c r="AA5" s="372"/>
      <c r="AI5" s="363"/>
      <c r="AJ5" s="363"/>
      <c r="AK5" s="363"/>
      <c r="AL5" s="363"/>
      <c r="AM5" s="363"/>
      <c r="AN5" s="363"/>
    </row>
    <row r="6" spans="1:40">
      <c r="A6" s="2" t="s">
        <v>78</v>
      </c>
      <c r="B6" s="16">
        <f t="shared" ref="B6:Q6" si="2">B76*0.8</f>
        <v>59599.080000000009</v>
      </c>
      <c r="C6" s="16">
        <f t="shared" si="2"/>
        <v>15039.304000000004</v>
      </c>
      <c r="D6" s="16">
        <f t="shared" si="2"/>
        <v>375.35200000000003</v>
      </c>
      <c r="E6" s="16">
        <f t="shared" si="2"/>
        <v>0</v>
      </c>
      <c r="F6" s="16">
        <f t="shared" si="2"/>
        <v>52692.912000000004</v>
      </c>
      <c r="G6" s="16">
        <f t="shared" si="2"/>
        <v>2608.56</v>
      </c>
      <c r="H6" s="16">
        <f t="shared" si="2"/>
        <v>3590.0560000000005</v>
      </c>
      <c r="I6" s="16">
        <f t="shared" si="2"/>
        <v>0</v>
      </c>
      <c r="J6" s="16">
        <f t="shared" si="2"/>
        <v>3036.4240000000004</v>
      </c>
      <c r="K6" s="16">
        <f t="shared" si="2"/>
        <v>86.951999999999998</v>
      </c>
      <c r="L6" s="16">
        <f t="shared" si="2"/>
        <v>0</v>
      </c>
      <c r="M6" s="16">
        <f t="shared" si="2"/>
        <v>0</v>
      </c>
      <c r="N6" s="16">
        <f t="shared" si="2"/>
        <v>76.08</v>
      </c>
      <c r="O6" s="16">
        <f t="shared" si="2"/>
        <v>0</v>
      </c>
      <c r="P6" s="16">
        <f t="shared" si="2"/>
        <v>0</v>
      </c>
      <c r="Q6" s="16">
        <f t="shared" si="2"/>
        <v>0</v>
      </c>
      <c r="R6" s="8">
        <f t="shared" si="1"/>
        <v>137104.72</v>
      </c>
      <c r="S6" s="363">
        <f t="shared" ref="S6:V31" si="3">B6</f>
        <v>59599.080000000009</v>
      </c>
      <c r="T6" s="363">
        <f t="shared" si="3"/>
        <v>15039.304000000004</v>
      </c>
      <c r="U6" s="363">
        <f t="shared" si="3"/>
        <v>375.35200000000003</v>
      </c>
      <c r="V6" s="363">
        <f t="shared" si="3"/>
        <v>0</v>
      </c>
      <c r="W6" s="363">
        <f t="shared" ref="W6:W31" si="4">F6+G6</f>
        <v>55301.472000000002</v>
      </c>
      <c r="X6" s="363">
        <f t="shared" ref="X6:X31" si="5">SUM(H6:Q6)</f>
        <v>6789.5120000000015</v>
      </c>
      <c r="Y6" s="363"/>
      <c r="AA6" s="372"/>
      <c r="AI6" s="363"/>
      <c r="AJ6" s="363"/>
      <c r="AK6" s="363"/>
      <c r="AL6" s="363"/>
      <c r="AM6" s="363"/>
      <c r="AN6" s="363"/>
    </row>
    <row r="7" spans="1:40">
      <c r="A7" s="2" t="s">
        <v>79</v>
      </c>
      <c r="B7" s="16">
        <f t="shared" ref="B7:Q7" si="6">B77*0.8</f>
        <v>20358.792000000001</v>
      </c>
      <c r="C7" s="16">
        <f t="shared" si="6"/>
        <v>4547.2639999999983</v>
      </c>
      <c r="D7" s="16">
        <f t="shared" si="6"/>
        <v>1449.2719999999999</v>
      </c>
      <c r="E7" s="16">
        <f t="shared" si="6"/>
        <v>729.49600000000009</v>
      </c>
      <c r="F7" s="16">
        <f t="shared" si="6"/>
        <v>35372.072</v>
      </c>
      <c r="G7" s="16">
        <f t="shared" si="6"/>
        <v>2782.4639999999999</v>
      </c>
      <c r="H7" s="16">
        <f t="shared" si="6"/>
        <v>537.47200000000009</v>
      </c>
      <c r="I7" s="16">
        <f t="shared" si="6"/>
        <v>0</v>
      </c>
      <c r="J7" s="16">
        <f t="shared" si="6"/>
        <v>1207.9680000000001</v>
      </c>
      <c r="K7" s="16">
        <f t="shared" si="6"/>
        <v>782.5680000000001</v>
      </c>
      <c r="L7" s="16">
        <f t="shared" si="6"/>
        <v>0</v>
      </c>
      <c r="M7" s="16">
        <f t="shared" si="6"/>
        <v>0</v>
      </c>
      <c r="N7" s="16">
        <f t="shared" si="6"/>
        <v>25.36</v>
      </c>
      <c r="O7" s="16">
        <f t="shared" si="6"/>
        <v>0</v>
      </c>
      <c r="P7" s="16">
        <f t="shared" si="6"/>
        <v>0</v>
      </c>
      <c r="Q7" s="16">
        <f t="shared" si="6"/>
        <v>0</v>
      </c>
      <c r="R7" s="8">
        <f t="shared" si="1"/>
        <v>67792.727999999988</v>
      </c>
      <c r="S7" s="363">
        <f t="shared" si="3"/>
        <v>20358.792000000001</v>
      </c>
      <c r="T7" s="363">
        <f t="shared" si="3"/>
        <v>4547.2639999999983</v>
      </c>
      <c r="U7" s="363">
        <f t="shared" si="3"/>
        <v>1449.2719999999999</v>
      </c>
      <c r="V7" s="363">
        <f t="shared" si="3"/>
        <v>729.49600000000009</v>
      </c>
      <c r="W7" s="363">
        <f t="shared" si="4"/>
        <v>38154.536</v>
      </c>
      <c r="X7" s="363">
        <f t="shared" si="5"/>
        <v>2553.3680000000004</v>
      </c>
      <c r="Y7" s="363"/>
      <c r="AA7" s="372"/>
      <c r="AI7" s="363"/>
      <c r="AJ7" s="363"/>
      <c r="AK7" s="363"/>
      <c r="AL7" s="363"/>
      <c r="AM7" s="363"/>
      <c r="AN7" s="363"/>
    </row>
    <row r="8" spans="1:40">
      <c r="A8" s="2" t="s">
        <v>80</v>
      </c>
      <c r="B8" s="16">
        <f t="shared" ref="B8:Q8" si="7">B78*0.8</f>
        <v>67248.280000000013</v>
      </c>
      <c r="C8" s="16">
        <f t="shared" si="7"/>
        <v>11991.96</v>
      </c>
      <c r="D8" s="16">
        <f t="shared" si="7"/>
        <v>1056.7440000000001</v>
      </c>
      <c r="E8" s="16">
        <f t="shared" si="7"/>
        <v>1646.5519999999997</v>
      </c>
      <c r="F8" s="16">
        <f t="shared" si="7"/>
        <v>64953.144</v>
      </c>
      <c r="G8" s="16">
        <f t="shared" si="7"/>
        <v>2521.6080000000002</v>
      </c>
      <c r="H8" s="16">
        <f t="shared" si="7"/>
        <v>1869.2160000000001</v>
      </c>
      <c r="I8" s="16">
        <f t="shared" si="7"/>
        <v>0</v>
      </c>
      <c r="J8" s="16">
        <f t="shared" si="7"/>
        <v>2909.9840000000004</v>
      </c>
      <c r="K8" s="16">
        <f t="shared" si="7"/>
        <v>173.904</v>
      </c>
      <c r="L8" s="16">
        <f t="shared" si="7"/>
        <v>0</v>
      </c>
      <c r="M8" s="16">
        <f t="shared" si="7"/>
        <v>863.12800000000016</v>
      </c>
      <c r="N8" s="16">
        <f t="shared" si="7"/>
        <v>50.72</v>
      </c>
      <c r="O8" s="16">
        <f t="shared" si="7"/>
        <v>0</v>
      </c>
      <c r="P8" s="16">
        <f t="shared" si="7"/>
        <v>0</v>
      </c>
      <c r="Q8" s="16">
        <f t="shared" si="7"/>
        <v>0</v>
      </c>
      <c r="R8" s="8">
        <f t="shared" si="1"/>
        <v>155285.24000000002</v>
      </c>
      <c r="S8" s="363">
        <f t="shared" si="3"/>
        <v>67248.280000000013</v>
      </c>
      <c r="T8" s="363">
        <f t="shared" si="3"/>
        <v>11991.96</v>
      </c>
      <c r="U8" s="363">
        <f t="shared" si="3"/>
        <v>1056.7440000000001</v>
      </c>
      <c r="V8" s="363">
        <f t="shared" si="3"/>
        <v>1646.5519999999997</v>
      </c>
      <c r="W8" s="363">
        <f t="shared" si="4"/>
        <v>67474.752000000008</v>
      </c>
      <c r="X8" s="363">
        <f t="shared" si="5"/>
        <v>5866.952000000002</v>
      </c>
      <c r="Y8" s="363"/>
      <c r="AA8" s="372"/>
      <c r="AI8" s="363"/>
      <c r="AJ8" s="363"/>
      <c r="AK8" s="363"/>
      <c r="AL8" s="363"/>
      <c r="AM8" s="363"/>
      <c r="AN8" s="363"/>
    </row>
    <row r="9" spans="1:40">
      <c r="A9" s="2" t="s">
        <v>81</v>
      </c>
      <c r="B9" s="16">
        <f t="shared" ref="B9:Q9" si="8">B79*0.8</f>
        <v>171049.74400000001</v>
      </c>
      <c r="C9" s="16">
        <f t="shared" si="8"/>
        <v>26079.536000000011</v>
      </c>
      <c r="D9" s="16">
        <f t="shared" si="8"/>
        <v>2508.84</v>
      </c>
      <c r="E9" s="16">
        <f t="shared" si="8"/>
        <v>4115.1760000000004</v>
      </c>
      <c r="F9" s="16">
        <f t="shared" si="8"/>
        <v>173730.09600000002</v>
      </c>
      <c r="G9" s="16">
        <f t="shared" si="8"/>
        <v>5738.8320000000012</v>
      </c>
      <c r="H9" s="16">
        <f t="shared" si="8"/>
        <v>5473.6960000000008</v>
      </c>
      <c r="I9" s="16">
        <f t="shared" si="8"/>
        <v>0</v>
      </c>
      <c r="J9" s="16">
        <f t="shared" si="8"/>
        <v>6649.8319999999994</v>
      </c>
      <c r="K9" s="16">
        <f t="shared" si="8"/>
        <v>1304.28</v>
      </c>
      <c r="L9" s="16">
        <f t="shared" si="8"/>
        <v>173.904</v>
      </c>
      <c r="M9" s="16">
        <f t="shared" si="8"/>
        <v>0</v>
      </c>
      <c r="N9" s="16">
        <f t="shared" si="8"/>
        <v>228.24</v>
      </c>
      <c r="O9" s="16">
        <f t="shared" si="8"/>
        <v>0</v>
      </c>
      <c r="P9" s="16">
        <f t="shared" si="8"/>
        <v>0</v>
      </c>
      <c r="Q9" s="16">
        <f t="shared" si="8"/>
        <v>0</v>
      </c>
      <c r="R9" s="8">
        <f t="shared" si="1"/>
        <v>397052.17600000004</v>
      </c>
      <c r="S9" s="363">
        <f t="shared" si="3"/>
        <v>171049.74400000001</v>
      </c>
      <c r="T9" s="363">
        <f t="shared" si="3"/>
        <v>26079.536000000011</v>
      </c>
      <c r="U9" s="363">
        <f t="shared" si="3"/>
        <v>2508.84</v>
      </c>
      <c r="V9" s="363">
        <f t="shared" si="3"/>
        <v>4115.1760000000004</v>
      </c>
      <c r="W9" s="363">
        <f t="shared" si="4"/>
        <v>179468.92800000001</v>
      </c>
      <c r="X9" s="363">
        <f t="shared" si="5"/>
        <v>13829.952000000001</v>
      </c>
      <c r="Y9" s="363"/>
      <c r="AA9" s="372"/>
      <c r="AI9" s="363"/>
      <c r="AJ9" s="363"/>
      <c r="AK9" s="363"/>
      <c r="AL9" s="363"/>
      <c r="AM9" s="363"/>
      <c r="AN9" s="363"/>
    </row>
    <row r="10" spans="1:40">
      <c r="A10" s="2" t="s">
        <v>82</v>
      </c>
      <c r="B10" s="16">
        <f t="shared" ref="B10:Q10" si="9">B80*0.8</f>
        <v>129730.56000000001</v>
      </c>
      <c r="C10" s="16">
        <f t="shared" si="9"/>
        <v>50687.815999999992</v>
      </c>
      <c r="D10" s="16">
        <f t="shared" si="9"/>
        <v>1824.3440000000001</v>
      </c>
      <c r="E10" s="16">
        <f t="shared" si="9"/>
        <v>3408.8399999999997</v>
      </c>
      <c r="F10" s="16">
        <f t="shared" si="9"/>
        <v>135036.45600000001</v>
      </c>
      <c r="G10" s="16">
        <f t="shared" si="9"/>
        <v>3999.7919999999999</v>
      </c>
      <c r="H10" s="16">
        <f t="shared" si="9"/>
        <v>8183.5520000000006</v>
      </c>
      <c r="I10" s="16">
        <f t="shared" si="9"/>
        <v>0</v>
      </c>
      <c r="J10" s="16">
        <f t="shared" si="9"/>
        <v>12334.712000000001</v>
      </c>
      <c r="K10" s="16">
        <f t="shared" si="9"/>
        <v>260.85599999999999</v>
      </c>
      <c r="L10" s="16">
        <f t="shared" si="9"/>
        <v>0</v>
      </c>
      <c r="M10" s="16">
        <f t="shared" si="9"/>
        <v>355.06400000000002</v>
      </c>
      <c r="N10" s="16">
        <f t="shared" si="9"/>
        <v>228.24</v>
      </c>
      <c r="O10" s="16">
        <f t="shared" si="9"/>
        <v>0</v>
      </c>
      <c r="P10" s="16">
        <f t="shared" si="9"/>
        <v>0</v>
      </c>
      <c r="Q10" s="16">
        <f t="shared" si="9"/>
        <v>0</v>
      </c>
      <c r="R10" s="8">
        <f t="shared" si="1"/>
        <v>346050.23200000008</v>
      </c>
      <c r="S10" s="363">
        <f t="shared" si="3"/>
        <v>129730.56000000001</v>
      </c>
      <c r="T10" s="363">
        <f t="shared" si="3"/>
        <v>50687.815999999992</v>
      </c>
      <c r="U10" s="363">
        <f t="shared" si="3"/>
        <v>1824.3440000000001</v>
      </c>
      <c r="V10" s="363">
        <f t="shared" si="3"/>
        <v>3408.8399999999997</v>
      </c>
      <c r="W10" s="363">
        <f t="shared" si="4"/>
        <v>139036.24799999999</v>
      </c>
      <c r="X10" s="363">
        <f t="shared" si="5"/>
        <v>21362.424000000003</v>
      </c>
      <c r="Y10" s="363"/>
      <c r="AA10" s="372"/>
      <c r="AI10" s="363"/>
      <c r="AJ10" s="363"/>
      <c r="AK10" s="363"/>
      <c r="AL10" s="363"/>
      <c r="AM10" s="363"/>
      <c r="AN10" s="363"/>
    </row>
    <row r="11" spans="1:40">
      <c r="A11" s="2" t="s">
        <v>83</v>
      </c>
      <c r="B11" s="16">
        <f t="shared" ref="B11:Q11" si="10">B81*0.8</f>
        <v>185119.79200000002</v>
      </c>
      <c r="C11" s="16">
        <f t="shared" si="10"/>
        <v>59005.864000000016</v>
      </c>
      <c r="D11" s="16">
        <f t="shared" si="10"/>
        <v>2974.92</v>
      </c>
      <c r="E11" s="16">
        <f t="shared" si="10"/>
        <v>4249.9600000000009</v>
      </c>
      <c r="F11" s="16">
        <f t="shared" si="10"/>
        <v>131471.424</v>
      </c>
      <c r="G11" s="16">
        <f t="shared" si="10"/>
        <v>4173.6959999999999</v>
      </c>
      <c r="H11" s="16">
        <f t="shared" si="10"/>
        <v>9710.9680000000008</v>
      </c>
      <c r="I11" s="16">
        <f t="shared" si="10"/>
        <v>235.08000000000004</v>
      </c>
      <c r="J11" s="16">
        <f t="shared" si="10"/>
        <v>14372.504000000001</v>
      </c>
      <c r="K11" s="16">
        <f t="shared" si="10"/>
        <v>1478.1840000000002</v>
      </c>
      <c r="L11" s="16">
        <f t="shared" si="10"/>
        <v>0</v>
      </c>
      <c r="M11" s="16">
        <f t="shared" si="10"/>
        <v>1851.2</v>
      </c>
      <c r="N11" s="16">
        <f t="shared" si="10"/>
        <v>583.28000000000009</v>
      </c>
      <c r="O11" s="16">
        <f t="shared" si="10"/>
        <v>0</v>
      </c>
      <c r="P11" s="16">
        <f t="shared" si="10"/>
        <v>0</v>
      </c>
      <c r="Q11" s="16">
        <f t="shared" si="10"/>
        <v>0</v>
      </c>
      <c r="R11" s="8">
        <f t="shared" si="1"/>
        <v>415226.87200000009</v>
      </c>
      <c r="S11" s="363">
        <f t="shared" si="3"/>
        <v>185119.79200000002</v>
      </c>
      <c r="T11" s="363">
        <f t="shared" si="3"/>
        <v>59005.864000000016</v>
      </c>
      <c r="U11" s="363">
        <f t="shared" si="3"/>
        <v>2974.92</v>
      </c>
      <c r="V11" s="363">
        <f t="shared" si="3"/>
        <v>4249.9600000000009</v>
      </c>
      <c r="W11" s="363">
        <f t="shared" si="4"/>
        <v>135645.12</v>
      </c>
      <c r="X11" s="363">
        <f t="shared" si="5"/>
        <v>28231.216000000004</v>
      </c>
      <c r="Y11" s="363"/>
      <c r="AA11" s="372"/>
      <c r="AI11" s="363"/>
      <c r="AJ11" s="363"/>
      <c r="AK11" s="363"/>
      <c r="AL11" s="363"/>
      <c r="AM11" s="363"/>
      <c r="AN11" s="363"/>
    </row>
    <row r="12" spans="1:40">
      <c r="A12" s="2" t="s">
        <v>84</v>
      </c>
      <c r="B12" s="16">
        <f t="shared" ref="B12:Q12" si="11">B82*0.8</f>
        <v>117918.88</v>
      </c>
      <c r="C12" s="16">
        <f t="shared" si="11"/>
        <v>15633.576000000001</v>
      </c>
      <c r="D12" s="16">
        <f t="shared" si="11"/>
        <v>2192.944</v>
      </c>
      <c r="E12" s="16">
        <f t="shared" si="11"/>
        <v>3340.7680000000009</v>
      </c>
      <c r="F12" s="16">
        <f t="shared" si="11"/>
        <v>133732.17600000001</v>
      </c>
      <c r="G12" s="16">
        <f t="shared" si="11"/>
        <v>3478.0800000000004</v>
      </c>
      <c r="H12" s="16">
        <f t="shared" si="11"/>
        <v>3277.3360000000002</v>
      </c>
      <c r="I12" s="16">
        <f t="shared" si="11"/>
        <v>982.72000000000014</v>
      </c>
      <c r="J12" s="16">
        <f t="shared" si="11"/>
        <v>4240.2080000000005</v>
      </c>
      <c r="K12" s="16">
        <f t="shared" si="11"/>
        <v>1391.232</v>
      </c>
      <c r="L12" s="16">
        <f t="shared" si="11"/>
        <v>0</v>
      </c>
      <c r="M12" s="16">
        <f t="shared" si="11"/>
        <v>0</v>
      </c>
      <c r="N12" s="16">
        <f t="shared" si="11"/>
        <v>76.08</v>
      </c>
      <c r="O12" s="16">
        <f t="shared" si="11"/>
        <v>0</v>
      </c>
      <c r="P12" s="16">
        <f t="shared" si="11"/>
        <v>0</v>
      </c>
      <c r="Q12" s="16">
        <f t="shared" si="11"/>
        <v>0</v>
      </c>
      <c r="R12" s="8">
        <f t="shared" si="1"/>
        <v>286264.00000000006</v>
      </c>
      <c r="S12" s="363">
        <f t="shared" si="3"/>
        <v>117918.88</v>
      </c>
      <c r="T12" s="363">
        <f t="shared" si="3"/>
        <v>15633.576000000001</v>
      </c>
      <c r="U12" s="363">
        <f t="shared" si="3"/>
        <v>2192.944</v>
      </c>
      <c r="V12" s="363">
        <f t="shared" si="3"/>
        <v>3340.7680000000009</v>
      </c>
      <c r="W12" s="363">
        <f t="shared" si="4"/>
        <v>137210.25599999999</v>
      </c>
      <c r="X12" s="363">
        <f t="shared" si="5"/>
        <v>9967.5760000000009</v>
      </c>
      <c r="Y12" s="363"/>
      <c r="AA12" s="372"/>
      <c r="AI12" s="363"/>
      <c r="AJ12" s="363"/>
      <c r="AK12" s="363"/>
      <c r="AL12" s="363"/>
      <c r="AM12" s="363"/>
      <c r="AN12" s="363"/>
    </row>
    <row r="13" spans="1:40">
      <c r="A13" s="2" t="s">
        <v>85</v>
      </c>
      <c r="B13" s="16">
        <f t="shared" ref="B13:Q13" si="12">B83*0.8</f>
        <v>152958.44</v>
      </c>
      <c r="C13" s="16">
        <f t="shared" si="12"/>
        <v>29775.192000000017</v>
      </c>
      <c r="D13" s="16">
        <f t="shared" si="12"/>
        <v>3335.9120000000003</v>
      </c>
      <c r="E13" s="16">
        <f t="shared" si="12"/>
        <v>5580.6639999999998</v>
      </c>
      <c r="F13" s="16">
        <f t="shared" si="12"/>
        <v>254856.31200000003</v>
      </c>
      <c r="G13" s="16">
        <f t="shared" si="12"/>
        <v>4869.3119999999999</v>
      </c>
      <c r="H13" s="16">
        <f t="shared" si="12"/>
        <v>5375.7920000000004</v>
      </c>
      <c r="I13" s="16">
        <f t="shared" si="12"/>
        <v>241.84000000000003</v>
      </c>
      <c r="J13" s="16">
        <f t="shared" si="12"/>
        <v>7527.7280000000001</v>
      </c>
      <c r="K13" s="16">
        <f t="shared" si="12"/>
        <v>347.80799999999999</v>
      </c>
      <c r="L13" s="16">
        <f t="shared" si="12"/>
        <v>0</v>
      </c>
      <c r="M13" s="16">
        <f t="shared" si="12"/>
        <v>0</v>
      </c>
      <c r="N13" s="16">
        <f t="shared" si="12"/>
        <v>278.95999999999998</v>
      </c>
      <c r="O13" s="16">
        <f t="shared" si="12"/>
        <v>0</v>
      </c>
      <c r="P13" s="16">
        <f t="shared" si="12"/>
        <v>0</v>
      </c>
      <c r="Q13" s="16">
        <f t="shared" si="12"/>
        <v>0</v>
      </c>
      <c r="R13" s="8">
        <f t="shared" si="1"/>
        <v>465147.96000000008</v>
      </c>
      <c r="S13" s="363">
        <f t="shared" si="3"/>
        <v>152958.44</v>
      </c>
      <c r="T13" s="363">
        <f t="shared" si="3"/>
        <v>29775.192000000017</v>
      </c>
      <c r="U13" s="363">
        <f t="shared" si="3"/>
        <v>3335.9120000000003</v>
      </c>
      <c r="V13" s="363">
        <f t="shared" si="3"/>
        <v>5580.6639999999998</v>
      </c>
      <c r="W13" s="363">
        <f t="shared" si="4"/>
        <v>259725.62400000004</v>
      </c>
      <c r="X13" s="363">
        <f t="shared" si="5"/>
        <v>13772.128000000001</v>
      </c>
      <c r="Y13" s="363"/>
      <c r="AA13" s="372"/>
      <c r="AI13" s="363"/>
      <c r="AJ13" s="363"/>
      <c r="AK13" s="363"/>
      <c r="AL13" s="363"/>
      <c r="AM13" s="363"/>
      <c r="AN13" s="363"/>
    </row>
    <row r="14" spans="1:40">
      <c r="A14" s="2" t="s">
        <v>86</v>
      </c>
      <c r="B14" s="16">
        <f t="shared" ref="B14:Q14" si="13">B84*0.8</f>
        <v>55285.983999999997</v>
      </c>
      <c r="C14" s="16">
        <f t="shared" si="13"/>
        <v>8488.8640000000014</v>
      </c>
      <c r="D14" s="16">
        <f t="shared" si="13"/>
        <v>1635</v>
      </c>
      <c r="E14" s="16">
        <f t="shared" si="13"/>
        <v>1708.7360000000001</v>
      </c>
      <c r="F14" s="16">
        <f t="shared" si="13"/>
        <v>57996.983999999997</v>
      </c>
      <c r="G14" s="16">
        <f t="shared" si="13"/>
        <v>1825.992</v>
      </c>
      <c r="H14" s="16">
        <f t="shared" si="13"/>
        <v>1693.8080000000002</v>
      </c>
      <c r="I14" s="16">
        <f t="shared" si="13"/>
        <v>0</v>
      </c>
      <c r="J14" s="16">
        <f t="shared" si="13"/>
        <v>2294.1920000000005</v>
      </c>
      <c r="K14" s="16">
        <f t="shared" si="13"/>
        <v>260.85599999999999</v>
      </c>
      <c r="L14" s="16">
        <f t="shared" si="13"/>
        <v>0</v>
      </c>
      <c r="M14" s="16">
        <f t="shared" si="13"/>
        <v>0</v>
      </c>
      <c r="N14" s="16">
        <f t="shared" si="13"/>
        <v>101.44</v>
      </c>
      <c r="O14" s="16">
        <f t="shared" si="13"/>
        <v>0</v>
      </c>
      <c r="P14" s="16">
        <f t="shared" si="13"/>
        <v>0</v>
      </c>
      <c r="Q14" s="16">
        <f t="shared" si="13"/>
        <v>0</v>
      </c>
      <c r="R14" s="8">
        <f t="shared" si="1"/>
        <v>131291.856</v>
      </c>
      <c r="S14" s="363">
        <f t="shared" si="3"/>
        <v>55285.983999999997</v>
      </c>
      <c r="T14" s="363">
        <f t="shared" si="3"/>
        <v>8488.8640000000014</v>
      </c>
      <c r="U14" s="363">
        <f t="shared" si="3"/>
        <v>1635</v>
      </c>
      <c r="V14" s="363">
        <f t="shared" si="3"/>
        <v>1708.7360000000001</v>
      </c>
      <c r="W14" s="363">
        <f t="shared" si="4"/>
        <v>59822.975999999995</v>
      </c>
      <c r="X14" s="363">
        <f t="shared" si="5"/>
        <v>4350.2960000000003</v>
      </c>
      <c r="Y14" s="363"/>
      <c r="AA14" s="372"/>
      <c r="AI14" s="363"/>
      <c r="AJ14" s="363"/>
      <c r="AK14" s="363"/>
      <c r="AL14" s="363"/>
      <c r="AM14" s="363"/>
      <c r="AN14" s="363"/>
    </row>
    <row r="15" spans="1:40">
      <c r="A15" s="2" t="s">
        <v>87</v>
      </c>
      <c r="B15" s="16">
        <f t="shared" ref="B15:Q15" si="14">B85*0.8</f>
        <v>121825.52800000001</v>
      </c>
      <c r="C15" s="16">
        <f t="shared" si="14"/>
        <v>15653.26399999999</v>
      </c>
      <c r="D15" s="16">
        <f t="shared" si="14"/>
        <v>2926.7520000000004</v>
      </c>
      <c r="E15" s="16">
        <f t="shared" si="14"/>
        <v>1567.8640000000005</v>
      </c>
      <c r="F15" s="16">
        <f t="shared" si="14"/>
        <v>280594.10399999999</v>
      </c>
      <c r="G15" s="16">
        <f t="shared" si="14"/>
        <v>3825.8879999999999</v>
      </c>
      <c r="H15" s="16">
        <f t="shared" si="14"/>
        <v>3001.8080000000004</v>
      </c>
      <c r="I15" s="16">
        <f t="shared" si="14"/>
        <v>2119.056</v>
      </c>
      <c r="J15" s="16">
        <f t="shared" si="14"/>
        <v>3646.2640000000001</v>
      </c>
      <c r="K15" s="16">
        <f t="shared" si="14"/>
        <v>695.61599999999999</v>
      </c>
      <c r="L15" s="16">
        <f t="shared" si="14"/>
        <v>0</v>
      </c>
      <c r="M15" s="16">
        <f t="shared" si="14"/>
        <v>464.14400000000001</v>
      </c>
      <c r="N15" s="16">
        <f t="shared" si="14"/>
        <v>202.88</v>
      </c>
      <c r="O15" s="16">
        <f t="shared" si="14"/>
        <v>0</v>
      </c>
      <c r="P15" s="16">
        <f t="shared" si="14"/>
        <v>0</v>
      </c>
      <c r="Q15" s="16">
        <f t="shared" si="14"/>
        <v>0</v>
      </c>
      <c r="R15" s="8">
        <f t="shared" si="1"/>
        <v>436523.16799999995</v>
      </c>
      <c r="S15" s="363">
        <f t="shared" si="3"/>
        <v>121825.52800000001</v>
      </c>
      <c r="T15" s="363">
        <f t="shared" si="3"/>
        <v>15653.26399999999</v>
      </c>
      <c r="U15" s="363">
        <f t="shared" si="3"/>
        <v>2926.7520000000004</v>
      </c>
      <c r="V15" s="363">
        <f t="shared" si="3"/>
        <v>1567.8640000000005</v>
      </c>
      <c r="W15" s="363">
        <f t="shared" si="4"/>
        <v>284419.99199999997</v>
      </c>
      <c r="X15" s="363">
        <f t="shared" si="5"/>
        <v>10129.768</v>
      </c>
      <c r="Y15" s="363"/>
      <c r="AA15" s="372"/>
      <c r="AI15" s="363"/>
      <c r="AJ15" s="363"/>
      <c r="AK15" s="363"/>
      <c r="AL15" s="363"/>
      <c r="AM15" s="363"/>
      <c r="AN15" s="363"/>
    </row>
    <row r="16" spans="1:40">
      <c r="A16" s="2" t="s">
        <v>88</v>
      </c>
      <c r="B16" s="16">
        <f t="shared" ref="B16:Q16" si="15">B86*0.8</f>
        <v>78747.744000000006</v>
      </c>
      <c r="C16" s="16">
        <f t="shared" si="15"/>
        <v>20206.424000000014</v>
      </c>
      <c r="D16" s="16">
        <f t="shared" si="15"/>
        <v>3802.5680000000002</v>
      </c>
      <c r="E16" s="16">
        <f t="shared" si="15"/>
        <v>9111.3040000000019</v>
      </c>
      <c r="F16" s="16">
        <f t="shared" si="15"/>
        <v>161469.864</v>
      </c>
      <c r="G16" s="16">
        <f t="shared" si="15"/>
        <v>2869.4160000000002</v>
      </c>
      <c r="H16" s="16">
        <f t="shared" si="15"/>
        <v>10306.264000000001</v>
      </c>
      <c r="I16" s="16">
        <f t="shared" si="15"/>
        <v>618.82400000000007</v>
      </c>
      <c r="J16" s="16">
        <f t="shared" si="15"/>
        <v>3888.3040000000001</v>
      </c>
      <c r="K16" s="16">
        <f t="shared" si="15"/>
        <v>1652.0880000000002</v>
      </c>
      <c r="L16" s="16">
        <f t="shared" si="15"/>
        <v>0</v>
      </c>
      <c r="M16" s="16">
        <f t="shared" si="15"/>
        <v>0</v>
      </c>
      <c r="N16" s="16">
        <f t="shared" si="15"/>
        <v>126.80000000000001</v>
      </c>
      <c r="O16" s="16">
        <f t="shared" si="15"/>
        <v>0</v>
      </c>
      <c r="P16" s="16">
        <f t="shared" si="15"/>
        <v>88.736000000000004</v>
      </c>
      <c r="Q16" s="16">
        <f t="shared" si="15"/>
        <v>0</v>
      </c>
      <c r="R16" s="8">
        <f t="shared" si="1"/>
        <v>292888.33600000007</v>
      </c>
      <c r="S16" s="363">
        <f t="shared" si="3"/>
        <v>78747.744000000006</v>
      </c>
      <c r="T16" s="363">
        <f t="shared" si="3"/>
        <v>20206.424000000014</v>
      </c>
      <c r="U16" s="363">
        <f t="shared" si="3"/>
        <v>3802.5680000000002</v>
      </c>
      <c r="V16" s="363">
        <f t="shared" si="3"/>
        <v>9111.3040000000019</v>
      </c>
      <c r="W16" s="363">
        <f t="shared" si="4"/>
        <v>164339.28</v>
      </c>
      <c r="X16" s="363">
        <f t="shared" si="5"/>
        <v>16681.016000000003</v>
      </c>
      <c r="Y16" s="363"/>
      <c r="AA16" s="372"/>
      <c r="AI16" s="363"/>
      <c r="AJ16" s="363"/>
      <c r="AK16" s="363"/>
      <c r="AL16" s="363"/>
      <c r="AM16" s="363"/>
      <c r="AN16" s="363"/>
    </row>
    <row r="17" spans="1:40">
      <c r="A17" s="2" t="s">
        <v>89</v>
      </c>
      <c r="B17" s="16">
        <f t="shared" ref="B17:Q17" si="16">B87*0.8</f>
        <v>484384.60800000001</v>
      </c>
      <c r="C17" s="16">
        <f t="shared" si="16"/>
        <v>94902.296000000002</v>
      </c>
      <c r="D17" s="16">
        <f t="shared" si="16"/>
        <v>9902.6080000000002</v>
      </c>
      <c r="E17" s="16">
        <f t="shared" si="16"/>
        <v>19942.152000000002</v>
      </c>
      <c r="F17" s="16">
        <f t="shared" si="16"/>
        <v>479714.18400000001</v>
      </c>
      <c r="G17" s="16">
        <f t="shared" si="16"/>
        <v>10347.288</v>
      </c>
      <c r="H17" s="16">
        <f t="shared" si="16"/>
        <v>19322.136000000006</v>
      </c>
      <c r="I17" s="16">
        <f t="shared" si="16"/>
        <v>0</v>
      </c>
      <c r="J17" s="16">
        <f t="shared" si="16"/>
        <v>24496.792000000001</v>
      </c>
      <c r="K17" s="16">
        <f t="shared" si="16"/>
        <v>1825.992</v>
      </c>
      <c r="L17" s="16">
        <f t="shared" si="16"/>
        <v>173.904</v>
      </c>
      <c r="M17" s="16">
        <f t="shared" si="16"/>
        <v>0</v>
      </c>
      <c r="N17" s="16">
        <f t="shared" si="16"/>
        <v>710.08</v>
      </c>
      <c r="O17" s="16">
        <f t="shared" si="16"/>
        <v>0</v>
      </c>
      <c r="P17" s="16">
        <f t="shared" si="16"/>
        <v>0</v>
      </c>
      <c r="Q17" s="16">
        <f t="shared" si="16"/>
        <v>0</v>
      </c>
      <c r="R17" s="8">
        <f t="shared" si="1"/>
        <v>1145722.04</v>
      </c>
      <c r="S17" s="363">
        <f t="shared" si="3"/>
        <v>484384.60800000001</v>
      </c>
      <c r="T17" s="363">
        <f t="shared" si="3"/>
        <v>94902.296000000002</v>
      </c>
      <c r="U17" s="363">
        <f t="shared" si="3"/>
        <v>9902.6080000000002</v>
      </c>
      <c r="V17" s="363">
        <f t="shared" si="3"/>
        <v>19942.152000000002</v>
      </c>
      <c r="W17" s="363">
        <f t="shared" si="4"/>
        <v>490061.47200000001</v>
      </c>
      <c r="X17" s="363">
        <f t="shared" si="5"/>
        <v>46528.90400000001</v>
      </c>
      <c r="Y17" s="363"/>
      <c r="AA17" s="372"/>
      <c r="AI17" s="363"/>
      <c r="AJ17" s="363"/>
      <c r="AK17" s="363"/>
      <c r="AL17" s="363"/>
      <c r="AM17" s="363"/>
      <c r="AN17" s="363"/>
    </row>
    <row r="18" spans="1:40">
      <c r="A18" s="2" t="s">
        <v>90</v>
      </c>
      <c r="B18" s="16">
        <f t="shared" ref="B18:Q18" si="17">B88*0.8</f>
        <v>71490.384000000005</v>
      </c>
      <c r="C18" s="16">
        <f t="shared" si="17"/>
        <v>19844.808000000008</v>
      </c>
      <c r="D18" s="16">
        <f t="shared" si="17"/>
        <v>1555.5200000000002</v>
      </c>
      <c r="E18" s="16">
        <f t="shared" si="17"/>
        <v>2517.2800000000002</v>
      </c>
      <c r="F18" s="16">
        <f t="shared" si="17"/>
        <v>99794.592000000004</v>
      </c>
      <c r="G18" s="16">
        <f t="shared" si="17"/>
        <v>2956.3680000000004</v>
      </c>
      <c r="H18" s="16">
        <f t="shared" si="17"/>
        <v>3768.4080000000013</v>
      </c>
      <c r="I18" s="16">
        <f t="shared" si="17"/>
        <v>0</v>
      </c>
      <c r="J18" s="16">
        <f t="shared" si="17"/>
        <v>5085.5439999999999</v>
      </c>
      <c r="K18" s="16">
        <f t="shared" si="17"/>
        <v>608.6640000000001</v>
      </c>
      <c r="L18" s="16">
        <f t="shared" si="17"/>
        <v>0</v>
      </c>
      <c r="M18" s="16">
        <f t="shared" si="17"/>
        <v>0</v>
      </c>
      <c r="N18" s="16">
        <f t="shared" si="17"/>
        <v>126.80000000000001</v>
      </c>
      <c r="O18" s="16">
        <f t="shared" si="17"/>
        <v>0</v>
      </c>
      <c r="P18" s="16">
        <f t="shared" si="17"/>
        <v>0</v>
      </c>
      <c r="Q18" s="16">
        <f t="shared" si="17"/>
        <v>0</v>
      </c>
      <c r="R18" s="8">
        <f t="shared" si="1"/>
        <v>207748.36799999999</v>
      </c>
      <c r="S18" s="363">
        <f t="shared" si="3"/>
        <v>71490.384000000005</v>
      </c>
      <c r="T18" s="363">
        <f t="shared" si="3"/>
        <v>19844.808000000008</v>
      </c>
      <c r="U18" s="363">
        <f t="shared" si="3"/>
        <v>1555.5200000000002</v>
      </c>
      <c r="V18" s="363">
        <f t="shared" si="3"/>
        <v>2517.2800000000002</v>
      </c>
      <c r="W18" s="363">
        <f t="shared" si="4"/>
        <v>102750.96</v>
      </c>
      <c r="X18" s="363">
        <f t="shared" si="5"/>
        <v>9589.4160000000011</v>
      </c>
      <c r="Y18" s="363"/>
      <c r="AA18" s="372"/>
      <c r="AI18" s="363"/>
      <c r="AJ18" s="363"/>
      <c r="AK18" s="363"/>
      <c r="AL18" s="363"/>
      <c r="AM18" s="363"/>
      <c r="AN18" s="363"/>
    </row>
    <row r="19" spans="1:40">
      <c r="A19" s="2" t="s">
        <v>91</v>
      </c>
      <c r="B19" s="16">
        <f t="shared" ref="B19:Q19" si="18">B89*0.8</f>
        <v>76885.648000000001</v>
      </c>
      <c r="C19" s="16">
        <f t="shared" si="18"/>
        <v>23840.76</v>
      </c>
      <c r="D19" s="16">
        <f t="shared" si="18"/>
        <v>1088.864</v>
      </c>
      <c r="E19" s="16">
        <f t="shared" si="18"/>
        <v>1796.576</v>
      </c>
      <c r="F19" s="16">
        <f t="shared" si="18"/>
        <v>84778.200000000012</v>
      </c>
      <c r="G19" s="16">
        <f t="shared" si="18"/>
        <v>4260.6480000000001</v>
      </c>
      <c r="H19" s="16">
        <f t="shared" si="18"/>
        <v>3732.3279999999995</v>
      </c>
      <c r="I19" s="16">
        <f t="shared" si="18"/>
        <v>0</v>
      </c>
      <c r="J19" s="16">
        <f t="shared" si="18"/>
        <v>5669.2400000000016</v>
      </c>
      <c r="K19" s="16">
        <f t="shared" si="18"/>
        <v>86.951999999999998</v>
      </c>
      <c r="L19" s="16">
        <f t="shared" si="18"/>
        <v>0</v>
      </c>
      <c r="M19" s="16">
        <f t="shared" si="18"/>
        <v>0</v>
      </c>
      <c r="N19" s="16">
        <f t="shared" si="18"/>
        <v>101.44</v>
      </c>
      <c r="O19" s="16">
        <f t="shared" si="18"/>
        <v>0</v>
      </c>
      <c r="P19" s="16">
        <f t="shared" si="18"/>
        <v>28.576000000000001</v>
      </c>
      <c r="Q19" s="16">
        <f t="shared" si="18"/>
        <v>582.53599999999994</v>
      </c>
      <c r="R19" s="8">
        <f t="shared" si="1"/>
        <v>202851.76799999998</v>
      </c>
      <c r="S19" s="363">
        <f t="shared" si="3"/>
        <v>76885.648000000001</v>
      </c>
      <c r="T19" s="363">
        <f t="shared" si="3"/>
        <v>23840.76</v>
      </c>
      <c r="U19" s="363">
        <f t="shared" si="3"/>
        <v>1088.864</v>
      </c>
      <c r="V19" s="363">
        <f t="shared" si="3"/>
        <v>1796.576</v>
      </c>
      <c r="W19" s="363">
        <f t="shared" si="4"/>
        <v>89038.848000000013</v>
      </c>
      <c r="X19" s="363">
        <f t="shared" si="5"/>
        <v>10201.072</v>
      </c>
      <c r="Y19" s="363"/>
      <c r="AA19" s="372"/>
      <c r="AI19" s="363"/>
      <c r="AJ19" s="363"/>
      <c r="AK19" s="363"/>
      <c r="AL19" s="363"/>
      <c r="AM19" s="363"/>
      <c r="AN19" s="363"/>
    </row>
    <row r="20" spans="1:40">
      <c r="A20" s="2" t="s">
        <v>92</v>
      </c>
      <c r="B20" s="16">
        <f t="shared" ref="B20:Q20" si="19">B90*0.8</f>
        <v>344727.07200000004</v>
      </c>
      <c r="C20" s="16">
        <f t="shared" si="19"/>
        <v>58783.287999999993</v>
      </c>
      <c r="D20" s="16">
        <f t="shared" si="19"/>
        <v>9131.8320000000003</v>
      </c>
      <c r="E20" s="16">
        <f t="shared" si="19"/>
        <v>13625.696</v>
      </c>
      <c r="F20" s="16">
        <f t="shared" si="19"/>
        <v>536580.79200000002</v>
      </c>
      <c r="G20" s="16">
        <f t="shared" si="19"/>
        <v>10608.144</v>
      </c>
      <c r="H20" s="16">
        <f t="shared" si="19"/>
        <v>11880.056</v>
      </c>
      <c r="I20" s="16">
        <f t="shared" si="19"/>
        <v>10513.936000000002</v>
      </c>
      <c r="J20" s="16">
        <f t="shared" si="19"/>
        <v>15670.040000000003</v>
      </c>
      <c r="K20" s="16">
        <f t="shared" si="19"/>
        <v>2173.8000000000002</v>
      </c>
      <c r="L20" s="16">
        <f t="shared" si="19"/>
        <v>0</v>
      </c>
      <c r="M20" s="16">
        <f t="shared" si="19"/>
        <v>0</v>
      </c>
      <c r="N20" s="16">
        <f t="shared" si="19"/>
        <v>380.40000000000003</v>
      </c>
      <c r="O20" s="16">
        <f t="shared" si="19"/>
        <v>0</v>
      </c>
      <c r="P20" s="16">
        <f t="shared" si="19"/>
        <v>0</v>
      </c>
      <c r="Q20" s="16">
        <f t="shared" si="19"/>
        <v>0</v>
      </c>
      <c r="R20" s="8">
        <f t="shared" si="1"/>
        <v>1014075.0560000001</v>
      </c>
      <c r="S20" s="363">
        <f t="shared" si="3"/>
        <v>344727.07200000004</v>
      </c>
      <c r="T20" s="363">
        <f t="shared" si="3"/>
        <v>58783.287999999993</v>
      </c>
      <c r="U20" s="363">
        <f t="shared" si="3"/>
        <v>9131.8320000000003</v>
      </c>
      <c r="V20" s="363">
        <f t="shared" si="3"/>
        <v>13625.696</v>
      </c>
      <c r="W20" s="363">
        <f t="shared" si="4"/>
        <v>547188.93599999999</v>
      </c>
      <c r="X20" s="363">
        <f t="shared" si="5"/>
        <v>40618.232000000011</v>
      </c>
      <c r="Y20" s="363"/>
      <c r="AA20" s="372"/>
      <c r="AI20" s="363"/>
      <c r="AJ20" s="363"/>
      <c r="AK20" s="363"/>
      <c r="AL20" s="363"/>
      <c r="AM20" s="363"/>
      <c r="AN20" s="363"/>
    </row>
    <row r="21" spans="1:40">
      <c r="A21" s="2" t="s">
        <v>93</v>
      </c>
      <c r="B21" s="16">
        <f t="shared" ref="B21:Q21" si="20">B91*0.8</f>
        <v>131906.25600000002</v>
      </c>
      <c r="C21" s="16">
        <f t="shared" si="20"/>
        <v>43926.231999999989</v>
      </c>
      <c r="D21" s="16">
        <f t="shared" si="20"/>
        <v>2031.2</v>
      </c>
      <c r="E21" s="16">
        <f t="shared" si="20"/>
        <v>7381.5119999999997</v>
      </c>
      <c r="F21" s="16">
        <f t="shared" si="20"/>
        <v>127036.872</v>
      </c>
      <c r="G21" s="16">
        <f t="shared" si="20"/>
        <v>5043.2160000000003</v>
      </c>
      <c r="H21" s="16">
        <f t="shared" si="20"/>
        <v>7186.8320000000012</v>
      </c>
      <c r="I21" s="16">
        <f t="shared" si="20"/>
        <v>832.46399999999994</v>
      </c>
      <c r="J21" s="16">
        <f t="shared" si="20"/>
        <v>11267.160000000002</v>
      </c>
      <c r="K21" s="16">
        <f t="shared" si="20"/>
        <v>434.76000000000005</v>
      </c>
      <c r="L21" s="16">
        <f t="shared" si="20"/>
        <v>0</v>
      </c>
      <c r="M21" s="16">
        <f t="shared" si="20"/>
        <v>0</v>
      </c>
      <c r="N21" s="16">
        <f t="shared" si="20"/>
        <v>329.68000000000006</v>
      </c>
      <c r="O21" s="16">
        <f t="shared" si="20"/>
        <v>0</v>
      </c>
      <c r="P21" s="16">
        <f t="shared" si="20"/>
        <v>0</v>
      </c>
      <c r="Q21" s="16">
        <f t="shared" si="20"/>
        <v>0</v>
      </c>
      <c r="R21" s="8">
        <f t="shared" si="1"/>
        <v>337376.18400000001</v>
      </c>
      <c r="S21" s="363">
        <f t="shared" si="3"/>
        <v>131906.25600000002</v>
      </c>
      <c r="T21" s="363">
        <f t="shared" si="3"/>
        <v>43926.231999999989</v>
      </c>
      <c r="U21" s="363">
        <f t="shared" si="3"/>
        <v>2031.2</v>
      </c>
      <c r="V21" s="363">
        <f t="shared" si="3"/>
        <v>7381.5119999999997</v>
      </c>
      <c r="W21" s="363">
        <f t="shared" si="4"/>
        <v>132080.08799999999</v>
      </c>
      <c r="X21" s="363">
        <f t="shared" si="5"/>
        <v>20050.896000000001</v>
      </c>
      <c r="Y21" s="363"/>
      <c r="AA21" s="372"/>
      <c r="AI21" s="363"/>
      <c r="AJ21" s="363"/>
      <c r="AK21" s="363"/>
      <c r="AL21" s="363"/>
      <c r="AM21" s="363"/>
      <c r="AN21" s="363"/>
    </row>
    <row r="22" spans="1:40">
      <c r="A22" s="2" t="s">
        <v>94</v>
      </c>
      <c r="B22" s="16">
        <f t="shared" ref="B22:Q22" si="21">B92*0.8</f>
        <v>42503.048000000003</v>
      </c>
      <c r="C22" s="16">
        <f t="shared" si="21"/>
        <v>4263.9679999999998</v>
      </c>
      <c r="D22" s="16">
        <f t="shared" si="21"/>
        <v>361.82400000000001</v>
      </c>
      <c r="E22" s="16">
        <f t="shared" si="21"/>
        <v>1356.8720000000001</v>
      </c>
      <c r="F22" s="16">
        <f t="shared" si="21"/>
        <v>44084.664000000004</v>
      </c>
      <c r="G22" s="16">
        <f t="shared" si="21"/>
        <v>3130.2719999999999</v>
      </c>
      <c r="H22" s="16">
        <f t="shared" si="21"/>
        <v>652.61599999999999</v>
      </c>
      <c r="I22" s="16">
        <f t="shared" si="21"/>
        <v>0</v>
      </c>
      <c r="J22" s="16">
        <f t="shared" si="21"/>
        <v>1156.96</v>
      </c>
      <c r="K22" s="16">
        <f t="shared" si="21"/>
        <v>173.904</v>
      </c>
      <c r="L22" s="16">
        <f t="shared" si="21"/>
        <v>0</v>
      </c>
      <c r="M22" s="16">
        <f t="shared" si="21"/>
        <v>0</v>
      </c>
      <c r="N22" s="16">
        <f t="shared" si="21"/>
        <v>25.36</v>
      </c>
      <c r="O22" s="16">
        <f t="shared" si="21"/>
        <v>0</v>
      </c>
      <c r="P22" s="16">
        <f t="shared" si="21"/>
        <v>0</v>
      </c>
      <c r="Q22" s="16">
        <f t="shared" si="21"/>
        <v>0</v>
      </c>
      <c r="R22" s="8">
        <f t="shared" si="1"/>
        <v>97709.488000000012</v>
      </c>
      <c r="S22" s="363">
        <f t="shared" si="3"/>
        <v>42503.048000000003</v>
      </c>
      <c r="T22" s="363">
        <f t="shared" si="3"/>
        <v>4263.9679999999998</v>
      </c>
      <c r="U22" s="363">
        <f t="shared" si="3"/>
        <v>361.82400000000001</v>
      </c>
      <c r="V22" s="363">
        <f t="shared" si="3"/>
        <v>1356.8720000000001</v>
      </c>
      <c r="W22" s="363">
        <f t="shared" si="4"/>
        <v>47214.936000000002</v>
      </c>
      <c r="X22" s="363">
        <f t="shared" si="5"/>
        <v>2008.84</v>
      </c>
      <c r="Y22" s="363"/>
      <c r="AA22" s="372"/>
      <c r="AI22" s="363"/>
      <c r="AJ22" s="363"/>
      <c r="AK22" s="363"/>
      <c r="AL22" s="363"/>
      <c r="AM22" s="363"/>
      <c r="AN22" s="363"/>
    </row>
    <row r="23" spans="1:40">
      <c r="A23" s="2" t="s">
        <v>95</v>
      </c>
      <c r="B23" s="16">
        <f t="shared" ref="B23:Q23" si="22">B93*0.8</f>
        <v>419935.72000000003</v>
      </c>
      <c r="C23" s="16">
        <f t="shared" si="22"/>
        <v>65444.231999999938</v>
      </c>
      <c r="D23" s="16">
        <f t="shared" si="22"/>
        <v>9068.496000000001</v>
      </c>
      <c r="E23" s="16">
        <f t="shared" si="22"/>
        <v>8610.4719999999998</v>
      </c>
      <c r="F23" s="16">
        <f t="shared" si="22"/>
        <v>504052.152</v>
      </c>
      <c r="G23" s="16">
        <f t="shared" si="22"/>
        <v>15738.312</v>
      </c>
      <c r="H23" s="16">
        <f t="shared" si="22"/>
        <v>9998.6080000000002</v>
      </c>
      <c r="I23" s="16">
        <f t="shared" si="22"/>
        <v>441.77600000000007</v>
      </c>
      <c r="J23" s="16">
        <f t="shared" si="22"/>
        <v>15922.800000000001</v>
      </c>
      <c r="K23" s="16">
        <f t="shared" si="22"/>
        <v>1043.424</v>
      </c>
      <c r="L23" s="16">
        <f t="shared" si="22"/>
        <v>173.904</v>
      </c>
      <c r="M23" s="16">
        <f t="shared" si="22"/>
        <v>0</v>
      </c>
      <c r="N23" s="16">
        <f t="shared" si="22"/>
        <v>1189.4159999999999</v>
      </c>
      <c r="O23" s="16">
        <f t="shared" si="22"/>
        <v>0</v>
      </c>
      <c r="P23" s="16">
        <f t="shared" si="22"/>
        <v>25.848000000000003</v>
      </c>
      <c r="Q23" s="16">
        <f t="shared" si="22"/>
        <v>1138.4639999999999</v>
      </c>
      <c r="R23" s="8">
        <f t="shared" si="1"/>
        <v>1052783.6240000001</v>
      </c>
      <c r="S23" s="363">
        <f t="shared" si="3"/>
        <v>419935.72000000003</v>
      </c>
      <c r="T23" s="363">
        <f t="shared" si="3"/>
        <v>65444.231999999938</v>
      </c>
      <c r="U23" s="363">
        <f t="shared" si="3"/>
        <v>9068.496000000001</v>
      </c>
      <c r="V23" s="363">
        <f t="shared" si="3"/>
        <v>8610.4719999999998</v>
      </c>
      <c r="W23" s="363">
        <f t="shared" si="4"/>
        <v>519790.46399999998</v>
      </c>
      <c r="X23" s="363">
        <f t="shared" si="5"/>
        <v>29934.240000000002</v>
      </c>
      <c r="Y23" s="363"/>
      <c r="AA23" s="372"/>
      <c r="AI23" s="363"/>
      <c r="AJ23" s="363"/>
      <c r="AK23" s="363"/>
      <c r="AL23" s="363"/>
      <c r="AM23" s="363"/>
      <c r="AN23" s="363"/>
    </row>
    <row r="24" spans="1:40">
      <c r="A24" s="2" t="s">
        <v>96</v>
      </c>
      <c r="B24" s="16">
        <f t="shared" ref="B24:Q24" si="23">B94*0.8</f>
        <v>87603.392000000007</v>
      </c>
      <c r="C24" s="16">
        <f t="shared" si="23"/>
        <v>11886.383999999998</v>
      </c>
      <c r="D24" s="16">
        <f t="shared" si="23"/>
        <v>764.23199999999997</v>
      </c>
      <c r="E24" s="16">
        <f t="shared" si="23"/>
        <v>1436.2240000000002</v>
      </c>
      <c r="F24" s="16">
        <f t="shared" si="23"/>
        <v>73909.2</v>
      </c>
      <c r="G24" s="16">
        <f t="shared" si="23"/>
        <v>2956.3680000000004</v>
      </c>
      <c r="H24" s="16">
        <f t="shared" si="23"/>
        <v>2222.192</v>
      </c>
      <c r="I24" s="16">
        <f t="shared" si="23"/>
        <v>514.47200000000009</v>
      </c>
      <c r="J24" s="16">
        <f t="shared" si="23"/>
        <v>2755.8720000000003</v>
      </c>
      <c r="K24" s="16">
        <f t="shared" si="23"/>
        <v>521.71199999999999</v>
      </c>
      <c r="L24" s="16">
        <f t="shared" si="23"/>
        <v>0</v>
      </c>
      <c r="M24" s="16">
        <f t="shared" si="23"/>
        <v>0</v>
      </c>
      <c r="N24" s="16">
        <f t="shared" si="23"/>
        <v>126.80000000000001</v>
      </c>
      <c r="O24" s="16">
        <f t="shared" si="23"/>
        <v>0</v>
      </c>
      <c r="P24" s="16">
        <f t="shared" si="23"/>
        <v>0</v>
      </c>
      <c r="Q24" s="16">
        <f t="shared" si="23"/>
        <v>0</v>
      </c>
      <c r="R24" s="8">
        <f t="shared" si="1"/>
        <v>184696.84800000003</v>
      </c>
      <c r="S24" s="363">
        <f t="shared" si="3"/>
        <v>87603.392000000007</v>
      </c>
      <c r="T24" s="363">
        <f t="shared" si="3"/>
        <v>11886.383999999998</v>
      </c>
      <c r="U24" s="363">
        <f t="shared" si="3"/>
        <v>764.23199999999997</v>
      </c>
      <c r="V24" s="363">
        <f t="shared" si="3"/>
        <v>1436.2240000000002</v>
      </c>
      <c r="W24" s="363">
        <f t="shared" si="4"/>
        <v>76865.567999999999</v>
      </c>
      <c r="X24" s="363">
        <f t="shared" si="5"/>
        <v>6141.0479999999998</v>
      </c>
      <c r="Y24" s="363"/>
      <c r="AA24" s="372"/>
      <c r="AI24" s="363"/>
      <c r="AJ24" s="363"/>
      <c r="AK24" s="363"/>
      <c r="AL24" s="363"/>
      <c r="AM24" s="363"/>
      <c r="AN24" s="363"/>
    </row>
    <row r="25" spans="1:40">
      <c r="A25" s="2" t="s">
        <v>97</v>
      </c>
      <c r="B25" s="16">
        <f t="shared" ref="B25:Q25" si="24">B95*0.8</f>
        <v>524358.70400000003</v>
      </c>
      <c r="C25" s="16">
        <f t="shared" si="24"/>
        <v>99332.463999999978</v>
      </c>
      <c r="D25" s="16">
        <f t="shared" si="24"/>
        <v>11502.400000000001</v>
      </c>
      <c r="E25" s="16">
        <f t="shared" si="24"/>
        <v>12524.903999999999</v>
      </c>
      <c r="F25" s="16">
        <f t="shared" si="24"/>
        <v>705006.81600000011</v>
      </c>
      <c r="G25" s="16">
        <f t="shared" si="24"/>
        <v>15477.456</v>
      </c>
      <c r="H25" s="16">
        <f t="shared" si="24"/>
        <v>21300.520000000004</v>
      </c>
      <c r="I25" s="16">
        <f t="shared" si="24"/>
        <v>1306.5360000000001</v>
      </c>
      <c r="J25" s="16">
        <f t="shared" si="24"/>
        <v>23826.2</v>
      </c>
      <c r="K25" s="16">
        <f t="shared" si="24"/>
        <v>1739.0400000000002</v>
      </c>
      <c r="L25" s="16">
        <f t="shared" si="24"/>
        <v>521.71199999999999</v>
      </c>
      <c r="M25" s="16">
        <f t="shared" si="24"/>
        <v>849.5920000000001</v>
      </c>
      <c r="N25" s="16">
        <f t="shared" si="24"/>
        <v>659.36000000000013</v>
      </c>
      <c r="O25" s="16">
        <f t="shared" si="24"/>
        <v>0</v>
      </c>
      <c r="P25" s="16">
        <f t="shared" si="24"/>
        <v>0</v>
      </c>
      <c r="Q25" s="16">
        <f t="shared" si="24"/>
        <v>0</v>
      </c>
      <c r="R25" s="8">
        <f t="shared" si="1"/>
        <v>1418405.7040000004</v>
      </c>
      <c r="S25" s="363">
        <f t="shared" si="3"/>
        <v>524358.70400000003</v>
      </c>
      <c r="T25" s="363">
        <f t="shared" si="3"/>
        <v>99332.463999999978</v>
      </c>
      <c r="U25" s="363">
        <f t="shared" si="3"/>
        <v>11502.400000000001</v>
      </c>
      <c r="V25" s="363">
        <f t="shared" si="3"/>
        <v>12524.903999999999</v>
      </c>
      <c r="W25" s="363">
        <f t="shared" si="4"/>
        <v>720484.27200000011</v>
      </c>
      <c r="X25" s="363">
        <f t="shared" si="5"/>
        <v>50202.960000000006</v>
      </c>
      <c r="Y25" s="363"/>
      <c r="AA25" s="372"/>
      <c r="AI25" s="363"/>
      <c r="AJ25" s="363"/>
      <c r="AK25" s="363"/>
      <c r="AL25" s="363"/>
      <c r="AM25" s="363"/>
      <c r="AN25" s="363"/>
    </row>
    <row r="26" spans="1:40">
      <c r="A26" s="2" t="s">
        <v>98</v>
      </c>
      <c r="B26" s="16">
        <f t="shared" ref="B26:Q26" si="25">B96*0.8</f>
        <v>34687.128000000004</v>
      </c>
      <c r="C26" s="16">
        <f t="shared" si="25"/>
        <v>5634.0479999999989</v>
      </c>
      <c r="D26" s="16">
        <f t="shared" si="25"/>
        <v>1727.992</v>
      </c>
      <c r="E26" s="16">
        <f t="shared" si="25"/>
        <v>2814.9120000000003</v>
      </c>
      <c r="F26" s="16">
        <f t="shared" si="25"/>
        <v>72083.207999999999</v>
      </c>
      <c r="G26" s="16">
        <f t="shared" si="25"/>
        <v>1391.232</v>
      </c>
      <c r="H26" s="16">
        <f t="shared" si="25"/>
        <v>916.2</v>
      </c>
      <c r="I26" s="16">
        <f t="shared" si="25"/>
        <v>0</v>
      </c>
      <c r="J26" s="16">
        <f t="shared" si="25"/>
        <v>1860.5520000000001</v>
      </c>
      <c r="K26" s="16">
        <f t="shared" si="25"/>
        <v>173.904</v>
      </c>
      <c r="L26" s="16">
        <f t="shared" si="25"/>
        <v>0</v>
      </c>
      <c r="M26" s="16">
        <f t="shared" si="25"/>
        <v>0</v>
      </c>
      <c r="N26" s="16">
        <f t="shared" si="25"/>
        <v>50.72</v>
      </c>
      <c r="O26" s="16">
        <f t="shared" si="25"/>
        <v>0</v>
      </c>
      <c r="P26" s="16">
        <f t="shared" si="25"/>
        <v>0</v>
      </c>
      <c r="Q26" s="16">
        <f t="shared" si="25"/>
        <v>0</v>
      </c>
      <c r="R26" s="8">
        <f t="shared" si="1"/>
        <v>121339.89599999999</v>
      </c>
      <c r="S26" s="363">
        <f t="shared" si="3"/>
        <v>34687.128000000004</v>
      </c>
      <c r="T26" s="363">
        <f t="shared" si="3"/>
        <v>5634.0479999999989</v>
      </c>
      <c r="U26" s="363">
        <f t="shared" si="3"/>
        <v>1727.992</v>
      </c>
      <c r="V26" s="363">
        <f t="shared" si="3"/>
        <v>2814.9120000000003</v>
      </c>
      <c r="W26" s="363">
        <f t="shared" si="4"/>
        <v>73474.44</v>
      </c>
      <c r="X26" s="363">
        <f t="shared" si="5"/>
        <v>3001.3760000000002</v>
      </c>
      <c r="Y26" s="363"/>
      <c r="AA26" s="372"/>
      <c r="AI26" s="363"/>
      <c r="AJ26" s="363"/>
      <c r="AK26" s="363"/>
      <c r="AL26" s="363"/>
      <c r="AM26" s="363"/>
      <c r="AN26" s="363"/>
    </row>
    <row r="27" spans="1:40">
      <c r="A27" s="2" t="s">
        <v>99</v>
      </c>
      <c r="B27" s="16">
        <f t="shared" ref="B27:Q27" si="26">B97*0.8</f>
        <v>6043.2400000000007</v>
      </c>
      <c r="C27" s="16">
        <f t="shared" si="26"/>
        <v>630.80799999999954</v>
      </c>
      <c r="D27" s="16">
        <f t="shared" si="26"/>
        <v>0</v>
      </c>
      <c r="E27" s="16">
        <f t="shared" si="26"/>
        <v>38.095999999999997</v>
      </c>
      <c r="F27" s="16">
        <f t="shared" si="26"/>
        <v>12781.944000000001</v>
      </c>
      <c r="G27" s="16">
        <f t="shared" si="26"/>
        <v>260.85599999999999</v>
      </c>
      <c r="H27" s="16">
        <f t="shared" si="26"/>
        <v>62.752000000000002</v>
      </c>
      <c r="I27" s="16">
        <f t="shared" si="26"/>
        <v>0</v>
      </c>
      <c r="J27" s="16">
        <f t="shared" si="26"/>
        <v>146.328</v>
      </c>
      <c r="K27" s="16">
        <f t="shared" si="26"/>
        <v>347.80799999999999</v>
      </c>
      <c r="L27" s="16">
        <f t="shared" si="26"/>
        <v>0</v>
      </c>
      <c r="M27" s="16">
        <f t="shared" si="26"/>
        <v>0</v>
      </c>
      <c r="N27" s="16">
        <f t="shared" si="26"/>
        <v>50.72</v>
      </c>
      <c r="O27" s="16">
        <f t="shared" si="26"/>
        <v>0</v>
      </c>
      <c r="P27" s="16">
        <f t="shared" si="26"/>
        <v>0</v>
      </c>
      <c r="Q27" s="16">
        <f t="shared" si="26"/>
        <v>0</v>
      </c>
      <c r="R27" s="8">
        <f t="shared" si="1"/>
        <v>20362.552000000007</v>
      </c>
      <c r="S27" s="363">
        <f t="shared" si="3"/>
        <v>6043.2400000000007</v>
      </c>
      <c r="T27" s="363">
        <f t="shared" si="3"/>
        <v>630.80799999999954</v>
      </c>
      <c r="U27" s="363">
        <f t="shared" si="3"/>
        <v>0</v>
      </c>
      <c r="V27" s="363">
        <f t="shared" si="3"/>
        <v>38.095999999999997</v>
      </c>
      <c r="W27" s="363">
        <f t="shared" si="4"/>
        <v>13042.800000000001</v>
      </c>
      <c r="X27" s="363">
        <f t="shared" si="5"/>
        <v>607.60800000000006</v>
      </c>
      <c r="Y27" s="363"/>
      <c r="AA27" s="372"/>
      <c r="AI27" s="363"/>
      <c r="AJ27" s="363"/>
      <c r="AK27" s="363"/>
      <c r="AL27" s="363"/>
      <c r="AM27" s="363"/>
      <c r="AN27" s="363"/>
    </row>
    <row r="28" spans="1:40">
      <c r="A28" s="2" t="s">
        <v>100</v>
      </c>
      <c r="B28" s="16">
        <f t="shared" ref="B28:Q28" si="27">B98*0.8</f>
        <v>412829.95200000005</v>
      </c>
      <c r="C28" s="16">
        <f t="shared" si="27"/>
        <v>95189.280000000028</v>
      </c>
      <c r="D28" s="16">
        <f t="shared" si="27"/>
        <v>9691.8320000000003</v>
      </c>
      <c r="E28" s="16">
        <f t="shared" si="27"/>
        <v>24699.256000000001</v>
      </c>
      <c r="F28" s="16">
        <f t="shared" si="27"/>
        <v>473453.64000000007</v>
      </c>
      <c r="G28" s="16">
        <f t="shared" si="27"/>
        <v>4782.3599999999997</v>
      </c>
      <c r="H28" s="16">
        <f t="shared" si="27"/>
        <v>19159.056000000004</v>
      </c>
      <c r="I28" s="16">
        <f t="shared" si="27"/>
        <v>0</v>
      </c>
      <c r="J28" s="16">
        <f t="shared" si="27"/>
        <v>26569.448</v>
      </c>
      <c r="K28" s="16">
        <f t="shared" si="27"/>
        <v>1739.0400000000002</v>
      </c>
      <c r="L28" s="16">
        <f t="shared" si="27"/>
        <v>0</v>
      </c>
      <c r="M28" s="16">
        <f t="shared" si="27"/>
        <v>0</v>
      </c>
      <c r="N28" s="16">
        <f t="shared" si="27"/>
        <v>684.72</v>
      </c>
      <c r="O28" s="16">
        <f t="shared" si="27"/>
        <v>0</v>
      </c>
      <c r="P28" s="16">
        <f t="shared" si="27"/>
        <v>0</v>
      </c>
      <c r="Q28" s="16">
        <f t="shared" si="27"/>
        <v>0</v>
      </c>
      <c r="R28" s="8">
        <f t="shared" si="1"/>
        <v>1068798.5840000003</v>
      </c>
      <c r="S28" s="363">
        <f t="shared" si="3"/>
        <v>412829.95200000005</v>
      </c>
      <c r="T28" s="363">
        <f t="shared" si="3"/>
        <v>95189.280000000028</v>
      </c>
      <c r="U28" s="363">
        <f t="shared" si="3"/>
        <v>9691.8320000000003</v>
      </c>
      <c r="V28" s="363">
        <f t="shared" si="3"/>
        <v>24699.256000000001</v>
      </c>
      <c r="W28" s="363">
        <f t="shared" si="4"/>
        <v>478236.00000000006</v>
      </c>
      <c r="X28" s="363">
        <f t="shared" si="5"/>
        <v>48152.264000000003</v>
      </c>
      <c r="Y28" s="363"/>
      <c r="AA28" s="372"/>
      <c r="AI28" s="363"/>
      <c r="AJ28" s="363"/>
      <c r="AK28" s="363"/>
      <c r="AL28" s="363"/>
      <c r="AM28" s="363"/>
      <c r="AN28" s="363"/>
    </row>
    <row r="29" spans="1:40">
      <c r="A29" s="2" t="s">
        <v>101</v>
      </c>
      <c r="B29" s="16">
        <f t="shared" ref="B29:Q29" si="28">B99*0.8</f>
        <v>1593098.4160000002</v>
      </c>
      <c r="C29" s="16">
        <f t="shared" si="28"/>
        <v>325029.02399999986</v>
      </c>
      <c r="D29" s="16">
        <f t="shared" si="28"/>
        <v>30339.304</v>
      </c>
      <c r="E29" s="16">
        <f t="shared" si="28"/>
        <v>68904.552000000011</v>
      </c>
      <c r="F29" s="16">
        <f t="shared" si="28"/>
        <v>2680904.0640000002</v>
      </c>
      <c r="G29" s="16">
        <f t="shared" si="28"/>
        <v>35389.464</v>
      </c>
      <c r="H29" s="16">
        <f t="shared" si="28"/>
        <v>92705.504000000001</v>
      </c>
      <c r="I29" s="16">
        <f t="shared" si="28"/>
        <v>6921.8160000000007</v>
      </c>
      <c r="J29" s="16">
        <f t="shared" si="28"/>
        <v>87788.19200000001</v>
      </c>
      <c r="K29" s="16">
        <f t="shared" si="28"/>
        <v>6434.4480000000003</v>
      </c>
      <c r="L29" s="16">
        <f t="shared" si="28"/>
        <v>0</v>
      </c>
      <c r="M29" s="16">
        <f t="shared" si="28"/>
        <v>0</v>
      </c>
      <c r="N29" s="16">
        <f t="shared" si="28"/>
        <v>2814.96</v>
      </c>
      <c r="O29" s="16">
        <f t="shared" si="28"/>
        <v>0</v>
      </c>
      <c r="P29" s="16">
        <f t="shared" si="28"/>
        <v>0</v>
      </c>
      <c r="Q29" s="16">
        <f t="shared" si="28"/>
        <v>0</v>
      </c>
      <c r="R29" s="8">
        <f t="shared" si="1"/>
        <v>4930329.743999999</v>
      </c>
      <c r="S29" s="363">
        <f t="shared" si="3"/>
        <v>1593098.4160000002</v>
      </c>
      <c r="T29" s="363">
        <f t="shared" si="3"/>
        <v>325029.02399999986</v>
      </c>
      <c r="U29" s="363">
        <f t="shared" si="3"/>
        <v>30339.304</v>
      </c>
      <c r="V29" s="363">
        <f t="shared" si="3"/>
        <v>68904.552000000011</v>
      </c>
      <c r="W29" s="363">
        <f t="shared" si="4"/>
        <v>2716293.5280000004</v>
      </c>
      <c r="X29" s="363">
        <f t="shared" si="5"/>
        <v>196664.92</v>
      </c>
      <c r="Y29" s="363"/>
      <c r="AA29" s="372"/>
      <c r="AI29" s="363"/>
      <c r="AJ29" s="363"/>
      <c r="AK29" s="363"/>
      <c r="AL29" s="363"/>
      <c r="AM29" s="363"/>
      <c r="AN29" s="363"/>
    </row>
    <row r="30" spans="1:40">
      <c r="A30" s="2" t="s">
        <v>102</v>
      </c>
      <c r="B30" s="16">
        <f t="shared" ref="B30:Q30" si="29">B100*0.8</f>
        <v>48740.528000000006</v>
      </c>
      <c r="C30" s="16">
        <f t="shared" si="29"/>
        <v>16579.735999999986</v>
      </c>
      <c r="D30" s="16">
        <f t="shared" si="29"/>
        <v>769.29600000000005</v>
      </c>
      <c r="E30" s="16">
        <f t="shared" si="29"/>
        <v>772.54399999999998</v>
      </c>
      <c r="F30" s="16">
        <f t="shared" si="29"/>
        <v>51388.632000000005</v>
      </c>
      <c r="G30" s="16">
        <f t="shared" si="29"/>
        <v>2173.8000000000002</v>
      </c>
      <c r="H30" s="16">
        <f t="shared" si="29"/>
        <v>1559.3119999999999</v>
      </c>
      <c r="I30" s="16">
        <f t="shared" si="29"/>
        <v>0</v>
      </c>
      <c r="J30" s="16">
        <f t="shared" si="29"/>
        <v>2139.4719999999998</v>
      </c>
      <c r="K30" s="16">
        <f t="shared" si="29"/>
        <v>86.951999999999998</v>
      </c>
      <c r="L30" s="16">
        <f t="shared" si="29"/>
        <v>0</v>
      </c>
      <c r="M30" s="16">
        <f t="shared" si="29"/>
        <v>0</v>
      </c>
      <c r="N30" s="16">
        <f t="shared" si="29"/>
        <v>25.36</v>
      </c>
      <c r="O30" s="16">
        <f t="shared" si="29"/>
        <v>0</v>
      </c>
      <c r="P30" s="16">
        <f t="shared" si="29"/>
        <v>0</v>
      </c>
      <c r="Q30" s="16">
        <f t="shared" si="29"/>
        <v>0</v>
      </c>
      <c r="R30" s="8">
        <f t="shared" si="1"/>
        <v>124235.63200000001</v>
      </c>
      <c r="S30" s="363">
        <f t="shared" si="3"/>
        <v>48740.528000000006</v>
      </c>
      <c r="T30" s="363">
        <f t="shared" si="3"/>
        <v>16579.735999999986</v>
      </c>
      <c r="U30" s="363">
        <f t="shared" si="3"/>
        <v>769.29600000000005</v>
      </c>
      <c r="V30" s="363">
        <f t="shared" si="3"/>
        <v>772.54399999999998</v>
      </c>
      <c r="W30" s="363">
        <f t="shared" si="4"/>
        <v>53562.432000000008</v>
      </c>
      <c r="X30" s="363">
        <f t="shared" si="5"/>
        <v>3811.096</v>
      </c>
      <c r="Y30" s="363"/>
      <c r="AA30" s="372"/>
      <c r="AI30" s="363"/>
      <c r="AJ30" s="363"/>
      <c r="AK30" s="363"/>
      <c r="AL30" s="363"/>
      <c r="AM30" s="363"/>
      <c r="AN30" s="363"/>
    </row>
    <row r="31" spans="1:40">
      <c r="A31" s="2" t="s">
        <v>103</v>
      </c>
      <c r="B31" s="16">
        <f t="shared" ref="B31:Q31" si="30">B101*0.8</f>
        <v>29315.216</v>
      </c>
      <c r="C31" s="16">
        <f t="shared" si="30"/>
        <v>4467.2320000000063</v>
      </c>
      <c r="D31" s="16">
        <f t="shared" si="30"/>
        <v>658</v>
      </c>
      <c r="E31" s="16">
        <f t="shared" si="30"/>
        <v>1259.1040000000003</v>
      </c>
      <c r="F31" s="16">
        <f t="shared" si="30"/>
        <v>41389.152000000002</v>
      </c>
      <c r="G31" s="16">
        <f t="shared" si="30"/>
        <v>1825.992</v>
      </c>
      <c r="H31" s="16">
        <f t="shared" si="30"/>
        <v>1119.3839999999998</v>
      </c>
      <c r="I31" s="16">
        <f t="shared" si="30"/>
        <v>0</v>
      </c>
      <c r="J31" s="16">
        <f t="shared" si="30"/>
        <v>1241.2640000000001</v>
      </c>
      <c r="K31" s="16">
        <f t="shared" si="30"/>
        <v>0</v>
      </c>
      <c r="L31" s="16">
        <f t="shared" si="30"/>
        <v>0</v>
      </c>
      <c r="M31" s="16">
        <f t="shared" si="30"/>
        <v>0</v>
      </c>
      <c r="N31" s="16">
        <f t="shared" si="30"/>
        <v>0</v>
      </c>
      <c r="O31" s="16">
        <f t="shared" si="30"/>
        <v>0</v>
      </c>
      <c r="P31" s="16">
        <f t="shared" si="30"/>
        <v>0</v>
      </c>
      <c r="Q31" s="16">
        <f t="shared" si="30"/>
        <v>0</v>
      </c>
      <c r="R31" s="8">
        <f t="shared" si="1"/>
        <v>81275.343999999997</v>
      </c>
      <c r="S31" s="363">
        <f t="shared" si="3"/>
        <v>29315.216</v>
      </c>
      <c r="T31" s="363">
        <f t="shared" si="3"/>
        <v>4467.2320000000063</v>
      </c>
      <c r="U31" s="363">
        <f t="shared" si="3"/>
        <v>658</v>
      </c>
      <c r="V31" s="363">
        <f t="shared" si="3"/>
        <v>1259.1040000000003</v>
      </c>
      <c r="W31" s="363">
        <f t="shared" si="4"/>
        <v>43215.144</v>
      </c>
      <c r="X31" s="363">
        <f t="shared" si="5"/>
        <v>2360.6480000000001</v>
      </c>
      <c r="Y31" s="363"/>
      <c r="AA31" s="372"/>
      <c r="AI31" s="363"/>
      <c r="AJ31" s="363"/>
      <c r="AK31" s="363"/>
      <c r="AL31" s="363"/>
      <c r="AM31" s="363"/>
      <c r="AN31" s="363"/>
    </row>
    <row r="32" spans="1:40">
      <c r="A32" s="4" t="s">
        <v>37</v>
      </c>
      <c r="B32" s="5">
        <f t="shared" ref="B32:R32" si="31">SUM(B5:B31)</f>
        <v>5487157.4160000002</v>
      </c>
      <c r="C32" s="5">
        <f t="shared" si="31"/>
        <v>1132395.3039999998</v>
      </c>
      <c r="D32" s="5">
        <f t="shared" si="31"/>
        <v>113487.63199999998</v>
      </c>
      <c r="E32" s="5">
        <f t="shared" si="31"/>
        <v>204553.67200000002</v>
      </c>
      <c r="F32" s="5">
        <f t="shared" si="31"/>
        <v>7496079.6320000002</v>
      </c>
      <c r="G32" s="5">
        <f t="shared" si="31"/>
        <v>156687.50400000002</v>
      </c>
      <c r="H32" s="5">
        <f t="shared" si="31"/>
        <v>249407.728</v>
      </c>
      <c r="I32" s="5">
        <f t="shared" si="31"/>
        <v>24728.520000000004</v>
      </c>
      <c r="J32" s="5">
        <f t="shared" si="31"/>
        <v>289234.21600000013</v>
      </c>
      <c r="K32" s="5">
        <f t="shared" si="31"/>
        <v>25911.696000000004</v>
      </c>
      <c r="L32" s="5">
        <f t="shared" si="31"/>
        <v>1043.424</v>
      </c>
      <c r="M32" s="5">
        <f t="shared" si="31"/>
        <v>4383.1280000000006</v>
      </c>
      <c r="N32" s="5">
        <f t="shared" si="31"/>
        <v>9253.8960000000025</v>
      </c>
      <c r="O32" s="5">
        <f>SUM(O5:O31)</f>
        <v>0</v>
      </c>
      <c r="P32" s="5">
        <f t="shared" si="31"/>
        <v>143.16000000000003</v>
      </c>
      <c r="Q32" s="5">
        <f t="shared" si="31"/>
        <v>1721</v>
      </c>
      <c r="R32" s="5">
        <f t="shared" si="31"/>
        <v>15196187.927999999</v>
      </c>
      <c r="S32" s="363">
        <f t="shared" ref="S32:X32" si="32">SUM(S5:S31)</f>
        <v>5487157.4160000002</v>
      </c>
      <c r="T32" s="363">
        <f t="shared" si="32"/>
        <v>1132395.3039999998</v>
      </c>
      <c r="U32" s="363">
        <f t="shared" si="32"/>
        <v>113487.63199999998</v>
      </c>
      <c r="V32" s="363">
        <f t="shared" si="32"/>
        <v>204553.67200000002</v>
      </c>
      <c r="W32" s="363">
        <f t="shared" si="32"/>
        <v>7652767.1360000027</v>
      </c>
      <c r="X32" s="363">
        <f t="shared" si="32"/>
        <v>605826.76800000016</v>
      </c>
      <c r="Y32" s="363"/>
      <c r="AA32" s="372"/>
      <c r="AI32" s="363"/>
      <c r="AJ32" s="363"/>
      <c r="AK32" s="363"/>
      <c r="AL32" s="363"/>
      <c r="AM32" s="363"/>
      <c r="AN32" s="363"/>
    </row>
    <row r="33" spans="1:40">
      <c r="A33" s="351" t="s">
        <v>48</v>
      </c>
      <c r="B33" s="352"/>
      <c r="C33" s="353"/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3"/>
      <c r="Q33" s="353"/>
      <c r="R33" s="352"/>
      <c r="Y33" s="363"/>
      <c r="AA33" s="372"/>
    </row>
    <row r="34" spans="1:40">
      <c r="A34" s="364"/>
      <c r="B34" s="364"/>
      <c r="C34" s="364"/>
      <c r="D34" s="364"/>
      <c r="E34" s="364"/>
      <c r="F34" s="364"/>
      <c r="G34" s="364"/>
      <c r="H34" s="364"/>
      <c r="I34" s="364"/>
      <c r="J34" s="364"/>
      <c r="K34" s="364"/>
      <c r="L34" s="364"/>
      <c r="M34" s="364"/>
      <c r="N34" s="364"/>
      <c r="O34" s="521"/>
      <c r="P34" s="364"/>
      <c r="Q34" s="364"/>
      <c r="R34" s="521"/>
      <c r="Y34" s="363"/>
      <c r="AA34" s="372"/>
    </row>
    <row r="35" spans="1:40">
      <c r="A35" s="358"/>
      <c r="B35" s="358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60"/>
      <c r="AA35" s="372"/>
    </row>
    <row r="36" spans="1:40">
      <c r="A36" s="367"/>
      <c r="B36" s="367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9"/>
      <c r="AA36" s="372"/>
    </row>
    <row r="37" spans="1:40" ht="46.5">
      <c r="A37" s="837" t="s">
        <v>64</v>
      </c>
      <c r="B37" s="838"/>
      <c r="C37" s="838"/>
      <c r="D37" s="838"/>
      <c r="E37" s="838"/>
      <c r="F37" s="838"/>
      <c r="G37" s="838"/>
      <c r="H37" s="838"/>
      <c r="I37" s="838"/>
      <c r="J37" s="838"/>
      <c r="K37" s="838"/>
      <c r="L37" s="838"/>
      <c r="M37" s="838"/>
      <c r="N37" s="838"/>
      <c r="O37" s="838"/>
      <c r="P37" s="838"/>
      <c r="Q37" s="838"/>
      <c r="R37" s="839"/>
      <c r="AA37" s="372"/>
    </row>
    <row r="38" spans="1:40" s="372" customFormat="1" ht="35.1" customHeight="1">
      <c r="A38" s="835" t="s">
        <v>33</v>
      </c>
      <c r="B38" s="833" t="s">
        <v>27</v>
      </c>
      <c r="C38" s="834"/>
      <c r="D38" s="833" t="s">
        <v>29</v>
      </c>
      <c r="E38" s="834"/>
      <c r="F38" s="835" t="s">
        <v>28</v>
      </c>
      <c r="G38" s="835" t="s">
        <v>36</v>
      </c>
      <c r="H38" s="835" t="s">
        <v>30</v>
      </c>
      <c r="I38" s="835" t="s">
        <v>31</v>
      </c>
      <c r="J38" s="835" t="s">
        <v>41</v>
      </c>
      <c r="K38" s="835" t="s">
        <v>35</v>
      </c>
      <c r="L38" s="835" t="s">
        <v>40</v>
      </c>
      <c r="M38" s="835" t="s">
        <v>42</v>
      </c>
      <c r="N38" s="835" t="s">
        <v>45</v>
      </c>
      <c r="O38" s="835" t="s">
        <v>279</v>
      </c>
      <c r="P38" s="833" t="s">
        <v>49</v>
      </c>
      <c r="Q38" s="834"/>
      <c r="R38" s="835" t="s">
        <v>34</v>
      </c>
      <c r="S38" s="357"/>
      <c r="T38" s="357"/>
      <c r="U38" s="357"/>
      <c r="V38" s="357"/>
      <c r="W38" s="357"/>
      <c r="X38" s="357"/>
      <c r="AI38" s="357"/>
      <c r="AJ38" s="357"/>
      <c r="AK38" s="357"/>
      <c r="AL38" s="357"/>
      <c r="AM38" s="357"/>
      <c r="AN38" s="357"/>
    </row>
    <row r="39" spans="1:40" s="372" customFormat="1" ht="35.1" customHeight="1">
      <c r="A39" s="836"/>
      <c r="B39" s="361" t="s">
        <v>43</v>
      </c>
      <c r="C39" s="361" t="s">
        <v>44</v>
      </c>
      <c r="D39" s="361" t="s">
        <v>43</v>
      </c>
      <c r="E39" s="361" t="s">
        <v>44</v>
      </c>
      <c r="F39" s="836"/>
      <c r="G39" s="836"/>
      <c r="H39" s="836"/>
      <c r="I39" s="836"/>
      <c r="J39" s="836"/>
      <c r="K39" s="836"/>
      <c r="L39" s="836"/>
      <c r="M39" s="836"/>
      <c r="N39" s="836"/>
      <c r="O39" s="836"/>
      <c r="P39" s="725" t="s">
        <v>50</v>
      </c>
      <c r="Q39" s="725" t="s">
        <v>51</v>
      </c>
      <c r="R39" s="836"/>
      <c r="S39" s="372" t="s">
        <v>173</v>
      </c>
      <c r="T39" s="372" t="s">
        <v>291</v>
      </c>
      <c r="U39" s="372" t="s">
        <v>174</v>
      </c>
      <c r="V39" s="372" t="s">
        <v>292</v>
      </c>
      <c r="W39" s="372" t="s">
        <v>28</v>
      </c>
      <c r="X39" s="372" t="s">
        <v>175</v>
      </c>
    </row>
    <row r="40" spans="1:40">
      <c r="A40" s="2" t="s">
        <v>77</v>
      </c>
      <c r="B40" s="16">
        <f t="shared" ref="B40:Q40" si="33">B75*0.2</f>
        <v>4701.32</v>
      </c>
      <c r="C40" s="16">
        <f t="shared" si="33"/>
        <v>1382.9200000000005</v>
      </c>
      <c r="D40" s="16">
        <f t="shared" si="33"/>
        <v>202.89600000000002</v>
      </c>
      <c r="E40" s="16">
        <f t="shared" si="33"/>
        <v>353.53999999999996</v>
      </c>
      <c r="F40" s="16">
        <f t="shared" si="33"/>
        <v>6803.9940000000006</v>
      </c>
      <c r="G40" s="16">
        <f t="shared" si="33"/>
        <v>413.02199999999993</v>
      </c>
      <c r="H40" s="16">
        <f t="shared" si="33"/>
        <v>200.464</v>
      </c>
      <c r="I40" s="16">
        <f t="shared" si="33"/>
        <v>0</v>
      </c>
      <c r="J40" s="16">
        <f t="shared" si="33"/>
        <v>382.55799999999999</v>
      </c>
      <c r="K40" s="16">
        <f t="shared" si="33"/>
        <v>21.738</v>
      </c>
      <c r="L40" s="16">
        <f t="shared" si="33"/>
        <v>0</v>
      </c>
      <c r="M40" s="16">
        <f t="shared" si="33"/>
        <v>0</v>
      </c>
      <c r="N40" s="16">
        <f t="shared" si="33"/>
        <v>0</v>
      </c>
      <c r="O40" s="16">
        <f t="shared" si="33"/>
        <v>0</v>
      </c>
      <c r="P40" s="16">
        <f t="shared" si="33"/>
        <v>0</v>
      </c>
      <c r="Q40" s="16">
        <f t="shared" si="33"/>
        <v>0</v>
      </c>
      <c r="R40" s="8">
        <f t="shared" ref="R40:R66" si="34">SUM(B40:Q40)</f>
        <v>14462.451999999999</v>
      </c>
      <c r="S40" s="363">
        <f>B40</f>
        <v>4701.32</v>
      </c>
      <c r="T40" s="363">
        <f>C40</f>
        <v>1382.9200000000005</v>
      </c>
      <c r="U40" s="363">
        <f>D40</f>
        <v>202.89600000000002</v>
      </c>
      <c r="V40" s="363">
        <f>E40</f>
        <v>353.53999999999996</v>
      </c>
      <c r="W40" s="363">
        <f>F40+G40</f>
        <v>7217.0160000000005</v>
      </c>
      <c r="X40" s="363">
        <f>SUM(H40:Q40)</f>
        <v>604.76</v>
      </c>
      <c r="AA40" s="372"/>
      <c r="AI40" s="363"/>
      <c r="AJ40" s="363"/>
      <c r="AK40" s="363"/>
      <c r="AL40" s="363"/>
      <c r="AM40" s="363"/>
      <c r="AN40" s="363"/>
    </row>
    <row r="41" spans="1:40">
      <c r="A41" s="2" t="s">
        <v>78</v>
      </c>
      <c r="B41" s="16">
        <f t="shared" ref="B41:Q41" si="35">B76*0.2</f>
        <v>14899.770000000002</v>
      </c>
      <c r="C41" s="16">
        <f t="shared" si="35"/>
        <v>3759.8260000000009</v>
      </c>
      <c r="D41" s="16">
        <f t="shared" si="35"/>
        <v>93.838000000000008</v>
      </c>
      <c r="E41" s="16">
        <f t="shared" si="35"/>
        <v>0</v>
      </c>
      <c r="F41" s="16">
        <f t="shared" si="35"/>
        <v>13173.228000000001</v>
      </c>
      <c r="G41" s="16">
        <f t="shared" si="35"/>
        <v>652.14</v>
      </c>
      <c r="H41" s="16">
        <f t="shared" si="35"/>
        <v>897.51400000000012</v>
      </c>
      <c r="I41" s="16">
        <f t="shared" si="35"/>
        <v>0</v>
      </c>
      <c r="J41" s="16">
        <f t="shared" si="35"/>
        <v>759.10600000000011</v>
      </c>
      <c r="K41" s="16">
        <f t="shared" si="35"/>
        <v>21.738</v>
      </c>
      <c r="L41" s="16">
        <f t="shared" si="35"/>
        <v>0</v>
      </c>
      <c r="M41" s="16">
        <f t="shared" si="35"/>
        <v>0</v>
      </c>
      <c r="N41" s="16">
        <f t="shared" si="35"/>
        <v>19.02</v>
      </c>
      <c r="O41" s="16">
        <f t="shared" si="35"/>
        <v>0</v>
      </c>
      <c r="P41" s="16">
        <f t="shared" si="35"/>
        <v>0</v>
      </c>
      <c r="Q41" s="16">
        <f t="shared" si="35"/>
        <v>0</v>
      </c>
      <c r="R41" s="8">
        <f t="shared" si="34"/>
        <v>34276.18</v>
      </c>
      <c r="S41" s="363">
        <f t="shared" ref="S41:V66" si="36">B41</f>
        <v>14899.770000000002</v>
      </c>
      <c r="T41" s="363">
        <f t="shared" si="36"/>
        <v>3759.8260000000009</v>
      </c>
      <c r="U41" s="363">
        <f t="shared" si="36"/>
        <v>93.838000000000008</v>
      </c>
      <c r="V41" s="363">
        <f t="shared" si="36"/>
        <v>0</v>
      </c>
      <c r="W41" s="363">
        <f t="shared" ref="W41:W66" si="37">F41+G41</f>
        <v>13825.368</v>
      </c>
      <c r="X41" s="363">
        <f t="shared" ref="X41:X66" si="38">SUM(H41:Q41)</f>
        <v>1697.3780000000004</v>
      </c>
      <c r="AA41" s="372"/>
      <c r="AI41" s="363"/>
      <c r="AJ41" s="363"/>
      <c r="AK41" s="363"/>
      <c r="AL41" s="363"/>
      <c r="AM41" s="363"/>
      <c r="AN41" s="363"/>
    </row>
    <row r="42" spans="1:40">
      <c r="A42" s="2" t="s">
        <v>79</v>
      </c>
      <c r="B42" s="16">
        <f t="shared" ref="B42:Q42" si="39">B77*0.2</f>
        <v>5089.6980000000003</v>
      </c>
      <c r="C42" s="16">
        <f t="shared" si="39"/>
        <v>1136.8159999999996</v>
      </c>
      <c r="D42" s="16">
        <f t="shared" si="39"/>
        <v>362.31799999999998</v>
      </c>
      <c r="E42" s="16">
        <f t="shared" si="39"/>
        <v>182.37400000000002</v>
      </c>
      <c r="F42" s="16">
        <f t="shared" si="39"/>
        <v>8843.018</v>
      </c>
      <c r="G42" s="16">
        <f t="shared" si="39"/>
        <v>695.61599999999999</v>
      </c>
      <c r="H42" s="16">
        <f t="shared" si="39"/>
        <v>134.36800000000002</v>
      </c>
      <c r="I42" s="16">
        <f t="shared" si="39"/>
        <v>0</v>
      </c>
      <c r="J42" s="16">
        <f t="shared" si="39"/>
        <v>301.99200000000002</v>
      </c>
      <c r="K42" s="16">
        <f t="shared" si="39"/>
        <v>195.64200000000002</v>
      </c>
      <c r="L42" s="16">
        <f t="shared" si="39"/>
        <v>0</v>
      </c>
      <c r="M42" s="16">
        <f t="shared" si="39"/>
        <v>0</v>
      </c>
      <c r="N42" s="16">
        <f t="shared" si="39"/>
        <v>6.34</v>
      </c>
      <c r="O42" s="16">
        <f t="shared" si="39"/>
        <v>0</v>
      </c>
      <c r="P42" s="16">
        <f t="shared" si="39"/>
        <v>0</v>
      </c>
      <c r="Q42" s="16">
        <f t="shared" si="39"/>
        <v>0</v>
      </c>
      <c r="R42" s="8">
        <f t="shared" si="34"/>
        <v>16948.181999999997</v>
      </c>
      <c r="S42" s="363">
        <f t="shared" si="36"/>
        <v>5089.6980000000003</v>
      </c>
      <c r="T42" s="363">
        <f t="shared" si="36"/>
        <v>1136.8159999999996</v>
      </c>
      <c r="U42" s="363">
        <f t="shared" si="36"/>
        <v>362.31799999999998</v>
      </c>
      <c r="V42" s="363">
        <f t="shared" si="36"/>
        <v>182.37400000000002</v>
      </c>
      <c r="W42" s="363">
        <f t="shared" si="37"/>
        <v>9538.634</v>
      </c>
      <c r="X42" s="363">
        <f t="shared" si="38"/>
        <v>638.3420000000001</v>
      </c>
      <c r="AA42" s="372"/>
      <c r="AI42" s="363"/>
      <c r="AJ42" s="363"/>
      <c r="AK42" s="363"/>
      <c r="AL42" s="363"/>
      <c r="AM42" s="363"/>
      <c r="AN42" s="363"/>
    </row>
    <row r="43" spans="1:40">
      <c r="A43" s="2" t="s">
        <v>80</v>
      </c>
      <c r="B43" s="16">
        <f t="shared" ref="B43:Q43" si="40">B78*0.2</f>
        <v>16812.070000000003</v>
      </c>
      <c r="C43" s="16">
        <f t="shared" si="40"/>
        <v>2997.99</v>
      </c>
      <c r="D43" s="16">
        <f t="shared" si="40"/>
        <v>264.18600000000004</v>
      </c>
      <c r="E43" s="16">
        <f t="shared" si="40"/>
        <v>411.63799999999992</v>
      </c>
      <c r="F43" s="16">
        <f t="shared" si="40"/>
        <v>16238.286</v>
      </c>
      <c r="G43" s="16">
        <f t="shared" si="40"/>
        <v>630.40200000000004</v>
      </c>
      <c r="H43" s="16">
        <f t="shared" si="40"/>
        <v>467.30400000000003</v>
      </c>
      <c r="I43" s="16">
        <f t="shared" si="40"/>
        <v>0</v>
      </c>
      <c r="J43" s="16">
        <f t="shared" si="40"/>
        <v>727.49600000000009</v>
      </c>
      <c r="K43" s="16">
        <f t="shared" si="40"/>
        <v>43.475999999999999</v>
      </c>
      <c r="L43" s="16">
        <f t="shared" si="40"/>
        <v>0</v>
      </c>
      <c r="M43" s="16">
        <f t="shared" si="40"/>
        <v>215.78200000000004</v>
      </c>
      <c r="N43" s="16">
        <f t="shared" si="40"/>
        <v>12.68</v>
      </c>
      <c r="O43" s="16">
        <f t="shared" si="40"/>
        <v>0</v>
      </c>
      <c r="P43" s="16">
        <f t="shared" si="40"/>
        <v>0</v>
      </c>
      <c r="Q43" s="16">
        <f t="shared" si="40"/>
        <v>0</v>
      </c>
      <c r="R43" s="8">
        <f t="shared" si="34"/>
        <v>38821.310000000005</v>
      </c>
      <c r="S43" s="363">
        <f t="shared" si="36"/>
        <v>16812.070000000003</v>
      </c>
      <c r="T43" s="363">
        <f t="shared" si="36"/>
        <v>2997.99</v>
      </c>
      <c r="U43" s="363">
        <f t="shared" si="36"/>
        <v>264.18600000000004</v>
      </c>
      <c r="V43" s="363">
        <f t="shared" si="36"/>
        <v>411.63799999999992</v>
      </c>
      <c r="W43" s="363">
        <f t="shared" si="37"/>
        <v>16868.688000000002</v>
      </c>
      <c r="X43" s="363">
        <f t="shared" si="38"/>
        <v>1466.7380000000005</v>
      </c>
      <c r="AA43" s="372"/>
      <c r="AI43" s="363"/>
      <c r="AJ43" s="363"/>
      <c r="AK43" s="363"/>
      <c r="AL43" s="363"/>
      <c r="AM43" s="363"/>
      <c r="AN43" s="363"/>
    </row>
    <row r="44" spans="1:40">
      <c r="A44" s="2" t="s">
        <v>81</v>
      </c>
      <c r="B44" s="16">
        <f t="shared" ref="B44:Q44" si="41">B79*0.2</f>
        <v>42762.436000000002</v>
      </c>
      <c r="C44" s="16">
        <f t="shared" si="41"/>
        <v>6519.8840000000027</v>
      </c>
      <c r="D44" s="16">
        <f t="shared" si="41"/>
        <v>627.21</v>
      </c>
      <c r="E44" s="16">
        <f t="shared" si="41"/>
        <v>1028.7940000000001</v>
      </c>
      <c r="F44" s="16">
        <f t="shared" si="41"/>
        <v>43432.524000000005</v>
      </c>
      <c r="G44" s="16">
        <f t="shared" si="41"/>
        <v>1434.7080000000003</v>
      </c>
      <c r="H44" s="16">
        <f t="shared" si="41"/>
        <v>1368.4240000000002</v>
      </c>
      <c r="I44" s="16">
        <f t="shared" si="41"/>
        <v>0</v>
      </c>
      <c r="J44" s="16">
        <f t="shared" si="41"/>
        <v>1662.4579999999999</v>
      </c>
      <c r="K44" s="16">
        <f t="shared" si="41"/>
        <v>326.07</v>
      </c>
      <c r="L44" s="16">
        <f t="shared" si="41"/>
        <v>43.475999999999999</v>
      </c>
      <c r="M44" s="16">
        <f t="shared" si="41"/>
        <v>0</v>
      </c>
      <c r="N44" s="16">
        <f t="shared" si="41"/>
        <v>57.06</v>
      </c>
      <c r="O44" s="16">
        <f t="shared" si="41"/>
        <v>0</v>
      </c>
      <c r="P44" s="16">
        <f t="shared" si="41"/>
        <v>0</v>
      </c>
      <c r="Q44" s="16">
        <f t="shared" si="41"/>
        <v>0</v>
      </c>
      <c r="R44" s="8">
        <f t="shared" si="34"/>
        <v>99263.044000000009</v>
      </c>
      <c r="S44" s="363">
        <f t="shared" si="36"/>
        <v>42762.436000000002</v>
      </c>
      <c r="T44" s="363">
        <f t="shared" si="36"/>
        <v>6519.8840000000027</v>
      </c>
      <c r="U44" s="363">
        <f t="shared" si="36"/>
        <v>627.21</v>
      </c>
      <c r="V44" s="363">
        <f t="shared" si="36"/>
        <v>1028.7940000000001</v>
      </c>
      <c r="W44" s="363">
        <f t="shared" si="37"/>
        <v>44867.232000000004</v>
      </c>
      <c r="X44" s="363">
        <f t="shared" si="38"/>
        <v>3457.4880000000003</v>
      </c>
      <c r="AA44" s="372"/>
      <c r="AI44" s="363"/>
      <c r="AJ44" s="363"/>
      <c r="AK44" s="363"/>
      <c r="AL44" s="363"/>
      <c r="AM44" s="363"/>
      <c r="AN44" s="363"/>
    </row>
    <row r="45" spans="1:40">
      <c r="A45" s="2" t="s">
        <v>82</v>
      </c>
      <c r="B45" s="16">
        <f t="shared" ref="B45:Q45" si="42">B80*0.2</f>
        <v>32432.640000000003</v>
      </c>
      <c r="C45" s="16">
        <f t="shared" si="42"/>
        <v>12671.953999999998</v>
      </c>
      <c r="D45" s="16">
        <f t="shared" si="42"/>
        <v>456.08600000000001</v>
      </c>
      <c r="E45" s="16">
        <f t="shared" si="42"/>
        <v>852.20999999999992</v>
      </c>
      <c r="F45" s="16">
        <f t="shared" si="42"/>
        <v>33759.114000000001</v>
      </c>
      <c r="G45" s="16">
        <f t="shared" si="42"/>
        <v>999.94799999999998</v>
      </c>
      <c r="H45" s="16">
        <f t="shared" si="42"/>
        <v>2045.8880000000001</v>
      </c>
      <c r="I45" s="16">
        <f t="shared" si="42"/>
        <v>0</v>
      </c>
      <c r="J45" s="16">
        <f t="shared" si="42"/>
        <v>3083.6780000000003</v>
      </c>
      <c r="K45" s="16">
        <f t="shared" si="42"/>
        <v>65.213999999999999</v>
      </c>
      <c r="L45" s="16">
        <f t="shared" si="42"/>
        <v>0</v>
      </c>
      <c r="M45" s="16">
        <f t="shared" si="42"/>
        <v>88.766000000000005</v>
      </c>
      <c r="N45" s="16">
        <f t="shared" si="42"/>
        <v>57.06</v>
      </c>
      <c r="O45" s="16">
        <f t="shared" si="42"/>
        <v>0</v>
      </c>
      <c r="P45" s="16">
        <f t="shared" si="42"/>
        <v>0</v>
      </c>
      <c r="Q45" s="16">
        <f t="shared" si="42"/>
        <v>0</v>
      </c>
      <c r="R45" s="8">
        <f t="shared" si="34"/>
        <v>86512.558000000019</v>
      </c>
      <c r="S45" s="363">
        <f t="shared" si="36"/>
        <v>32432.640000000003</v>
      </c>
      <c r="T45" s="363">
        <f t="shared" si="36"/>
        <v>12671.953999999998</v>
      </c>
      <c r="U45" s="363">
        <f t="shared" si="36"/>
        <v>456.08600000000001</v>
      </c>
      <c r="V45" s="363">
        <f t="shared" si="36"/>
        <v>852.20999999999992</v>
      </c>
      <c r="W45" s="363">
        <f t="shared" si="37"/>
        <v>34759.061999999998</v>
      </c>
      <c r="X45" s="363">
        <f t="shared" si="38"/>
        <v>5340.6060000000007</v>
      </c>
      <c r="AA45" s="372"/>
      <c r="AI45" s="363"/>
      <c r="AJ45" s="363"/>
      <c r="AK45" s="363"/>
      <c r="AL45" s="363"/>
      <c r="AM45" s="363"/>
      <c r="AN45" s="363"/>
    </row>
    <row r="46" spans="1:40">
      <c r="A46" s="2" t="s">
        <v>83</v>
      </c>
      <c r="B46" s="16">
        <f t="shared" ref="B46:Q46" si="43">B81*0.2</f>
        <v>46279.948000000004</v>
      </c>
      <c r="C46" s="16">
        <f t="shared" si="43"/>
        <v>14751.466000000004</v>
      </c>
      <c r="D46" s="16">
        <f t="shared" si="43"/>
        <v>743.73</v>
      </c>
      <c r="E46" s="16">
        <f t="shared" si="43"/>
        <v>1062.4900000000002</v>
      </c>
      <c r="F46" s="16">
        <f t="shared" si="43"/>
        <v>32867.856</v>
      </c>
      <c r="G46" s="16">
        <f t="shared" si="43"/>
        <v>1043.424</v>
      </c>
      <c r="H46" s="16">
        <f t="shared" si="43"/>
        <v>2427.7420000000002</v>
      </c>
      <c r="I46" s="16">
        <f t="shared" si="43"/>
        <v>58.77000000000001</v>
      </c>
      <c r="J46" s="16">
        <f t="shared" si="43"/>
        <v>3593.1260000000002</v>
      </c>
      <c r="K46" s="16">
        <f t="shared" si="43"/>
        <v>369.54600000000005</v>
      </c>
      <c r="L46" s="16">
        <f t="shared" si="43"/>
        <v>0</v>
      </c>
      <c r="M46" s="16">
        <f t="shared" si="43"/>
        <v>462.8</v>
      </c>
      <c r="N46" s="16">
        <f t="shared" si="43"/>
        <v>145.82000000000002</v>
      </c>
      <c r="O46" s="16">
        <f t="shared" si="43"/>
        <v>0</v>
      </c>
      <c r="P46" s="16">
        <f t="shared" si="43"/>
        <v>0</v>
      </c>
      <c r="Q46" s="16">
        <f t="shared" si="43"/>
        <v>0</v>
      </c>
      <c r="R46" s="8">
        <f t="shared" si="34"/>
        <v>103806.71800000002</v>
      </c>
      <c r="S46" s="363">
        <f t="shared" si="36"/>
        <v>46279.948000000004</v>
      </c>
      <c r="T46" s="363">
        <f t="shared" si="36"/>
        <v>14751.466000000004</v>
      </c>
      <c r="U46" s="363">
        <f t="shared" si="36"/>
        <v>743.73</v>
      </c>
      <c r="V46" s="363">
        <f t="shared" si="36"/>
        <v>1062.4900000000002</v>
      </c>
      <c r="W46" s="363">
        <f t="shared" si="37"/>
        <v>33911.279999999999</v>
      </c>
      <c r="X46" s="363">
        <f t="shared" si="38"/>
        <v>7057.804000000001</v>
      </c>
      <c r="AA46" s="372"/>
      <c r="AI46" s="363"/>
      <c r="AJ46" s="363"/>
      <c r="AK46" s="363"/>
      <c r="AL46" s="363"/>
      <c r="AM46" s="363"/>
      <c r="AN46" s="363"/>
    </row>
    <row r="47" spans="1:40">
      <c r="A47" s="2" t="s">
        <v>84</v>
      </c>
      <c r="B47" s="16">
        <f t="shared" ref="B47:Q47" si="44">B82*0.2</f>
        <v>29479.72</v>
      </c>
      <c r="C47" s="16">
        <f t="shared" si="44"/>
        <v>3908.3940000000002</v>
      </c>
      <c r="D47" s="16">
        <f t="shared" si="44"/>
        <v>548.23599999999999</v>
      </c>
      <c r="E47" s="16">
        <f t="shared" si="44"/>
        <v>835.19200000000023</v>
      </c>
      <c r="F47" s="16">
        <f t="shared" si="44"/>
        <v>33433.044000000002</v>
      </c>
      <c r="G47" s="16">
        <f t="shared" si="44"/>
        <v>869.5200000000001</v>
      </c>
      <c r="H47" s="16">
        <f t="shared" si="44"/>
        <v>819.33400000000006</v>
      </c>
      <c r="I47" s="16">
        <f t="shared" si="44"/>
        <v>245.68000000000004</v>
      </c>
      <c r="J47" s="16">
        <f t="shared" si="44"/>
        <v>1060.0520000000001</v>
      </c>
      <c r="K47" s="16">
        <f t="shared" si="44"/>
        <v>347.80799999999999</v>
      </c>
      <c r="L47" s="16">
        <f t="shared" si="44"/>
        <v>0</v>
      </c>
      <c r="M47" s="16">
        <f t="shared" si="44"/>
        <v>0</v>
      </c>
      <c r="N47" s="16">
        <f t="shared" si="44"/>
        <v>19.02</v>
      </c>
      <c r="O47" s="16">
        <f t="shared" si="44"/>
        <v>0</v>
      </c>
      <c r="P47" s="16">
        <f t="shared" si="44"/>
        <v>0</v>
      </c>
      <c r="Q47" s="16">
        <f t="shared" si="44"/>
        <v>0</v>
      </c>
      <c r="R47" s="8">
        <f t="shared" si="34"/>
        <v>71566.000000000015</v>
      </c>
      <c r="S47" s="363">
        <f t="shared" si="36"/>
        <v>29479.72</v>
      </c>
      <c r="T47" s="363">
        <f t="shared" si="36"/>
        <v>3908.3940000000002</v>
      </c>
      <c r="U47" s="363">
        <f t="shared" si="36"/>
        <v>548.23599999999999</v>
      </c>
      <c r="V47" s="363">
        <f t="shared" si="36"/>
        <v>835.19200000000023</v>
      </c>
      <c r="W47" s="363">
        <f t="shared" si="37"/>
        <v>34302.563999999998</v>
      </c>
      <c r="X47" s="363">
        <f t="shared" si="38"/>
        <v>2491.8940000000002</v>
      </c>
      <c r="AA47" s="372"/>
      <c r="AI47" s="363"/>
      <c r="AJ47" s="363"/>
      <c r="AK47" s="363"/>
      <c r="AL47" s="363"/>
      <c r="AM47" s="363"/>
      <c r="AN47" s="363"/>
    </row>
    <row r="48" spans="1:40">
      <c r="A48" s="2" t="s">
        <v>85</v>
      </c>
      <c r="B48" s="16">
        <f t="shared" ref="B48:Q48" si="45">B83*0.2</f>
        <v>38239.61</v>
      </c>
      <c r="C48" s="16">
        <f t="shared" si="45"/>
        <v>7443.7980000000043</v>
      </c>
      <c r="D48" s="16">
        <f t="shared" si="45"/>
        <v>833.97800000000007</v>
      </c>
      <c r="E48" s="16">
        <f t="shared" si="45"/>
        <v>1395.1659999999999</v>
      </c>
      <c r="F48" s="16">
        <f t="shared" si="45"/>
        <v>63714.078000000009</v>
      </c>
      <c r="G48" s="16">
        <f t="shared" si="45"/>
        <v>1217.328</v>
      </c>
      <c r="H48" s="16">
        <f t="shared" si="45"/>
        <v>1343.9480000000001</v>
      </c>
      <c r="I48" s="16">
        <f t="shared" si="45"/>
        <v>60.460000000000008</v>
      </c>
      <c r="J48" s="16">
        <f t="shared" si="45"/>
        <v>1881.932</v>
      </c>
      <c r="K48" s="16">
        <f t="shared" si="45"/>
        <v>86.951999999999998</v>
      </c>
      <c r="L48" s="16">
        <f t="shared" si="45"/>
        <v>0</v>
      </c>
      <c r="M48" s="16">
        <f t="shared" si="45"/>
        <v>0</v>
      </c>
      <c r="N48" s="16">
        <f t="shared" si="45"/>
        <v>69.739999999999995</v>
      </c>
      <c r="O48" s="16">
        <f t="shared" si="45"/>
        <v>0</v>
      </c>
      <c r="P48" s="16">
        <f t="shared" si="45"/>
        <v>0</v>
      </c>
      <c r="Q48" s="16">
        <f t="shared" si="45"/>
        <v>0</v>
      </c>
      <c r="R48" s="8">
        <f t="shared" si="34"/>
        <v>116286.99000000002</v>
      </c>
      <c r="S48" s="363">
        <f t="shared" si="36"/>
        <v>38239.61</v>
      </c>
      <c r="T48" s="363">
        <f t="shared" si="36"/>
        <v>7443.7980000000043</v>
      </c>
      <c r="U48" s="363">
        <f t="shared" si="36"/>
        <v>833.97800000000007</v>
      </c>
      <c r="V48" s="363">
        <f t="shared" si="36"/>
        <v>1395.1659999999999</v>
      </c>
      <c r="W48" s="363">
        <f t="shared" si="37"/>
        <v>64931.40600000001</v>
      </c>
      <c r="X48" s="363">
        <f t="shared" si="38"/>
        <v>3443.0320000000002</v>
      </c>
      <c r="AA48" s="372"/>
      <c r="AI48" s="363"/>
      <c r="AJ48" s="363"/>
      <c r="AK48" s="363"/>
      <c r="AL48" s="363"/>
      <c r="AM48" s="363"/>
      <c r="AN48" s="363"/>
    </row>
    <row r="49" spans="1:40">
      <c r="A49" s="2" t="s">
        <v>86</v>
      </c>
      <c r="B49" s="16">
        <f t="shared" ref="B49:Q49" si="46">B84*0.2</f>
        <v>13821.495999999999</v>
      </c>
      <c r="C49" s="16">
        <f t="shared" si="46"/>
        <v>2122.2160000000003</v>
      </c>
      <c r="D49" s="16">
        <f t="shared" si="46"/>
        <v>408.75</v>
      </c>
      <c r="E49" s="16">
        <f t="shared" si="46"/>
        <v>427.18400000000003</v>
      </c>
      <c r="F49" s="16">
        <f t="shared" si="46"/>
        <v>14499.245999999999</v>
      </c>
      <c r="G49" s="16">
        <f t="shared" si="46"/>
        <v>456.49799999999999</v>
      </c>
      <c r="H49" s="16">
        <f t="shared" si="46"/>
        <v>423.45200000000006</v>
      </c>
      <c r="I49" s="16">
        <f t="shared" si="46"/>
        <v>0</v>
      </c>
      <c r="J49" s="16">
        <f t="shared" si="46"/>
        <v>573.54800000000012</v>
      </c>
      <c r="K49" s="16">
        <f t="shared" si="46"/>
        <v>65.213999999999999</v>
      </c>
      <c r="L49" s="16">
        <f t="shared" si="46"/>
        <v>0</v>
      </c>
      <c r="M49" s="16">
        <f t="shared" si="46"/>
        <v>0</v>
      </c>
      <c r="N49" s="16">
        <f t="shared" si="46"/>
        <v>25.36</v>
      </c>
      <c r="O49" s="16">
        <f t="shared" si="46"/>
        <v>0</v>
      </c>
      <c r="P49" s="16">
        <f t="shared" si="46"/>
        <v>0</v>
      </c>
      <c r="Q49" s="16">
        <f t="shared" si="46"/>
        <v>0</v>
      </c>
      <c r="R49" s="8">
        <f t="shared" si="34"/>
        <v>32822.964</v>
      </c>
      <c r="S49" s="363">
        <f t="shared" si="36"/>
        <v>13821.495999999999</v>
      </c>
      <c r="T49" s="363">
        <f t="shared" si="36"/>
        <v>2122.2160000000003</v>
      </c>
      <c r="U49" s="363">
        <f t="shared" si="36"/>
        <v>408.75</v>
      </c>
      <c r="V49" s="363">
        <f t="shared" si="36"/>
        <v>427.18400000000003</v>
      </c>
      <c r="W49" s="363">
        <f t="shared" si="37"/>
        <v>14955.743999999999</v>
      </c>
      <c r="X49" s="363">
        <f t="shared" si="38"/>
        <v>1087.5740000000001</v>
      </c>
      <c r="AA49" s="372"/>
      <c r="AI49" s="363"/>
      <c r="AJ49" s="363"/>
      <c r="AK49" s="363"/>
      <c r="AL49" s="363"/>
      <c r="AM49" s="363"/>
      <c r="AN49" s="363"/>
    </row>
    <row r="50" spans="1:40">
      <c r="A50" s="2" t="s">
        <v>87</v>
      </c>
      <c r="B50" s="16">
        <f t="shared" ref="B50:Q50" si="47">B85*0.2</f>
        <v>30456.382000000001</v>
      </c>
      <c r="C50" s="16">
        <f t="shared" si="47"/>
        <v>3913.3159999999975</v>
      </c>
      <c r="D50" s="16">
        <f t="shared" si="47"/>
        <v>731.6880000000001</v>
      </c>
      <c r="E50" s="16">
        <f t="shared" si="47"/>
        <v>391.96600000000012</v>
      </c>
      <c r="F50" s="16">
        <f t="shared" si="47"/>
        <v>70148.525999999998</v>
      </c>
      <c r="G50" s="16">
        <f t="shared" si="47"/>
        <v>956.47199999999998</v>
      </c>
      <c r="H50" s="16">
        <f t="shared" si="47"/>
        <v>750.45200000000011</v>
      </c>
      <c r="I50" s="16">
        <f t="shared" si="47"/>
        <v>529.76400000000001</v>
      </c>
      <c r="J50" s="16">
        <f t="shared" si="47"/>
        <v>911.56600000000003</v>
      </c>
      <c r="K50" s="16">
        <f t="shared" si="47"/>
        <v>173.904</v>
      </c>
      <c r="L50" s="16">
        <f t="shared" si="47"/>
        <v>0</v>
      </c>
      <c r="M50" s="16">
        <f t="shared" si="47"/>
        <v>116.036</v>
      </c>
      <c r="N50" s="16">
        <f t="shared" si="47"/>
        <v>50.72</v>
      </c>
      <c r="O50" s="16">
        <f t="shared" si="47"/>
        <v>0</v>
      </c>
      <c r="P50" s="16">
        <f t="shared" si="47"/>
        <v>0</v>
      </c>
      <c r="Q50" s="16">
        <f t="shared" si="47"/>
        <v>0</v>
      </c>
      <c r="R50" s="8">
        <f t="shared" si="34"/>
        <v>109130.79199999999</v>
      </c>
      <c r="S50" s="363">
        <f t="shared" si="36"/>
        <v>30456.382000000001</v>
      </c>
      <c r="T50" s="363">
        <f t="shared" si="36"/>
        <v>3913.3159999999975</v>
      </c>
      <c r="U50" s="363">
        <f t="shared" si="36"/>
        <v>731.6880000000001</v>
      </c>
      <c r="V50" s="363">
        <f t="shared" si="36"/>
        <v>391.96600000000012</v>
      </c>
      <c r="W50" s="363">
        <f t="shared" si="37"/>
        <v>71104.997999999992</v>
      </c>
      <c r="X50" s="363">
        <f t="shared" si="38"/>
        <v>2532.442</v>
      </c>
      <c r="AA50" s="372"/>
      <c r="AI50" s="363"/>
      <c r="AJ50" s="363"/>
      <c r="AK50" s="363"/>
      <c r="AL50" s="363"/>
      <c r="AM50" s="363"/>
      <c r="AN50" s="363"/>
    </row>
    <row r="51" spans="1:40">
      <c r="A51" s="2" t="s">
        <v>88</v>
      </c>
      <c r="B51" s="16">
        <f t="shared" ref="B51:Q51" si="48">B86*0.2</f>
        <v>19686.936000000002</v>
      </c>
      <c r="C51" s="16">
        <f t="shared" si="48"/>
        <v>5051.6060000000034</v>
      </c>
      <c r="D51" s="16">
        <f t="shared" si="48"/>
        <v>950.64200000000005</v>
      </c>
      <c r="E51" s="16">
        <f t="shared" si="48"/>
        <v>2277.8260000000005</v>
      </c>
      <c r="F51" s="16">
        <f t="shared" si="48"/>
        <v>40367.466</v>
      </c>
      <c r="G51" s="16">
        <f t="shared" si="48"/>
        <v>717.35400000000004</v>
      </c>
      <c r="H51" s="16">
        <f t="shared" si="48"/>
        <v>2576.5660000000003</v>
      </c>
      <c r="I51" s="16">
        <f t="shared" si="48"/>
        <v>154.70600000000002</v>
      </c>
      <c r="J51" s="16">
        <f t="shared" si="48"/>
        <v>972.07600000000002</v>
      </c>
      <c r="K51" s="16">
        <f t="shared" si="48"/>
        <v>413.02200000000005</v>
      </c>
      <c r="L51" s="16">
        <f t="shared" si="48"/>
        <v>0</v>
      </c>
      <c r="M51" s="16">
        <f t="shared" si="48"/>
        <v>0</v>
      </c>
      <c r="N51" s="16">
        <f t="shared" si="48"/>
        <v>31.700000000000003</v>
      </c>
      <c r="O51" s="16">
        <f t="shared" si="48"/>
        <v>0</v>
      </c>
      <c r="P51" s="16">
        <f t="shared" si="48"/>
        <v>22.184000000000001</v>
      </c>
      <c r="Q51" s="16">
        <f t="shared" si="48"/>
        <v>0</v>
      </c>
      <c r="R51" s="8">
        <f t="shared" si="34"/>
        <v>73222.084000000017</v>
      </c>
      <c r="S51" s="363">
        <f t="shared" si="36"/>
        <v>19686.936000000002</v>
      </c>
      <c r="T51" s="363">
        <f t="shared" si="36"/>
        <v>5051.6060000000034</v>
      </c>
      <c r="U51" s="363">
        <f t="shared" si="36"/>
        <v>950.64200000000005</v>
      </c>
      <c r="V51" s="363">
        <f t="shared" si="36"/>
        <v>2277.8260000000005</v>
      </c>
      <c r="W51" s="363">
        <f t="shared" si="37"/>
        <v>41084.82</v>
      </c>
      <c r="X51" s="363">
        <f t="shared" si="38"/>
        <v>4170.2540000000008</v>
      </c>
      <c r="AA51" s="372"/>
      <c r="AI51" s="363"/>
      <c r="AJ51" s="363"/>
      <c r="AK51" s="363"/>
      <c r="AL51" s="363"/>
      <c r="AM51" s="363"/>
      <c r="AN51" s="363"/>
    </row>
    <row r="52" spans="1:40">
      <c r="A52" s="2" t="s">
        <v>89</v>
      </c>
      <c r="B52" s="16">
        <f t="shared" ref="B52:Q52" si="49">B87*0.2</f>
        <v>121096.152</v>
      </c>
      <c r="C52" s="16">
        <f t="shared" si="49"/>
        <v>23725.574000000001</v>
      </c>
      <c r="D52" s="16">
        <f t="shared" si="49"/>
        <v>2475.652</v>
      </c>
      <c r="E52" s="16">
        <f t="shared" si="49"/>
        <v>4985.5380000000005</v>
      </c>
      <c r="F52" s="16">
        <f t="shared" si="49"/>
        <v>119928.546</v>
      </c>
      <c r="G52" s="16">
        <f t="shared" si="49"/>
        <v>2586.8220000000001</v>
      </c>
      <c r="H52" s="16">
        <f t="shared" si="49"/>
        <v>4830.5340000000015</v>
      </c>
      <c r="I52" s="16">
        <f t="shared" si="49"/>
        <v>0</v>
      </c>
      <c r="J52" s="16">
        <f t="shared" si="49"/>
        <v>6124.1980000000003</v>
      </c>
      <c r="K52" s="16">
        <f t="shared" si="49"/>
        <v>456.49799999999999</v>
      </c>
      <c r="L52" s="16">
        <f t="shared" si="49"/>
        <v>43.475999999999999</v>
      </c>
      <c r="M52" s="16">
        <f t="shared" si="49"/>
        <v>0</v>
      </c>
      <c r="N52" s="16">
        <f t="shared" si="49"/>
        <v>177.52</v>
      </c>
      <c r="O52" s="16">
        <f t="shared" si="49"/>
        <v>0</v>
      </c>
      <c r="P52" s="16">
        <f t="shared" si="49"/>
        <v>0</v>
      </c>
      <c r="Q52" s="16">
        <f t="shared" si="49"/>
        <v>0</v>
      </c>
      <c r="R52" s="8">
        <f t="shared" si="34"/>
        <v>286430.51</v>
      </c>
      <c r="S52" s="363">
        <f t="shared" si="36"/>
        <v>121096.152</v>
      </c>
      <c r="T52" s="363">
        <f t="shared" si="36"/>
        <v>23725.574000000001</v>
      </c>
      <c r="U52" s="363">
        <f t="shared" si="36"/>
        <v>2475.652</v>
      </c>
      <c r="V52" s="363">
        <f t="shared" si="36"/>
        <v>4985.5380000000005</v>
      </c>
      <c r="W52" s="363">
        <f t="shared" si="37"/>
        <v>122515.368</v>
      </c>
      <c r="X52" s="363">
        <f t="shared" si="38"/>
        <v>11632.226000000002</v>
      </c>
      <c r="AA52" s="372"/>
      <c r="AI52" s="363"/>
      <c r="AJ52" s="363"/>
      <c r="AK52" s="363"/>
      <c r="AL52" s="363"/>
      <c r="AM52" s="363"/>
      <c r="AN52" s="363"/>
    </row>
    <row r="53" spans="1:40">
      <c r="A53" s="2" t="s">
        <v>90</v>
      </c>
      <c r="B53" s="16">
        <f t="shared" ref="B53:Q53" si="50">B88*0.2</f>
        <v>17872.596000000001</v>
      </c>
      <c r="C53" s="16">
        <f t="shared" si="50"/>
        <v>4961.202000000002</v>
      </c>
      <c r="D53" s="16">
        <f t="shared" si="50"/>
        <v>388.88000000000005</v>
      </c>
      <c r="E53" s="16">
        <f t="shared" si="50"/>
        <v>629.32000000000005</v>
      </c>
      <c r="F53" s="16">
        <f t="shared" si="50"/>
        <v>24948.648000000001</v>
      </c>
      <c r="G53" s="16">
        <f t="shared" si="50"/>
        <v>739.0920000000001</v>
      </c>
      <c r="H53" s="16">
        <f t="shared" si="50"/>
        <v>942.10200000000032</v>
      </c>
      <c r="I53" s="16">
        <f t="shared" si="50"/>
        <v>0</v>
      </c>
      <c r="J53" s="16">
        <f t="shared" si="50"/>
        <v>1271.386</v>
      </c>
      <c r="K53" s="16">
        <f t="shared" si="50"/>
        <v>152.16600000000003</v>
      </c>
      <c r="L53" s="16">
        <f t="shared" si="50"/>
        <v>0</v>
      </c>
      <c r="M53" s="16">
        <f t="shared" si="50"/>
        <v>0</v>
      </c>
      <c r="N53" s="16">
        <f t="shared" si="50"/>
        <v>31.700000000000003</v>
      </c>
      <c r="O53" s="16">
        <f t="shared" si="50"/>
        <v>0</v>
      </c>
      <c r="P53" s="16">
        <f t="shared" si="50"/>
        <v>0</v>
      </c>
      <c r="Q53" s="16">
        <f t="shared" si="50"/>
        <v>0</v>
      </c>
      <c r="R53" s="8">
        <f t="shared" si="34"/>
        <v>51937.091999999997</v>
      </c>
      <c r="S53" s="363">
        <f t="shared" si="36"/>
        <v>17872.596000000001</v>
      </c>
      <c r="T53" s="363">
        <f t="shared" si="36"/>
        <v>4961.202000000002</v>
      </c>
      <c r="U53" s="363">
        <f t="shared" si="36"/>
        <v>388.88000000000005</v>
      </c>
      <c r="V53" s="363">
        <f t="shared" si="36"/>
        <v>629.32000000000005</v>
      </c>
      <c r="W53" s="363">
        <f t="shared" si="37"/>
        <v>25687.74</v>
      </c>
      <c r="X53" s="363">
        <f t="shared" si="38"/>
        <v>2397.3540000000003</v>
      </c>
      <c r="AA53" s="372"/>
      <c r="AI53" s="363"/>
      <c r="AJ53" s="363"/>
      <c r="AK53" s="363"/>
      <c r="AL53" s="363"/>
      <c r="AM53" s="363"/>
      <c r="AN53" s="363"/>
    </row>
    <row r="54" spans="1:40">
      <c r="A54" s="2" t="s">
        <v>91</v>
      </c>
      <c r="B54" s="16">
        <f t="shared" ref="B54:Q54" si="51">B89*0.2</f>
        <v>19221.412</v>
      </c>
      <c r="C54" s="16">
        <f t="shared" si="51"/>
        <v>5960.19</v>
      </c>
      <c r="D54" s="16">
        <f t="shared" si="51"/>
        <v>272.21600000000001</v>
      </c>
      <c r="E54" s="16">
        <f t="shared" si="51"/>
        <v>449.14400000000001</v>
      </c>
      <c r="F54" s="16">
        <f t="shared" si="51"/>
        <v>21194.550000000003</v>
      </c>
      <c r="G54" s="16">
        <f t="shared" si="51"/>
        <v>1065.162</v>
      </c>
      <c r="H54" s="16">
        <f t="shared" si="51"/>
        <v>933.08199999999988</v>
      </c>
      <c r="I54" s="16">
        <f t="shared" si="51"/>
        <v>0</v>
      </c>
      <c r="J54" s="16">
        <f t="shared" si="51"/>
        <v>1417.3100000000004</v>
      </c>
      <c r="K54" s="16">
        <f t="shared" si="51"/>
        <v>21.738</v>
      </c>
      <c r="L54" s="16">
        <f t="shared" si="51"/>
        <v>0</v>
      </c>
      <c r="M54" s="16">
        <f t="shared" si="51"/>
        <v>0</v>
      </c>
      <c r="N54" s="16">
        <f t="shared" si="51"/>
        <v>25.36</v>
      </c>
      <c r="O54" s="16">
        <f t="shared" si="51"/>
        <v>0</v>
      </c>
      <c r="P54" s="16">
        <f t="shared" si="51"/>
        <v>7.1440000000000001</v>
      </c>
      <c r="Q54" s="16">
        <f t="shared" si="51"/>
        <v>145.63399999999999</v>
      </c>
      <c r="R54" s="8">
        <f t="shared" si="34"/>
        <v>50712.941999999995</v>
      </c>
      <c r="S54" s="363">
        <f t="shared" si="36"/>
        <v>19221.412</v>
      </c>
      <c r="T54" s="363">
        <f t="shared" si="36"/>
        <v>5960.19</v>
      </c>
      <c r="U54" s="363">
        <f t="shared" si="36"/>
        <v>272.21600000000001</v>
      </c>
      <c r="V54" s="363">
        <f t="shared" si="36"/>
        <v>449.14400000000001</v>
      </c>
      <c r="W54" s="363">
        <f t="shared" si="37"/>
        <v>22259.712000000003</v>
      </c>
      <c r="X54" s="363">
        <f t="shared" si="38"/>
        <v>2550.268</v>
      </c>
      <c r="AA54" s="372"/>
      <c r="AI54" s="363"/>
      <c r="AJ54" s="363"/>
      <c r="AK54" s="363"/>
      <c r="AL54" s="363"/>
      <c r="AM54" s="363"/>
      <c r="AN54" s="363"/>
    </row>
    <row r="55" spans="1:40">
      <c r="A55" s="2" t="s">
        <v>92</v>
      </c>
      <c r="B55" s="16">
        <f t="shared" ref="B55:Q55" si="52">B90*0.2</f>
        <v>86181.768000000011</v>
      </c>
      <c r="C55" s="16">
        <f t="shared" si="52"/>
        <v>14695.821999999998</v>
      </c>
      <c r="D55" s="16">
        <f t="shared" si="52"/>
        <v>2282.9580000000001</v>
      </c>
      <c r="E55" s="16">
        <f t="shared" si="52"/>
        <v>3406.424</v>
      </c>
      <c r="F55" s="16">
        <f t="shared" si="52"/>
        <v>134145.198</v>
      </c>
      <c r="G55" s="16">
        <f t="shared" si="52"/>
        <v>2652.0360000000001</v>
      </c>
      <c r="H55" s="16">
        <f t="shared" si="52"/>
        <v>2970.0140000000001</v>
      </c>
      <c r="I55" s="16">
        <f t="shared" si="52"/>
        <v>2628.4840000000004</v>
      </c>
      <c r="J55" s="16">
        <f t="shared" si="52"/>
        <v>3917.5100000000007</v>
      </c>
      <c r="K55" s="16">
        <f t="shared" si="52"/>
        <v>543.45000000000005</v>
      </c>
      <c r="L55" s="16">
        <f t="shared" si="52"/>
        <v>0</v>
      </c>
      <c r="M55" s="16">
        <f t="shared" si="52"/>
        <v>0</v>
      </c>
      <c r="N55" s="16">
        <f t="shared" si="52"/>
        <v>95.100000000000009</v>
      </c>
      <c r="O55" s="16">
        <f t="shared" si="52"/>
        <v>0</v>
      </c>
      <c r="P55" s="16">
        <f t="shared" si="52"/>
        <v>0</v>
      </c>
      <c r="Q55" s="16">
        <f t="shared" si="52"/>
        <v>0</v>
      </c>
      <c r="R55" s="8">
        <f t="shared" si="34"/>
        <v>253518.76400000002</v>
      </c>
      <c r="S55" s="363">
        <f t="shared" si="36"/>
        <v>86181.768000000011</v>
      </c>
      <c r="T55" s="363">
        <f t="shared" si="36"/>
        <v>14695.821999999998</v>
      </c>
      <c r="U55" s="363">
        <f t="shared" si="36"/>
        <v>2282.9580000000001</v>
      </c>
      <c r="V55" s="363">
        <f t="shared" si="36"/>
        <v>3406.424</v>
      </c>
      <c r="W55" s="363">
        <f t="shared" si="37"/>
        <v>136797.234</v>
      </c>
      <c r="X55" s="363">
        <f t="shared" si="38"/>
        <v>10154.558000000003</v>
      </c>
      <c r="AA55" s="372"/>
      <c r="AI55" s="363"/>
      <c r="AJ55" s="363"/>
      <c r="AK55" s="363"/>
      <c r="AL55" s="363"/>
      <c r="AM55" s="363"/>
      <c r="AN55" s="363"/>
    </row>
    <row r="56" spans="1:40">
      <c r="A56" s="2" t="s">
        <v>93</v>
      </c>
      <c r="B56" s="16">
        <f t="shared" ref="B56:Q56" si="53">B91*0.2</f>
        <v>32976.564000000006</v>
      </c>
      <c r="C56" s="16">
        <f t="shared" si="53"/>
        <v>10981.557999999997</v>
      </c>
      <c r="D56" s="16">
        <f t="shared" si="53"/>
        <v>507.8</v>
      </c>
      <c r="E56" s="16">
        <f t="shared" si="53"/>
        <v>1845.3779999999999</v>
      </c>
      <c r="F56" s="16">
        <f t="shared" si="53"/>
        <v>31759.218000000001</v>
      </c>
      <c r="G56" s="16">
        <f t="shared" si="53"/>
        <v>1260.8040000000001</v>
      </c>
      <c r="H56" s="16">
        <f t="shared" si="53"/>
        <v>1796.7080000000003</v>
      </c>
      <c r="I56" s="16">
        <f t="shared" si="53"/>
        <v>208.11599999999999</v>
      </c>
      <c r="J56" s="16">
        <f t="shared" si="53"/>
        <v>2816.7900000000004</v>
      </c>
      <c r="K56" s="16">
        <f t="shared" si="53"/>
        <v>108.69000000000001</v>
      </c>
      <c r="L56" s="16">
        <f t="shared" si="53"/>
        <v>0</v>
      </c>
      <c r="M56" s="16">
        <f t="shared" si="53"/>
        <v>0</v>
      </c>
      <c r="N56" s="16">
        <f t="shared" si="53"/>
        <v>82.420000000000016</v>
      </c>
      <c r="O56" s="16">
        <f t="shared" si="53"/>
        <v>0</v>
      </c>
      <c r="P56" s="16">
        <f t="shared" si="53"/>
        <v>0</v>
      </c>
      <c r="Q56" s="16">
        <f t="shared" si="53"/>
        <v>0</v>
      </c>
      <c r="R56" s="8">
        <f t="shared" si="34"/>
        <v>84344.046000000002</v>
      </c>
      <c r="S56" s="363">
        <f t="shared" si="36"/>
        <v>32976.564000000006</v>
      </c>
      <c r="T56" s="363">
        <f t="shared" si="36"/>
        <v>10981.557999999997</v>
      </c>
      <c r="U56" s="363">
        <f t="shared" si="36"/>
        <v>507.8</v>
      </c>
      <c r="V56" s="363">
        <f t="shared" si="36"/>
        <v>1845.3779999999999</v>
      </c>
      <c r="W56" s="363">
        <f t="shared" si="37"/>
        <v>33020.021999999997</v>
      </c>
      <c r="X56" s="363">
        <f t="shared" si="38"/>
        <v>5012.7240000000002</v>
      </c>
      <c r="AA56" s="372"/>
      <c r="AI56" s="363"/>
      <c r="AJ56" s="363"/>
      <c r="AK56" s="363"/>
      <c r="AL56" s="363"/>
      <c r="AM56" s="363"/>
      <c r="AN56" s="363"/>
    </row>
    <row r="57" spans="1:40">
      <c r="A57" s="2" t="s">
        <v>94</v>
      </c>
      <c r="B57" s="16">
        <f t="shared" ref="B57:Q57" si="54">B92*0.2</f>
        <v>10625.762000000001</v>
      </c>
      <c r="C57" s="16">
        <f t="shared" si="54"/>
        <v>1065.992</v>
      </c>
      <c r="D57" s="16">
        <f t="shared" si="54"/>
        <v>90.456000000000003</v>
      </c>
      <c r="E57" s="16">
        <f t="shared" si="54"/>
        <v>339.21800000000002</v>
      </c>
      <c r="F57" s="16">
        <f t="shared" si="54"/>
        <v>11021.166000000001</v>
      </c>
      <c r="G57" s="16">
        <f t="shared" si="54"/>
        <v>782.56799999999998</v>
      </c>
      <c r="H57" s="16">
        <f t="shared" si="54"/>
        <v>163.154</v>
      </c>
      <c r="I57" s="16">
        <f t="shared" si="54"/>
        <v>0</v>
      </c>
      <c r="J57" s="16">
        <f t="shared" si="54"/>
        <v>289.24</v>
      </c>
      <c r="K57" s="16">
        <f t="shared" si="54"/>
        <v>43.475999999999999</v>
      </c>
      <c r="L57" s="16">
        <f t="shared" si="54"/>
        <v>0</v>
      </c>
      <c r="M57" s="16">
        <f t="shared" si="54"/>
        <v>0</v>
      </c>
      <c r="N57" s="16">
        <f t="shared" si="54"/>
        <v>6.34</v>
      </c>
      <c r="O57" s="16">
        <f t="shared" si="54"/>
        <v>0</v>
      </c>
      <c r="P57" s="16">
        <f t="shared" si="54"/>
        <v>0</v>
      </c>
      <c r="Q57" s="16">
        <f t="shared" si="54"/>
        <v>0</v>
      </c>
      <c r="R57" s="8">
        <f t="shared" si="34"/>
        <v>24427.372000000003</v>
      </c>
      <c r="S57" s="363">
        <f t="shared" si="36"/>
        <v>10625.762000000001</v>
      </c>
      <c r="T57" s="363">
        <f t="shared" si="36"/>
        <v>1065.992</v>
      </c>
      <c r="U57" s="363">
        <f t="shared" si="36"/>
        <v>90.456000000000003</v>
      </c>
      <c r="V57" s="363">
        <f t="shared" si="36"/>
        <v>339.21800000000002</v>
      </c>
      <c r="W57" s="363">
        <f t="shared" si="37"/>
        <v>11803.734</v>
      </c>
      <c r="X57" s="363">
        <f t="shared" si="38"/>
        <v>502.21</v>
      </c>
      <c r="AA57" s="372"/>
      <c r="AI57" s="363"/>
      <c r="AJ57" s="363"/>
      <c r="AK57" s="363"/>
      <c r="AL57" s="363"/>
      <c r="AM57" s="363"/>
      <c r="AN57" s="363"/>
    </row>
    <row r="58" spans="1:40">
      <c r="A58" s="2" t="s">
        <v>95</v>
      </c>
      <c r="B58" s="16">
        <f t="shared" ref="B58:Q58" si="55">B93*0.2</f>
        <v>104983.93000000001</v>
      </c>
      <c r="C58" s="16">
        <f t="shared" si="55"/>
        <v>16361.057999999985</v>
      </c>
      <c r="D58" s="16">
        <f t="shared" si="55"/>
        <v>2267.1240000000003</v>
      </c>
      <c r="E58" s="16">
        <f t="shared" si="55"/>
        <v>2152.6179999999999</v>
      </c>
      <c r="F58" s="16">
        <f t="shared" si="55"/>
        <v>126013.038</v>
      </c>
      <c r="G58" s="16">
        <f t="shared" si="55"/>
        <v>3934.578</v>
      </c>
      <c r="H58" s="16">
        <f t="shared" si="55"/>
        <v>2499.652</v>
      </c>
      <c r="I58" s="16">
        <f t="shared" si="55"/>
        <v>110.44400000000002</v>
      </c>
      <c r="J58" s="16">
        <f t="shared" si="55"/>
        <v>3980.7000000000003</v>
      </c>
      <c r="K58" s="16">
        <f t="shared" si="55"/>
        <v>260.85599999999999</v>
      </c>
      <c r="L58" s="16">
        <f t="shared" si="55"/>
        <v>43.475999999999999</v>
      </c>
      <c r="M58" s="16">
        <f t="shared" si="55"/>
        <v>0</v>
      </c>
      <c r="N58" s="16">
        <f t="shared" si="55"/>
        <v>297.35399999999998</v>
      </c>
      <c r="O58" s="16">
        <f t="shared" si="55"/>
        <v>0</v>
      </c>
      <c r="P58" s="16">
        <f t="shared" si="55"/>
        <v>6.4620000000000006</v>
      </c>
      <c r="Q58" s="16">
        <f t="shared" si="55"/>
        <v>284.61599999999999</v>
      </c>
      <c r="R58" s="8">
        <f t="shared" si="34"/>
        <v>263195.90600000002</v>
      </c>
      <c r="S58" s="363">
        <f t="shared" si="36"/>
        <v>104983.93000000001</v>
      </c>
      <c r="T58" s="363">
        <f t="shared" si="36"/>
        <v>16361.057999999985</v>
      </c>
      <c r="U58" s="363">
        <f t="shared" si="36"/>
        <v>2267.1240000000003</v>
      </c>
      <c r="V58" s="363">
        <f t="shared" si="36"/>
        <v>2152.6179999999999</v>
      </c>
      <c r="W58" s="363">
        <f t="shared" si="37"/>
        <v>129947.61599999999</v>
      </c>
      <c r="X58" s="363">
        <f t="shared" si="38"/>
        <v>7483.56</v>
      </c>
      <c r="AA58" s="372"/>
      <c r="AI58" s="363"/>
      <c r="AJ58" s="363"/>
      <c r="AK58" s="363"/>
      <c r="AL58" s="363"/>
      <c r="AM58" s="363"/>
      <c r="AN58" s="363"/>
    </row>
    <row r="59" spans="1:40">
      <c r="A59" s="2" t="s">
        <v>96</v>
      </c>
      <c r="B59" s="16">
        <f t="shared" ref="B59:Q59" si="56">B94*0.2</f>
        <v>21900.848000000002</v>
      </c>
      <c r="C59" s="16">
        <f t="shared" si="56"/>
        <v>2971.5959999999995</v>
      </c>
      <c r="D59" s="16">
        <f t="shared" si="56"/>
        <v>191.05799999999999</v>
      </c>
      <c r="E59" s="16">
        <f t="shared" si="56"/>
        <v>359.05600000000004</v>
      </c>
      <c r="F59" s="16">
        <f t="shared" si="56"/>
        <v>18477.3</v>
      </c>
      <c r="G59" s="16">
        <f t="shared" si="56"/>
        <v>739.0920000000001</v>
      </c>
      <c r="H59" s="16">
        <f t="shared" si="56"/>
        <v>555.548</v>
      </c>
      <c r="I59" s="16">
        <f t="shared" si="56"/>
        <v>128.61800000000002</v>
      </c>
      <c r="J59" s="16">
        <f t="shared" si="56"/>
        <v>688.96800000000007</v>
      </c>
      <c r="K59" s="16">
        <f t="shared" si="56"/>
        <v>130.428</v>
      </c>
      <c r="L59" s="16">
        <f t="shared" si="56"/>
        <v>0</v>
      </c>
      <c r="M59" s="16">
        <f t="shared" si="56"/>
        <v>0</v>
      </c>
      <c r="N59" s="16">
        <f t="shared" si="56"/>
        <v>31.700000000000003</v>
      </c>
      <c r="O59" s="16">
        <f t="shared" si="56"/>
        <v>0</v>
      </c>
      <c r="P59" s="16">
        <f t="shared" si="56"/>
        <v>0</v>
      </c>
      <c r="Q59" s="16">
        <f t="shared" si="56"/>
        <v>0</v>
      </c>
      <c r="R59" s="8">
        <f t="shared" si="34"/>
        <v>46174.212000000007</v>
      </c>
      <c r="S59" s="363">
        <f t="shared" si="36"/>
        <v>21900.848000000002</v>
      </c>
      <c r="T59" s="363">
        <f t="shared" si="36"/>
        <v>2971.5959999999995</v>
      </c>
      <c r="U59" s="363">
        <f t="shared" si="36"/>
        <v>191.05799999999999</v>
      </c>
      <c r="V59" s="363">
        <f t="shared" si="36"/>
        <v>359.05600000000004</v>
      </c>
      <c r="W59" s="363">
        <f t="shared" si="37"/>
        <v>19216.392</v>
      </c>
      <c r="X59" s="363">
        <f t="shared" si="38"/>
        <v>1535.2619999999999</v>
      </c>
      <c r="AA59" s="372"/>
      <c r="AI59" s="363"/>
      <c r="AJ59" s="363"/>
      <c r="AK59" s="363"/>
      <c r="AL59" s="363"/>
      <c r="AM59" s="363"/>
      <c r="AN59" s="363"/>
    </row>
    <row r="60" spans="1:40">
      <c r="A60" s="2" t="s">
        <v>97</v>
      </c>
      <c r="B60" s="16">
        <f t="shared" ref="B60:Q60" si="57">B95*0.2</f>
        <v>131089.67600000001</v>
      </c>
      <c r="C60" s="16">
        <f t="shared" si="57"/>
        <v>24833.115999999995</v>
      </c>
      <c r="D60" s="16">
        <f t="shared" si="57"/>
        <v>2875.6000000000004</v>
      </c>
      <c r="E60" s="16">
        <f t="shared" si="57"/>
        <v>3131.2259999999997</v>
      </c>
      <c r="F60" s="16">
        <f t="shared" si="57"/>
        <v>176251.70400000003</v>
      </c>
      <c r="G60" s="16">
        <f t="shared" si="57"/>
        <v>3869.364</v>
      </c>
      <c r="H60" s="16">
        <f t="shared" si="57"/>
        <v>5325.130000000001</v>
      </c>
      <c r="I60" s="16">
        <f t="shared" si="57"/>
        <v>326.63400000000001</v>
      </c>
      <c r="J60" s="16">
        <f t="shared" si="57"/>
        <v>5956.55</v>
      </c>
      <c r="K60" s="16">
        <f t="shared" si="57"/>
        <v>434.76000000000005</v>
      </c>
      <c r="L60" s="16">
        <f t="shared" si="57"/>
        <v>130.428</v>
      </c>
      <c r="M60" s="16">
        <f t="shared" si="57"/>
        <v>212.39800000000002</v>
      </c>
      <c r="N60" s="16">
        <f t="shared" si="57"/>
        <v>164.84000000000003</v>
      </c>
      <c r="O60" s="16">
        <f t="shared" si="57"/>
        <v>0</v>
      </c>
      <c r="P60" s="16">
        <f t="shared" si="57"/>
        <v>0</v>
      </c>
      <c r="Q60" s="16">
        <f t="shared" si="57"/>
        <v>0</v>
      </c>
      <c r="R60" s="8">
        <f t="shared" si="34"/>
        <v>354601.42600000009</v>
      </c>
      <c r="S60" s="363">
        <f t="shared" si="36"/>
        <v>131089.67600000001</v>
      </c>
      <c r="T60" s="363">
        <f t="shared" si="36"/>
        <v>24833.115999999995</v>
      </c>
      <c r="U60" s="363">
        <f t="shared" si="36"/>
        <v>2875.6000000000004</v>
      </c>
      <c r="V60" s="363">
        <f t="shared" si="36"/>
        <v>3131.2259999999997</v>
      </c>
      <c r="W60" s="363">
        <f t="shared" si="37"/>
        <v>180121.06800000003</v>
      </c>
      <c r="X60" s="363">
        <f t="shared" si="38"/>
        <v>12550.740000000002</v>
      </c>
      <c r="AA60" s="372"/>
      <c r="AI60" s="363"/>
      <c r="AJ60" s="363"/>
      <c r="AK60" s="363"/>
      <c r="AL60" s="363"/>
      <c r="AM60" s="363"/>
      <c r="AN60" s="363"/>
    </row>
    <row r="61" spans="1:40">
      <c r="A61" s="2" t="s">
        <v>98</v>
      </c>
      <c r="B61" s="16">
        <f t="shared" ref="B61:Q61" si="58">B96*0.2</f>
        <v>8671.7820000000011</v>
      </c>
      <c r="C61" s="16">
        <f t="shared" si="58"/>
        <v>1408.5119999999997</v>
      </c>
      <c r="D61" s="16">
        <f t="shared" si="58"/>
        <v>431.99799999999999</v>
      </c>
      <c r="E61" s="16">
        <f t="shared" si="58"/>
        <v>703.72800000000007</v>
      </c>
      <c r="F61" s="16">
        <f t="shared" si="58"/>
        <v>18020.802</v>
      </c>
      <c r="G61" s="16">
        <f t="shared" si="58"/>
        <v>347.80799999999999</v>
      </c>
      <c r="H61" s="16">
        <f t="shared" si="58"/>
        <v>229.05</v>
      </c>
      <c r="I61" s="16">
        <f t="shared" si="58"/>
        <v>0</v>
      </c>
      <c r="J61" s="16">
        <f t="shared" si="58"/>
        <v>465.13800000000003</v>
      </c>
      <c r="K61" s="16">
        <f t="shared" si="58"/>
        <v>43.475999999999999</v>
      </c>
      <c r="L61" s="16">
        <f t="shared" si="58"/>
        <v>0</v>
      </c>
      <c r="M61" s="16">
        <f t="shared" si="58"/>
        <v>0</v>
      </c>
      <c r="N61" s="16">
        <f t="shared" si="58"/>
        <v>12.68</v>
      </c>
      <c r="O61" s="16">
        <f t="shared" si="58"/>
        <v>0</v>
      </c>
      <c r="P61" s="16">
        <f t="shared" si="58"/>
        <v>0</v>
      </c>
      <c r="Q61" s="16">
        <f t="shared" si="58"/>
        <v>0</v>
      </c>
      <c r="R61" s="8">
        <f t="shared" si="34"/>
        <v>30334.973999999998</v>
      </c>
      <c r="S61" s="363">
        <f t="shared" si="36"/>
        <v>8671.7820000000011</v>
      </c>
      <c r="T61" s="363">
        <f t="shared" si="36"/>
        <v>1408.5119999999997</v>
      </c>
      <c r="U61" s="363">
        <f t="shared" si="36"/>
        <v>431.99799999999999</v>
      </c>
      <c r="V61" s="363">
        <f t="shared" si="36"/>
        <v>703.72800000000007</v>
      </c>
      <c r="W61" s="363">
        <f t="shared" si="37"/>
        <v>18368.61</v>
      </c>
      <c r="X61" s="363">
        <f t="shared" si="38"/>
        <v>750.34400000000005</v>
      </c>
      <c r="AA61" s="372"/>
      <c r="AI61" s="363"/>
      <c r="AJ61" s="363"/>
      <c r="AK61" s="363"/>
      <c r="AL61" s="363"/>
      <c r="AM61" s="363"/>
      <c r="AN61" s="363"/>
    </row>
    <row r="62" spans="1:40">
      <c r="A62" s="2" t="s">
        <v>99</v>
      </c>
      <c r="B62" s="16">
        <f t="shared" ref="B62:Q62" si="59">B97*0.2</f>
        <v>1510.8100000000002</v>
      </c>
      <c r="C62" s="16">
        <f t="shared" si="59"/>
        <v>157.70199999999988</v>
      </c>
      <c r="D62" s="16">
        <f t="shared" si="59"/>
        <v>0</v>
      </c>
      <c r="E62" s="16">
        <f t="shared" si="59"/>
        <v>9.5239999999999991</v>
      </c>
      <c r="F62" s="16">
        <f t="shared" si="59"/>
        <v>3195.4860000000003</v>
      </c>
      <c r="G62" s="16">
        <f t="shared" si="59"/>
        <v>65.213999999999999</v>
      </c>
      <c r="H62" s="16">
        <f t="shared" si="59"/>
        <v>15.688000000000001</v>
      </c>
      <c r="I62" s="16">
        <f t="shared" si="59"/>
        <v>0</v>
      </c>
      <c r="J62" s="16">
        <f t="shared" si="59"/>
        <v>36.582000000000001</v>
      </c>
      <c r="K62" s="16">
        <f t="shared" si="59"/>
        <v>86.951999999999998</v>
      </c>
      <c r="L62" s="16">
        <f t="shared" si="59"/>
        <v>0</v>
      </c>
      <c r="M62" s="16">
        <f t="shared" si="59"/>
        <v>0</v>
      </c>
      <c r="N62" s="16">
        <f t="shared" si="59"/>
        <v>12.68</v>
      </c>
      <c r="O62" s="16">
        <f t="shared" si="59"/>
        <v>0</v>
      </c>
      <c r="P62" s="16">
        <f t="shared" si="59"/>
        <v>0</v>
      </c>
      <c r="Q62" s="16">
        <f t="shared" si="59"/>
        <v>0</v>
      </c>
      <c r="R62" s="8">
        <f t="shared" si="34"/>
        <v>5090.6380000000017</v>
      </c>
      <c r="S62" s="363">
        <f t="shared" si="36"/>
        <v>1510.8100000000002</v>
      </c>
      <c r="T62" s="363">
        <f t="shared" si="36"/>
        <v>157.70199999999988</v>
      </c>
      <c r="U62" s="363">
        <f t="shared" si="36"/>
        <v>0</v>
      </c>
      <c r="V62" s="363">
        <f t="shared" si="36"/>
        <v>9.5239999999999991</v>
      </c>
      <c r="W62" s="363">
        <f t="shared" si="37"/>
        <v>3260.7000000000003</v>
      </c>
      <c r="X62" s="363">
        <f t="shared" si="38"/>
        <v>151.90200000000002</v>
      </c>
      <c r="AA62" s="372"/>
      <c r="AI62" s="363"/>
      <c r="AJ62" s="363"/>
      <c r="AK62" s="363"/>
      <c r="AL62" s="363"/>
      <c r="AM62" s="363"/>
      <c r="AN62" s="363"/>
    </row>
    <row r="63" spans="1:40">
      <c r="A63" s="2" t="s">
        <v>100</v>
      </c>
      <c r="B63" s="16">
        <f t="shared" ref="B63:Q63" si="60">B98*0.2</f>
        <v>103207.48800000001</v>
      </c>
      <c r="C63" s="16">
        <f t="shared" si="60"/>
        <v>23797.320000000007</v>
      </c>
      <c r="D63" s="16">
        <f t="shared" si="60"/>
        <v>2422.9580000000001</v>
      </c>
      <c r="E63" s="16">
        <f t="shared" si="60"/>
        <v>6174.8140000000003</v>
      </c>
      <c r="F63" s="16">
        <f t="shared" si="60"/>
        <v>118363.41000000002</v>
      </c>
      <c r="G63" s="16">
        <f t="shared" si="60"/>
        <v>1195.5899999999999</v>
      </c>
      <c r="H63" s="16">
        <f t="shared" si="60"/>
        <v>4789.764000000001</v>
      </c>
      <c r="I63" s="16">
        <f t="shared" si="60"/>
        <v>0</v>
      </c>
      <c r="J63" s="16">
        <f t="shared" si="60"/>
        <v>6642.3620000000001</v>
      </c>
      <c r="K63" s="16">
        <f t="shared" si="60"/>
        <v>434.76000000000005</v>
      </c>
      <c r="L63" s="16">
        <f t="shared" si="60"/>
        <v>0</v>
      </c>
      <c r="M63" s="16">
        <f t="shared" si="60"/>
        <v>0</v>
      </c>
      <c r="N63" s="16">
        <f t="shared" si="60"/>
        <v>171.18</v>
      </c>
      <c r="O63" s="16">
        <f t="shared" si="60"/>
        <v>0</v>
      </c>
      <c r="P63" s="16">
        <f t="shared" si="60"/>
        <v>0</v>
      </c>
      <c r="Q63" s="16">
        <f t="shared" si="60"/>
        <v>0</v>
      </c>
      <c r="R63" s="8">
        <f t="shared" si="34"/>
        <v>267199.64600000007</v>
      </c>
      <c r="S63" s="363">
        <f t="shared" si="36"/>
        <v>103207.48800000001</v>
      </c>
      <c r="T63" s="363">
        <f t="shared" si="36"/>
        <v>23797.320000000007</v>
      </c>
      <c r="U63" s="363">
        <f t="shared" si="36"/>
        <v>2422.9580000000001</v>
      </c>
      <c r="V63" s="363">
        <f t="shared" si="36"/>
        <v>6174.8140000000003</v>
      </c>
      <c r="W63" s="363">
        <f t="shared" si="37"/>
        <v>119559.00000000001</v>
      </c>
      <c r="X63" s="363">
        <f t="shared" si="38"/>
        <v>12038.066000000001</v>
      </c>
      <c r="AA63" s="372"/>
      <c r="AI63" s="363"/>
      <c r="AJ63" s="363"/>
      <c r="AK63" s="363"/>
      <c r="AL63" s="363"/>
      <c r="AM63" s="363"/>
      <c r="AN63" s="363"/>
    </row>
    <row r="64" spans="1:40">
      <c r="A64" s="2" t="s">
        <v>101</v>
      </c>
      <c r="B64" s="16">
        <f t="shared" ref="B64:Q64" si="61">B99*0.2</f>
        <v>398274.60400000005</v>
      </c>
      <c r="C64" s="16">
        <f t="shared" si="61"/>
        <v>81257.255999999965</v>
      </c>
      <c r="D64" s="16">
        <f t="shared" si="61"/>
        <v>7584.826</v>
      </c>
      <c r="E64" s="16">
        <f t="shared" si="61"/>
        <v>17226.138000000003</v>
      </c>
      <c r="F64" s="16">
        <f t="shared" si="61"/>
        <v>670226.01600000006</v>
      </c>
      <c r="G64" s="16">
        <f t="shared" si="61"/>
        <v>8847.366</v>
      </c>
      <c r="H64" s="16">
        <f t="shared" si="61"/>
        <v>23176.376</v>
      </c>
      <c r="I64" s="16">
        <f t="shared" si="61"/>
        <v>1730.4540000000002</v>
      </c>
      <c r="J64" s="16">
        <f t="shared" si="61"/>
        <v>21947.048000000003</v>
      </c>
      <c r="K64" s="16">
        <f t="shared" si="61"/>
        <v>1608.6120000000001</v>
      </c>
      <c r="L64" s="16">
        <f t="shared" si="61"/>
        <v>0</v>
      </c>
      <c r="M64" s="16">
        <f t="shared" si="61"/>
        <v>0</v>
      </c>
      <c r="N64" s="16">
        <f t="shared" si="61"/>
        <v>703.74</v>
      </c>
      <c r="O64" s="16">
        <f t="shared" si="61"/>
        <v>0</v>
      </c>
      <c r="P64" s="16">
        <f t="shared" si="61"/>
        <v>0</v>
      </c>
      <c r="Q64" s="16">
        <f t="shared" si="61"/>
        <v>0</v>
      </c>
      <c r="R64" s="8">
        <f t="shared" si="34"/>
        <v>1232582.4359999998</v>
      </c>
      <c r="S64" s="363">
        <f t="shared" si="36"/>
        <v>398274.60400000005</v>
      </c>
      <c r="T64" s="363">
        <f t="shared" si="36"/>
        <v>81257.255999999965</v>
      </c>
      <c r="U64" s="363">
        <f t="shared" si="36"/>
        <v>7584.826</v>
      </c>
      <c r="V64" s="363">
        <f t="shared" si="36"/>
        <v>17226.138000000003</v>
      </c>
      <c r="W64" s="363">
        <f t="shared" si="37"/>
        <v>679073.3820000001</v>
      </c>
      <c r="X64" s="363">
        <f t="shared" si="38"/>
        <v>49166.23</v>
      </c>
      <c r="AA64" s="372"/>
      <c r="AI64" s="363"/>
      <c r="AJ64" s="363"/>
      <c r="AK64" s="363"/>
      <c r="AL64" s="363"/>
      <c r="AM64" s="363"/>
      <c r="AN64" s="363"/>
    </row>
    <row r="65" spans="1:40">
      <c r="A65" s="2" t="s">
        <v>102</v>
      </c>
      <c r="B65" s="16">
        <f t="shared" ref="B65:Q65" si="62">B100*0.2</f>
        <v>12185.132000000001</v>
      </c>
      <c r="C65" s="16">
        <f t="shared" si="62"/>
        <v>4144.9339999999966</v>
      </c>
      <c r="D65" s="16">
        <f t="shared" si="62"/>
        <v>192.32400000000001</v>
      </c>
      <c r="E65" s="16">
        <f t="shared" si="62"/>
        <v>193.136</v>
      </c>
      <c r="F65" s="16">
        <f t="shared" si="62"/>
        <v>12847.158000000001</v>
      </c>
      <c r="G65" s="16">
        <f t="shared" si="62"/>
        <v>543.45000000000005</v>
      </c>
      <c r="H65" s="16">
        <f t="shared" si="62"/>
        <v>389.82799999999997</v>
      </c>
      <c r="I65" s="16">
        <f t="shared" si="62"/>
        <v>0</v>
      </c>
      <c r="J65" s="16">
        <f t="shared" si="62"/>
        <v>534.86799999999994</v>
      </c>
      <c r="K65" s="16">
        <f t="shared" si="62"/>
        <v>21.738</v>
      </c>
      <c r="L65" s="16">
        <f t="shared" si="62"/>
        <v>0</v>
      </c>
      <c r="M65" s="16">
        <f t="shared" si="62"/>
        <v>0</v>
      </c>
      <c r="N65" s="16">
        <f t="shared" si="62"/>
        <v>6.34</v>
      </c>
      <c r="O65" s="16">
        <f t="shared" si="62"/>
        <v>0</v>
      </c>
      <c r="P65" s="16">
        <f t="shared" si="62"/>
        <v>0</v>
      </c>
      <c r="Q65" s="16">
        <f t="shared" si="62"/>
        <v>0</v>
      </c>
      <c r="R65" s="8">
        <f t="shared" si="34"/>
        <v>31058.908000000003</v>
      </c>
      <c r="S65" s="363">
        <f t="shared" si="36"/>
        <v>12185.132000000001</v>
      </c>
      <c r="T65" s="363">
        <f t="shared" si="36"/>
        <v>4144.9339999999966</v>
      </c>
      <c r="U65" s="363">
        <f t="shared" si="36"/>
        <v>192.32400000000001</v>
      </c>
      <c r="V65" s="363">
        <f t="shared" si="36"/>
        <v>193.136</v>
      </c>
      <c r="W65" s="363">
        <f t="shared" si="37"/>
        <v>13390.608000000002</v>
      </c>
      <c r="X65" s="363">
        <f t="shared" si="38"/>
        <v>952.774</v>
      </c>
      <c r="AA65" s="372"/>
      <c r="AI65" s="363"/>
      <c r="AJ65" s="363"/>
      <c r="AK65" s="363"/>
      <c r="AL65" s="363"/>
      <c r="AM65" s="363"/>
      <c r="AN65" s="363"/>
    </row>
    <row r="66" spans="1:40">
      <c r="A66" s="2" t="s">
        <v>103</v>
      </c>
      <c r="B66" s="16">
        <f t="shared" ref="B66:Q66" si="63">B101*0.2</f>
        <v>7328.8040000000001</v>
      </c>
      <c r="C66" s="16">
        <f t="shared" si="63"/>
        <v>1116.8080000000016</v>
      </c>
      <c r="D66" s="16">
        <f t="shared" si="63"/>
        <v>164.5</v>
      </c>
      <c r="E66" s="16">
        <f t="shared" si="63"/>
        <v>314.77600000000007</v>
      </c>
      <c r="F66" s="16">
        <f t="shared" si="63"/>
        <v>10347.288</v>
      </c>
      <c r="G66" s="16">
        <f t="shared" si="63"/>
        <v>456.49799999999999</v>
      </c>
      <c r="H66" s="16">
        <f t="shared" si="63"/>
        <v>279.84599999999995</v>
      </c>
      <c r="I66" s="16">
        <f t="shared" si="63"/>
        <v>0</v>
      </c>
      <c r="J66" s="16">
        <f t="shared" si="63"/>
        <v>310.31600000000003</v>
      </c>
      <c r="K66" s="16">
        <f t="shared" si="63"/>
        <v>0</v>
      </c>
      <c r="L66" s="16">
        <f t="shared" si="63"/>
        <v>0</v>
      </c>
      <c r="M66" s="16">
        <f t="shared" si="63"/>
        <v>0</v>
      </c>
      <c r="N66" s="16">
        <f t="shared" si="63"/>
        <v>0</v>
      </c>
      <c r="O66" s="16">
        <f t="shared" si="63"/>
        <v>0</v>
      </c>
      <c r="P66" s="16">
        <f t="shared" si="63"/>
        <v>0</v>
      </c>
      <c r="Q66" s="16">
        <f t="shared" si="63"/>
        <v>0</v>
      </c>
      <c r="R66" s="8">
        <f t="shared" si="34"/>
        <v>20318.835999999999</v>
      </c>
      <c r="S66" s="363">
        <f t="shared" si="36"/>
        <v>7328.8040000000001</v>
      </c>
      <c r="T66" s="363">
        <f t="shared" si="36"/>
        <v>1116.8080000000016</v>
      </c>
      <c r="U66" s="363">
        <f t="shared" si="36"/>
        <v>164.5</v>
      </c>
      <c r="V66" s="363">
        <f t="shared" si="36"/>
        <v>314.77600000000007</v>
      </c>
      <c r="W66" s="363">
        <f t="shared" si="37"/>
        <v>10803.786</v>
      </c>
      <c r="X66" s="363">
        <f t="shared" si="38"/>
        <v>590.16200000000003</v>
      </c>
      <c r="AA66" s="372"/>
      <c r="AI66" s="363"/>
      <c r="AJ66" s="363"/>
      <c r="AK66" s="363"/>
      <c r="AL66" s="363"/>
      <c r="AM66" s="363"/>
      <c r="AN66" s="363"/>
    </row>
    <row r="67" spans="1:40">
      <c r="A67" s="6" t="s">
        <v>37</v>
      </c>
      <c r="B67" s="7">
        <f t="shared" ref="B67:R67" si="64">SUM(B40:B66)</f>
        <v>1371789.3540000001</v>
      </c>
      <c r="C67" s="7">
        <f t="shared" si="64"/>
        <v>283098.82599999994</v>
      </c>
      <c r="D67" s="7">
        <f t="shared" si="64"/>
        <v>28371.907999999996</v>
      </c>
      <c r="E67" s="7">
        <f t="shared" si="64"/>
        <v>51138.418000000005</v>
      </c>
      <c r="F67" s="7">
        <f t="shared" si="64"/>
        <v>1874019.9080000001</v>
      </c>
      <c r="G67" s="7">
        <f t="shared" si="64"/>
        <v>39171.876000000004</v>
      </c>
      <c r="H67" s="7">
        <f t="shared" si="64"/>
        <v>62351.932000000001</v>
      </c>
      <c r="I67" s="7">
        <f t="shared" si="64"/>
        <v>6182.130000000001</v>
      </c>
      <c r="J67" s="7">
        <f t="shared" si="64"/>
        <v>72308.554000000033</v>
      </c>
      <c r="K67" s="7">
        <f t="shared" si="64"/>
        <v>6477.9240000000009</v>
      </c>
      <c r="L67" s="7">
        <f t="shared" si="64"/>
        <v>260.85599999999999</v>
      </c>
      <c r="M67" s="7">
        <f t="shared" si="64"/>
        <v>1095.7820000000002</v>
      </c>
      <c r="N67" s="7">
        <f t="shared" si="64"/>
        <v>2313.4740000000006</v>
      </c>
      <c r="O67" s="7">
        <f t="shared" ref="O67" si="65">SUM(O40:O66)</f>
        <v>0</v>
      </c>
      <c r="P67" s="7">
        <f t="shared" si="64"/>
        <v>35.790000000000006</v>
      </c>
      <c r="Q67" s="7">
        <f t="shared" si="64"/>
        <v>430.25</v>
      </c>
      <c r="R67" s="9">
        <f t="shared" si="64"/>
        <v>3799046.9819999998</v>
      </c>
      <c r="S67" s="363">
        <f t="shared" ref="S67:X67" si="66">SUM(S40:S66)</f>
        <v>1371789.3540000001</v>
      </c>
      <c r="T67" s="363">
        <f t="shared" si="66"/>
        <v>283098.82599999994</v>
      </c>
      <c r="U67" s="363">
        <f t="shared" si="66"/>
        <v>28371.907999999996</v>
      </c>
      <c r="V67" s="363">
        <f t="shared" si="66"/>
        <v>51138.418000000005</v>
      </c>
      <c r="W67" s="363">
        <f t="shared" si="66"/>
        <v>1913191.7840000007</v>
      </c>
      <c r="X67" s="363">
        <f t="shared" si="66"/>
        <v>151456.69200000004</v>
      </c>
      <c r="AA67" s="372"/>
      <c r="AI67" s="363"/>
      <c r="AJ67" s="363"/>
      <c r="AK67" s="363"/>
      <c r="AL67" s="363"/>
      <c r="AM67" s="363"/>
      <c r="AN67" s="363"/>
    </row>
    <row r="68" spans="1:40">
      <c r="A68" s="351" t="s">
        <v>47</v>
      </c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6"/>
      <c r="AA68" s="372"/>
    </row>
    <row r="69" spans="1:40">
      <c r="A69" s="358"/>
      <c r="B69" s="358"/>
      <c r="C69" s="358"/>
      <c r="D69" s="358"/>
      <c r="E69" s="358"/>
      <c r="F69" s="358"/>
      <c r="G69" s="358"/>
      <c r="H69" s="358"/>
      <c r="I69" s="358"/>
      <c r="J69" s="358"/>
      <c r="K69" s="358"/>
      <c r="L69" s="358"/>
      <c r="M69" s="358"/>
      <c r="N69" s="358"/>
      <c r="O69" s="363"/>
      <c r="P69" s="390"/>
      <c r="Q69" s="390"/>
      <c r="R69" s="360"/>
      <c r="AA69" s="372"/>
    </row>
    <row r="70" spans="1:40">
      <c r="A70" s="357"/>
      <c r="L70" s="253"/>
      <c r="M70" s="253"/>
      <c r="N70" s="253"/>
      <c r="O70" s="253"/>
      <c r="P70" s="253"/>
      <c r="Q70" s="253"/>
      <c r="AA70" s="372"/>
    </row>
    <row r="71" spans="1:40">
      <c r="A71" s="357"/>
      <c r="AA71" s="372"/>
    </row>
    <row r="72" spans="1:40" ht="46.5">
      <c r="A72" s="837" t="s">
        <v>46</v>
      </c>
      <c r="B72" s="838"/>
      <c r="C72" s="838"/>
      <c r="D72" s="838"/>
      <c r="E72" s="838"/>
      <c r="F72" s="838"/>
      <c r="G72" s="838"/>
      <c r="H72" s="838"/>
      <c r="I72" s="838"/>
      <c r="J72" s="838"/>
      <c r="K72" s="838"/>
      <c r="L72" s="838"/>
      <c r="M72" s="838"/>
      <c r="N72" s="838"/>
      <c r="O72" s="838"/>
      <c r="P72" s="838"/>
      <c r="Q72" s="838"/>
      <c r="R72" s="839"/>
      <c r="AA72" s="372"/>
    </row>
    <row r="73" spans="1:40" s="372" customFormat="1" ht="35.1" customHeight="1">
      <c r="A73" s="835" t="s">
        <v>33</v>
      </c>
      <c r="B73" s="833" t="s">
        <v>27</v>
      </c>
      <c r="C73" s="834"/>
      <c r="D73" s="833" t="s">
        <v>29</v>
      </c>
      <c r="E73" s="834"/>
      <c r="F73" s="835" t="s">
        <v>28</v>
      </c>
      <c r="G73" s="835" t="s">
        <v>36</v>
      </c>
      <c r="H73" s="835" t="s">
        <v>30</v>
      </c>
      <c r="I73" s="835" t="s">
        <v>31</v>
      </c>
      <c r="J73" s="835" t="s">
        <v>41</v>
      </c>
      <c r="K73" s="835" t="s">
        <v>35</v>
      </c>
      <c r="L73" s="835" t="s">
        <v>40</v>
      </c>
      <c r="M73" s="835" t="s">
        <v>42</v>
      </c>
      <c r="N73" s="835" t="s">
        <v>45</v>
      </c>
      <c r="O73" s="835" t="s">
        <v>279</v>
      </c>
      <c r="P73" s="833" t="s">
        <v>49</v>
      </c>
      <c r="Q73" s="834"/>
      <c r="R73" s="835" t="s">
        <v>34</v>
      </c>
      <c r="S73" s="357"/>
      <c r="T73" s="357"/>
      <c r="U73" s="357"/>
      <c r="V73" s="357"/>
      <c r="W73" s="357"/>
      <c r="X73" s="357"/>
      <c r="AI73" s="357"/>
      <c r="AJ73" s="357"/>
      <c r="AK73" s="357"/>
      <c r="AL73" s="357"/>
      <c r="AM73" s="357"/>
      <c r="AN73" s="357"/>
    </row>
    <row r="74" spans="1:40" s="372" customFormat="1" ht="35.1" customHeight="1">
      <c r="A74" s="836"/>
      <c r="B74" s="361" t="s">
        <v>43</v>
      </c>
      <c r="C74" s="361" t="s">
        <v>44</v>
      </c>
      <c r="D74" s="361" t="s">
        <v>43</v>
      </c>
      <c r="E74" s="361" t="s">
        <v>44</v>
      </c>
      <c r="F74" s="836"/>
      <c r="G74" s="836"/>
      <c r="H74" s="836"/>
      <c r="I74" s="836"/>
      <c r="J74" s="836"/>
      <c r="K74" s="836"/>
      <c r="L74" s="836"/>
      <c r="M74" s="836"/>
      <c r="N74" s="836"/>
      <c r="O74" s="836"/>
      <c r="P74" s="725" t="s">
        <v>50</v>
      </c>
      <c r="Q74" s="725" t="s">
        <v>51</v>
      </c>
      <c r="R74" s="836"/>
      <c r="S74" s="372" t="s">
        <v>173</v>
      </c>
      <c r="T74" s="372" t="s">
        <v>291</v>
      </c>
      <c r="U74" s="372" t="s">
        <v>174</v>
      </c>
      <c r="V74" s="372" t="s">
        <v>292</v>
      </c>
      <c r="W74" s="372" t="s">
        <v>28</v>
      </c>
      <c r="X74" s="372" t="s">
        <v>175</v>
      </c>
    </row>
    <row r="75" spans="1:40">
      <c r="A75" s="2" t="s">
        <v>77</v>
      </c>
      <c r="B75" s="16">
        <v>23506.6</v>
      </c>
      <c r="C75" s="16">
        <v>6914.6000000000022</v>
      </c>
      <c r="D75" s="16">
        <v>1014.48</v>
      </c>
      <c r="E75" s="16">
        <v>1767.6999999999998</v>
      </c>
      <c r="F75" s="16">
        <v>34019.97</v>
      </c>
      <c r="G75" s="16">
        <v>2065.1099999999997</v>
      </c>
      <c r="H75" s="16">
        <v>1002.3199999999999</v>
      </c>
      <c r="I75" s="16">
        <v>0</v>
      </c>
      <c r="J75" s="16">
        <v>1912.79</v>
      </c>
      <c r="K75" s="16">
        <v>108.69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8">
        <f>SUM(B75:Q75)</f>
        <v>72312.260000000009</v>
      </c>
      <c r="S75" s="363">
        <f>B75</f>
        <v>23506.6</v>
      </c>
      <c r="T75" s="363">
        <f>C75</f>
        <v>6914.6000000000022</v>
      </c>
      <c r="U75" s="363">
        <f>D75</f>
        <v>1014.48</v>
      </c>
      <c r="V75" s="363">
        <f>E75</f>
        <v>1767.6999999999998</v>
      </c>
      <c r="W75" s="363">
        <f>F75+G75</f>
        <v>36085.08</v>
      </c>
      <c r="X75" s="363">
        <f>SUM(H75:Q75)</f>
        <v>3023.7999999999997</v>
      </c>
      <c r="AA75" s="372"/>
      <c r="AI75" s="363"/>
      <c r="AJ75" s="363"/>
      <c r="AK75" s="363"/>
      <c r="AL75" s="363"/>
      <c r="AM75" s="363"/>
      <c r="AN75" s="363"/>
    </row>
    <row r="76" spans="1:40">
      <c r="A76" s="2" t="s">
        <v>78</v>
      </c>
      <c r="B76" s="16">
        <v>74498.850000000006</v>
      </c>
      <c r="C76" s="16">
        <v>18799.130000000005</v>
      </c>
      <c r="D76" s="16">
        <v>469.19</v>
      </c>
      <c r="E76" s="16">
        <v>0</v>
      </c>
      <c r="F76" s="16">
        <v>65866.14</v>
      </c>
      <c r="G76" s="16">
        <v>3260.7</v>
      </c>
      <c r="H76" s="16">
        <v>4487.5700000000006</v>
      </c>
      <c r="I76" s="16">
        <v>0</v>
      </c>
      <c r="J76" s="16">
        <v>3795.53</v>
      </c>
      <c r="K76" s="16">
        <v>108.69</v>
      </c>
      <c r="L76" s="16">
        <v>0</v>
      </c>
      <c r="M76" s="16">
        <v>0</v>
      </c>
      <c r="N76" s="16">
        <v>95.1</v>
      </c>
      <c r="O76" s="16">
        <v>0</v>
      </c>
      <c r="P76" s="16">
        <v>0</v>
      </c>
      <c r="Q76" s="16">
        <v>0</v>
      </c>
      <c r="R76" s="8">
        <f t="shared" ref="R76:R102" si="67">SUM(B76:Q76)</f>
        <v>171380.90000000002</v>
      </c>
      <c r="S76" s="363">
        <f t="shared" ref="S76:V101" si="68">B76</f>
        <v>74498.850000000006</v>
      </c>
      <c r="T76" s="363">
        <f t="shared" si="68"/>
        <v>18799.130000000005</v>
      </c>
      <c r="U76" s="363">
        <f t="shared" si="68"/>
        <v>469.19</v>
      </c>
      <c r="V76" s="363">
        <f t="shared" si="68"/>
        <v>0</v>
      </c>
      <c r="W76" s="363">
        <f t="shared" ref="W76:W101" si="69">F76+G76</f>
        <v>69126.84</v>
      </c>
      <c r="X76" s="363">
        <f t="shared" ref="X76:X101" si="70">SUM(H76:Q76)</f>
        <v>8486.8900000000012</v>
      </c>
      <c r="AA76" s="372"/>
      <c r="AI76" s="363"/>
      <c r="AJ76" s="363"/>
      <c r="AK76" s="363"/>
      <c r="AL76" s="363"/>
      <c r="AM76" s="363"/>
      <c r="AN76" s="363"/>
    </row>
    <row r="77" spans="1:40">
      <c r="A77" s="2" t="s">
        <v>79</v>
      </c>
      <c r="B77" s="16">
        <v>25448.49</v>
      </c>
      <c r="C77" s="16">
        <v>5684.0799999999981</v>
      </c>
      <c r="D77" s="16">
        <v>1811.59</v>
      </c>
      <c r="E77" s="16">
        <v>911.87000000000012</v>
      </c>
      <c r="F77" s="16">
        <v>44215.09</v>
      </c>
      <c r="G77" s="16">
        <v>3478.08</v>
      </c>
      <c r="H77" s="16">
        <v>671.84</v>
      </c>
      <c r="I77" s="16">
        <v>0</v>
      </c>
      <c r="J77" s="16">
        <v>1509.96</v>
      </c>
      <c r="K77" s="16">
        <v>978.21</v>
      </c>
      <c r="L77" s="16">
        <v>0</v>
      </c>
      <c r="M77" s="16">
        <v>0</v>
      </c>
      <c r="N77" s="16">
        <v>31.7</v>
      </c>
      <c r="O77" s="16">
        <v>0</v>
      </c>
      <c r="P77" s="16">
        <v>0</v>
      </c>
      <c r="Q77" s="16">
        <v>0</v>
      </c>
      <c r="R77" s="8">
        <f t="shared" si="67"/>
        <v>84740.91</v>
      </c>
      <c r="S77" s="363">
        <f t="shared" si="68"/>
        <v>25448.49</v>
      </c>
      <c r="T77" s="363">
        <f t="shared" si="68"/>
        <v>5684.0799999999981</v>
      </c>
      <c r="U77" s="363">
        <f t="shared" si="68"/>
        <v>1811.59</v>
      </c>
      <c r="V77" s="363">
        <f t="shared" si="68"/>
        <v>911.87000000000012</v>
      </c>
      <c r="W77" s="363">
        <f t="shared" si="69"/>
        <v>47693.17</v>
      </c>
      <c r="X77" s="363">
        <f t="shared" si="70"/>
        <v>3191.71</v>
      </c>
      <c r="AA77" s="372"/>
      <c r="AI77" s="363"/>
      <c r="AJ77" s="363"/>
      <c r="AK77" s="363"/>
      <c r="AL77" s="363"/>
      <c r="AM77" s="363"/>
      <c r="AN77" s="363"/>
    </row>
    <row r="78" spans="1:40">
      <c r="A78" s="2" t="s">
        <v>80</v>
      </c>
      <c r="B78" s="16">
        <v>84060.35</v>
      </c>
      <c r="C78" s="16">
        <v>14989.949999999997</v>
      </c>
      <c r="D78" s="16">
        <v>1320.93</v>
      </c>
      <c r="E78" s="16">
        <v>2058.1899999999996</v>
      </c>
      <c r="F78" s="16">
        <v>81191.429999999993</v>
      </c>
      <c r="G78" s="16">
        <v>3152.01</v>
      </c>
      <c r="H78" s="16">
        <v>2336.52</v>
      </c>
      <c r="I78" s="16">
        <v>0</v>
      </c>
      <c r="J78" s="16">
        <v>3637.48</v>
      </c>
      <c r="K78" s="16">
        <v>217.38</v>
      </c>
      <c r="L78" s="16">
        <v>0</v>
      </c>
      <c r="M78" s="16">
        <v>1078.9100000000001</v>
      </c>
      <c r="N78" s="16">
        <v>63.4</v>
      </c>
      <c r="O78" s="16">
        <v>0</v>
      </c>
      <c r="P78" s="16">
        <v>0</v>
      </c>
      <c r="Q78" s="16">
        <v>0</v>
      </c>
      <c r="R78" s="8">
        <f t="shared" si="67"/>
        <v>194106.55</v>
      </c>
      <c r="S78" s="363">
        <f t="shared" si="68"/>
        <v>84060.35</v>
      </c>
      <c r="T78" s="363">
        <f t="shared" si="68"/>
        <v>14989.949999999997</v>
      </c>
      <c r="U78" s="363">
        <f t="shared" si="68"/>
        <v>1320.93</v>
      </c>
      <c r="V78" s="363">
        <f t="shared" si="68"/>
        <v>2058.1899999999996</v>
      </c>
      <c r="W78" s="363">
        <f t="shared" si="69"/>
        <v>84343.439999999988</v>
      </c>
      <c r="X78" s="363">
        <f t="shared" si="70"/>
        <v>7333.69</v>
      </c>
      <c r="AA78" s="372"/>
      <c r="AI78" s="363"/>
      <c r="AJ78" s="363"/>
      <c r="AK78" s="363"/>
      <c r="AL78" s="363"/>
      <c r="AM78" s="363"/>
      <c r="AN78" s="363"/>
    </row>
    <row r="79" spans="1:40">
      <c r="A79" s="2" t="s">
        <v>81</v>
      </c>
      <c r="B79" s="16">
        <v>213812.18</v>
      </c>
      <c r="C79" s="16">
        <v>32599.420000000013</v>
      </c>
      <c r="D79" s="16">
        <v>3136.05</v>
      </c>
      <c r="E79" s="16">
        <v>5143.97</v>
      </c>
      <c r="F79" s="16">
        <v>217162.62</v>
      </c>
      <c r="G79" s="16">
        <v>7173.5400000000009</v>
      </c>
      <c r="H79" s="16">
        <v>6842.1200000000008</v>
      </c>
      <c r="I79" s="16">
        <v>0</v>
      </c>
      <c r="J79" s="16">
        <v>8312.2899999999991</v>
      </c>
      <c r="K79" s="16">
        <v>1630.35</v>
      </c>
      <c r="L79" s="16">
        <v>217.38</v>
      </c>
      <c r="M79" s="16">
        <v>0</v>
      </c>
      <c r="N79" s="16">
        <v>285.3</v>
      </c>
      <c r="O79" s="16">
        <v>0</v>
      </c>
      <c r="P79" s="16">
        <v>0</v>
      </c>
      <c r="Q79" s="16">
        <v>0</v>
      </c>
      <c r="R79" s="8">
        <f t="shared" si="67"/>
        <v>496315.21999999991</v>
      </c>
      <c r="S79" s="363">
        <f t="shared" si="68"/>
        <v>213812.18</v>
      </c>
      <c r="T79" s="363">
        <f t="shared" si="68"/>
        <v>32599.420000000013</v>
      </c>
      <c r="U79" s="363">
        <f t="shared" si="68"/>
        <v>3136.05</v>
      </c>
      <c r="V79" s="363">
        <f t="shared" si="68"/>
        <v>5143.97</v>
      </c>
      <c r="W79" s="363">
        <f t="shared" si="69"/>
        <v>224336.16</v>
      </c>
      <c r="X79" s="363">
        <f t="shared" si="70"/>
        <v>17287.439999999999</v>
      </c>
      <c r="AA79" s="372"/>
      <c r="AI79" s="363"/>
      <c r="AJ79" s="363"/>
      <c r="AK79" s="363"/>
      <c r="AL79" s="363"/>
      <c r="AM79" s="363"/>
      <c r="AN79" s="363"/>
    </row>
    <row r="80" spans="1:40">
      <c r="A80" s="2" t="s">
        <v>82</v>
      </c>
      <c r="B80" s="16">
        <v>162163.20000000001</v>
      </c>
      <c r="C80" s="16">
        <v>63359.76999999999</v>
      </c>
      <c r="D80" s="16">
        <v>2280.4299999999998</v>
      </c>
      <c r="E80" s="16">
        <v>4261.0499999999993</v>
      </c>
      <c r="F80" s="16">
        <v>168795.57</v>
      </c>
      <c r="G80" s="16">
        <v>4999.74</v>
      </c>
      <c r="H80" s="16">
        <v>10229.44</v>
      </c>
      <c r="I80" s="16">
        <v>0</v>
      </c>
      <c r="J80" s="16">
        <v>15418.390000000001</v>
      </c>
      <c r="K80" s="16">
        <v>326.07</v>
      </c>
      <c r="L80" s="16">
        <v>0</v>
      </c>
      <c r="M80" s="16">
        <v>443.83</v>
      </c>
      <c r="N80" s="16">
        <v>285.3</v>
      </c>
      <c r="O80" s="16">
        <v>0</v>
      </c>
      <c r="P80" s="16">
        <v>0</v>
      </c>
      <c r="Q80" s="16">
        <v>0</v>
      </c>
      <c r="R80" s="8">
        <f t="shared" si="67"/>
        <v>432562.79000000004</v>
      </c>
      <c r="S80" s="363">
        <f t="shared" si="68"/>
        <v>162163.20000000001</v>
      </c>
      <c r="T80" s="363">
        <f t="shared" si="68"/>
        <v>63359.76999999999</v>
      </c>
      <c r="U80" s="363">
        <f t="shared" si="68"/>
        <v>2280.4299999999998</v>
      </c>
      <c r="V80" s="363">
        <f t="shared" si="68"/>
        <v>4261.0499999999993</v>
      </c>
      <c r="W80" s="363">
        <f t="shared" si="69"/>
        <v>173795.31</v>
      </c>
      <c r="X80" s="363">
        <f t="shared" si="70"/>
        <v>26703.030000000002</v>
      </c>
      <c r="AA80" s="372"/>
      <c r="AI80" s="363"/>
      <c r="AJ80" s="363"/>
      <c r="AK80" s="363"/>
      <c r="AL80" s="363"/>
      <c r="AM80" s="363"/>
      <c r="AN80" s="363"/>
    </row>
    <row r="81" spans="1:40">
      <c r="A81" s="2" t="s">
        <v>83</v>
      </c>
      <c r="B81" s="16">
        <v>231399.74</v>
      </c>
      <c r="C81" s="16">
        <v>73757.330000000016</v>
      </c>
      <c r="D81" s="16">
        <v>3718.65</v>
      </c>
      <c r="E81" s="16">
        <v>5312.4500000000007</v>
      </c>
      <c r="F81" s="16">
        <v>164339.28</v>
      </c>
      <c r="G81" s="16">
        <v>5217.12</v>
      </c>
      <c r="H81" s="16">
        <v>12138.710000000001</v>
      </c>
      <c r="I81" s="16">
        <v>293.85000000000002</v>
      </c>
      <c r="J81" s="16">
        <v>17965.63</v>
      </c>
      <c r="K81" s="16">
        <v>1847.73</v>
      </c>
      <c r="L81" s="16">
        <v>0</v>
      </c>
      <c r="M81" s="16">
        <v>2314</v>
      </c>
      <c r="N81" s="16">
        <v>729.1</v>
      </c>
      <c r="O81" s="16">
        <v>0</v>
      </c>
      <c r="P81" s="16">
        <v>0</v>
      </c>
      <c r="Q81" s="16">
        <v>0</v>
      </c>
      <c r="R81" s="8">
        <f t="shared" si="67"/>
        <v>519033.59</v>
      </c>
      <c r="S81" s="363">
        <f t="shared" si="68"/>
        <v>231399.74</v>
      </c>
      <c r="T81" s="363">
        <f t="shared" si="68"/>
        <v>73757.330000000016</v>
      </c>
      <c r="U81" s="363">
        <f t="shared" si="68"/>
        <v>3718.65</v>
      </c>
      <c r="V81" s="363">
        <f t="shared" si="68"/>
        <v>5312.4500000000007</v>
      </c>
      <c r="W81" s="363">
        <f t="shared" si="69"/>
        <v>169556.4</v>
      </c>
      <c r="X81" s="363">
        <f t="shared" si="70"/>
        <v>35289.019999999997</v>
      </c>
      <c r="AA81" s="372"/>
      <c r="AI81" s="363"/>
      <c r="AJ81" s="363"/>
      <c r="AK81" s="363"/>
      <c r="AL81" s="363"/>
      <c r="AM81" s="363"/>
      <c r="AN81" s="363"/>
    </row>
    <row r="82" spans="1:40">
      <c r="A82" s="2" t="s">
        <v>84</v>
      </c>
      <c r="B82" s="16">
        <v>147398.6</v>
      </c>
      <c r="C82" s="16">
        <v>19541.97</v>
      </c>
      <c r="D82" s="16">
        <v>2741.18</v>
      </c>
      <c r="E82" s="16">
        <v>4175.9600000000009</v>
      </c>
      <c r="F82" s="16">
        <v>167165.22</v>
      </c>
      <c r="G82" s="16">
        <v>4347.6000000000004</v>
      </c>
      <c r="H82" s="16">
        <v>4096.67</v>
      </c>
      <c r="I82" s="16">
        <v>1228.4000000000001</v>
      </c>
      <c r="J82" s="16">
        <v>5300.26</v>
      </c>
      <c r="K82" s="16">
        <v>1739.04</v>
      </c>
      <c r="L82" s="16">
        <v>0</v>
      </c>
      <c r="M82" s="16">
        <v>0</v>
      </c>
      <c r="N82" s="16">
        <v>95.1</v>
      </c>
      <c r="O82" s="16">
        <v>0</v>
      </c>
      <c r="P82" s="16">
        <v>0</v>
      </c>
      <c r="Q82" s="16">
        <v>0</v>
      </c>
      <c r="R82" s="8">
        <f t="shared" si="67"/>
        <v>357829.99999999994</v>
      </c>
      <c r="S82" s="363">
        <f t="shared" si="68"/>
        <v>147398.6</v>
      </c>
      <c r="T82" s="363">
        <f t="shared" si="68"/>
        <v>19541.97</v>
      </c>
      <c r="U82" s="363">
        <f t="shared" si="68"/>
        <v>2741.18</v>
      </c>
      <c r="V82" s="363">
        <f t="shared" si="68"/>
        <v>4175.9600000000009</v>
      </c>
      <c r="W82" s="363">
        <f t="shared" si="69"/>
        <v>171512.82</v>
      </c>
      <c r="X82" s="363">
        <f t="shared" si="70"/>
        <v>12459.47</v>
      </c>
      <c r="AA82" s="372"/>
      <c r="AI82" s="363"/>
      <c r="AJ82" s="363"/>
      <c r="AK82" s="363"/>
      <c r="AL82" s="363"/>
      <c r="AM82" s="363"/>
      <c r="AN82" s="363"/>
    </row>
    <row r="83" spans="1:40">
      <c r="A83" s="2" t="s">
        <v>85</v>
      </c>
      <c r="B83" s="16">
        <v>191198.05</v>
      </c>
      <c r="C83" s="16">
        <v>37218.99000000002</v>
      </c>
      <c r="D83" s="16">
        <v>4169.8900000000003</v>
      </c>
      <c r="E83" s="16">
        <v>6975.829999999999</v>
      </c>
      <c r="F83" s="16">
        <v>318570.39</v>
      </c>
      <c r="G83" s="16">
        <v>6086.6399999999994</v>
      </c>
      <c r="H83" s="16">
        <v>6719.74</v>
      </c>
      <c r="I83" s="16">
        <v>302.3</v>
      </c>
      <c r="J83" s="16">
        <v>9409.66</v>
      </c>
      <c r="K83" s="16">
        <v>434.76</v>
      </c>
      <c r="L83" s="16">
        <v>0</v>
      </c>
      <c r="M83" s="16">
        <v>0</v>
      </c>
      <c r="N83" s="16">
        <v>348.7</v>
      </c>
      <c r="O83" s="16">
        <v>0</v>
      </c>
      <c r="P83" s="16">
        <v>0</v>
      </c>
      <c r="Q83" s="16">
        <v>0</v>
      </c>
      <c r="R83" s="8">
        <f t="shared" si="67"/>
        <v>581434.95000000007</v>
      </c>
      <c r="S83" s="363">
        <f t="shared" si="68"/>
        <v>191198.05</v>
      </c>
      <c r="T83" s="363">
        <f t="shared" si="68"/>
        <v>37218.99000000002</v>
      </c>
      <c r="U83" s="363">
        <f t="shared" si="68"/>
        <v>4169.8900000000003</v>
      </c>
      <c r="V83" s="363">
        <f t="shared" si="68"/>
        <v>6975.829999999999</v>
      </c>
      <c r="W83" s="363">
        <f t="shared" si="69"/>
        <v>324657.03000000003</v>
      </c>
      <c r="X83" s="363">
        <f t="shared" si="70"/>
        <v>17215.16</v>
      </c>
      <c r="AA83" s="372"/>
      <c r="AI83" s="363"/>
      <c r="AJ83" s="363"/>
      <c r="AK83" s="363"/>
      <c r="AL83" s="363"/>
      <c r="AM83" s="363"/>
      <c r="AN83" s="363"/>
    </row>
    <row r="84" spans="1:40">
      <c r="A84" s="2" t="s">
        <v>86</v>
      </c>
      <c r="B84" s="16">
        <v>69107.48</v>
      </c>
      <c r="C84" s="16">
        <v>10611.080000000002</v>
      </c>
      <c r="D84" s="16">
        <v>2043.75</v>
      </c>
      <c r="E84" s="16">
        <v>2135.92</v>
      </c>
      <c r="F84" s="16">
        <v>72496.23</v>
      </c>
      <c r="G84" s="16">
        <v>2282.4899999999998</v>
      </c>
      <c r="H84" s="16">
        <v>2117.2600000000002</v>
      </c>
      <c r="I84" s="16">
        <v>0</v>
      </c>
      <c r="J84" s="16">
        <v>2867.7400000000002</v>
      </c>
      <c r="K84" s="16">
        <v>326.07</v>
      </c>
      <c r="L84" s="16">
        <v>0</v>
      </c>
      <c r="M84" s="16">
        <v>0</v>
      </c>
      <c r="N84" s="16">
        <v>126.8</v>
      </c>
      <c r="O84" s="16">
        <v>0</v>
      </c>
      <c r="P84" s="16">
        <v>0</v>
      </c>
      <c r="Q84" s="16">
        <v>0</v>
      </c>
      <c r="R84" s="8">
        <f t="shared" si="67"/>
        <v>164114.81999999998</v>
      </c>
      <c r="S84" s="363">
        <f t="shared" si="68"/>
        <v>69107.48</v>
      </c>
      <c r="T84" s="363">
        <f t="shared" si="68"/>
        <v>10611.080000000002</v>
      </c>
      <c r="U84" s="363">
        <f t="shared" si="68"/>
        <v>2043.75</v>
      </c>
      <c r="V84" s="363">
        <f t="shared" si="68"/>
        <v>2135.92</v>
      </c>
      <c r="W84" s="363">
        <f t="shared" si="69"/>
        <v>74778.720000000001</v>
      </c>
      <c r="X84" s="363">
        <f t="shared" si="70"/>
        <v>5437.87</v>
      </c>
      <c r="AA84" s="372"/>
      <c r="AI84" s="363"/>
      <c r="AJ84" s="363"/>
      <c r="AK84" s="363"/>
      <c r="AL84" s="363"/>
      <c r="AM84" s="363"/>
      <c r="AN84" s="363"/>
    </row>
    <row r="85" spans="1:40">
      <c r="A85" s="2" t="s">
        <v>87</v>
      </c>
      <c r="B85" s="16">
        <v>152281.91</v>
      </c>
      <c r="C85" s="16">
        <v>19566.579999999987</v>
      </c>
      <c r="D85" s="16">
        <v>3658.44</v>
      </c>
      <c r="E85" s="16">
        <v>1959.8300000000004</v>
      </c>
      <c r="F85" s="16">
        <v>350742.63</v>
      </c>
      <c r="G85" s="16">
        <v>4782.3599999999997</v>
      </c>
      <c r="H85" s="16">
        <v>3752.26</v>
      </c>
      <c r="I85" s="16">
        <v>2648.82</v>
      </c>
      <c r="J85" s="16">
        <v>4557.83</v>
      </c>
      <c r="K85" s="16">
        <v>869.52</v>
      </c>
      <c r="L85" s="16">
        <v>0</v>
      </c>
      <c r="M85" s="16">
        <v>580.17999999999995</v>
      </c>
      <c r="N85" s="16">
        <v>253.6</v>
      </c>
      <c r="O85" s="16">
        <v>0</v>
      </c>
      <c r="P85" s="16">
        <v>0</v>
      </c>
      <c r="Q85" s="16">
        <v>0</v>
      </c>
      <c r="R85" s="8">
        <f t="shared" si="67"/>
        <v>545653.96</v>
      </c>
      <c r="S85" s="363">
        <f t="shared" si="68"/>
        <v>152281.91</v>
      </c>
      <c r="T85" s="363">
        <f t="shared" si="68"/>
        <v>19566.579999999987</v>
      </c>
      <c r="U85" s="363">
        <f t="shared" si="68"/>
        <v>3658.44</v>
      </c>
      <c r="V85" s="363">
        <f t="shared" si="68"/>
        <v>1959.8300000000004</v>
      </c>
      <c r="W85" s="363">
        <f t="shared" si="69"/>
        <v>355524.99</v>
      </c>
      <c r="X85" s="363">
        <f t="shared" si="70"/>
        <v>12662.210000000001</v>
      </c>
      <c r="AA85" s="372"/>
      <c r="AI85" s="363"/>
      <c r="AJ85" s="363"/>
      <c r="AK85" s="363"/>
      <c r="AL85" s="363"/>
      <c r="AM85" s="363"/>
      <c r="AN85" s="363"/>
    </row>
    <row r="86" spans="1:40">
      <c r="A86" s="2" t="s">
        <v>88</v>
      </c>
      <c r="B86" s="16">
        <v>98434.68</v>
      </c>
      <c r="C86" s="16">
        <v>25258.030000000013</v>
      </c>
      <c r="D86" s="16">
        <v>4753.21</v>
      </c>
      <c r="E86" s="16">
        <v>11389.130000000001</v>
      </c>
      <c r="F86" s="16">
        <v>201837.33</v>
      </c>
      <c r="G86" s="16">
        <v>3586.77</v>
      </c>
      <c r="H86" s="16">
        <v>12882.83</v>
      </c>
      <c r="I86" s="16">
        <v>773.53</v>
      </c>
      <c r="J86" s="16">
        <v>4860.38</v>
      </c>
      <c r="K86" s="16">
        <v>2065.11</v>
      </c>
      <c r="L86" s="16">
        <v>0</v>
      </c>
      <c r="M86" s="16">
        <v>0</v>
      </c>
      <c r="N86" s="16">
        <v>158.5</v>
      </c>
      <c r="O86" s="16">
        <v>0</v>
      </c>
      <c r="P86" s="16">
        <v>110.92</v>
      </c>
      <c r="Q86" s="16">
        <v>0</v>
      </c>
      <c r="R86" s="8">
        <f t="shared" si="67"/>
        <v>366110.42000000004</v>
      </c>
      <c r="S86" s="363">
        <f t="shared" si="68"/>
        <v>98434.68</v>
      </c>
      <c r="T86" s="363">
        <f t="shared" si="68"/>
        <v>25258.030000000013</v>
      </c>
      <c r="U86" s="363">
        <f t="shared" si="68"/>
        <v>4753.21</v>
      </c>
      <c r="V86" s="363">
        <f t="shared" si="68"/>
        <v>11389.130000000001</v>
      </c>
      <c r="W86" s="363">
        <f t="shared" si="69"/>
        <v>205424.09999999998</v>
      </c>
      <c r="X86" s="363">
        <f t="shared" si="70"/>
        <v>20851.27</v>
      </c>
      <c r="AA86" s="372"/>
      <c r="AI86" s="363"/>
      <c r="AJ86" s="363"/>
      <c r="AK86" s="363"/>
      <c r="AL86" s="363"/>
      <c r="AM86" s="363"/>
      <c r="AN86" s="363"/>
    </row>
    <row r="87" spans="1:40">
      <c r="A87" s="2" t="s">
        <v>89</v>
      </c>
      <c r="B87" s="16">
        <v>605480.76</v>
      </c>
      <c r="C87" s="16">
        <v>118627.87</v>
      </c>
      <c r="D87" s="16">
        <v>12378.26</v>
      </c>
      <c r="E87" s="16">
        <v>24927.690000000002</v>
      </c>
      <c r="F87" s="16">
        <v>599642.73</v>
      </c>
      <c r="G87" s="16">
        <v>12934.11</v>
      </c>
      <c r="H87" s="16">
        <v>24152.670000000006</v>
      </c>
      <c r="I87" s="16">
        <v>0</v>
      </c>
      <c r="J87" s="16">
        <v>30620.989999999998</v>
      </c>
      <c r="K87" s="16">
        <v>2282.4899999999998</v>
      </c>
      <c r="L87" s="16">
        <v>217.38</v>
      </c>
      <c r="M87" s="16">
        <v>0</v>
      </c>
      <c r="N87" s="16">
        <v>887.6</v>
      </c>
      <c r="O87" s="16">
        <v>0</v>
      </c>
      <c r="P87" s="16">
        <v>0</v>
      </c>
      <c r="Q87" s="16">
        <v>0</v>
      </c>
      <c r="R87" s="8">
        <f t="shared" si="67"/>
        <v>1432152.55</v>
      </c>
      <c r="S87" s="363">
        <f t="shared" si="68"/>
        <v>605480.76</v>
      </c>
      <c r="T87" s="363">
        <f t="shared" si="68"/>
        <v>118627.87</v>
      </c>
      <c r="U87" s="363">
        <f t="shared" si="68"/>
        <v>12378.26</v>
      </c>
      <c r="V87" s="363">
        <f t="shared" si="68"/>
        <v>24927.690000000002</v>
      </c>
      <c r="W87" s="363">
        <f t="shared" si="69"/>
        <v>612576.84</v>
      </c>
      <c r="X87" s="363">
        <f t="shared" si="70"/>
        <v>58161.13</v>
      </c>
      <c r="AA87" s="372"/>
      <c r="AI87" s="363"/>
      <c r="AJ87" s="363"/>
      <c r="AK87" s="363"/>
      <c r="AL87" s="363"/>
      <c r="AM87" s="363"/>
      <c r="AN87" s="363"/>
    </row>
    <row r="88" spans="1:40">
      <c r="A88" s="2" t="s">
        <v>90</v>
      </c>
      <c r="B88" s="16">
        <v>89362.98</v>
      </c>
      <c r="C88" s="16">
        <v>24806.010000000009</v>
      </c>
      <c r="D88" s="16">
        <v>1944.4</v>
      </c>
      <c r="E88" s="16">
        <v>3146.6</v>
      </c>
      <c r="F88" s="16">
        <v>124743.24</v>
      </c>
      <c r="G88" s="16">
        <v>3695.46</v>
      </c>
      <c r="H88" s="16">
        <v>4710.5100000000011</v>
      </c>
      <c r="I88" s="16">
        <v>0</v>
      </c>
      <c r="J88" s="16">
        <v>6356.9299999999994</v>
      </c>
      <c r="K88" s="16">
        <v>760.83</v>
      </c>
      <c r="L88" s="16">
        <v>0</v>
      </c>
      <c r="M88" s="16">
        <v>0</v>
      </c>
      <c r="N88" s="16">
        <v>158.5</v>
      </c>
      <c r="O88" s="16">
        <v>0</v>
      </c>
      <c r="P88" s="16">
        <v>0</v>
      </c>
      <c r="Q88" s="16">
        <v>0</v>
      </c>
      <c r="R88" s="8">
        <f t="shared" si="67"/>
        <v>259685.46</v>
      </c>
      <c r="S88" s="363">
        <f t="shared" si="68"/>
        <v>89362.98</v>
      </c>
      <c r="T88" s="363">
        <f t="shared" si="68"/>
        <v>24806.010000000009</v>
      </c>
      <c r="U88" s="363">
        <f t="shared" si="68"/>
        <v>1944.4</v>
      </c>
      <c r="V88" s="363">
        <f t="shared" si="68"/>
        <v>3146.6</v>
      </c>
      <c r="W88" s="363">
        <f t="shared" si="69"/>
        <v>128438.70000000001</v>
      </c>
      <c r="X88" s="363">
        <f t="shared" si="70"/>
        <v>11986.77</v>
      </c>
      <c r="AA88" s="372"/>
      <c r="AI88" s="363"/>
      <c r="AJ88" s="363"/>
      <c r="AK88" s="363"/>
      <c r="AL88" s="363"/>
      <c r="AM88" s="363"/>
      <c r="AN88" s="363"/>
    </row>
    <row r="89" spans="1:40">
      <c r="A89" s="2" t="s">
        <v>91</v>
      </c>
      <c r="B89" s="16">
        <v>96107.06</v>
      </c>
      <c r="C89" s="16">
        <v>29800.949999999997</v>
      </c>
      <c r="D89" s="16">
        <v>1361.08</v>
      </c>
      <c r="E89" s="16">
        <v>2245.7199999999998</v>
      </c>
      <c r="F89" s="16">
        <v>105972.75</v>
      </c>
      <c r="G89" s="16">
        <v>5325.8099999999995</v>
      </c>
      <c r="H89" s="16">
        <v>4665.4099999999989</v>
      </c>
      <c r="I89" s="16">
        <v>0</v>
      </c>
      <c r="J89" s="16">
        <v>7086.5500000000011</v>
      </c>
      <c r="K89" s="16">
        <v>108.69</v>
      </c>
      <c r="L89" s="16">
        <v>0</v>
      </c>
      <c r="M89" s="16">
        <v>0</v>
      </c>
      <c r="N89" s="16">
        <v>126.8</v>
      </c>
      <c r="O89" s="16">
        <v>0</v>
      </c>
      <c r="P89" s="16">
        <v>35.72</v>
      </c>
      <c r="Q89" s="16">
        <v>728.17</v>
      </c>
      <c r="R89" s="8">
        <f t="shared" si="67"/>
        <v>253564.71</v>
      </c>
      <c r="S89" s="363">
        <f t="shared" si="68"/>
        <v>96107.06</v>
      </c>
      <c r="T89" s="363">
        <f t="shared" si="68"/>
        <v>29800.949999999997</v>
      </c>
      <c r="U89" s="363">
        <f t="shared" si="68"/>
        <v>1361.08</v>
      </c>
      <c r="V89" s="363">
        <f t="shared" si="68"/>
        <v>2245.7199999999998</v>
      </c>
      <c r="W89" s="363">
        <f t="shared" si="69"/>
        <v>111298.56</v>
      </c>
      <c r="X89" s="363">
        <f t="shared" si="70"/>
        <v>12751.339999999998</v>
      </c>
      <c r="AA89" s="372"/>
      <c r="AI89" s="363"/>
      <c r="AJ89" s="363"/>
      <c r="AK89" s="363"/>
      <c r="AL89" s="363"/>
      <c r="AM89" s="363"/>
      <c r="AN89" s="363"/>
    </row>
    <row r="90" spans="1:40">
      <c r="A90" s="2" t="s">
        <v>92</v>
      </c>
      <c r="B90" s="16">
        <v>430908.84</v>
      </c>
      <c r="C90" s="16">
        <v>73479.109999999986</v>
      </c>
      <c r="D90" s="16">
        <v>11414.79</v>
      </c>
      <c r="E90" s="16">
        <v>17032.12</v>
      </c>
      <c r="F90" s="16">
        <v>670725.99</v>
      </c>
      <c r="G90" s="16">
        <v>13260.18</v>
      </c>
      <c r="H90" s="16">
        <v>14850.07</v>
      </c>
      <c r="I90" s="16">
        <v>13142.42</v>
      </c>
      <c r="J90" s="16">
        <v>19587.550000000003</v>
      </c>
      <c r="K90" s="16">
        <v>2717.25</v>
      </c>
      <c r="L90" s="16">
        <v>0</v>
      </c>
      <c r="M90" s="16">
        <v>0</v>
      </c>
      <c r="N90" s="16">
        <v>475.5</v>
      </c>
      <c r="O90" s="16">
        <v>0</v>
      </c>
      <c r="P90" s="16">
        <v>0</v>
      </c>
      <c r="Q90" s="16">
        <v>0</v>
      </c>
      <c r="R90" s="8">
        <f t="shared" si="67"/>
        <v>1267593.82</v>
      </c>
      <c r="S90" s="363">
        <f t="shared" si="68"/>
        <v>430908.84</v>
      </c>
      <c r="T90" s="363">
        <f t="shared" si="68"/>
        <v>73479.109999999986</v>
      </c>
      <c r="U90" s="363">
        <f t="shared" si="68"/>
        <v>11414.79</v>
      </c>
      <c r="V90" s="363">
        <f t="shared" si="68"/>
        <v>17032.12</v>
      </c>
      <c r="W90" s="363">
        <f t="shared" si="69"/>
        <v>683986.17</v>
      </c>
      <c r="X90" s="363">
        <f t="shared" si="70"/>
        <v>50772.79</v>
      </c>
      <c r="AA90" s="372"/>
      <c r="AI90" s="363"/>
      <c r="AJ90" s="363"/>
      <c r="AK90" s="363"/>
      <c r="AL90" s="363"/>
      <c r="AM90" s="363"/>
      <c r="AN90" s="363"/>
    </row>
    <row r="91" spans="1:40">
      <c r="A91" s="2" t="s">
        <v>93</v>
      </c>
      <c r="B91" s="16">
        <v>164882.82</v>
      </c>
      <c r="C91" s="16">
        <v>54907.789999999979</v>
      </c>
      <c r="D91" s="16">
        <v>2539</v>
      </c>
      <c r="E91" s="16">
        <v>9226.89</v>
      </c>
      <c r="F91" s="16">
        <v>158796.09</v>
      </c>
      <c r="G91" s="16">
        <v>6304.02</v>
      </c>
      <c r="H91" s="16">
        <v>8983.5400000000009</v>
      </c>
      <c r="I91" s="16">
        <v>1040.58</v>
      </c>
      <c r="J91" s="16">
        <v>14083.95</v>
      </c>
      <c r="K91" s="16">
        <v>543.45000000000005</v>
      </c>
      <c r="L91" s="16">
        <v>0</v>
      </c>
      <c r="M91" s="16">
        <v>0</v>
      </c>
      <c r="N91" s="16">
        <v>412.1</v>
      </c>
      <c r="O91" s="16">
        <v>0</v>
      </c>
      <c r="P91" s="16">
        <v>0</v>
      </c>
      <c r="Q91" s="16">
        <v>0</v>
      </c>
      <c r="R91" s="8">
        <f t="shared" si="67"/>
        <v>421720.23</v>
      </c>
      <c r="S91" s="363">
        <f t="shared" si="68"/>
        <v>164882.82</v>
      </c>
      <c r="T91" s="363">
        <f t="shared" si="68"/>
        <v>54907.789999999979</v>
      </c>
      <c r="U91" s="363">
        <f t="shared" si="68"/>
        <v>2539</v>
      </c>
      <c r="V91" s="363">
        <f t="shared" si="68"/>
        <v>9226.89</v>
      </c>
      <c r="W91" s="363">
        <f t="shared" si="69"/>
        <v>165100.10999999999</v>
      </c>
      <c r="X91" s="363">
        <f t="shared" si="70"/>
        <v>25063.62</v>
      </c>
      <c r="AA91" s="372"/>
      <c r="AI91" s="363"/>
      <c r="AJ91" s="363"/>
      <c r="AK91" s="363"/>
      <c r="AL91" s="363"/>
      <c r="AM91" s="363"/>
      <c r="AN91" s="363"/>
    </row>
    <row r="92" spans="1:40">
      <c r="A92" s="2" t="s">
        <v>94</v>
      </c>
      <c r="B92" s="16">
        <v>53128.81</v>
      </c>
      <c r="C92" s="16">
        <v>5329.9599999999991</v>
      </c>
      <c r="D92" s="16">
        <v>452.28</v>
      </c>
      <c r="E92" s="16">
        <v>1696.09</v>
      </c>
      <c r="F92" s="16">
        <v>55105.83</v>
      </c>
      <c r="G92" s="16">
        <v>3912.8399999999997</v>
      </c>
      <c r="H92" s="16">
        <v>815.77</v>
      </c>
      <c r="I92" s="16">
        <v>0</v>
      </c>
      <c r="J92" s="16">
        <v>1446.2</v>
      </c>
      <c r="K92" s="16">
        <v>217.38</v>
      </c>
      <c r="L92" s="16">
        <v>0</v>
      </c>
      <c r="M92" s="16">
        <v>0</v>
      </c>
      <c r="N92" s="16">
        <v>31.7</v>
      </c>
      <c r="O92" s="16">
        <v>0</v>
      </c>
      <c r="P92" s="16">
        <v>0</v>
      </c>
      <c r="Q92" s="16">
        <v>0</v>
      </c>
      <c r="R92" s="8">
        <f t="shared" si="67"/>
        <v>122136.86</v>
      </c>
      <c r="S92" s="363">
        <f t="shared" si="68"/>
        <v>53128.81</v>
      </c>
      <c r="T92" s="363">
        <f t="shared" si="68"/>
        <v>5329.9599999999991</v>
      </c>
      <c r="U92" s="363">
        <f t="shared" si="68"/>
        <v>452.28</v>
      </c>
      <c r="V92" s="363">
        <f t="shared" si="68"/>
        <v>1696.09</v>
      </c>
      <c r="W92" s="363">
        <f t="shared" si="69"/>
        <v>59018.67</v>
      </c>
      <c r="X92" s="363">
        <f t="shared" si="70"/>
        <v>2511.0500000000002</v>
      </c>
      <c r="AA92" s="372"/>
      <c r="AI92" s="363"/>
      <c r="AJ92" s="363"/>
      <c r="AK92" s="363"/>
      <c r="AL92" s="363"/>
      <c r="AM92" s="363"/>
      <c r="AN92" s="363"/>
    </row>
    <row r="93" spans="1:40">
      <c r="A93" s="2" t="s">
        <v>95</v>
      </c>
      <c r="B93" s="16">
        <v>524919.65</v>
      </c>
      <c r="C93" s="16">
        <v>81805.289999999921</v>
      </c>
      <c r="D93" s="16">
        <v>11335.62</v>
      </c>
      <c r="E93" s="16">
        <v>10763.089999999998</v>
      </c>
      <c r="F93" s="16">
        <v>630065.18999999994</v>
      </c>
      <c r="G93" s="16">
        <v>19672.89</v>
      </c>
      <c r="H93" s="16">
        <v>12498.26</v>
      </c>
      <c r="I93" s="16">
        <v>552.22</v>
      </c>
      <c r="J93" s="16">
        <v>19903.5</v>
      </c>
      <c r="K93" s="16">
        <v>1304.28</v>
      </c>
      <c r="L93" s="16">
        <v>217.38</v>
      </c>
      <c r="M93" s="16">
        <v>0</v>
      </c>
      <c r="N93" s="16">
        <v>1486.77</v>
      </c>
      <c r="O93" s="16">
        <v>0</v>
      </c>
      <c r="P93" s="16">
        <v>32.31</v>
      </c>
      <c r="Q93" s="16">
        <v>1423.08</v>
      </c>
      <c r="R93" s="8">
        <f t="shared" si="67"/>
        <v>1315979.5299999998</v>
      </c>
      <c r="S93" s="363">
        <f t="shared" si="68"/>
        <v>524919.65</v>
      </c>
      <c r="T93" s="363">
        <f t="shared" si="68"/>
        <v>81805.289999999921</v>
      </c>
      <c r="U93" s="363">
        <f t="shared" si="68"/>
        <v>11335.62</v>
      </c>
      <c r="V93" s="363">
        <f t="shared" si="68"/>
        <v>10763.089999999998</v>
      </c>
      <c r="W93" s="363">
        <f t="shared" si="69"/>
        <v>649738.07999999996</v>
      </c>
      <c r="X93" s="363">
        <f t="shared" si="70"/>
        <v>37417.799999999988</v>
      </c>
      <c r="AA93" s="372"/>
      <c r="AI93" s="363"/>
      <c r="AJ93" s="363"/>
      <c r="AK93" s="363"/>
      <c r="AL93" s="363"/>
      <c r="AM93" s="363"/>
      <c r="AN93" s="363"/>
    </row>
    <row r="94" spans="1:40">
      <c r="A94" s="2" t="s">
        <v>96</v>
      </c>
      <c r="B94" s="16">
        <v>109504.24</v>
      </c>
      <c r="C94" s="16">
        <v>14857.979999999996</v>
      </c>
      <c r="D94" s="16">
        <v>955.29</v>
      </c>
      <c r="E94" s="16">
        <v>1795.2800000000002</v>
      </c>
      <c r="F94" s="16">
        <v>92386.5</v>
      </c>
      <c r="G94" s="16">
        <v>3695.46</v>
      </c>
      <c r="H94" s="16">
        <v>2777.74</v>
      </c>
      <c r="I94" s="16">
        <v>643.09</v>
      </c>
      <c r="J94" s="16">
        <v>3444.84</v>
      </c>
      <c r="K94" s="16">
        <v>652.14</v>
      </c>
      <c r="L94" s="16">
        <v>0</v>
      </c>
      <c r="M94" s="16">
        <v>0</v>
      </c>
      <c r="N94" s="16">
        <v>158.5</v>
      </c>
      <c r="O94" s="16">
        <v>0</v>
      </c>
      <c r="P94" s="16">
        <v>0</v>
      </c>
      <c r="Q94" s="16">
        <v>0</v>
      </c>
      <c r="R94" s="8">
        <f t="shared" si="67"/>
        <v>230871.05999999997</v>
      </c>
      <c r="S94" s="363">
        <f t="shared" si="68"/>
        <v>109504.24</v>
      </c>
      <c r="T94" s="363">
        <f t="shared" si="68"/>
        <v>14857.979999999996</v>
      </c>
      <c r="U94" s="363">
        <f t="shared" si="68"/>
        <v>955.29</v>
      </c>
      <c r="V94" s="363">
        <f t="shared" si="68"/>
        <v>1795.2800000000002</v>
      </c>
      <c r="W94" s="363">
        <f t="shared" si="69"/>
        <v>96081.96</v>
      </c>
      <c r="X94" s="363">
        <f t="shared" si="70"/>
        <v>7676.31</v>
      </c>
      <c r="AA94" s="372"/>
      <c r="AI94" s="363"/>
      <c r="AJ94" s="363"/>
      <c r="AK94" s="363"/>
      <c r="AL94" s="363"/>
      <c r="AM94" s="363"/>
      <c r="AN94" s="363"/>
    </row>
    <row r="95" spans="1:40">
      <c r="A95" s="2" t="s">
        <v>97</v>
      </c>
      <c r="B95" s="16">
        <v>655448.38</v>
      </c>
      <c r="C95" s="16">
        <v>124165.57999999996</v>
      </c>
      <c r="D95" s="16">
        <v>14378</v>
      </c>
      <c r="E95" s="16">
        <v>15656.129999999997</v>
      </c>
      <c r="F95" s="16">
        <v>881258.52</v>
      </c>
      <c r="G95" s="16">
        <v>19346.82</v>
      </c>
      <c r="H95" s="16">
        <v>26625.650000000005</v>
      </c>
      <c r="I95" s="16">
        <v>1633.17</v>
      </c>
      <c r="J95" s="16">
        <v>29782.75</v>
      </c>
      <c r="K95" s="16">
        <v>2173.8000000000002</v>
      </c>
      <c r="L95" s="16">
        <v>652.14</v>
      </c>
      <c r="M95" s="16">
        <v>1061.99</v>
      </c>
      <c r="N95" s="16">
        <v>824.2</v>
      </c>
      <c r="O95" s="16">
        <v>0</v>
      </c>
      <c r="P95" s="16">
        <v>0</v>
      </c>
      <c r="Q95" s="16">
        <v>0</v>
      </c>
      <c r="R95" s="8">
        <f t="shared" si="67"/>
        <v>1773007.1299999997</v>
      </c>
      <c r="S95" s="363">
        <f t="shared" si="68"/>
        <v>655448.38</v>
      </c>
      <c r="T95" s="363">
        <f t="shared" si="68"/>
        <v>124165.57999999996</v>
      </c>
      <c r="U95" s="363">
        <f t="shared" si="68"/>
        <v>14378</v>
      </c>
      <c r="V95" s="363">
        <f t="shared" si="68"/>
        <v>15656.129999999997</v>
      </c>
      <c r="W95" s="363">
        <f t="shared" si="69"/>
        <v>900605.34</v>
      </c>
      <c r="X95" s="363">
        <f t="shared" si="70"/>
        <v>62753.700000000004</v>
      </c>
      <c r="AA95" s="372"/>
      <c r="AI95" s="363"/>
      <c r="AJ95" s="363"/>
      <c r="AK95" s="363"/>
      <c r="AL95" s="363"/>
      <c r="AM95" s="363"/>
      <c r="AN95" s="363"/>
    </row>
    <row r="96" spans="1:40">
      <c r="A96" s="2" t="s">
        <v>98</v>
      </c>
      <c r="B96" s="16">
        <v>43358.91</v>
      </c>
      <c r="C96" s="16">
        <v>7042.5599999999977</v>
      </c>
      <c r="D96" s="16">
        <v>2159.9899999999998</v>
      </c>
      <c r="E96" s="16">
        <v>3518.6400000000003</v>
      </c>
      <c r="F96" s="16">
        <v>90104.01</v>
      </c>
      <c r="G96" s="16">
        <v>1739.04</v>
      </c>
      <c r="H96" s="16">
        <v>1145.25</v>
      </c>
      <c r="I96" s="16">
        <v>0</v>
      </c>
      <c r="J96" s="16">
        <v>2325.69</v>
      </c>
      <c r="K96" s="16">
        <v>217.38</v>
      </c>
      <c r="L96" s="16">
        <v>0</v>
      </c>
      <c r="M96" s="16">
        <v>0</v>
      </c>
      <c r="N96" s="16">
        <v>63.4</v>
      </c>
      <c r="O96" s="16">
        <v>0</v>
      </c>
      <c r="P96" s="16">
        <v>0</v>
      </c>
      <c r="Q96" s="16">
        <v>0</v>
      </c>
      <c r="R96" s="8">
        <f t="shared" si="67"/>
        <v>151674.87</v>
      </c>
      <c r="S96" s="363">
        <f t="shared" si="68"/>
        <v>43358.91</v>
      </c>
      <c r="T96" s="363">
        <f t="shared" si="68"/>
        <v>7042.5599999999977</v>
      </c>
      <c r="U96" s="363">
        <f t="shared" si="68"/>
        <v>2159.9899999999998</v>
      </c>
      <c r="V96" s="363">
        <f t="shared" si="68"/>
        <v>3518.6400000000003</v>
      </c>
      <c r="W96" s="363">
        <f t="shared" si="69"/>
        <v>91843.049999999988</v>
      </c>
      <c r="X96" s="363">
        <f t="shared" si="70"/>
        <v>3751.7200000000003</v>
      </c>
      <c r="AA96" s="372"/>
      <c r="AI96" s="363"/>
      <c r="AJ96" s="363"/>
      <c r="AK96" s="363"/>
      <c r="AL96" s="363"/>
      <c r="AM96" s="363"/>
      <c r="AN96" s="363"/>
    </row>
    <row r="97" spans="1:40">
      <c r="A97" s="2" t="s">
        <v>99</v>
      </c>
      <c r="B97" s="16">
        <v>7554.05</v>
      </c>
      <c r="C97" s="16">
        <v>788.50999999999931</v>
      </c>
      <c r="D97" s="16">
        <v>0</v>
      </c>
      <c r="E97" s="16">
        <v>47.62</v>
      </c>
      <c r="F97" s="16">
        <v>15977.43</v>
      </c>
      <c r="G97" s="16">
        <v>326.07</v>
      </c>
      <c r="H97" s="16">
        <v>78.44</v>
      </c>
      <c r="I97" s="16">
        <v>0</v>
      </c>
      <c r="J97" s="16">
        <v>182.91</v>
      </c>
      <c r="K97" s="16">
        <v>434.76</v>
      </c>
      <c r="L97" s="16">
        <v>0</v>
      </c>
      <c r="M97" s="16">
        <v>0</v>
      </c>
      <c r="N97" s="16">
        <v>63.4</v>
      </c>
      <c r="O97" s="16">
        <v>0</v>
      </c>
      <c r="P97" s="16">
        <v>0</v>
      </c>
      <c r="Q97" s="16">
        <v>0</v>
      </c>
      <c r="R97" s="8">
        <f t="shared" si="67"/>
        <v>25453.19</v>
      </c>
      <c r="S97" s="363">
        <f t="shared" si="68"/>
        <v>7554.05</v>
      </c>
      <c r="T97" s="363">
        <f t="shared" si="68"/>
        <v>788.50999999999931</v>
      </c>
      <c r="U97" s="363">
        <f t="shared" si="68"/>
        <v>0</v>
      </c>
      <c r="V97" s="363">
        <f t="shared" si="68"/>
        <v>47.62</v>
      </c>
      <c r="W97" s="363">
        <f t="shared" si="69"/>
        <v>16303.5</v>
      </c>
      <c r="X97" s="363">
        <f t="shared" si="70"/>
        <v>759.51</v>
      </c>
      <c r="AA97" s="372"/>
      <c r="AI97" s="363"/>
      <c r="AJ97" s="363"/>
      <c r="AK97" s="363"/>
      <c r="AL97" s="363"/>
      <c r="AM97" s="363"/>
      <c r="AN97" s="363"/>
    </row>
    <row r="98" spans="1:40">
      <c r="A98" s="2" t="s">
        <v>100</v>
      </c>
      <c r="B98" s="16">
        <v>516037.44</v>
      </c>
      <c r="C98" s="16">
        <v>118986.60000000003</v>
      </c>
      <c r="D98" s="16">
        <v>12114.79</v>
      </c>
      <c r="E98" s="16">
        <v>30874.07</v>
      </c>
      <c r="F98" s="16">
        <v>591817.05000000005</v>
      </c>
      <c r="G98" s="16">
        <v>5977.95</v>
      </c>
      <c r="H98" s="16">
        <v>23948.820000000003</v>
      </c>
      <c r="I98" s="16">
        <v>0</v>
      </c>
      <c r="J98" s="16">
        <v>33211.81</v>
      </c>
      <c r="K98" s="16">
        <v>2173.8000000000002</v>
      </c>
      <c r="L98" s="16">
        <v>0</v>
      </c>
      <c r="M98" s="16">
        <v>0</v>
      </c>
      <c r="N98" s="16">
        <v>855.9</v>
      </c>
      <c r="O98" s="16">
        <v>0</v>
      </c>
      <c r="P98" s="16">
        <v>0</v>
      </c>
      <c r="Q98" s="16">
        <v>0</v>
      </c>
      <c r="R98" s="8">
        <f t="shared" si="67"/>
        <v>1335998.2300000002</v>
      </c>
      <c r="S98" s="363">
        <f t="shared" si="68"/>
        <v>516037.44</v>
      </c>
      <c r="T98" s="363">
        <f t="shared" si="68"/>
        <v>118986.60000000003</v>
      </c>
      <c r="U98" s="363">
        <f t="shared" si="68"/>
        <v>12114.79</v>
      </c>
      <c r="V98" s="363">
        <f t="shared" si="68"/>
        <v>30874.07</v>
      </c>
      <c r="W98" s="363">
        <f t="shared" si="69"/>
        <v>597795</v>
      </c>
      <c r="X98" s="363">
        <f t="shared" si="70"/>
        <v>60190.330000000009</v>
      </c>
      <c r="AA98" s="372"/>
      <c r="AI98" s="363"/>
      <c r="AJ98" s="363"/>
      <c r="AK98" s="363"/>
      <c r="AL98" s="363"/>
      <c r="AM98" s="363"/>
      <c r="AN98" s="363"/>
    </row>
    <row r="99" spans="1:40">
      <c r="A99" s="2" t="s">
        <v>101</v>
      </c>
      <c r="B99" s="16">
        <v>1991373.02</v>
      </c>
      <c r="C99" s="16">
        <v>406286.2799999998</v>
      </c>
      <c r="D99" s="16">
        <v>37924.129999999997</v>
      </c>
      <c r="E99" s="16">
        <v>86130.69</v>
      </c>
      <c r="F99" s="16">
        <v>3351130.08</v>
      </c>
      <c r="G99" s="16">
        <v>44236.83</v>
      </c>
      <c r="H99" s="16">
        <v>115881.87999999999</v>
      </c>
      <c r="I99" s="16">
        <v>8652.27</v>
      </c>
      <c r="J99" s="16">
        <v>109735.24</v>
      </c>
      <c r="K99" s="16">
        <v>8043.06</v>
      </c>
      <c r="L99" s="16">
        <v>0</v>
      </c>
      <c r="M99" s="16">
        <v>0</v>
      </c>
      <c r="N99" s="16">
        <v>3518.7</v>
      </c>
      <c r="O99" s="16">
        <v>0</v>
      </c>
      <c r="P99" s="16">
        <v>0</v>
      </c>
      <c r="Q99" s="16">
        <v>0</v>
      </c>
      <c r="R99" s="8">
        <f t="shared" si="67"/>
        <v>6162912.1799999988</v>
      </c>
      <c r="S99" s="363">
        <f t="shared" si="68"/>
        <v>1991373.02</v>
      </c>
      <c r="T99" s="363">
        <f t="shared" si="68"/>
        <v>406286.2799999998</v>
      </c>
      <c r="U99" s="363">
        <f t="shared" si="68"/>
        <v>37924.129999999997</v>
      </c>
      <c r="V99" s="363">
        <f t="shared" si="68"/>
        <v>86130.69</v>
      </c>
      <c r="W99" s="363">
        <f t="shared" si="69"/>
        <v>3395366.91</v>
      </c>
      <c r="X99" s="363">
        <f t="shared" si="70"/>
        <v>245831.15000000002</v>
      </c>
      <c r="AA99" s="372"/>
      <c r="AI99" s="363"/>
      <c r="AJ99" s="363"/>
      <c r="AK99" s="363"/>
      <c r="AL99" s="363"/>
      <c r="AM99" s="363"/>
      <c r="AN99" s="363"/>
    </row>
    <row r="100" spans="1:40">
      <c r="A100" s="2" t="s">
        <v>102</v>
      </c>
      <c r="B100" s="16">
        <v>60925.66</v>
      </c>
      <c r="C100" s="16">
        <v>20724.669999999984</v>
      </c>
      <c r="D100" s="16">
        <v>961.62</v>
      </c>
      <c r="E100" s="16">
        <v>965.68</v>
      </c>
      <c r="F100" s="16">
        <v>64235.79</v>
      </c>
      <c r="G100" s="16">
        <v>2717.25</v>
      </c>
      <c r="H100" s="16">
        <v>1949.1399999999996</v>
      </c>
      <c r="I100" s="16">
        <v>0</v>
      </c>
      <c r="J100" s="16">
        <v>2674.3399999999997</v>
      </c>
      <c r="K100" s="16">
        <v>108.69</v>
      </c>
      <c r="L100" s="16">
        <v>0</v>
      </c>
      <c r="M100" s="16">
        <v>0</v>
      </c>
      <c r="N100" s="16">
        <v>31.7</v>
      </c>
      <c r="O100" s="16">
        <v>0</v>
      </c>
      <c r="P100" s="16">
        <v>0</v>
      </c>
      <c r="Q100" s="16">
        <v>0</v>
      </c>
      <c r="R100" s="8">
        <f t="shared" si="67"/>
        <v>155294.54</v>
      </c>
      <c r="S100" s="363">
        <f t="shared" si="68"/>
        <v>60925.66</v>
      </c>
      <c r="T100" s="363">
        <f t="shared" si="68"/>
        <v>20724.669999999984</v>
      </c>
      <c r="U100" s="363">
        <f t="shared" si="68"/>
        <v>961.62</v>
      </c>
      <c r="V100" s="363">
        <f t="shared" si="68"/>
        <v>965.68</v>
      </c>
      <c r="W100" s="363">
        <f t="shared" si="69"/>
        <v>66953.040000000008</v>
      </c>
      <c r="X100" s="363">
        <f t="shared" si="70"/>
        <v>4763.869999999999</v>
      </c>
      <c r="AA100" s="372"/>
      <c r="AI100" s="363"/>
      <c r="AJ100" s="363"/>
      <c r="AK100" s="363"/>
      <c r="AL100" s="363"/>
      <c r="AM100" s="363"/>
      <c r="AN100" s="363"/>
    </row>
    <row r="101" spans="1:40">
      <c r="A101" s="2" t="s">
        <v>103</v>
      </c>
      <c r="B101" s="16">
        <v>36644.019999999997</v>
      </c>
      <c r="C101" s="16">
        <v>5584.0400000000081</v>
      </c>
      <c r="D101" s="16">
        <v>822.5</v>
      </c>
      <c r="E101" s="16">
        <v>1573.88</v>
      </c>
      <c r="F101" s="16">
        <v>51736.44</v>
      </c>
      <c r="G101" s="16">
        <v>2282.4899999999998</v>
      </c>
      <c r="H101" s="16">
        <v>1399.2299999999998</v>
      </c>
      <c r="I101" s="16">
        <v>0</v>
      </c>
      <c r="J101" s="16">
        <v>1551.5800000000002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8">
        <f t="shared" si="67"/>
        <v>101594.18000000001</v>
      </c>
      <c r="S101" s="363">
        <f t="shared" si="68"/>
        <v>36644.019999999997</v>
      </c>
      <c r="T101" s="363">
        <f t="shared" si="68"/>
        <v>5584.0400000000081</v>
      </c>
      <c r="U101" s="363">
        <f t="shared" si="68"/>
        <v>822.5</v>
      </c>
      <c r="V101" s="363">
        <f t="shared" si="68"/>
        <v>1573.88</v>
      </c>
      <c r="W101" s="363">
        <f t="shared" si="69"/>
        <v>54018.93</v>
      </c>
      <c r="X101" s="363">
        <f t="shared" si="70"/>
        <v>2950.81</v>
      </c>
      <c r="AA101" s="372"/>
      <c r="AI101" s="363"/>
      <c r="AJ101" s="363"/>
      <c r="AK101" s="363"/>
      <c r="AL101" s="363"/>
      <c r="AM101" s="363"/>
      <c r="AN101" s="363"/>
    </row>
    <row r="102" spans="1:40">
      <c r="A102" s="6" t="s">
        <v>37</v>
      </c>
      <c r="B102" s="5">
        <f t="shared" ref="B102:X102" si="71">SUM(B75:B101)</f>
        <v>6858946.7699999996</v>
      </c>
      <c r="C102" s="5">
        <f t="shared" si="71"/>
        <v>1415494.13</v>
      </c>
      <c r="D102" s="5">
        <f t="shared" si="71"/>
        <v>141859.54</v>
      </c>
      <c r="E102" s="5">
        <f t="shared" si="71"/>
        <v>255692.09000000003</v>
      </c>
      <c r="F102" s="5">
        <f t="shared" si="71"/>
        <v>9370099.5399999972</v>
      </c>
      <c r="G102" s="5">
        <f t="shared" si="71"/>
        <v>195859.38</v>
      </c>
      <c r="H102" s="5">
        <f t="shared" si="71"/>
        <v>311759.65999999997</v>
      </c>
      <c r="I102" s="5">
        <f t="shared" si="71"/>
        <v>30910.650000000005</v>
      </c>
      <c r="J102" s="5">
        <f t="shared" si="71"/>
        <v>361542.77000000008</v>
      </c>
      <c r="K102" s="5">
        <f t="shared" si="71"/>
        <v>32389.62</v>
      </c>
      <c r="L102" s="5">
        <f t="shared" si="71"/>
        <v>1304.28</v>
      </c>
      <c r="M102" s="5">
        <f t="shared" si="71"/>
        <v>5478.91</v>
      </c>
      <c r="N102" s="5">
        <f t="shared" si="71"/>
        <v>11567.369999999999</v>
      </c>
      <c r="O102" s="5">
        <f t="shared" si="71"/>
        <v>0</v>
      </c>
      <c r="P102" s="5">
        <f t="shared" si="71"/>
        <v>178.95</v>
      </c>
      <c r="Q102" s="5">
        <f t="shared" si="71"/>
        <v>2151.25</v>
      </c>
      <c r="R102" s="8">
        <f t="shared" si="67"/>
        <v>18995234.909999996</v>
      </c>
      <c r="S102" s="363">
        <f t="shared" si="71"/>
        <v>6858946.7699999996</v>
      </c>
      <c r="T102" s="363">
        <f t="shared" si="71"/>
        <v>1415494.13</v>
      </c>
      <c r="U102" s="363">
        <f t="shared" si="71"/>
        <v>141859.54</v>
      </c>
      <c r="V102" s="363">
        <f t="shared" si="71"/>
        <v>255692.09000000003</v>
      </c>
      <c r="W102" s="363">
        <f t="shared" si="71"/>
        <v>9565958.9199999981</v>
      </c>
      <c r="X102" s="363">
        <f t="shared" si="71"/>
        <v>757283.46000000008</v>
      </c>
      <c r="AA102" s="372"/>
      <c r="AI102" s="363"/>
      <c r="AJ102" s="363"/>
      <c r="AK102" s="363"/>
      <c r="AL102" s="363"/>
      <c r="AM102" s="363"/>
      <c r="AN102" s="363"/>
    </row>
    <row r="103" spans="1:40">
      <c r="R103" s="363"/>
      <c r="AA103" s="372"/>
    </row>
    <row r="104" spans="1:40">
      <c r="R104" s="363"/>
    </row>
    <row r="105" spans="1:40">
      <c r="R105" s="363"/>
    </row>
  </sheetData>
  <mergeCells count="48">
    <mergeCell ref="O3:O4"/>
    <mergeCell ref="O38:O39"/>
    <mergeCell ref="O73:O74"/>
    <mergeCell ref="A72:R72"/>
    <mergeCell ref="A73:A74"/>
    <mergeCell ref="B73:C73"/>
    <mergeCell ref="D73:E73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P73:Q73"/>
    <mergeCell ref="R73:R74"/>
    <mergeCell ref="A37:R37"/>
    <mergeCell ref="A38:A39"/>
    <mergeCell ref="B38:C38"/>
    <mergeCell ref="D38:E38"/>
    <mergeCell ref="F38:F39"/>
    <mergeCell ref="M38:M39"/>
    <mergeCell ref="N38:N39"/>
    <mergeCell ref="P38:Q38"/>
    <mergeCell ref="R38:R39"/>
    <mergeCell ref="G38:G39"/>
    <mergeCell ref="H38:H39"/>
    <mergeCell ref="I38:I39"/>
    <mergeCell ref="J38:J39"/>
    <mergeCell ref="K38:K39"/>
    <mergeCell ref="L38:L39"/>
    <mergeCell ref="A2:R2"/>
    <mergeCell ref="A3:A4"/>
    <mergeCell ref="B3:C3"/>
    <mergeCell ref="D3:E3"/>
    <mergeCell ref="F3:F4"/>
    <mergeCell ref="G3:G4"/>
    <mergeCell ref="N3:N4"/>
    <mergeCell ref="P3:Q3"/>
    <mergeCell ref="R3:R4"/>
    <mergeCell ref="H3:H4"/>
    <mergeCell ref="I3:I4"/>
    <mergeCell ref="J3:J4"/>
    <mergeCell ref="K3:K4"/>
    <mergeCell ref="L3:L4"/>
    <mergeCell ref="M3:M4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pageSetUpPr fitToPage="1"/>
  </sheetPr>
  <dimension ref="A2:AN105"/>
  <sheetViews>
    <sheetView topLeftCell="K1" zoomScale="70" zoomScaleNormal="70" workbookViewId="0">
      <selection activeCell="EF33" sqref="EF33"/>
    </sheetView>
  </sheetViews>
  <sheetFormatPr defaultRowHeight="15"/>
  <cols>
    <col min="1" max="1" width="20.85546875" style="370" customWidth="1"/>
    <col min="2" max="12" width="20.85546875" style="357" customWidth="1"/>
    <col min="13" max="13" width="12.7109375" style="357" customWidth="1"/>
    <col min="14" max="14" width="18.42578125" style="357" customWidth="1"/>
    <col min="15" max="18" width="20.85546875" style="357" customWidth="1"/>
    <col min="19" max="24" width="15.5703125" style="357" customWidth="1"/>
    <col min="25" max="16384" width="9.140625" style="357"/>
  </cols>
  <sheetData>
    <row r="2" spans="1:40" ht="46.5">
      <c r="A2" s="837" t="s">
        <v>65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</row>
    <row r="3" spans="1:40" s="372" customFormat="1" ht="35.1" customHeight="1">
      <c r="A3" s="835" t="s">
        <v>33</v>
      </c>
      <c r="B3" s="833" t="s">
        <v>27</v>
      </c>
      <c r="C3" s="834"/>
      <c r="D3" s="833" t="s">
        <v>29</v>
      </c>
      <c r="E3" s="834"/>
      <c r="F3" s="835" t="s">
        <v>28</v>
      </c>
      <c r="G3" s="835" t="s">
        <v>36</v>
      </c>
      <c r="H3" s="835" t="s">
        <v>30</v>
      </c>
      <c r="I3" s="835" t="s">
        <v>31</v>
      </c>
      <c r="J3" s="835" t="s">
        <v>41</v>
      </c>
      <c r="K3" s="835" t="s">
        <v>35</v>
      </c>
      <c r="L3" s="835" t="s">
        <v>40</v>
      </c>
      <c r="M3" s="835" t="s">
        <v>42</v>
      </c>
      <c r="N3" s="835" t="s">
        <v>45</v>
      </c>
      <c r="O3" s="835" t="s">
        <v>279</v>
      </c>
      <c r="P3" s="833" t="s">
        <v>49</v>
      </c>
      <c r="Q3" s="834"/>
      <c r="R3" s="835" t="s">
        <v>34</v>
      </c>
    </row>
    <row r="4" spans="1:40" s="372" customFormat="1" ht="35.1" customHeight="1">
      <c r="A4" s="836"/>
      <c r="B4" s="361" t="s">
        <v>43</v>
      </c>
      <c r="C4" s="361" t="s">
        <v>44</v>
      </c>
      <c r="D4" s="361" t="s">
        <v>43</v>
      </c>
      <c r="E4" s="361" t="s">
        <v>44</v>
      </c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362" t="s">
        <v>50</v>
      </c>
      <c r="Q4" s="362" t="s">
        <v>51</v>
      </c>
      <c r="R4" s="836"/>
      <c r="S4" s="372" t="s">
        <v>173</v>
      </c>
      <c r="T4" s="372" t="s">
        <v>291</v>
      </c>
      <c r="U4" s="372" t="s">
        <v>174</v>
      </c>
      <c r="V4" s="372" t="s">
        <v>292</v>
      </c>
      <c r="W4" s="372" t="s">
        <v>28</v>
      </c>
      <c r="X4" s="372" t="s">
        <v>175</v>
      </c>
      <c r="Y4" s="726"/>
    </row>
    <row r="5" spans="1:40">
      <c r="A5" s="2" t="s">
        <v>77</v>
      </c>
      <c r="B5" s="16">
        <f t="shared" ref="B5:Q5" si="0">B75*0.8</f>
        <v>16574.488000000001</v>
      </c>
      <c r="C5" s="16">
        <f t="shared" si="0"/>
        <v>4878.0080000000016</v>
      </c>
      <c r="D5" s="16">
        <f t="shared" si="0"/>
        <v>1622.3040000000001</v>
      </c>
      <c r="E5" s="16">
        <f t="shared" si="0"/>
        <v>169.6239999999998</v>
      </c>
      <c r="F5" s="16">
        <f t="shared" si="0"/>
        <v>23650.944000000003</v>
      </c>
      <c r="G5" s="16">
        <f t="shared" si="0"/>
        <v>1565.1360000000002</v>
      </c>
      <c r="H5" s="16">
        <f t="shared" si="0"/>
        <v>794.22400000000016</v>
      </c>
      <c r="I5" s="16">
        <f t="shared" si="0"/>
        <v>0</v>
      </c>
      <c r="J5" s="16">
        <f t="shared" si="0"/>
        <v>2141.7760000000003</v>
      </c>
      <c r="K5" s="16">
        <f t="shared" si="0"/>
        <v>869.5200000000001</v>
      </c>
      <c r="L5" s="16">
        <f t="shared" si="0"/>
        <v>0</v>
      </c>
      <c r="M5" s="16">
        <f t="shared" si="0"/>
        <v>0</v>
      </c>
      <c r="N5" s="16">
        <f t="shared" si="0"/>
        <v>0</v>
      </c>
      <c r="O5" s="16">
        <f t="shared" ref="O5:O31" si="1">O75*0.8</f>
        <v>0</v>
      </c>
      <c r="P5" s="16">
        <f t="shared" si="0"/>
        <v>0</v>
      </c>
      <c r="Q5" s="16">
        <f t="shared" si="0"/>
        <v>0</v>
      </c>
      <c r="R5" s="8">
        <f t="shared" ref="R5:R31" si="2">SUM(B5:Q5)</f>
        <v>52266.023999999998</v>
      </c>
      <c r="S5" s="363">
        <f>B5</f>
        <v>16574.488000000001</v>
      </c>
      <c r="T5" s="363">
        <f>C5</f>
        <v>4878.0080000000016</v>
      </c>
      <c r="U5" s="363">
        <f>D5</f>
        <v>1622.3040000000001</v>
      </c>
      <c r="V5" s="363">
        <f>E5</f>
        <v>169.6239999999998</v>
      </c>
      <c r="W5" s="363">
        <f>F5+G5</f>
        <v>25216.080000000002</v>
      </c>
      <c r="X5" s="363">
        <f>SUM(H5:Q5)</f>
        <v>3805.5200000000004</v>
      </c>
      <c r="Y5" s="363"/>
      <c r="AI5" s="363"/>
      <c r="AJ5" s="363"/>
      <c r="AK5" s="363"/>
      <c r="AL5" s="363"/>
      <c r="AM5" s="363"/>
      <c r="AN5" s="363"/>
    </row>
    <row r="6" spans="1:40">
      <c r="A6" s="2" t="s">
        <v>78</v>
      </c>
      <c r="B6" s="16">
        <f t="shared" ref="B6:Q6" si="3">B76*0.8</f>
        <v>41764.712</v>
      </c>
      <c r="C6" s="16">
        <f t="shared" si="3"/>
        <v>8872.952000000003</v>
      </c>
      <c r="D6" s="16">
        <f t="shared" si="3"/>
        <v>1237.664</v>
      </c>
      <c r="E6" s="16">
        <f t="shared" si="3"/>
        <v>365.69600000000014</v>
      </c>
      <c r="F6" s="16">
        <f t="shared" si="3"/>
        <v>55388.423999999999</v>
      </c>
      <c r="G6" s="16">
        <f t="shared" si="3"/>
        <v>1652.0880000000002</v>
      </c>
      <c r="H6" s="16">
        <f t="shared" si="3"/>
        <v>1675.3680000000002</v>
      </c>
      <c r="I6" s="16">
        <f t="shared" si="3"/>
        <v>0</v>
      </c>
      <c r="J6" s="16">
        <f t="shared" si="3"/>
        <v>3240.7919999999999</v>
      </c>
      <c r="K6" s="16">
        <f t="shared" si="3"/>
        <v>0</v>
      </c>
      <c r="L6" s="16">
        <f t="shared" si="3"/>
        <v>0</v>
      </c>
      <c r="M6" s="16">
        <f t="shared" si="3"/>
        <v>0</v>
      </c>
      <c r="N6" s="16">
        <f t="shared" si="3"/>
        <v>0</v>
      </c>
      <c r="O6" s="16">
        <f t="shared" si="1"/>
        <v>0</v>
      </c>
      <c r="P6" s="16">
        <f t="shared" si="3"/>
        <v>0</v>
      </c>
      <c r="Q6" s="16">
        <f t="shared" si="3"/>
        <v>0</v>
      </c>
      <c r="R6" s="8">
        <f t="shared" si="2"/>
        <v>114197.69600000001</v>
      </c>
      <c r="S6" s="363">
        <f t="shared" ref="S6:V31" si="4">B6</f>
        <v>41764.712</v>
      </c>
      <c r="T6" s="363">
        <f t="shared" si="4"/>
        <v>8872.952000000003</v>
      </c>
      <c r="U6" s="363">
        <f t="shared" si="4"/>
        <v>1237.664</v>
      </c>
      <c r="V6" s="363">
        <f t="shared" si="4"/>
        <v>365.69600000000014</v>
      </c>
      <c r="W6" s="363">
        <f t="shared" ref="W6:W31" si="5">F6+G6</f>
        <v>57040.512000000002</v>
      </c>
      <c r="X6" s="363">
        <f t="shared" ref="X6:X31" si="6">SUM(H6:Q6)</f>
        <v>4916.16</v>
      </c>
      <c r="Y6" s="363"/>
      <c r="AI6" s="363"/>
      <c r="AJ6" s="363"/>
      <c r="AK6" s="363"/>
      <c r="AL6" s="363"/>
      <c r="AM6" s="363"/>
      <c r="AN6" s="363"/>
    </row>
    <row r="7" spans="1:40">
      <c r="A7" s="2" t="s">
        <v>79</v>
      </c>
      <c r="B7" s="16">
        <f t="shared" ref="B7:Q7" si="7">B77*0.8</f>
        <v>21805.864000000001</v>
      </c>
      <c r="C7" s="16">
        <f t="shared" si="7"/>
        <v>5921.7440000000006</v>
      </c>
      <c r="D7" s="16">
        <f t="shared" si="7"/>
        <v>1082.104</v>
      </c>
      <c r="E7" s="16">
        <f t="shared" si="7"/>
        <v>1515.0879999999997</v>
      </c>
      <c r="F7" s="16">
        <f t="shared" si="7"/>
        <v>29563.68</v>
      </c>
      <c r="G7" s="16">
        <f t="shared" si="7"/>
        <v>3217.2240000000002</v>
      </c>
      <c r="H7" s="16">
        <f t="shared" si="7"/>
        <v>1546.088</v>
      </c>
      <c r="I7" s="16">
        <f t="shared" si="7"/>
        <v>0</v>
      </c>
      <c r="J7" s="16">
        <f t="shared" si="7"/>
        <v>2801.8639999999996</v>
      </c>
      <c r="K7" s="16">
        <f t="shared" si="7"/>
        <v>1565.1360000000002</v>
      </c>
      <c r="L7" s="16">
        <f t="shared" si="7"/>
        <v>0</v>
      </c>
      <c r="M7" s="16">
        <f t="shared" si="7"/>
        <v>0</v>
      </c>
      <c r="N7" s="16">
        <f t="shared" si="7"/>
        <v>0</v>
      </c>
      <c r="O7" s="16">
        <f t="shared" si="1"/>
        <v>0</v>
      </c>
      <c r="P7" s="16">
        <f t="shared" si="7"/>
        <v>0</v>
      </c>
      <c r="Q7" s="16">
        <f t="shared" si="7"/>
        <v>0</v>
      </c>
      <c r="R7" s="8">
        <f t="shared" si="2"/>
        <v>69018.792000000001</v>
      </c>
      <c r="S7" s="363">
        <f t="shared" si="4"/>
        <v>21805.864000000001</v>
      </c>
      <c r="T7" s="363">
        <f t="shared" si="4"/>
        <v>5921.7440000000006</v>
      </c>
      <c r="U7" s="363">
        <f t="shared" si="4"/>
        <v>1082.104</v>
      </c>
      <c r="V7" s="363">
        <f t="shared" si="4"/>
        <v>1515.0879999999997</v>
      </c>
      <c r="W7" s="363">
        <f t="shared" si="5"/>
        <v>32780.904000000002</v>
      </c>
      <c r="X7" s="363">
        <f t="shared" si="6"/>
        <v>5913.0879999999997</v>
      </c>
      <c r="Y7" s="363"/>
      <c r="AI7" s="363"/>
      <c r="AJ7" s="363"/>
      <c r="AK7" s="363"/>
      <c r="AL7" s="363"/>
      <c r="AM7" s="363"/>
      <c r="AN7" s="363"/>
    </row>
    <row r="8" spans="1:40">
      <c r="A8" s="2" t="s">
        <v>80</v>
      </c>
      <c r="B8" s="16">
        <f t="shared" ref="B8:N8" si="8">B78*0.8</f>
        <v>49223.200000000004</v>
      </c>
      <c r="C8" s="16">
        <f t="shared" si="8"/>
        <v>8751.6239999999998</v>
      </c>
      <c r="D8" s="16">
        <f t="shared" si="8"/>
        <v>1403.3600000000001</v>
      </c>
      <c r="E8" s="16">
        <f t="shared" si="8"/>
        <v>1444.2480000000003</v>
      </c>
      <c r="F8" s="16">
        <f t="shared" si="8"/>
        <v>58953.456000000006</v>
      </c>
      <c r="G8" s="16">
        <f t="shared" si="8"/>
        <v>956.47200000000021</v>
      </c>
      <c r="H8" s="16">
        <f t="shared" si="8"/>
        <v>1939.8720000000003</v>
      </c>
      <c r="I8" s="16">
        <f t="shared" si="8"/>
        <v>0</v>
      </c>
      <c r="J8" s="16">
        <f t="shared" si="8"/>
        <v>4200.1680000000006</v>
      </c>
      <c r="K8" s="16">
        <f t="shared" si="8"/>
        <v>260.85599999999999</v>
      </c>
      <c r="L8" s="16">
        <f t="shared" si="8"/>
        <v>0</v>
      </c>
      <c r="M8" s="16">
        <f t="shared" si="8"/>
        <v>634.56000000000006</v>
      </c>
      <c r="N8" s="16">
        <f t="shared" si="8"/>
        <v>50.72</v>
      </c>
      <c r="O8" s="16">
        <f t="shared" si="1"/>
        <v>0</v>
      </c>
      <c r="P8" s="16">
        <f>P78</f>
        <v>0</v>
      </c>
      <c r="Q8" s="16">
        <f>Q78</f>
        <v>0</v>
      </c>
      <c r="R8" s="8">
        <f t="shared" si="2"/>
        <v>127818.53600000001</v>
      </c>
      <c r="S8" s="363">
        <f t="shared" si="4"/>
        <v>49223.200000000004</v>
      </c>
      <c r="T8" s="363">
        <f t="shared" si="4"/>
        <v>8751.6239999999998</v>
      </c>
      <c r="U8" s="363">
        <f t="shared" si="4"/>
        <v>1403.3600000000001</v>
      </c>
      <c r="V8" s="363">
        <f t="shared" si="4"/>
        <v>1444.2480000000003</v>
      </c>
      <c r="W8" s="363">
        <f t="shared" si="5"/>
        <v>59909.928000000007</v>
      </c>
      <c r="X8" s="363">
        <f t="shared" si="6"/>
        <v>7086.1760000000013</v>
      </c>
      <c r="Y8" s="363"/>
      <c r="AI8" s="363"/>
      <c r="AJ8" s="363"/>
      <c r="AK8" s="363"/>
      <c r="AL8" s="363"/>
      <c r="AM8" s="363"/>
      <c r="AN8" s="363"/>
    </row>
    <row r="9" spans="1:40">
      <c r="A9" s="2" t="s">
        <v>81</v>
      </c>
      <c r="B9" s="16">
        <f t="shared" ref="B9:N9" si="9">B79*0.8</f>
        <v>136445.44</v>
      </c>
      <c r="C9" s="16">
        <f t="shared" si="9"/>
        <v>23323.896000000022</v>
      </c>
      <c r="D9" s="16">
        <f t="shared" si="9"/>
        <v>4893.6959999999999</v>
      </c>
      <c r="E9" s="16">
        <f t="shared" si="9"/>
        <v>3589.0879999999997</v>
      </c>
      <c r="F9" s="16">
        <f t="shared" si="9"/>
        <v>189120.6</v>
      </c>
      <c r="G9" s="16">
        <f t="shared" si="9"/>
        <v>5738.8320000000003</v>
      </c>
      <c r="H9" s="16">
        <f t="shared" si="9"/>
        <v>4931.384</v>
      </c>
      <c r="I9" s="16">
        <f t="shared" si="9"/>
        <v>0</v>
      </c>
      <c r="J9" s="16">
        <f t="shared" si="9"/>
        <v>11221.536</v>
      </c>
      <c r="K9" s="16">
        <f t="shared" si="9"/>
        <v>521.71199999999999</v>
      </c>
      <c r="L9" s="16">
        <f t="shared" si="9"/>
        <v>521.71199999999999</v>
      </c>
      <c r="M9" s="16">
        <f t="shared" si="9"/>
        <v>0</v>
      </c>
      <c r="N9" s="16">
        <f t="shared" si="9"/>
        <v>329.68000000000006</v>
      </c>
      <c r="O9" s="16">
        <f t="shared" si="1"/>
        <v>0</v>
      </c>
      <c r="P9" s="16">
        <f t="shared" ref="P9:Q28" si="10">P79*0.8</f>
        <v>0</v>
      </c>
      <c r="Q9" s="16">
        <f t="shared" si="10"/>
        <v>0</v>
      </c>
      <c r="R9" s="8">
        <f t="shared" si="2"/>
        <v>380637.576</v>
      </c>
      <c r="S9" s="363">
        <f t="shared" si="4"/>
        <v>136445.44</v>
      </c>
      <c r="T9" s="363">
        <f t="shared" si="4"/>
        <v>23323.896000000022</v>
      </c>
      <c r="U9" s="363">
        <f t="shared" si="4"/>
        <v>4893.6959999999999</v>
      </c>
      <c r="V9" s="363">
        <f t="shared" si="4"/>
        <v>3589.0879999999997</v>
      </c>
      <c r="W9" s="363">
        <f t="shared" si="5"/>
        <v>194859.432</v>
      </c>
      <c r="X9" s="363">
        <f t="shared" si="6"/>
        <v>17526.024000000001</v>
      </c>
      <c r="Y9" s="363"/>
      <c r="AI9" s="363"/>
      <c r="AJ9" s="363"/>
      <c r="AK9" s="363"/>
      <c r="AL9" s="363"/>
      <c r="AM9" s="363"/>
      <c r="AN9" s="363"/>
    </row>
    <row r="10" spans="1:40">
      <c r="A10" s="2" t="s">
        <v>82</v>
      </c>
      <c r="B10" s="16">
        <f t="shared" ref="B10:N10" si="11">B80*0.8</f>
        <v>113325.376</v>
      </c>
      <c r="C10" s="16">
        <f t="shared" si="11"/>
        <v>37589.008000000009</v>
      </c>
      <c r="D10" s="16">
        <f t="shared" si="11"/>
        <v>4761.8239999999996</v>
      </c>
      <c r="E10" s="16">
        <f t="shared" si="11"/>
        <v>5578.5680000000002</v>
      </c>
      <c r="F10" s="16">
        <f t="shared" si="11"/>
        <v>128602.00800000002</v>
      </c>
      <c r="G10" s="16">
        <f t="shared" si="11"/>
        <v>5651.880000000001</v>
      </c>
      <c r="H10" s="16">
        <f t="shared" si="11"/>
        <v>7043.2560000000003</v>
      </c>
      <c r="I10" s="16">
        <f t="shared" si="11"/>
        <v>2797.0160000000001</v>
      </c>
      <c r="J10" s="16">
        <f t="shared" si="11"/>
        <v>15400.176000000001</v>
      </c>
      <c r="K10" s="16">
        <f t="shared" si="11"/>
        <v>173.904</v>
      </c>
      <c r="L10" s="16">
        <f t="shared" si="11"/>
        <v>0</v>
      </c>
      <c r="M10" s="16">
        <f t="shared" si="11"/>
        <v>355.06400000000002</v>
      </c>
      <c r="N10" s="16">
        <f t="shared" si="11"/>
        <v>126.80000000000001</v>
      </c>
      <c r="O10" s="16">
        <f t="shared" si="1"/>
        <v>0</v>
      </c>
      <c r="P10" s="16">
        <f t="shared" si="10"/>
        <v>15.208000000000002</v>
      </c>
      <c r="Q10" s="16">
        <f t="shared" si="10"/>
        <v>933.12800000000016</v>
      </c>
      <c r="R10" s="8">
        <f t="shared" si="2"/>
        <v>322353.21600000001</v>
      </c>
      <c r="S10" s="363">
        <f t="shared" si="4"/>
        <v>113325.376</v>
      </c>
      <c r="T10" s="363">
        <f t="shared" si="4"/>
        <v>37589.008000000009</v>
      </c>
      <c r="U10" s="363">
        <f t="shared" si="4"/>
        <v>4761.8239999999996</v>
      </c>
      <c r="V10" s="363">
        <f t="shared" si="4"/>
        <v>5578.5680000000002</v>
      </c>
      <c r="W10" s="363">
        <f t="shared" si="5"/>
        <v>134253.88800000001</v>
      </c>
      <c r="X10" s="363">
        <f t="shared" si="6"/>
        <v>26844.552</v>
      </c>
      <c r="Y10" s="363"/>
      <c r="AI10" s="363"/>
      <c r="AJ10" s="363"/>
      <c r="AK10" s="363"/>
      <c r="AL10" s="363"/>
      <c r="AM10" s="363"/>
      <c r="AN10" s="363"/>
    </row>
    <row r="11" spans="1:40">
      <c r="A11" s="2" t="s">
        <v>83</v>
      </c>
      <c r="B11" s="16">
        <f t="shared" ref="B11:N11" si="12">B81*0.8</f>
        <v>163041.91200000001</v>
      </c>
      <c r="C11" s="16">
        <f t="shared" si="12"/>
        <v>46717.120000000024</v>
      </c>
      <c r="D11" s="16">
        <f t="shared" si="12"/>
        <v>5902.5280000000002</v>
      </c>
      <c r="E11" s="16">
        <f t="shared" si="12"/>
        <v>2792.2640000000001</v>
      </c>
      <c r="F11" s="16">
        <f t="shared" si="12"/>
        <v>126689.064</v>
      </c>
      <c r="G11" s="16">
        <f t="shared" si="12"/>
        <v>6869.2080000000005</v>
      </c>
      <c r="H11" s="16">
        <f t="shared" si="12"/>
        <v>8030.3120000000017</v>
      </c>
      <c r="I11" s="16">
        <f t="shared" si="12"/>
        <v>235.08000000000004</v>
      </c>
      <c r="J11" s="16">
        <f t="shared" si="12"/>
        <v>16732.216000000004</v>
      </c>
      <c r="K11" s="16">
        <f t="shared" si="12"/>
        <v>782.5680000000001</v>
      </c>
      <c r="L11" s="16">
        <f t="shared" si="12"/>
        <v>173.904</v>
      </c>
      <c r="M11" s="16">
        <f t="shared" si="12"/>
        <v>1615.1040000000003</v>
      </c>
      <c r="N11" s="16">
        <f t="shared" si="12"/>
        <v>380.40000000000003</v>
      </c>
      <c r="O11" s="16">
        <f t="shared" si="1"/>
        <v>0</v>
      </c>
      <c r="P11" s="16">
        <f t="shared" si="10"/>
        <v>0</v>
      </c>
      <c r="Q11" s="16">
        <f t="shared" si="10"/>
        <v>0</v>
      </c>
      <c r="R11" s="8">
        <f t="shared" si="2"/>
        <v>379961.68000000005</v>
      </c>
      <c r="S11" s="363">
        <f t="shared" si="4"/>
        <v>163041.91200000001</v>
      </c>
      <c r="T11" s="363">
        <f t="shared" si="4"/>
        <v>46717.120000000024</v>
      </c>
      <c r="U11" s="363">
        <f t="shared" si="4"/>
        <v>5902.5280000000002</v>
      </c>
      <c r="V11" s="363">
        <f t="shared" si="4"/>
        <v>2792.2640000000001</v>
      </c>
      <c r="W11" s="363">
        <f t="shared" si="5"/>
        <v>133558.272</v>
      </c>
      <c r="X11" s="363">
        <f t="shared" si="6"/>
        <v>27949.584000000006</v>
      </c>
      <c r="Y11" s="363"/>
      <c r="AI11" s="363"/>
      <c r="AJ11" s="363"/>
      <c r="AK11" s="363"/>
      <c r="AL11" s="363"/>
      <c r="AM11" s="363"/>
      <c r="AN11" s="363"/>
    </row>
    <row r="12" spans="1:40">
      <c r="A12" s="2" t="s">
        <v>84</v>
      </c>
      <c r="B12" s="16">
        <f t="shared" ref="B12:N12" si="13">B82*0.8</f>
        <v>109909.50400000002</v>
      </c>
      <c r="C12" s="16">
        <f t="shared" si="13"/>
        <v>14686.111999999988</v>
      </c>
      <c r="D12" s="16">
        <f t="shared" si="13"/>
        <v>5440.9440000000004</v>
      </c>
      <c r="E12" s="16">
        <f t="shared" si="13"/>
        <v>2738.2000000000003</v>
      </c>
      <c r="F12" s="16">
        <f t="shared" si="13"/>
        <v>139210.152</v>
      </c>
      <c r="G12" s="16">
        <f t="shared" si="13"/>
        <v>3651.9840000000004</v>
      </c>
      <c r="H12" s="16">
        <f t="shared" si="13"/>
        <v>3819.768</v>
      </c>
      <c r="I12" s="16">
        <f t="shared" si="13"/>
        <v>796.27200000000005</v>
      </c>
      <c r="J12" s="16">
        <f t="shared" si="13"/>
        <v>7906.1440000000021</v>
      </c>
      <c r="K12" s="16">
        <f t="shared" si="13"/>
        <v>260.85599999999999</v>
      </c>
      <c r="L12" s="16">
        <f t="shared" si="13"/>
        <v>0</v>
      </c>
      <c r="M12" s="16">
        <f t="shared" si="13"/>
        <v>0</v>
      </c>
      <c r="N12" s="16">
        <f t="shared" si="13"/>
        <v>101.44</v>
      </c>
      <c r="O12" s="16">
        <f t="shared" si="1"/>
        <v>0</v>
      </c>
      <c r="P12" s="16">
        <f t="shared" si="10"/>
        <v>0</v>
      </c>
      <c r="Q12" s="16">
        <f t="shared" si="10"/>
        <v>0</v>
      </c>
      <c r="R12" s="8">
        <f t="shared" si="2"/>
        <v>288521.37600000005</v>
      </c>
      <c r="S12" s="363">
        <f t="shared" si="4"/>
        <v>109909.50400000002</v>
      </c>
      <c r="T12" s="363">
        <f t="shared" si="4"/>
        <v>14686.111999999988</v>
      </c>
      <c r="U12" s="363">
        <f t="shared" si="4"/>
        <v>5440.9440000000004</v>
      </c>
      <c r="V12" s="363">
        <f t="shared" si="4"/>
        <v>2738.2000000000003</v>
      </c>
      <c r="W12" s="363">
        <f t="shared" si="5"/>
        <v>142862.136</v>
      </c>
      <c r="X12" s="363">
        <f t="shared" si="6"/>
        <v>12884.480000000001</v>
      </c>
      <c r="Y12" s="363"/>
      <c r="AI12" s="363"/>
      <c r="AJ12" s="363"/>
      <c r="AK12" s="363"/>
      <c r="AL12" s="363"/>
      <c r="AM12" s="363"/>
      <c r="AN12" s="363"/>
    </row>
    <row r="13" spans="1:40">
      <c r="A13" s="2" t="s">
        <v>85</v>
      </c>
      <c r="B13" s="16">
        <f t="shared" ref="B13:N13" si="14">B83*0.8</f>
        <v>145755.98400000003</v>
      </c>
      <c r="C13" s="16">
        <f t="shared" si="14"/>
        <v>43371.728000000003</v>
      </c>
      <c r="D13" s="16">
        <f t="shared" si="14"/>
        <v>5713.1440000000002</v>
      </c>
      <c r="E13" s="16">
        <f t="shared" si="14"/>
        <v>3860.9759999999997</v>
      </c>
      <c r="F13" s="16">
        <f t="shared" si="14"/>
        <v>236683.34400000001</v>
      </c>
      <c r="G13" s="16">
        <f t="shared" si="14"/>
        <v>5217.12</v>
      </c>
      <c r="H13" s="16">
        <f t="shared" si="14"/>
        <v>9655.152</v>
      </c>
      <c r="I13" s="16">
        <f t="shared" si="14"/>
        <v>521.71199999999999</v>
      </c>
      <c r="J13" s="16">
        <f t="shared" si="14"/>
        <v>14319.216</v>
      </c>
      <c r="K13" s="16">
        <f t="shared" si="14"/>
        <v>956.47199999999998</v>
      </c>
      <c r="L13" s="16">
        <f t="shared" si="14"/>
        <v>0</v>
      </c>
      <c r="M13" s="16">
        <f t="shared" si="14"/>
        <v>0</v>
      </c>
      <c r="N13" s="16">
        <f t="shared" si="14"/>
        <v>304.32</v>
      </c>
      <c r="O13" s="16">
        <f t="shared" si="1"/>
        <v>0</v>
      </c>
      <c r="P13" s="16">
        <f t="shared" si="10"/>
        <v>0</v>
      </c>
      <c r="Q13" s="16">
        <f t="shared" si="10"/>
        <v>0</v>
      </c>
      <c r="R13" s="8">
        <f t="shared" si="2"/>
        <v>466359.16800000006</v>
      </c>
      <c r="S13" s="363">
        <f t="shared" si="4"/>
        <v>145755.98400000003</v>
      </c>
      <c r="T13" s="363">
        <f t="shared" si="4"/>
        <v>43371.728000000003</v>
      </c>
      <c r="U13" s="363">
        <f t="shared" si="4"/>
        <v>5713.1440000000002</v>
      </c>
      <c r="V13" s="363">
        <f t="shared" si="4"/>
        <v>3860.9759999999997</v>
      </c>
      <c r="W13" s="363">
        <f t="shared" si="5"/>
        <v>241900.46400000001</v>
      </c>
      <c r="X13" s="363">
        <f t="shared" si="6"/>
        <v>25756.872000000003</v>
      </c>
      <c r="Y13" s="363"/>
      <c r="AI13" s="363"/>
      <c r="AJ13" s="363"/>
      <c r="AK13" s="363"/>
      <c r="AL13" s="363"/>
      <c r="AM13" s="363"/>
      <c r="AN13" s="363"/>
    </row>
    <row r="14" spans="1:40">
      <c r="A14" s="2" t="s">
        <v>86</v>
      </c>
      <c r="B14" s="16">
        <f t="shared" ref="B14:N14" si="15">B84*0.8</f>
        <v>41241.504000000001</v>
      </c>
      <c r="C14" s="16">
        <f t="shared" si="15"/>
        <v>7720.4640000000072</v>
      </c>
      <c r="D14" s="16">
        <f t="shared" si="15"/>
        <v>1680.6400000000003</v>
      </c>
      <c r="E14" s="16">
        <f t="shared" si="15"/>
        <v>683.43200000000002</v>
      </c>
      <c r="F14" s="16">
        <f t="shared" si="15"/>
        <v>59996.880000000005</v>
      </c>
      <c r="G14" s="16">
        <f t="shared" si="15"/>
        <v>1565.1360000000002</v>
      </c>
      <c r="H14" s="16">
        <f t="shared" si="15"/>
        <v>1380.8240000000001</v>
      </c>
      <c r="I14" s="16">
        <f t="shared" si="15"/>
        <v>0</v>
      </c>
      <c r="J14" s="16">
        <f t="shared" si="15"/>
        <v>3854.5680000000002</v>
      </c>
      <c r="K14" s="16">
        <f t="shared" si="15"/>
        <v>782.5680000000001</v>
      </c>
      <c r="L14" s="16">
        <f t="shared" si="15"/>
        <v>0</v>
      </c>
      <c r="M14" s="16">
        <f t="shared" si="15"/>
        <v>0</v>
      </c>
      <c r="N14" s="16">
        <f t="shared" si="15"/>
        <v>76.08</v>
      </c>
      <c r="O14" s="16">
        <f t="shared" si="1"/>
        <v>0</v>
      </c>
      <c r="P14" s="16">
        <f t="shared" si="10"/>
        <v>0</v>
      </c>
      <c r="Q14" s="16">
        <f t="shared" si="10"/>
        <v>0</v>
      </c>
      <c r="R14" s="8">
        <f t="shared" si="2"/>
        <v>118982.09600000001</v>
      </c>
      <c r="S14" s="363">
        <f t="shared" si="4"/>
        <v>41241.504000000001</v>
      </c>
      <c r="T14" s="363">
        <f t="shared" si="4"/>
        <v>7720.4640000000072</v>
      </c>
      <c r="U14" s="363">
        <f t="shared" si="4"/>
        <v>1680.6400000000003</v>
      </c>
      <c r="V14" s="363">
        <f t="shared" si="4"/>
        <v>683.43200000000002</v>
      </c>
      <c r="W14" s="363">
        <f t="shared" si="5"/>
        <v>61562.016000000003</v>
      </c>
      <c r="X14" s="363">
        <f t="shared" si="6"/>
        <v>6094.04</v>
      </c>
      <c r="Y14" s="363"/>
      <c r="AI14" s="363"/>
      <c r="AJ14" s="363"/>
      <c r="AK14" s="363"/>
      <c r="AL14" s="363"/>
      <c r="AM14" s="363"/>
      <c r="AN14" s="363"/>
    </row>
    <row r="15" spans="1:40">
      <c r="A15" s="2" t="s">
        <v>87</v>
      </c>
      <c r="B15" s="16">
        <f t="shared" ref="B15:N15" si="16">B85*0.8</f>
        <v>81496.864000000001</v>
      </c>
      <c r="C15" s="16">
        <f t="shared" si="16"/>
        <v>13205.039999999992</v>
      </c>
      <c r="D15" s="16">
        <f t="shared" si="16"/>
        <v>3967.1440000000002</v>
      </c>
      <c r="E15" s="16">
        <f t="shared" si="16"/>
        <v>2140.12</v>
      </c>
      <c r="F15" s="16">
        <f t="shared" si="16"/>
        <v>257117.06400000001</v>
      </c>
      <c r="G15" s="16">
        <f t="shared" si="16"/>
        <v>3217.2240000000002</v>
      </c>
      <c r="H15" s="16">
        <f t="shared" si="16"/>
        <v>2914.5120000000006</v>
      </c>
      <c r="I15" s="16">
        <f t="shared" si="16"/>
        <v>1757.5200000000002</v>
      </c>
      <c r="J15" s="16">
        <f t="shared" si="16"/>
        <v>6964.7039999999997</v>
      </c>
      <c r="K15" s="16">
        <f t="shared" si="16"/>
        <v>956.47199999999998</v>
      </c>
      <c r="L15" s="16">
        <f t="shared" si="16"/>
        <v>0</v>
      </c>
      <c r="M15" s="16">
        <f t="shared" si="16"/>
        <v>0</v>
      </c>
      <c r="N15" s="16">
        <f t="shared" si="16"/>
        <v>126.80000000000001</v>
      </c>
      <c r="O15" s="16">
        <f t="shared" si="1"/>
        <v>0</v>
      </c>
      <c r="P15" s="16">
        <f t="shared" si="10"/>
        <v>0</v>
      </c>
      <c r="Q15" s="16">
        <f t="shared" si="10"/>
        <v>0</v>
      </c>
      <c r="R15" s="8">
        <f t="shared" si="2"/>
        <v>373863.46400000004</v>
      </c>
      <c r="S15" s="363">
        <f t="shared" si="4"/>
        <v>81496.864000000001</v>
      </c>
      <c r="T15" s="363">
        <f t="shared" si="4"/>
        <v>13205.039999999992</v>
      </c>
      <c r="U15" s="363">
        <f t="shared" si="4"/>
        <v>3967.1440000000002</v>
      </c>
      <c r="V15" s="363">
        <f t="shared" si="4"/>
        <v>2140.12</v>
      </c>
      <c r="W15" s="363">
        <f t="shared" si="5"/>
        <v>260334.288</v>
      </c>
      <c r="X15" s="363">
        <f t="shared" si="6"/>
        <v>12720.008</v>
      </c>
      <c r="Y15" s="363"/>
      <c r="AI15" s="363"/>
      <c r="AJ15" s="363"/>
      <c r="AK15" s="363"/>
      <c r="AL15" s="363"/>
      <c r="AM15" s="363"/>
      <c r="AN15" s="363"/>
    </row>
    <row r="16" spans="1:40">
      <c r="A16" s="2" t="s">
        <v>88</v>
      </c>
      <c r="B16" s="16">
        <f t="shared" ref="B16:N16" si="17">B86*0.8</f>
        <v>60606.216000000008</v>
      </c>
      <c r="C16" s="16">
        <f t="shared" si="17"/>
        <v>20391.280000000006</v>
      </c>
      <c r="D16" s="16">
        <f t="shared" si="17"/>
        <v>4047.72</v>
      </c>
      <c r="E16" s="16">
        <f t="shared" si="17"/>
        <v>5051.800000000002</v>
      </c>
      <c r="F16" s="16">
        <f t="shared" si="17"/>
        <v>169643.35200000001</v>
      </c>
      <c r="G16" s="16">
        <f t="shared" si="17"/>
        <v>3391.1280000000002</v>
      </c>
      <c r="H16" s="16">
        <f t="shared" si="17"/>
        <v>5760.8240000000005</v>
      </c>
      <c r="I16" s="16">
        <f t="shared" si="17"/>
        <v>311.52800000000002</v>
      </c>
      <c r="J16" s="16">
        <f t="shared" si="17"/>
        <v>7542.7920000000004</v>
      </c>
      <c r="K16" s="16">
        <f t="shared" si="17"/>
        <v>1130.376</v>
      </c>
      <c r="L16" s="16">
        <f t="shared" si="17"/>
        <v>0</v>
      </c>
      <c r="M16" s="16">
        <f t="shared" si="17"/>
        <v>0</v>
      </c>
      <c r="N16" s="16">
        <f t="shared" si="17"/>
        <v>76.08</v>
      </c>
      <c r="O16" s="16">
        <f t="shared" si="1"/>
        <v>0</v>
      </c>
      <c r="P16" s="16">
        <f t="shared" si="10"/>
        <v>29.936000000000003</v>
      </c>
      <c r="Q16" s="16">
        <f t="shared" si="10"/>
        <v>0</v>
      </c>
      <c r="R16" s="8">
        <f t="shared" si="2"/>
        <v>277983.03200000006</v>
      </c>
      <c r="S16" s="363">
        <f t="shared" si="4"/>
        <v>60606.216000000008</v>
      </c>
      <c r="T16" s="363">
        <f t="shared" si="4"/>
        <v>20391.280000000006</v>
      </c>
      <c r="U16" s="363">
        <f t="shared" si="4"/>
        <v>4047.72</v>
      </c>
      <c r="V16" s="363">
        <f t="shared" si="4"/>
        <v>5051.800000000002</v>
      </c>
      <c r="W16" s="363">
        <f t="shared" si="5"/>
        <v>173034.48</v>
      </c>
      <c r="X16" s="363">
        <f t="shared" si="6"/>
        <v>14851.536</v>
      </c>
      <c r="Y16" s="363"/>
      <c r="AI16" s="363"/>
      <c r="AJ16" s="363"/>
      <c r="AK16" s="363"/>
      <c r="AL16" s="363"/>
      <c r="AM16" s="363"/>
      <c r="AN16" s="363"/>
    </row>
    <row r="17" spans="1:40">
      <c r="A17" s="2" t="s">
        <v>89</v>
      </c>
      <c r="B17" s="16">
        <f t="shared" ref="B17:N17" si="18">B87*0.8</f>
        <v>366756.33600000001</v>
      </c>
      <c r="C17" s="16">
        <f t="shared" si="18"/>
        <v>83044.431999999986</v>
      </c>
      <c r="D17" s="16">
        <f t="shared" si="18"/>
        <v>20318.760000000002</v>
      </c>
      <c r="E17" s="16">
        <f t="shared" si="18"/>
        <v>19959.04</v>
      </c>
      <c r="F17" s="16">
        <f t="shared" si="18"/>
        <v>471627.64800000004</v>
      </c>
      <c r="G17" s="16">
        <f t="shared" si="18"/>
        <v>10434.24</v>
      </c>
      <c r="H17" s="16">
        <f t="shared" si="18"/>
        <v>22611.192000000003</v>
      </c>
      <c r="I17" s="16">
        <f t="shared" si="18"/>
        <v>0</v>
      </c>
      <c r="J17" s="16">
        <f t="shared" si="18"/>
        <v>37315.968000000008</v>
      </c>
      <c r="K17" s="16">
        <f t="shared" si="18"/>
        <v>1825.992</v>
      </c>
      <c r="L17" s="16">
        <f t="shared" si="18"/>
        <v>0</v>
      </c>
      <c r="M17" s="16">
        <f t="shared" si="18"/>
        <v>0</v>
      </c>
      <c r="N17" s="16">
        <f t="shared" si="18"/>
        <v>608.64</v>
      </c>
      <c r="O17" s="16">
        <f t="shared" si="1"/>
        <v>0</v>
      </c>
      <c r="P17" s="16">
        <f t="shared" si="10"/>
        <v>0</v>
      </c>
      <c r="Q17" s="16">
        <f t="shared" si="10"/>
        <v>236.03200000000004</v>
      </c>
      <c r="R17" s="8">
        <f t="shared" si="2"/>
        <v>1034738.28</v>
      </c>
      <c r="S17" s="363">
        <f t="shared" si="4"/>
        <v>366756.33600000001</v>
      </c>
      <c r="T17" s="363">
        <f t="shared" si="4"/>
        <v>83044.431999999986</v>
      </c>
      <c r="U17" s="363">
        <f t="shared" si="4"/>
        <v>20318.760000000002</v>
      </c>
      <c r="V17" s="363">
        <f t="shared" si="4"/>
        <v>19959.04</v>
      </c>
      <c r="W17" s="363">
        <f t="shared" si="5"/>
        <v>482061.88800000004</v>
      </c>
      <c r="X17" s="363">
        <f t="shared" si="6"/>
        <v>62597.824000000008</v>
      </c>
      <c r="Y17" s="363"/>
      <c r="AI17" s="363"/>
      <c r="AJ17" s="363"/>
      <c r="AK17" s="363"/>
      <c r="AL17" s="363"/>
      <c r="AM17" s="363"/>
      <c r="AN17" s="363"/>
    </row>
    <row r="18" spans="1:40">
      <c r="A18" s="2" t="s">
        <v>90</v>
      </c>
      <c r="B18" s="16">
        <f t="shared" ref="B18:N18" si="19">B88*0.8</f>
        <v>56972.592000000004</v>
      </c>
      <c r="C18" s="16">
        <f t="shared" si="19"/>
        <v>15526.791999999994</v>
      </c>
      <c r="D18" s="16">
        <f t="shared" si="19"/>
        <v>2485.4639999999999</v>
      </c>
      <c r="E18" s="16">
        <f t="shared" si="19"/>
        <v>1962.2480000000005</v>
      </c>
      <c r="F18" s="16">
        <f t="shared" si="19"/>
        <v>80082.784</v>
      </c>
      <c r="G18" s="16">
        <f t="shared" si="19"/>
        <v>4521.5039999999999</v>
      </c>
      <c r="H18" s="16">
        <f t="shared" si="19"/>
        <v>3202.096</v>
      </c>
      <c r="I18" s="16">
        <f t="shared" si="19"/>
        <v>0</v>
      </c>
      <c r="J18" s="16">
        <f t="shared" si="19"/>
        <v>6252.5840000000007</v>
      </c>
      <c r="K18" s="16">
        <f t="shared" si="19"/>
        <v>434.76000000000005</v>
      </c>
      <c r="L18" s="16">
        <f t="shared" si="19"/>
        <v>0</v>
      </c>
      <c r="M18" s="16">
        <f t="shared" si="19"/>
        <v>0</v>
      </c>
      <c r="N18" s="16">
        <f t="shared" si="19"/>
        <v>126.80000000000001</v>
      </c>
      <c r="O18" s="16">
        <f t="shared" si="1"/>
        <v>0</v>
      </c>
      <c r="P18" s="16">
        <f t="shared" si="10"/>
        <v>0</v>
      </c>
      <c r="Q18" s="16">
        <f t="shared" si="10"/>
        <v>0</v>
      </c>
      <c r="R18" s="8">
        <f t="shared" si="2"/>
        <v>171567.62399999998</v>
      </c>
      <c r="S18" s="363">
        <f t="shared" si="4"/>
        <v>56972.592000000004</v>
      </c>
      <c r="T18" s="363">
        <f t="shared" si="4"/>
        <v>15526.791999999994</v>
      </c>
      <c r="U18" s="363">
        <f t="shared" si="4"/>
        <v>2485.4639999999999</v>
      </c>
      <c r="V18" s="363">
        <f t="shared" si="4"/>
        <v>1962.2480000000005</v>
      </c>
      <c r="W18" s="363">
        <f t="shared" si="5"/>
        <v>84604.288</v>
      </c>
      <c r="X18" s="363">
        <f t="shared" si="6"/>
        <v>10016.24</v>
      </c>
      <c r="Y18" s="363"/>
      <c r="AI18" s="363"/>
      <c r="AJ18" s="363"/>
      <c r="AK18" s="363"/>
      <c r="AL18" s="363"/>
      <c r="AM18" s="363"/>
      <c r="AN18" s="363"/>
    </row>
    <row r="19" spans="1:40">
      <c r="A19" s="2" t="s">
        <v>91</v>
      </c>
      <c r="B19" s="16">
        <f t="shared" ref="B19:N19" si="20">B89*0.8</f>
        <v>76943.047999999995</v>
      </c>
      <c r="C19" s="16">
        <f t="shared" si="20"/>
        <v>20070.351999999992</v>
      </c>
      <c r="D19" s="16">
        <f t="shared" si="20"/>
        <v>1979.9040000000002</v>
      </c>
      <c r="E19" s="16">
        <f t="shared" si="20"/>
        <v>3249.6000000000004</v>
      </c>
      <c r="F19" s="16">
        <f t="shared" si="20"/>
        <v>78256.800000000003</v>
      </c>
      <c r="G19" s="16">
        <f t="shared" si="20"/>
        <v>2608.56</v>
      </c>
      <c r="H19" s="16">
        <f t="shared" si="20"/>
        <v>4240.12</v>
      </c>
      <c r="I19" s="16">
        <f t="shared" si="20"/>
        <v>0</v>
      </c>
      <c r="J19" s="16">
        <f t="shared" si="20"/>
        <v>8901.4080000000013</v>
      </c>
      <c r="K19" s="16">
        <f t="shared" si="20"/>
        <v>86.951999999999998</v>
      </c>
      <c r="L19" s="16">
        <f t="shared" si="20"/>
        <v>0</v>
      </c>
      <c r="M19" s="16">
        <f t="shared" si="20"/>
        <v>0</v>
      </c>
      <c r="N19" s="16">
        <f t="shared" si="20"/>
        <v>177.52</v>
      </c>
      <c r="O19" s="16">
        <f t="shared" si="1"/>
        <v>0</v>
      </c>
      <c r="P19" s="16">
        <f t="shared" si="10"/>
        <v>0</v>
      </c>
      <c r="Q19" s="16">
        <f t="shared" si="10"/>
        <v>0</v>
      </c>
      <c r="R19" s="8">
        <f t="shared" si="2"/>
        <v>196514.26399999997</v>
      </c>
      <c r="S19" s="363">
        <f t="shared" si="4"/>
        <v>76943.047999999995</v>
      </c>
      <c r="T19" s="363">
        <f t="shared" si="4"/>
        <v>20070.351999999992</v>
      </c>
      <c r="U19" s="363">
        <f t="shared" si="4"/>
        <v>1979.9040000000002</v>
      </c>
      <c r="V19" s="363">
        <f t="shared" si="4"/>
        <v>3249.6000000000004</v>
      </c>
      <c r="W19" s="363">
        <f t="shared" si="5"/>
        <v>80865.36</v>
      </c>
      <c r="X19" s="363">
        <f t="shared" si="6"/>
        <v>13406.000000000002</v>
      </c>
      <c r="Y19" s="363"/>
      <c r="AI19" s="363"/>
      <c r="AJ19" s="363"/>
      <c r="AK19" s="363"/>
      <c r="AL19" s="363"/>
      <c r="AM19" s="363"/>
      <c r="AN19" s="363"/>
    </row>
    <row r="20" spans="1:40">
      <c r="A20" s="2" t="s">
        <v>92</v>
      </c>
      <c r="B20" s="16">
        <f t="shared" ref="B20:N20" si="21">B90*0.8</f>
        <v>243590.31200000003</v>
      </c>
      <c r="C20" s="16">
        <f t="shared" si="21"/>
        <v>50937.808000000012</v>
      </c>
      <c r="D20" s="16">
        <f t="shared" si="21"/>
        <v>44274.728000000003</v>
      </c>
      <c r="E20" s="16">
        <f t="shared" si="21"/>
        <v>20774.943999999996</v>
      </c>
      <c r="F20" s="16">
        <f t="shared" si="21"/>
        <v>577013.47199999995</v>
      </c>
      <c r="G20" s="16">
        <f t="shared" si="21"/>
        <v>8695.2000000000007</v>
      </c>
      <c r="H20" s="16">
        <f t="shared" si="21"/>
        <v>14439.567999999999</v>
      </c>
      <c r="I20" s="16">
        <f t="shared" si="21"/>
        <v>3143.768</v>
      </c>
      <c r="J20" s="16">
        <f t="shared" si="21"/>
        <v>26468.912</v>
      </c>
      <c r="K20" s="16">
        <f t="shared" si="21"/>
        <v>2260.752</v>
      </c>
      <c r="L20" s="16">
        <f t="shared" si="21"/>
        <v>347.80799999999999</v>
      </c>
      <c r="M20" s="16">
        <f t="shared" si="21"/>
        <v>0</v>
      </c>
      <c r="N20" s="16">
        <f t="shared" si="21"/>
        <v>583.28000000000009</v>
      </c>
      <c r="O20" s="16">
        <f t="shared" si="1"/>
        <v>0</v>
      </c>
      <c r="P20" s="16">
        <f t="shared" si="10"/>
        <v>0</v>
      </c>
      <c r="Q20" s="16">
        <f t="shared" si="10"/>
        <v>0</v>
      </c>
      <c r="R20" s="8">
        <f t="shared" si="2"/>
        <v>992530.55199999991</v>
      </c>
      <c r="S20" s="363">
        <f t="shared" si="4"/>
        <v>243590.31200000003</v>
      </c>
      <c r="T20" s="363">
        <f t="shared" si="4"/>
        <v>50937.808000000012</v>
      </c>
      <c r="U20" s="363">
        <f t="shared" si="4"/>
        <v>44274.728000000003</v>
      </c>
      <c r="V20" s="363">
        <f t="shared" si="4"/>
        <v>20774.943999999996</v>
      </c>
      <c r="W20" s="363">
        <f t="shared" si="5"/>
        <v>585708.6719999999</v>
      </c>
      <c r="X20" s="363">
        <f t="shared" si="6"/>
        <v>47244.087999999996</v>
      </c>
      <c r="Y20" s="363"/>
      <c r="AI20" s="363"/>
      <c r="AJ20" s="363"/>
      <c r="AK20" s="363"/>
      <c r="AL20" s="363"/>
      <c r="AM20" s="363"/>
      <c r="AN20" s="363"/>
    </row>
    <row r="21" spans="1:40">
      <c r="A21" s="2" t="s">
        <v>93</v>
      </c>
      <c r="B21" s="16">
        <f t="shared" ref="B21:N21" si="22">B91*0.8</f>
        <v>112706.13600000001</v>
      </c>
      <c r="C21" s="16">
        <f t="shared" si="22"/>
        <v>25861.935999999987</v>
      </c>
      <c r="D21" s="16">
        <f t="shared" si="22"/>
        <v>7004.9360000000006</v>
      </c>
      <c r="E21" s="16">
        <f t="shared" si="22"/>
        <v>3322.9279999999999</v>
      </c>
      <c r="F21" s="16">
        <f t="shared" si="22"/>
        <v>148253.16</v>
      </c>
      <c r="G21" s="16">
        <f t="shared" si="22"/>
        <v>3999.7919999999999</v>
      </c>
      <c r="H21" s="16">
        <f t="shared" si="22"/>
        <v>5043.0560000000005</v>
      </c>
      <c r="I21" s="16">
        <f t="shared" si="22"/>
        <v>1487.808</v>
      </c>
      <c r="J21" s="16">
        <f t="shared" si="22"/>
        <v>10578.368</v>
      </c>
      <c r="K21" s="16">
        <f t="shared" si="22"/>
        <v>869.5200000000001</v>
      </c>
      <c r="L21" s="16">
        <f t="shared" si="22"/>
        <v>0</v>
      </c>
      <c r="M21" s="16">
        <f t="shared" si="22"/>
        <v>0</v>
      </c>
      <c r="N21" s="16">
        <f t="shared" si="22"/>
        <v>380.40000000000003</v>
      </c>
      <c r="O21" s="16">
        <f t="shared" si="1"/>
        <v>0</v>
      </c>
      <c r="P21" s="16">
        <f t="shared" si="10"/>
        <v>0</v>
      </c>
      <c r="Q21" s="16">
        <f t="shared" si="10"/>
        <v>0</v>
      </c>
      <c r="R21" s="8">
        <f t="shared" si="2"/>
        <v>319508.0400000001</v>
      </c>
      <c r="S21" s="363">
        <f t="shared" si="4"/>
        <v>112706.13600000001</v>
      </c>
      <c r="T21" s="363">
        <f t="shared" si="4"/>
        <v>25861.935999999987</v>
      </c>
      <c r="U21" s="363">
        <f t="shared" si="4"/>
        <v>7004.9360000000006</v>
      </c>
      <c r="V21" s="363">
        <f t="shared" si="4"/>
        <v>3322.9279999999999</v>
      </c>
      <c r="W21" s="363">
        <f t="shared" si="5"/>
        <v>152252.95199999999</v>
      </c>
      <c r="X21" s="363">
        <f t="shared" si="6"/>
        <v>18359.152000000002</v>
      </c>
      <c r="Y21" s="363"/>
      <c r="AI21" s="363"/>
      <c r="AJ21" s="363"/>
      <c r="AK21" s="363"/>
      <c r="AL21" s="363"/>
      <c r="AM21" s="363"/>
      <c r="AN21" s="363"/>
    </row>
    <row r="22" spans="1:40">
      <c r="A22" s="2" t="s">
        <v>94</v>
      </c>
      <c r="B22" s="16">
        <f t="shared" ref="B22:N22" si="23">B92*0.8</f>
        <v>25629.08</v>
      </c>
      <c r="C22" s="16">
        <f t="shared" si="23"/>
        <v>2508.2480000000041</v>
      </c>
      <c r="D22" s="16">
        <f t="shared" si="23"/>
        <v>1959.616</v>
      </c>
      <c r="E22" s="16">
        <f t="shared" si="23"/>
        <v>219.416</v>
      </c>
      <c r="F22" s="16">
        <f t="shared" si="23"/>
        <v>45388.944000000003</v>
      </c>
      <c r="G22" s="16">
        <f t="shared" si="23"/>
        <v>3565.0320000000002</v>
      </c>
      <c r="H22" s="16">
        <f t="shared" si="23"/>
        <v>532.77600000000007</v>
      </c>
      <c r="I22" s="16">
        <f t="shared" si="23"/>
        <v>0</v>
      </c>
      <c r="J22" s="16">
        <f t="shared" si="23"/>
        <v>1691.6320000000001</v>
      </c>
      <c r="K22" s="16">
        <f t="shared" si="23"/>
        <v>695.61599999999999</v>
      </c>
      <c r="L22" s="16">
        <f t="shared" si="23"/>
        <v>0</v>
      </c>
      <c r="M22" s="16">
        <f t="shared" si="23"/>
        <v>0</v>
      </c>
      <c r="N22" s="16">
        <f t="shared" si="23"/>
        <v>76.08</v>
      </c>
      <c r="O22" s="16">
        <f t="shared" si="1"/>
        <v>0</v>
      </c>
      <c r="P22" s="16">
        <f>P92</f>
        <v>26.24</v>
      </c>
      <c r="Q22" s="16">
        <f>Q92</f>
        <v>262.39</v>
      </c>
      <c r="R22" s="8">
        <f t="shared" si="2"/>
        <v>82555.070000000007</v>
      </c>
      <c r="S22" s="363">
        <f t="shared" si="4"/>
        <v>25629.08</v>
      </c>
      <c r="T22" s="363">
        <f t="shared" si="4"/>
        <v>2508.2480000000041</v>
      </c>
      <c r="U22" s="363">
        <f t="shared" si="4"/>
        <v>1959.616</v>
      </c>
      <c r="V22" s="363">
        <f t="shared" si="4"/>
        <v>219.416</v>
      </c>
      <c r="W22" s="363">
        <f t="shared" si="5"/>
        <v>48953.976000000002</v>
      </c>
      <c r="X22" s="363">
        <f t="shared" si="6"/>
        <v>3284.7339999999999</v>
      </c>
      <c r="Y22" s="363"/>
      <c r="AI22" s="363"/>
      <c r="AJ22" s="363"/>
      <c r="AK22" s="363"/>
      <c r="AL22" s="363"/>
      <c r="AM22" s="363"/>
      <c r="AN22" s="363"/>
    </row>
    <row r="23" spans="1:40">
      <c r="A23" s="2" t="s">
        <v>95</v>
      </c>
      <c r="B23" s="16">
        <f t="shared" ref="B23:N23" si="24">B93*0.8</f>
        <v>328405.46400000004</v>
      </c>
      <c r="C23" s="16">
        <f t="shared" si="24"/>
        <v>62047.472000000023</v>
      </c>
      <c r="D23" s="16">
        <f t="shared" si="24"/>
        <v>19166.240000000002</v>
      </c>
      <c r="E23" s="16">
        <f t="shared" si="24"/>
        <v>10655.016000000007</v>
      </c>
      <c r="F23" s="16">
        <f t="shared" si="24"/>
        <v>510991.12800000003</v>
      </c>
      <c r="G23" s="16">
        <f t="shared" si="24"/>
        <v>14086.224</v>
      </c>
      <c r="H23" s="16">
        <f t="shared" si="24"/>
        <v>12668.800000000001</v>
      </c>
      <c r="I23" s="16">
        <f t="shared" si="24"/>
        <v>2676.0080000000003</v>
      </c>
      <c r="J23" s="16">
        <f t="shared" si="24"/>
        <v>28459.520000000004</v>
      </c>
      <c r="K23" s="16">
        <f t="shared" si="24"/>
        <v>1825.992</v>
      </c>
      <c r="L23" s="16">
        <f t="shared" si="24"/>
        <v>0</v>
      </c>
      <c r="M23" s="16">
        <f t="shared" si="24"/>
        <v>0</v>
      </c>
      <c r="N23" s="16">
        <f t="shared" si="24"/>
        <v>811.52</v>
      </c>
      <c r="O23" s="16">
        <f t="shared" si="1"/>
        <v>0</v>
      </c>
      <c r="P23" s="16">
        <f t="shared" si="10"/>
        <v>0</v>
      </c>
      <c r="Q23" s="16">
        <f t="shared" si="10"/>
        <v>0</v>
      </c>
      <c r="R23" s="8">
        <f t="shared" si="2"/>
        <v>991793.38400000019</v>
      </c>
      <c r="S23" s="363">
        <f t="shared" si="4"/>
        <v>328405.46400000004</v>
      </c>
      <c r="T23" s="363">
        <f t="shared" si="4"/>
        <v>62047.472000000023</v>
      </c>
      <c r="U23" s="363">
        <f t="shared" si="4"/>
        <v>19166.240000000002</v>
      </c>
      <c r="V23" s="363">
        <f t="shared" si="4"/>
        <v>10655.016000000007</v>
      </c>
      <c r="W23" s="363">
        <f t="shared" si="5"/>
        <v>525077.35200000007</v>
      </c>
      <c r="X23" s="363">
        <f t="shared" si="6"/>
        <v>46441.840000000004</v>
      </c>
      <c r="Y23" s="363"/>
      <c r="AI23" s="363"/>
      <c r="AJ23" s="363"/>
      <c r="AK23" s="363"/>
      <c r="AL23" s="363"/>
      <c r="AM23" s="363"/>
      <c r="AN23" s="363"/>
    </row>
    <row r="24" spans="1:40">
      <c r="A24" s="2" t="s">
        <v>96</v>
      </c>
      <c r="B24" s="16">
        <f t="shared" ref="B24:N24" si="25">B94*0.8</f>
        <v>76831.368000000002</v>
      </c>
      <c r="C24" s="16">
        <f t="shared" si="25"/>
        <v>9397.5919999999933</v>
      </c>
      <c r="D24" s="16">
        <f t="shared" si="25"/>
        <v>1246.1120000000001</v>
      </c>
      <c r="E24" s="16">
        <f t="shared" si="25"/>
        <v>1613.8720000000001</v>
      </c>
      <c r="F24" s="16">
        <f t="shared" si="25"/>
        <v>71996.256000000008</v>
      </c>
      <c r="G24" s="16">
        <f t="shared" si="25"/>
        <v>3565.0320000000002</v>
      </c>
      <c r="H24" s="16">
        <f t="shared" si="25"/>
        <v>2384.6880000000001</v>
      </c>
      <c r="I24" s="16">
        <f t="shared" si="25"/>
        <v>5586.7920000000004</v>
      </c>
      <c r="J24" s="16">
        <f t="shared" si="25"/>
        <v>4769.7839999999997</v>
      </c>
      <c r="K24" s="16">
        <f t="shared" si="25"/>
        <v>86.951999999999998</v>
      </c>
      <c r="L24" s="16">
        <f t="shared" si="25"/>
        <v>0</v>
      </c>
      <c r="M24" s="16">
        <f t="shared" si="25"/>
        <v>0</v>
      </c>
      <c r="N24" s="16">
        <f t="shared" si="25"/>
        <v>101.44</v>
      </c>
      <c r="O24" s="16">
        <f t="shared" si="1"/>
        <v>0</v>
      </c>
      <c r="P24" s="16">
        <f t="shared" si="10"/>
        <v>0</v>
      </c>
      <c r="Q24" s="16">
        <f t="shared" si="10"/>
        <v>0</v>
      </c>
      <c r="R24" s="8">
        <f t="shared" si="2"/>
        <v>177579.88799999998</v>
      </c>
      <c r="S24" s="363">
        <f t="shared" si="4"/>
        <v>76831.368000000002</v>
      </c>
      <c r="T24" s="363">
        <f t="shared" si="4"/>
        <v>9397.5919999999933</v>
      </c>
      <c r="U24" s="363">
        <f t="shared" si="4"/>
        <v>1246.1120000000001</v>
      </c>
      <c r="V24" s="363">
        <f t="shared" si="4"/>
        <v>1613.8720000000001</v>
      </c>
      <c r="W24" s="363">
        <f t="shared" si="5"/>
        <v>75561.288000000015</v>
      </c>
      <c r="X24" s="363">
        <f t="shared" si="6"/>
        <v>12929.655999999999</v>
      </c>
      <c r="Y24" s="363"/>
      <c r="AI24" s="363"/>
      <c r="AJ24" s="363"/>
      <c r="AK24" s="363"/>
      <c r="AL24" s="363"/>
      <c r="AM24" s="363"/>
      <c r="AN24" s="363"/>
    </row>
    <row r="25" spans="1:40">
      <c r="A25" s="2" t="s">
        <v>97</v>
      </c>
      <c r="B25" s="16">
        <f t="shared" ref="B25:N25" si="26">B95*0.8</f>
        <v>404428.78399999999</v>
      </c>
      <c r="C25" s="16">
        <f t="shared" si="26"/>
        <v>79734.904000000097</v>
      </c>
      <c r="D25" s="16">
        <f t="shared" si="26"/>
        <v>27116.208000000002</v>
      </c>
      <c r="E25" s="16">
        <f t="shared" si="26"/>
        <v>15989.368</v>
      </c>
      <c r="F25" s="16">
        <f t="shared" si="26"/>
        <v>710397.84000000008</v>
      </c>
      <c r="G25" s="16">
        <f t="shared" si="26"/>
        <v>10869</v>
      </c>
      <c r="H25" s="16">
        <f t="shared" si="26"/>
        <v>19589.888000000003</v>
      </c>
      <c r="I25" s="16">
        <f t="shared" si="26"/>
        <v>4161.3040000000001</v>
      </c>
      <c r="J25" s="16">
        <f t="shared" si="26"/>
        <v>32996.983999999997</v>
      </c>
      <c r="K25" s="16">
        <f t="shared" si="26"/>
        <v>3999.7919999999999</v>
      </c>
      <c r="L25" s="16">
        <f t="shared" si="26"/>
        <v>0</v>
      </c>
      <c r="M25" s="16">
        <f t="shared" si="26"/>
        <v>564.91200000000003</v>
      </c>
      <c r="N25" s="16">
        <f t="shared" si="26"/>
        <v>355.04</v>
      </c>
      <c r="O25" s="16">
        <f t="shared" si="1"/>
        <v>0</v>
      </c>
      <c r="P25" s="16">
        <f t="shared" si="10"/>
        <v>0</v>
      </c>
      <c r="Q25" s="16">
        <f t="shared" si="10"/>
        <v>0</v>
      </c>
      <c r="R25" s="8">
        <f t="shared" si="2"/>
        <v>1310204.0240000002</v>
      </c>
      <c r="S25" s="363">
        <f t="shared" si="4"/>
        <v>404428.78399999999</v>
      </c>
      <c r="T25" s="363">
        <f t="shared" si="4"/>
        <v>79734.904000000097</v>
      </c>
      <c r="U25" s="363">
        <f t="shared" si="4"/>
        <v>27116.208000000002</v>
      </c>
      <c r="V25" s="363">
        <f t="shared" si="4"/>
        <v>15989.368</v>
      </c>
      <c r="W25" s="363">
        <f t="shared" si="5"/>
        <v>721266.84000000008</v>
      </c>
      <c r="X25" s="363">
        <f t="shared" si="6"/>
        <v>61667.92</v>
      </c>
      <c r="Y25" s="363"/>
      <c r="AI25" s="363"/>
      <c r="AJ25" s="363"/>
      <c r="AK25" s="363"/>
      <c r="AL25" s="363"/>
      <c r="AM25" s="363"/>
      <c r="AN25" s="363"/>
    </row>
    <row r="26" spans="1:40">
      <c r="A26" s="2" t="s">
        <v>98</v>
      </c>
      <c r="B26" s="16">
        <f t="shared" ref="B26:N26" si="27">B96*0.8</f>
        <v>28630.832000000002</v>
      </c>
      <c r="C26" s="16">
        <f t="shared" si="27"/>
        <v>5106.2880000000005</v>
      </c>
      <c r="D26" s="16">
        <f t="shared" si="27"/>
        <v>2341.752</v>
      </c>
      <c r="E26" s="16">
        <f t="shared" si="27"/>
        <v>2167.88</v>
      </c>
      <c r="F26" s="16">
        <f t="shared" si="27"/>
        <v>73909.2</v>
      </c>
      <c r="G26" s="16">
        <f t="shared" si="27"/>
        <v>1739.0400000000002</v>
      </c>
      <c r="H26" s="16">
        <f t="shared" si="27"/>
        <v>1027.7760000000001</v>
      </c>
      <c r="I26" s="16">
        <f t="shared" si="27"/>
        <v>0</v>
      </c>
      <c r="J26" s="16">
        <f t="shared" si="27"/>
        <v>3006.1120000000005</v>
      </c>
      <c r="K26" s="16">
        <f t="shared" si="27"/>
        <v>434.76000000000005</v>
      </c>
      <c r="L26" s="16">
        <f t="shared" si="27"/>
        <v>0</v>
      </c>
      <c r="M26" s="16">
        <f t="shared" si="27"/>
        <v>0</v>
      </c>
      <c r="N26" s="16">
        <f t="shared" si="27"/>
        <v>50.72</v>
      </c>
      <c r="O26" s="16">
        <f t="shared" si="1"/>
        <v>0</v>
      </c>
      <c r="P26" s="16">
        <f t="shared" si="10"/>
        <v>0</v>
      </c>
      <c r="Q26" s="16">
        <f t="shared" si="10"/>
        <v>0</v>
      </c>
      <c r="R26" s="8">
        <f t="shared" si="2"/>
        <v>118414.35999999997</v>
      </c>
      <c r="S26" s="363">
        <f t="shared" si="4"/>
        <v>28630.832000000002</v>
      </c>
      <c r="T26" s="363">
        <f t="shared" si="4"/>
        <v>5106.2880000000005</v>
      </c>
      <c r="U26" s="363">
        <f t="shared" si="4"/>
        <v>2341.752</v>
      </c>
      <c r="V26" s="363">
        <f t="shared" si="4"/>
        <v>2167.88</v>
      </c>
      <c r="W26" s="363">
        <f t="shared" si="5"/>
        <v>75648.239999999991</v>
      </c>
      <c r="X26" s="363">
        <f t="shared" si="6"/>
        <v>4519.3680000000013</v>
      </c>
      <c r="Y26" s="363"/>
      <c r="AI26" s="363"/>
      <c r="AJ26" s="363"/>
      <c r="AK26" s="363"/>
      <c r="AL26" s="363"/>
      <c r="AM26" s="363"/>
      <c r="AN26" s="363"/>
    </row>
    <row r="27" spans="1:40">
      <c r="A27" s="2" t="s">
        <v>99</v>
      </c>
      <c r="B27" s="16">
        <f t="shared" ref="B27:N27" si="28">B97*0.8</f>
        <v>2730.6000000000004</v>
      </c>
      <c r="C27" s="16">
        <f t="shared" si="28"/>
        <v>192.36800000000005</v>
      </c>
      <c r="D27" s="16">
        <f t="shared" si="28"/>
        <v>118.352</v>
      </c>
      <c r="E27" s="16">
        <f t="shared" si="28"/>
        <v>0</v>
      </c>
      <c r="F27" s="16">
        <f t="shared" si="28"/>
        <v>10869</v>
      </c>
      <c r="G27" s="16">
        <f t="shared" si="28"/>
        <v>260.85599999999999</v>
      </c>
      <c r="H27" s="16">
        <f t="shared" si="28"/>
        <v>31.984000000000005</v>
      </c>
      <c r="I27" s="16">
        <f t="shared" si="28"/>
        <v>0</v>
      </c>
      <c r="J27" s="16">
        <f t="shared" si="28"/>
        <v>160.86400000000003</v>
      </c>
      <c r="K27" s="16">
        <f t="shared" si="28"/>
        <v>173.904</v>
      </c>
      <c r="L27" s="16">
        <f t="shared" si="28"/>
        <v>0</v>
      </c>
      <c r="M27" s="16">
        <f t="shared" si="28"/>
        <v>0</v>
      </c>
      <c r="N27" s="16">
        <f t="shared" si="28"/>
        <v>0</v>
      </c>
      <c r="O27" s="16">
        <f t="shared" si="1"/>
        <v>0</v>
      </c>
      <c r="P27" s="16">
        <f t="shared" si="10"/>
        <v>0</v>
      </c>
      <c r="Q27" s="16">
        <f t="shared" si="10"/>
        <v>0</v>
      </c>
      <c r="R27" s="8">
        <f t="shared" si="2"/>
        <v>14537.928</v>
      </c>
      <c r="S27" s="363">
        <f t="shared" si="4"/>
        <v>2730.6000000000004</v>
      </c>
      <c r="T27" s="363">
        <f t="shared" si="4"/>
        <v>192.36800000000005</v>
      </c>
      <c r="U27" s="363">
        <f t="shared" si="4"/>
        <v>118.352</v>
      </c>
      <c r="V27" s="363">
        <f t="shared" si="4"/>
        <v>0</v>
      </c>
      <c r="W27" s="363">
        <f t="shared" si="5"/>
        <v>11129.856</v>
      </c>
      <c r="X27" s="363">
        <f t="shared" si="6"/>
        <v>366.75200000000007</v>
      </c>
      <c r="Y27" s="363"/>
      <c r="AI27" s="363"/>
      <c r="AJ27" s="363"/>
      <c r="AK27" s="363"/>
      <c r="AL27" s="363"/>
      <c r="AM27" s="363"/>
      <c r="AN27" s="363"/>
    </row>
    <row r="28" spans="1:40">
      <c r="A28" s="2" t="s">
        <v>100</v>
      </c>
      <c r="B28" s="16">
        <f t="shared" ref="B28:N28" si="29">B98*0.8</f>
        <v>313105.44800000003</v>
      </c>
      <c r="C28" s="16">
        <f t="shared" si="29"/>
        <v>88985.712000000014</v>
      </c>
      <c r="D28" s="16">
        <f t="shared" si="29"/>
        <v>17864.024000000001</v>
      </c>
      <c r="E28" s="16">
        <f t="shared" si="29"/>
        <v>14954.559999999998</v>
      </c>
      <c r="F28" s="16">
        <f t="shared" si="29"/>
        <v>478236</v>
      </c>
      <c r="G28" s="16">
        <f t="shared" si="29"/>
        <v>6434.4480000000003</v>
      </c>
      <c r="H28" s="16">
        <f t="shared" si="29"/>
        <v>18688.223999999998</v>
      </c>
      <c r="I28" s="16">
        <f t="shared" si="29"/>
        <v>1928.7200000000003</v>
      </c>
      <c r="J28" s="16">
        <f t="shared" si="29"/>
        <v>31107.671999999999</v>
      </c>
      <c r="K28" s="16">
        <f t="shared" si="29"/>
        <v>1652.0880000000002</v>
      </c>
      <c r="L28" s="16">
        <f t="shared" si="29"/>
        <v>0</v>
      </c>
      <c r="M28" s="16">
        <f t="shared" si="29"/>
        <v>0</v>
      </c>
      <c r="N28" s="16">
        <f t="shared" si="29"/>
        <v>608.64</v>
      </c>
      <c r="O28" s="16">
        <f t="shared" si="1"/>
        <v>0</v>
      </c>
      <c r="P28" s="16">
        <f t="shared" si="10"/>
        <v>0</v>
      </c>
      <c r="Q28" s="16">
        <f t="shared" si="10"/>
        <v>0</v>
      </c>
      <c r="R28" s="8">
        <f t="shared" si="2"/>
        <v>973565.53599999996</v>
      </c>
      <c r="S28" s="363">
        <f t="shared" si="4"/>
        <v>313105.44800000003</v>
      </c>
      <c r="T28" s="363">
        <f t="shared" si="4"/>
        <v>88985.712000000014</v>
      </c>
      <c r="U28" s="363">
        <f t="shared" si="4"/>
        <v>17864.024000000001</v>
      </c>
      <c r="V28" s="363">
        <f t="shared" si="4"/>
        <v>14954.559999999998</v>
      </c>
      <c r="W28" s="363">
        <f t="shared" si="5"/>
        <v>484670.44799999997</v>
      </c>
      <c r="X28" s="363">
        <f t="shared" si="6"/>
        <v>53985.343999999997</v>
      </c>
      <c r="Y28" s="363"/>
      <c r="AI28" s="363"/>
      <c r="AJ28" s="363"/>
      <c r="AK28" s="363"/>
      <c r="AL28" s="363"/>
      <c r="AM28" s="363"/>
      <c r="AN28" s="363"/>
    </row>
    <row r="29" spans="1:40">
      <c r="A29" s="2" t="s">
        <v>101</v>
      </c>
      <c r="B29" s="16">
        <f t="shared" ref="B29:N29" si="30">B99*0.8</f>
        <v>1193413.08</v>
      </c>
      <c r="C29" s="16">
        <f t="shared" si="30"/>
        <v>279459.55199999979</v>
      </c>
      <c r="D29" s="16">
        <f t="shared" si="30"/>
        <v>54922.92</v>
      </c>
      <c r="E29" s="16">
        <f t="shared" si="30"/>
        <v>47690.504000000008</v>
      </c>
      <c r="F29" s="16">
        <f t="shared" si="30"/>
        <v>2615429.2080000001</v>
      </c>
      <c r="G29" s="16">
        <f t="shared" si="30"/>
        <v>35302.512000000002</v>
      </c>
      <c r="H29" s="16">
        <f t="shared" si="30"/>
        <v>89542.720000000001</v>
      </c>
      <c r="I29" s="16">
        <f t="shared" si="30"/>
        <v>6148.76</v>
      </c>
      <c r="J29" s="16">
        <f t="shared" si="30"/>
        <v>117575.47200000001</v>
      </c>
      <c r="K29" s="16">
        <f t="shared" si="30"/>
        <v>7303.9679999999998</v>
      </c>
      <c r="L29" s="16">
        <f t="shared" si="30"/>
        <v>1043.424</v>
      </c>
      <c r="M29" s="16">
        <f t="shared" si="30"/>
        <v>0</v>
      </c>
      <c r="N29" s="16">
        <f t="shared" si="30"/>
        <v>2764.2400000000002</v>
      </c>
      <c r="O29" s="16">
        <f t="shared" si="1"/>
        <v>0</v>
      </c>
      <c r="P29" s="16">
        <f>P99</f>
        <v>731.65</v>
      </c>
      <c r="Q29" s="16">
        <f>Q99</f>
        <v>14346.48</v>
      </c>
      <c r="R29" s="8">
        <f t="shared" si="2"/>
        <v>4465674.49</v>
      </c>
      <c r="S29" s="363">
        <f t="shared" si="4"/>
        <v>1193413.08</v>
      </c>
      <c r="T29" s="363">
        <f t="shared" si="4"/>
        <v>279459.55199999979</v>
      </c>
      <c r="U29" s="363">
        <f t="shared" si="4"/>
        <v>54922.92</v>
      </c>
      <c r="V29" s="363">
        <f t="shared" si="4"/>
        <v>47690.504000000008</v>
      </c>
      <c r="W29" s="363">
        <f t="shared" si="5"/>
        <v>2650731.7200000002</v>
      </c>
      <c r="X29" s="363">
        <f t="shared" si="6"/>
        <v>239456.71399999998</v>
      </c>
      <c r="Y29" s="363"/>
      <c r="AI29" s="363"/>
      <c r="AJ29" s="363"/>
      <c r="AK29" s="363"/>
      <c r="AL29" s="363"/>
      <c r="AM29" s="363"/>
      <c r="AN29" s="363"/>
    </row>
    <row r="30" spans="1:40">
      <c r="A30" s="2" t="s">
        <v>102</v>
      </c>
      <c r="B30" s="16">
        <f t="shared" ref="B30:N30" si="31">B100*0.8</f>
        <v>37506.488000000005</v>
      </c>
      <c r="C30" s="16">
        <f t="shared" si="31"/>
        <v>7572.1440000000002</v>
      </c>
      <c r="D30" s="16">
        <f t="shared" si="31"/>
        <v>1799</v>
      </c>
      <c r="E30" s="16">
        <f t="shared" si="31"/>
        <v>101.74399999999987</v>
      </c>
      <c r="F30" s="16">
        <f t="shared" si="31"/>
        <v>56605.752000000008</v>
      </c>
      <c r="G30" s="16">
        <f t="shared" si="31"/>
        <v>2869.4160000000002</v>
      </c>
      <c r="H30" s="16">
        <f t="shared" si="31"/>
        <v>1495.4480000000001</v>
      </c>
      <c r="I30" s="16">
        <f t="shared" si="31"/>
        <v>507.23199999999997</v>
      </c>
      <c r="J30" s="16">
        <f t="shared" si="31"/>
        <v>3624.9120000000003</v>
      </c>
      <c r="K30" s="16">
        <f t="shared" si="31"/>
        <v>86.951999999999998</v>
      </c>
      <c r="L30" s="16">
        <f t="shared" si="31"/>
        <v>0</v>
      </c>
      <c r="M30" s="16">
        <f t="shared" si="31"/>
        <v>0</v>
      </c>
      <c r="N30" s="16">
        <f t="shared" si="31"/>
        <v>0</v>
      </c>
      <c r="O30" s="16">
        <f t="shared" si="1"/>
        <v>0</v>
      </c>
      <c r="P30" s="16">
        <f>P100*0.8</f>
        <v>0</v>
      </c>
      <c r="Q30" s="16">
        <f>Q100*0.8</f>
        <v>0</v>
      </c>
      <c r="R30" s="8">
        <f t="shared" si="2"/>
        <v>112169.08800000002</v>
      </c>
      <c r="S30" s="363">
        <f t="shared" si="4"/>
        <v>37506.488000000005</v>
      </c>
      <c r="T30" s="363">
        <f t="shared" si="4"/>
        <v>7572.1440000000002</v>
      </c>
      <c r="U30" s="363">
        <f t="shared" si="4"/>
        <v>1799</v>
      </c>
      <c r="V30" s="363">
        <f t="shared" si="4"/>
        <v>101.74399999999987</v>
      </c>
      <c r="W30" s="363">
        <f t="shared" si="5"/>
        <v>59475.168000000005</v>
      </c>
      <c r="X30" s="363">
        <f t="shared" si="6"/>
        <v>5714.5440000000008</v>
      </c>
      <c r="Y30" s="363"/>
      <c r="AI30" s="363"/>
      <c r="AJ30" s="363"/>
      <c r="AK30" s="363"/>
      <c r="AL30" s="363"/>
      <c r="AM30" s="363"/>
      <c r="AN30" s="363"/>
    </row>
    <row r="31" spans="1:40">
      <c r="A31" s="2" t="s">
        <v>103</v>
      </c>
      <c r="B31" s="16">
        <f t="shared" ref="B31:N31" si="32">B101*0.8</f>
        <v>17469.176000000003</v>
      </c>
      <c r="C31" s="16">
        <f t="shared" si="32"/>
        <v>3918.8399999999997</v>
      </c>
      <c r="D31" s="16">
        <f t="shared" si="32"/>
        <v>1477.7520000000002</v>
      </c>
      <c r="E31" s="16">
        <f t="shared" si="32"/>
        <v>724.65600000000018</v>
      </c>
      <c r="F31" s="16">
        <f t="shared" si="32"/>
        <v>34085.184000000001</v>
      </c>
      <c r="G31" s="16">
        <f t="shared" si="32"/>
        <v>956.47200000000021</v>
      </c>
      <c r="H31" s="16">
        <f t="shared" si="32"/>
        <v>650.42399999999998</v>
      </c>
      <c r="I31" s="16">
        <f t="shared" si="32"/>
        <v>0</v>
      </c>
      <c r="J31" s="16">
        <f t="shared" si="32"/>
        <v>1868.6879999999999</v>
      </c>
      <c r="K31" s="16">
        <f t="shared" si="32"/>
        <v>86.951999999999998</v>
      </c>
      <c r="L31" s="16">
        <f t="shared" si="32"/>
        <v>0</v>
      </c>
      <c r="M31" s="16">
        <f t="shared" si="32"/>
        <v>0</v>
      </c>
      <c r="N31" s="16">
        <f t="shared" si="32"/>
        <v>50.72</v>
      </c>
      <c r="O31" s="16">
        <f t="shared" si="1"/>
        <v>0</v>
      </c>
      <c r="P31" s="16">
        <f>P101*0.8</f>
        <v>0</v>
      </c>
      <c r="Q31" s="16">
        <f>Q101*0.8</f>
        <v>0</v>
      </c>
      <c r="R31" s="8">
        <f t="shared" si="2"/>
        <v>61288.864000000009</v>
      </c>
      <c r="S31" s="363">
        <f t="shared" si="4"/>
        <v>17469.176000000003</v>
      </c>
      <c r="T31" s="363">
        <f t="shared" si="4"/>
        <v>3918.8399999999997</v>
      </c>
      <c r="U31" s="363">
        <f t="shared" si="4"/>
        <v>1477.7520000000002</v>
      </c>
      <c r="V31" s="363">
        <f t="shared" si="4"/>
        <v>724.65600000000018</v>
      </c>
      <c r="W31" s="363">
        <f t="shared" si="5"/>
        <v>35041.656000000003</v>
      </c>
      <c r="X31" s="363">
        <f t="shared" si="6"/>
        <v>2656.7840000000001</v>
      </c>
      <c r="Y31" s="363"/>
      <c r="AI31" s="363"/>
      <c r="AJ31" s="363"/>
      <c r="AK31" s="363"/>
      <c r="AL31" s="363"/>
      <c r="AM31" s="363"/>
      <c r="AN31" s="363"/>
    </row>
    <row r="32" spans="1:40">
      <c r="A32" s="4" t="s">
        <v>37</v>
      </c>
      <c r="B32" s="5">
        <f t="shared" ref="B32:R32" si="33">SUM(B5:B31)</f>
        <v>4266309.8079999993</v>
      </c>
      <c r="C32" s="5">
        <f t="shared" si="33"/>
        <v>969793.41600000008</v>
      </c>
      <c r="D32" s="5">
        <f t="shared" si="33"/>
        <v>245828.84000000005</v>
      </c>
      <c r="E32" s="5">
        <f t="shared" si="33"/>
        <v>173314.88</v>
      </c>
      <c r="F32" s="5">
        <f t="shared" si="33"/>
        <v>7437761.3440000024</v>
      </c>
      <c r="G32" s="5">
        <f t="shared" si="33"/>
        <v>152600.76000000004</v>
      </c>
      <c r="H32" s="5">
        <f t="shared" si="33"/>
        <v>245640.34400000001</v>
      </c>
      <c r="I32" s="5">
        <f t="shared" si="33"/>
        <v>32059.52</v>
      </c>
      <c r="J32" s="5">
        <f t="shared" si="33"/>
        <v>411104.83200000005</v>
      </c>
      <c r="K32" s="5">
        <f t="shared" si="33"/>
        <v>30085.392</v>
      </c>
      <c r="L32" s="5">
        <f t="shared" si="33"/>
        <v>2086.848</v>
      </c>
      <c r="M32" s="5">
        <f t="shared" si="33"/>
        <v>3169.6400000000003</v>
      </c>
      <c r="N32" s="5">
        <f t="shared" si="33"/>
        <v>8267.36</v>
      </c>
      <c r="O32" s="5">
        <f>SUM(O5:O31)</f>
        <v>0</v>
      </c>
      <c r="P32" s="5">
        <f t="shared" si="33"/>
        <v>803.03399999999999</v>
      </c>
      <c r="Q32" s="5">
        <f t="shared" si="33"/>
        <v>15778.029999999999</v>
      </c>
      <c r="R32" s="5">
        <f t="shared" si="33"/>
        <v>13994604.048000002</v>
      </c>
      <c r="S32" s="363">
        <f t="shared" ref="S32:X32" si="34">SUM(S5:S31)</f>
        <v>4266309.8079999993</v>
      </c>
      <c r="T32" s="363">
        <f t="shared" si="34"/>
        <v>969793.41600000008</v>
      </c>
      <c r="U32" s="363">
        <f t="shared" si="34"/>
        <v>245828.84000000005</v>
      </c>
      <c r="V32" s="363">
        <f t="shared" si="34"/>
        <v>173314.88</v>
      </c>
      <c r="W32" s="363">
        <f t="shared" si="34"/>
        <v>7590362.1039999994</v>
      </c>
      <c r="X32" s="363">
        <f t="shared" si="34"/>
        <v>748995</v>
      </c>
      <c r="Y32" s="363"/>
      <c r="AI32" s="363"/>
      <c r="AJ32" s="363"/>
      <c r="AK32" s="363"/>
      <c r="AL32" s="363"/>
      <c r="AM32" s="363"/>
      <c r="AN32" s="363"/>
    </row>
    <row r="33" spans="1:40">
      <c r="A33" s="351" t="s">
        <v>48</v>
      </c>
      <c r="B33" s="352"/>
      <c r="C33" s="353"/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3"/>
      <c r="Q33" s="353"/>
      <c r="R33" s="352"/>
      <c r="Y33" s="363"/>
    </row>
    <row r="34" spans="1:40">
      <c r="A34" s="364"/>
      <c r="B34" s="364"/>
      <c r="C34" s="365"/>
      <c r="D34" s="365"/>
      <c r="E34" s="365"/>
      <c r="F34" s="365"/>
      <c r="G34" s="365"/>
      <c r="H34" s="365"/>
      <c r="I34" s="365"/>
      <c r="J34" s="365"/>
      <c r="K34" s="365"/>
      <c r="L34" s="365"/>
      <c r="M34" s="365"/>
      <c r="N34" s="365"/>
      <c r="O34" s="365"/>
      <c r="P34" s="365"/>
      <c r="Q34" s="365"/>
      <c r="R34" s="366"/>
    </row>
    <row r="35" spans="1:40">
      <c r="A35" s="358"/>
      <c r="B35" s="358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60"/>
    </row>
    <row r="36" spans="1:40">
      <c r="A36" s="367"/>
      <c r="B36" s="367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9"/>
    </row>
    <row r="37" spans="1:40" ht="46.5">
      <c r="A37" s="837" t="s">
        <v>66</v>
      </c>
      <c r="B37" s="838"/>
      <c r="C37" s="838"/>
      <c r="D37" s="838"/>
      <c r="E37" s="838"/>
      <c r="F37" s="838"/>
      <c r="G37" s="838"/>
      <c r="H37" s="838"/>
      <c r="I37" s="838"/>
      <c r="J37" s="838"/>
      <c r="K37" s="838"/>
      <c r="L37" s="838"/>
      <c r="M37" s="838"/>
      <c r="N37" s="838"/>
      <c r="O37" s="838"/>
      <c r="P37" s="838"/>
      <c r="Q37" s="838"/>
      <c r="R37" s="839"/>
    </row>
    <row r="38" spans="1:40" s="372" customFormat="1" ht="35.1" customHeight="1">
      <c r="A38" s="835" t="s">
        <v>33</v>
      </c>
      <c r="B38" s="833" t="s">
        <v>27</v>
      </c>
      <c r="C38" s="834"/>
      <c r="D38" s="833" t="s">
        <v>29</v>
      </c>
      <c r="E38" s="834"/>
      <c r="F38" s="835" t="s">
        <v>28</v>
      </c>
      <c r="G38" s="835" t="s">
        <v>36</v>
      </c>
      <c r="H38" s="835" t="s">
        <v>30</v>
      </c>
      <c r="I38" s="835" t="s">
        <v>31</v>
      </c>
      <c r="J38" s="835" t="s">
        <v>41</v>
      </c>
      <c r="K38" s="835" t="s">
        <v>35</v>
      </c>
      <c r="L38" s="835" t="s">
        <v>40</v>
      </c>
      <c r="M38" s="835" t="s">
        <v>42</v>
      </c>
      <c r="N38" s="835" t="s">
        <v>45</v>
      </c>
      <c r="O38" s="835" t="s">
        <v>279</v>
      </c>
      <c r="P38" s="833" t="s">
        <v>49</v>
      </c>
      <c r="Q38" s="834"/>
      <c r="R38" s="835" t="s">
        <v>34</v>
      </c>
      <c r="S38" s="357"/>
      <c r="T38" s="357"/>
      <c r="U38" s="357"/>
      <c r="V38" s="357"/>
      <c r="W38" s="357"/>
      <c r="X38" s="357"/>
      <c r="Y38" s="357"/>
      <c r="AI38" s="357"/>
      <c r="AJ38" s="357"/>
      <c r="AK38" s="357"/>
      <c r="AL38" s="357"/>
      <c r="AM38" s="357"/>
      <c r="AN38" s="357"/>
    </row>
    <row r="39" spans="1:40" s="372" customFormat="1" ht="35.1" customHeight="1">
      <c r="A39" s="836"/>
      <c r="B39" s="361" t="s">
        <v>43</v>
      </c>
      <c r="C39" s="361" t="s">
        <v>44</v>
      </c>
      <c r="D39" s="361" t="s">
        <v>43</v>
      </c>
      <c r="E39" s="361" t="s">
        <v>44</v>
      </c>
      <c r="F39" s="836"/>
      <c r="G39" s="836"/>
      <c r="H39" s="836"/>
      <c r="I39" s="836"/>
      <c r="J39" s="836"/>
      <c r="K39" s="836"/>
      <c r="L39" s="836"/>
      <c r="M39" s="836"/>
      <c r="N39" s="836"/>
      <c r="O39" s="836"/>
      <c r="P39" s="362" t="s">
        <v>50</v>
      </c>
      <c r="Q39" s="362" t="s">
        <v>51</v>
      </c>
      <c r="R39" s="836"/>
      <c r="S39" s="372" t="s">
        <v>173</v>
      </c>
      <c r="T39" s="372" t="s">
        <v>291</v>
      </c>
      <c r="U39" s="372" t="s">
        <v>174</v>
      </c>
      <c r="V39" s="372" t="s">
        <v>292</v>
      </c>
      <c r="W39" s="372" t="s">
        <v>28</v>
      </c>
      <c r="X39" s="372" t="s">
        <v>175</v>
      </c>
      <c r="Y39" s="726"/>
    </row>
    <row r="40" spans="1:40">
      <c r="A40" s="2" t="s">
        <v>77</v>
      </c>
      <c r="B40" s="16">
        <f t="shared" ref="B40:Q40" si="35">B75*0.2</f>
        <v>4143.6220000000003</v>
      </c>
      <c r="C40" s="16">
        <f t="shared" si="35"/>
        <v>1219.5020000000004</v>
      </c>
      <c r="D40" s="16">
        <f t="shared" si="35"/>
        <v>405.57600000000002</v>
      </c>
      <c r="E40" s="16">
        <f t="shared" si="35"/>
        <v>42.405999999999949</v>
      </c>
      <c r="F40" s="16">
        <f t="shared" si="35"/>
        <v>5912.7360000000008</v>
      </c>
      <c r="G40" s="16">
        <f t="shared" si="35"/>
        <v>391.28400000000005</v>
      </c>
      <c r="H40" s="16">
        <f t="shared" si="35"/>
        <v>198.55600000000004</v>
      </c>
      <c r="I40" s="16">
        <f t="shared" si="35"/>
        <v>0</v>
      </c>
      <c r="J40" s="16">
        <f t="shared" si="35"/>
        <v>535.44400000000007</v>
      </c>
      <c r="K40" s="16">
        <f t="shared" si="35"/>
        <v>217.38000000000002</v>
      </c>
      <c r="L40" s="16">
        <f t="shared" si="35"/>
        <v>0</v>
      </c>
      <c r="M40" s="16">
        <f t="shared" si="35"/>
        <v>0</v>
      </c>
      <c r="N40" s="16">
        <f t="shared" si="35"/>
        <v>0</v>
      </c>
      <c r="O40" s="16">
        <f t="shared" ref="O40:O66" si="36">O75*0.2</f>
        <v>0</v>
      </c>
      <c r="P40" s="16">
        <f t="shared" si="35"/>
        <v>0</v>
      </c>
      <c r="Q40" s="16">
        <f t="shared" si="35"/>
        <v>0</v>
      </c>
      <c r="R40" s="8">
        <f t="shared" ref="R40:R66" si="37">SUM(B40:Q40)</f>
        <v>13066.505999999999</v>
      </c>
      <c r="S40" s="363">
        <f>B40</f>
        <v>4143.6220000000003</v>
      </c>
      <c r="T40" s="363">
        <f>C40</f>
        <v>1219.5020000000004</v>
      </c>
      <c r="U40" s="363">
        <f>D40</f>
        <v>405.57600000000002</v>
      </c>
      <c r="V40" s="363">
        <f>E40</f>
        <v>42.405999999999949</v>
      </c>
      <c r="W40" s="363">
        <f>F40+G40</f>
        <v>6304.02</v>
      </c>
      <c r="X40" s="363">
        <f>SUM(H40:Q40)</f>
        <v>951.38000000000011</v>
      </c>
      <c r="AI40" s="363"/>
      <c r="AJ40" s="363"/>
      <c r="AK40" s="363"/>
      <c r="AL40" s="363"/>
      <c r="AM40" s="363"/>
      <c r="AN40" s="363"/>
    </row>
    <row r="41" spans="1:40">
      <c r="A41" s="2" t="s">
        <v>78</v>
      </c>
      <c r="B41" s="16">
        <f t="shared" ref="B41:Q41" si="38">B76*0.2</f>
        <v>10441.178</v>
      </c>
      <c r="C41" s="16">
        <f t="shared" si="38"/>
        <v>2218.2380000000007</v>
      </c>
      <c r="D41" s="16">
        <f t="shared" si="38"/>
        <v>309.416</v>
      </c>
      <c r="E41" s="16">
        <f t="shared" si="38"/>
        <v>91.424000000000035</v>
      </c>
      <c r="F41" s="16">
        <f t="shared" si="38"/>
        <v>13847.106</v>
      </c>
      <c r="G41" s="16">
        <f t="shared" si="38"/>
        <v>413.02200000000005</v>
      </c>
      <c r="H41" s="16">
        <f t="shared" si="38"/>
        <v>418.84200000000004</v>
      </c>
      <c r="I41" s="16">
        <f t="shared" si="38"/>
        <v>0</v>
      </c>
      <c r="J41" s="16">
        <f t="shared" si="38"/>
        <v>810.19799999999998</v>
      </c>
      <c r="K41" s="16">
        <f t="shared" si="38"/>
        <v>0</v>
      </c>
      <c r="L41" s="16">
        <f t="shared" si="38"/>
        <v>0</v>
      </c>
      <c r="M41" s="16">
        <f t="shared" si="38"/>
        <v>0</v>
      </c>
      <c r="N41" s="16">
        <f t="shared" si="38"/>
        <v>0</v>
      </c>
      <c r="O41" s="16">
        <f t="shared" si="36"/>
        <v>0</v>
      </c>
      <c r="P41" s="16">
        <f t="shared" si="38"/>
        <v>0</v>
      </c>
      <c r="Q41" s="16">
        <f t="shared" si="38"/>
        <v>0</v>
      </c>
      <c r="R41" s="8">
        <f t="shared" si="37"/>
        <v>28549.424000000003</v>
      </c>
      <c r="S41" s="363">
        <f t="shared" ref="S41:V66" si="39">B41</f>
        <v>10441.178</v>
      </c>
      <c r="T41" s="363">
        <f t="shared" si="39"/>
        <v>2218.2380000000007</v>
      </c>
      <c r="U41" s="363">
        <f t="shared" si="39"/>
        <v>309.416</v>
      </c>
      <c r="V41" s="363">
        <f t="shared" si="39"/>
        <v>91.424000000000035</v>
      </c>
      <c r="W41" s="363">
        <f t="shared" ref="W41:W66" si="40">F41+G41</f>
        <v>14260.128000000001</v>
      </c>
      <c r="X41" s="363">
        <f t="shared" ref="X41:X66" si="41">SUM(H41:Q41)</f>
        <v>1229.04</v>
      </c>
      <c r="AI41" s="363"/>
      <c r="AJ41" s="363"/>
      <c r="AK41" s="363"/>
      <c r="AL41" s="363"/>
      <c r="AM41" s="363"/>
      <c r="AN41" s="363"/>
    </row>
    <row r="42" spans="1:40">
      <c r="A42" s="2" t="s">
        <v>79</v>
      </c>
      <c r="B42" s="16">
        <f t="shared" ref="B42:Q42" si="42">B77*0.2</f>
        <v>5451.4660000000003</v>
      </c>
      <c r="C42" s="16">
        <f t="shared" si="42"/>
        <v>1480.4360000000001</v>
      </c>
      <c r="D42" s="16">
        <f t="shared" si="42"/>
        <v>270.52600000000001</v>
      </c>
      <c r="E42" s="16">
        <f t="shared" si="42"/>
        <v>378.77199999999993</v>
      </c>
      <c r="F42" s="16">
        <f t="shared" si="42"/>
        <v>7390.92</v>
      </c>
      <c r="G42" s="16">
        <f t="shared" si="42"/>
        <v>804.30600000000004</v>
      </c>
      <c r="H42" s="16">
        <f t="shared" si="42"/>
        <v>386.52199999999999</v>
      </c>
      <c r="I42" s="16">
        <f t="shared" si="42"/>
        <v>0</v>
      </c>
      <c r="J42" s="16">
        <f t="shared" si="42"/>
        <v>700.46599999999989</v>
      </c>
      <c r="K42" s="16">
        <f t="shared" si="42"/>
        <v>391.28400000000005</v>
      </c>
      <c r="L42" s="16">
        <f t="shared" si="42"/>
        <v>0</v>
      </c>
      <c r="M42" s="16">
        <f t="shared" si="42"/>
        <v>0</v>
      </c>
      <c r="N42" s="16">
        <f t="shared" si="42"/>
        <v>0</v>
      </c>
      <c r="O42" s="16">
        <f t="shared" si="36"/>
        <v>0</v>
      </c>
      <c r="P42" s="16">
        <f t="shared" si="42"/>
        <v>0</v>
      </c>
      <c r="Q42" s="16">
        <f t="shared" si="42"/>
        <v>0</v>
      </c>
      <c r="R42" s="8">
        <f t="shared" si="37"/>
        <v>17254.698</v>
      </c>
      <c r="S42" s="363">
        <f t="shared" si="39"/>
        <v>5451.4660000000003</v>
      </c>
      <c r="T42" s="363">
        <f t="shared" si="39"/>
        <v>1480.4360000000001</v>
      </c>
      <c r="U42" s="363">
        <f t="shared" si="39"/>
        <v>270.52600000000001</v>
      </c>
      <c r="V42" s="363">
        <f t="shared" si="39"/>
        <v>378.77199999999993</v>
      </c>
      <c r="W42" s="363">
        <f t="shared" si="40"/>
        <v>8195.2260000000006</v>
      </c>
      <c r="X42" s="363">
        <f t="shared" si="41"/>
        <v>1478.2719999999999</v>
      </c>
      <c r="AI42" s="363"/>
      <c r="AJ42" s="363"/>
      <c r="AK42" s="363"/>
      <c r="AL42" s="363"/>
      <c r="AM42" s="363"/>
      <c r="AN42" s="363"/>
    </row>
    <row r="43" spans="1:40">
      <c r="A43" s="2" t="s">
        <v>80</v>
      </c>
      <c r="B43" s="16">
        <f t="shared" ref="B43:N43" si="43">B78*0.2</f>
        <v>12305.800000000001</v>
      </c>
      <c r="C43" s="16">
        <f t="shared" si="43"/>
        <v>2187.9059999999999</v>
      </c>
      <c r="D43" s="16">
        <f t="shared" si="43"/>
        <v>350.84000000000003</v>
      </c>
      <c r="E43" s="16">
        <f t="shared" si="43"/>
        <v>361.06200000000007</v>
      </c>
      <c r="F43" s="16">
        <f t="shared" si="43"/>
        <v>14738.364000000001</v>
      </c>
      <c r="G43" s="16">
        <f t="shared" si="43"/>
        <v>239.11800000000005</v>
      </c>
      <c r="H43" s="16">
        <f t="shared" si="43"/>
        <v>484.96800000000007</v>
      </c>
      <c r="I43" s="16">
        <f t="shared" si="43"/>
        <v>0</v>
      </c>
      <c r="J43" s="16">
        <f t="shared" si="43"/>
        <v>1050.0420000000001</v>
      </c>
      <c r="K43" s="16">
        <f t="shared" si="43"/>
        <v>65.213999999999999</v>
      </c>
      <c r="L43" s="16">
        <f t="shared" si="43"/>
        <v>0</v>
      </c>
      <c r="M43" s="16">
        <f t="shared" si="43"/>
        <v>158.64000000000001</v>
      </c>
      <c r="N43" s="16">
        <f t="shared" si="43"/>
        <v>12.68</v>
      </c>
      <c r="O43" s="16">
        <f t="shared" si="36"/>
        <v>0</v>
      </c>
      <c r="P43" s="16">
        <v>0</v>
      </c>
      <c r="Q43" s="16">
        <v>0</v>
      </c>
      <c r="R43" s="8">
        <f t="shared" si="37"/>
        <v>31954.634000000002</v>
      </c>
      <c r="S43" s="363">
        <f t="shared" si="39"/>
        <v>12305.800000000001</v>
      </c>
      <c r="T43" s="363">
        <f t="shared" si="39"/>
        <v>2187.9059999999999</v>
      </c>
      <c r="U43" s="363">
        <f t="shared" si="39"/>
        <v>350.84000000000003</v>
      </c>
      <c r="V43" s="363">
        <f t="shared" si="39"/>
        <v>361.06200000000007</v>
      </c>
      <c r="W43" s="363">
        <f t="shared" si="40"/>
        <v>14977.482000000002</v>
      </c>
      <c r="X43" s="363">
        <f t="shared" si="41"/>
        <v>1771.5440000000003</v>
      </c>
      <c r="AI43" s="363"/>
      <c r="AJ43" s="363"/>
      <c r="AK43" s="363"/>
      <c r="AL43" s="363"/>
      <c r="AM43" s="363"/>
      <c r="AN43" s="363"/>
    </row>
    <row r="44" spans="1:40">
      <c r="A44" s="2" t="s">
        <v>81</v>
      </c>
      <c r="B44" s="16">
        <f t="shared" ref="B44:N44" si="44">B79*0.2</f>
        <v>34111.360000000001</v>
      </c>
      <c r="C44" s="16">
        <f t="shared" si="44"/>
        <v>5830.9740000000056</v>
      </c>
      <c r="D44" s="16">
        <f t="shared" si="44"/>
        <v>1223.424</v>
      </c>
      <c r="E44" s="16">
        <f t="shared" si="44"/>
        <v>897.27199999999993</v>
      </c>
      <c r="F44" s="16">
        <f t="shared" si="44"/>
        <v>47280.15</v>
      </c>
      <c r="G44" s="16">
        <f t="shared" si="44"/>
        <v>1434.7080000000001</v>
      </c>
      <c r="H44" s="16">
        <f t="shared" si="44"/>
        <v>1232.846</v>
      </c>
      <c r="I44" s="16">
        <f t="shared" si="44"/>
        <v>0</v>
      </c>
      <c r="J44" s="16">
        <f t="shared" si="44"/>
        <v>2805.384</v>
      </c>
      <c r="K44" s="16">
        <f t="shared" si="44"/>
        <v>130.428</v>
      </c>
      <c r="L44" s="16">
        <f t="shared" si="44"/>
        <v>130.428</v>
      </c>
      <c r="M44" s="16">
        <f t="shared" si="44"/>
        <v>0</v>
      </c>
      <c r="N44" s="16">
        <f t="shared" si="44"/>
        <v>82.420000000000016</v>
      </c>
      <c r="O44" s="16">
        <f t="shared" si="36"/>
        <v>0</v>
      </c>
      <c r="P44" s="16">
        <f t="shared" ref="P44:Q63" si="45">P79*0.2</f>
        <v>0</v>
      </c>
      <c r="Q44" s="16">
        <f t="shared" si="45"/>
        <v>0</v>
      </c>
      <c r="R44" s="8">
        <f t="shared" si="37"/>
        <v>95159.394</v>
      </c>
      <c r="S44" s="363">
        <f t="shared" si="39"/>
        <v>34111.360000000001</v>
      </c>
      <c r="T44" s="363">
        <f t="shared" si="39"/>
        <v>5830.9740000000056</v>
      </c>
      <c r="U44" s="363">
        <f t="shared" si="39"/>
        <v>1223.424</v>
      </c>
      <c r="V44" s="363">
        <f t="shared" si="39"/>
        <v>897.27199999999993</v>
      </c>
      <c r="W44" s="363">
        <f t="shared" si="40"/>
        <v>48714.858</v>
      </c>
      <c r="X44" s="363">
        <f t="shared" si="41"/>
        <v>4381.5060000000003</v>
      </c>
      <c r="AI44" s="363"/>
      <c r="AJ44" s="363"/>
      <c r="AK44" s="363"/>
      <c r="AL44" s="363"/>
      <c r="AM44" s="363"/>
      <c r="AN44" s="363"/>
    </row>
    <row r="45" spans="1:40">
      <c r="A45" s="2" t="s">
        <v>82</v>
      </c>
      <c r="B45" s="16">
        <f t="shared" ref="B45:N45" si="46">B80*0.2</f>
        <v>28331.344000000001</v>
      </c>
      <c r="C45" s="16">
        <f t="shared" si="46"/>
        <v>9397.2520000000022</v>
      </c>
      <c r="D45" s="16">
        <f t="shared" si="46"/>
        <v>1190.4559999999999</v>
      </c>
      <c r="E45" s="16">
        <f t="shared" si="46"/>
        <v>1394.6420000000001</v>
      </c>
      <c r="F45" s="16">
        <f t="shared" si="46"/>
        <v>32150.502000000004</v>
      </c>
      <c r="G45" s="16">
        <f t="shared" si="46"/>
        <v>1412.9700000000003</v>
      </c>
      <c r="H45" s="16">
        <f t="shared" si="46"/>
        <v>1760.8140000000001</v>
      </c>
      <c r="I45" s="16">
        <f t="shared" si="46"/>
        <v>699.25400000000002</v>
      </c>
      <c r="J45" s="16">
        <f t="shared" si="46"/>
        <v>3850.0440000000003</v>
      </c>
      <c r="K45" s="16">
        <f t="shared" si="46"/>
        <v>43.475999999999999</v>
      </c>
      <c r="L45" s="16">
        <f t="shared" si="46"/>
        <v>0</v>
      </c>
      <c r="M45" s="16">
        <f t="shared" si="46"/>
        <v>88.766000000000005</v>
      </c>
      <c r="N45" s="16">
        <f t="shared" si="46"/>
        <v>31.700000000000003</v>
      </c>
      <c r="O45" s="16">
        <f t="shared" si="36"/>
        <v>0</v>
      </c>
      <c r="P45" s="16">
        <f t="shared" si="45"/>
        <v>3.8020000000000005</v>
      </c>
      <c r="Q45" s="16">
        <f t="shared" si="45"/>
        <v>233.28200000000004</v>
      </c>
      <c r="R45" s="8">
        <f t="shared" si="37"/>
        <v>80588.304000000004</v>
      </c>
      <c r="S45" s="363">
        <f t="shared" si="39"/>
        <v>28331.344000000001</v>
      </c>
      <c r="T45" s="363">
        <f t="shared" si="39"/>
        <v>9397.2520000000022</v>
      </c>
      <c r="U45" s="363">
        <f t="shared" si="39"/>
        <v>1190.4559999999999</v>
      </c>
      <c r="V45" s="363">
        <f t="shared" si="39"/>
        <v>1394.6420000000001</v>
      </c>
      <c r="W45" s="363">
        <f t="shared" si="40"/>
        <v>33563.472000000002</v>
      </c>
      <c r="X45" s="363">
        <f t="shared" si="41"/>
        <v>6711.1379999999999</v>
      </c>
      <c r="AI45" s="363"/>
      <c r="AJ45" s="363"/>
      <c r="AK45" s="363"/>
      <c r="AL45" s="363"/>
      <c r="AM45" s="363"/>
      <c r="AN45" s="363"/>
    </row>
    <row r="46" spans="1:40">
      <c r="A46" s="2" t="s">
        <v>83</v>
      </c>
      <c r="B46" s="16">
        <f t="shared" ref="B46:N46" si="47">B81*0.2</f>
        <v>40760.478000000003</v>
      </c>
      <c r="C46" s="16">
        <f t="shared" si="47"/>
        <v>11679.280000000006</v>
      </c>
      <c r="D46" s="16">
        <f t="shared" si="47"/>
        <v>1475.6320000000001</v>
      </c>
      <c r="E46" s="16">
        <f t="shared" si="47"/>
        <v>698.06600000000003</v>
      </c>
      <c r="F46" s="16">
        <f t="shared" si="47"/>
        <v>31672.266</v>
      </c>
      <c r="G46" s="16">
        <f t="shared" si="47"/>
        <v>1717.3020000000001</v>
      </c>
      <c r="H46" s="16">
        <f t="shared" si="47"/>
        <v>2007.5780000000004</v>
      </c>
      <c r="I46" s="16">
        <f t="shared" si="47"/>
        <v>58.77000000000001</v>
      </c>
      <c r="J46" s="16">
        <f t="shared" si="47"/>
        <v>4183.054000000001</v>
      </c>
      <c r="K46" s="16">
        <f t="shared" si="47"/>
        <v>195.64200000000002</v>
      </c>
      <c r="L46" s="16">
        <f t="shared" si="47"/>
        <v>43.475999999999999</v>
      </c>
      <c r="M46" s="16">
        <f t="shared" si="47"/>
        <v>403.77600000000007</v>
      </c>
      <c r="N46" s="16">
        <f t="shared" si="47"/>
        <v>95.100000000000009</v>
      </c>
      <c r="O46" s="16">
        <f t="shared" si="36"/>
        <v>0</v>
      </c>
      <c r="P46" s="16">
        <f t="shared" si="45"/>
        <v>0</v>
      </c>
      <c r="Q46" s="16">
        <f t="shared" si="45"/>
        <v>0</v>
      </c>
      <c r="R46" s="8">
        <f t="shared" si="37"/>
        <v>94990.420000000013</v>
      </c>
      <c r="S46" s="363">
        <f t="shared" si="39"/>
        <v>40760.478000000003</v>
      </c>
      <c r="T46" s="363">
        <f t="shared" si="39"/>
        <v>11679.280000000006</v>
      </c>
      <c r="U46" s="363">
        <f t="shared" si="39"/>
        <v>1475.6320000000001</v>
      </c>
      <c r="V46" s="363">
        <f t="shared" si="39"/>
        <v>698.06600000000003</v>
      </c>
      <c r="W46" s="363">
        <f t="shared" si="40"/>
        <v>33389.567999999999</v>
      </c>
      <c r="X46" s="363">
        <f t="shared" si="41"/>
        <v>6987.3960000000015</v>
      </c>
      <c r="AI46" s="363"/>
      <c r="AJ46" s="363"/>
      <c r="AK46" s="363"/>
      <c r="AL46" s="363"/>
      <c r="AM46" s="363"/>
      <c r="AN46" s="363"/>
    </row>
    <row r="47" spans="1:40">
      <c r="A47" s="2" t="s">
        <v>84</v>
      </c>
      <c r="B47" s="16">
        <f t="shared" ref="B47:N47" si="48">B82*0.2</f>
        <v>27477.376000000004</v>
      </c>
      <c r="C47" s="16">
        <f t="shared" si="48"/>
        <v>3671.5279999999971</v>
      </c>
      <c r="D47" s="16">
        <f t="shared" si="48"/>
        <v>1360.2360000000001</v>
      </c>
      <c r="E47" s="16">
        <f t="shared" si="48"/>
        <v>684.55000000000007</v>
      </c>
      <c r="F47" s="16">
        <f t="shared" si="48"/>
        <v>34802.538</v>
      </c>
      <c r="G47" s="16">
        <f t="shared" si="48"/>
        <v>912.99600000000009</v>
      </c>
      <c r="H47" s="16">
        <f t="shared" si="48"/>
        <v>954.94200000000001</v>
      </c>
      <c r="I47" s="16">
        <f t="shared" si="48"/>
        <v>199.06800000000001</v>
      </c>
      <c r="J47" s="16">
        <f t="shared" si="48"/>
        <v>1976.5360000000005</v>
      </c>
      <c r="K47" s="16">
        <f t="shared" si="48"/>
        <v>65.213999999999999</v>
      </c>
      <c r="L47" s="16">
        <f t="shared" si="48"/>
        <v>0</v>
      </c>
      <c r="M47" s="16">
        <f t="shared" si="48"/>
        <v>0</v>
      </c>
      <c r="N47" s="16">
        <f t="shared" si="48"/>
        <v>25.36</v>
      </c>
      <c r="O47" s="16">
        <f t="shared" si="36"/>
        <v>0</v>
      </c>
      <c r="P47" s="16">
        <f t="shared" si="45"/>
        <v>0</v>
      </c>
      <c r="Q47" s="16">
        <f t="shared" si="45"/>
        <v>0</v>
      </c>
      <c r="R47" s="8">
        <f t="shared" si="37"/>
        <v>72130.344000000012</v>
      </c>
      <c r="S47" s="363">
        <f t="shared" si="39"/>
        <v>27477.376000000004</v>
      </c>
      <c r="T47" s="363">
        <f t="shared" si="39"/>
        <v>3671.5279999999971</v>
      </c>
      <c r="U47" s="363">
        <f t="shared" si="39"/>
        <v>1360.2360000000001</v>
      </c>
      <c r="V47" s="363">
        <f t="shared" si="39"/>
        <v>684.55000000000007</v>
      </c>
      <c r="W47" s="363">
        <f t="shared" si="40"/>
        <v>35715.534</v>
      </c>
      <c r="X47" s="363">
        <f t="shared" si="41"/>
        <v>3221.1200000000003</v>
      </c>
      <c r="AI47" s="363"/>
      <c r="AJ47" s="363"/>
      <c r="AK47" s="363"/>
      <c r="AL47" s="363"/>
      <c r="AM47" s="363"/>
      <c r="AN47" s="363"/>
    </row>
    <row r="48" spans="1:40">
      <c r="A48" s="2" t="s">
        <v>85</v>
      </c>
      <c r="B48" s="16">
        <f t="shared" ref="B48:N48" si="49">B83*0.2</f>
        <v>36438.996000000006</v>
      </c>
      <c r="C48" s="16">
        <f t="shared" si="49"/>
        <v>10842.932000000001</v>
      </c>
      <c r="D48" s="16">
        <f t="shared" si="49"/>
        <v>1428.2860000000001</v>
      </c>
      <c r="E48" s="16">
        <f t="shared" si="49"/>
        <v>965.24399999999991</v>
      </c>
      <c r="F48" s="16">
        <f t="shared" si="49"/>
        <v>59170.836000000003</v>
      </c>
      <c r="G48" s="16">
        <f t="shared" si="49"/>
        <v>1304.28</v>
      </c>
      <c r="H48" s="16">
        <f t="shared" si="49"/>
        <v>2413.788</v>
      </c>
      <c r="I48" s="16">
        <f t="shared" si="49"/>
        <v>130.428</v>
      </c>
      <c r="J48" s="16">
        <f t="shared" si="49"/>
        <v>3579.8040000000001</v>
      </c>
      <c r="K48" s="16">
        <f t="shared" si="49"/>
        <v>239.11799999999999</v>
      </c>
      <c r="L48" s="16">
        <f t="shared" si="49"/>
        <v>0</v>
      </c>
      <c r="M48" s="16">
        <f t="shared" si="49"/>
        <v>0</v>
      </c>
      <c r="N48" s="16">
        <f t="shared" si="49"/>
        <v>76.08</v>
      </c>
      <c r="O48" s="16">
        <f t="shared" si="36"/>
        <v>0</v>
      </c>
      <c r="P48" s="16">
        <f t="shared" si="45"/>
        <v>0</v>
      </c>
      <c r="Q48" s="16">
        <f t="shared" si="45"/>
        <v>0</v>
      </c>
      <c r="R48" s="8">
        <f t="shared" si="37"/>
        <v>116589.79200000002</v>
      </c>
      <c r="S48" s="363">
        <f t="shared" si="39"/>
        <v>36438.996000000006</v>
      </c>
      <c r="T48" s="363">
        <f t="shared" si="39"/>
        <v>10842.932000000001</v>
      </c>
      <c r="U48" s="363">
        <f t="shared" si="39"/>
        <v>1428.2860000000001</v>
      </c>
      <c r="V48" s="363">
        <f t="shared" si="39"/>
        <v>965.24399999999991</v>
      </c>
      <c r="W48" s="363">
        <f t="shared" si="40"/>
        <v>60475.116000000002</v>
      </c>
      <c r="X48" s="363">
        <f t="shared" si="41"/>
        <v>6439.2180000000008</v>
      </c>
      <c r="AI48" s="363"/>
      <c r="AJ48" s="363"/>
      <c r="AK48" s="363"/>
      <c r="AL48" s="363"/>
      <c r="AM48" s="363"/>
      <c r="AN48" s="363"/>
    </row>
    <row r="49" spans="1:40">
      <c r="A49" s="2" t="s">
        <v>86</v>
      </c>
      <c r="B49" s="16">
        <f t="shared" ref="B49:N49" si="50">B84*0.2</f>
        <v>10310.376</v>
      </c>
      <c r="C49" s="16">
        <f t="shared" si="50"/>
        <v>1930.1160000000018</v>
      </c>
      <c r="D49" s="16">
        <f t="shared" si="50"/>
        <v>420.16000000000008</v>
      </c>
      <c r="E49" s="16">
        <f t="shared" si="50"/>
        <v>170.858</v>
      </c>
      <c r="F49" s="16">
        <f t="shared" si="50"/>
        <v>14999.220000000001</v>
      </c>
      <c r="G49" s="16">
        <f t="shared" si="50"/>
        <v>391.28400000000005</v>
      </c>
      <c r="H49" s="16">
        <f t="shared" si="50"/>
        <v>345.20600000000002</v>
      </c>
      <c r="I49" s="16">
        <f t="shared" si="50"/>
        <v>0</v>
      </c>
      <c r="J49" s="16">
        <f t="shared" si="50"/>
        <v>963.64200000000005</v>
      </c>
      <c r="K49" s="16">
        <f t="shared" si="50"/>
        <v>195.64200000000002</v>
      </c>
      <c r="L49" s="16">
        <f t="shared" si="50"/>
        <v>0</v>
      </c>
      <c r="M49" s="16">
        <f t="shared" si="50"/>
        <v>0</v>
      </c>
      <c r="N49" s="16">
        <f t="shared" si="50"/>
        <v>19.02</v>
      </c>
      <c r="O49" s="16">
        <f t="shared" si="36"/>
        <v>0</v>
      </c>
      <c r="P49" s="16">
        <f t="shared" si="45"/>
        <v>0</v>
      </c>
      <c r="Q49" s="16">
        <f t="shared" si="45"/>
        <v>0</v>
      </c>
      <c r="R49" s="8">
        <f t="shared" si="37"/>
        <v>29745.524000000001</v>
      </c>
      <c r="S49" s="363">
        <f t="shared" si="39"/>
        <v>10310.376</v>
      </c>
      <c r="T49" s="363">
        <f t="shared" si="39"/>
        <v>1930.1160000000018</v>
      </c>
      <c r="U49" s="363">
        <f t="shared" si="39"/>
        <v>420.16000000000008</v>
      </c>
      <c r="V49" s="363">
        <f t="shared" si="39"/>
        <v>170.858</v>
      </c>
      <c r="W49" s="363">
        <f t="shared" si="40"/>
        <v>15390.504000000001</v>
      </c>
      <c r="X49" s="363">
        <f t="shared" si="41"/>
        <v>1523.51</v>
      </c>
      <c r="AI49" s="363"/>
      <c r="AJ49" s="363"/>
      <c r="AK49" s="363"/>
      <c r="AL49" s="363"/>
      <c r="AM49" s="363"/>
      <c r="AN49" s="363"/>
    </row>
    <row r="50" spans="1:40">
      <c r="A50" s="2" t="s">
        <v>87</v>
      </c>
      <c r="B50" s="16">
        <f t="shared" ref="B50:N50" si="51">B85*0.2</f>
        <v>20374.216</v>
      </c>
      <c r="C50" s="16">
        <f t="shared" si="51"/>
        <v>3301.2599999999979</v>
      </c>
      <c r="D50" s="16">
        <f t="shared" si="51"/>
        <v>991.78600000000006</v>
      </c>
      <c r="E50" s="16">
        <f t="shared" si="51"/>
        <v>535.03</v>
      </c>
      <c r="F50" s="16">
        <f t="shared" si="51"/>
        <v>64279.266000000003</v>
      </c>
      <c r="G50" s="16">
        <f t="shared" si="51"/>
        <v>804.30600000000004</v>
      </c>
      <c r="H50" s="16">
        <f t="shared" si="51"/>
        <v>728.62800000000016</v>
      </c>
      <c r="I50" s="16">
        <f t="shared" si="51"/>
        <v>439.38000000000005</v>
      </c>
      <c r="J50" s="16">
        <f t="shared" si="51"/>
        <v>1741.1759999999999</v>
      </c>
      <c r="K50" s="16">
        <f t="shared" si="51"/>
        <v>239.11799999999999</v>
      </c>
      <c r="L50" s="16">
        <f t="shared" si="51"/>
        <v>0</v>
      </c>
      <c r="M50" s="16">
        <f t="shared" si="51"/>
        <v>0</v>
      </c>
      <c r="N50" s="16">
        <f t="shared" si="51"/>
        <v>31.700000000000003</v>
      </c>
      <c r="O50" s="16">
        <f t="shared" si="36"/>
        <v>0</v>
      </c>
      <c r="P50" s="16">
        <f t="shared" si="45"/>
        <v>0</v>
      </c>
      <c r="Q50" s="16">
        <f t="shared" si="45"/>
        <v>0</v>
      </c>
      <c r="R50" s="8">
        <f t="shared" si="37"/>
        <v>93465.866000000009</v>
      </c>
      <c r="S50" s="363">
        <f t="shared" si="39"/>
        <v>20374.216</v>
      </c>
      <c r="T50" s="363">
        <f t="shared" si="39"/>
        <v>3301.2599999999979</v>
      </c>
      <c r="U50" s="363">
        <f t="shared" si="39"/>
        <v>991.78600000000006</v>
      </c>
      <c r="V50" s="363">
        <f t="shared" si="39"/>
        <v>535.03</v>
      </c>
      <c r="W50" s="363">
        <f t="shared" si="40"/>
        <v>65083.572</v>
      </c>
      <c r="X50" s="363">
        <f t="shared" si="41"/>
        <v>3180.002</v>
      </c>
      <c r="AI50" s="363"/>
      <c r="AJ50" s="363"/>
      <c r="AK50" s="363"/>
      <c r="AL50" s="363"/>
      <c r="AM50" s="363"/>
      <c r="AN50" s="363"/>
    </row>
    <row r="51" spans="1:40">
      <c r="A51" s="2" t="s">
        <v>88</v>
      </c>
      <c r="B51" s="16">
        <f t="shared" ref="B51:N51" si="52">B86*0.2</f>
        <v>15151.554000000002</v>
      </c>
      <c r="C51" s="16">
        <f t="shared" si="52"/>
        <v>5097.8200000000015</v>
      </c>
      <c r="D51" s="16">
        <f t="shared" si="52"/>
        <v>1011.93</v>
      </c>
      <c r="E51" s="16">
        <f t="shared" si="52"/>
        <v>1262.9500000000005</v>
      </c>
      <c r="F51" s="16">
        <f t="shared" si="52"/>
        <v>42410.838000000003</v>
      </c>
      <c r="G51" s="16">
        <f t="shared" si="52"/>
        <v>847.78200000000004</v>
      </c>
      <c r="H51" s="16">
        <f t="shared" si="52"/>
        <v>1440.2060000000001</v>
      </c>
      <c r="I51" s="16">
        <f t="shared" si="52"/>
        <v>77.882000000000005</v>
      </c>
      <c r="J51" s="16">
        <f t="shared" si="52"/>
        <v>1885.6980000000001</v>
      </c>
      <c r="K51" s="16">
        <f t="shared" si="52"/>
        <v>282.59399999999999</v>
      </c>
      <c r="L51" s="16">
        <f t="shared" si="52"/>
        <v>0</v>
      </c>
      <c r="M51" s="16">
        <f t="shared" si="52"/>
        <v>0</v>
      </c>
      <c r="N51" s="16">
        <f t="shared" si="52"/>
        <v>19.02</v>
      </c>
      <c r="O51" s="16">
        <f t="shared" si="36"/>
        <v>0</v>
      </c>
      <c r="P51" s="16">
        <f t="shared" si="45"/>
        <v>7.4840000000000009</v>
      </c>
      <c r="Q51" s="16">
        <f t="shared" si="45"/>
        <v>0</v>
      </c>
      <c r="R51" s="8">
        <f t="shared" si="37"/>
        <v>69495.758000000016</v>
      </c>
      <c r="S51" s="363">
        <f t="shared" si="39"/>
        <v>15151.554000000002</v>
      </c>
      <c r="T51" s="363">
        <f t="shared" si="39"/>
        <v>5097.8200000000015</v>
      </c>
      <c r="U51" s="363">
        <f t="shared" si="39"/>
        <v>1011.93</v>
      </c>
      <c r="V51" s="363">
        <f t="shared" si="39"/>
        <v>1262.9500000000005</v>
      </c>
      <c r="W51" s="363">
        <f t="shared" si="40"/>
        <v>43258.62</v>
      </c>
      <c r="X51" s="363">
        <f t="shared" si="41"/>
        <v>3712.884</v>
      </c>
      <c r="AI51" s="363"/>
      <c r="AJ51" s="363"/>
      <c r="AK51" s="363"/>
      <c r="AL51" s="363"/>
      <c r="AM51" s="363"/>
      <c r="AN51" s="363"/>
    </row>
    <row r="52" spans="1:40">
      <c r="A52" s="2" t="s">
        <v>89</v>
      </c>
      <c r="B52" s="16">
        <f t="shared" ref="B52:N52" si="53">B87*0.2</f>
        <v>91689.084000000003</v>
      </c>
      <c r="C52" s="16">
        <f t="shared" si="53"/>
        <v>20761.107999999997</v>
      </c>
      <c r="D52" s="16">
        <f t="shared" si="53"/>
        <v>5079.6900000000005</v>
      </c>
      <c r="E52" s="16">
        <f t="shared" si="53"/>
        <v>4989.76</v>
      </c>
      <c r="F52" s="16">
        <f t="shared" si="53"/>
        <v>117906.91200000001</v>
      </c>
      <c r="G52" s="16">
        <f t="shared" si="53"/>
        <v>2608.56</v>
      </c>
      <c r="H52" s="16">
        <f t="shared" si="53"/>
        <v>5652.7980000000007</v>
      </c>
      <c r="I52" s="16">
        <f t="shared" si="53"/>
        <v>0</v>
      </c>
      <c r="J52" s="16">
        <f t="shared" si="53"/>
        <v>9328.992000000002</v>
      </c>
      <c r="K52" s="16">
        <f t="shared" si="53"/>
        <v>456.49799999999999</v>
      </c>
      <c r="L52" s="16">
        <f t="shared" si="53"/>
        <v>0</v>
      </c>
      <c r="M52" s="16">
        <f t="shared" si="53"/>
        <v>0</v>
      </c>
      <c r="N52" s="16">
        <f t="shared" si="53"/>
        <v>152.16</v>
      </c>
      <c r="O52" s="16">
        <f t="shared" si="36"/>
        <v>0</v>
      </c>
      <c r="P52" s="16">
        <f t="shared" si="45"/>
        <v>0</v>
      </c>
      <c r="Q52" s="16">
        <f t="shared" si="45"/>
        <v>59.00800000000001</v>
      </c>
      <c r="R52" s="8">
        <f t="shared" si="37"/>
        <v>258684.57</v>
      </c>
      <c r="S52" s="363">
        <f t="shared" si="39"/>
        <v>91689.084000000003</v>
      </c>
      <c r="T52" s="363">
        <f t="shared" si="39"/>
        <v>20761.107999999997</v>
      </c>
      <c r="U52" s="363">
        <f t="shared" si="39"/>
        <v>5079.6900000000005</v>
      </c>
      <c r="V52" s="363">
        <f t="shared" si="39"/>
        <v>4989.76</v>
      </c>
      <c r="W52" s="363">
        <f t="shared" si="40"/>
        <v>120515.47200000001</v>
      </c>
      <c r="X52" s="363">
        <f t="shared" si="41"/>
        <v>15649.456000000002</v>
      </c>
      <c r="AI52" s="363"/>
      <c r="AJ52" s="363"/>
      <c r="AK52" s="363"/>
      <c r="AL52" s="363"/>
      <c r="AM52" s="363"/>
      <c r="AN52" s="363"/>
    </row>
    <row r="53" spans="1:40">
      <c r="A53" s="2" t="s">
        <v>90</v>
      </c>
      <c r="B53" s="16">
        <f t="shared" ref="B53:N53" si="54">B88*0.2</f>
        <v>14243.148000000001</v>
      </c>
      <c r="C53" s="16">
        <f t="shared" si="54"/>
        <v>3881.6979999999985</v>
      </c>
      <c r="D53" s="16">
        <f t="shared" si="54"/>
        <v>621.36599999999999</v>
      </c>
      <c r="E53" s="16">
        <f t="shared" si="54"/>
        <v>490.56200000000013</v>
      </c>
      <c r="F53" s="16">
        <f t="shared" si="54"/>
        <v>20020.696</v>
      </c>
      <c r="G53" s="16">
        <f t="shared" si="54"/>
        <v>1130.376</v>
      </c>
      <c r="H53" s="16">
        <f t="shared" si="54"/>
        <v>800.524</v>
      </c>
      <c r="I53" s="16">
        <f t="shared" si="54"/>
        <v>0</v>
      </c>
      <c r="J53" s="16">
        <f t="shared" si="54"/>
        <v>1563.1460000000002</v>
      </c>
      <c r="K53" s="16">
        <f t="shared" si="54"/>
        <v>108.69000000000001</v>
      </c>
      <c r="L53" s="16">
        <f t="shared" si="54"/>
        <v>0</v>
      </c>
      <c r="M53" s="16">
        <f t="shared" si="54"/>
        <v>0</v>
      </c>
      <c r="N53" s="16">
        <f t="shared" si="54"/>
        <v>31.700000000000003</v>
      </c>
      <c r="O53" s="16">
        <f t="shared" si="36"/>
        <v>0</v>
      </c>
      <c r="P53" s="16">
        <f t="shared" si="45"/>
        <v>0</v>
      </c>
      <c r="Q53" s="16">
        <f t="shared" si="45"/>
        <v>0</v>
      </c>
      <c r="R53" s="8">
        <f t="shared" si="37"/>
        <v>42891.905999999995</v>
      </c>
      <c r="S53" s="363">
        <f t="shared" si="39"/>
        <v>14243.148000000001</v>
      </c>
      <c r="T53" s="363">
        <f t="shared" si="39"/>
        <v>3881.6979999999985</v>
      </c>
      <c r="U53" s="363">
        <f t="shared" si="39"/>
        <v>621.36599999999999</v>
      </c>
      <c r="V53" s="363">
        <f t="shared" si="39"/>
        <v>490.56200000000013</v>
      </c>
      <c r="W53" s="363">
        <f t="shared" si="40"/>
        <v>21151.072</v>
      </c>
      <c r="X53" s="363">
        <f t="shared" si="41"/>
        <v>2504.06</v>
      </c>
      <c r="AI53" s="363"/>
      <c r="AJ53" s="363"/>
      <c r="AK53" s="363"/>
      <c r="AL53" s="363"/>
      <c r="AM53" s="363"/>
      <c r="AN53" s="363"/>
    </row>
    <row r="54" spans="1:40">
      <c r="A54" s="2" t="s">
        <v>91</v>
      </c>
      <c r="B54" s="16">
        <f t="shared" ref="B54:N54" si="55">B89*0.2</f>
        <v>19235.761999999999</v>
      </c>
      <c r="C54" s="16">
        <f t="shared" si="55"/>
        <v>5017.5879999999979</v>
      </c>
      <c r="D54" s="16">
        <f t="shared" si="55"/>
        <v>494.97600000000006</v>
      </c>
      <c r="E54" s="16">
        <f t="shared" si="55"/>
        <v>812.40000000000009</v>
      </c>
      <c r="F54" s="16">
        <f t="shared" si="55"/>
        <v>19564.2</v>
      </c>
      <c r="G54" s="16">
        <f t="shared" si="55"/>
        <v>652.14</v>
      </c>
      <c r="H54" s="16">
        <f t="shared" si="55"/>
        <v>1060.03</v>
      </c>
      <c r="I54" s="16">
        <f t="shared" si="55"/>
        <v>0</v>
      </c>
      <c r="J54" s="16">
        <f t="shared" si="55"/>
        <v>2225.3520000000003</v>
      </c>
      <c r="K54" s="16">
        <f t="shared" si="55"/>
        <v>21.738</v>
      </c>
      <c r="L54" s="16">
        <f t="shared" si="55"/>
        <v>0</v>
      </c>
      <c r="M54" s="16">
        <f t="shared" si="55"/>
        <v>0</v>
      </c>
      <c r="N54" s="16">
        <f t="shared" si="55"/>
        <v>44.38</v>
      </c>
      <c r="O54" s="16">
        <f t="shared" si="36"/>
        <v>0</v>
      </c>
      <c r="P54" s="16">
        <f t="shared" si="45"/>
        <v>0</v>
      </c>
      <c r="Q54" s="16">
        <f t="shared" si="45"/>
        <v>0</v>
      </c>
      <c r="R54" s="8">
        <f t="shared" si="37"/>
        <v>49128.565999999992</v>
      </c>
      <c r="S54" s="363">
        <f t="shared" si="39"/>
        <v>19235.761999999999</v>
      </c>
      <c r="T54" s="363">
        <f t="shared" si="39"/>
        <v>5017.5879999999979</v>
      </c>
      <c r="U54" s="363">
        <f t="shared" si="39"/>
        <v>494.97600000000006</v>
      </c>
      <c r="V54" s="363">
        <f t="shared" si="39"/>
        <v>812.40000000000009</v>
      </c>
      <c r="W54" s="363">
        <f t="shared" si="40"/>
        <v>20216.34</v>
      </c>
      <c r="X54" s="363">
        <f t="shared" si="41"/>
        <v>3351.5000000000005</v>
      </c>
      <c r="AI54" s="363"/>
      <c r="AJ54" s="363"/>
      <c r="AK54" s="363"/>
      <c r="AL54" s="363"/>
      <c r="AM54" s="363"/>
      <c r="AN54" s="363"/>
    </row>
    <row r="55" spans="1:40">
      <c r="A55" s="2" t="s">
        <v>92</v>
      </c>
      <c r="B55" s="16">
        <f t="shared" ref="B55:N55" si="56">B90*0.2</f>
        <v>60897.578000000009</v>
      </c>
      <c r="C55" s="16">
        <f t="shared" si="56"/>
        <v>12734.452000000003</v>
      </c>
      <c r="D55" s="16">
        <f t="shared" si="56"/>
        <v>11068.682000000001</v>
      </c>
      <c r="E55" s="16">
        <f t="shared" si="56"/>
        <v>5193.735999999999</v>
      </c>
      <c r="F55" s="16">
        <f t="shared" si="56"/>
        <v>144253.36799999999</v>
      </c>
      <c r="G55" s="16">
        <f t="shared" si="56"/>
        <v>2173.8000000000002</v>
      </c>
      <c r="H55" s="16">
        <f t="shared" si="56"/>
        <v>3609.8919999999998</v>
      </c>
      <c r="I55" s="16">
        <f t="shared" si="56"/>
        <v>785.94200000000001</v>
      </c>
      <c r="J55" s="16">
        <f t="shared" si="56"/>
        <v>6617.2280000000001</v>
      </c>
      <c r="K55" s="16">
        <f t="shared" si="56"/>
        <v>565.18799999999999</v>
      </c>
      <c r="L55" s="16">
        <f t="shared" si="56"/>
        <v>86.951999999999998</v>
      </c>
      <c r="M55" s="16">
        <f t="shared" si="56"/>
        <v>0</v>
      </c>
      <c r="N55" s="16">
        <f t="shared" si="56"/>
        <v>145.82000000000002</v>
      </c>
      <c r="O55" s="16">
        <f t="shared" si="36"/>
        <v>0</v>
      </c>
      <c r="P55" s="16">
        <f t="shared" si="45"/>
        <v>0</v>
      </c>
      <c r="Q55" s="16">
        <f t="shared" si="45"/>
        <v>0</v>
      </c>
      <c r="R55" s="8">
        <f t="shared" si="37"/>
        <v>248132.63799999998</v>
      </c>
      <c r="S55" s="363">
        <f t="shared" si="39"/>
        <v>60897.578000000009</v>
      </c>
      <c r="T55" s="363">
        <f t="shared" si="39"/>
        <v>12734.452000000003</v>
      </c>
      <c r="U55" s="363">
        <f t="shared" si="39"/>
        <v>11068.682000000001</v>
      </c>
      <c r="V55" s="363">
        <f t="shared" si="39"/>
        <v>5193.735999999999</v>
      </c>
      <c r="W55" s="363">
        <f t="shared" si="40"/>
        <v>146427.16799999998</v>
      </c>
      <c r="X55" s="363">
        <f t="shared" si="41"/>
        <v>11811.021999999999</v>
      </c>
      <c r="AI55" s="363"/>
      <c r="AJ55" s="363"/>
      <c r="AK55" s="363"/>
      <c r="AL55" s="363"/>
      <c r="AM55" s="363"/>
      <c r="AN55" s="363"/>
    </row>
    <row r="56" spans="1:40">
      <c r="A56" s="2" t="s">
        <v>93</v>
      </c>
      <c r="B56" s="16">
        <f t="shared" ref="B56:N56" si="57">B91*0.2</f>
        <v>28176.534000000003</v>
      </c>
      <c r="C56" s="16">
        <f t="shared" si="57"/>
        <v>6465.4839999999967</v>
      </c>
      <c r="D56" s="16">
        <f t="shared" si="57"/>
        <v>1751.2340000000002</v>
      </c>
      <c r="E56" s="16">
        <f t="shared" si="57"/>
        <v>830.73199999999997</v>
      </c>
      <c r="F56" s="16">
        <f t="shared" si="57"/>
        <v>37063.29</v>
      </c>
      <c r="G56" s="16">
        <f t="shared" si="57"/>
        <v>999.94799999999998</v>
      </c>
      <c r="H56" s="16">
        <f t="shared" si="57"/>
        <v>1260.7640000000001</v>
      </c>
      <c r="I56" s="16">
        <f t="shared" si="57"/>
        <v>371.952</v>
      </c>
      <c r="J56" s="16">
        <f t="shared" si="57"/>
        <v>2644.5920000000001</v>
      </c>
      <c r="K56" s="16">
        <f t="shared" si="57"/>
        <v>217.38000000000002</v>
      </c>
      <c r="L56" s="16">
        <f t="shared" si="57"/>
        <v>0</v>
      </c>
      <c r="M56" s="16">
        <f t="shared" si="57"/>
        <v>0</v>
      </c>
      <c r="N56" s="16">
        <f t="shared" si="57"/>
        <v>95.100000000000009</v>
      </c>
      <c r="O56" s="16">
        <f t="shared" si="36"/>
        <v>0</v>
      </c>
      <c r="P56" s="16">
        <f t="shared" si="45"/>
        <v>0</v>
      </c>
      <c r="Q56" s="16">
        <f t="shared" si="45"/>
        <v>0</v>
      </c>
      <c r="R56" s="8">
        <f t="shared" si="37"/>
        <v>79877.010000000024</v>
      </c>
      <c r="S56" s="363">
        <f t="shared" si="39"/>
        <v>28176.534000000003</v>
      </c>
      <c r="T56" s="363">
        <f t="shared" si="39"/>
        <v>6465.4839999999967</v>
      </c>
      <c r="U56" s="363">
        <f t="shared" si="39"/>
        <v>1751.2340000000002</v>
      </c>
      <c r="V56" s="363">
        <f t="shared" si="39"/>
        <v>830.73199999999997</v>
      </c>
      <c r="W56" s="363">
        <f t="shared" si="40"/>
        <v>38063.237999999998</v>
      </c>
      <c r="X56" s="363">
        <f t="shared" si="41"/>
        <v>4589.7880000000005</v>
      </c>
      <c r="AI56" s="363"/>
      <c r="AJ56" s="363"/>
      <c r="AK56" s="363"/>
      <c r="AL56" s="363"/>
      <c r="AM56" s="363"/>
      <c r="AN56" s="363"/>
    </row>
    <row r="57" spans="1:40">
      <c r="A57" s="2" t="s">
        <v>94</v>
      </c>
      <c r="B57" s="16">
        <f t="shared" ref="B57:N57" si="58">B92*0.2</f>
        <v>6407.27</v>
      </c>
      <c r="C57" s="16">
        <f t="shared" si="58"/>
        <v>627.06200000000104</v>
      </c>
      <c r="D57" s="16">
        <f t="shared" si="58"/>
        <v>489.904</v>
      </c>
      <c r="E57" s="16">
        <f t="shared" si="58"/>
        <v>54.853999999999999</v>
      </c>
      <c r="F57" s="16">
        <f t="shared" si="58"/>
        <v>11347.236000000001</v>
      </c>
      <c r="G57" s="16">
        <f t="shared" si="58"/>
        <v>891.25800000000004</v>
      </c>
      <c r="H57" s="16">
        <f t="shared" si="58"/>
        <v>133.19400000000002</v>
      </c>
      <c r="I57" s="16">
        <f t="shared" si="58"/>
        <v>0</v>
      </c>
      <c r="J57" s="16">
        <f t="shared" si="58"/>
        <v>422.90800000000002</v>
      </c>
      <c r="K57" s="16">
        <f t="shared" si="58"/>
        <v>173.904</v>
      </c>
      <c r="L57" s="16">
        <f t="shared" si="58"/>
        <v>0</v>
      </c>
      <c r="M57" s="16">
        <f t="shared" si="58"/>
        <v>0</v>
      </c>
      <c r="N57" s="16">
        <f t="shared" si="58"/>
        <v>19.02</v>
      </c>
      <c r="O57" s="16">
        <f t="shared" si="36"/>
        <v>0</v>
      </c>
      <c r="P57" s="16">
        <v>0</v>
      </c>
      <c r="Q57" s="16">
        <v>0</v>
      </c>
      <c r="R57" s="8">
        <f t="shared" si="37"/>
        <v>20566.61</v>
      </c>
      <c r="S57" s="363">
        <f t="shared" si="39"/>
        <v>6407.27</v>
      </c>
      <c r="T57" s="363">
        <f t="shared" si="39"/>
        <v>627.06200000000104</v>
      </c>
      <c r="U57" s="363">
        <f t="shared" si="39"/>
        <v>489.904</v>
      </c>
      <c r="V57" s="363">
        <f t="shared" si="39"/>
        <v>54.853999999999999</v>
      </c>
      <c r="W57" s="363">
        <f t="shared" si="40"/>
        <v>12238.494000000001</v>
      </c>
      <c r="X57" s="363">
        <f t="shared" si="41"/>
        <v>749.02600000000007</v>
      </c>
      <c r="AI57" s="363"/>
      <c r="AJ57" s="363"/>
      <c r="AK57" s="363"/>
      <c r="AL57" s="363"/>
      <c r="AM57" s="363"/>
      <c r="AN57" s="363"/>
    </row>
    <row r="58" spans="1:40">
      <c r="A58" s="2" t="s">
        <v>95</v>
      </c>
      <c r="B58" s="16">
        <f t="shared" ref="B58:N58" si="59">B93*0.2</f>
        <v>82101.366000000009</v>
      </c>
      <c r="C58" s="16">
        <f t="shared" si="59"/>
        <v>15511.868000000006</v>
      </c>
      <c r="D58" s="16">
        <f t="shared" si="59"/>
        <v>4791.5600000000004</v>
      </c>
      <c r="E58" s="16">
        <f t="shared" si="59"/>
        <v>2663.7540000000017</v>
      </c>
      <c r="F58" s="16">
        <f t="shared" si="59"/>
        <v>127747.78200000001</v>
      </c>
      <c r="G58" s="16">
        <f t="shared" si="59"/>
        <v>3521.556</v>
      </c>
      <c r="H58" s="16">
        <f t="shared" si="59"/>
        <v>3167.2000000000003</v>
      </c>
      <c r="I58" s="16">
        <f t="shared" si="59"/>
        <v>669.00200000000007</v>
      </c>
      <c r="J58" s="16">
        <f t="shared" si="59"/>
        <v>7114.880000000001</v>
      </c>
      <c r="K58" s="16">
        <f t="shared" si="59"/>
        <v>456.49799999999999</v>
      </c>
      <c r="L58" s="16">
        <f t="shared" si="59"/>
        <v>0</v>
      </c>
      <c r="M58" s="16">
        <f t="shared" si="59"/>
        <v>0</v>
      </c>
      <c r="N58" s="16">
        <f t="shared" si="59"/>
        <v>202.88</v>
      </c>
      <c r="O58" s="16">
        <f t="shared" si="36"/>
        <v>0</v>
      </c>
      <c r="P58" s="16">
        <f t="shared" si="45"/>
        <v>0</v>
      </c>
      <c r="Q58" s="16">
        <f t="shared" si="45"/>
        <v>0</v>
      </c>
      <c r="R58" s="8">
        <f t="shared" si="37"/>
        <v>247948.34600000005</v>
      </c>
      <c r="S58" s="363">
        <f t="shared" si="39"/>
        <v>82101.366000000009</v>
      </c>
      <c r="T58" s="363">
        <f t="shared" si="39"/>
        <v>15511.868000000006</v>
      </c>
      <c r="U58" s="363">
        <f t="shared" si="39"/>
        <v>4791.5600000000004</v>
      </c>
      <c r="V58" s="363">
        <f t="shared" si="39"/>
        <v>2663.7540000000017</v>
      </c>
      <c r="W58" s="363">
        <f t="shared" si="40"/>
        <v>131269.33800000002</v>
      </c>
      <c r="X58" s="363">
        <f t="shared" si="41"/>
        <v>11610.460000000001</v>
      </c>
      <c r="AI58" s="363"/>
      <c r="AJ58" s="363"/>
      <c r="AK58" s="363"/>
      <c r="AL58" s="363"/>
      <c r="AM58" s="363"/>
      <c r="AN58" s="363"/>
    </row>
    <row r="59" spans="1:40">
      <c r="A59" s="2" t="s">
        <v>96</v>
      </c>
      <c r="B59" s="16">
        <f t="shared" ref="B59:N59" si="60">B94*0.2</f>
        <v>19207.842000000001</v>
      </c>
      <c r="C59" s="16">
        <f t="shared" si="60"/>
        <v>2349.3979999999983</v>
      </c>
      <c r="D59" s="16">
        <f t="shared" si="60"/>
        <v>311.52800000000002</v>
      </c>
      <c r="E59" s="16">
        <f t="shared" si="60"/>
        <v>403.46800000000002</v>
      </c>
      <c r="F59" s="16">
        <f t="shared" si="60"/>
        <v>17999.064000000002</v>
      </c>
      <c r="G59" s="16">
        <f t="shared" si="60"/>
        <v>891.25800000000004</v>
      </c>
      <c r="H59" s="16">
        <f t="shared" si="60"/>
        <v>596.17200000000003</v>
      </c>
      <c r="I59" s="16">
        <f t="shared" si="60"/>
        <v>1396.6980000000001</v>
      </c>
      <c r="J59" s="16">
        <f t="shared" si="60"/>
        <v>1192.4459999999999</v>
      </c>
      <c r="K59" s="16">
        <f t="shared" si="60"/>
        <v>21.738</v>
      </c>
      <c r="L59" s="16">
        <f t="shared" si="60"/>
        <v>0</v>
      </c>
      <c r="M59" s="16">
        <f t="shared" si="60"/>
        <v>0</v>
      </c>
      <c r="N59" s="16">
        <f t="shared" si="60"/>
        <v>25.36</v>
      </c>
      <c r="O59" s="16">
        <f t="shared" si="36"/>
        <v>0</v>
      </c>
      <c r="P59" s="16">
        <f t="shared" si="45"/>
        <v>0</v>
      </c>
      <c r="Q59" s="16">
        <f t="shared" si="45"/>
        <v>0</v>
      </c>
      <c r="R59" s="8">
        <f t="shared" si="37"/>
        <v>44394.971999999994</v>
      </c>
      <c r="S59" s="363">
        <f t="shared" si="39"/>
        <v>19207.842000000001</v>
      </c>
      <c r="T59" s="363">
        <f t="shared" si="39"/>
        <v>2349.3979999999983</v>
      </c>
      <c r="U59" s="363">
        <f t="shared" si="39"/>
        <v>311.52800000000002</v>
      </c>
      <c r="V59" s="363">
        <f t="shared" si="39"/>
        <v>403.46800000000002</v>
      </c>
      <c r="W59" s="363">
        <f t="shared" si="40"/>
        <v>18890.322000000004</v>
      </c>
      <c r="X59" s="363">
        <f t="shared" si="41"/>
        <v>3232.4139999999998</v>
      </c>
      <c r="AI59" s="363"/>
      <c r="AJ59" s="363"/>
      <c r="AK59" s="363"/>
      <c r="AL59" s="363"/>
      <c r="AM59" s="363"/>
      <c r="AN59" s="363"/>
    </row>
    <row r="60" spans="1:40">
      <c r="A60" s="2" t="s">
        <v>97</v>
      </c>
      <c r="B60" s="16">
        <f t="shared" ref="B60:N60" si="61">B95*0.2</f>
        <v>101107.196</v>
      </c>
      <c r="C60" s="16">
        <f t="shared" si="61"/>
        <v>19933.726000000024</v>
      </c>
      <c r="D60" s="16">
        <f t="shared" si="61"/>
        <v>6779.0520000000006</v>
      </c>
      <c r="E60" s="16">
        <f t="shared" si="61"/>
        <v>3997.3420000000001</v>
      </c>
      <c r="F60" s="16">
        <f t="shared" si="61"/>
        <v>177599.46000000002</v>
      </c>
      <c r="G60" s="16">
        <f t="shared" si="61"/>
        <v>2717.25</v>
      </c>
      <c r="H60" s="16">
        <f t="shared" si="61"/>
        <v>4897.4720000000007</v>
      </c>
      <c r="I60" s="16">
        <f t="shared" si="61"/>
        <v>1040.326</v>
      </c>
      <c r="J60" s="16">
        <f t="shared" si="61"/>
        <v>8249.2459999999992</v>
      </c>
      <c r="K60" s="16">
        <f t="shared" si="61"/>
        <v>999.94799999999998</v>
      </c>
      <c r="L60" s="16">
        <f t="shared" si="61"/>
        <v>0</v>
      </c>
      <c r="M60" s="16">
        <f t="shared" si="61"/>
        <v>141.22800000000001</v>
      </c>
      <c r="N60" s="16">
        <f t="shared" si="61"/>
        <v>88.76</v>
      </c>
      <c r="O60" s="16">
        <f t="shared" si="36"/>
        <v>0</v>
      </c>
      <c r="P60" s="16">
        <f t="shared" si="45"/>
        <v>0</v>
      </c>
      <c r="Q60" s="16">
        <f t="shared" si="45"/>
        <v>0</v>
      </c>
      <c r="R60" s="8">
        <f t="shared" si="37"/>
        <v>327551.00600000005</v>
      </c>
      <c r="S60" s="363">
        <f t="shared" si="39"/>
        <v>101107.196</v>
      </c>
      <c r="T60" s="363">
        <f t="shared" si="39"/>
        <v>19933.726000000024</v>
      </c>
      <c r="U60" s="363">
        <f t="shared" si="39"/>
        <v>6779.0520000000006</v>
      </c>
      <c r="V60" s="363">
        <f t="shared" si="39"/>
        <v>3997.3420000000001</v>
      </c>
      <c r="W60" s="363">
        <f t="shared" si="40"/>
        <v>180316.71000000002</v>
      </c>
      <c r="X60" s="363">
        <f t="shared" si="41"/>
        <v>15416.98</v>
      </c>
      <c r="AI60" s="363"/>
      <c r="AJ60" s="363"/>
      <c r="AK60" s="363"/>
      <c r="AL60" s="363"/>
      <c r="AM60" s="363"/>
      <c r="AN60" s="363"/>
    </row>
    <row r="61" spans="1:40">
      <c r="A61" s="2" t="s">
        <v>98</v>
      </c>
      <c r="B61" s="16">
        <f t="shared" ref="B61:N61" si="62">B96*0.2</f>
        <v>7157.7080000000005</v>
      </c>
      <c r="C61" s="16">
        <f t="shared" si="62"/>
        <v>1276.5720000000001</v>
      </c>
      <c r="D61" s="16">
        <f t="shared" si="62"/>
        <v>585.43799999999999</v>
      </c>
      <c r="E61" s="16">
        <f t="shared" si="62"/>
        <v>541.97</v>
      </c>
      <c r="F61" s="16">
        <f t="shared" si="62"/>
        <v>18477.3</v>
      </c>
      <c r="G61" s="16">
        <f t="shared" si="62"/>
        <v>434.76000000000005</v>
      </c>
      <c r="H61" s="16">
        <f t="shared" si="62"/>
        <v>256.94400000000002</v>
      </c>
      <c r="I61" s="16">
        <f t="shared" si="62"/>
        <v>0</v>
      </c>
      <c r="J61" s="16">
        <f t="shared" si="62"/>
        <v>751.52800000000013</v>
      </c>
      <c r="K61" s="16">
        <f t="shared" si="62"/>
        <v>108.69000000000001</v>
      </c>
      <c r="L61" s="16">
        <f t="shared" si="62"/>
        <v>0</v>
      </c>
      <c r="M61" s="16">
        <f t="shared" si="62"/>
        <v>0</v>
      </c>
      <c r="N61" s="16">
        <f t="shared" si="62"/>
        <v>12.68</v>
      </c>
      <c r="O61" s="16">
        <f t="shared" si="36"/>
        <v>0</v>
      </c>
      <c r="P61" s="16">
        <f t="shared" si="45"/>
        <v>0</v>
      </c>
      <c r="Q61" s="16">
        <f t="shared" si="45"/>
        <v>0</v>
      </c>
      <c r="R61" s="8">
        <f t="shared" si="37"/>
        <v>29603.589999999993</v>
      </c>
      <c r="S61" s="363">
        <f t="shared" si="39"/>
        <v>7157.7080000000005</v>
      </c>
      <c r="T61" s="363">
        <f t="shared" si="39"/>
        <v>1276.5720000000001</v>
      </c>
      <c r="U61" s="363">
        <f t="shared" si="39"/>
        <v>585.43799999999999</v>
      </c>
      <c r="V61" s="363">
        <f t="shared" si="39"/>
        <v>541.97</v>
      </c>
      <c r="W61" s="363">
        <f t="shared" si="40"/>
        <v>18912.059999999998</v>
      </c>
      <c r="X61" s="363">
        <f t="shared" si="41"/>
        <v>1129.8420000000003</v>
      </c>
      <c r="AI61" s="363"/>
      <c r="AJ61" s="363"/>
      <c r="AK61" s="363"/>
      <c r="AL61" s="363"/>
      <c r="AM61" s="363"/>
      <c r="AN61" s="363"/>
    </row>
    <row r="62" spans="1:40">
      <c r="A62" s="2" t="s">
        <v>99</v>
      </c>
      <c r="B62" s="16">
        <f t="shared" ref="B62:N62" si="63">B97*0.2</f>
        <v>682.65000000000009</v>
      </c>
      <c r="C62" s="16">
        <f t="shared" si="63"/>
        <v>48.092000000000013</v>
      </c>
      <c r="D62" s="16">
        <f t="shared" si="63"/>
        <v>29.588000000000001</v>
      </c>
      <c r="E62" s="16">
        <f t="shared" si="63"/>
        <v>0</v>
      </c>
      <c r="F62" s="16">
        <f t="shared" si="63"/>
        <v>2717.25</v>
      </c>
      <c r="G62" s="16">
        <f t="shared" si="63"/>
        <v>65.213999999999999</v>
      </c>
      <c r="H62" s="16">
        <f t="shared" si="63"/>
        <v>7.9960000000000013</v>
      </c>
      <c r="I62" s="16">
        <f t="shared" si="63"/>
        <v>0</v>
      </c>
      <c r="J62" s="16">
        <f t="shared" si="63"/>
        <v>40.216000000000008</v>
      </c>
      <c r="K62" s="16">
        <f t="shared" si="63"/>
        <v>43.475999999999999</v>
      </c>
      <c r="L62" s="16">
        <f t="shared" si="63"/>
        <v>0</v>
      </c>
      <c r="M62" s="16">
        <f t="shared" si="63"/>
        <v>0</v>
      </c>
      <c r="N62" s="16">
        <f t="shared" si="63"/>
        <v>0</v>
      </c>
      <c r="O62" s="16">
        <f t="shared" si="36"/>
        <v>0</v>
      </c>
      <c r="P62" s="16">
        <f t="shared" si="45"/>
        <v>0</v>
      </c>
      <c r="Q62" s="16">
        <f t="shared" si="45"/>
        <v>0</v>
      </c>
      <c r="R62" s="8">
        <f t="shared" si="37"/>
        <v>3634.482</v>
      </c>
      <c r="S62" s="363">
        <f t="shared" si="39"/>
        <v>682.65000000000009</v>
      </c>
      <c r="T62" s="363">
        <f t="shared" si="39"/>
        <v>48.092000000000013</v>
      </c>
      <c r="U62" s="363">
        <f t="shared" si="39"/>
        <v>29.588000000000001</v>
      </c>
      <c r="V62" s="363">
        <f t="shared" si="39"/>
        <v>0</v>
      </c>
      <c r="W62" s="363">
        <f t="shared" si="40"/>
        <v>2782.4639999999999</v>
      </c>
      <c r="X62" s="363">
        <f t="shared" si="41"/>
        <v>91.688000000000017</v>
      </c>
      <c r="AI62" s="363"/>
      <c r="AJ62" s="363"/>
      <c r="AK62" s="363"/>
      <c r="AL62" s="363"/>
      <c r="AM62" s="363"/>
      <c r="AN62" s="363"/>
    </row>
    <row r="63" spans="1:40">
      <c r="A63" s="2" t="s">
        <v>100</v>
      </c>
      <c r="B63" s="16">
        <f t="shared" ref="B63:N63" si="64">B98*0.2</f>
        <v>78276.362000000008</v>
      </c>
      <c r="C63" s="16">
        <f t="shared" si="64"/>
        <v>22246.428000000004</v>
      </c>
      <c r="D63" s="16">
        <f t="shared" si="64"/>
        <v>4466.0060000000003</v>
      </c>
      <c r="E63" s="16">
        <f t="shared" si="64"/>
        <v>3738.6399999999994</v>
      </c>
      <c r="F63" s="16">
        <f t="shared" si="64"/>
        <v>119559</v>
      </c>
      <c r="G63" s="16">
        <f t="shared" si="64"/>
        <v>1608.6120000000001</v>
      </c>
      <c r="H63" s="16">
        <f t="shared" si="64"/>
        <v>4672.0559999999996</v>
      </c>
      <c r="I63" s="16">
        <f t="shared" si="64"/>
        <v>482.18000000000006</v>
      </c>
      <c r="J63" s="16">
        <f t="shared" si="64"/>
        <v>7776.9179999999997</v>
      </c>
      <c r="K63" s="16">
        <f t="shared" si="64"/>
        <v>413.02200000000005</v>
      </c>
      <c r="L63" s="16">
        <f t="shared" si="64"/>
        <v>0</v>
      </c>
      <c r="M63" s="16">
        <f t="shared" si="64"/>
        <v>0</v>
      </c>
      <c r="N63" s="16">
        <f t="shared" si="64"/>
        <v>152.16</v>
      </c>
      <c r="O63" s="16">
        <f t="shared" si="36"/>
        <v>0</v>
      </c>
      <c r="P63" s="16">
        <f t="shared" si="45"/>
        <v>0</v>
      </c>
      <c r="Q63" s="16">
        <f t="shared" si="45"/>
        <v>0</v>
      </c>
      <c r="R63" s="8">
        <f t="shared" si="37"/>
        <v>243391.38399999999</v>
      </c>
      <c r="S63" s="363">
        <f t="shared" si="39"/>
        <v>78276.362000000008</v>
      </c>
      <c r="T63" s="363">
        <f t="shared" si="39"/>
        <v>22246.428000000004</v>
      </c>
      <c r="U63" s="363">
        <f t="shared" si="39"/>
        <v>4466.0060000000003</v>
      </c>
      <c r="V63" s="363">
        <f t="shared" si="39"/>
        <v>3738.6399999999994</v>
      </c>
      <c r="W63" s="363">
        <f t="shared" si="40"/>
        <v>121167.61199999999</v>
      </c>
      <c r="X63" s="363">
        <f t="shared" si="41"/>
        <v>13496.335999999999</v>
      </c>
      <c r="AI63" s="363"/>
      <c r="AJ63" s="363"/>
      <c r="AK63" s="363"/>
      <c r="AL63" s="363"/>
      <c r="AM63" s="363"/>
      <c r="AN63" s="363"/>
    </row>
    <row r="64" spans="1:40">
      <c r="A64" s="2" t="s">
        <v>101</v>
      </c>
      <c r="B64" s="16">
        <f t="shared" ref="B64:N64" si="65">B99*0.2</f>
        <v>298353.27</v>
      </c>
      <c r="C64" s="16">
        <f t="shared" si="65"/>
        <v>69864.887999999948</v>
      </c>
      <c r="D64" s="16">
        <f t="shared" si="65"/>
        <v>13730.73</v>
      </c>
      <c r="E64" s="16">
        <f t="shared" si="65"/>
        <v>11922.626000000002</v>
      </c>
      <c r="F64" s="16">
        <f t="shared" si="65"/>
        <v>653857.30200000003</v>
      </c>
      <c r="G64" s="16">
        <f t="shared" si="65"/>
        <v>8825.6280000000006</v>
      </c>
      <c r="H64" s="16">
        <f t="shared" si="65"/>
        <v>22385.68</v>
      </c>
      <c r="I64" s="16">
        <f t="shared" si="65"/>
        <v>1537.19</v>
      </c>
      <c r="J64" s="16">
        <f t="shared" si="65"/>
        <v>29393.868000000002</v>
      </c>
      <c r="K64" s="16">
        <f t="shared" si="65"/>
        <v>1825.992</v>
      </c>
      <c r="L64" s="16">
        <f t="shared" si="65"/>
        <v>260.85599999999999</v>
      </c>
      <c r="M64" s="16">
        <f t="shared" si="65"/>
        <v>0</v>
      </c>
      <c r="N64" s="16">
        <f t="shared" si="65"/>
        <v>691.06000000000006</v>
      </c>
      <c r="O64" s="16">
        <f t="shared" si="36"/>
        <v>0</v>
      </c>
      <c r="P64" s="16">
        <v>0</v>
      </c>
      <c r="Q64" s="16">
        <v>0</v>
      </c>
      <c r="R64" s="8">
        <f t="shared" si="37"/>
        <v>1112649.0899999999</v>
      </c>
      <c r="S64" s="363">
        <f t="shared" si="39"/>
        <v>298353.27</v>
      </c>
      <c r="T64" s="363">
        <f t="shared" si="39"/>
        <v>69864.887999999948</v>
      </c>
      <c r="U64" s="363">
        <f t="shared" si="39"/>
        <v>13730.73</v>
      </c>
      <c r="V64" s="363">
        <f t="shared" si="39"/>
        <v>11922.626000000002</v>
      </c>
      <c r="W64" s="363">
        <f t="shared" si="40"/>
        <v>662682.93000000005</v>
      </c>
      <c r="X64" s="363">
        <f t="shared" si="41"/>
        <v>56094.645999999993</v>
      </c>
      <c r="AI64" s="363"/>
      <c r="AJ64" s="363"/>
      <c r="AK64" s="363"/>
      <c r="AL64" s="363"/>
      <c r="AM64" s="363"/>
      <c r="AN64" s="363"/>
    </row>
    <row r="65" spans="1:40">
      <c r="A65" s="2" t="s">
        <v>102</v>
      </c>
      <c r="B65" s="16">
        <f t="shared" ref="B65:N65" si="66">B100*0.2</f>
        <v>9376.6220000000012</v>
      </c>
      <c r="C65" s="16">
        <f t="shared" si="66"/>
        <v>1893.0360000000001</v>
      </c>
      <c r="D65" s="16">
        <f t="shared" si="66"/>
        <v>449.75</v>
      </c>
      <c r="E65" s="16">
        <f t="shared" si="66"/>
        <v>25.435999999999968</v>
      </c>
      <c r="F65" s="16">
        <f t="shared" si="66"/>
        <v>14151.438000000002</v>
      </c>
      <c r="G65" s="16">
        <f t="shared" si="66"/>
        <v>717.35400000000004</v>
      </c>
      <c r="H65" s="16">
        <f t="shared" si="66"/>
        <v>373.86200000000002</v>
      </c>
      <c r="I65" s="16">
        <f t="shared" si="66"/>
        <v>126.80799999999999</v>
      </c>
      <c r="J65" s="16">
        <f t="shared" si="66"/>
        <v>906.22800000000007</v>
      </c>
      <c r="K65" s="16">
        <f t="shared" si="66"/>
        <v>21.738</v>
      </c>
      <c r="L65" s="16">
        <f t="shared" si="66"/>
        <v>0</v>
      </c>
      <c r="M65" s="16">
        <f t="shared" si="66"/>
        <v>0</v>
      </c>
      <c r="N65" s="16">
        <f t="shared" si="66"/>
        <v>0</v>
      </c>
      <c r="O65" s="16">
        <f t="shared" si="36"/>
        <v>0</v>
      </c>
      <c r="P65" s="16">
        <f>P100*0.2</f>
        <v>0</v>
      </c>
      <c r="Q65" s="16">
        <f>Q100*0.2</f>
        <v>0</v>
      </c>
      <c r="R65" s="8">
        <f t="shared" si="37"/>
        <v>28042.272000000004</v>
      </c>
      <c r="S65" s="363">
        <f t="shared" si="39"/>
        <v>9376.6220000000012</v>
      </c>
      <c r="T65" s="363">
        <f t="shared" si="39"/>
        <v>1893.0360000000001</v>
      </c>
      <c r="U65" s="363">
        <f t="shared" si="39"/>
        <v>449.75</v>
      </c>
      <c r="V65" s="363">
        <f t="shared" si="39"/>
        <v>25.435999999999968</v>
      </c>
      <c r="W65" s="363">
        <f t="shared" si="40"/>
        <v>14868.792000000001</v>
      </c>
      <c r="X65" s="363">
        <f t="shared" si="41"/>
        <v>1428.6360000000002</v>
      </c>
      <c r="AI65" s="363"/>
      <c r="AJ65" s="363"/>
      <c r="AK65" s="363"/>
      <c r="AL65" s="363"/>
      <c r="AM65" s="363"/>
      <c r="AN65" s="363"/>
    </row>
    <row r="66" spans="1:40">
      <c r="A66" s="2" t="s">
        <v>103</v>
      </c>
      <c r="B66" s="16">
        <f t="shared" ref="B66:N66" si="67">B101*0.2</f>
        <v>4367.2940000000008</v>
      </c>
      <c r="C66" s="16">
        <f t="shared" si="67"/>
        <v>979.70999999999992</v>
      </c>
      <c r="D66" s="16">
        <f t="shared" si="67"/>
        <v>369.43800000000005</v>
      </c>
      <c r="E66" s="16">
        <f t="shared" si="67"/>
        <v>181.16400000000004</v>
      </c>
      <c r="F66" s="16">
        <f t="shared" si="67"/>
        <v>8521.2960000000003</v>
      </c>
      <c r="G66" s="16">
        <f t="shared" si="67"/>
        <v>239.11800000000005</v>
      </c>
      <c r="H66" s="16">
        <f t="shared" si="67"/>
        <v>162.60599999999999</v>
      </c>
      <c r="I66" s="16">
        <f t="shared" si="67"/>
        <v>0</v>
      </c>
      <c r="J66" s="16">
        <f t="shared" si="67"/>
        <v>467.17199999999997</v>
      </c>
      <c r="K66" s="16">
        <f t="shared" si="67"/>
        <v>21.738</v>
      </c>
      <c r="L66" s="16">
        <f t="shared" si="67"/>
        <v>0</v>
      </c>
      <c r="M66" s="16">
        <f t="shared" si="67"/>
        <v>0</v>
      </c>
      <c r="N66" s="16">
        <f t="shared" si="67"/>
        <v>12.68</v>
      </c>
      <c r="O66" s="16">
        <f t="shared" si="36"/>
        <v>0</v>
      </c>
      <c r="P66" s="16">
        <f>P101*0.2</f>
        <v>0</v>
      </c>
      <c r="Q66" s="16">
        <f>Q101*0.2</f>
        <v>0</v>
      </c>
      <c r="R66" s="8">
        <f t="shared" si="37"/>
        <v>15322.216000000002</v>
      </c>
      <c r="S66" s="363">
        <f t="shared" si="39"/>
        <v>4367.2940000000008</v>
      </c>
      <c r="T66" s="363">
        <f t="shared" si="39"/>
        <v>979.70999999999992</v>
      </c>
      <c r="U66" s="363">
        <f t="shared" si="39"/>
        <v>369.43800000000005</v>
      </c>
      <c r="V66" s="363">
        <f t="shared" si="39"/>
        <v>181.16400000000004</v>
      </c>
      <c r="W66" s="363">
        <f t="shared" si="40"/>
        <v>8760.4140000000007</v>
      </c>
      <c r="X66" s="363">
        <f t="shared" si="41"/>
        <v>664.19600000000003</v>
      </c>
      <c r="AI66" s="363"/>
      <c r="AJ66" s="363"/>
      <c r="AK66" s="363"/>
      <c r="AL66" s="363"/>
      <c r="AM66" s="363"/>
      <c r="AN66" s="363"/>
    </row>
    <row r="67" spans="1:40">
      <c r="A67" s="6" t="s">
        <v>37</v>
      </c>
      <c r="B67" s="7">
        <f t="shared" ref="B67:R67" si="68">SUM(B40:B66)</f>
        <v>1066577.4519999998</v>
      </c>
      <c r="C67" s="7">
        <f t="shared" si="68"/>
        <v>242448.35400000002</v>
      </c>
      <c r="D67" s="7">
        <f t="shared" si="68"/>
        <v>61457.210000000014</v>
      </c>
      <c r="E67" s="7">
        <f t="shared" si="68"/>
        <v>43328.72</v>
      </c>
      <c r="F67" s="7">
        <f t="shared" si="68"/>
        <v>1859440.3360000006</v>
      </c>
      <c r="G67" s="7">
        <f t="shared" si="68"/>
        <v>38150.19000000001</v>
      </c>
      <c r="H67" s="7">
        <f t="shared" si="68"/>
        <v>61410.086000000003</v>
      </c>
      <c r="I67" s="7">
        <f t="shared" si="68"/>
        <v>8014.88</v>
      </c>
      <c r="J67" s="7">
        <f t="shared" si="68"/>
        <v>102776.20800000001</v>
      </c>
      <c r="K67" s="7">
        <f t="shared" si="68"/>
        <v>7521.348</v>
      </c>
      <c r="L67" s="7">
        <f t="shared" si="68"/>
        <v>521.71199999999999</v>
      </c>
      <c r="M67" s="7">
        <f t="shared" si="68"/>
        <v>792.41000000000008</v>
      </c>
      <c r="N67" s="7">
        <f t="shared" si="68"/>
        <v>2066.84</v>
      </c>
      <c r="O67" s="7">
        <f t="shared" ref="O67" si="69">SUM(O40:O66)</f>
        <v>0</v>
      </c>
      <c r="P67" s="7">
        <f t="shared" si="68"/>
        <v>11.286000000000001</v>
      </c>
      <c r="Q67" s="7">
        <f t="shared" si="68"/>
        <v>292.29000000000008</v>
      </c>
      <c r="R67" s="9">
        <f t="shared" si="68"/>
        <v>3494809.3220000006</v>
      </c>
      <c r="S67" s="363">
        <f t="shared" ref="S67:X67" si="70">SUM(S40:S66)</f>
        <v>1066577.4519999998</v>
      </c>
      <c r="T67" s="363">
        <f t="shared" si="70"/>
        <v>242448.35400000002</v>
      </c>
      <c r="U67" s="363">
        <f t="shared" si="70"/>
        <v>61457.210000000014</v>
      </c>
      <c r="V67" s="363">
        <f t="shared" si="70"/>
        <v>43328.72</v>
      </c>
      <c r="W67" s="363">
        <f t="shared" si="70"/>
        <v>1897590.5259999998</v>
      </c>
      <c r="X67" s="363">
        <f t="shared" si="70"/>
        <v>183407.06</v>
      </c>
      <c r="AI67" s="363"/>
      <c r="AJ67" s="363"/>
      <c r="AK67" s="363"/>
      <c r="AL67" s="363"/>
      <c r="AM67" s="363"/>
      <c r="AN67" s="363"/>
    </row>
    <row r="68" spans="1:40">
      <c r="A68" s="351" t="s">
        <v>47</v>
      </c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6"/>
    </row>
    <row r="69" spans="1:40">
      <c r="A69" s="358"/>
      <c r="B69" s="358"/>
      <c r="C69" s="359"/>
      <c r="D69" s="359"/>
      <c r="E69" s="359"/>
      <c r="F69" s="359"/>
      <c r="G69" s="359"/>
      <c r="H69" s="359"/>
      <c r="I69" s="359"/>
      <c r="J69" s="359"/>
      <c r="K69" s="359"/>
      <c r="R69" s="360"/>
    </row>
    <row r="70" spans="1:40">
      <c r="A70" s="357"/>
      <c r="L70" s="253"/>
      <c r="M70" s="253"/>
      <c r="N70" s="253"/>
      <c r="O70" s="253"/>
      <c r="P70" s="253"/>
      <c r="Q70" s="253"/>
    </row>
    <row r="71" spans="1:40">
      <c r="A71" s="357"/>
    </row>
    <row r="72" spans="1:40" ht="46.5">
      <c r="A72" s="837" t="s">
        <v>46</v>
      </c>
      <c r="B72" s="838"/>
      <c r="C72" s="838"/>
      <c r="D72" s="838"/>
      <c r="E72" s="838"/>
      <c r="F72" s="838"/>
      <c r="G72" s="838"/>
      <c r="H72" s="838"/>
      <c r="I72" s="838"/>
      <c r="J72" s="838"/>
      <c r="K72" s="838"/>
      <c r="L72" s="838"/>
      <c r="M72" s="838"/>
      <c r="N72" s="838"/>
      <c r="O72" s="838"/>
      <c r="P72" s="838"/>
      <c r="Q72" s="838"/>
      <c r="R72" s="839"/>
    </row>
    <row r="73" spans="1:40" s="372" customFormat="1" ht="35.1" customHeight="1">
      <c r="A73" s="835" t="s">
        <v>33</v>
      </c>
      <c r="B73" s="833" t="s">
        <v>27</v>
      </c>
      <c r="C73" s="834"/>
      <c r="D73" s="833" t="s">
        <v>29</v>
      </c>
      <c r="E73" s="834"/>
      <c r="F73" s="835" t="s">
        <v>28</v>
      </c>
      <c r="G73" s="835" t="s">
        <v>36</v>
      </c>
      <c r="H73" s="835" t="s">
        <v>30</v>
      </c>
      <c r="I73" s="835" t="s">
        <v>31</v>
      </c>
      <c r="J73" s="835" t="s">
        <v>41</v>
      </c>
      <c r="K73" s="835" t="s">
        <v>35</v>
      </c>
      <c r="L73" s="835" t="s">
        <v>40</v>
      </c>
      <c r="M73" s="835" t="s">
        <v>42</v>
      </c>
      <c r="N73" s="835" t="s">
        <v>45</v>
      </c>
      <c r="O73" s="835" t="s">
        <v>279</v>
      </c>
      <c r="P73" s="833" t="s">
        <v>49</v>
      </c>
      <c r="Q73" s="834"/>
      <c r="R73" s="835" t="s">
        <v>34</v>
      </c>
      <c r="S73" s="357"/>
      <c r="T73" s="357"/>
      <c r="U73" s="357"/>
      <c r="V73" s="357"/>
      <c r="W73" s="357"/>
      <c r="X73" s="357"/>
      <c r="Y73" s="357"/>
      <c r="AI73" s="357"/>
      <c r="AJ73" s="357"/>
      <c r="AK73" s="357"/>
      <c r="AL73" s="357"/>
      <c r="AM73" s="357"/>
      <c r="AN73" s="357"/>
    </row>
    <row r="74" spans="1:40" s="372" customFormat="1" ht="35.1" customHeight="1">
      <c r="A74" s="836"/>
      <c r="B74" s="361" t="s">
        <v>43</v>
      </c>
      <c r="C74" s="361" t="s">
        <v>44</v>
      </c>
      <c r="D74" s="361" t="s">
        <v>43</v>
      </c>
      <c r="E74" s="361" t="s">
        <v>44</v>
      </c>
      <c r="F74" s="836"/>
      <c r="G74" s="836"/>
      <c r="H74" s="836"/>
      <c r="I74" s="836"/>
      <c r="J74" s="836"/>
      <c r="K74" s="836"/>
      <c r="L74" s="836"/>
      <c r="M74" s="836"/>
      <c r="N74" s="836"/>
      <c r="O74" s="836"/>
      <c r="P74" s="362" t="s">
        <v>50</v>
      </c>
      <c r="Q74" s="362" t="s">
        <v>51</v>
      </c>
      <c r="R74" s="836"/>
      <c r="S74" s="372" t="s">
        <v>173</v>
      </c>
      <c r="T74" s="372" t="s">
        <v>291</v>
      </c>
      <c r="U74" s="372" t="s">
        <v>174</v>
      </c>
      <c r="V74" s="372" t="s">
        <v>292</v>
      </c>
      <c r="W74" s="372" t="s">
        <v>28</v>
      </c>
      <c r="X74" s="372" t="s">
        <v>175</v>
      </c>
      <c r="Y74" s="726"/>
    </row>
    <row r="75" spans="1:40">
      <c r="A75" s="2" t="s">
        <v>77</v>
      </c>
      <c r="B75" s="16">
        <v>20718.11</v>
      </c>
      <c r="C75" s="16">
        <v>6097.510000000002</v>
      </c>
      <c r="D75" s="16">
        <v>2027.88</v>
      </c>
      <c r="E75" s="16">
        <v>212.02999999999975</v>
      </c>
      <c r="F75" s="16">
        <v>29563.68</v>
      </c>
      <c r="G75" s="16">
        <v>1956.42</v>
      </c>
      <c r="H75" s="16">
        <v>992.78000000000009</v>
      </c>
      <c r="I75" s="16">
        <v>0</v>
      </c>
      <c r="J75" s="16">
        <v>2677.2200000000003</v>
      </c>
      <c r="K75" s="16">
        <v>1086.9000000000001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8">
        <f t="shared" ref="R75:R101" si="71">SUM(B75:Q75)</f>
        <v>65332.530000000006</v>
      </c>
      <c r="S75" s="363">
        <f>B75</f>
        <v>20718.11</v>
      </c>
      <c r="T75" s="363">
        <f>C75</f>
        <v>6097.510000000002</v>
      </c>
      <c r="U75" s="363">
        <f>D75</f>
        <v>2027.88</v>
      </c>
      <c r="V75" s="363">
        <f>E75</f>
        <v>212.02999999999975</v>
      </c>
      <c r="W75" s="363">
        <f>F75+G75</f>
        <v>31520.1</v>
      </c>
      <c r="X75" s="363">
        <f>SUM(H75:Q75)</f>
        <v>4756.9000000000005</v>
      </c>
      <c r="AI75" s="363"/>
      <c r="AJ75" s="363"/>
      <c r="AK75" s="363"/>
      <c r="AL75" s="363"/>
      <c r="AM75" s="363"/>
      <c r="AN75" s="363"/>
    </row>
    <row r="76" spans="1:40">
      <c r="A76" s="2" t="s">
        <v>78</v>
      </c>
      <c r="B76" s="16">
        <v>52205.89</v>
      </c>
      <c r="C76" s="16">
        <v>11091.190000000002</v>
      </c>
      <c r="D76" s="16">
        <v>1547.08</v>
      </c>
      <c r="E76" s="16">
        <v>457.12000000000012</v>
      </c>
      <c r="F76" s="16">
        <v>69235.53</v>
      </c>
      <c r="G76" s="16">
        <v>2065.11</v>
      </c>
      <c r="H76" s="16">
        <v>2094.21</v>
      </c>
      <c r="I76" s="16">
        <v>0</v>
      </c>
      <c r="J76" s="16">
        <v>4050.99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8">
        <f t="shared" si="71"/>
        <v>142747.11999999997</v>
      </c>
      <c r="S76" s="363">
        <f t="shared" ref="S76:V101" si="72">B76</f>
        <v>52205.89</v>
      </c>
      <c r="T76" s="363">
        <f t="shared" si="72"/>
        <v>11091.190000000002</v>
      </c>
      <c r="U76" s="363">
        <f t="shared" si="72"/>
        <v>1547.08</v>
      </c>
      <c r="V76" s="363">
        <f t="shared" si="72"/>
        <v>457.12000000000012</v>
      </c>
      <c r="W76" s="363">
        <f t="shared" ref="W76:W101" si="73">F76+G76</f>
        <v>71300.639999999999</v>
      </c>
      <c r="X76" s="363">
        <f t="shared" ref="X76:X101" si="74">SUM(H76:Q76)</f>
        <v>6145.2</v>
      </c>
      <c r="AI76" s="363"/>
      <c r="AJ76" s="363"/>
      <c r="AK76" s="363"/>
      <c r="AL76" s="363"/>
      <c r="AM76" s="363"/>
      <c r="AN76" s="363"/>
    </row>
    <row r="77" spans="1:40">
      <c r="A77" s="2" t="s">
        <v>79</v>
      </c>
      <c r="B77" s="16">
        <v>27257.33</v>
      </c>
      <c r="C77" s="16">
        <v>7402.18</v>
      </c>
      <c r="D77" s="16">
        <v>1352.63</v>
      </c>
      <c r="E77" s="16">
        <v>1893.8599999999997</v>
      </c>
      <c r="F77" s="16">
        <v>36954.6</v>
      </c>
      <c r="G77" s="16">
        <v>4021.5299999999997</v>
      </c>
      <c r="H77" s="16">
        <v>1932.61</v>
      </c>
      <c r="I77" s="16">
        <v>0</v>
      </c>
      <c r="J77" s="16">
        <v>3502.3299999999995</v>
      </c>
      <c r="K77" s="16">
        <v>1956.42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8">
        <f t="shared" si="71"/>
        <v>86273.49</v>
      </c>
      <c r="S77" s="363">
        <f t="shared" si="72"/>
        <v>27257.33</v>
      </c>
      <c r="T77" s="363">
        <f t="shared" si="72"/>
        <v>7402.18</v>
      </c>
      <c r="U77" s="363">
        <f t="shared" si="72"/>
        <v>1352.63</v>
      </c>
      <c r="V77" s="363">
        <f t="shared" si="72"/>
        <v>1893.8599999999997</v>
      </c>
      <c r="W77" s="363">
        <f t="shared" si="73"/>
        <v>40976.129999999997</v>
      </c>
      <c r="X77" s="363">
        <f t="shared" si="74"/>
        <v>7391.36</v>
      </c>
      <c r="AI77" s="363"/>
      <c r="AJ77" s="363"/>
      <c r="AK77" s="363"/>
      <c r="AL77" s="363"/>
      <c r="AM77" s="363"/>
      <c r="AN77" s="363"/>
    </row>
    <row r="78" spans="1:40">
      <c r="A78" s="2" t="s">
        <v>80</v>
      </c>
      <c r="B78" s="16">
        <v>61529</v>
      </c>
      <c r="C78" s="16">
        <v>10939.529999999999</v>
      </c>
      <c r="D78" s="16">
        <v>1754.2</v>
      </c>
      <c r="E78" s="16">
        <v>1805.3100000000002</v>
      </c>
      <c r="F78" s="16">
        <v>73691.820000000007</v>
      </c>
      <c r="G78" s="16">
        <v>1195.5900000000001</v>
      </c>
      <c r="H78" s="16">
        <v>2424.84</v>
      </c>
      <c r="I78" s="16">
        <v>0</v>
      </c>
      <c r="J78" s="16">
        <v>5250.21</v>
      </c>
      <c r="K78" s="16">
        <v>326.07</v>
      </c>
      <c r="L78" s="16">
        <v>0</v>
      </c>
      <c r="M78" s="16">
        <v>793.2</v>
      </c>
      <c r="N78" s="16">
        <v>63.4</v>
      </c>
      <c r="O78" s="16">
        <v>0</v>
      </c>
      <c r="P78" s="16">
        <v>0</v>
      </c>
      <c r="Q78" s="16">
        <v>0</v>
      </c>
      <c r="R78" s="8">
        <f t="shared" si="71"/>
        <v>159773.16999999998</v>
      </c>
      <c r="S78" s="363">
        <f t="shared" si="72"/>
        <v>61529</v>
      </c>
      <c r="T78" s="363">
        <f t="shared" si="72"/>
        <v>10939.529999999999</v>
      </c>
      <c r="U78" s="363">
        <f t="shared" si="72"/>
        <v>1754.2</v>
      </c>
      <c r="V78" s="363">
        <f t="shared" si="72"/>
        <v>1805.3100000000002</v>
      </c>
      <c r="W78" s="363">
        <f t="shared" si="73"/>
        <v>74887.41</v>
      </c>
      <c r="X78" s="363">
        <f t="shared" si="74"/>
        <v>8857.7199999999993</v>
      </c>
      <c r="AI78" s="363"/>
      <c r="AJ78" s="363"/>
      <c r="AK78" s="363"/>
      <c r="AL78" s="363"/>
      <c r="AM78" s="363"/>
      <c r="AN78" s="363"/>
    </row>
    <row r="79" spans="1:40">
      <c r="A79" s="2" t="s">
        <v>81</v>
      </c>
      <c r="B79" s="16">
        <v>170556.79999999999</v>
      </c>
      <c r="C79" s="16">
        <v>29154.870000000024</v>
      </c>
      <c r="D79" s="16">
        <v>6117.12</v>
      </c>
      <c r="E79" s="16">
        <v>4486.3599999999997</v>
      </c>
      <c r="F79" s="16">
        <v>236400.75</v>
      </c>
      <c r="G79" s="16">
        <v>7173.54</v>
      </c>
      <c r="H79" s="16">
        <v>6164.23</v>
      </c>
      <c r="I79" s="16">
        <v>0</v>
      </c>
      <c r="J79" s="16">
        <v>14026.919999999998</v>
      </c>
      <c r="K79" s="16">
        <v>652.14</v>
      </c>
      <c r="L79" s="16">
        <v>652.14</v>
      </c>
      <c r="M79" s="16">
        <v>0</v>
      </c>
      <c r="N79" s="16">
        <v>412.1</v>
      </c>
      <c r="O79" s="16">
        <v>0</v>
      </c>
      <c r="P79" s="16">
        <v>0</v>
      </c>
      <c r="Q79" s="16">
        <v>0</v>
      </c>
      <c r="R79" s="8">
        <f t="shared" si="71"/>
        <v>475796.97</v>
      </c>
      <c r="S79" s="363">
        <f t="shared" si="72"/>
        <v>170556.79999999999</v>
      </c>
      <c r="T79" s="363">
        <f t="shared" si="72"/>
        <v>29154.870000000024</v>
      </c>
      <c r="U79" s="363">
        <f t="shared" si="72"/>
        <v>6117.12</v>
      </c>
      <c r="V79" s="363">
        <f t="shared" si="72"/>
        <v>4486.3599999999997</v>
      </c>
      <c r="W79" s="363">
        <f t="shared" si="73"/>
        <v>243574.29</v>
      </c>
      <c r="X79" s="363">
        <f t="shared" si="74"/>
        <v>21907.529999999995</v>
      </c>
      <c r="AI79" s="363"/>
      <c r="AJ79" s="363"/>
      <c r="AK79" s="363"/>
      <c r="AL79" s="363"/>
      <c r="AM79" s="363"/>
      <c r="AN79" s="363"/>
    </row>
    <row r="80" spans="1:40">
      <c r="A80" s="2" t="s">
        <v>82</v>
      </c>
      <c r="B80" s="16">
        <v>141656.72</v>
      </c>
      <c r="C80" s="16">
        <v>46986.260000000009</v>
      </c>
      <c r="D80" s="16">
        <v>5952.28</v>
      </c>
      <c r="E80" s="16">
        <v>6973.21</v>
      </c>
      <c r="F80" s="16">
        <v>160752.51</v>
      </c>
      <c r="G80" s="16">
        <v>7064.85</v>
      </c>
      <c r="H80" s="16">
        <v>8804.07</v>
      </c>
      <c r="I80" s="16">
        <v>3496.27</v>
      </c>
      <c r="J80" s="16">
        <v>19250.22</v>
      </c>
      <c r="K80" s="16">
        <v>217.38</v>
      </c>
      <c r="L80" s="16">
        <v>0</v>
      </c>
      <c r="M80" s="16">
        <v>443.83</v>
      </c>
      <c r="N80" s="16">
        <v>158.5</v>
      </c>
      <c r="O80" s="16">
        <v>0</v>
      </c>
      <c r="P80" s="16">
        <v>19.010000000000002</v>
      </c>
      <c r="Q80" s="16">
        <v>1166.4100000000001</v>
      </c>
      <c r="R80" s="8">
        <f t="shared" si="71"/>
        <v>402941.52</v>
      </c>
      <c r="S80" s="363">
        <f t="shared" si="72"/>
        <v>141656.72</v>
      </c>
      <c r="T80" s="363">
        <f t="shared" si="72"/>
        <v>46986.260000000009</v>
      </c>
      <c r="U80" s="363">
        <f t="shared" si="72"/>
        <v>5952.28</v>
      </c>
      <c r="V80" s="363">
        <f t="shared" si="72"/>
        <v>6973.21</v>
      </c>
      <c r="W80" s="363">
        <f t="shared" si="73"/>
        <v>167817.36000000002</v>
      </c>
      <c r="X80" s="363">
        <f t="shared" si="74"/>
        <v>33555.69</v>
      </c>
      <c r="AI80" s="363"/>
      <c r="AJ80" s="363"/>
      <c r="AK80" s="363"/>
      <c r="AL80" s="363"/>
      <c r="AM80" s="363"/>
      <c r="AN80" s="363"/>
    </row>
    <row r="81" spans="1:40">
      <c r="A81" s="2" t="s">
        <v>83</v>
      </c>
      <c r="B81" s="16">
        <v>203802.39</v>
      </c>
      <c r="C81" s="16">
        <v>58396.400000000023</v>
      </c>
      <c r="D81" s="16">
        <v>7378.16</v>
      </c>
      <c r="E81" s="16">
        <v>3490.33</v>
      </c>
      <c r="F81" s="16">
        <v>158361.32999999999</v>
      </c>
      <c r="G81" s="16">
        <v>8586.51</v>
      </c>
      <c r="H81" s="16">
        <v>10037.890000000001</v>
      </c>
      <c r="I81" s="16">
        <v>293.85000000000002</v>
      </c>
      <c r="J81" s="16">
        <v>20915.270000000004</v>
      </c>
      <c r="K81" s="16">
        <v>978.21</v>
      </c>
      <c r="L81" s="16">
        <v>217.38</v>
      </c>
      <c r="M81" s="16">
        <v>2018.88</v>
      </c>
      <c r="N81" s="16">
        <v>475.5</v>
      </c>
      <c r="O81" s="16">
        <v>0</v>
      </c>
      <c r="P81" s="16">
        <v>0</v>
      </c>
      <c r="Q81" s="16">
        <v>0</v>
      </c>
      <c r="R81" s="8">
        <f t="shared" si="71"/>
        <v>474952.10000000003</v>
      </c>
      <c r="S81" s="363">
        <f t="shared" si="72"/>
        <v>203802.39</v>
      </c>
      <c r="T81" s="363">
        <f t="shared" si="72"/>
        <v>58396.400000000023</v>
      </c>
      <c r="U81" s="363">
        <f t="shared" si="72"/>
        <v>7378.16</v>
      </c>
      <c r="V81" s="363">
        <f t="shared" si="72"/>
        <v>3490.33</v>
      </c>
      <c r="W81" s="363">
        <f t="shared" si="73"/>
        <v>166947.84</v>
      </c>
      <c r="X81" s="363">
        <f t="shared" si="74"/>
        <v>34936.980000000003</v>
      </c>
      <c r="AI81" s="363"/>
      <c r="AJ81" s="363"/>
      <c r="AK81" s="363"/>
      <c r="AL81" s="363"/>
      <c r="AM81" s="363"/>
      <c r="AN81" s="363"/>
    </row>
    <row r="82" spans="1:40">
      <c r="A82" s="2" t="s">
        <v>84</v>
      </c>
      <c r="B82" s="16">
        <v>137386.88</v>
      </c>
      <c r="C82" s="16">
        <v>18357.639999999985</v>
      </c>
      <c r="D82" s="16">
        <v>6801.18</v>
      </c>
      <c r="E82" s="16">
        <v>3422.75</v>
      </c>
      <c r="F82" s="16">
        <v>174012.69</v>
      </c>
      <c r="G82" s="16">
        <v>4564.9800000000005</v>
      </c>
      <c r="H82" s="16">
        <v>4774.71</v>
      </c>
      <c r="I82" s="16">
        <v>995.34</v>
      </c>
      <c r="J82" s="16">
        <v>9882.6800000000021</v>
      </c>
      <c r="K82" s="16">
        <v>326.07</v>
      </c>
      <c r="L82" s="16">
        <v>0</v>
      </c>
      <c r="M82" s="16">
        <v>0</v>
      </c>
      <c r="N82" s="16">
        <v>126.8</v>
      </c>
      <c r="O82" s="16">
        <v>0</v>
      </c>
      <c r="P82" s="16">
        <v>0</v>
      </c>
      <c r="Q82" s="16">
        <v>0</v>
      </c>
      <c r="R82" s="8">
        <f t="shared" si="71"/>
        <v>360651.72000000003</v>
      </c>
      <c r="S82" s="363">
        <f t="shared" si="72"/>
        <v>137386.88</v>
      </c>
      <c r="T82" s="363">
        <f t="shared" si="72"/>
        <v>18357.639999999985</v>
      </c>
      <c r="U82" s="363">
        <f t="shared" si="72"/>
        <v>6801.18</v>
      </c>
      <c r="V82" s="363">
        <f t="shared" si="72"/>
        <v>3422.75</v>
      </c>
      <c r="W82" s="363">
        <f t="shared" si="73"/>
        <v>178577.67</v>
      </c>
      <c r="X82" s="363">
        <f t="shared" si="74"/>
        <v>16105.600000000002</v>
      </c>
      <c r="AI82" s="363"/>
      <c r="AJ82" s="363"/>
      <c r="AK82" s="363"/>
      <c r="AL82" s="363"/>
      <c r="AM82" s="363"/>
      <c r="AN82" s="363"/>
    </row>
    <row r="83" spans="1:40">
      <c r="A83" s="2" t="s">
        <v>85</v>
      </c>
      <c r="B83" s="16">
        <v>182194.98</v>
      </c>
      <c r="C83" s="16">
        <v>54214.66</v>
      </c>
      <c r="D83" s="16">
        <v>7141.43</v>
      </c>
      <c r="E83" s="16">
        <v>4826.2199999999993</v>
      </c>
      <c r="F83" s="16">
        <v>295854.18</v>
      </c>
      <c r="G83" s="16">
        <v>6521.4</v>
      </c>
      <c r="H83" s="16">
        <v>12068.939999999999</v>
      </c>
      <c r="I83" s="16">
        <v>652.14</v>
      </c>
      <c r="J83" s="16">
        <v>17899.02</v>
      </c>
      <c r="K83" s="16">
        <v>1195.5899999999999</v>
      </c>
      <c r="L83" s="16">
        <v>0</v>
      </c>
      <c r="M83" s="16">
        <v>0</v>
      </c>
      <c r="N83" s="16">
        <v>380.4</v>
      </c>
      <c r="O83" s="16">
        <v>0</v>
      </c>
      <c r="P83" s="16">
        <v>0</v>
      </c>
      <c r="Q83" s="16">
        <v>0</v>
      </c>
      <c r="R83" s="8">
        <f t="shared" si="71"/>
        <v>582948.96</v>
      </c>
      <c r="S83" s="363">
        <f t="shared" si="72"/>
        <v>182194.98</v>
      </c>
      <c r="T83" s="363">
        <f t="shared" si="72"/>
        <v>54214.66</v>
      </c>
      <c r="U83" s="363">
        <f t="shared" si="72"/>
        <v>7141.43</v>
      </c>
      <c r="V83" s="363">
        <f t="shared" si="72"/>
        <v>4826.2199999999993</v>
      </c>
      <c r="W83" s="363">
        <f t="shared" si="73"/>
        <v>302375.58</v>
      </c>
      <c r="X83" s="363">
        <f t="shared" si="74"/>
        <v>32196.09</v>
      </c>
      <c r="AI83" s="363"/>
      <c r="AJ83" s="363"/>
      <c r="AK83" s="363"/>
      <c r="AL83" s="363"/>
      <c r="AM83" s="363"/>
      <c r="AN83" s="363"/>
    </row>
    <row r="84" spans="1:40">
      <c r="A84" s="2" t="s">
        <v>86</v>
      </c>
      <c r="B84" s="16">
        <v>51551.88</v>
      </c>
      <c r="C84" s="16">
        <v>9650.580000000009</v>
      </c>
      <c r="D84" s="16">
        <v>2100.8000000000002</v>
      </c>
      <c r="E84" s="16">
        <v>854.29</v>
      </c>
      <c r="F84" s="16">
        <v>74996.100000000006</v>
      </c>
      <c r="G84" s="16">
        <v>1956.42</v>
      </c>
      <c r="H84" s="16">
        <v>1726.03</v>
      </c>
      <c r="I84" s="16">
        <v>0</v>
      </c>
      <c r="J84" s="16">
        <v>4818.21</v>
      </c>
      <c r="K84" s="16">
        <v>978.21</v>
      </c>
      <c r="L84" s="16">
        <v>0</v>
      </c>
      <c r="M84" s="16">
        <v>0</v>
      </c>
      <c r="N84" s="16">
        <v>95.1</v>
      </c>
      <c r="O84" s="16">
        <v>0</v>
      </c>
      <c r="P84" s="16">
        <v>0</v>
      </c>
      <c r="Q84" s="16">
        <v>0</v>
      </c>
      <c r="R84" s="8">
        <f t="shared" si="71"/>
        <v>148727.62000000002</v>
      </c>
      <c r="S84" s="363">
        <f t="shared" si="72"/>
        <v>51551.88</v>
      </c>
      <c r="T84" s="363">
        <f t="shared" si="72"/>
        <v>9650.580000000009</v>
      </c>
      <c r="U84" s="363">
        <f t="shared" si="72"/>
        <v>2100.8000000000002</v>
      </c>
      <c r="V84" s="363">
        <f t="shared" si="72"/>
        <v>854.29</v>
      </c>
      <c r="W84" s="363">
        <f t="shared" si="73"/>
        <v>76952.52</v>
      </c>
      <c r="X84" s="363">
        <f t="shared" si="74"/>
        <v>7617.55</v>
      </c>
      <c r="AI84" s="363"/>
      <c r="AJ84" s="363"/>
      <c r="AK84" s="363"/>
      <c r="AL84" s="363"/>
      <c r="AM84" s="363"/>
      <c r="AN84" s="363"/>
    </row>
    <row r="85" spans="1:40">
      <c r="A85" s="2" t="s">
        <v>87</v>
      </c>
      <c r="B85" s="16">
        <v>101871.08</v>
      </c>
      <c r="C85" s="16">
        <v>16506.299999999988</v>
      </c>
      <c r="D85" s="16">
        <v>4958.93</v>
      </c>
      <c r="E85" s="16">
        <v>2675.1499999999996</v>
      </c>
      <c r="F85" s="16">
        <v>321396.33</v>
      </c>
      <c r="G85" s="16">
        <v>4021.5299999999997</v>
      </c>
      <c r="H85" s="16">
        <v>3643.1400000000003</v>
      </c>
      <c r="I85" s="16">
        <v>2196.9</v>
      </c>
      <c r="J85" s="16">
        <v>8705.8799999999992</v>
      </c>
      <c r="K85" s="16">
        <v>1195.5899999999999</v>
      </c>
      <c r="L85" s="16">
        <v>0</v>
      </c>
      <c r="M85" s="16">
        <v>0</v>
      </c>
      <c r="N85" s="16">
        <v>158.5</v>
      </c>
      <c r="O85" s="16">
        <v>0</v>
      </c>
      <c r="P85" s="16">
        <v>0</v>
      </c>
      <c r="Q85" s="16">
        <v>0</v>
      </c>
      <c r="R85" s="8">
        <f t="shared" si="71"/>
        <v>467329.33000000013</v>
      </c>
      <c r="S85" s="363">
        <f t="shared" si="72"/>
        <v>101871.08</v>
      </c>
      <c r="T85" s="363">
        <f t="shared" si="72"/>
        <v>16506.299999999988</v>
      </c>
      <c r="U85" s="363">
        <f t="shared" si="72"/>
        <v>4958.93</v>
      </c>
      <c r="V85" s="363">
        <f t="shared" si="72"/>
        <v>2675.1499999999996</v>
      </c>
      <c r="W85" s="363">
        <f t="shared" si="73"/>
        <v>325417.86000000004</v>
      </c>
      <c r="X85" s="363">
        <f t="shared" si="74"/>
        <v>15900.01</v>
      </c>
      <c r="AI85" s="363"/>
      <c r="AJ85" s="363"/>
      <c r="AK85" s="363"/>
      <c r="AL85" s="363"/>
      <c r="AM85" s="363"/>
      <c r="AN85" s="363"/>
    </row>
    <row r="86" spans="1:40">
      <c r="A86" s="2" t="s">
        <v>88</v>
      </c>
      <c r="B86" s="16">
        <v>75757.77</v>
      </c>
      <c r="C86" s="16">
        <v>25489.100000000006</v>
      </c>
      <c r="D86" s="16">
        <v>5059.6499999999996</v>
      </c>
      <c r="E86" s="16">
        <v>6314.7500000000018</v>
      </c>
      <c r="F86" s="16">
        <v>212054.19</v>
      </c>
      <c r="G86" s="16">
        <v>4238.91</v>
      </c>
      <c r="H86" s="16">
        <v>7201.03</v>
      </c>
      <c r="I86" s="16">
        <v>389.41</v>
      </c>
      <c r="J86" s="16">
        <v>9428.49</v>
      </c>
      <c r="K86" s="16">
        <v>1412.97</v>
      </c>
      <c r="L86" s="16">
        <v>0</v>
      </c>
      <c r="M86" s="16">
        <v>0</v>
      </c>
      <c r="N86" s="16">
        <v>95.1</v>
      </c>
      <c r="O86" s="16">
        <v>0</v>
      </c>
      <c r="P86" s="16">
        <v>37.42</v>
      </c>
      <c r="Q86" s="16">
        <v>0</v>
      </c>
      <c r="R86" s="8">
        <f t="shared" si="71"/>
        <v>347478.78999999992</v>
      </c>
      <c r="S86" s="363">
        <f t="shared" si="72"/>
        <v>75757.77</v>
      </c>
      <c r="T86" s="363">
        <f t="shared" si="72"/>
        <v>25489.100000000006</v>
      </c>
      <c r="U86" s="363">
        <f t="shared" si="72"/>
        <v>5059.6499999999996</v>
      </c>
      <c r="V86" s="363">
        <f t="shared" si="72"/>
        <v>6314.7500000000018</v>
      </c>
      <c r="W86" s="363">
        <f t="shared" si="73"/>
        <v>216293.1</v>
      </c>
      <c r="X86" s="363">
        <f t="shared" si="74"/>
        <v>18564.419999999998</v>
      </c>
      <c r="AI86" s="363"/>
      <c r="AJ86" s="363"/>
      <c r="AK86" s="363"/>
      <c r="AL86" s="363"/>
      <c r="AM86" s="363"/>
      <c r="AN86" s="363"/>
    </row>
    <row r="87" spans="1:40">
      <c r="A87" s="2" t="s">
        <v>89</v>
      </c>
      <c r="B87" s="16">
        <v>458445.42</v>
      </c>
      <c r="C87" s="16">
        <v>103805.53999999998</v>
      </c>
      <c r="D87" s="16">
        <v>25398.45</v>
      </c>
      <c r="E87" s="16">
        <v>24948.799999999999</v>
      </c>
      <c r="F87" s="16">
        <v>589534.56000000006</v>
      </c>
      <c r="G87" s="16">
        <v>13042.8</v>
      </c>
      <c r="H87" s="16">
        <v>28263.99</v>
      </c>
      <c r="I87" s="16">
        <v>0</v>
      </c>
      <c r="J87" s="16">
        <v>46644.960000000006</v>
      </c>
      <c r="K87" s="16">
        <v>2282.4899999999998</v>
      </c>
      <c r="L87" s="16">
        <v>0</v>
      </c>
      <c r="M87" s="16">
        <v>0</v>
      </c>
      <c r="N87" s="16">
        <v>760.8</v>
      </c>
      <c r="O87" s="16">
        <v>0</v>
      </c>
      <c r="P87" s="16">
        <v>0</v>
      </c>
      <c r="Q87" s="16">
        <v>295.04000000000002</v>
      </c>
      <c r="R87" s="8">
        <f t="shared" si="71"/>
        <v>1293422.8500000001</v>
      </c>
      <c r="S87" s="363">
        <f t="shared" si="72"/>
        <v>458445.42</v>
      </c>
      <c r="T87" s="363">
        <f t="shared" si="72"/>
        <v>103805.53999999998</v>
      </c>
      <c r="U87" s="363">
        <f t="shared" si="72"/>
        <v>25398.45</v>
      </c>
      <c r="V87" s="363">
        <f t="shared" si="72"/>
        <v>24948.799999999999</v>
      </c>
      <c r="W87" s="363">
        <f t="shared" si="73"/>
        <v>602577.3600000001</v>
      </c>
      <c r="X87" s="363">
        <f t="shared" si="74"/>
        <v>78247.280000000013</v>
      </c>
      <c r="AI87" s="363"/>
      <c r="AJ87" s="363"/>
      <c r="AK87" s="363"/>
      <c r="AL87" s="363"/>
      <c r="AM87" s="363"/>
      <c r="AN87" s="363"/>
    </row>
    <row r="88" spans="1:40">
      <c r="A88" s="2" t="s">
        <v>90</v>
      </c>
      <c r="B88" s="16">
        <v>71215.740000000005</v>
      </c>
      <c r="C88" s="16">
        <v>19408.489999999991</v>
      </c>
      <c r="D88" s="16">
        <v>3106.83</v>
      </c>
      <c r="E88" s="16">
        <v>2452.8100000000004</v>
      </c>
      <c r="F88" s="16">
        <v>100103.48</v>
      </c>
      <c r="G88" s="16">
        <v>5651.88</v>
      </c>
      <c r="H88" s="16">
        <v>4002.62</v>
      </c>
      <c r="I88" s="16">
        <v>0</v>
      </c>
      <c r="J88" s="16">
        <v>7815.7300000000005</v>
      </c>
      <c r="K88" s="16">
        <v>543.45000000000005</v>
      </c>
      <c r="L88" s="16">
        <v>0</v>
      </c>
      <c r="M88" s="16">
        <v>0</v>
      </c>
      <c r="N88" s="16">
        <v>158.5</v>
      </c>
      <c r="O88" s="16">
        <v>0</v>
      </c>
      <c r="P88" s="16">
        <v>0</v>
      </c>
      <c r="Q88" s="16">
        <v>0</v>
      </c>
      <c r="R88" s="8">
        <f t="shared" si="71"/>
        <v>214459.53</v>
      </c>
      <c r="S88" s="363">
        <f t="shared" si="72"/>
        <v>71215.740000000005</v>
      </c>
      <c r="T88" s="363">
        <f t="shared" si="72"/>
        <v>19408.489999999991</v>
      </c>
      <c r="U88" s="363">
        <f t="shared" si="72"/>
        <v>3106.83</v>
      </c>
      <c r="V88" s="363">
        <f t="shared" si="72"/>
        <v>2452.8100000000004</v>
      </c>
      <c r="W88" s="363">
        <f t="shared" si="73"/>
        <v>105755.36</v>
      </c>
      <c r="X88" s="363">
        <f t="shared" si="74"/>
        <v>12520.300000000001</v>
      </c>
      <c r="AI88" s="363"/>
      <c r="AJ88" s="363"/>
      <c r="AK88" s="363"/>
      <c r="AL88" s="363"/>
      <c r="AM88" s="363"/>
      <c r="AN88" s="363"/>
    </row>
    <row r="89" spans="1:40">
      <c r="A89" s="2" t="s">
        <v>91</v>
      </c>
      <c r="B89" s="16">
        <v>96178.81</v>
      </c>
      <c r="C89" s="16">
        <v>25087.939999999988</v>
      </c>
      <c r="D89" s="16">
        <v>2474.88</v>
      </c>
      <c r="E89" s="16">
        <v>4062</v>
      </c>
      <c r="F89" s="16">
        <v>97821</v>
      </c>
      <c r="G89" s="16">
        <v>3260.7</v>
      </c>
      <c r="H89" s="16">
        <v>5300.15</v>
      </c>
      <c r="I89" s="16">
        <v>0</v>
      </c>
      <c r="J89" s="16">
        <v>11126.76</v>
      </c>
      <c r="K89" s="16">
        <v>108.69</v>
      </c>
      <c r="L89" s="16">
        <v>0</v>
      </c>
      <c r="M89" s="16">
        <v>0</v>
      </c>
      <c r="N89" s="16">
        <v>221.9</v>
      </c>
      <c r="O89" s="16">
        <v>0</v>
      </c>
      <c r="P89" s="16">
        <v>0</v>
      </c>
      <c r="Q89" s="16">
        <v>0</v>
      </c>
      <c r="R89" s="8">
        <f t="shared" si="71"/>
        <v>245642.83000000002</v>
      </c>
      <c r="S89" s="363">
        <f t="shared" si="72"/>
        <v>96178.81</v>
      </c>
      <c r="T89" s="363">
        <f t="shared" si="72"/>
        <v>25087.939999999988</v>
      </c>
      <c r="U89" s="363">
        <f t="shared" si="72"/>
        <v>2474.88</v>
      </c>
      <c r="V89" s="363">
        <f t="shared" si="72"/>
        <v>4062</v>
      </c>
      <c r="W89" s="363">
        <f t="shared" si="73"/>
        <v>101081.7</v>
      </c>
      <c r="X89" s="363">
        <f t="shared" si="74"/>
        <v>16757.5</v>
      </c>
      <c r="AI89" s="363"/>
      <c r="AJ89" s="363"/>
      <c r="AK89" s="363"/>
      <c r="AL89" s="363"/>
      <c r="AM89" s="363"/>
      <c r="AN89" s="363"/>
    </row>
    <row r="90" spans="1:40">
      <c r="A90" s="2" t="s">
        <v>92</v>
      </c>
      <c r="B90" s="16">
        <v>304487.89</v>
      </c>
      <c r="C90" s="16">
        <v>63672.260000000009</v>
      </c>
      <c r="D90" s="16">
        <v>55343.41</v>
      </c>
      <c r="E90" s="16">
        <v>25968.679999999993</v>
      </c>
      <c r="F90" s="16">
        <v>721266.84</v>
      </c>
      <c r="G90" s="16">
        <v>10869</v>
      </c>
      <c r="H90" s="16">
        <v>18049.46</v>
      </c>
      <c r="I90" s="16">
        <v>3929.71</v>
      </c>
      <c r="J90" s="16">
        <v>33086.14</v>
      </c>
      <c r="K90" s="16">
        <v>2825.94</v>
      </c>
      <c r="L90" s="16">
        <v>434.76</v>
      </c>
      <c r="M90" s="16">
        <v>0</v>
      </c>
      <c r="N90" s="16">
        <v>729.1</v>
      </c>
      <c r="O90" s="16">
        <v>0</v>
      </c>
      <c r="P90" s="16">
        <v>0</v>
      </c>
      <c r="Q90" s="16">
        <v>0</v>
      </c>
      <c r="R90" s="8">
        <f t="shared" si="71"/>
        <v>1240663.19</v>
      </c>
      <c r="S90" s="363">
        <f t="shared" si="72"/>
        <v>304487.89</v>
      </c>
      <c r="T90" s="363">
        <f t="shared" si="72"/>
        <v>63672.260000000009</v>
      </c>
      <c r="U90" s="363">
        <f t="shared" si="72"/>
        <v>55343.41</v>
      </c>
      <c r="V90" s="363">
        <f t="shared" si="72"/>
        <v>25968.679999999993</v>
      </c>
      <c r="W90" s="363">
        <f t="shared" si="73"/>
        <v>732135.84</v>
      </c>
      <c r="X90" s="363">
        <f t="shared" si="74"/>
        <v>59055.11</v>
      </c>
      <c r="AI90" s="363"/>
      <c r="AJ90" s="363"/>
      <c r="AK90" s="363"/>
      <c r="AL90" s="363"/>
      <c r="AM90" s="363"/>
      <c r="AN90" s="363"/>
    </row>
    <row r="91" spans="1:40">
      <c r="A91" s="2" t="s">
        <v>93</v>
      </c>
      <c r="B91" s="16">
        <v>140882.67000000001</v>
      </c>
      <c r="C91" s="16">
        <v>32327.419999999984</v>
      </c>
      <c r="D91" s="16">
        <v>8756.17</v>
      </c>
      <c r="E91" s="16">
        <v>4153.66</v>
      </c>
      <c r="F91" s="16">
        <v>185316.45</v>
      </c>
      <c r="G91" s="16">
        <v>4999.74</v>
      </c>
      <c r="H91" s="16">
        <v>6303.82</v>
      </c>
      <c r="I91" s="16">
        <v>1859.76</v>
      </c>
      <c r="J91" s="16">
        <v>13222.96</v>
      </c>
      <c r="K91" s="16">
        <v>1086.9000000000001</v>
      </c>
      <c r="L91" s="16">
        <v>0</v>
      </c>
      <c r="M91" s="16">
        <v>0</v>
      </c>
      <c r="N91" s="16">
        <v>475.5</v>
      </c>
      <c r="O91" s="16">
        <v>0</v>
      </c>
      <c r="P91" s="16">
        <v>0</v>
      </c>
      <c r="Q91" s="16">
        <v>0</v>
      </c>
      <c r="R91" s="8">
        <f t="shared" si="71"/>
        <v>399385.05000000005</v>
      </c>
      <c r="S91" s="363">
        <f t="shared" si="72"/>
        <v>140882.67000000001</v>
      </c>
      <c r="T91" s="363">
        <f t="shared" si="72"/>
        <v>32327.419999999984</v>
      </c>
      <c r="U91" s="363">
        <f t="shared" si="72"/>
        <v>8756.17</v>
      </c>
      <c r="V91" s="363">
        <f t="shared" si="72"/>
        <v>4153.66</v>
      </c>
      <c r="W91" s="363">
        <f t="shared" si="73"/>
        <v>190316.19</v>
      </c>
      <c r="X91" s="363">
        <f t="shared" si="74"/>
        <v>22948.940000000002</v>
      </c>
      <c r="AI91" s="363"/>
      <c r="AJ91" s="363"/>
      <c r="AK91" s="363"/>
      <c r="AL91" s="363"/>
      <c r="AM91" s="363"/>
      <c r="AN91" s="363"/>
    </row>
    <row r="92" spans="1:40">
      <c r="A92" s="2" t="s">
        <v>94</v>
      </c>
      <c r="B92" s="16">
        <v>32036.35</v>
      </c>
      <c r="C92" s="16">
        <v>3135.3100000000049</v>
      </c>
      <c r="D92" s="16">
        <v>2449.52</v>
      </c>
      <c r="E92" s="16">
        <v>274.27</v>
      </c>
      <c r="F92" s="16">
        <v>56736.18</v>
      </c>
      <c r="G92" s="16">
        <v>4456.29</v>
      </c>
      <c r="H92" s="16">
        <v>665.97</v>
      </c>
      <c r="I92" s="16">
        <v>0</v>
      </c>
      <c r="J92" s="16">
        <v>2114.54</v>
      </c>
      <c r="K92" s="16">
        <v>869.52</v>
      </c>
      <c r="L92" s="16">
        <v>0</v>
      </c>
      <c r="M92" s="16">
        <v>0</v>
      </c>
      <c r="N92" s="16">
        <v>95.1</v>
      </c>
      <c r="O92" s="16">
        <v>0</v>
      </c>
      <c r="P92" s="16">
        <v>26.24</v>
      </c>
      <c r="Q92" s="16">
        <v>262.39</v>
      </c>
      <c r="R92" s="8">
        <f t="shared" si="71"/>
        <v>103121.68000000001</v>
      </c>
      <c r="S92" s="363">
        <f t="shared" si="72"/>
        <v>32036.35</v>
      </c>
      <c r="T92" s="363">
        <f t="shared" si="72"/>
        <v>3135.3100000000049</v>
      </c>
      <c r="U92" s="363">
        <f t="shared" si="72"/>
        <v>2449.52</v>
      </c>
      <c r="V92" s="363">
        <f t="shared" si="72"/>
        <v>274.27</v>
      </c>
      <c r="W92" s="363">
        <f t="shared" si="73"/>
        <v>61192.47</v>
      </c>
      <c r="X92" s="363">
        <f t="shared" si="74"/>
        <v>4033.7599999999998</v>
      </c>
      <c r="AI92" s="363"/>
      <c r="AJ92" s="363"/>
      <c r="AK92" s="363"/>
      <c r="AL92" s="363"/>
      <c r="AM92" s="363"/>
      <c r="AN92" s="363"/>
    </row>
    <row r="93" spans="1:40">
      <c r="A93" s="2" t="s">
        <v>95</v>
      </c>
      <c r="B93" s="16">
        <v>410506.83</v>
      </c>
      <c r="C93" s="16">
        <v>77559.340000000026</v>
      </c>
      <c r="D93" s="16">
        <v>23957.8</v>
      </c>
      <c r="E93" s="16">
        <v>13318.770000000008</v>
      </c>
      <c r="F93" s="16">
        <v>638738.91</v>
      </c>
      <c r="G93" s="16">
        <v>17607.78</v>
      </c>
      <c r="H93" s="16">
        <v>15836</v>
      </c>
      <c r="I93" s="16">
        <v>3345.01</v>
      </c>
      <c r="J93" s="16">
        <v>35574.400000000001</v>
      </c>
      <c r="K93" s="16">
        <v>2282.4899999999998</v>
      </c>
      <c r="L93" s="16">
        <v>0</v>
      </c>
      <c r="M93" s="16">
        <v>0</v>
      </c>
      <c r="N93" s="16">
        <v>1014.4</v>
      </c>
      <c r="O93" s="16">
        <v>0</v>
      </c>
      <c r="P93" s="16">
        <v>0</v>
      </c>
      <c r="Q93" s="16">
        <v>0</v>
      </c>
      <c r="R93" s="8">
        <f t="shared" si="71"/>
        <v>1239741.7299999997</v>
      </c>
      <c r="S93" s="363">
        <f t="shared" si="72"/>
        <v>410506.83</v>
      </c>
      <c r="T93" s="363">
        <f t="shared" si="72"/>
        <v>77559.340000000026</v>
      </c>
      <c r="U93" s="363">
        <f t="shared" si="72"/>
        <v>23957.8</v>
      </c>
      <c r="V93" s="363">
        <f t="shared" si="72"/>
        <v>13318.770000000008</v>
      </c>
      <c r="W93" s="363">
        <f t="shared" si="73"/>
        <v>656346.69000000006</v>
      </c>
      <c r="X93" s="363">
        <f t="shared" si="74"/>
        <v>58052.3</v>
      </c>
      <c r="AI93" s="363"/>
      <c r="AJ93" s="363"/>
      <c r="AK93" s="363"/>
      <c r="AL93" s="363"/>
      <c r="AM93" s="363"/>
      <c r="AN93" s="363"/>
    </row>
    <row r="94" spans="1:40">
      <c r="A94" s="2" t="s">
        <v>96</v>
      </c>
      <c r="B94" s="16">
        <v>96039.21</v>
      </c>
      <c r="C94" s="16">
        <v>11746.989999999991</v>
      </c>
      <c r="D94" s="16">
        <v>1557.64</v>
      </c>
      <c r="E94" s="16">
        <v>2017.34</v>
      </c>
      <c r="F94" s="16">
        <v>89995.32</v>
      </c>
      <c r="G94" s="16">
        <v>4456.29</v>
      </c>
      <c r="H94" s="16">
        <v>2980.86</v>
      </c>
      <c r="I94" s="16">
        <v>6983.49</v>
      </c>
      <c r="J94" s="16">
        <v>5962.23</v>
      </c>
      <c r="K94" s="16">
        <v>108.69</v>
      </c>
      <c r="L94" s="16">
        <v>0</v>
      </c>
      <c r="M94" s="16">
        <v>0</v>
      </c>
      <c r="N94" s="16">
        <v>126.8</v>
      </c>
      <c r="O94" s="16">
        <v>0</v>
      </c>
      <c r="P94" s="16">
        <v>0</v>
      </c>
      <c r="Q94" s="16">
        <v>0</v>
      </c>
      <c r="R94" s="8">
        <f t="shared" si="71"/>
        <v>221974.86</v>
      </c>
      <c r="S94" s="363">
        <f t="shared" si="72"/>
        <v>96039.21</v>
      </c>
      <c r="T94" s="363">
        <f t="shared" si="72"/>
        <v>11746.989999999991</v>
      </c>
      <c r="U94" s="363">
        <f t="shared" si="72"/>
        <v>1557.64</v>
      </c>
      <c r="V94" s="363">
        <f t="shared" si="72"/>
        <v>2017.34</v>
      </c>
      <c r="W94" s="363">
        <f t="shared" si="73"/>
        <v>94451.61</v>
      </c>
      <c r="X94" s="363">
        <f t="shared" si="74"/>
        <v>16162.07</v>
      </c>
      <c r="AI94" s="363"/>
      <c r="AJ94" s="363"/>
      <c r="AK94" s="363"/>
      <c r="AL94" s="363"/>
      <c r="AM94" s="363"/>
      <c r="AN94" s="363"/>
    </row>
    <row r="95" spans="1:40">
      <c r="A95" s="2" t="s">
        <v>97</v>
      </c>
      <c r="B95" s="16">
        <v>505535.98</v>
      </c>
      <c r="C95" s="16">
        <v>99668.630000000121</v>
      </c>
      <c r="D95" s="16">
        <v>33895.26</v>
      </c>
      <c r="E95" s="16">
        <v>19986.71</v>
      </c>
      <c r="F95" s="16">
        <v>887997.3</v>
      </c>
      <c r="G95" s="16">
        <v>13586.25</v>
      </c>
      <c r="H95" s="16">
        <v>24487.360000000004</v>
      </c>
      <c r="I95" s="16">
        <v>5201.63</v>
      </c>
      <c r="J95" s="16">
        <v>41246.229999999996</v>
      </c>
      <c r="K95" s="16">
        <v>4999.74</v>
      </c>
      <c r="L95" s="16">
        <v>0</v>
      </c>
      <c r="M95" s="16">
        <v>706.14</v>
      </c>
      <c r="N95" s="16">
        <v>443.8</v>
      </c>
      <c r="O95" s="16">
        <v>0</v>
      </c>
      <c r="P95" s="16">
        <v>0</v>
      </c>
      <c r="Q95" s="16">
        <v>0</v>
      </c>
      <c r="R95" s="8">
        <f t="shared" si="71"/>
        <v>1637755.03</v>
      </c>
      <c r="S95" s="363">
        <f t="shared" si="72"/>
        <v>505535.98</v>
      </c>
      <c r="T95" s="363">
        <f t="shared" si="72"/>
        <v>99668.630000000121</v>
      </c>
      <c r="U95" s="363">
        <f t="shared" si="72"/>
        <v>33895.26</v>
      </c>
      <c r="V95" s="363">
        <f t="shared" si="72"/>
        <v>19986.71</v>
      </c>
      <c r="W95" s="363">
        <f t="shared" si="73"/>
        <v>901583.55</v>
      </c>
      <c r="X95" s="363">
        <f t="shared" si="74"/>
        <v>77084.900000000009</v>
      </c>
      <c r="AI95" s="363"/>
      <c r="AJ95" s="363"/>
      <c r="AK95" s="363"/>
      <c r="AL95" s="363"/>
      <c r="AM95" s="363"/>
      <c r="AN95" s="363"/>
    </row>
    <row r="96" spans="1:40">
      <c r="A96" s="2" t="s">
        <v>98</v>
      </c>
      <c r="B96" s="16">
        <v>35788.54</v>
      </c>
      <c r="C96" s="16">
        <v>6382.8600000000006</v>
      </c>
      <c r="D96" s="16">
        <v>2927.19</v>
      </c>
      <c r="E96" s="16">
        <v>2709.85</v>
      </c>
      <c r="F96" s="16">
        <v>92386.5</v>
      </c>
      <c r="G96" s="16">
        <v>2173.8000000000002</v>
      </c>
      <c r="H96" s="16">
        <v>1284.72</v>
      </c>
      <c r="I96" s="16">
        <v>0</v>
      </c>
      <c r="J96" s="16">
        <v>3757.6400000000003</v>
      </c>
      <c r="K96" s="16">
        <v>543.45000000000005</v>
      </c>
      <c r="L96" s="16">
        <v>0</v>
      </c>
      <c r="M96" s="16">
        <v>0</v>
      </c>
      <c r="N96" s="16">
        <v>63.4</v>
      </c>
      <c r="O96" s="16">
        <v>0</v>
      </c>
      <c r="P96" s="16">
        <v>0</v>
      </c>
      <c r="Q96" s="16">
        <v>0</v>
      </c>
      <c r="R96" s="8">
        <f t="shared" si="71"/>
        <v>148017.95000000001</v>
      </c>
      <c r="S96" s="363">
        <f t="shared" si="72"/>
        <v>35788.54</v>
      </c>
      <c r="T96" s="363">
        <f t="shared" si="72"/>
        <v>6382.8600000000006</v>
      </c>
      <c r="U96" s="363">
        <f t="shared" si="72"/>
        <v>2927.19</v>
      </c>
      <c r="V96" s="363">
        <f t="shared" si="72"/>
        <v>2709.85</v>
      </c>
      <c r="W96" s="363">
        <f t="shared" si="73"/>
        <v>94560.3</v>
      </c>
      <c r="X96" s="363">
        <f t="shared" si="74"/>
        <v>5649.21</v>
      </c>
      <c r="AI96" s="363"/>
      <c r="AJ96" s="363"/>
      <c r="AK96" s="363"/>
      <c r="AL96" s="363"/>
      <c r="AM96" s="363"/>
      <c r="AN96" s="363"/>
    </row>
    <row r="97" spans="1:40">
      <c r="A97" s="2" t="s">
        <v>99</v>
      </c>
      <c r="B97" s="16">
        <v>3413.25</v>
      </c>
      <c r="C97" s="16">
        <v>240.46000000000004</v>
      </c>
      <c r="D97" s="16">
        <v>147.94</v>
      </c>
      <c r="E97" s="16">
        <v>0</v>
      </c>
      <c r="F97" s="16">
        <v>13586.25</v>
      </c>
      <c r="G97" s="16">
        <v>326.07</v>
      </c>
      <c r="H97" s="16">
        <v>39.980000000000004</v>
      </c>
      <c r="I97" s="16">
        <v>0</v>
      </c>
      <c r="J97" s="16">
        <v>201.08</v>
      </c>
      <c r="K97" s="16">
        <v>217.38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8">
        <f t="shared" si="71"/>
        <v>18172.410000000003</v>
      </c>
      <c r="S97" s="363">
        <f t="shared" si="72"/>
        <v>3413.25</v>
      </c>
      <c r="T97" s="363">
        <f t="shared" si="72"/>
        <v>240.46000000000004</v>
      </c>
      <c r="U97" s="363">
        <f t="shared" si="72"/>
        <v>147.94</v>
      </c>
      <c r="V97" s="363">
        <f t="shared" si="72"/>
        <v>0</v>
      </c>
      <c r="W97" s="363">
        <f t="shared" si="73"/>
        <v>13912.32</v>
      </c>
      <c r="X97" s="363">
        <f t="shared" si="74"/>
        <v>458.44</v>
      </c>
      <c r="AI97" s="363"/>
      <c r="AJ97" s="363"/>
      <c r="AK97" s="363"/>
      <c r="AL97" s="363"/>
      <c r="AM97" s="363"/>
      <c r="AN97" s="363"/>
    </row>
    <row r="98" spans="1:40">
      <c r="A98" s="2" t="s">
        <v>100</v>
      </c>
      <c r="B98" s="16">
        <v>391381.81</v>
      </c>
      <c r="C98" s="16">
        <v>111232.14000000001</v>
      </c>
      <c r="D98" s="16">
        <v>22330.03</v>
      </c>
      <c r="E98" s="16">
        <v>18693.199999999997</v>
      </c>
      <c r="F98" s="16">
        <v>597795</v>
      </c>
      <c r="G98" s="16">
        <v>8043.0599999999995</v>
      </c>
      <c r="H98" s="16">
        <v>23360.28</v>
      </c>
      <c r="I98" s="16">
        <v>2410.9</v>
      </c>
      <c r="J98" s="16">
        <v>38884.589999999997</v>
      </c>
      <c r="K98" s="16">
        <v>2065.11</v>
      </c>
      <c r="L98" s="16">
        <v>0</v>
      </c>
      <c r="M98" s="16">
        <v>0</v>
      </c>
      <c r="N98" s="16">
        <v>760.8</v>
      </c>
      <c r="O98" s="16">
        <v>0</v>
      </c>
      <c r="P98" s="16">
        <v>0</v>
      </c>
      <c r="Q98" s="16">
        <v>0</v>
      </c>
      <c r="R98" s="8">
        <f t="shared" si="71"/>
        <v>1216956.9200000002</v>
      </c>
      <c r="S98" s="363">
        <f t="shared" si="72"/>
        <v>391381.81</v>
      </c>
      <c r="T98" s="363">
        <f t="shared" si="72"/>
        <v>111232.14000000001</v>
      </c>
      <c r="U98" s="363">
        <f t="shared" si="72"/>
        <v>22330.03</v>
      </c>
      <c r="V98" s="363">
        <f t="shared" si="72"/>
        <v>18693.199999999997</v>
      </c>
      <c r="W98" s="363">
        <f t="shared" si="73"/>
        <v>605838.06000000006</v>
      </c>
      <c r="X98" s="363">
        <f t="shared" si="74"/>
        <v>67481.679999999993</v>
      </c>
      <c r="AI98" s="363"/>
      <c r="AJ98" s="363"/>
      <c r="AK98" s="363"/>
      <c r="AL98" s="363"/>
      <c r="AM98" s="363"/>
      <c r="AN98" s="363"/>
    </row>
    <row r="99" spans="1:40">
      <c r="A99" s="2" t="s">
        <v>101</v>
      </c>
      <c r="B99" s="16">
        <v>1491766.35</v>
      </c>
      <c r="C99" s="16">
        <v>349324.43999999971</v>
      </c>
      <c r="D99" s="16">
        <v>68653.649999999994</v>
      </c>
      <c r="E99" s="16">
        <v>59613.130000000005</v>
      </c>
      <c r="F99" s="16">
        <v>3269286.51</v>
      </c>
      <c r="G99" s="16">
        <v>44128.14</v>
      </c>
      <c r="H99" s="16">
        <v>111928.4</v>
      </c>
      <c r="I99" s="16">
        <v>7685.95</v>
      </c>
      <c r="J99" s="16">
        <v>146969.34</v>
      </c>
      <c r="K99" s="16">
        <v>9129.9599999999991</v>
      </c>
      <c r="L99" s="16">
        <v>1304.28</v>
      </c>
      <c r="M99" s="16">
        <v>0</v>
      </c>
      <c r="N99" s="16">
        <v>3455.3</v>
      </c>
      <c r="O99" s="16">
        <v>0</v>
      </c>
      <c r="P99" s="16">
        <v>731.65</v>
      </c>
      <c r="Q99" s="16">
        <v>14346.48</v>
      </c>
      <c r="R99" s="8">
        <f>SUM(B99:Q99)</f>
        <v>5578323.580000001</v>
      </c>
      <c r="S99" s="363">
        <f t="shared" si="72"/>
        <v>1491766.35</v>
      </c>
      <c r="T99" s="363">
        <f t="shared" si="72"/>
        <v>349324.43999999971</v>
      </c>
      <c r="U99" s="363">
        <f t="shared" si="72"/>
        <v>68653.649999999994</v>
      </c>
      <c r="V99" s="363">
        <f t="shared" si="72"/>
        <v>59613.130000000005</v>
      </c>
      <c r="W99" s="363">
        <f t="shared" si="73"/>
        <v>3313414.65</v>
      </c>
      <c r="X99" s="363">
        <f t="shared" si="74"/>
        <v>295551.36000000004</v>
      </c>
      <c r="AI99" s="363"/>
      <c r="AJ99" s="363"/>
      <c r="AK99" s="363"/>
      <c r="AL99" s="363"/>
      <c r="AM99" s="363"/>
      <c r="AN99" s="363"/>
    </row>
    <row r="100" spans="1:40">
      <c r="A100" s="2" t="s">
        <v>102</v>
      </c>
      <c r="B100" s="16">
        <v>46883.11</v>
      </c>
      <c r="C100" s="16">
        <v>9465.18</v>
      </c>
      <c r="D100" s="16">
        <v>2248.75</v>
      </c>
      <c r="E100" s="16">
        <v>127.17999999999984</v>
      </c>
      <c r="F100" s="16">
        <v>70757.19</v>
      </c>
      <c r="G100" s="16">
        <v>3586.77</v>
      </c>
      <c r="H100" s="16">
        <v>1869.31</v>
      </c>
      <c r="I100" s="16">
        <v>634.04</v>
      </c>
      <c r="J100" s="16">
        <v>4531.1400000000003</v>
      </c>
      <c r="K100" s="16">
        <v>108.69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8">
        <f t="shared" si="71"/>
        <v>140211.36000000002</v>
      </c>
      <c r="S100" s="363">
        <f t="shared" si="72"/>
        <v>46883.11</v>
      </c>
      <c r="T100" s="363">
        <f t="shared" si="72"/>
        <v>9465.18</v>
      </c>
      <c r="U100" s="363">
        <f t="shared" si="72"/>
        <v>2248.75</v>
      </c>
      <c r="V100" s="363">
        <f t="shared" si="72"/>
        <v>127.17999999999984</v>
      </c>
      <c r="W100" s="363">
        <f t="shared" si="73"/>
        <v>74343.960000000006</v>
      </c>
      <c r="X100" s="363">
        <f t="shared" si="74"/>
        <v>7143.1799999999994</v>
      </c>
      <c r="AI100" s="363"/>
      <c r="AJ100" s="363"/>
      <c r="AK100" s="363"/>
      <c r="AL100" s="363"/>
      <c r="AM100" s="363"/>
      <c r="AN100" s="363"/>
    </row>
    <row r="101" spans="1:40">
      <c r="A101" s="2" t="s">
        <v>103</v>
      </c>
      <c r="B101" s="16">
        <v>21836.47</v>
      </c>
      <c r="C101" s="16">
        <v>4898.5499999999993</v>
      </c>
      <c r="D101" s="16">
        <v>1847.19</v>
      </c>
      <c r="E101" s="16">
        <v>905.82000000000016</v>
      </c>
      <c r="F101" s="16">
        <v>42606.48</v>
      </c>
      <c r="G101" s="16">
        <v>1195.5900000000001</v>
      </c>
      <c r="H101" s="16">
        <v>813.03</v>
      </c>
      <c r="I101" s="16">
        <v>0</v>
      </c>
      <c r="J101" s="16">
        <v>2335.8599999999997</v>
      </c>
      <c r="K101" s="16">
        <v>108.69</v>
      </c>
      <c r="L101" s="16">
        <v>0</v>
      </c>
      <c r="M101" s="16">
        <v>0</v>
      </c>
      <c r="N101" s="16">
        <v>63.4</v>
      </c>
      <c r="O101" s="16">
        <v>0</v>
      </c>
      <c r="P101" s="16">
        <v>0</v>
      </c>
      <c r="Q101" s="16">
        <v>0</v>
      </c>
      <c r="R101" s="8">
        <f t="shared" si="71"/>
        <v>76611.08</v>
      </c>
      <c r="S101" s="363">
        <f t="shared" si="72"/>
        <v>21836.47</v>
      </c>
      <c r="T101" s="363">
        <f t="shared" si="72"/>
        <v>4898.5499999999993</v>
      </c>
      <c r="U101" s="363">
        <f t="shared" si="72"/>
        <v>1847.19</v>
      </c>
      <c r="V101" s="363">
        <f t="shared" si="72"/>
        <v>905.82000000000016</v>
      </c>
      <c r="W101" s="363">
        <f t="shared" si="73"/>
        <v>43802.070000000007</v>
      </c>
      <c r="X101" s="363">
        <f t="shared" si="74"/>
        <v>3320.9799999999996</v>
      </c>
      <c r="AI101" s="363"/>
      <c r="AJ101" s="363"/>
      <c r="AK101" s="363"/>
      <c r="AL101" s="363"/>
      <c r="AM101" s="363"/>
      <c r="AN101" s="363"/>
    </row>
    <row r="102" spans="1:40">
      <c r="A102" s="6" t="s">
        <v>37</v>
      </c>
      <c r="B102" s="5">
        <f t="shared" ref="B102:X102" si="75">SUM(B75:B101)</f>
        <v>5332887.26</v>
      </c>
      <c r="C102" s="5">
        <f t="shared" si="75"/>
        <v>1212241.77</v>
      </c>
      <c r="D102" s="5">
        <f t="shared" si="75"/>
        <v>307286.05000000005</v>
      </c>
      <c r="E102" s="5">
        <f t="shared" si="75"/>
        <v>216643.60000000003</v>
      </c>
      <c r="F102" s="5">
        <f t="shared" si="75"/>
        <v>9297201.6799999997</v>
      </c>
      <c r="G102" s="5">
        <f t="shared" si="75"/>
        <v>190750.95</v>
      </c>
      <c r="H102" s="5">
        <f t="shared" si="75"/>
        <v>307050.43</v>
      </c>
      <c r="I102" s="5">
        <f t="shared" si="75"/>
        <v>40074.400000000001</v>
      </c>
      <c r="J102" s="5">
        <f t="shared" si="75"/>
        <v>513881.04000000004</v>
      </c>
      <c r="K102" s="5">
        <f t="shared" si="75"/>
        <v>37606.740000000005</v>
      </c>
      <c r="L102" s="5">
        <f t="shared" si="75"/>
        <v>2608.56</v>
      </c>
      <c r="M102" s="5">
        <f t="shared" si="75"/>
        <v>3962.0499999999997</v>
      </c>
      <c r="N102" s="5">
        <f t="shared" si="75"/>
        <v>10334.199999999999</v>
      </c>
      <c r="O102" s="5">
        <f t="shared" si="75"/>
        <v>0</v>
      </c>
      <c r="P102" s="5">
        <f t="shared" si="75"/>
        <v>814.31999999999994</v>
      </c>
      <c r="Q102" s="5">
        <f t="shared" si="75"/>
        <v>16070.32</v>
      </c>
      <c r="R102" s="5">
        <f t="shared" si="75"/>
        <v>17489413.369999997</v>
      </c>
      <c r="S102" s="363">
        <f t="shared" si="75"/>
        <v>5332887.26</v>
      </c>
      <c r="T102" s="363">
        <f t="shared" si="75"/>
        <v>1212241.77</v>
      </c>
      <c r="U102" s="363">
        <f t="shared" si="75"/>
        <v>307286.05000000005</v>
      </c>
      <c r="V102" s="363">
        <f t="shared" si="75"/>
        <v>216643.60000000003</v>
      </c>
      <c r="W102" s="363">
        <f t="shared" si="75"/>
        <v>9487952.6300000027</v>
      </c>
      <c r="X102" s="363">
        <f t="shared" si="75"/>
        <v>932402.05999999994</v>
      </c>
      <c r="AI102" s="363"/>
      <c r="AJ102" s="363"/>
      <c r="AK102" s="363"/>
      <c r="AL102" s="363"/>
      <c r="AM102" s="363"/>
      <c r="AN102" s="363"/>
    </row>
    <row r="103" spans="1:40">
      <c r="R103" s="363"/>
    </row>
    <row r="104" spans="1:40">
      <c r="R104" s="363"/>
    </row>
    <row r="105" spans="1:40">
      <c r="R105" s="363"/>
    </row>
  </sheetData>
  <mergeCells count="48">
    <mergeCell ref="O38:O39"/>
    <mergeCell ref="O73:O74"/>
    <mergeCell ref="R73:R74"/>
    <mergeCell ref="R3:R4"/>
    <mergeCell ref="A37:R37"/>
    <mergeCell ref="P38:Q38"/>
    <mergeCell ref="R38:R39"/>
    <mergeCell ref="A72:R72"/>
    <mergeCell ref="A73:A74"/>
    <mergeCell ref="B73:C73"/>
    <mergeCell ref="H73:H74"/>
    <mergeCell ref="I73:I74"/>
    <mergeCell ref="D73:E73"/>
    <mergeCell ref="P73:Q73"/>
    <mergeCell ref="A38:A39"/>
    <mergeCell ref="B38:C38"/>
    <mergeCell ref="D38:E38"/>
    <mergeCell ref="F38:F39"/>
    <mergeCell ref="N73:N74"/>
    <mergeCell ref="L3:L4"/>
    <mergeCell ref="M3:M4"/>
    <mergeCell ref="N3:N4"/>
    <mergeCell ref="M38:M39"/>
    <mergeCell ref="N38:N39"/>
    <mergeCell ref="L38:L39"/>
    <mergeCell ref="F73:F74"/>
    <mergeCell ref="G73:G74"/>
    <mergeCell ref="M73:M74"/>
    <mergeCell ref="H38:H39"/>
    <mergeCell ref="J73:J74"/>
    <mergeCell ref="K73:K74"/>
    <mergeCell ref="L73:L74"/>
    <mergeCell ref="G38:G39"/>
    <mergeCell ref="I38:I39"/>
    <mergeCell ref="J38:J39"/>
    <mergeCell ref="K38:K39"/>
    <mergeCell ref="A2:R2"/>
    <mergeCell ref="P3:Q3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O3:O4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pageSetUpPr fitToPage="1"/>
  </sheetPr>
  <dimension ref="A2:AN105"/>
  <sheetViews>
    <sheetView topLeftCell="J1" zoomScale="70" zoomScaleNormal="70" workbookViewId="0">
      <selection activeCell="EF33" sqref="EF33"/>
    </sheetView>
  </sheetViews>
  <sheetFormatPr defaultRowHeight="15"/>
  <cols>
    <col min="1" max="1" width="20.85546875" style="370" customWidth="1"/>
    <col min="2" max="12" width="20.85546875" style="357" customWidth="1"/>
    <col min="13" max="13" width="12.7109375" style="357" customWidth="1"/>
    <col min="14" max="14" width="18.42578125" style="357" customWidth="1"/>
    <col min="15" max="18" width="20.85546875" style="357" customWidth="1"/>
    <col min="19" max="24" width="15.5703125" style="357" customWidth="1"/>
    <col min="25" max="16384" width="9.140625" style="357"/>
  </cols>
  <sheetData>
    <row r="2" spans="1:40" ht="46.5">
      <c r="A2" s="837" t="s">
        <v>67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9"/>
    </row>
    <row r="3" spans="1:40" s="372" customFormat="1" ht="35.1" customHeight="1">
      <c r="A3" s="835" t="s">
        <v>33</v>
      </c>
      <c r="B3" s="833" t="s">
        <v>27</v>
      </c>
      <c r="C3" s="834"/>
      <c r="D3" s="833" t="s">
        <v>29</v>
      </c>
      <c r="E3" s="834"/>
      <c r="F3" s="835" t="s">
        <v>28</v>
      </c>
      <c r="G3" s="835" t="s">
        <v>36</v>
      </c>
      <c r="H3" s="835" t="s">
        <v>30</v>
      </c>
      <c r="I3" s="835" t="s">
        <v>31</v>
      </c>
      <c r="J3" s="835" t="s">
        <v>41</v>
      </c>
      <c r="K3" s="835" t="s">
        <v>35</v>
      </c>
      <c r="L3" s="835" t="s">
        <v>40</v>
      </c>
      <c r="M3" s="835" t="s">
        <v>42</v>
      </c>
      <c r="N3" s="835" t="s">
        <v>45</v>
      </c>
      <c r="O3" s="835" t="s">
        <v>279</v>
      </c>
      <c r="P3" s="833" t="s">
        <v>52</v>
      </c>
      <c r="Q3" s="834"/>
      <c r="R3" s="835" t="s">
        <v>34</v>
      </c>
    </row>
    <row r="4" spans="1:40" s="372" customFormat="1" ht="35.1" customHeight="1">
      <c r="A4" s="836"/>
      <c r="B4" s="361" t="s">
        <v>43</v>
      </c>
      <c r="C4" s="361" t="s">
        <v>44</v>
      </c>
      <c r="D4" s="361" t="s">
        <v>43</v>
      </c>
      <c r="E4" s="361" t="s">
        <v>44</v>
      </c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362" t="s">
        <v>50</v>
      </c>
      <c r="Q4" s="362" t="s">
        <v>51</v>
      </c>
      <c r="R4" s="836"/>
      <c r="S4" s="372" t="s">
        <v>173</v>
      </c>
      <c r="T4" s="372" t="s">
        <v>291</v>
      </c>
      <c r="U4" s="372" t="s">
        <v>174</v>
      </c>
      <c r="V4" s="372" t="s">
        <v>292</v>
      </c>
      <c r="W4" s="372" t="s">
        <v>28</v>
      </c>
      <c r="X4" s="372" t="s">
        <v>175</v>
      </c>
      <c r="Y4" s="726"/>
    </row>
    <row r="5" spans="1:40">
      <c r="A5" s="2" t="s">
        <v>77</v>
      </c>
      <c r="B5" s="16">
        <f t="shared" ref="B5:Q5" si="0">B75*0.8</f>
        <v>11541.864000000001</v>
      </c>
      <c r="C5" s="16">
        <f t="shared" si="0"/>
        <v>6857.3840000000018</v>
      </c>
      <c r="D5" s="16">
        <f t="shared" si="0"/>
        <v>3046.7840000000001</v>
      </c>
      <c r="E5" s="16">
        <f t="shared" si="0"/>
        <v>544.46400000000028</v>
      </c>
      <c r="F5" s="16">
        <f t="shared" si="0"/>
        <v>22868.376000000004</v>
      </c>
      <c r="G5" s="16">
        <f t="shared" si="0"/>
        <v>1652.0879999999997</v>
      </c>
      <c r="H5" s="16">
        <f t="shared" si="0"/>
        <v>1287.8800000000001</v>
      </c>
      <c r="I5" s="16">
        <f t="shared" si="0"/>
        <v>0</v>
      </c>
      <c r="J5" s="16">
        <f t="shared" si="0"/>
        <v>2870.3280000000004</v>
      </c>
      <c r="K5" s="16">
        <f t="shared" si="0"/>
        <v>695.61599999999999</v>
      </c>
      <c r="L5" s="16">
        <f t="shared" si="0"/>
        <v>0</v>
      </c>
      <c r="M5" s="16">
        <f t="shared" si="0"/>
        <v>0</v>
      </c>
      <c r="N5" s="16">
        <f t="shared" si="0"/>
        <v>76.08</v>
      </c>
      <c r="O5" s="16">
        <f t="shared" si="0"/>
        <v>0</v>
      </c>
      <c r="P5" s="16">
        <f t="shared" si="0"/>
        <v>0</v>
      </c>
      <c r="Q5" s="16">
        <f t="shared" si="0"/>
        <v>0</v>
      </c>
      <c r="R5" s="8">
        <f t="shared" ref="R5:R31" si="1">SUM(B5:Q5)</f>
        <v>51440.864000000009</v>
      </c>
      <c r="S5" s="363">
        <f>B5</f>
        <v>11541.864000000001</v>
      </c>
      <c r="T5" s="363">
        <f>C5</f>
        <v>6857.3840000000018</v>
      </c>
      <c r="U5" s="363">
        <f>D5</f>
        <v>3046.7840000000001</v>
      </c>
      <c r="V5" s="363">
        <f>E5</f>
        <v>544.46400000000028</v>
      </c>
      <c r="W5" s="363">
        <f>F5+G5</f>
        <v>24520.464000000004</v>
      </c>
      <c r="X5" s="363">
        <f>SUM(H5:Q5)</f>
        <v>4929.9040000000005</v>
      </c>
      <c r="Y5" s="363"/>
      <c r="AI5" s="363"/>
      <c r="AJ5" s="363"/>
      <c r="AK5" s="363"/>
      <c r="AL5" s="363"/>
      <c r="AM5" s="363"/>
      <c r="AN5" s="363"/>
    </row>
    <row r="6" spans="1:40">
      <c r="A6" s="2" t="s">
        <v>78</v>
      </c>
      <c r="B6" s="16">
        <f t="shared" ref="B6:Q6" si="2">B76*0.8</f>
        <v>17943.328000000001</v>
      </c>
      <c r="C6" s="16">
        <f t="shared" si="2"/>
        <v>11295.136000000002</v>
      </c>
      <c r="D6" s="16">
        <f t="shared" si="2"/>
        <v>3873.152</v>
      </c>
      <c r="E6" s="16">
        <f t="shared" si="2"/>
        <v>1213.8560000000004</v>
      </c>
      <c r="F6" s="16">
        <f t="shared" si="2"/>
        <v>73561.392000000007</v>
      </c>
      <c r="G6" s="16">
        <f t="shared" si="2"/>
        <v>2608.5600000000004</v>
      </c>
      <c r="H6" s="16">
        <f t="shared" si="2"/>
        <v>3605.16</v>
      </c>
      <c r="I6" s="16">
        <f t="shared" si="2"/>
        <v>0</v>
      </c>
      <c r="J6" s="16">
        <f t="shared" si="2"/>
        <v>5076.8879999999999</v>
      </c>
      <c r="K6" s="16">
        <f t="shared" si="2"/>
        <v>521.71199999999999</v>
      </c>
      <c r="L6" s="16">
        <f t="shared" si="2"/>
        <v>0</v>
      </c>
      <c r="M6" s="16">
        <f t="shared" si="2"/>
        <v>0</v>
      </c>
      <c r="N6" s="16">
        <f t="shared" si="2"/>
        <v>25.36</v>
      </c>
      <c r="O6" s="16">
        <f t="shared" si="2"/>
        <v>0</v>
      </c>
      <c r="P6" s="16">
        <f t="shared" si="2"/>
        <v>0</v>
      </c>
      <c r="Q6" s="16">
        <f t="shared" si="2"/>
        <v>0</v>
      </c>
      <c r="R6" s="8">
        <f t="shared" si="1"/>
        <v>119724.54400000001</v>
      </c>
      <c r="S6" s="363">
        <f t="shared" ref="S6:V31" si="3">B6</f>
        <v>17943.328000000001</v>
      </c>
      <c r="T6" s="363">
        <f t="shared" si="3"/>
        <v>11295.136000000002</v>
      </c>
      <c r="U6" s="363">
        <f t="shared" si="3"/>
        <v>3873.152</v>
      </c>
      <c r="V6" s="363">
        <f t="shared" si="3"/>
        <v>1213.8560000000004</v>
      </c>
      <c r="W6" s="363">
        <f t="shared" ref="W6:W31" si="4">F6+G6</f>
        <v>76169.952000000005</v>
      </c>
      <c r="X6" s="363">
        <f t="shared" ref="X6:X31" si="5">SUM(H6:Q6)</f>
        <v>9229.119999999999</v>
      </c>
      <c r="Y6" s="363"/>
      <c r="AI6" s="363"/>
      <c r="AJ6" s="363"/>
      <c r="AK6" s="363"/>
      <c r="AL6" s="363"/>
      <c r="AM6" s="363"/>
      <c r="AN6" s="363"/>
    </row>
    <row r="7" spans="1:40">
      <c r="A7" s="2" t="s">
        <v>79</v>
      </c>
      <c r="B7" s="16">
        <f t="shared" ref="B7:Q7" si="6">B77*0.8</f>
        <v>9724.9040000000005</v>
      </c>
      <c r="C7" s="16">
        <f t="shared" si="6"/>
        <v>4433.9440000000022</v>
      </c>
      <c r="D7" s="16">
        <f t="shared" si="6"/>
        <v>2217.7440000000001</v>
      </c>
      <c r="E7" s="16">
        <f t="shared" si="6"/>
        <v>0</v>
      </c>
      <c r="F7" s="16">
        <f t="shared" si="6"/>
        <v>31980.944000000003</v>
      </c>
      <c r="G7" s="16">
        <f t="shared" si="6"/>
        <v>3912.84</v>
      </c>
      <c r="H7" s="16">
        <f t="shared" si="6"/>
        <v>848.16799999999989</v>
      </c>
      <c r="I7" s="16">
        <f t="shared" si="6"/>
        <v>0</v>
      </c>
      <c r="J7" s="16">
        <f t="shared" si="6"/>
        <v>2260.64</v>
      </c>
      <c r="K7" s="16">
        <f t="shared" si="6"/>
        <v>695.61599999999999</v>
      </c>
      <c r="L7" s="16">
        <f t="shared" si="6"/>
        <v>0</v>
      </c>
      <c r="M7" s="16">
        <f t="shared" si="6"/>
        <v>0</v>
      </c>
      <c r="N7" s="16">
        <f t="shared" si="6"/>
        <v>0</v>
      </c>
      <c r="O7" s="16">
        <f t="shared" si="6"/>
        <v>0</v>
      </c>
      <c r="P7" s="16">
        <f t="shared" si="6"/>
        <v>0</v>
      </c>
      <c r="Q7" s="16">
        <f t="shared" si="6"/>
        <v>0</v>
      </c>
      <c r="R7" s="8">
        <f t="shared" si="1"/>
        <v>56074.8</v>
      </c>
      <c r="S7" s="363">
        <f t="shared" si="3"/>
        <v>9724.9040000000005</v>
      </c>
      <c r="T7" s="363">
        <f t="shared" si="3"/>
        <v>4433.9440000000022</v>
      </c>
      <c r="U7" s="363">
        <f t="shared" si="3"/>
        <v>2217.7440000000001</v>
      </c>
      <c r="V7" s="363">
        <f t="shared" si="3"/>
        <v>0</v>
      </c>
      <c r="W7" s="363">
        <f t="shared" si="4"/>
        <v>35893.784</v>
      </c>
      <c r="X7" s="363">
        <f t="shared" si="5"/>
        <v>3804.424</v>
      </c>
      <c r="Y7" s="363"/>
      <c r="AI7" s="363"/>
      <c r="AJ7" s="363"/>
      <c r="AK7" s="363"/>
      <c r="AL7" s="363"/>
      <c r="AM7" s="363"/>
      <c r="AN7" s="363"/>
    </row>
    <row r="8" spans="1:40">
      <c r="A8" s="2" t="s">
        <v>80</v>
      </c>
      <c r="B8" s="16">
        <f t="shared" ref="B8:O8" si="7">B78*0.8</f>
        <v>20361.832000000002</v>
      </c>
      <c r="C8" s="16">
        <f t="shared" si="7"/>
        <v>8534.3520000000026</v>
      </c>
      <c r="D8" s="16">
        <f t="shared" si="7"/>
        <v>3873.9920000000002</v>
      </c>
      <c r="E8" s="16">
        <f t="shared" si="7"/>
        <v>657.03200000000072</v>
      </c>
      <c r="F8" s="16">
        <f t="shared" si="7"/>
        <v>70691.97600000001</v>
      </c>
      <c r="G8" s="16">
        <f t="shared" si="7"/>
        <v>2086.848</v>
      </c>
      <c r="H8" s="16">
        <f t="shared" si="7"/>
        <v>1882.0400000000002</v>
      </c>
      <c r="I8" s="16">
        <f t="shared" si="7"/>
        <v>0</v>
      </c>
      <c r="J8" s="16">
        <f t="shared" si="7"/>
        <v>4401.4720000000007</v>
      </c>
      <c r="K8" s="16">
        <f t="shared" si="7"/>
        <v>347.80799999999999</v>
      </c>
      <c r="L8" s="16">
        <f t="shared" si="7"/>
        <v>173.904</v>
      </c>
      <c r="M8" s="16">
        <f t="shared" si="7"/>
        <v>609.51200000000006</v>
      </c>
      <c r="N8" s="16">
        <f t="shared" si="7"/>
        <v>50.72</v>
      </c>
      <c r="O8" s="16">
        <f t="shared" si="7"/>
        <v>0</v>
      </c>
      <c r="P8" s="16">
        <f>P78</f>
        <v>0</v>
      </c>
      <c r="Q8" s="16">
        <f>Q78</f>
        <v>0</v>
      </c>
      <c r="R8" s="8">
        <f t="shared" si="1"/>
        <v>113671.488</v>
      </c>
      <c r="S8" s="363">
        <f t="shared" si="3"/>
        <v>20361.832000000002</v>
      </c>
      <c r="T8" s="363">
        <f t="shared" si="3"/>
        <v>8534.3520000000026</v>
      </c>
      <c r="U8" s="363">
        <f t="shared" si="3"/>
        <v>3873.9920000000002</v>
      </c>
      <c r="V8" s="363">
        <f t="shared" si="3"/>
        <v>657.03200000000072</v>
      </c>
      <c r="W8" s="363">
        <f t="shared" si="4"/>
        <v>72778.824000000008</v>
      </c>
      <c r="X8" s="363">
        <f t="shared" si="5"/>
        <v>7465.4560000000001</v>
      </c>
      <c r="Y8" s="363"/>
      <c r="AI8" s="363"/>
      <c r="AJ8" s="363"/>
      <c r="AK8" s="363"/>
      <c r="AL8" s="363"/>
      <c r="AM8" s="363"/>
      <c r="AN8" s="363"/>
    </row>
    <row r="9" spans="1:40">
      <c r="A9" s="2" t="s">
        <v>81</v>
      </c>
      <c r="B9" s="16">
        <f t="shared" ref="B9:O9" si="8">B79*0.8</f>
        <v>66028.335999999996</v>
      </c>
      <c r="C9" s="16">
        <f t="shared" si="8"/>
        <v>27897.864000000001</v>
      </c>
      <c r="D9" s="16">
        <f t="shared" si="8"/>
        <v>21264.944000000003</v>
      </c>
      <c r="E9" s="16">
        <f t="shared" si="8"/>
        <v>5403.4640000000018</v>
      </c>
      <c r="F9" s="16">
        <f t="shared" si="8"/>
        <v>225553.48800000001</v>
      </c>
      <c r="G9" s="16">
        <f t="shared" si="8"/>
        <v>7738.7280000000001</v>
      </c>
      <c r="H9" s="16">
        <f t="shared" si="8"/>
        <v>7310.4000000000005</v>
      </c>
      <c r="I9" s="16">
        <f t="shared" si="8"/>
        <v>0</v>
      </c>
      <c r="J9" s="16">
        <f t="shared" si="8"/>
        <v>15232.912</v>
      </c>
      <c r="K9" s="16">
        <f t="shared" si="8"/>
        <v>1304.28</v>
      </c>
      <c r="L9" s="16">
        <f t="shared" si="8"/>
        <v>347.80799999999999</v>
      </c>
      <c r="M9" s="16">
        <f t="shared" si="8"/>
        <v>507.23199999999997</v>
      </c>
      <c r="N9" s="16">
        <f t="shared" si="8"/>
        <v>329.68000000000006</v>
      </c>
      <c r="O9" s="16">
        <f t="shared" si="8"/>
        <v>0</v>
      </c>
      <c r="P9" s="16">
        <f t="shared" ref="P9:Q21" si="9">P79*0.8</f>
        <v>0</v>
      </c>
      <c r="Q9" s="16">
        <f t="shared" si="9"/>
        <v>0</v>
      </c>
      <c r="R9" s="8">
        <f t="shared" si="1"/>
        <v>378919.13600000012</v>
      </c>
      <c r="S9" s="363">
        <f t="shared" si="3"/>
        <v>66028.335999999996</v>
      </c>
      <c r="T9" s="363">
        <f t="shared" si="3"/>
        <v>27897.864000000001</v>
      </c>
      <c r="U9" s="363">
        <f t="shared" si="3"/>
        <v>21264.944000000003</v>
      </c>
      <c r="V9" s="363">
        <f t="shared" si="3"/>
        <v>5403.4640000000018</v>
      </c>
      <c r="W9" s="363">
        <f t="shared" si="4"/>
        <v>233292.21600000001</v>
      </c>
      <c r="X9" s="363">
        <f t="shared" si="5"/>
        <v>25032.312000000002</v>
      </c>
      <c r="Y9" s="363"/>
      <c r="AI9" s="363"/>
      <c r="AJ9" s="363"/>
      <c r="AK9" s="363"/>
      <c r="AL9" s="363"/>
      <c r="AM9" s="363"/>
      <c r="AN9" s="363"/>
    </row>
    <row r="10" spans="1:40">
      <c r="A10" s="2" t="s">
        <v>82</v>
      </c>
      <c r="B10" s="16">
        <f t="shared" ref="B10:O10" si="10">B80*0.8</f>
        <v>64609.376000000004</v>
      </c>
      <c r="C10" s="16">
        <f t="shared" si="10"/>
        <v>41165.815999999992</v>
      </c>
      <c r="D10" s="16">
        <f t="shared" si="10"/>
        <v>12949.304</v>
      </c>
      <c r="E10" s="16">
        <f t="shared" si="10"/>
        <v>4652.2000000000016</v>
      </c>
      <c r="F10" s="16">
        <f t="shared" si="10"/>
        <v>142862.13600000003</v>
      </c>
      <c r="G10" s="16">
        <f t="shared" si="10"/>
        <v>3478.0800000000004</v>
      </c>
      <c r="H10" s="16">
        <f t="shared" si="10"/>
        <v>8934.0160000000014</v>
      </c>
      <c r="I10" s="16">
        <f t="shared" si="10"/>
        <v>1565.1360000000002</v>
      </c>
      <c r="J10" s="16">
        <f t="shared" si="10"/>
        <v>17876.408000000003</v>
      </c>
      <c r="K10" s="16">
        <f t="shared" si="10"/>
        <v>869.5200000000001</v>
      </c>
      <c r="L10" s="16">
        <f t="shared" si="10"/>
        <v>0</v>
      </c>
      <c r="M10" s="16">
        <f t="shared" si="10"/>
        <v>355.06400000000002</v>
      </c>
      <c r="N10" s="16">
        <f t="shared" si="10"/>
        <v>101.44</v>
      </c>
      <c r="O10" s="16">
        <f t="shared" si="10"/>
        <v>0</v>
      </c>
      <c r="P10" s="16">
        <f t="shared" si="9"/>
        <v>57.672000000000004</v>
      </c>
      <c r="Q10" s="16">
        <f t="shared" si="9"/>
        <v>2212.6240000000003</v>
      </c>
      <c r="R10" s="8">
        <f t="shared" si="1"/>
        <v>301688.79200000013</v>
      </c>
      <c r="S10" s="363">
        <f t="shared" si="3"/>
        <v>64609.376000000004</v>
      </c>
      <c r="T10" s="363">
        <f t="shared" si="3"/>
        <v>41165.815999999992</v>
      </c>
      <c r="U10" s="363">
        <f t="shared" si="3"/>
        <v>12949.304</v>
      </c>
      <c r="V10" s="363">
        <f t="shared" si="3"/>
        <v>4652.2000000000016</v>
      </c>
      <c r="W10" s="363">
        <f t="shared" si="4"/>
        <v>146340.21600000001</v>
      </c>
      <c r="X10" s="363">
        <f t="shared" si="5"/>
        <v>31971.88</v>
      </c>
      <c r="Y10" s="363"/>
      <c r="AI10" s="363"/>
      <c r="AJ10" s="363"/>
      <c r="AK10" s="363"/>
      <c r="AL10" s="363"/>
      <c r="AM10" s="363"/>
      <c r="AN10" s="363"/>
    </row>
    <row r="11" spans="1:40">
      <c r="A11" s="2" t="s">
        <v>83</v>
      </c>
      <c r="B11" s="16">
        <f t="shared" ref="B11:O11" si="11">B81*0.8</f>
        <v>114199.80800000002</v>
      </c>
      <c r="C11" s="16">
        <f t="shared" si="11"/>
        <v>57915.767999999996</v>
      </c>
      <c r="D11" s="16">
        <f t="shared" si="11"/>
        <v>22826.896000000001</v>
      </c>
      <c r="E11" s="16">
        <f t="shared" si="11"/>
        <v>4580.0959999999995</v>
      </c>
      <c r="F11" s="16">
        <f t="shared" si="11"/>
        <v>134688.64800000002</v>
      </c>
      <c r="G11" s="16">
        <f t="shared" si="11"/>
        <v>6260.5440000000008</v>
      </c>
      <c r="H11" s="16">
        <f t="shared" si="11"/>
        <v>12766.328</v>
      </c>
      <c r="I11" s="16">
        <f t="shared" si="11"/>
        <v>235.08000000000004</v>
      </c>
      <c r="J11" s="16">
        <f t="shared" si="11"/>
        <v>29154.984000000004</v>
      </c>
      <c r="K11" s="16">
        <f t="shared" si="11"/>
        <v>608.6640000000001</v>
      </c>
      <c r="L11" s="16">
        <f t="shared" si="11"/>
        <v>173.904</v>
      </c>
      <c r="M11" s="16">
        <f t="shared" si="11"/>
        <v>0</v>
      </c>
      <c r="N11" s="16">
        <f t="shared" si="11"/>
        <v>557.91999999999996</v>
      </c>
      <c r="O11" s="16">
        <f t="shared" si="11"/>
        <v>0</v>
      </c>
      <c r="P11" s="16">
        <f t="shared" si="9"/>
        <v>0</v>
      </c>
      <c r="Q11" s="16">
        <f t="shared" si="9"/>
        <v>0</v>
      </c>
      <c r="R11" s="8">
        <f t="shared" si="1"/>
        <v>383968.63999999996</v>
      </c>
      <c r="S11" s="363">
        <f t="shared" si="3"/>
        <v>114199.80800000002</v>
      </c>
      <c r="T11" s="363">
        <f t="shared" si="3"/>
        <v>57915.767999999996</v>
      </c>
      <c r="U11" s="363">
        <f t="shared" si="3"/>
        <v>22826.896000000001</v>
      </c>
      <c r="V11" s="363">
        <f t="shared" si="3"/>
        <v>4580.0959999999995</v>
      </c>
      <c r="W11" s="363">
        <f t="shared" si="4"/>
        <v>140949.19200000001</v>
      </c>
      <c r="X11" s="363">
        <f t="shared" si="5"/>
        <v>43496.880000000005</v>
      </c>
      <c r="Y11" s="363"/>
      <c r="AI11" s="363"/>
      <c r="AJ11" s="363"/>
      <c r="AK11" s="363"/>
      <c r="AL11" s="363"/>
      <c r="AM11" s="363"/>
      <c r="AN11" s="363"/>
    </row>
    <row r="12" spans="1:40">
      <c r="A12" s="2" t="s">
        <v>84</v>
      </c>
      <c r="B12" s="16">
        <f t="shared" ref="B12:O12" si="12">B82*0.8</f>
        <v>62043.448000000004</v>
      </c>
      <c r="C12" s="16">
        <f t="shared" si="12"/>
        <v>24432.695999999996</v>
      </c>
      <c r="D12" s="16">
        <f t="shared" si="12"/>
        <v>18249.232</v>
      </c>
      <c r="E12" s="16">
        <f t="shared" si="12"/>
        <v>1700.3919999999985</v>
      </c>
      <c r="F12" s="16">
        <f t="shared" si="12"/>
        <v>141644.80800000002</v>
      </c>
      <c r="G12" s="16">
        <f t="shared" si="12"/>
        <v>4782.3600000000006</v>
      </c>
      <c r="H12" s="16">
        <f t="shared" si="12"/>
        <v>5728.2400000000007</v>
      </c>
      <c r="I12" s="16">
        <f t="shared" si="12"/>
        <v>289.84800000000001</v>
      </c>
      <c r="J12" s="16">
        <f t="shared" si="12"/>
        <v>13516.175999999999</v>
      </c>
      <c r="K12" s="16">
        <f t="shared" si="12"/>
        <v>956.47199999999998</v>
      </c>
      <c r="L12" s="16">
        <f t="shared" si="12"/>
        <v>0</v>
      </c>
      <c r="M12" s="16">
        <f t="shared" si="12"/>
        <v>0</v>
      </c>
      <c r="N12" s="16">
        <f t="shared" si="12"/>
        <v>177.52</v>
      </c>
      <c r="O12" s="16">
        <f t="shared" si="12"/>
        <v>0</v>
      </c>
      <c r="P12" s="16">
        <f t="shared" si="9"/>
        <v>0</v>
      </c>
      <c r="Q12" s="16">
        <f t="shared" si="9"/>
        <v>0</v>
      </c>
      <c r="R12" s="8">
        <f t="shared" si="1"/>
        <v>273521.19199999998</v>
      </c>
      <c r="S12" s="363">
        <f t="shared" si="3"/>
        <v>62043.448000000004</v>
      </c>
      <c r="T12" s="363">
        <f t="shared" si="3"/>
        <v>24432.695999999996</v>
      </c>
      <c r="U12" s="363">
        <f t="shared" si="3"/>
        <v>18249.232</v>
      </c>
      <c r="V12" s="363">
        <f t="shared" si="3"/>
        <v>1700.3919999999985</v>
      </c>
      <c r="W12" s="363">
        <f t="shared" si="4"/>
        <v>146427.16800000001</v>
      </c>
      <c r="X12" s="363">
        <f t="shared" si="5"/>
        <v>20668.256000000001</v>
      </c>
      <c r="Y12" s="363"/>
      <c r="AI12" s="363"/>
      <c r="AJ12" s="363"/>
      <c r="AK12" s="363"/>
      <c r="AL12" s="363"/>
      <c r="AM12" s="363"/>
      <c r="AN12" s="363"/>
    </row>
    <row r="13" spans="1:40">
      <c r="A13" s="2" t="s">
        <v>85</v>
      </c>
      <c r="B13" s="16">
        <f t="shared" ref="B13:O13" si="13">B83*0.8</f>
        <v>67855.648000000001</v>
      </c>
      <c r="C13" s="16">
        <f t="shared" si="13"/>
        <v>70162.439999999988</v>
      </c>
      <c r="D13" s="16">
        <f t="shared" si="13"/>
        <v>13932.608</v>
      </c>
      <c r="E13" s="16">
        <f t="shared" si="13"/>
        <v>3350.6560000000027</v>
      </c>
      <c r="F13" s="16">
        <f t="shared" si="13"/>
        <v>272333.66400000005</v>
      </c>
      <c r="G13" s="16">
        <f t="shared" si="13"/>
        <v>5999.688000000001</v>
      </c>
      <c r="H13" s="16">
        <f t="shared" si="13"/>
        <v>13660.08</v>
      </c>
      <c r="I13" s="16">
        <f t="shared" si="13"/>
        <v>261.21600000000001</v>
      </c>
      <c r="J13" s="16">
        <f t="shared" si="13"/>
        <v>21340.744000000002</v>
      </c>
      <c r="K13" s="16">
        <f t="shared" si="13"/>
        <v>608.6640000000001</v>
      </c>
      <c r="L13" s="16">
        <f t="shared" si="13"/>
        <v>173.904</v>
      </c>
      <c r="M13" s="16">
        <f t="shared" si="13"/>
        <v>3862.8320000000003</v>
      </c>
      <c r="N13" s="16">
        <f t="shared" si="13"/>
        <v>253.60000000000002</v>
      </c>
      <c r="O13" s="16">
        <f t="shared" si="13"/>
        <v>0</v>
      </c>
      <c r="P13" s="16">
        <f t="shared" si="9"/>
        <v>0</v>
      </c>
      <c r="Q13" s="16">
        <f t="shared" si="9"/>
        <v>0</v>
      </c>
      <c r="R13" s="8">
        <f t="shared" si="1"/>
        <v>473795.74400000006</v>
      </c>
      <c r="S13" s="363">
        <f t="shared" si="3"/>
        <v>67855.648000000001</v>
      </c>
      <c r="T13" s="363">
        <f t="shared" si="3"/>
        <v>70162.439999999988</v>
      </c>
      <c r="U13" s="363">
        <f t="shared" si="3"/>
        <v>13932.608</v>
      </c>
      <c r="V13" s="363">
        <f t="shared" si="3"/>
        <v>3350.6560000000027</v>
      </c>
      <c r="W13" s="363">
        <f t="shared" si="4"/>
        <v>278333.35200000007</v>
      </c>
      <c r="X13" s="363">
        <f t="shared" si="5"/>
        <v>40161.040000000001</v>
      </c>
      <c r="Y13" s="363"/>
      <c r="AI13" s="363"/>
      <c r="AJ13" s="363"/>
      <c r="AK13" s="363"/>
      <c r="AL13" s="363"/>
      <c r="AM13" s="363"/>
      <c r="AN13" s="363"/>
    </row>
    <row r="14" spans="1:40">
      <c r="A14" s="2" t="s">
        <v>86</v>
      </c>
      <c r="B14" s="16">
        <f t="shared" ref="B14:O14" si="14">B84*0.8</f>
        <v>22343.176000000003</v>
      </c>
      <c r="C14" s="16">
        <f t="shared" si="14"/>
        <v>13310.304000000004</v>
      </c>
      <c r="D14" s="16">
        <f t="shared" si="14"/>
        <v>3638.5519999999997</v>
      </c>
      <c r="E14" s="16">
        <f t="shared" si="14"/>
        <v>2291.2239999999997</v>
      </c>
      <c r="F14" s="16">
        <f t="shared" si="14"/>
        <v>66953.040000000008</v>
      </c>
      <c r="G14" s="16">
        <f t="shared" si="14"/>
        <v>2260.752</v>
      </c>
      <c r="H14" s="16">
        <f t="shared" si="14"/>
        <v>2714.6720000000005</v>
      </c>
      <c r="I14" s="16">
        <f t="shared" si="14"/>
        <v>0</v>
      </c>
      <c r="J14" s="16">
        <f t="shared" si="14"/>
        <v>6172.6559999999999</v>
      </c>
      <c r="K14" s="16">
        <f t="shared" si="14"/>
        <v>1130.376</v>
      </c>
      <c r="L14" s="16">
        <f t="shared" si="14"/>
        <v>0</v>
      </c>
      <c r="M14" s="16">
        <f t="shared" si="14"/>
        <v>0</v>
      </c>
      <c r="N14" s="16">
        <f t="shared" si="14"/>
        <v>101.44</v>
      </c>
      <c r="O14" s="16">
        <f t="shared" si="14"/>
        <v>0</v>
      </c>
      <c r="P14" s="16">
        <f t="shared" si="9"/>
        <v>0</v>
      </c>
      <c r="Q14" s="16">
        <f t="shared" si="9"/>
        <v>0</v>
      </c>
      <c r="R14" s="8">
        <f t="shared" si="1"/>
        <v>120916.19200000002</v>
      </c>
      <c r="S14" s="363">
        <f t="shared" si="3"/>
        <v>22343.176000000003</v>
      </c>
      <c r="T14" s="363">
        <f t="shared" si="3"/>
        <v>13310.304000000004</v>
      </c>
      <c r="U14" s="363">
        <f t="shared" si="3"/>
        <v>3638.5519999999997</v>
      </c>
      <c r="V14" s="363">
        <f t="shared" si="3"/>
        <v>2291.2239999999997</v>
      </c>
      <c r="W14" s="363">
        <f t="shared" si="4"/>
        <v>69213.792000000001</v>
      </c>
      <c r="X14" s="363">
        <f t="shared" si="5"/>
        <v>10119.144000000002</v>
      </c>
      <c r="Y14" s="363"/>
      <c r="AI14" s="363"/>
      <c r="AJ14" s="363"/>
      <c r="AK14" s="363"/>
      <c r="AL14" s="363"/>
      <c r="AM14" s="363"/>
      <c r="AN14" s="363"/>
    </row>
    <row r="15" spans="1:40">
      <c r="A15" s="2" t="s">
        <v>87</v>
      </c>
      <c r="B15" s="16">
        <f t="shared" ref="B15:O15" si="15">B85*0.8</f>
        <v>37817.616000000002</v>
      </c>
      <c r="C15" s="16">
        <f t="shared" si="15"/>
        <v>13494.984000000004</v>
      </c>
      <c r="D15" s="16">
        <f t="shared" si="15"/>
        <v>20357.296000000002</v>
      </c>
      <c r="E15" s="16">
        <f t="shared" si="15"/>
        <v>2055.0240000000022</v>
      </c>
      <c r="F15" s="16">
        <f t="shared" si="15"/>
        <v>272855.37599999999</v>
      </c>
      <c r="G15" s="16">
        <f t="shared" si="15"/>
        <v>2521.6080000000002</v>
      </c>
      <c r="H15" s="16">
        <f t="shared" si="15"/>
        <v>3094.1680000000001</v>
      </c>
      <c r="I15" s="16">
        <f t="shared" si="15"/>
        <v>0</v>
      </c>
      <c r="J15" s="16">
        <f t="shared" si="15"/>
        <v>7762.0800000000008</v>
      </c>
      <c r="K15" s="16">
        <f t="shared" si="15"/>
        <v>782.5680000000001</v>
      </c>
      <c r="L15" s="16">
        <f t="shared" si="15"/>
        <v>0</v>
      </c>
      <c r="M15" s="16">
        <f t="shared" si="15"/>
        <v>0</v>
      </c>
      <c r="N15" s="16">
        <f t="shared" si="15"/>
        <v>126.80000000000001</v>
      </c>
      <c r="O15" s="16">
        <f t="shared" si="15"/>
        <v>0</v>
      </c>
      <c r="P15" s="16">
        <f t="shared" si="9"/>
        <v>0</v>
      </c>
      <c r="Q15" s="16">
        <f t="shared" si="9"/>
        <v>0</v>
      </c>
      <c r="R15" s="8">
        <f t="shared" si="1"/>
        <v>360867.52</v>
      </c>
      <c r="S15" s="363">
        <f t="shared" si="3"/>
        <v>37817.616000000002</v>
      </c>
      <c r="T15" s="363">
        <f t="shared" si="3"/>
        <v>13494.984000000004</v>
      </c>
      <c r="U15" s="363">
        <f t="shared" si="3"/>
        <v>20357.296000000002</v>
      </c>
      <c r="V15" s="363">
        <f t="shared" si="3"/>
        <v>2055.0240000000022</v>
      </c>
      <c r="W15" s="363">
        <f t="shared" si="4"/>
        <v>275376.984</v>
      </c>
      <c r="X15" s="363">
        <f t="shared" si="5"/>
        <v>11765.616</v>
      </c>
      <c r="Y15" s="363"/>
      <c r="AI15" s="363"/>
      <c r="AJ15" s="363"/>
      <c r="AK15" s="363"/>
      <c r="AL15" s="363"/>
      <c r="AM15" s="363"/>
      <c r="AN15" s="363"/>
    </row>
    <row r="16" spans="1:40">
      <c r="A16" s="2" t="s">
        <v>88</v>
      </c>
      <c r="B16" s="16">
        <f t="shared" ref="B16:O16" si="16">B86*0.8</f>
        <v>26614.471999999998</v>
      </c>
      <c r="C16" s="16">
        <f t="shared" si="16"/>
        <v>27745.664000000004</v>
      </c>
      <c r="D16" s="16">
        <f t="shared" si="16"/>
        <v>9888.5440000000017</v>
      </c>
      <c r="E16" s="16">
        <f t="shared" si="16"/>
        <v>3818.0880000000006</v>
      </c>
      <c r="F16" s="16">
        <f t="shared" si="16"/>
        <v>169817.25600000002</v>
      </c>
      <c r="G16" s="16">
        <f t="shared" si="16"/>
        <v>2956.3680000000004</v>
      </c>
      <c r="H16" s="16">
        <f t="shared" si="16"/>
        <v>10420.800000000003</v>
      </c>
      <c r="I16" s="16">
        <f t="shared" si="16"/>
        <v>6270.7920000000004</v>
      </c>
      <c r="J16" s="16">
        <f t="shared" si="16"/>
        <v>9164.2160000000003</v>
      </c>
      <c r="K16" s="16">
        <f t="shared" si="16"/>
        <v>608.6640000000001</v>
      </c>
      <c r="L16" s="16">
        <f t="shared" si="16"/>
        <v>0</v>
      </c>
      <c r="M16" s="16">
        <f t="shared" si="16"/>
        <v>0</v>
      </c>
      <c r="N16" s="16">
        <f t="shared" si="16"/>
        <v>0</v>
      </c>
      <c r="O16" s="16">
        <f t="shared" si="16"/>
        <v>0</v>
      </c>
      <c r="P16" s="16">
        <f t="shared" si="9"/>
        <v>64</v>
      </c>
      <c r="Q16" s="16">
        <f t="shared" si="9"/>
        <v>0</v>
      </c>
      <c r="R16" s="8">
        <f t="shared" si="1"/>
        <v>267368.864</v>
      </c>
      <c r="S16" s="363">
        <f t="shared" si="3"/>
        <v>26614.471999999998</v>
      </c>
      <c r="T16" s="363">
        <f t="shared" si="3"/>
        <v>27745.664000000004</v>
      </c>
      <c r="U16" s="363">
        <f t="shared" si="3"/>
        <v>9888.5440000000017</v>
      </c>
      <c r="V16" s="363">
        <f t="shared" si="3"/>
        <v>3818.0880000000006</v>
      </c>
      <c r="W16" s="363">
        <f t="shared" si="4"/>
        <v>172773.62400000001</v>
      </c>
      <c r="X16" s="363">
        <f t="shared" si="5"/>
        <v>26528.472000000005</v>
      </c>
      <c r="Y16" s="363"/>
      <c r="AI16" s="363"/>
      <c r="AJ16" s="363"/>
      <c r="AK16" s="363"/>
      <c r="AL16" s="363"/>
      <c r="AM16" s="363"/>
      <c r="AN16" s="363"/>
    </row>
    <row r="17" spans="1:40">
      <c r="A17" s="2" t="s">
        <v>89</v>
      </c>
      <c r="B17" s="16">
        <f t="shared" ref="B17:O17" si="17">B87*0.8</f>
        <v>158363.16800000001</v>
      </c>
      <c r="C17" s="16">
        <f t="shared" si="17"/>
        <v>91492.895999999979</v>
      </c>
      <c r="D17" s="16">
        <f t="shared" si="17"/>
        <v>60329.864000000001</v>
      </c>
      <c r="E17" s="16">
        <f t="shared" si="17"/>
        <v>21787.335999999999</v>
      </c>
      <c r="F17" s="16">
        <f t="shared" si="17"/>
        <v>502060.84800000006</v>
      </c>
      <c r="G17" s="16">
        <f t="shared" si="17"/>
        <v>16607.832000000002</v>
      </c>
      <c r="H17" s="16">
        <f t="shared" si="17"/>
        <v>25585.456000000002</v>
      </c>
      <c r="I17" s="16">
        <f t="shared" si="17"/>
        <v>1565.1360000000002</v>
      </c>
      <c r="J17" s="16">
        <f t="shared" si="17"/>
        <v>43635.784</v>
      </c>
      <c r="K17" s="16">
        <f t="shared" si="17"/>
        <v>1739.0400000000002</v>
      </c>
      <c r="L17" s="16">
        <f t="shared" si="17"/>
        <v>347.80799999999999</v>
      </c>
      <c r="M17" s="16">
        <f t="shared" si="17"/>
        <v>0</v>
      </c>
      <c r="N17" s="16">
        <f t="shared" si="17"/>
        <v>634</v>
      </c>
      <c r="O17" s="16">
        <f t="shared" si="17"/>
        <v>0</v>
      </c>
      <c r="P17" s="16">
        <f t="shared" si="9"/>
        <v>0</v>
      </c>
      <c r="Q17" s="16">
        <f t="shared" si="9"/>
        <v>55.912000000000006</v>
      </c>
      <c r="R17" s="8">
        <f t="shared" si="1"/>
        <v>924205.08000000007</v>
      </c>
      <c r="S17" s="363">
        <f t="shared" si="3"/>
        <v>158363.16800000001</v>
      </c>
      <c r="T17" s="363">
        <f t="shared" si="3"/>
        <v>91492.895999999979</v>
      </c>
      <c r="U17" s="363">
        <f t="shared" si="3"/>
        <v>60329.864000000001</v>
      </c>
      <c r="V17" s="363">
        <f t="shared" si="3"/>
        <v>21787.335999999999</v>
      </c>
      <c r="W17" s="363">
        <f t="shared" si="4"/>
        <v>518668.68000000005</v>
      </c>
      <c r="X17" s="363">
        <f t="shared" si="5"/>
        <v>73563.135999999999</v>
      </c>
      <c r="Y17" s="363"/>
      <c r="AI17" s="363"/>
      <c r="AJ17" s="363"/>
      <c r="AK17" s="363"/>
      <c r="AL17" s="363"/>
      <c r="AM17" s="363"/>
      <c r="AN17" s="363"/>
    </row>
    <row r="18" spans="1:40">
      <c r="A18" s="2" t="s">
        <v>90</v>
      </c>
      <c r="B18" s="16">
        <f t="shared" ref="B18:O18" si="18">B88*0.8</f>
        <v>26629.216</v>
      </c>
      <c r="C18" s="16">
        <f t="shared" si="18"/>
        <v>13231.624000000005</v>
      </c>
      <c r="D18" s="16">
        <f t="shared" si="18"/>
        <v>8250.32</v>
      </c>
      <c r="E18" s="16">
        <f t="shared" si="18"/>
        <v>1943.8240000000005</v>
      </c>
      <c r="F18" s="16">
        <f t="shared" si="18"/>
        <v>105211.92</v>
      </c>
      <c r="G18" s="16">
        <f t="shared" si="18"/>
        <v>4956.2640000000001</v>
      </c>
      <c r="H18" s="16">
        <f t="shared" si="18"/>
        <v>3275.152</v>
      </c>
      <c r="I18" s="16">
        <f t="shared" si="18"/>
        <v>0</v>
      </c>
      <c r="J18" s="16">
        <f t="shared" si="18"/>
        <v>6719.24</v>
      </c>
      <c r="K18" s="16">
        <f t="shared" si="18"/>
        <v>347.80799999999999</v>
      </c>
      <c r="L18" s="16">
        <f t="shared" si="18"/>
        <v>0</v>
      </c>
      <c r="M18" s="16">
        <f t="shared" si="18"/>
        <v>0</v>
      </c>
      <c r="N18" s="16">
        <f t="shared" si="18"/>
        <v>76.08</v>
      </c>
      <c r="O18" s="16">
        <f t="shared" si="18"/>
        <v>0</v>
      </c>
      <c r="P18" s="16">
        <f t="shared" si="9"/>
        <v>0</v>
      </c>
      <c r="Q18" s="16">
        <f t="shared" si="9"/>
        <v>0</v>
      </c>
      <c r="R18" s="8">
        <f t="shared" si="1"/>
        <v>170641.44799999997</v>
      </c>
      <c r="S18" s="363">
        <f t="shared" si="3"/>
        <v>26629.216</v>
      </c>
      <c r="T18" s="363">
        <f t="shared" si="3"/>
        <v>13231.624000000005</v>
      </c>
      <c r="U18" s="363">
        <f t="shared" si="3"/>
        <v>8250.32</v>
      </c>
      <c r="V18" s="363">
        <f t="shared" si="3"/>
        <v>1943.8240000000005</v>
      </c>
      <c r="W18" s="363">
        <f t="shared" si="4"/>
        <v>110168.18399999999</v>
      </c>
      <c r="X18" s="363">
        <f t="shared" si="5"/>
        <v>10418.280000000001</v>
      </c>
      <c r="Y18" s="363"/>
      <c r="AI18" s="363"/>
      <c r="AJ18" s="363"/>
      <c r="AK18" s="363"/>
      <c r="AL18" s="363"/>
      <c r="AM18" s="363"/>
      <c r="AN18" s="363"/>
    </row>
    <row r="19" spans="1:40">
      <c r="A19" s="2" t="s">
        <v>91</v>
      </c>
      <c r="B19" s="16">
        <f t="shared" ref="B19:O19" si="19">B89*0.8</f>
        <v>43202.240000000005</v>
      </c>
      <c r="C19" s="16">
        <f t="shared" si="19"/>
        <v>26234.407999999996</v>
      </c>
      <c r="D19" s="16">
        <f t="shared" si="19"/>
        <v>6284.0879999999997</v>
      </c>
      <c r="E19" s="16">
        <f t="shared" si="19"/>
        <v>3371.1920000000009</v>
      </c>
      <c r="F19" s="16">
        <f t="shared" si="19"/>
        <v>95995.008000000002</v>
      </c>
      <c r="G19" s="16">
        <f t="shared" si="19"/>
        <v>956.47200000000021</v>
      </c>
      <c r="H19" s="16">
        <f t="shared" si="19"/>
        <v>6081.2400000000007</v>
      </c>
      <c r="I19" s="16">
        <f t="shared" si="19"/>
        <v>0</v>
      </c>
      <c r="J19" s="16">
        <f t="shared" si="19"/>
        <v>11712.224000000002</v>
      </c>
      <c r="K19" s="16">
        <f t="shared" si="19"/>
        <v>608.6640000000001</v>
      </c>
      <c r="L19" s="16">
        <f t="shared" si="19"/>
        <v>0</v>
      </c>
      <c r="M19" s="16">
        <f t="shared" si="19"/>
        <v>0</v>
      </c>
      <c r="N19" s="16">
        <f t="shared" si="19"/>
        <v>152.16</v>
      </c>
      <c r="O19" s="16">
        <f t="shared" si="19"/>
        <v>0</v>
      </c>
      <c r="P19" s="16">
        <f t="shared" si="9"/>
        <v>17.752000000000002</v>
      </c>
      <c r="Q19" s="16">
        <f t="shared" si="9"/>
        <v>385.904</v>
      </c>
      <c r="R19" s="8">
        <f t="shared" si="1"/>
        <v>195001.35199999998</v>
      </c>
      <c r="S19" s="363">
        <f t="shared" si="3"/>
        <v>43202.240000000005</v>
      </c>
      <c r="T19" s="363">
        <f t="shared" si="3"/>
        <v>26234.407999999996</v>
      </c>
      <c r="U19" s="363">
        <f t="shared" si="3"/>
        <v>6284.0879999999997</v>
      </c>
      <c r="V19" s="363">
        <f t="shared" si="3"/>
        <v>3371.1920000000009</v>
      </c>
      <c r="W19" s="363">
        <f t="shared" si="4"/>
        <v>96951.48</v>
      </c>
      <c r="X19" s="363">
        <f t="shared" si="5"/>
        <v>18957.944000000003</v>
      </c>
      <c r="Y19" s="363"/>
      <c r="AI19" s="363"/>
      <c r="AJ19" s="363"/>
      <c r="AK19" s="363"/>
      <c r="AL19" s="363"/>
      <c r="AM19" s="363"/>
      <c r="AN19" s="363"/>
    </row>
    <row r="20" spans="1:40">
      <c r="A20" s="2" t="s">
        <v>92</v>
      </c>
      <c r="B20" s="16">
        <f t="shared" ref="B20:O20" si="20">B90*0.8</f>
        <v>126511.72</v>
      </c>
      <c r="C20" s="16">
        <f t="shared" si="20"/>
        <v>55525.936000000016</v>
      </c>
      <c r="D20" s="16">
        <f t="shared" si="20"/>
        <v>96151.888000000006</v>
      </c>
      <c r="E20" s="16">
        <f t="shared" si="20"/>
        <v>25729.479999999996</v>
      </c>
      <c r="F20" s="16">
        <f t="shared" si="20"/>
        <v>615446.25599999994</v>
      </c>
      <c r="G20" s="16">
        <f t="shared" si="20"/>
        <v>11216.808000000001</v>
      </c>
      <c r="H20" s="16">
        <f t="shared" si="20"/>
        <v>18866.135999999999</v>
      </c>
      <c r="I20" s="16">
        <f t="shared" si="20"/>
        <v>2489.5439999999999</v>
      </c>
      <c r="J20" s="16">
        <f t="shared" si="20"/>
        <v>33558.592000000004</v>
      </c>
      <c r="K20" s="16">
        <f t="shared" si="20"/>
        <v>4608.4560000000001</v>
      </c>
      <c r="L20" s="16">
        <f t="shared" si="20"/>
        <v>1043.424</v>
      </c>
      <c r="M20" s="16">
        <f t="shared" si="20"/>
        <v>0</v>
      </c>
      <c r="N20" s="16">
        <f t="shared" si="20"/>
        <v>405.76</v>
      </c>
      <c r="O20" s="16">
        <f t="shared" si="20"/>
        <v>0</v>
      </c>
      <c r="P20" s="16">
        <f t="shared" si="9"/>
        <v>0</v>
      </c>
      <c r="Q20" s="16">
        <f t="shared" si="9"/>
        <v>0</v>
      </c>
      <c r="R20" s="8">
        <f t="shared" si="1"/>
        <v>991553.99999999988</v>
      </c>
      <c r="S20" s="363">
        <f t="shared" si="3"/>
        <v>126511.72</v>
      </c>
      <c r="T20" s="363">
        <f t="shared" si="3"/>
        <v>55525.936000000016</v>
      </c>
      <c r="U20" s="363">
        <f t="shared" si="3"/>
        <v>96151.888000000006</v>
      </c>
      <c r="V20" s="363">
        <f t="shared" si="3"/>
        <v>25729.479999999996</v>
      </c>
      <c r="W20" s="363">
        <f t="shared" si="4"/>
        <v>626663.0639999999</v>
      </c>
      <c r="X20" s="363">
        <f t="shared" si="5"/>
        <v>60971.912000000004</v>
      </c>
      <c r="Y20" s="363"/>
      <c r="AI20" s="363"/>
      <c r="AJ20" s="363"/>
      <c r="AK20" s="363"/>
      <c r="AL20" s="363"/>
      <c r="AM20" s="363"/>
      <c r="AN20" s="363"/>
    </row>
    <row r="21" spans="1:40">
      <c r="A21" s="2" t="s">
        <v>93</v>
      </c>
      <c r="B21" s="16">
        <f t="shared" ref="B21:O21" si="21">B91*0.8</f>
        <v>60733.280000000006</v>
      </c>
      <c r="C21" s="16">
        <f t="shared" si="21"/>
        <v>27987.312000000002</v>
      </c>
      <c r="D21" s="16">
        <f t="shared" si="21"/>
        <v>16491.592000000001</v>
      </c>
      <c r="E21" s="16">
        <f t="shared" si="21"/>
        <v>2416.6880000000006</v>
      </c>
      <c r="F21" s="16">
        <f t="shared" si="21"/>
        <v>164339.28000000003</v>
      </c>
      <c r="G21" s="16">
        <f t="shared" si="21"/>
        <v>6782.2560000000003</v>
      </c>
      <c r="H21" s="16">
        <f t="shared" si="21"/>
        <v>7272.688000000001</v>
      </c>
      <c r="I21" s="16">
        <f t="shared" si="21"/>
        <v>3006.32</v>
      </c>
      <c r="J21" s="16">
        <f t="shared" si="21"/>
        <v>14166.119999999999</v>
      </c>
      <c r="K21" s="16">
        <f t="shared" si="21"/>
        <v>1478.1840000000002</v>
      </c>
      <c r="L21" s="16">
        <f t="shared" si="21"/>
        <v>173.904</v>
      </c>
      <c r="M21" s="16">
        <f t="shared" si="21"/>
        <v>0</v>
      </c>
      <c r="N21" s="16">
        <f t="shared" si="21"/>
        <v>152.16</v>
      </c>
      <c r="O21" s="16">
        <f t="shared" si="21"/>
        <v>0</v>
      </c>
      <c r="P21" s="16">
        <f t="shared" si="9"/>
        <v>0</v>
      </c>
      <c r="Q21" s="16">
        <f t="shared" si="9"/>
        <v>0</v>
      </c>
      <c r="R21" s="8">
        <f t="shared" si="1"/>
        <v>304999.78399999999</v>
      </c>
      <c r="S21" s="363">
        <f t="shared" si="3"/>
        <v>60733.280000000006</v>
      </c>
      <c r="T21" s="363">
        <f t="shared" si="3"/>
        <v>27987.312000000002</v>
      </c>
      <c r="U21" s="363">
        <f t="shared" si="3"/>
        <v>16491.592000000001</v>
      </c>
      <c r="V21" s="363">
        <f t="shared" si="3"/>
        <v>2416.6880000000006</v>
      </c>
      <c r="W21" s="363">
        <f t="shared" si="4"/>
        <v>171121.53600000002</v>
      </c>
      <c r="X21" s="363">
        <f t="shared" si="5"/>
        <v>26249.376</v>
      </c>
      <c r="Y21" s="363"/>
      <c r="AI21" s="363"/>
      <c r="AJ21" s="363"/>
      <c r="AK21" s="363"/>
      <c r="AL21" s="363"/>
      <c r="AM21" s="363"/>
      <c r="AN21" s="363"/>
    </row>
    <row r="22" spans="1:40">
      <c r="A22" s="2" t="s">
        <v>94</v>
      </c>
      <c r="B22" s="16">
        <f t="shared" ref="B22:O22" si="22">B92*0.8</f>
        <v>17587.832000000002</v>
      </c>
      <c r="C22" s="16">
        <f t="shared" si="22"/>
        <v>7429.5119999999997</v>
      </c>
      <c r="D22" s="16">
        <f t="shared" si="22"/>
        <v>8461.7520000000004</v>
      </c>
      <c r="E22" s="16">
        <f t="shared" si="22"/>
        <v>2118.559999999999</v>
      </c>
      <c r="F22" s="16">
        <f t="shared" si="22"/>
        <v>50432.160000000003</v>
      </c>
      <c r="G22" s="16">
        <f t="shared" si="22"/>
        <v>2521.6080000000002</v>
      </c>
      <c r="H22" s="16">
        <f t="shared" si="22"/>
        <v>2372.2319999999995</v>
      </c>
      <c r="I22" s="16">
        <f t="shared" si="22"/>
        <v>0</v>
      </c>
      <c r="J22" s="16">
        <f t="shared" si="22"/>
        <v>4407.8</v>
      </c>
      <c r="K22" s="16">
        <f t="shared" si="22"/>
        <v>173.904</v>
      </c>
      <c r="L22" s="16">
        <f t="shared" si="22"/>
        <v>0</v>
      </c>
      <c r="M22" s="16">
        <f t="shared" si="22"/>
        <v>0</v>
      </c>
      <c r="N22" s="16">
        <f t="shared" si="22"/>
        <v>76.08</v>
      </c>
      <c r="O22" s="16">
        <f t="shared" si="22"/>
        <v>0</v>
      </c>
      <c r="P22" s="16">
        <f>P92</f>
        <v>0</v>
      </c>
      <c r="Q22" s="16">
        <f>Q92</f>
        <v>0</v>
      </c>
      <c r="R22" s="8">
        <f t="shared" si="1"/>
        <v>95581.440000000002</v>
      </c>
      <c r="S22" s="363">
        <f t="shared" si="3"/>
        <v>17587.832000000002</v>
      </c>
      <c r="T22" s="363">
        <f t="shared" si="3"/>
        <v>7429.5119999999997</v>
      </c>
      <c r="U22" s="363">
        <f t="shared" si="3"/>
        <v>8461.7520000000004</v>
      </c>
      <c r="V22" s="363">
        <f t="shared" si="3"/>
        <v>2118.559999999999</v>
      </c>
      <c r="W22" s="363">
        <f t="shared" si="4"/>
        <v>52953.768000000004</v>
      </c>
      <c r="X22" s="363">
        <f t="shared" si="5"/>
        <v>7030.0159999999996</v>
      </c>
      <c r="Y22" s="363"/>
      <c r="AI22" s="363"/>
      <c r="AJ22" s="363"/>
      <c r="AK22" s="363"/>
      <c r="AL22" s="363"/>
      <c r="AM22" s="363"/>
      <c r="AN22" s="363"/>
    </row>
    <row r="23" spans="1:40">
      <c r="A23" s="2" t="s">
        <v>95</v>
      </c>
      <c r="B23" s="16">
        <f t="shared" ref="B23:O23" si="23">B93*0.8</f>
        <v>164785.20800000001</v>
      </c>
      <c r="C23" s="16">
        <f t="shared" si="23"/>
        <v>67534.263999999966</v>
      </c>
      <c r="D23" s="16">
        <f t="shared" si="23"/>
        <v>78332.36</v>
      </c>
      <c r="E23" s="16">
        <f t="shared" si="23"/>
        <v>14584.496000000008</v>
      </c>
      <c r="F23" s="16">
        <f t="shared" si="23"/>
        <v>572309.47199999995</v>
      </c>
      <c r="G23" s="16">
        <f t="shared" si="23"/>
        <v>13651.464000000002</v>
      </c>
      <c r="H23" s="16">
        <f t="shared" si="23"/>
        <v>17726.896000000001</v>
      </c>
      <c r="I23" s="16">
        <f t="shared" si="23"/>
        <v>3534.2080000000005</v>
      </c>
      <c r="J23" s="16">
        <f t="shared" si="23"/>
        <v>38371.712000000007</v>
      </c>
      <c r="K23" s="16">
        <f t="shared" si="23"/>
        <v>2521.6080000000002</v>
      </c>
      <c r="L23" s="16">
        <f t="shared" si="23"/>
        <v>521.71199999999999</v>
      </c>
      <c r="M23" s="16">
        <f t="shared" si="23"/>
        <v>0</v>
      </c>
      <c r="N23" s="16">
        <f t="shared" si="23"/>
        <v>735.44</v>
      </c>
      <c r="O23" s="16">
        <f t="shared" si="23"/>
        <v>50.72</v>
      </c>
      <c r="P23" s="16">
        <f t="shared" ref="P23:Q28" si="24">P93*0.8</f>
        <v>0</v>
      </c>
      <c r="Q23" s="16">
        <f t="shared" si="24"/>
        <v>0</v>
      </c>
      <c r="R23" s="8">
        <f t="shared" si="1"/>
        <v>974659.55999999994</v>
      </c>
      <c r="S23" s="363">
        <f t="shared" si="3"/>
        <v>164785.20800000001</v>
      </c>
      <c r="T23" s="363">
        <f t="shared" si="3"/>
        <v>67534.263999999966</v>
      </c>
      <c r="U23" s="363">
        <f t="shared" si="3"/>
        <v>78332.36</v>
      </c>
      <c r="V23" s="363">
        <f t="shared" si="3"/>
        <v>14584.496000000008</v>
      </c>
      <c r="W23" s="363">
        <f t="shared" si="4"/>
        <v>585960.93599999999</v>
      </c>
      <c r="X23" s="363">
        <f t="shared" si="5"/>
        <v>63462.296000000009</v>
      </c>
      <c r="Y23" s="363"/>
      <c r="AI23" s="363"/>
      <c r="AJ23" s="363"/>
      <c r="AK23" s="363"/>
      <c r="AL23" s="363"/>
      <c r="AM23" s="363"/>
      <c r="AN23" s="363"/>
    </row>
    <row r="24" spans="1:40">
      <c r="A24" s="2" t="s">
        <v>96</v>
      </c>
      <c r="B24" s="16">
        <f t="shared" ref="B24:O24" si="25">B94*0.8</f>
        <v>20956.800000000003</v>
      </c>
      <c r="C24" s="16">
        <f t="shared" si="25"/>
        <v>11588.807999999997</v>
      </c>
      <c r="D24" s="16">
        <f t="shared" si="25"/>
        <v>6381.0400000000009</v>
      </c>
      <c r="E24" s="16">
        <f t="shared" si="25"/>
        <v>1357.1680000000001</v>
      </c>
      <c r="F24" s="16">
        <f t="shared" si="25"/>
        <v>79126.320000000007</v>
      </c>
      <c r="G24" s="16">
        <f t="shared" si="25"/>
        <v>4086.7440000000006</v>
      </c>
      <c r="H24" s="16">
        <f t="shared" si="25"/>
        <v>2842.192</v>
      </c>
      <c r="I24" s="16">
        <f t="shared" si="25"/>
        <v>2282.5439999999999</v>
      </c>
      <c r="J24" s="16">
        <f t="shared" si="25"/>
        <v>5376.2880000000005</v>
      </c>
      <c r="K24" s="16">
        <f t="shared" si="25"/>
        <v>347.80799999999999</v>
      </c>
      <c r="L24" s="16">
        <f t="shared" si="25"/>
        <v>0</v>
      </c>
      <c r="M24" s="16">
        <f t="shared" si="25"/>
        <v>0</v>
      </c>
      <c r="N24" s="16">
        <f t="shared" si="25"/>
        <v>126.80000000000001</v>
      </c>
      <c r="O24" s="16">
        <f t="shared" si="25"/>
        <v>0</v>
      </c>
      <c r="P24" s="16">
        <f t="shared" si="24"/>
        <v>0</v>
      </c>
      <c r="Q24" s="16">
        <f t="shared" si="24"/>
        <v>0</v>
      </c>
      <c r="R24" s="8">
        <f t="shared" si="1"/>
        <v>134472.51199999996</v>
      </c>
      <c r="S24" s="363">
        <f t="shared" si="3"/>
        <v>20956.800000000003</v>
      </c>
      <c r="T24" s="363">
        <f t="shared" si="3"/>
        <v>11588.807999999997</v>
      </c>
      <c r="U24" s="363">
        <f t="shared" si="3"/>
        <v>6381.0400000000009</v>
      </c>
      <c r="V24" s="363">
        <f t="shared" si="3"/>
        <v>1357.1680000000001</v>
      </c>
      <c r="W24" s="363">
        <f t="shared" si="4"/>
        <v>83213.064000000013</v>
      </c>
      <c r="X24" s="363">
        <f t="shared" si="5"/>
        <v>10975.632000000001</v>
      </c>
      <c r="Y24" s="363"/>
      <c r="AI24" s="363"/>
      <c r="AJ24" s="363"/>
      <c r="AK24" s="363"/>
      <c r="AL24" s="363"/>
      <c r="AM24" s="363"/>
      <c r="AN24" s="363"/>
    </row>
    <row r="25" spans="1:40">
      <c r="A25" s="2" t="s">
        <v>97</v>
      </c>
      <c r="B25" s="16">
        <f t="shared" ref="B25:O25" si="26">B95*0.8</f>
        <v>128019.16800000001</v>
      </c>
      <c r="C25" s="16">
        <f t="shared" si="26"/>
        <v>85678.391999999978</v>
      </c>
      <c r="D25" s="16">
        <f t="shared" si="26"/>
        <v>123189.72</v>
      </c>
      <c r="E25" s="16">
        <f t="shared" si="26"/>
        <v>14353.056000000006</v>
      </c>
      <c r="F25" s="16">
        <f t="shared" si="26"/>
        <v>802653.91200000001</v>
      </c>
      <c r="G25" s="16">
        <f t="shared" si="26"/>
        <v>14694.888000000001</v>
      </c>
      <c r="H25" s="16">
        <f t="shared" si="26"/>
        <v>23034.104000000007</v>
      </c>
      <c r="I25" s="16">
        <f t="shared" si="26"/>
        <v>2365.864</v>
      </c>
      <c r="J25" s="16">
        <f t="shared" si="26"/>
        <v>38305.848000000005</v>
      </c>
      <c r="K25" s="16">
        <f t="shared" si="26"/>
        <v>2260.752</v>
      </c>
      <c r="L25" s="16">
        <f t="shared" si="26"/>
        <v>0</v>
      </c>
      <c r="M25" s="16">
        <f t="shared" si="26"/>
        <v>855.28800000000001</v>
      </c>
      <c r="N25" s="16">
        <f t="shared" si="26"/>
        <v>532.56000000000006</v>
      </c>
      <c r="O25" s="16">
        <f t="shared" si="26"/>
        <v>0</v>
      </c>
      <c r="P25" s="16">
        <f t="shared" si="24"/>
        <v>0</v>
      </c>
      <c r="Q25" s="16">
        <f t="shared" si="24"/>
        <v>0</v>
      </c>
      <c r="R25" s="8">
        <f t="shared" si="1"/>
        <v>1235943.5520000004</v>
      </c>
      <c r="S25" s="363">
        <f t="shared" si="3"/>
        <v>128019.16800000001</v>
      </c>
      <c r="T25" s="363">
        <f t="shared" si="3"/>
        <v>85678.391999999978</v>
      </c>
      <c r="U25" s="363">
        <f t="shared" si="3"/>
        <v>123189.72</v>
      </c>
      <c r="V25" s="363">
        <f t="shared" si="3"/>
        <v>14353.056000000006</v>
      </c>
      <c r="W25" s="363">
        <f t="shared" si="4"/>
        <v>817348.8</v>
      </c>
      <c r="X25" s="363">
        <f t="shared" si="5"/>
        <v>67354.416000000012</v>
      </c>
      <c r="Y25" s="363"/>
      <c r="AI25" s="363"/>
      <c r="AJ25" s="363"/>
      <c r="AK25" s="363"/>
      <c r="AL25" s="363"/>
      <c r="AM25" s="363"/>
      <c r="AN25" s="363"/>
    </row>
    <row r="26" spans="1:40">
      <c r="A26" s="2" t="s">
        <v>98</v>
      </c>
      <c r="B26" s="16">
        <f t="shared" ref="B26:O26" si="27">B96*0.8</f>
        <v>25757.704000000002</v>
      </c>
      <c r="C26" s="16">
        <f t="shared" si="27"/>
        <v>10729.375999999998</v>
      </c>
      <c r="D26" s="16">
        <f t="shared" si="27"/>
        <v>3091.3119999999999</v>
      </c>
      <c r="E26" s="16">
        <f t="shared" si="27"/>
        <v>1481.2079999999999</v>
      </c>
      <c r="F26" s="16">
        <f t="shared" si="27"/>
        <v>78604.608000000007</v>
      </c>
      <c r="G26" s="16">
        <f t="shared" si="27"/>
        <v>1130.376</v>
      </c>
      <c r="H26" s="16">
        <f t="shared" si="27"/>
        <v>2181.384</v>
      </c>
      <c r="I26" s="16">
        <f t="shared" si="27"/>
        <v>0</v>
      </c>
      <c r="J26" s="16">
        <f t="shared" si="27"/>
        <v>6041.1760000000013</v>
      </c>
      <c r="K26" s="16">
        <f t="shared" si="27"/>
        <v>956.47199999999998</v>
      </c>
      <c r="L26" s="16">
        <f t="shared" si="27"/>
        <v>0</v>
      </c>
      <c r="M26" s="16">
        <f t="shared" si="27"/>
        <v>0</v>
      </c>
      <c r="N26" s="16">
        <f t="shared" si="27"/>
        <v>76.08</v>
      </c>
      <c r="O26" s="16">
        <f t="shared" si="27"/>
        <v>0</v>
      </c>
      <c r="P26" s="16">
        <f t="shared" si="24"/>
        <v>0</v>
      </c>
      <c r="Q26" s="16">
        <f t="shared" si="24"/>
        <v>0</v>
      </c>
      <c r="R26" s="8">
        <f t="shared" si="1"/>
        <v>130049.69600000003</v>
      </c>
      <c r="S26" s="363">
        <f t="shared" si="3"/>
        <v>25757.704000000002</v>
      </c>
      <c r="T26" s="363">
        <f t="shared" si="3"/>
        <v>10729.375999999998</v>
      </c>
      <c r="U26" s="363">
        <f t="shared" si="3"/>
        <v>3091.3119999999999</v>
      </c>
      <c r="V26" s="363">
        <f t="shared" si="3"/>
        <v>1481.2079999999999</v>
      </c>
      <c r="W26" s="363">
        <f t="shared" si="4"/>
        <v>79734.984000000011</v>
      </c>
      <c r="X26" s="363">
        <f t="shared" si="5"/>
        <v>9255.112000000001</v>
      </c>
      <c r="Y26" s="363"/>
      <c r="AI26" s="363"/>
      <c r="AJ26" s="363"/>
      <c r="AK26" s="363"/>
      <c r="AL26" s="363"/>
      <c r="AM26" s="363"/>
      <c r="AN26" s="363"/>
    </row>
    <row r="27" spans="1:40">
      <c r="A27" s="2" t="s">
        <v>99</v>
      </c>
      <c r="B27" s="16">
        <f t="shared" ref="B27:O27" si="28">B97*0.8</f>
        <v>1384.7600000000002</v>
      </c>
      <c r="C27" s="16">
        <f t="shared" si="28"/>
        <v>573.31999999999994</v>
      </c>
      <c r="D27" s="16">
        <f t="shared" si="28"/>
        <v>667.84799999999996</v>
      </c>
      <c r="E27" s="16">
        <f t="shared" si="28"/>
        <v>0</v>
      </c>
      <c r="F27" s="16">
        <f t="shared" si="28"/>
        <v>11651.567999999999</v>
      </c>
      <c r="G27" s="16">
        <f t="shared" si="28"/>
        <v>347.80799999999999</v>
      </c>
      <c r="H27" s="16">
        <f t="shared" si="28"/>
        <v>79.440000000000012</v>
      </c>
      <c r="I27" s="16">
        <f t="shared" si="28"/>
        <v>0</v>
      </c>
      <c r="J27" s="16">
        <f t="shared" si="28"/>
        <v>248.88800000000003</v>
      </c>
      <c r="K27" s="16">
        <f t="shared" si="28"/>
        <v>0</v>
      </c>
      <c r="L27" s="16">
        <f t="shared" si="28"/>
        <v>0</v>
      </c>
      <c r="M27" s="16">
        <f t="shared" si="28"/>
        <v>0</v>
      </c>
      <c r="N27" s="16">
        <f t="shared" si="28"/>
        <v>0</v>
      </c>
      <c r="O27" s="16">
        <f t="shared" si="28"/>
        <v>0</v>
      </c>
      <c r="P27" s="16">
        <f t="shared" si="24"/>
        <v>0</v>
      </c>
      <c r="Q27" s="16">
        <f t="shared" si="24"/>
        <v>0</v>
      </c>
      <c r="R27" s="8">
        <f t="shared" si="1"/>
        <v>14953.632000000001</v>
      </c>
      <c r="S27" s="363">
        <f t="shared" si="3"/>
        <v>1384.7600000000002</v>
      </c>
      <c r="T27" s="363">
        <f t="shared" si="3"/>
        <v>573.31999999999994</v>
      </c>
      <c r="U27" s="363">
        <f t="shared" si="3"/>
        <v>667.84799999999996</v>
      </c>
      <c r="V27" s="363">
        <f t="shared" si="3"/>
        <v>0</v>
      </c>
      <c r="W27" s="363">
        <f t="shared" si="4"/>
        <v>11999.376</v>
      </c>
      <c r="X27" s="363">
        <f t="shared" si="5"/>
        <v>328.32800000000003</v>
      </c>
      <c r="Y27" s="363"/>
      <c r="AI27" s="363"/>
      <c r="AJ27" s="363"/>
      <c r="AK27" s="363"/>
      <c r="AL27" s="363"/>
      <c r="AM27" s="363"/>
      <c r="AN27" s="363"/>
    </row>
    <row r="28" spans="1:40">
      <c r="A28" s="2" t="s">
        <v>100</v>
      </c>
      <c r="B28" s="16">
        <f t="shared" ref="B28:O28" si="29">B98*0.8</f>
        <v>103556.376</v>
      </c>
      <c r="C28" s="16">
        <f t="shared" si="29"/>
        <v>88286.208000000013</v>
      </c>
      <c r="D28" s="16">
        <f t="shared" si="29"/>
        <v>70588.968000000008</v>
      </c>
      <c r="E28" s="16">
        <f t="shared" si="29"/>
        <v>15612.047999999999</v>
      </c>
      <c r="F28" s="16">
        <f t="shared" si="29"/>
        <v>508321.39199999999</v>
      </c>
      <c r="G28" s="16">
        <f t="shared" si="29"/>
        <v>8782.152</v>
      </c>
      <c r="H28" s="16">
        <f t="shared" si="29"/>
        <v>21916.736000000004</v>
      </c>
      <c r="I28" s="16">
        <f t="shared" si="29"/>
        <v>0</v>
      </c>
      <c r="J28" s="16">
        <f t="shared" si="29"/>
        <v>35388.36</v>
      </c>
      <c r="K28" s="16">
        <f t="shared" si="29"/>
        <v>869.5200000000001</v>
      </c>
      <c r="L28" s="16">
        <f t="shared" si="29"/>
        <v>347.80799999999999</v>
      </c>
      <c r="M28" s="16">
        <f t="shared" si="29"/>
        <v>0</v>
      </c>
      <c r="N28" s="16">
        <f t="shared" si="29"/>
        <v>583.28000000000009</v>
      </c>
      <c r="O28" s="16">
        <f t="shared" si="29"/>
        <v>0</v>
      </c>
      <c r="P28" s="16">
        <f t="shared" si="24"/>
        <v>0</v>
      </c>
      <c r="Q28" s="16">
        <f t="shared" si="24"/>
        <v>0</v>
      </c>
      <c r="R28" s="8">
        <f t="shared" si="1"/>
        <v>854252.84800000011</v>
      </c>
      <c r="S28" s="363">
        <f t="shared" si="3"/>
        <v>103556.376</v>
      </c>
      <c r="T28" s="363">
        <f t="shared" si="3"/>
        <v>88286.208000000013</v>
      </c>
      <c r="U28" s="363">
        <f t="shared" si="3"/>
        <v>70588.968000000008</v>
      </c>
      <c r="V28" s="363">
        <f t="shared" si="3"/>
        <v>15612.047999999999</v>
      </c>
      <c r="W28" s="363">
        <f t="shared" si="4"/>
        <v>517103.54399999999</v>
      </c>
      <c r="X28" s="363">
        <f t="shared" si="5"/>
        <v>59105.703999999998</v>
      </c>
      <c r="Y28" s="363"/>
      <c r="AI28" s="363"/>
      <c r="AJ28" s="363"/>
      <c r="AK28" s="363"/>
      <c r="AL28" s="363"/>
      <c r="AM28" s="363"/>
      <c r="AN28" s="363"/>
    </row>
    <row r="29" spans="1:40">
      <c r="A29" s="2" t="s">
        <v>101</v>
      </c>
      <c r="B29" s="16">
        <f t="shared" ref="B29:O29" si="30">B99*0.8</f>
        <v>536718.13600000006</v>
      </c>
      <c r="C29" s="16">
        <f t="shared" si="30"/>
        <v>324729.82399999996</v>
      </c>
      <c r="D29" s="16">
        <f t="shared" si="30"/>
        <v>282244.21600000001</v>
      </c>
      <c r="E29" s="16">
        <f t="shared" si="30"/>
        <v>183847.71999999994</v>
      </c>
      <c r="F29" s="16">
        <f t="shared" si="30"/>
        <v>2864546.6880000001</v>
      </c>
      <c r="G29" s="16">
        <f t="shared" si="30"/>
        <v>44432.472000000009</v>
      </c>
      <c r="H29" s="16">
        <f t="shared" si="30"/>
        <v>139689.39200000002</v>
      </c>
      <c r="I29" s="16">
        <f t="shared" si="30"/>
        <v>11425.184000000001</v>
      </c>
      <c r="J29" s="16">
        <f t="shared" si="30"/>
        <v>182142.84000000003</v>
      </c>
      <c r="K29" s="16">
        <f t="shared" si="30"/>
        <v>7303.9679999999998</v>
      </c>
      <c r="L29" s="16">
        <f t="shared" si="30"/>
        <v>1739.0400000000002</v>
      </c>
      <c r="M29" s="16">
        <f t="shared" si="30"/>
        <v>0</v>
      </c>
      <c r="N29" s="16">
        <f t="shared" si="30"/>
        <v>2992.48</v>
      </c>
      <c r="O29" s="16">
        <f t="shared" si="30"/>
        <v>42.272000000000006</v>
      </c>
      <c r="P29" s="16">
        <f>P99</f>
        <v>0</v>
      </c>
      <c r="Q29" s="16">
        <f>Q99</f>
        <v>0</v>
      </c>
      <c r="R29" s="8">
        <f t="shared" si="1"/>
        <v>4581854.2320000008</v>
      </c>
      <c r="S29" s="363">
        <f t="shared" si="3"/>
        <v>536718.13600000006</v>
      </c>
      <c r="T29" s="363">
        <f t="shared" si="3"/>
        <v>324729.82399999996</v>
      </c>
      <c r="U29" s="363">
        <f t="shared" si="3"/>
        <v>282244.21600000001</v>
      </c>
      <c r="V29" s="363">
        <f t="shared" si="3"/>
        <v>183847.71999999994</v>
      </c>
      <c r="W29" s="363">
        <f t="shared" si="4"/>
        <v>2908979.16</v>
      </c>
      <c r="X29" s="363">
        <f t="shared" si="5"/>
        <v>345335.17600000004</v>
      </c>
      <c r="Y29" s="363"/>
      <c r="AI29" s="363"/>
      <c r="AJ29" s="363"/>
      <c r="AK29" s="363"/>
      <c r="AL29" s="363"/>
      <c r="AM29" s="363"/>
      <c r="AN29" s="363"/>
    </row>
    <row r="30" spans="1:40">
      <c r="A30" s="2" t="s">
        <v>102</v>
      </c>
      <c r="B30" s="16">
        <f t="shared" ref="B30:O30" si="31">B100*0.8</f>
        <v>18388.856</v>
      </c>
      <c r="C30" s="16">
        <f t="shared" si="31"/>
        <v>7129.5679999999993</v>
      </c>
      <c r="D30" s="16">
        <f t="shared" si="31"/>
        <v>3980.6080000000002</v>
      </c>
      <c r="E30" s="16">
        <f t="shared" si="31"/>
        <v>3020.0479999999998</v>
      </c>
      <c r="F30" s="16">
        <f t="shared" si="31"/>
        <v>69213.792000000001</v>
      </c>
      <c r="G30" s="16">
        <f t="shared" si="31"/>
        <v>3043.32</v>
      </c>
      <c r="H30" s="16">
        <f t="shared" si="31"/>
        <v>2282.2720000000004</v>
      </c>
      <c r="I30" s="16">
        <f t="shared" si="31"/>
        <v>0</v>
      </c>
      <c r="J30" s="16">
        <f t="shared" si="31"/>
        <v>6839.9200000000019</v>
      </c>
      <c r="K30" s="16">
        <f t="shared" si="31"/>
        <v>260.85599999999999</v>
      </c>
      <c r="L30" s="16">
        <f t="shared" si="31"/>
        <v>0</v>
      </c>
      <c r="M30" s="16">
        <f t="shared" si="31"/>
        <v>0</v>
      </c>
      <c r="N30" s="16">
        <f t="shared" si="31"/>
        <v>76.08</v>
      </c>
      <c r="O30" s="16">
        <f t="shared" si="31"/>
        <v>0</v>
      </c>
      <c r="P30" s="16">
        <f>P100*0.8</f>
        <v>0</v>
      </c>
      <c r="Q30" s="16">
        <f>Q100*0.8</f>
        <v>84.432000000000016</v>
      </c>
      <c r="R30" s="8">
        <f t="shared" si="1"/>
        <v>114319.75200000001</v>
      </c>
      <c r="S30" s="363">
        <f t="shared" si="3"/>
        <v>18388.856</v>
      </c>
      <c r="T30" s="363">
        <f t="shared" si="3"/>
        <v>7129.5679999999993</v>
      </c>
      <c r="U30" s="363">
        <f t="shared" si="3"/>
        <v>3980.6080000000002</v>
      </c>
      <c r="V30" s="363">
        <f t="shared" si="3"/>
        <v>3020.0479999999998</v>
      </c>
      <c r="W30" s="363">
        <f t="shared" si="4"/>
        <v>72257.112000000008</v>
      </c>
      <c r="X30" s="363">
        <f t="shared" si="5"/>
        <v>9543.5600000000031</v>
      </c>
      <c r="Y30" s="363"/>
      <c r="AI30" s="363"/>
      <c r="AJ30" s="363"/>
      <c r="AK30" s="363"/>
      <c r="AL30" s="363"/>
      <c r="AM30" s="363"/>
      <c r="AN30" s="363"/>
    </row>
    <row r="31" spans="1:40">
      <c r="A31" s="2" t="s">
        <v>103</v>
      </c>
      <c r="B31" s="16">
        <f t="shared" ref="B31:O31" si="32">B101*0.8</f>
        <v>9519.2479999999996</v>
      </c>
      <c r="C31" s="16">
        <f t="shared" si="32"/>
        <v>2999.8720000000017</v>
      </c>
      <c r="D31" s="16">
        <f t="shared" si="32"/>
        <v>3709.0160000000005</v>
      </c>
      <c r="E31" s="16">
        <f t="shared" si="32"/>
        <v>2137.0719999999997</v>
      </c>
      <c r="F31" s="16">
        <f t="shared" si="32"/>
        <v>40258.776000000005</v>
      </c>
      <c r="G31" s="16">
        <f t="shared" si="32"/>
        <v>956.47199999999998</v>
      </c>
      <c r="H31" s="16">
        <f t="shared" si="32"/>
        <v>1127.3200000000002</v>
      </c>
      <c r="I31" s="16">
        <f t="shared" si="32"/>
        <v>0</v>
      </c>
      <c r="J31" s="16">
        <f t="shared" si="32"/>
        <v>2344.0720000000001</v>
      </c>
      <c r="K31" s="16">
        <f t="shared" si="32"/>
        <v>173.904</v>
      </c>
      <c r="L31" s="16">
        <f t="shared" si="32"/>
        <v>0</v>
      </c>
      <c r="M31" s="16">
        <f t="shared" si="32"/>
        <v>0</v>
      </c>
      <c r="N31" s="16">
        <f t="shared" si="32"/>
        <v>76.08</v>
      </c>
      <c r="O31" s="16">
        <f t="shared" si="32"/>
        <v>0</v>
      </c>
      <c r="P31" s="16">
        <f>P101*0.8</f>
        <v>0</v>
      </c>
      <c r="Q31" s="16">
        <f>Q101*0.8</f>
        <v>0</v>
      </c>
      <c r="R31" s="8">
        <f t="shared" si="1"/>
        <v>63301.832000000017</v>
      </c>
      <c r="S31" s="363">
        <f t="shared" si="3"/>
        <v>9519.2479999999996</v>
      </c>
      <c r="T31" s="363">
        <f t="shared" si="3"/>
        <v>2999.8720000000017</v>
      </c>
      <c r="U31" s="363">
        <f t="shared" si="3"/>
        <v>3709.0160000000005</v>
      </c>
      <c r="V31" s="363">
        <f t="shared" si="3"/>
        <v>2137.0719999999997</v>
      </c>
      <c r="W31" s="363">
        <f t="shared" si="4"/>
        <v>41215.248000000007</v>
      </c>
      <c r="X31" s="363">
        <f t="shared" si="5"/>
        <v>3721.3760000000002</v>
      </c>
      <c r="Y31" s="363"/>
      <c r="AI31" s="363"/>
      <c r="AJ31" s="363"/>
      <c r="AK31" s="363"/>
      <c r="AL31" s="363"/>
      <c r="AM31" s="363"/>
      <c r="AN31" s="363"/>
    </row>
    <row r="32" spans="1:40">
      <c r="A32" s="4" t="s">
        <v>37</v>
      </c>
      <c r="B32" s="5">
        <f t="shared" ref="B32:R32" si="33">SUM(B5:B31)</f>
        <v>1963197.52</v>
      </c>
      <c r="C32" s="5">
        <f t="shared" si="33"/>
        <v>1128397.6719999998</v>
      </c>
      <c r="D32" s="5">
        <f t="shared" si="33"/>
        <v>904273.6399999999</v>
      </c>
      <c r="E32" s="5">
        <f t="shared" si="33"/>
        <v>324026.39199999999</v>
      </c>
      <c r="F32" s="5">
        <f t="shared" si="33"/>
        <v>8185983.1040000003</v>
      </c>
      <c r="G32" s="5">
        <f t="shared" si="33"/>
        <v>180425.40000000005</v>
      </c>
      <c r="H32" s="5">
        <f t="shared" si="33"/>
        <v>346584.592</v>
      </c>
      <c r="I32" s="5">
        <f t="shared" si="33"/>
        <v>35290.872000000003</v>
      </c>
      <c r="J32" s="5">
        <f t="shared" si="33"/>
        <v>564088.36800000002</v>
      </c>
      <c r="K32" s="5">
        <f t="shared" si="33"/>
        <v>32780.904000000002</v>
      </c>
      <c r="L32" s="5">
        <f t="shared" si="33"/>
        <v>5043.2160000000003</v>
      </c>
      <c r="M32" s="5">
        <f t="shared" si="33"/>
        <v>6189.9279999999999</v>
      </c>
      <c r="N32" s="5">
        <f t="shared" si="33"/>
        <v>8495.5999999999985</v>
      </c>
      <c r="O32" s="5">
        <f t="shared" si="33"/>
        <v>92.992000000000004</v>
      </c>
      <c r="P32" s="5">
        <f t="shared" si="33"/>
        <v>139.42400000000001</v>
      </c>
      <c r="Q32" s="5">
        <f t="shared" si="33"/>
        <v>2738.8720000000003</v>
      </c>
      <c r="R32" s="5">
        <f t="shared" si="33"/>
        <v>13687748.496000001</v>
      </c>
      <c r="S32" s="363">
        <f t="shared" ref="S32:X32" si="34">SUM(S5:S31)</f>
        <v>1963197.52</v>
      </c>
      <c r="T32" s="363">
        <f t="shared" si="34"/>
        <v>1128397.6719999998</v>
      </c>
      <c r="U32" s="363">
        <f t="shared" si="34"/>
        <v>904273.6399999999</v>
      </c>
      <c r="V32" s="363">
        <f t="shared" si="34"/>
        <v>324026.39199999999</v>
      </c>
      <c r="W32" s="363">
        <f t="shared" si="34"/>
        <v>8366408.5039999997</v>
      </c>
      <c r="X32" s="363">
        <f t="shared" si="34"/>
        <v>1001444.7680000003</v>
      </c>
      <c r="Y32" s="363"/>
      <c r="AI32" s="363"/>
      <c r="AJ32" s="363"/>
      <c r="AK32" s="363"/>
      <c r="AL32" s="363"/>
      <c r="AM32" s="363"/>
      <c r="AN32" s="363"/>
    </row>
    <row r="33" spans="1:40">
      <c r="A33" s="351" t="s">
        <v>48</v>
      </c>
      <c r="B33" s="352"/>
      <c r="C33" s="353"/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353"/>
      <c r="O33" s="353"/>
      <c r="P33" s="353"/>
      <c r="Q33" s="353"/>
      <c r="R33" s="352"/>
      <c r="Y33" s="363"/>
    </row>
    <row r="34" spans="1:40">
      <c r="A34" s="364"/>
      <c r="B34" s="364"/>
      <c r="C34" s="365"/>
      <c r="D34" s="365"/>
      <c r="E34" s="365"/>
      <c r="F34" s="365"/>
      <c r="G34" s="365"/>
      <c r="H34" s="365"/>
      <c r="I34" s="365"/>
      <c r="J34" s="365"/>
      <c r="K34" s="365"/>
      <c r="L34" s="365"/>
      <c r="M34" s="365"/>
      <c r="N34" s="365"/>
      <c r="O34" s="365"/>
      <c r="P34" s="365"/>
      <c r="Q34" s="365"/>
      <c r="R34" s="366"/>
    </row>
    <row r="35" spans="1:40">
      <c r="A35" s="358"/>
      <c r="B35" s="358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60"/>
    </row>
    <row r="36" spans="1:40">
      <c r="A36" s="367"/>
      <c r="B36" s="367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9"/>
    </row>
    <row r="37" spans="1:40" ht="46.5">
      <c r="A37" s="837" t="s">
        <v>68</v>
      </c>
      <c r="B37" s="838"/>
      <c r="C37" s="838"/>
      <c r="D37" s="838"/>
      <c r="E37" s="838"/>
      <c r="F37" s="838"/>
      <c r="G37" s="838"/>
      <c r="H37" s="838"/>
      <c r="I37" s="838"/>
      <c r="J37" s="838"/>
      <c r="K37" s="838"/>
      <c r="L37" s="838"/>
      <c r="M37" s="838"/>
      <c r="N37" s="838"/>
      <c r="O37" s="838"/>
      <c r="P37" s="838"/>
      <c r="Q37" s="838"/>
      <c r="R37" s="839"/>
    </row>
    <row r="38" spans="1:40" s="372" customFormat="1" ht="35.1" customHeight="1">
      <c r="A38" s="835" t="s">
        <v>33</v>
      </c>
      <c r="B38" s="833" t="s">
        <v>27</v>
      </c>
      <c r="C38" s="834"/>
      <c r="D38" s="833" t="s">
        <v>29</v>
      </c>
      <c r="E38" s="834"/>
      <c r="F38" s="835" t="s">
        <v>28</v>
      </c>
      <c r="G38" s="835" t="s">
        <v>36</v>
      </c>
      <c r="H38" s="835" t="s">
        <v>30</v>
      </c>
      <c r="I38" s="835" t="s">
        <v>31</v>
      </c>
      <c r="J38" s="835" t="s">
        <v>41</v>
      </c>
      <c r="K38" s="835" t="s">
        <v>35</v>
      </c>
      <c r="L38" s="835" t="s">
        <v>40</v>
      </c>
      <c r="M38" s="835" t="s">
        <v>42</v>
      </c>
      <c r="N38" s="835" t="s">
        <v>45</v>
      </c>
      <c r="O38" s="835" t="s">
        <v>279</v>
      </c>
      <c r="P38" s="833" t="s">
        <v>52</v>
      </c>
      <c r="Q38" s="834"/>
      <c r="R38" s="835" t="s">
        <v>34</v>
      </c>
      <c r="S38" s="357"/>
      <c r="T38" s="357"/>
      <c r="U38" s="357"/>
      <c r="V38" s="357"/>
      <c r="W38" s="357"/>
      <c r="X38" s="357"/>
      <c r="Y38" s="357"/>
      <c r="AI38" s="357"/>
      <c r="AJ38" s="357"/>
      <c r="AK38" s="357"/>
      <c r="AL38" s="357"/>
      <c r="AM38" s="357"/>
      <c r="AN38" s="357"/>
    </row>
    <row r="39" spans="1:40" s="372" customFormat="1" ht="35.1" customHeight="1">
      <c r="A39" s="836"/>
      <c r="B39" s="361" t="s">
        <v>43</v>
      </c>
      <c r="C39" s="361" t="s">
        <v>44</v>
      </c>
      <c r="D39" s="361" t="s">
        <v>43</v>
      </c>
      <c r="E39" s="361" t="s">
        <v>44</v>
      </c>
      <c r="F39" s="836"/>
      <c r="G39" s="836"/>
      <c r="H39" s="836"/>
      <c r="I39" s="836"/>
      <c r="J39" s="836"/>
      <c r="K39" s="836"/>
      <c r="L39" s="836"/>
      <c r="M39" s="836"/>
      <c r="N39" s="836"/>
      <c r="O39" s="836"/>
      <c r="P39" s="362" t="s">
        <v>50</v>
      </c>
      <c r="Q39" s="362" t="s">
        <v>51</v>
      </c>
      <c r="R39" s="836"/>
      <c r="S39" s="372" t="s">
        <v>173</v>
      </c>
      <c r="T39" s="372" t="s">
        <v>291</v>
      </c>
      <c r="U39" s="372" t="s">
        <v>174</v>
      </c>
      <c r="V39" s="372" t="s">
        <v>292</v>
      </c>
      <c r="W39" s="372" t="s">
        <v>28</v>
      </c>
      <c r="X39" s="372" t="s">
        <v>175</v>
      </c>
      <c r="Y39" s="726"/>
    </row>
    <row r="40" spans="1:40">
      <c r="A40" s="2" t="s">
        <v>77</v>
      </c>
      <c r="B40" s="16">
        <f t="shared" ref="B40:Q40" si="35">B75*0.2</f>
        <v>2885.4660000000003</v>
      </c>
      <c r="C40" s="16">
        <f t="shared" si="35"/>
        <v>1714.3460000000005</v>
      </c>
      <c r="D40" s="16">
        <f t="shared" si="35"/>
        <v>761.69600000000003</v>
      </c>
      <c r="E40" s="16">
        <f t="shared" si="35"/>
        <v>136.11600000000007</v>
      </c>
      <c r="F40" s="16">
        <f t="shared" si="35"/>
        <v>5717.094000000001</v>
      </c>
      <c r="G40" s="16">
        <f t="shared" si="35"/>
        <v>413.02199999999993</v>
      </c>
      <c r="H40" s="16">
        <f t="shared" si="35"/>
        <v>321.97000000000003</v>
      </c>
      <c r="I40" s="16">
        <f t="shared" si="35"/>
        <v>0</v>
      </c>
      <c r="J40" s="16">
        <f t="shared" si="35"/>
        <v>717.58200000000011</v>
      </c>
      <c r="K40" s="16">
        <f t="shared" si="35"/>
        <v>173.904</v>
      </c>
      <c r="L40" s="16">
        <f t="shared" si="35"/>
        <v>0</v>
      </c>
      <c r="M40" s="16">
        <f t="shared" si="35"/>
        <v>0</v>
      </c>
      <c r="N40" s="16">
        <f t="shared" si="35"/>
        <v>19.02</v>
      </c>
      <c r="O40" s="16">
        <f t="shared" si="35"/>
        <v>0</v>
      </c>
      <c r="P40" s="16">
        <f t="shared" si="35"/>
        <v>0</v>
      </c>
      <c r="Q40" s="16">
        <f t="shared" si="35"/>
        <v>0</v>
      </c>
      <c r="R40" s="8">
        <f t="shared" ref="R40:R66" si="36">SUM(B40:Q40)</f>
        <v>12860.216000000002</v>
      </c>
      <c r="S40" s="363">
        <f>B40</f>
        <v>2885.4660000000003</v>
      </c>
      <c r="T40" s="363">
        <f>C40</f>
        <v>1714.3460000000005</v>
      </c>
      <c r="U40" s="363">
        <f>D40</f>
        <v>761.69600000000003</v>
      </c>
      <c r="V40" s="363">
        <f>E40</f>
        <v>136.11600000000007</v>
      </c>
      <c r="W40" s="363">
        <f>F40+G40</f>
        <v>6130.1160000000009</v>
      </c>
      <c r="X40" s="363">
        <f>SUM(H40:Q40)</f>
        <v>1232.4760000000001</v>
      </c>
      <c r="AI40" s="363"/>
      <c r="AJ40" s="363"/>
      <c r="AK40" s="363"/>
      <c r="AL40" s="363"/>
      <c r="AM40" s="363"/>
      <c r="AN40" s="363"/>
    </row>
    <row r="41" spans="1:40">
      <c r="A41" s="2" t="s">
        <v>78</v>
      </c>
      <c r="B41" s="16">
        <f t="shared" ref="B41:Q41" si="37">B76*0.2</f>
        <v>4485.8320000000003</v>
      </c>
      <c r="C41" s="16">
        <f t="shared" si="37"/>
        <v>2823.7840000000006</v>
      </c>
      <c r="D41" s="16">
        <f t="shared" si="37"/>
        <v>968.28800000000001</v>
      </c>
      <c r="E41" s="16">
        <f t="shared" si="37"/>
        <v>303.46400000000011</v>
      </c>
      <c r="F41" s="16">
        <f t="shared" si="37"/>
        <v>18390.348000000002</v>
      </c>
      <c r="G41" s="16">
        <f t="shared" si="37"/>
        <v>652.1400000000001</v>
      </c>
      <c r="H41" s="16">
        <f t="shared" si="37"/>
        <v>901.29</v>
      </c>
      <c r="I41" s="16">
        <f t="shared" si="37"/>
        <v>0</v>
      </c>
      <c r="J41" s="16">
        <f t="shared" si="37"/>
        <v>1269.222</v>
      </c>
      <c r="K41" s="16">
        <f t="shared" si="37"/>
        <v>130.428</v>
      </c>
      <c r="L41" s="16">
        <f t="shared" si="37"/>
        <v>0</v>
      </c>
      <c r="M41" s="16">
        <f t="shared" si="37"/>
        <v>0</v>
      </c>
      <c r="N41" s="16">
        <f t="shared" si="37"/>
        <v>6.34</v>
      </c>
      <c r="O41" s="16">
        <f t="shared" si="37"/>
        <v>0</v>
      </c>
      <c r="P41" s="16">
        <f t="shared" si="37"/>
        <v>0</v>
      </c>
      <c r="Q41" s="16">
        <f t="shared" si="37"/>
        <v>0</v>
      </c>
      <c r="R41" s="8">
        <f t="shared" si="36"/>
        <v>29931.136000000002</v>
      </c>
      <c r="S41" s="363">
        <f t="shared" ref="S41:V66" si="38">B41</f>
        <v>4485.8320000000003</v>
      </c>
      <c r="T41" s="363">
        <f t="shared" si="38"/>
        <v>2823.7840000000006</v>
      </c>
      <c r="U41" s="363">
        <f t="shared" si="38"/>
        <v>968.28800000000001</v>
      </c>
      <c r="V41" s="363">
        <f t="shared" si="38"/>
        <v>303.46400000000011</v>
      </c>
      <c r="W41" s="363">
        <f t="shared" ref="W41:W66" si="39">F41+G41</f>
        <v>19042.488000000001</v>
      </c>
      <c r="X41" s="363">
        <f t="shared" ref="X41:X66" si="40">SUM(H41:Q41)</f>
        <v>2307.2799999999997</v>
      </c>
      <c r="AI41" s="363"/>
      <c r="AJ41" s="363"/>
      <c r="AK41" s="363"/>
      <c r="AL41" s="363"/>
      <c r="AM41" s="363"/>
      <c r="AN41" s="363"/>
    </row>
    <row r="42" spans="1:40">
      <c r="A42" s="2" t="s">
        <v>79</v>
      </c>
      <c r="B42" s="16">
        <f t="shared" ref="B42:Q42" si="41">B77*0.2</f>
        <v>2431.2260000000001</v>
      </c>
      <c r="C42" s="16">
        <f t="shared" si="41"/>
        <v>1108.4860000000006</v>
      </c>
      <c r="D42" s="16">
        <f t="shared" si="41"/>
        <v>554.43600000000004</v>
      </c>
      <c r="E42" s="16">
        <f t="shared" si="41"/>
        <v>0</v>
      </c>
      <c r="F42" s="16">
        <f t="shared" si="41"/>
        <v>7995.2360000000008</v>
      </c>
      <c r="G42" s="16">
        <f t="shared" si="41"/>
        <v>978.21</v>
      </c>
      <c r="H42" s="16">
        <f t="shared" si="41"/>
        <v>212.04199999999997</v>
      </c>
      <c r="I42" s="16">
        <f t="shared" si="41"/>
        <v>0</v>
      </c>
      <c r="J42" s="16">
        <f t="shared" si="41"/>
        <v>565.16</v>
      </c>
      <c r="K42" s="16">
        <f t="shared" si="41"/>
        <v>173.904</v>
      </c>
      <c r="L42" s="16">
        <f t="shared" si="41"/>
        <v>0</v>
      </c>
      <c r="M42" s="16">
        <f t="shared" si="41"/>
        <v>0</v>
      </c>
      <c r="N42" s="16">
        <f t="shared" si="41"/>
        <v>0</v>
      </c>
      <c r="O42" s="16">
        <f t="shared" si="41"/>
        <v>0</v>
      </c>
      <c r="P42" s="16">
        <f t="shared" si="41"/>
        <v>0</v>
      </c>
      <c r="Q42" s="16">
        <f t="shared" si="41"/>
        <v>0</v>
      </c>
      <c r="R42" s="8">
        <f t="shared" si="36"/>
        <v>14018.7</v>
      </c>
      <c r="S42" s="363">
        <f t="shared" si="38"/>
        <v>2431.2260000000001</v>
      </c>
      <c r="T42" s="363">
        <f t="shared" si="38"/>
        <v>1108.4860000000006</v>
      </c>
      <c r="U42" s="363">
        <f t="shared" si="38"/>
        <v>554.43600000000004</v>
      </c>
      <c r="V42" s="363">
        <f t="shared" si="38"/>
        <v>0</v>
      </c>
      <c r="W42" s="363">
        <f t="shared" si="39"/>
        <v>8973.4459999999999</v>
      </c>
      <c r="X42" s="363">
        <f t="shared" si="40"/>
        <v>951.10599999999999</v>
      </c>
      <c r="AI42" s="363"/>
      <c r="AJ42" s="363"/>
      <c r="AK42" s="363"/>
      <c r="AL42" s="363"/>
      <c r="AM42" s="363"/>
      <c r="AN42" s="363"/>
    </row>
    <row r="43" spans="1:40">
      <c r="A43" s="2" t="s">
        <v>80</v>
      </c>
      <c r="B43" s="16">
        <f t="shared" ref="B43:O43" si="42">B78*0.2</f>
        <v>5090.4580000000005</v>
      </c>
      <c r="C43" s="16">
        <f t="shared" si="42"/>
        <v>2133.5880000000006</v>
      </c>
      <c r="D43" s="16">
        <f t="shared" si="42"/>
        <v>968.49800000000005</v>
      </c>
      <c r="E43" s="16">
        <f t="shared" si="42"/>
        <v>164.25800000000018</v>
      </c>
      <c r="F43" s="16">
        <f t="shared" si="42"/>
        <v>17672.994000000002</v>
      </c>
      <c r="G43" s="16">
        <f t="shared" si="42"/>
        <v>521.71199999999999</v>
      </c>
      <c r="H43" s="16">
        <f t="shared" si="42"/>
        <v>470.51000000000005</v>
      </c>
      <c r="I43" s="16">
        <f t="shared" si="42"/>
        <v>0</v>
      </c>
      <c r="J43" s="16">
        <f t="shared" si="42"/>
        <v>1100.3680000000002</v>
      </c>
      <c r="K43" s="16">
        <f t="shared" si="42"/>
        <v>86.951999999999998</v>
      </c>
      <c r="L43" s="16">
        <f t="shared" si="42"/>
        <v>43.475999999999999</v>
      </c>
      <c r="M43" s="16">
        <f t="shared" si="42"/>
        <v>152.37800000000001</v>
      </c>
      <c r="N43" s="16">
        <f t="shared" si="42"/>
        <v>12.68</v>
      </c>
      <c r="O43" s="16">
        <f t="shared" si="42"/>
        <v>0</v>
      </c>
      <c r="P43" s="16">
        <v>0</v>
      </c>
      <c r="Q43" s="16">
        <v>0</v>
      </c>
      <c r="R43" s="8">
        <f t="shared" si="36"/>
        <v>28417.871999999999</v>
      </c>
      <c r="S43" s="363">
        <f t="shared" si="38"/>
        <v>5090.4580000000005</v>
      </c>
      <c r="T43" s="363">
        <f t="shared" si="38"/>
        <v>2133.5880000000006</v>
      </c>
      <c r="U43" s="363">
        <f t="shared" si="38"/>
        <v>968.49800000000005</v>
      </c>
      <c r="V43" s="363">
        <f t="shared" si="38"/>
        <v>164.25800000000018</v>
      </c>
      <c r="W43" s="363">
        <f t="shared" si="39"/>
        <v>18194.706000000002</v>
      </c>
      <c r="X43" s="363">
        <f t="shared" si="40"/>
        <v>1866.364</v>
      </c>
      <c r="AI43" s="363"/>
      <c r="AJ43" s="363"/>
      <c r="AK43" s="363"/>
      <c r="AL43" s="363"/>
      <c r="AM43" s="363"/>
      <c r="AN43" s="363"/>
    </row>
    <row r="44" spans="1:40">
      <c r="A44" s="2" t="s">
        <v>81</v>
      </c>
      <c r="B44" s="16">
        <f t="shared" ref="B44:O44" si="43">B79*0.2</f>
        <v>16507.083999999999</v>
      </c>
      <c r="C44" s="16">
        <f t="shared" si="43"/>
        <v>6974.4660000000003</v>
      </c>
      <c r="D44" s="16">
        <f t="shared" si="43"/>
        <v>5316.2360000000008</v>
      </c>
      <c r="E44" s="16">
        <f t="shared" si="43"/>
        <v>1350.8660000000004</v>
      </c>
      <c r="F44" s="16">
        <f t="shared" si="43"/>
        <v>56388.372000000003</v>
      </c>
      <c r="G44" s="16">
        <f t="shared" si="43"/>
        <v>1934.682</v>
      </c>
      <c r="H44" s="16">
        <f t="shared" si="43"/>
        <v>1827.6000000000001</v>
      </c>
      <c r="I44" s="16">
        <f t="shared" si="43"/>
        <v>0</v>
      </c>
      <c r="J44" s="16">
        <f t="shared" si="43"/>
        <v>3808.2280000000001</v>
      </c>
      <c r="K44" s="16">
        <f t="shared" si="43"/>
        <v>326.07</v>
      </c>
      <c r="L44" s="16">
        <f t="shared" si="43"/>
        <v>86.951999999999998</v>
      </c>
      <c r="M44" s="16">
        <f t="shared" si="43"/>
        <v>126.80799999999999</v>
      </c>
      <c r="N44" s="16">
        <f t="shared" si="43"/>
        <v>82.420000000000016</v>
      </c>
      <c r="O44" s="16">
        <f t="shared" si="43"/>
        <v>0</v>
      </c>
      <c r="P44" s="16">
        <f t="shared" ref="P44:Q56" si="44">P79*0.2</f>
        <v>0</v>
      </c>
      <c r="Q44" s="16">
        <f t="shared" si="44"/>
        <v>0</v>
      </c>
      <c r="R44" s="8">
        <f t="shared" si="36"/>
        <v>94729.784000000029</v>
      </c>
      <c r="S44" s="363">
        <f t="shared" si="38"/>
        <v>16507.083999999999</v>
      </c>
      <c r="T44" s="363">
        <f t="shared" si="38"/>
        <v>6974.4660000000003</v>
      </c>
      <c r="U44" s="363">
        <f t="shared" si="38"/>
        <v>5316.2360000000008</v>
      </c>
      <c r="V44" s="363">
        <f t="shared" si="38"/>
        <v>1350.8660000000004</v>
      </c>
      <c r="W44" s="363">
        <f t="shared" si="39"/>
        <v>58323.054000000004</v>
      </c>
      <c r="X44" s="363">
        <f t="shared" si="40"/>
        <v>6258.0780000000004</v>
      </c>
      <c r="AI44" s="363"/>
      <c r="AJ44" s="363"/>
      <c r="AK44" s="363"/>
      <c r="AL44" s="363"/>
      <c r="AM44" s="363"/>
      <c r="AN44" s="363"/>
    </row>
    <row r="45" spans="1:40">
      <c r="A45" s="2" t="s">
        <v>82</v>
      </c>
      <c r="B45" s="16">
        <f t="shared" ref="B45:O45" si="45">B80*0.2</f>
        <v>16152.344000000001</v>
      </c>
      <c r="C45" s="16">
        <f t="shared" si="45"/>
        <v>10291.453999999998</v>
      </c>
      <c r="D45" s="16">
        <f t="shared" si="45"/>
        <v>3237.326</v>
      </c>
      <c r="E45" s="16">
        <f t="shared" si="45"/>
        <v>1163.0500000000004</v>
      </c>
      <c r="F45" s="16">
        <f t="shared" si="45"/>
        <v>35715.534000000007</v>
      </c>
      <c r="G45" s="16">
        <f t="shared" si="45"/>
        <v>869.5200000000001</v>
      </c>
      <c r="H45" s="16">
        <f t="shared" si="45"/>
        <v>2233.5040000000004</v>
      </c>
      <c r="I45" s="16">
        <f t="shared" si="45"/>
        <v>391.28400000000005</v>
      </c>
      <c r="J45" s="16">
        <f t="shared" si="45"/>
        <v>4469.1020000000008</v>
      </c>
      <c r="K45" s="16">
        <f t="shared" si="45"/>
        <v>217.38000000000002</v>
      </c>
      <c r="L45" s="16">
        <f t="shared" si="45"/>
        <v>0</v>
      </c>
      <c r="M45" s="16">
        <f t="shared" si="45"/>
        <v>88.766000000000005</v>
      </c>
      <c r="N45" s="16">
        <f t="shared" si="45"/>
        <v>25.36</v>
      </c>
      <c r="O45" s="16">
        <f t="shared" si="45"/>
        <v>0</v>
      </c>
      <c r="P45" s="16">
        <f t="shared" si="44"/>
        <v>14.418000000000001</v>
      </c>
      <c r="Q45" s="16">
        <f t="shared" si="44"/>
        <v>553.15600000000006</v>
      </c>
      <c r="R45" s="8">
        <f t="shared" si="36"/>
        <v>75422.198000000033</v>
      </c>
      <c r="S45" s="363">
        <f t="shared" si="38"/>
        <v>16152.344000000001</v>
      </c>
      <c r="T45" s="363">
        <f t="shared" si="38"/>
        <v>10291.453999999998</v>
      </c>
      <c r="U45" s="363">
        <f t="shared" si="38"/>
        <v>3237.326</v>
      </c>
      <c r="V45" s="363">
        <f t="shared" si="38"/>
        <v>1163.0500000000004</v>
      </c>
      <c r="W45" s="363">
        <f t="shared" si="39"/>
        <v>36585.054000000004</v>
      </c>
      <c r="X45" s="363">
        <f t="shared" si="40"/>
        <v>7992.97</v>
      </c>
      <c r="AI45" s="363"/>
      <c r="AJ45" s="363"/>
      <c r="AK45" s="363"/>
      <c r="AL45" s="363"/>
      <c r="AM45" s="363"/>
      <c r="AN45" s="363"/>
    </row>
    <row r="46" spans="1:40">
      <c r="A46" s="2" t="s">
        <v>83</v>
      </c>
      <c r="B46" s="16">
        <f t="shared" ref="B46:O46" si="46">B81*0.2</f>
        <v>28549.952000000005</v>
      </c>
      <c r="C46" s="16">
        <f t="shared" si="46"/>
        <v>14478.941999999999</v>
      </c>
      <c r="D46" s="16">
        <f t="shared" si="46"/>
        <v>5706.7240000000002</v>
      </c>
      <c r="E46" s="16">
        <f t="shared" si="46"/>
        <v>1145.0239999999999</v>
      </c>
      <c r="F46" s="16">
        <f t="shared" si="46"/>
        <v>33672.162000000004</v>
      </c>
      <c r="G46" s="16">
        <f t="shared" si="46"/>
        <v>1565.1360000000002</v>
      </c>
      <c r="H46" s="16">
        <f t="shared" si="46"/>
        <v>3191.5819999999999</v>
      </c>
      <c r="I46" s="16">
        <f t="shared" si="46"/>
        <v>58.77000000000001</v>
      </c>
      <c r="J46" s="16">
        <f t="shared" si="46"/>
        <v>7288.746000000001</v>
      </c>
      <c r="K46" s="16">
        <f t="shared" si="46"/>
        <v>152.16600000000003</v>
      </c>
      <c r="L46" s="16">
        <f t="shared" si="46"/>
        <v>43.475999999999999</v>
      </c>
      <c r="M46" s="16">
        <f t="shared" si="46"/>
        <v>0</v>
      </c>
      <c r="N46" s="16">
        <f t="shared" si="46"/>
        <v>139.47999999999999</v>
      </c>
      <c r="O46" s="16">
        <f t="shared" si="46"/>
        <v>0</v>
      </c>
      <c r="P46" s="16">
        <f t="shared" si="44"/>
        <v>0</v>
      </c>
      <c r="Q46" s="16">
        <f t="shared" si="44"/>
        <v>0</v>
      </c>
      <c r="R46" s="8">
        <f t="shared" si="36"/>
        <v>95992.159999999989</v>
      </c>
      <c r="S46" s="363">
        <f t="shared" si="38"/>
        <v>28549.952000000005</v>
      </c>
      <c r="T46" s="363">
        <f t="shared" si="38"/>
        <v>14478.941999999999</v>
      </c>
      <c r="U46" s="363">
        <f t="shared" si="38"/>
        <v>5706.7240000000002</v>
      </c>
      <c r="V46" s="363">
        <f t="shared" si="38"/>
        <v>1145.0239999999999</v>
      </c>
      <c r="W46" s="363">
        <f t="shared" si="39"/>
        <v>35237.298000000003</v>
      </c>
      <c r="X46" s="363">
        <f t="shared" si="40"/>
        <v>10874.220000000001</v>
      </c>
      <c r="AI46" s="363"/>
      <c r="AJ46" s="363"/>
      <c r="AK46" s="363"/>
      <c r="AL46" s="363"/>
      <c r="AM46" s="363"/>
      <c r="AN46" s="363"/>
    </row>
    <row r="47" spans="1:40">
      <c r="A47" s="2" t="s">
        <v>84</v>
      </c>
      <c r="B47" s="16">
        <f t="shared" ref="B47:O47" si="47">B82*0.2</f>
        <v>15510.862000000001</v>
      </c>
      <c r="C47" s="16">
        <f t="shared" si="47"/>
        <v>6108.1739999999991</v>
      </c>
      <c r="D47" s="16">
        <f t="shared" si="47"/>
        <v>4562.308</v>
      </c>
      <c r="E47" s="16">
        <f t="shared" si="47"/>
        <v>425.09799999999962</v>
      </c>
      <c r="F47" s="16">
        <f t="shared" si="47"/>
        <v>35411.202000000005</v>
      </c>
      <c r="G47" s="16">
        <f t="shared" si="47"/>
        <v>1195.5900000000001</v>
      </c>
      <c r="H47" s="16">
        <f t="shared" si="47"/>
        <v>1432.0600000000002</v>
      </c>
      <c r="I47" s="16">
        <f t="shared" si="47"/>
        <v>72.462000000000003</v>
      </c>
      <c r="J47" s="16">
        <f t="shared" si="47"/>
        <v>3379.0439999999999</v>
      </c>
      <c r="K47" s="16">
        <f t="shared" si="47"/>
        <v>239.11799999999999</v>
      </c>
      <c r="L47" s="16">
        <f t="shared" si="47"/>
        <v>0</v>
      </c>
      <c r="M47" s="16">
        <f t="shared" si="47"/>
        <v>0</v>
      </c>
      <c r="N47" s="16">
        <f t="shared" si="47"/>
        <v>44.38</v>
      </c>
      <c r="O47" s="16">
        <f t="shared" si="47"/>
        <v>0</v>
      </c>
      <c r="P47" s="16">
        <f t="shared" si="44"/>
        <v>0</v>
      </c>
      <c r="Q47" s="16">
        <f t="shared" si="44"/>
        <v>0</v>
      </c>
      <c r="R47" s="8">
        <f t="shared" si="36"/>
        <v>68380.297999999995</v>
      </c>
      <c r="S47" s="363">
        <f t="shared" si="38"/>
        <v>15510.862000000001</v>
      </c>
      <c r="T47" s="363">
        <f t="shared" si="38"/>
        <v>6108.1739999999991</v>
      </c>
      <c r="U47" s="363">
        <f t="shared" si="38"/>
        <v>4562.308</v>
      </c>
      <c r="V47" s="363">
        <f t="shared" si="38"/>
        <v>425.09799999999962</v>
      </c>
      <c r="W47" s="363">
        <f t="shared" si="39"/>
        <v>36606.792000000001</v>
      </c>
      <c r="X47" s="363">
        <f t="shared" si="40"/>
        <v>5167.0640000000003</v>
      </c>
      <c r="AI47" s="363"/>
      <c r="AJ47" s="363"/>
      <c r="AK47" s="363"/>
      <c r="AL47" s="363"/>
      <c r="AM47" s="363"/>
      <c r="AN47" s="363"/>
    </row>
    <row r="48" spans="1:40">
      <c r="A48" s="2" t="s">
        <v>85</v>
      </c>
      <c r="B48" s="16">
        <f t="shared" ref="B48:O48" si="48">B83*0.2</f>
        <v>16963.912</v>
      </c>
      <c r="C48" s="16">
        <f t="shared" si="48"/>
        <v>17540.609999999997</v>
      </c>
      <c r="D48" s="16">
        <f t="shared" si="48"/>
        <v>3483.152</v>
      </c>
      <c r="E48" s="16">
        <f t="shared" si="48"/>
        <v>837.66400000000067</v>
      </c>
      <c r="F48" s="16">
        <f t="shared" si="48"/>
        <v>68083.416000000012</v>
      </c>
      <c r="G48" s="16">
        <f t="shared" si="48"/>
        <v>1499.9220000000003</v>
      </c>
      <c r="H48" s="16">
        <f t="shared" si="48"/>
        <v>3415.02</v>
      </c>
      <c r="I48" s="16">
        <f t="shared" si="48"/>
        <v>65.304000000000002</v>
      </c>
      <c r="J48" s="16">
        <f t="shared" si="48"/>
        <v>5335.1860000000006</v>
      </c>
      <c r="K48" s="16">
        <f t="shared" si="48"/>
        <v>152.16600000000003</v>
      </c>
      <c r="L48" s="16">
        <f t="shared" si="48"/>
        <v>43.475999999999999</v>
      </c>
      <c r="M48" s="16">
        <f t="shared" si="48"/>
        <v>965.70800000000008</v>
      </c>
      <c r="N48" s="16">
        <f t="shared" si="48"/>
        <v>63.400000000000006</v>
      </c>
      <c r="O48" s="16">
        <f t="shared" si="48"/>
        <v>0</v>
      </c>
      <c r="P48" s="16">
        <f t="shared" si="44"/>
        <v>0</v>
      </c>
      <c r="Q48" s="16">
        <f t="shared" si="44"/>
        <v>0</v>
      </c>
      <c r="R48" s="8">
        <f t="shared" si="36"/>
        <v>118448.93600000002</v>
      </c>
      <c r="S48" s="363">
        <f t="shared" si="38"/>
        <v>16963.912</v>
      </c>
      <c r="T48" s="363">
        <f t="shared" si="38"/>
        <v>17540.609999999997</v>
      </c>
      <c r="U48" s="363">
        <f t="shared" si="38"/>
        <v>3483.152</v>
      </c>
      <c r="V48" s="363">
        <f t="shared" si="38"/>
        <v>837.66400000000067</v>
      </c>
      <c r="W48" s="363">
        <f t="shared" si="39"/>
        <v>69583.338000000018</v>
      </c>
      <c r="X48" s="363">
        <f t="shared" si="40"/>
        <v>10040.26</v>
      </c>
      <c r="AI48" s="363"/>
      <c r="AJ48" s="363"/>
      <c r="AK48" s="363"/>
      <c r="AL48" s="363"/>
      <c r="AM48" s="363"/>
      <c r="AN48" s="363"/>
    </row>
    <row r="49" spans="1:40">
      <c r="A49" s="2" t="s">
        <v>86</v>
      </c>
      <c r="B49" s="16">
        <f t="shared" ref="B49:O49" si="49">B84*0.2</f>
        <v>5585.7940000000008</v>
      </c>
      <c r="C49" s="16">
        <f t="shared" si="49"/>
        <v>3327.5760000000009</v>
      </c>
      <c r="D49" s="16">
        <f t="shared" si="49"/>
        <v>909.63799999999992</v>
      </c>
      <c r="E49" s="16">
        <f t="shared" si="49"/>
        <v>572.80599999999993</v>
      </c>
      <c r="F49" s="16">
        <f t="shared" si="49"/>
        <v>16738.260000000002</v>
      </c>
      <c r="G49" s="16">
        <f t="shared" si="49"/>
        <v>565.18799999999999</v>
      </c>
      <c r="H49" s="16">
        <f t="shared" si="49"/>
        <v>678.66800000000012</v>
      </c>
      <c r="I49" s="16">
        <f t="shared" si="49"/>
        <v>0</v>
      </c>
      <c r="J49" s="16">
        <f t="shared" si="49"/>
        <v>1543.164</v>
      </c>
      <c r="K49" s="16">
        <f t="shared" si="49"/>
        <v>282.59399999999999</v>
      </c>
      <c r="L49" s="16">
        <f t="shared" si="49"/>
        <v>0</v>
      </c>
      <c r="M49" s="16">
        <f t="shared" si="49"/>
        <v>0</v>
      </c>
      <c r="N49" s="16">
        <f t="shared" si="49"/>
        <v>25.36</v>
      </c>
      <c r="O49" s="16">
        <f t="shared" si="49"/>
        <v>0</v>
      </c>
      <c r="P49" s="16">
        <f t="shared" si="44"/>
        <v>0</v>
      </c>
      <c r="Q49" s="16">
        <f t="shared" si="44"/>
        <v>0</v>
      </c>
      <c r="R49" s="8">
        <f t="shared" si="36"/>
        <v>30229.048000000006</v>
      </c>
      <c r="S49" s="363">
        <f t="shared" si="38"/>
        <v>5585.7940000000008</v>
      </c>
      <c r="T49" s="363">
        <f t="shared" si="38"/>
        <v>3327.5760000000009</v>
      </c>
      <c r="U49" s="363">
        <f t="shared" si="38"/>
        <v>909.63799999999992</v>
      </c>
      <c r="V49" s="363">
        <f t="shared" si="38"/>
        <v>572.80599999999993</v>
      </c>
      <c r="W49" s="363">
        <f t="shared" si="39"/>
        <v>17303.448</v>
      </c>
      <c r="X49" s="363">
        <f t="shared" si="40"/>
        <v>2529.7860000000005</v>
      </c>
      <c r="AI49" s="363"/>
      <c r="AJ49" s="363"/>
      <c r="AK49" s="363"/>
      <c r="AL49" s="363"/>
      <c r="AM49" s="363"/>
      <c r="AN49" s="363"/>
    </row>
    <row r="50" spans="1:40">
      <c r="A50" s="2" t="s">
        <v>87</v>
      </c>
      <c r="B50" s="16">
        <f t="shared" ref="B50:O50" si="50">B85*0.2</f>
        <v>9454.4040000000005</v>
      </c>
      <c r="C50" s="16">
        <f t="shared" si="50"/>
        <v>3373.746000000001</v>
      </c>
      <c r="D50" s="16">
        <f t="shared" si="50"/>
        <v>5089.3240000000005</v>
      </c>
      <c r="E50" s="16">
        <f t="shared" si="50"/>
        <v>513.75600000000054</v>
      </c>
      <c r="F50" s="16">
        <f t="shared" si="50"/>
        <v>68213.843999999997</v>
      </c>
      <c r="G50" s="16">
        <f t="shared" si="50"/>
        <v>630.40200000000004</v>
      </c>
      <c r="H50" s="16">
        <f t="shared" si="50"/>
        <v>773.54200000000003</v>
      </c>
      <c r="I50" s="16">
        <f t="shared" si="50"/>
        <v>0</v>
      </c>
      <c r="J50" s="16">
        <f t="shared" si="50"/>
        <v>1940.5200000000002</v>
      </c>
      <c r="K50" s="16">
        <f t="shared" si="50"/>
        <v>195.64200000000002</v>
      </c>
      <c r="L50" s="16">
        <f t="shared" si="50"/>
        <v>0</v>
      </c>
      <c r="M50" s="16">
        <f t="shared" si="50"/>
        <v>0</v>
      </c>
      <c r="N50" s="16">
        <f t="shared" si="50"/>
        <v>31.700000000000003</v>
      </c>
      <c r="O50" s="16">
        <f t="shared" si="50"/>
        <v>0</v>
      </c>
      <c r="P50" s="16">
        <f t="shared" si="44"/>
        <v>0</v>
      </c>
      <c r="Q50" s="16">
        <f t="shared" si="44"/>
        <v>0</v>
      </c>
      <c r="R50" s="8">
        <f t="shared" si="36"/>
        <v>90216.88</v>
      </c>
      <c r="S50" s="363">
        <f t="shared" si="38"/>
        <v>9454.4040000000005</v>
      </c>
      <c r="T50" s="363">
        <f t="shared" si="38"/>
        <v>3373.746000000001</v>
      </c>
      <c r="U50" s="363">
        <f t="shared" si="38"/>
        <v>5089.3240000000005</v>
      </c>
      <c r="V50" s="363">
        <f t="shared" si="38"/>
        <v>513.75600000000054</v>
      </c>
      <c r="W50" s="363">
        <f t="shared" si="39"/>
        <v>68844.245999999999</v>
      </c>
      <c r="X50" s="363">
        <f t="shared" si="40"/>
        <v>2941.404</v>
      </c>
      <c r="AI50" s="363"/>
      <c r="AJ50" s="363"/>
      <c r="AK50" s="363"/>
      <c r="AL50" s="363"/>
      <c r="AM50" s="363"/>
      <c r="AN50" s="363"/>
    </row>
    <row r="51" spans="1:40">
      <c r="A51" s="2" t="s">
        <v>88</v>
      </c>
      <c r="B51" s="16">
        <f t="shared" ref="B51:O51" si="51">B86*0.2</f>
        <v>6653.6179999999995</v>
      </c>
      <c r="C51" s="16">
        <f t="shared" si="51"/>
        <v>6936.4160000000011</v>
      </c>
      <c r="D51" s="16">
        <f t="shared" si="51"/>
        <v>2472.1360000000004</v>
      </c>
      <c r="E51" s="16">
        <f t="shared" si="51"/>
        <v>954.52200000000016</v>
      </c>
      <c r="F51" s="16">
        <f t="shared" si="51"/>
        <v>42454.314000000006</v>
      </c>
      <c r="G51" s="16">
        <f t="shared" si="51"/>
        <v>739.0920000000001</v>
      </c>
      <c r="H51" s="16">
        <f t="shared" si="51"/>
        <v>2605.2000000000007</v>
      </c>
      <c r="I51" s="16">
        <f t="shared" si="51"/>
        <v>1567.6980000000001</v>
      </c>
      <c r="J51" s="16">
        <f t="shared" si="51"/>
        <v>2291.0540000000001</v>
      </c>
      <c r="K51" s="16">
        <f t="shared" si="51"/>
        <v>152.16600000000003</v>
      </c>
      <c r="L51" s="16">
        <f t="shared" si="51"/>
        <v>0</v>
      </c>
      <c r="M51" s="16">
        <f t="shared" si="51"/>
        <v>0</v>
      </c>
      <c r="N51" s="16">
        <f t="shared" si="51"/>
        <v>0</v>
      </c>
      <c r="O51" s="16">
        <f t="shared" si="51"/>
        <v>0</v>
      </c>
      <c r="P51" s="16">
        <f t="shared" si="44"/>
        <v>16</v>
      </c>
      <c r="Q51" s="16">
        <f t="shared" si="44"/>
        <v>0</v>
      </c>
      <c r="R51" s="8">
        <f t="shared" si="36"/>
        <v>66842.216</v>
      </c>
      <c r="S51" s="363">
        <f t="shared" si="38"/>
        <v>6653.6179999999995</v>
      </c>
      <c r="T51" s="363">
        <f t="shared" si="38"/>
        <v>6936.4160000000011</v>
      </c>
      <c r="U51" s="363">
        <f t="shared" si="38"/>
        <v>2472.1360000000004</v>
      </c>
      <c r="V51" s="363">
        <f t="shared" si="38"/>
        <v>954.52200000000016</v>
      </c>
      <c r="W51" s="363">
        <f t="shared" si="39"/>
        <v>43193.406000000003</v>
      </c>
      <c r="X51" s="363">
        <f t="shared" si="40"/>
        <v>6632.1180000000013</v>
      </c>
      <c r="AI51" s="363"/>
      <c r="AJ51" s="363"/>
      <c r="AK51" s="363"/>
      <c r="AL51" s="363"/>
      <c r="AM51" s="363"/>
      <c r="AN51" s="363"/>
    </row>
    <row r="52" spans="1:40">
      <c r="A52" s="2" t="s">
        <v>89</v>
      </c>
      <c r="B52" s="16">
        <f t="shared" ref="B52:O52" si="52">B87*0.2</f>
        <v>39590.792000000001</v>
      </c>
      <c r="C52" s="16">
        <f t="shared" si="52"/>
        <v>22873.223999999995</v>
      </c>
      <c r="D52" s="16">
        <f t="shared" si="52"/>
        <v>15082.466</v>
      </c>
      <c r="E52" s="16">
        <f t="shared" si="52"/>
        <v>5446.8339999999998</v>
      </c>
      <c r="F52" s="16">
        <f t="shared" si="52"/>
        <v>125515.21200000001</v>
      </c>
      <c r="G52" s="16">
        <f t="shared" si="52"/>
        <v>4151.9580000000005</v>
      </c>
      <c r="H52" s="16">
        <f t="shared" si="52"/>
        <v>6396.3640000000005</v>
      </c>
      <c r="I52" s="16">
        <f t="shared" si="52"/>
        <v>391.28400000000005</v>
      </c>
      <c r="J52" s="16">
        <f t="shared" si="52"/>
        <v>10908.946</v>
      </c>
      <c r="K52" s="16">
        <f t="shared" si="52"/>
        <v>434.76000000000005</v>
      </c>
      <c r="L52" s="16">
        <f t="shared" si="52"/>
        <v>86.951999999999998</v>
      </c>
      <c r="M52" s="16">
        <f t="shared" si="52"/>
        <v>0</v>
      </c>
      <c r="N52" s="16">
        <f t="shared" si="52"/>
        <v>158.5</v>
      </c>
      <c r="O52" s="16">
        <f t="shared" si="52"/>
        <v>0</v>
      </c>
      <c r="P52" s="16">
        <f t="shared" si="44"/>
        <v>0</v>
      </c>
      <c r="Q52" s="16">
        <f t="shared" si="44"/>
        <v>13.978000000000002</v>
      </c>
      <c r="R52" s="8">
        <f t="shared" si="36"/>
        <v>231051.27000000002</v>
      </c>
      <c r="S52" s="363">
        <f t="shared" si="38"/>
        <v>39590.792000000001</v>
      </c>
      <c r="T52" s="363">
        <f t="shared" si="38"/>
        <v>22873.223999999995</v>
      </c>
      <c r="U52" s="363">
        <f t="shared" si="38"/>
        <v>15082.466</v>
      </c>
      <c r="V52" s="363">
        <f t="shared" si="38"/>
        <v>5446.8339999999998</v>
      </c>
      <c r="W52" s="363">
        <f t="shared" si="39"/>
        <v>129667.17000000001</v>
      </c>
      <c r="X52" s="363">
        <f t="shared" si="40"/>
        <v>18390.784</v>
      </c>
      <c r="AI52" s="363"/>
      <c r="AJ52" s="363"/>
      <c r="AK52" s="363"/>
      <c r="AL52" s="363"/>
      <c r="AM52" s="363"/>
      <c r="AN52" s="363"/>
    </row>
    <row r="53" spans="1:40">
      <c r="A53" s="2" t="s">
        <v>90</v>
      </c>
      <c r="B53" s="16">
        <f t="shared" ref="B53:O53" si="53">B88*0.2</f>
        <v>6657.3040000000001</v>
      </c>
      <c r="C53" s="16">
        <f t="shared" si="53"/>
        <v>3307.9060000000013</v>
      </c>
      <c r="D53" s="16">
        <f t="shared" si="53"/>
        <v>2062.58</v>
      </c>
      <c r="E53" s="16">
        <f t="shared" si="53"/>
        <v>485.95600000000013</v>
      </c>
      <c r="F53" s="16">
        <f t="shared" si="53"/>
        <v>26302.98</v>
      </c>
      <c r="G53" s="16">
        <f t="shared" si="53"/>
        <v>1239.066</v>
      </c>
      <c r="H53" s="16">
        <f t="shared" si="53"/>
        <v>818.78800000000001</v>
      </c>
      <c r="I53" s="16">
        <f t="shared" si="53"/>
        <v>0</v>
      </c>
      <c r="J53" s="16">
        <f t="shared" si="53"/>
        <v>1679.81</v>
      </c>
      <c r="K53" s="16">
        <f t="shared" si="53"/>
        <v>86.951999999999998</v>
      </c>
      <c r="L53" s="16">
        <f t="shared" si="53"/>
        <v>0</v>
      </c>
      <c r="M53" s="16">
        <f t="shared" si="53"/>
        <v>0</v>
      </c>
      <c r="N53" s="16">
        <f t="shared" si="53"/>
        <v>19.02</v>
      </c>
      <c r="O53" s="16">
        <f t="shared" si="53"/>
        <v>0</v>
      </c>
      <c r="P53" s="16">
        <f t="shared" si="44"/>
        <v>0</v>
      </c>
      <c r="Q53" s="16">
        <f t="shared" si="44"/>
        <v>0</v>
      </c>
      <c r="R53" s="8">
        <f t="shared" si="36"/>
        <v>42660.361999999994</v>
      </c>
      <c r="S53" s="363">
        <f t="shared" si="38"/>
        <v>6657.3040000000001</v>
      </c>
      <c r="T53" s="363">
        <f t="shared" si="38"/>
        <v>3307.9060000000013</v>
      </c>
      <c r="U53" s="363">
        <f t="shared" si="38"/>
        <v>2062.58</v>
      </c>
      <c r="V53" s="363">
        <f t="shared" si="38"/>
        <v>485.95600000000013</v>
      </c>
      <c r="W53" s="363">
        <f t="shared" si="39"/>
        <v>27542.045999999998</v>
      </c>
      <c r="X53" s="363">
        <f t="shared" si="40"/>
        <v>2604.5700000000002</v>
      </c>
      <c r="AI53" s="363"/>
      <c r="AJ53" s="363"/>
      <c r="AK53" s="363"/>
      <c r="AL53" s="363"/>
      <c r="AM53" s="363"/>
      <c r="AN53" s="363"/>
    </row>
    <row r="54" spans="1:40">
      <c r="A54" s="2" t="s">
        <v>91</v>
      </c>
      <c r="B54" s="16">
        <f t="shared" ref="B54:O54" si="54">B89*0.2</f>
        <v>10800.560000000001</v>
      </c>
      <c r="C54" s="16">
        <f t="shared" si="54"/>
        <v>6558.601999999999</v>
      </c>
      <c r="D54" s="16">
        <f t="shared" si="54"/>
        <v>1571.0219999999999</v>
      </c>
      <c r="E54" s="16">
        <f t="shared" si="54"/>
        <v>842.79800000000023</v>
      </c>
      <c r="F54" s="16">
        <f t="shared" si="54"/>
        <v>23998.752</v>
      </c>
      <c r="G54" s="16">
        <f t="shared" si="54"/>
        <v>239.11800000000005</v>
      </c>
      <c r="H54" s="16">
        <f t="shared" si="54"/>
        <v>1520.3100000000002</v>
      </c>
      <c r="I54" s="16">
        <f t="shared" si="54"/>
        <v>0</v>
      </c>
      <c r="J54" s="16">
        <f t="shared" si="54"/>
        <v>2928.0560000000005</v>
      </c>
      <c r="K54" s="16">
        <f t="shared" si="54"/>
        <v>152.16600000000003</v>
      </c>
      <c r="L54" s="16">
        <f t="shared" si="54"/>
        <v>0</v>
      </c>
      <c r="M54" s="16">
        <f t="shared" si="54"/>
        <v>0</v>
      </c>
      <c r="N54" s="16">
        <f t="shared" si="54"/>
        <v>38.04</v>
      </c>
      <c r="O54" s="16">
        <f t="shared" si="54"/>
        <v>0</v>
      </c>
      <c r="P54" s="16">
        <f t="shared" si="44"/>
        <v>4.4380000000000006</v>
      </c>
      <c r="Q54" s="16">
        <f t="shared" si="44"/>
        <v>96.475999999999999</v>
      </c>
      <c r="R54" s="8">
        <f t="shared" si="36"/>
        <v>48750.337999999996</v>
      </c>
      <c r="S54" s="363">
        <f t="shared" si="38"/>
        <v>10800.560000000001</v>
      </c>
      <c r="T54" s="363">
        <f t="shared" si="38"/>
        <v>6558.601999999999</v>
      </c>
      <c r="U54" s="363">
        <f t="shared" si="38"/>
        <v>1571.0219999999999</v>
      </c>
      <c r="V54" s="363">
        <f t="shared" si="38"/>
        <v>842.79800000000023</v>
      </c>
      <c r="W54" s="363">
        <f t="shared" si="39"/>
        <v>24237.87</v>
      </c>
      <c r="X54" s="363">
        <f t="shared" si="40"/>
        <v>4739.4860000000008</v>
      </c>
      <c r="AI54" s="363"/>
      <c r="AJ54" s="363"/>
      <c r="AK54" s="363"/>
      <c r="AL54" s="363"/>
      <c r="AM54" s="363"/>
      <c r="AN54" s="363"/>
    </row>
    <row r="55" spans="1:40">
      <c r="A55" s="2" t="s">
        <v>92</v>
      </c>
      <c r="B55" s="16">
        <f t="shared" ref="B55:O55" si="55">B90*0.2</f>
        <v>31627.93</v>
      </c>
      <c r="C55" s="16">
        <f t="shared" si="55"/>
        <v>13881.484000000004</v>
      </c>
      <c r="D55" s="16">
        <f t="shared" si="55"/>
        <v>24037.972000000002</v>
      </c>
      <c r="E55" s="16">
        <f t="shared" si="55"/>
        <v>6432.369999999999</v>
      </c>
      <c r="F55" s="16">
        <f t="shared" si="55"/>
        <v>153861.56399999998</v>
      </c>
      <c r="G55" s="16">
        <f t="shared" si="55"/>
        <v>2804.2020000000002</v>
      </c>
      <c r="H55" s="16">
        <f t="shared" si="55"/>
        <v>4716.5339999999997</v>
      </c>
      <c r="I55" s="16">
        <f t="shared" si="55"/>
        <v>622.38599999999997</v>
      </c>
      <c r="J55" s="16">
        <f t="shared" si="55"/>
        <v>8389.648000000001</v>
      </c>
      <c r="K55" s="16">
        <f t="shared" si="55"/>
        <v>1152.114</v>
      </c>
      <c r="L55" s="16">
        <f t="shared" si="55"/>
        <v>260.85599999999999</v>
      </c>
      <c r="M55" s="16">
        <f t="shared" si="55"/>
        <v>0</v>
      </c>
      <c r="N55" s="16">
        <f t="shared" si="55"/>
        <v>101.44</v>
      </c>
      <c r="O55" s="16">
        <f t="shared" si="55"/>
        <v>0</v>
      </c>
      <c r="P55" s="16">
        <f t="shared" si="44"/>
        <v>0</v>
      </c>
      <c r="Q55" s="16">
        <f t="shared" si="44"/>
        <v>0</v>
      </c>
      <c r="R55" s="8">
        <f t="shared" si="36"/>
        <v>247888.49999999997</v>
      </c>
      <c r="S55" s="363">
        <f t="shared" si="38"/>
        <v>31627.93</v>
      </c>
      <c r="T55" s="363">
        <f t="shared" si="38"/>
        <v>13881.484000000004</v>
      </c>
      <c r="U55" s="363">
        <f t="shared" si="38"/>
        <v>24037.972000000002</v>
      </c>
      <c r="V55" s="363">
        <f t="shared" si="38"/>
        <v>6432.369999999999</v>
      </c>
      <c r="W55" s="363">
        <f t="shared" si="39"/>
        <v>156665.76599999997</v>
      </c>
      <c r="X55" s="363">
        <f t="shared" si="40"/>
        <v>15242.978000000001</v>
      </c>
      <c r="AI55" s="363"/>
      <c r="AJ55" s="363"/>
      <c r="AK55" s="363"/>
      <c r="AL55" s="363"/>
      <c r="AM55" s="363"/>
      <c r="AN55" s="363"/>
    </row>
    <row r="56" spans="1:40">
      <c r="A56" s="2" t="s">
        <v>93</v>
      </c>
      <c r="B56" s="16">
        <f t="shared" ref="B56:O56" si="56">B91*0.2</f>
        <v>15183.320000000002</v>
      </c>
      <c r="C56" s="16">
        <f t="shared" si="56"/>
        <v>6996.8280000000004</v>
      </c>
      <c r="D56" s="16">
        <f t="shared" si="56"/>
        <v>4122.8980000000001</v>
      </c>
      <c r="E56" s="16">
        <f t="shared" si="56"/>
        <v>604.17200000000014</v>
      </c>
      <c r="F56" s="16">
        <f t="shared" si="56"/>
        <v>41084.820000000007</v>
      </c>
      <c r="G56" s="16">
        <f t="shared" si="56"/>
        <v>1695.5640000000001</v>
      </c>
      <c r="H56" s="16">
        <f t="shared" si="56"/>
        <v>1818.1720000000003</v>
      </c>
      <c r="I56" s="16">
        <f t="shared" si="56"/>
        <v>751.58</v>
      </c>
      <c r="J56" s="16">
        <f t="shared" si="56"/>
        <v>3541.5299999999997</v>
      </c>
      <c r="K56" s="16">
        <f t="shared" si="56"/>
        <v>369.54600000000005</v>
      </c>
      <c r="L56" s="16">
        <f t="shared" si="56"/>
        <v>43.475999999999999</v>
      </c>
      <c r="M56" s="16">
        <f t="shared" si="56"/>
        <v>0</v>
      </c>
      <c r="N56" s="16">
        <f t="shared" si="56"/>
        <v>38.04</v>
      </c>
      <c r="O56" s="16">
        <f t="shared" si="56"/>
        <v>0</v>
      </c>
      <c r="P56" s="16">
        <f t="shared" si="44"/>
        <v>0</v>
      </c>
      <c r="Q56" s="16">
        <f t="shared" si="44"/>
        <v>0</v>
      </c>
      <c r="R56" s="8">
        <f t="shared" si="36"/>
        <v>76249.945999999996</v>
      </c>
      <c r="S56" s="363">
        <f t="shared" si="38"/>
        <v>15183.320000000002</v>
      </c>
      <c r="T56" s="363">
        <f t="shared" si="38"/>
        <v>6996.8280000000004</v>
      </c>
      <c r="U56" s="363">
        <f t="shared" si="38"/>
        <v>4122.8980000000001</v>
      </c>
      <c r="V56" s="363">
        <f t="shared" si="38"/>
        <v>604.17200000000014</v>
      </c>
      <c r="W56" s="363">
        <f t="shared" si="39"/>
        <v>42780.384000000005</v>
      </c>
      <c r="X56" s="363">
        <f t="shared" si="40"/>
        <v>6562.3440000000001</v>
      </c>
      <c r="AI56" s="363"/>
      <c r="AJ56" s="363"/>
      <c r="AK56" s="363"/>
      <c r="AL56" s="363"/>
      <c r="AM56" s="363"/>
      <c r="AN56" s="363"/>
    </row>
    <row r="57" spans="1:40">
      <c r="A57" s="2" t="s">
        <v>94</v>
      </c>
      <c r="B57" s="16">
        <f t="shared" ref="B57:O57" si="57">B92*0.2</f>
        <v>4396.9580000000005</v>
      </c>
      <c r="C57" s="16">
        <f t="shared" si="57"/>
        <v>1857.3779999999999</v>
      </c>
      <c r="D57" s="16">
        <f t="shared" si="57"/>
        <v>2115.4380000000001</v>
      </c>
      <c r="E57" s="16">
        <f t="shared" si="57"/>
        <v>529.63999999999976</v>
      </c>
      <c r="F57" s="16">
        <f t="shared" si="57"/>
        <v>12608.04</v>
      </c>
      <c r="G57" s="16">
        <f t="shared" si="57"/>
        <v>630.40200000000004</v>
      </c>
      <c r="H57" s="16">
        <f t="shared" si="57"/>
        <v>593.05799999999988</v>
      </c>
      <c r="I57" s="16">
        <f t="shared" si="57"/>
        <v>0</v>
      </c>
      <c r="J57" s="16">
        <f t="shared" si="57"/>
        <v>1101.95</v>
      </c>
      <c r="K57" s="16">
        <f t="shared" si="57"/>
        <v>43.475999999999999</v>
      </c>
      <c r="L57" s="16">
        <f t="shared" si="57"/>
        <v>0</v>
      </c>
      <c r="M57" s="16">
        <f t="shared" si="57"/>
        <v>0</v>
      </c>
      <c r="N57" s="16">
        <f t="shared" si="57"/>
        <v>19.02</v>
      </c>
      <c r="O57" s="16">
        <f t="shared" si="57"/>
        <v>0</v>
      </c>
      <c r="P57" s="16">
        <v>0</v>
      </c>
      <c r="Q57" s="16">
        <v>0</v>
      </c>
      <c r="R57" s="8">
        <f t="shared" si="36"/>
        <v>23895.360000000001</v>
      </c>
      <c r="S57" s="363">
        <f t="shared" si="38"/>
        <v>4396.9580000000005</v>
      </c>
      <c r="T57" s="363">
        <f t="shared" si="38"/>
        <v>1857.3779999999999</v>
      </c>
      <c r="U57" s="363">
        <f t="shared" si="38"/>
        <v>2115.4380000000001</v>
      </c>
      <c r="V57" s="363">
        <f t="shared" si="38"/>
        <v>529.63999999999976</v>
      </c>
      <c r="W57" s="363">
        <f t="shared" si="39"/>
        <v>13238.442000000001</v>
      </c>
      <c r="X57" s="363">
        <f t="shared" si="40"/>
        <v>1757.5039999999999</v>
      </c>
      <c r="AI57" s="363"/>
      <c r="AJ57" s="363"/>
      <c r="AK57" s="363"/>
      <c r="AL57" s="363"/>
      <c r="AM57" s="363"/>
      <c r="AN57" s="363"/>
    </row>
    <row r="58" spans="1:40">
      <c r="A58" s="2" t="s">
        <v>95</v>
      </c>
      <c r="B58" s="16">
        <f t="shared" ref="B58:O58" si="58">B93*0.2</f>
        <v>41196.302000000003</v>
      </c>
      <c r="C58" s="16">
        <f t="shared" si="58"/>
        <v>16883.565999999992</v>
      </c>
      <c r="D58" s="16">
        <f t="shared" si="58"/>
        <v>19583.09</v>
      </c>
      <c r="E58" s="16">
        <f t="shared" si="58"/>
        <v>3646.1240000000021</v>
      </c>
      <c r="F58" s="16">
        <f t="shared" si="58"/>
        <v>143077.36799999999</v>
      </c>
      <c r="G58" s="16">
        <f t="shared" si="58"/>
        <v>3412.8660000000004</v>
      </c>
      <c r="H58" s="16">
        <f t="shared" si="58"/>
        <v>4431.7240000000002</v>
      </c>
      <c r="I58" s="16">
        <f t="shared" si="58"/>
        <v>883.55200000000013</v>
      </c>
      <c r="J58" s="16">
        <f t="shared" si="58"/>
        <v>9592.9280000000017</v>
      </c>
      <c r="K58" s="16">
        <f t="shared" si="58"/>
        <v>630.40200000000004</v>
      </c>
      <c r="L58" s="16">
        <f t="shared" si="58"/>
        <v>130.428</v>
      </c>
      <c r="M58" s="16">
        <f t="shared" si="58"/>
        <v>0</v>
      </c>
      <c r="N58" s="16">
        <f t="shared" si="58"/>
        <v>183.86</v>
      </c>
      <c r="O58" s="16">
        <f t="shared" si="58"/>
        <v>12.68</v>
      </c>
      <c r="P58" s="16">
        <f t="shared" ref="P58:Q63" si="59">P93*0.2</f>
        <v>0</v>
      </c>
      <c r="Q58" s="16">
        <f t="shared" si="59"/>
        <v>0</v>
      </c>
      <c r="R58" s="8">
        <f t="shared" si="36"/>
        <v>243664.88999999998</v>
      </c>
      <c r="S58" s="363">
        <f t="shared" si="38"/>
        <v>41196.302000000003</v>
      </c>
      <c r="T58" s="363">
        <f t="shared" si="38"/>
        <v>16883.565999999992</v>
      </c>
      <c r="U58" s="363">
        <f t="shared" si="38"/>
        <v>19583.09</v>
      </c>
      <c r="V58" s="363">
        <f t="shared" si="38"/>
        <v>3646.1240000000021</v>
      </c>
      <c r="W58" s="363">
        <f t="shared" si="39"/>
        <v>146490.234</v>
      </c>
      <c r="X58" s="363">
        <f t="shared" si="40"/>
        <v>15865.574000000002</v>
      </c>
      <c r="AI58" s="363"/>
      <c r="AJ58" s="363"/>
      <c r="AK58" s="363"/>
      <c r="AL58" s="363"/>
      <c r="AM58" s="363"/>
      <c r="AN58" s="363"/>
    </row>
    <row r="59" spans="1:40">
      <c r="A59" s="2" t="s">
        <v>96</v>
      </c>
      <c r="B59" s="16">
        <f t="shared" ref="B59:O59" si="60">B94*0.2</f>
        <v>5239.2000000000007</v>
      </c>
      <c r="C59" s="16">
        <f t="shared" si="60"/>
        <v>2897.2019999999993</v>
      </c>
      <c r="D59" s="16">
        <f t="shared" si="60"/>
        <v>1595.2600000000002</v>
      </c>
      <c r="E59" s="16">
        <f t="shared" si="60"/>
        <v>339.29200000000003</v>
      </c>
      <c r="F59" s="16">
        <f t="shared" si="60"/>
        <v>19781.580000000002</v>
      </c>
      <c r="G59" s="16">
        <f t="shared" si="60"/>
        <v>1021.6860000000001</v>
      </c>
      <c r="H59" s="16">
        <f t="shared" si="60"/>
        <v>710.548</v>
      </c>
      <c r="I59" s="16">
        <f t="shared" si="60"/>
        <v>570.63599999999997</v>
      </c>
      <c r="J59" s="16">
        <f t="shared" si="60"/>
        <v>1344.0720000000001</v>
      </c>
      <c r="K59" s="16">
        <f t="shared" si="60"/>
        <v>86.951999999999998</v>
      </c>
      <c r="L59" s="16">
        <f t="shared" si="60"/>
        <v>0</v>
      </c>
      <c r="M59" s="16">
        <f t="shared" si="60"/>
        <v>0</v>
      </c>
      <c r="N59" s="16">
        <f t="shared" si="60"/>
        <v>31.700000000000003</v>
      </c>
      <c r="O59" s="16">
        <f t="shared" si="60"/>
        <v>0</v>
      </c>
      <c r="P59" s="16">
        <f t="shared" si="59"/>
        <v>0</v>
      </c>
      <c r="Q59" s="16">
        <f t="shared" si="59"/>
        <v>0</v>
      </c>
      <c r="R59" s="8">
        <f t="shared" si="36"/>
        <v>33618.12799999999</v>
      </c>
      <c r="S59" s="363">
        <f t="shared" si="38"/>
        <v>5239.2000000000007</v>
      </c>
      <c r="T59" s="363">
        <f t="shared" si="38"/>
        <v>2897.2019999999993</v>
      </c>
      <c r="U59" s="363">
        <f t="shared" si="38"/>
        <v>1595.2600000000002</v>
      </c>
      <c r="V59" s="363">
        <f t="shared" si="38"/>
        <v>339.29200000000003</v>
      </c>
      <c r="W59" s="363">
        <f t="shared" si="39"/>
        <v>20803.266000000003</v>
      </c>
      <c r="X59" s="363">
        <f t="shared" si="40"/>
        <v>2743.9080000000004</v>
      </c>
      <c r="AI59" s="363"/>
      <c r="AJ59" s="363"/>
      <c r="AK59" s="363"/>
      <c r="AL59" s="363"/>
      <c r="AM59" s="363"/>
      <c r="AN59" s="363"/>
    </row>
    <row r="60" spans="1:40">
      <c r="A60" s="2" t="s">
        <v>97</v>
      </c>
      <c r="B60" s="16">
        <f t="shared" ref="B60:O60" si="61">B95*0.2</f>
        <v>32004.792000000001</v>
      </c>
      <c r="C60" s="16">
        <f t="shared" si="61"/>
        <v>21419.597999999994</v>
      </c>
      <c r="D60" s="16">
        <f t="shared" si="61"/>
        <v>30797.43</v>
      </c>
      <c r="E60" s="16">
        <f t="shared" si="61"/>
        <v>3588.2640000000015</v>
      </c>
      <c r="F60" s="16">
        <f t="shared" si="61"/>
        <v>200663.478</v>
      </c>
      <c r="G60" s="16">
        <f t="shared" si="61"/>
        <v>3673.7220000000002</v>
      </c>
      <c r="H60" s="16">
        <f t="shared" si="61"/>
        <v>5758.5260000000017</v>
      </c>
      <c r="I60" s="16">
        <f t="shared" si="61"/>
        <v>591.46600000000001</v>
      </c>
      <c r="J60" s="16">
        <f t="shared" si="61"/>
        <v>9576.4620000000014</v>
      </c>
      <c r="K60" s="16">
        <f t="shared" si="61"/>
        <v>565.18799999999999</v>
      </c>
      <c r="L60" s="16">
        <f t="shared" si="61"/>
        <v>0</v>
      </c>
      <c r="M60" s="16">
        <f t="shared" si="61"/>
        <v>213.822</v>
      </c>
      <c r="N60" s="16">
        <f t="shared" si="61"/>
        <v>133.14000000000001</v>
      </c>
      <c r="O60" s="16">
        <f t="shared" si="61"/>
        <v>0</v>
      </c>
      <c r="P60" s="16">
        <f t="shared" si="59"/>
        <v>0</v>
      </c>
      <c r="Q60" s="16">
        <f t="shared" si="59"/>
        <v>0</v>
      </c>
      <c r="R60" s="8">
        <f t="shared" si="36"/>
        <v>308985.88800000009</v>
      </c>
      <c r="S60" s="363">
        <f t="shared" si="38"/>
        <v>32004.792000000001</v>
      </c>
      <c r="T60" s="363">
        <f t="shared" si="38"/>
        <v>21419.597999999994</v>
      </c>
      <c r="U60" s="363">
        <f t="shared" si="38"/>
        <v>30797.43</v>
      </c>
      <c r="V60" s="363">
        <f t="shared" si="38"/>
        <v>3588.2640000000015</v>
      </c>
      <c r="W60" s="363">
        <f t="shared" si="39"/>
        <v>204337.2</v>
      </c>
      <c r="X60" s="363">
        <f t="shared" si="40"/>
        <v>16838.604000000003</v>
      </c>
      <c r="AI60" s="363"/>
      <c r="AJ60" s="363"/>
      <c r="AK60" s="363"/>
      <c r="AL60" s="363"/>
      <c r="AM60" s="363"/>
      <c r="AN60" s="363"/>
    </row>
    <row r="61" spans="1:40">
      <c r="A61" s="2" t="s">
        <v>98</v>
      </c>
      <c r="B61" s="16">
        <f t="shared" ref="B61:O61" si="62">B96*0.2</f>
        <v>6439.4260000000004</v>
      </c>
      <c r="C61" s="16">
        <f t="shared" si="62"/>
        <v>2682.3439999999996</v>
      </c>
      <c r="D61" s="16">
        <f t="shared" si="62"/>
        <v>772.82799999999997</v>
      </c>
      <c r="E61" s="16">
        <f t="shared" si="62"/>
        <v>370.30199999999996</v>
      </c>
      <c r="F61" s="16">
        <f t="shared" si="62"/>
        <v>19651.152000000002</v>
      </c>
      <c r="G61" s="16">
        <f t="shared" si="62"/>
        <v>282.59399999999999</v>
      </c>
      <c r="H61" s="16">
        <f t="shared" si="62"/>
        <v>545.346</v>
      </c>
      <c r="I61" s="16">
        <f t="shared" si="62"/>
        <v>0</v>
      </c>
      <c r="J61" s="16">
        <f t="shared" si="62"/>
        <v>1510.2940000000003</v>
      </c>
      <c r="K61" s="16">
        <f t="shared" si="62"/>
        <v>239.11799999999999</v>
      </c>
      <c r="L61" s="16">
        <f t="shared" si="62"/>
        <v>0</v>
      </c>
      <c r="M61" s="16">
        <f t="shared" si="62"/>
        <v>0</v>
      </c>
      <c r="N61" s="16">
        <f t="shared" si="62"/>
        <v>19.02</v>
      </c>
      <c r="O61" s="16">
        <f t="shared" si="62"/>
        <v>0</v>
      </c>
      <c r="P61" s="16">
        <f t="shared" si="59"/>
        <v>0</v>
      </c>
      <c r="Q61" s="16">
        <f t="shared" si="59"/>
        <v>0</v>
      </c>
      <c r="R61" s="8">
        <f t="shared" si="36"/>
        <v>32512.424000000006</v>
      </c>
      <c r="S61" s="363">
        <f t="shared" si="38"/>
        <v>6439.4260000000004</v>
      </c>
      <c r="T61" s="363">
        <f t="shared" si="38"/>
        <v>2682.3439999999996</v>
      </c>
      <c r="U61" s="363">
        <f t="shared" si="38"/>
        <v>772.82799999999997</v>
      </c>
      <c r="V61" s="363">
        <f t="shared" si="38"/>
        <v>370.30199999999996</v>
      </c>
      <c r="W61" s="363">
        <f t="shared" si="39"/>
        <v>19933.746000000003</v>
      </c>
      <c r="X61" s="363">
        <f t="shared" si="40"/>
        <v>2313.7780000000002</v>
      </c>
      <c r="AI61" s="363"/>
      <c r="AJ61" s="363"/>
      <c r="AK61" s="363"/>
      <c r="AL61" s="363"/>
      <c r="AM61" s="363"/>
      <c r="AN61" s="363"/>
    </row>
    <row r="62" spans="1:40">
      <c r="A62" s="2" t="s">
        <v>99</v>
      </c>
      <c r="B62" s="16">
        <f t="shared" ref="B62:O62" si="63">B97*0.2</f>
        <v>346.19000000000005</v>
      </c>
      <c r="C62" s="16">
        <f t="shared" si="63"/>
        <v>143.32999999999998</v>
      </c>
      <c r="D62" s="16">
        <f t="shared" si="63"/>
        <v>166.96199999999999</v>
      </c>
      <c r="E62" s="16">
        <f t="shared" si="63"/>
        <v>0</v>
      </c>
      <c r="F62" s="16">
        <f t="shared" si="63"/>
        <v>2912.8919999999998</v>
      </c>
      <c r="G62" s="16">
        <f t="shared" si="63"/>
        <v>86.951999999999998</v>
      </c>
      <c r="H62" s="16">
        <f t="shared" si="63"/>
        <v>19.860000000000003</v>
      </c>
      <c r="I62" s="16">
        <f t="shared" si="63"/>
        <v>0</v>
      </c>
      <c r="J62" s="16">
        <f t="shared" si="63"/>
        <v>62.222000000000008</v>
      </c>
      <c r="K62" s="16">
        <f t="shared" si="63"/>
        <v>0</v>
      </c>
      <c r="L62" s="16">
        <f t="shared" si="63"/>
        <v>0</v>
      </c>
      <c r="M62" s="16">
        <f t="shared" si="63"/>
        <v>0</v>
      </c>
      <c r="N62" s="16">
        <f t="shared" si="63"/>
        <v>0</v>
      </c>
      <c r="O62" s="16">
        <f t="shared" si="63"/>
        <v>0</v>
      </c>
      <c r="P62" s="16">
        <f t="shared" si="59"/>
        <v>0</v>
      </c>
      <c r="Q62" s="16">
        <f t="shared" si="59"/>
        <v>0</v>
      </c>
      <c r="R62" s="8">
        <f t="shared" si="36"/>
        <v>3738.4080000000004</v>
      </c>
      <c r="S62" s="363">
        <f t="shared" si="38"/>
        <v>346.19000000000005</v>
      </c>
      <c r="T62" s="363">
        <f t="shared" si="38"/>
        <v>143.32999999999998</v>
      </c>
      <c r="U62" s="363">
        <f t="shared" si="38"/>
        <v>166.96199999999999</v>
      </c>
      <c r="V62" s="363">
        <f t="shared" si="38"/>
        <v>0</v>
      </c>
      <c r="W62" s="363">
        <f t="shared" si="39"/>
        <v>2999.8440000000001</v>
      </c>
      <c r="X62" s="363">
        <f t="shared" si="40"/>
        <v>82.082000000000008</v>
      </c>
      <c r="AI62" s="363"/>
      <c r="AJ62" s="363"/>
      <c r="AK62" s="363"/>
      <c r="AL62" s="363"/>
      <c r="AM62" s="363"/>
      <c r="AN62" s="363"/>
    </row>
    <row r="63" spans="1:40">
      <c r="A63" s="2" t="s">
        <v>100</v>
      </c>
      <c r="B63" s="16">
        <f t="shared" ref="B63:O63" si="64">B98*0.2</f>
        <v>25889.094000000001</v>
      </c>
      <c r="C63" s="16">
        <f t="shared" si="64"/>
        <v>22071.552000000003</v>
      </c>
      <c r="D63" s="16">
        <f t="shared" si="64"/>
        <v>17647.242000000002</v>
      </c>
      <c r="E63" s="16">
        <f t="shared" si="64"/>
        <v>3903.0119999999997</v>
      </c>
      <c r="F63" s="16">
        <f t="shared" si="64"/>
        <v>127080.348</v>
      </c>
      <c r="G63" s="16">
        <f t="shared" si="64"/>
        <v>2195.538</v>
      </c>
      <c r="H63" s="16">
        <f t="shared" si="64"/>
        <v>5479.1840000000011</v>
      </c>
      <c r="I63" s="16">
        <f t="shared" si="64"/>
        <v>0</v>
      </c>
      <c r="J63" s="16">
        <f t="shared" si="64"/>
        <v>8847.09</v>
      </c>
      <c r="K63" s="16">
        <f t="shared" si="64"/>
        <v>217.38000000000002</v>
      </c>
      <c r="L63" s="16">
        <f t="shared" si="64"/>
        <v>86.951999999999998</v>
      </c>
      <c r="M63" s="16">
        <f t="shared" si="64"/>
        <v>0</v>
      </c>
      <c r="N63" s="16">
        <f t="shared" si="64"/>
        <v>145.82000000000002</v>
      </c>
      <c r="O63" s="16">
        <f t="shared" si="64"/>
        <v>0</v>
      </c>
      <c r="P63" s="16">
        <f t="shared" si="59"/>
        <v>0</v>
      </c>
      <c r="Q63" s="16">
        <f t="shared" si="59"/>
        <v>0</v>
      </c>
      <c r="R63" s="8">
        <f t="shared" si="36"/>
        <v>213563.21200000003</v>
      </c>
      <c r="S63" s="363">
        <f t="shared" si="38"/>
        <v>25889.094000000001</v>
      </c>
      <c r="T63" s="363">
        <f t="shared" si="38"/>
        <v>22071.552000000003</v>
      </c>
      <c r="U63" s="363">
        <f t="shared" si="38"/>
        <v>17647.242000000002</v>
      </c>
      <c r="V63" s="363">
        <f t="shared" si="38"/>
        <v>3903.0119999999997</v>
      </c>
      <c r="W63" s="363">
        <f t="shared" si="39"/>
        <v>129275.886</v>
      </c>
      <c r="X63" s="363">
        <f t="shared" si="40"/>
        <v>14776.425999999999</v>
      </c>
      <c r="AI63" s="363"/>
      <c r="AJ63" s="363"/>
      <c r="AK63" s="363"/>
      <c r="AL63" s="363"/>
      <c r="AM63" s="363"/>
      <c r="AN63" s="363"/>
    </row>
    <row r="64" spans="1:40">
      <c r="A64" s="2" t="s">
        <v>101</v>
      </c>
      <c r="B64" s="16">
        <f t="shared" ref="B64:O64" si="65">B99*0.2</f>
        <v>134179.53400000001</v>
      </c>
      <c r="C64" s="16">
        <f t="shared" si="65"/>
        <v>81182.455999999991</v>
      </c>
      <c r="D64" s="16">
        <f t="shared" si="65"/>
        <v>70561.054000000004</v>
      </c>
      <c r="E64" s="16">
        <f t="shared" si="65"/>
        <v>45961.929999999986</v>
      </c>
      <c r="F64" s="16">
        <f t="shared" si="65"/>
        <v>716136.67200000002</v>
      </c>
      <c r="G64" s="16">
        <f t="shared" si="65"/>
        <v>11108.118000000002</v>
      </c>
      <c r="H64" s="16">
        <f t="shared" si="65"/>
        <v>34922.348000000005</v>
      </c>
      <c r="I64" s="16">
        <f t="shared" si="65"/>
        <v>2856.2960000000003</v>
      </c>
      <c r="J64" s="16">
        <f t="shared" si="65"/>
        <v>45535.710000000006</v>
      </c>
      <c r="K64" s="16">
        <f t="shared" si="65"/>
        <v>1825.992</v>
      </c>
      <c r="L64" s="16">
        <f t="shared" si="65"/>
        <v>434.76000000000005</v>
      </c>
      <c r="M64" s="16">
        <f t="shared" si="65"/>
        <v>0</v>
      </c>
      <c r="N64" s="16">
        <f t="shared" si="65"/>
        <v>748.12</v>
      </c>
      <c r="O64" s="16">
        <f t="shared" si="65"/>
        <v>10.568000000000001</v>
      </c>
      <c r="P64" s="16">
        <v>0</v>
      </c>
      <c r="Q64" s="16">
        <v>0</v>
      </c>
      <c r="R64" s="8">
        <f t="shared" si="36"/>
        <v>1145463.5580000002</v>
      </c>
      <c r="S64" s="363">
        <f t="shared" si="38"/>
        <v>134179.53400000001</v>
      </c>
      <c r="T64" s="363">
        <f t="shared" si="38"/>
        <v>81182.455999999991</v>
      </c>
      <c r="U64" s="363">
        <f t="shared" si="38"/>
        <v>70561.054000000004</v>
      </c>
      <c r="V64" s="363">
        <f t="shared" si="38"/>
        <v>45961.929999999986</v>
      </c>
      <c r="W64" s="363">
        <f t="shared" si="39"/>
        <v>727244.79</v>
      </c>
      <c r="X64" s="363">
        <f t="shared" si="40"/>
        <v>86333.794000000009</v>
      </c>
      <c r="AI64" s="363"/>
      <c r="AJ64" s="363"/>
      <c r="AK64" s="363"/>
      <c r="AL64" s="363"/>
      <c r="AM64" s="363"/>
      <c r="AN64" s="363"/>
    </row>
    <row r="65" spans="1:40">
      <c r="A65" s="2" t="s">
        <v>102</v>
      </c>
      <c r="B65" s="16">
        <f t="shared" ref="B65:O65" si="66">B100*0.2</f>
        <v>4597.2139999999999</v>
      </c>
      <c r="C65" s="16">
        <f t="shared" si="66"/>
        <v>1782.3919999999998</v>
      </c>
      <c r="D65" s="16">
        <f t="shared" si="66"/>
        <v>995.15200000000004</v>
      </c>
      <c r="E65" s="16">
        <f t="shared" si="66"/>
        <v>755.01199999999994</v>
      </c>
      <c r="F65" s="16">
        <f t="shared" si="66"/>
        <v>17303.448</v>
      </c>
      <c r="G65" s="16">
        <f t="shared" si="66"/>
        <v>760.83</v>
      </c>
      <c r="H65" s="16">
        <f t="shared" si="66"/>
        <v>570.5680000000001</v>
      </c>
      <c r="I65" s="16">
        <f t="shared" si="66"/>
        <v>0</v>
      </c>
      <c r="J65" s="16">
        <f t="shared" si="66"/>
        <v>1709.9800000000005</v>
      </c>
      <c r="K65" s="16">
        <f t="shared" si="66"/>
        <v>65.213999999999999</v>
      </c>
      <c r="L65" s="16">
        <f t="shared" si="66"/>
        <v>0</v>
      </c>
      <c r="M65" s="16">
        <f t="shared" si="66"/>
        <v>0</v>
      </c>
      <c r="N65" s="16">
        <f t="shared" si="66"/>
        <v>19.02</v>
      </c>
      <c r="O65" s="16">
        <f t="shared" si="66"/>
        <v>0</v>
      </c>
      <c r="P65" s="16">
        <f>P100*0.2</f>
        <v>0</v>
      </c>
      <c r="Q65" s="16">
        <f>Q100*0.2</f>
        <v>21.108000000000004</v>
      </c>
      <c r="R65" s="8">
        <f t="shared" si="36"/>
        <v>28579.938000000002</v>
      </c>
      <c r="S65" s="363">
        <f t="shared" si="38"/>
        <v>4597.2139999999999</v>
      </c>
      <c r="T65" s="363">
        <f t="shared" si="38"/>
        <v>1782.3919999999998</v>
      </c>
      <c r="U65" s="363">
        <f t="shared" si="38"/>
        <v>995.15200000000004</v>
      </c>
      <c r="V65" s="363">
        <f t="shared" si="38"/>
        <v>755.01199999999994</v>
      </c>
      <c r="W65" s="363">
        <f t="shared" si="39"/>
        <v>18064.278000000002</v>
      </c>
      <c r="X65" s="363">
        <f t="shared" si="40"/>
        <v>2385.8900000000008</v>
      </c>
      <c r="AI65" s="363"/>
      <c r="AJ65" s="363"/>
      <c r="AK65" s="363"/>
      <c r="AL65" s="363"/>
      <c r="AM65" s="363"/>
      <c r="AN65" s="363"/>
    </row>
    <row r="66" spans="1:40">
      <c r="A66" s="2" t="s">
        <v>103</v>
      </c>
      <c r="B66" s="16">
        <f t="shared" ref="B66:O66" si="67">B101*0.2</f>
        <v>2379.8119999999999</v>
      </c>
      <c r="C66" s="16">
        <f t="shared" si="67"/>
        <v>749.96800000000042</v>
      </c>
      <c r="D66" s="16">
        <f t="shared" si="67"/>
        <v>927.25400000000013</v>
      </c>
      <c r="E66" s="16">
        <f t="shared" si="67"/>
        <v>534.26799999999992</v>
      </c>
      <c r="F66" s="16">
        <f t="shared" si="67"/>
        <v>10064.694000000001</v>
      </c>
      <c r="G66" s="16">
        <f t="shared" si="67"/>
        <v>239.11799999999999</v>
      </c>
      <c r="H66" s="16">
        <f t="shared" si="67"/>
        <v>281.83000000000004</v>
      </c>
      <c r="I66" s="16">
        <f t="shared" si="67"/>
        <v>0</v>
      </c>
      <c r="J66" s="16">
        <f t="shared" si="67"/>
        <v>586.01800000000003</v>
      </c>
      <c r="K66" s="16">
        <f t="shared" si="67"/>
        <v>43.475999999999999</v>
      </c>
      <c r="L66" s="16">
        <f t="shared" si="67"/>
        <v>0</v>
      </c>
      <c r="M66" s="16">
        <f t="shared" si="67"/>
        <v>0</v>
      </c>
      <c r="N66" s="16">
        <f t="shared" si="67"/>
        <v>19.02</v>
      </c>
      <c r="O66" s="16">
        <f t="shared" si="67"/>
        <v>0</v>
      </c>
      <c r="P66" s="16">
        <f>P101*0.2</f>
        <v>0</v>
      </c>
      <c r="Q66" s="16">
        <f>Q101*0.2</f>
        <v>0</v>
      </c>
      <c r="R66" s="8">
        <f t="shared" si="36"/>
        <v>15825.458000000004</v>
      </c>
      <c r="S66" s="363">
        <f t="shared" si="38"/>
        <v>2379.8119999999999</v>
      </c>
      <c r="T66" s="363">
        <f t="shared" si="38"/>
        <v>749.96800000000042</v>
      </c>
      <c r="U66" s="363">
        <f t="shared" si="38"/>
        <v>927.25400000000013</v>
      </c>
      <c r="V66" s="363">
        <f t="shared" si="38"/>
        <v>534.26799999999992</v>
      </c>
      <c r="W66" s="363">
        <f t="shared" si="39"/>
        <v>10303.812000000002</v>
      </c>
      <c r="X66" s="363">
        <f t="shared" si="40"/>
        <v>930.34400000000005</v>
      </c>
      <c r="AI66" s="363"/>
      <c r="AJ66" s="363"/>
      <c r="AK66" s="363"/>
      <c r="AL66" s="363"/>
      <c r="AM66" s="363"/>
      <c r="AN66" s="363"/>
    </row>
    <row r="67" spans="1:40">
      <c r="A67" s="6" t="s">
        <v>37</v>
      </c>
      <c r="B67" s="7">
        <f t="shared" ref="B67:R67" si="68">SUM(B40:B66)</f>
        <v>490799.38</v>
      </c>
      <c r="C67" s="7">
        <f t="shared" si="68"/>
        <v>282099.41799999995</v>
      </c>
      <c r="D67" s="7">
        <f t="shared" si="68"/>
        <v>226068.40999999997</v>
      </c>
      <c r="E67" s="7">
        <f t="shared" si="68"/>
        <v>81006.597999999998</v>
      </c>
      <c r="F67" s="7">
        <f t="shared" si="68"/>
        <v>2046495.7760000001</v>
      </c>
      <c r="G67" s="7">
        <f t="shared" si="68"/>
        <v>45106.350000000013</v>
      </c>
      <c r="H67" s="7">
        <f t="shared" si="68"/>
        <v>86646.148000000001</v>
      </c>
      <c r="I67" s="7">
        <f t="shared" si="68"/>
        <v>8822.7180000000008</v>
      </c>
      <c r="J67" s="7">
        <f t="shared" si="68"/>
        <v>141022.092</v>
      </c>
      <c r="K67" s="7">
        <f t="shared" si="68"/>
        <v>8195.2260000000006</v>
      </c>
      <c r="L67" s="7">
        <f t="shared" si="68"/>
        <v>1260.8040000000001</v>
      </c>
      <c r="M67" s="7">
        <f t="shared" si="68"/>
        <v>1547.482</v>
      </c>
      <c r="N67" s="7">
        <f t="shared" si="68"/>
        <v>2123.8999999999996</v>
      </c>
      <c r="O67" s="7">
        <f t="shared" si="68"/>
        <v>23.248000000000001</v>
      </c>
      <c r="P67" s="7">
        <f t="shared" si="68"/>
        <v>34.856000000000002</v>
      </c>
      <c r="Q67" s="7">
        <f t="shared" si="68"/>
        <v>684.71800000000007</v>
      </c>
      <c r="R67" s="9">
        <f t="shared" si="68"/>
        <v>3421937.1240000003</v>
      </c>
      <c r="S67" s="363">
        <f t="shared" ref="S67:X67" si="69">SUM(S40:S66)</f>
        <v>490799.38</v>
      </c>
      <c r="T67" s="363">
        <f t="shared" si="69"/>
        <v>282099.41799999995</v>
      </c>
      <c r="U67" s="363">
        <f t="shared" si="69"/>
        <v>226068.40999999997</v>
      </c>
      <c r="V67" s="363">
        <f t="shared" si="69"/>
        <v>81006.597999999998</v>
      </c>
      <c r="W67" s="363">
        <f t="shared" si="69"/>
        <v>2091602.1259999999</v>
      </c>
      <c r="X67" s="363">
        <f t="shared" si="69"/>
        <v>250361.19200000007</v>
      </c>
      <c r="AI67" s="363"/>
      <c r="AJ67" s="363"/>
      <c r="AK67" s="363"/>
      <c r="AL67" s="363"/>
      <c r="AM67" s="363"/>
      <c r="AN67" s="363"/>
    </row>
    <row r="68" spans="1:40">
      <c r="A68" s="351" t="s">
        <v>47</v>
      </c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6"/>
    </row>
    <row r="69" spans="1:40">
      <c r="A69" s="358"/>
      <c r="B69" s="358"/>
      <c r="C69" s="359"/>
      <c r="D69" s="359"/>
      <c r="E69" s="359"/>
      <c r="F69" s="359"/>
      <c r="G69" s="359"/>
      <c r="H69" s="359"/>
      <c r="I69" s="359"/>
      <c r="J69" s="359"/>
      <c r="K69" s="359"/>
      <c r="R69" s="360"/>
    </row>
    <row r="70" spans="1:40">
      <c r="A70" s="357"/>
      <c r="L70" s="253"/>
      <c r="M70" s="253"/>
      <c r="N70" s="253"/>
      <c r="O70" s="253"/>
      <c r="P70" s="253"/>
      <c r="Q70" s="253"/>
    </row>
    <row r="71" spans="1:40">
      <c r="A71" s="357"/>
    </row>
    <row r="72" spans="1:40" ht="46.5">
      <c r="A72" s="837" t="s">
        <v>46</v>
      </c>
      <c r="B72" s="838"/>
      <c r="C72" s="838"/>
      <c r="D72" s="838"/>
      <c r="E72" s="838"/>
      <c r="F72" s="838"/>
      <c r="G72" s="838"/>
      <c r="H72" s="838"/>
      <c r="I72" s="838"/>
      <c r="J72" s="838"/>
      <c r="K72" s="838"/>
      <c r="L72" s="838"/>
      <c r="M72" s="838"/>
      <c r="N72" s="838"/>
      <c r="O72" s="838"/>
      <c r="P72" s="838"/>
      <c r="Q72" s="838"/>
      <c r="R72" s="839"/>
    </row>
    <row r="73" spans="1:40" s="372" customFormat="1" ht="35.1" customHeight="1">
      <c r="A73" s="835" t="s">
        <v>33</v>
      </c>
      <c r="B73" s="833" t="s">
        <v>27</v>
      </c>
      <c r="C73" s="834"/>
      <c r="D73" s="833" t="s">
        <v>29</v>
      </c>
      <c r="E73" s="834"/>
      <c r="F73" s="835" t="s">
        <v>28</v>
      </c>
      <c r="G73" s="835" t="s">
        <v>36</v>
      </c>
      <c r="H73" s="835" t="s">
        <v>30</v>
      </c>
      <c r="I73" s="835" t="s">
        <v>31</v>
      </c>
      <c r="J73" s="835" t="s">
        <v>41</v>
      </c>
      <c r="K73" s="835" t="s">
        <v>35</v>
      </c>
      <c r="L73" s="835" t="s">
        <v>40</v>
      </c>
      <c r="M73" s="835" t="s">
        <v>42</v>
      </c>
      <c r="N73" s="835" t="s">
        <v>45</v>
      </c>
      <c r="O73" s="835" t="s">
        <v>279</v>
      </c>
      <c r="P73" s="833" t="s">
        <v>52</v>
      </c>
      <c r="Q73" s="834"/>
      <c r="R73" s="835" t="s">
        <v>34</v>
      </c>
      <c r="S73" s="357"/>
      <c r="T73" s="357"/>
      <c r="U73" s="357"/>
      <c r="V73" s="357"/>
      <c r="W73" s="357"/>
      <c r="X73" s="357"/>
      <c r="AI73" s="357"/>
      <c r="AJ73" s="357"/>
      <c r="AK73" s="357"/>
      <c r="AL73" s="357"/>
      <c r="AM73" s="357"/>
      <c r="AN73" s="357"/>
    </row>
    <row r="74" spans="1:40" s="372" customFormat="1" ht="35.1" customHeight="1">
      <c r="A74" s="836"/>
      <c r="B74" s="361" t="s">
        <v>43</v>
      </c>
      <c r="C74" s="361" t="s">
        <v>44</v>
      </c>
      <c r="D74" s="361" t="s">
        <v>43</v>
      </c>
      <c r="E74" s="361" t="s">
        <v>44</v>
      </c>
      <c r="F74" s="836"/>
      <c r="G74" s="836"/>
      <c r="H74" s="836"/>
      <c r="I74" s="836"/>
      <c r="J74" s="836"/>
      <c r="K74" s="836"/>
      <c r="L74" s="836"/>
      <c r="M74" s="836"/>
      <c r="N74" s="836"/>
      <c r="O74" s="836"/>
      <c r="P74" s="362" t="s">
        <v>50</v>
      </c>
      <c r="Q74" s="362" t="s">
        <v>51</v>
      </c>
      <c r="R74" s="836"/>
      <c r="S74" s="372" t="s">
        <v>173</v>
      </c>
      <c r="T74" s="372" t="s">
        <v>291</v>
      </c>
      <c r="U74" s="372" t="s">
        <v>174</v>
      </c>
      <c r="V74" s="372" t="s">
        <v>292</v>
      </c>
      <c r="W74" s="372" t="s">
        <v>28</v>
      </c>
      <c r="X74" s="372" t="s">
        <v>175</v>
      </c>
      <c r="Y74" s="726"/>
    </row>
    <row r="75" spans="1:40">
      <c r="A75" s="2" t="s">
        <v>77</v>
      </c>
      <c r="B75" s="16">
        <v>14427.33</v>
      </c>
      <c r="C75" s="16">
        <v>8571.7300000000014</v>
      </c>
      <c r="D75" s="16">
        <v>3808.48</v>
      </c>
      <c r="E75" s="16">
        <v>680.58000000000038</v>
      </c>
      <c r="F75" s="16">
        <v>28585.47</v>
      </c>
      <c r="G75" s="16">
        <v>2065.1099999999997</v>
      </c>
      <c r="H75" s="16">
        <v>1609.8500000000001</v>
      </c>
      <c r="I75" s="16">
        <v>0</v>
      </c>
      <c r="J75" s="16">
        <v>3587.9100000000003</v>
      </c>
      <c r="K75" s="16">
        <v>869.52</v>
      </c>
      <c r="L75" s="16">
        <v>0</v>
      </c>
      <c r="M75" s="16">
        <v>0</v>
      </c>
      <c r="N75" s="16">
        <v>95.1</v>
      </c>
      <c r="O75" s="16">
        <v>0</v>
      </c>
      <c r="P75" s="16">
        <v>0</v>
      </c>
      <c r="Q75" s="16">
        <v>0</v>
      </c>
      <c r="R75" s="8">
        <f t="shared" ref="R75:R101" si="70">SUM(B75:Q75)</f>
        <v>64301.08</v>
      </c>
      <c r="S75" s="363">
        <f>B75</f>
        <v>14427.33</v>
      </c>
      <c r="T75" s="363">
        <f>C75</f>
        <v>8571.7300000000014</v>
      </c>
      <c r="U75" s="363">
        <f>D75</f>
        <v>3808.48</v>
      </c>
      <c r="V75" s="363">
        <f>E75</f>
        <v>680.58000000000038</v>
      </c>
      <c r="W75" s="363">
        <f>F75+G75</f>
        <v>30650.58</v>
      </c>
      <c r="X75" s="363">
        <f>SUM(H75:Q75)</f>
        <v>6162.380000000001</v>
      </c>
      <c r="AI75" s="363"/>
      <c r="AJ75" s="363"/>
      <c r="AK75" s="363"/>
      <c r="AL75" s="363"/>
      <c r="AM75" s="363"/>
      <c r="AN75" s="363"/>
    </row>
    <row r="76" spans="1:40">
      <c r="A76" s="2" t="s">
        <v>78</v>
      </c>
      <c r="B76" s="16">
        <v>22429.16</v>
      </c>
      <c r="C76" s="16">
        <v>14118.920000000002</v>
      </c>
      <c r="D76" s="16">
        <v>4841.4399999999996</v>
      </c>
      <c r="E76" s="16">
        <v>1517.3200000000006</v>
      </c>
      <c r="F76" s="16">
        <v>91951.74</v>
      </c>
      <c r="G76" s="16">
        <v>3260.7000000000003</v>
      </c>
      <c r="H76" s="16">
        <v>4506.45</v>
      </c>
      <c r="I76" s="16">
        <v>0</v>
      </c>
      <c r="J76" s="16">
        <v>6346.11</v>
      </c>
      <c r="K76" s="16">
        <v>652.14</v>
      </c>
      <c r="L76" s="16">
        <v>0</v>
      </c>
      <c r="M76" s="16">
        <v>0</v>
      </c>
      <c r="N76" s="16">
        <v>31.7</v>
      </c>
      <c r="O76" s="16">
        <v>0</v>
      </c>
      <c r="P76" s="16">
        <v>0</v>
      </c>
      <c r="Q76" s="16">
        <v>0</v>
      </c>
      <c r="R76" s="8">
        <f t="shared" si="70"/>
        <v>149655.68000000005</v>
      </c>
      <c r="S76" s="363">
        <f t="shared" ref="S76:V101" si="71">B76</f>
        <v>22429.16</v>
      </c>
      <c r="T76" s="363">
        <f t="shared" si="71"/>
        <v>14118.920000000002</v>
      </c>
      <c r="U76" s="363">
        <f t="shared" si="71"/>
        <v>4841.4399999999996</v>
      </c>
      <c r="V76" s="363">
        <f t="shared" si="71"/>
        <v>1517.3200000000006</v>
      </c>
      <c r="W76" s="363">
        <f t="shared" ref="W76:W101" si="72">F76+G76</f>
        <v>95212.44</v>
      </c>
      <c r="X76" s="363">
        <f t="shared" ref="X76:X101" si="73">SUM(H76:Q76)</f>
        <v>11536.4</v>
      </c>
      <c r="AI76" s="363"/>
      <c r="AJ76" s="363"/>
      <c r="AK76" s="363"/>
      <c r="AL76" s="363"/>
      <c r="AM76" s="363"/>
      <c r="AN76" s="363"/>
    </row>
    <row r="77" spans="1:40">
      <c r="A77" s="2" t="s">
        <v>79</v>
      </c>
      <c r="B77" s="16">
        <v>12156.13</v>
      </c>
      <c r="C77" s="16">
        <v>5542.4300000000021</v>
      </c>
      <c r="D77" s="16">
        <v>2772.18</v>
      </c>
      <c r="E77" s="16">
        <v>0</v>
      </c>
      <c r="F77" s="16">
        <v>39976.18</v>
      </c>
      <c r="G77" s="16">
        <v>4891.05</v>
      </c>
      <c r="H77" s="16">
        <v>1060.2099999999998</v>
      </c>
      <c r="I77" s="16">
        <v>0</v>
      </c>
      <c r="J77" s="16">
        <v>2825.7999999999997</v>
      </c>
      <c r="K77" s="16">
        <v>869.52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8">
        <f t="shared" si="70"/>
        <v>70093.500000000015</v>
      </c>
      <c r="S77" s="363">
        <f t="shared" si="71"/>
        <v>12156.13</v>
      </c>
      <c r="T77" s="363">
        <f t="shared" si="71"/>
        <v>5542.4300000000021</v>
      </c>
      <c r="U77" s="363">
        <f t="shared" si="71"/>
        <v>2772.18</v>
      </c>
      <c r="V77" s="363">
        <f t="shared" si="71"/>
        <v>0</v>
      </c>
      <c r="W77" s="363">
        <f t="shared" si="72"/>
        <v>44867.23</v>
      </c>
      <c r="X77" s="363">
        <f t="shared" si="73"/>
        <v>4755.5299999999988</v>
      </c>
      <c r="AI77" s="363"/>
      <c r="AJ77" s="363"/>
      <c r="AK77" s="363"/>
      <c r="AL77" s="363"/>
      <c r="AM77" s="363"/>
      <c r="AN77" s="363"/>
    </row>
    <row r="78" spans="1:40">
      <c r="A78" s="2" t="s">
        <v>80</v>
      </c>
      <c r="B78" s="16">
        <v>25452.29</v>
      </c>
      <c r="C78" s="16">
        <v>10667.940000000002</v>
      </c>
      <c r="D78" s="16">
        <v>4842.49</v>
      </c>
      <c r="E78" s="16">
        <v>821.29000000000087</v>
      </c>
      <c r="F78" s="16">
        <v>88364.97</v>
      </c>
      <c r="G78" s="16">
        <v>2608.56</v>
      </c>
      <c r="H78" s="16">
        <v>2352.5500000000002</v>
      </c>
      <c r="I78" s="16">
        <v>0</v>
      </c>
      <c r="J78" s="16">
        <v>5501.84</v>
      </c>
      <c r="K78" s="16">
        <v>434.76</v>
      </c>
      <c r="L78" s="16">
        <v>217.38</v>
      </c>
      <c r="M78" s="16">
        <v>761.89</v>
      </c>
      <c r="N78" s="16">
        <v>63.4</v>
      </c>
      <c r="O78" s="16">
        <v>0</v>
      </c>
      <c r="P78" s="16">
        <v>0</v>
      </c>
      <c r="Q78" s="16">
        <v>0</v>
      </c>
      <c r="R78" s="8">
        <f t="shared" si="70"/>
        <v>142089.36000000002</v>
      </c>
      <c r="S78" s="363">
        <f t="shared" si="71"/>
        <v>25452.29</v>
      </c>
      <c r="T78" s="363">
        <f t="shared" si="71"/>
        <v>10667.940000000002</v>
      </c>
      <c r="U78" s="363">
        <f t="shared" si="71"/>
        <v>4842.49</v>
      </c>
      <c r="V78" s="363">
        <f t="shared" si="71"/>
        <v>821.29000000000087</v>
      </c>
      <c r="W78" s="363">
        <f t="shared" si="72"/>
        <v>90973.53</v>
      </c>
      <c r="X78" s="363">
        <f t="shared" si="73"/>
        <v>9331.8199999999979</v>
      </c>
      <c r="AI78" s="363"/>
      <c r="AJ78" s="363"/>
      <c r="AK78" s="363"/>
      <c r="AL78" s="363"/>
      <c r="AM78" s="363"/>
      <c r="AN78" s="363"/>
    </row>
    <row r="79" spans="1:40">
      <c r="A79" s="2" t="s">
        <v>81</v>
      </c>
      <c r="B79" s="16">
        <v>82535.42</v>
      </c>
      <c r="C79" s="16">
        <v>34872.33</v>
      </c>
      <c r="D79" s="16">
        <v>26581.18</v>
      </c>
      <c r="E79" s="16">
        <v>6754.3300000000017</v>
      </c>
      <c r="F79" s="16">
        <v>281941.86</v>
      </c>
      <c r="G79" s="16">
        <v>9673.41</v>
      </c>
      <c r="H79" s="16">
        <v>9138</v>
      </c>
      <c r="I79" s="16">
        <v>0</v>
      </c>
      <c r="J79" s="16">
        <v>19041.14</v>
      </c>
      <c r="K79" s="16">
        <v>1630.35</v>
      </c>
      <c r="L79" s="16">
        <v>434.76</v>
      </c>
      <c r="M79" s="16">
        <v>634.04</v>
      </c>
      <c r="N79" s="16">
        <v>412.1</v>
      </c>
      <c r="O79" s="16">
        <v>0</v>
      </c>
      <c r="P79" s="16">
        <v>0</v>
      </c>
      <c r="Q79" s="16">
        <v>0</v>
      </c>
      <c r="R79" s="8">
        <f t="shared" si="70"/>
        <v>473648.91999999993</v>
      </c>
      <c r="S79" s="363">
        <f t="shared" si="71"/>
        <v>82535.42</v>
      </c>
      <c r="T79" s="363">
        <f t="shared" si="71"/>
        <v>34872.33</v>
      </c>
      <c r="U79" s="363">
        <f t="shared" si="71"/>
        <v>26581.18</v>
      </c>
      <c r="V79" s="363">
        <f t="shared" si="71"/>
        <v>6754.3300000000017</v>
      </c>
      <c r="W79" s="363">
        <f t="shared" si="72"/>
        <v>291615.26999999996</v>
      </c>
      <c r="X79" s="363">
        <f t="shared" si="73"/>
        <v>31290.389999999996</v>
      </c>
      <c r="AI79" s="363"/>
      <c r="AJ79" s="363"/>
      <c r="AK79" s="363"/>
      <c r="AL79" s="363"/>
      <c r="AM79" s="363"/>
      <c r="AN79" s="363"/>
    </row>
    <row r="80" spans="1:40">
      <c r="A80" s="2" t="s">
        <v>82</v>
      </c>
      <c r="B80" s="16">
        <v>80761.72</v>
      </c>
      <c r="C80" s="16">
        <v>51457.26999999999</v>
      </c>
      <c r="D80" s="16">
        <v>16186.63</v>
      </c>
      <c r="E80" s="16">
        <v>5815.2500000000018</v>
      </c>
      <c r="F80" s="16">
        <v>178577.67</v>
      </c>
      <c r="G80" s="16">
        <v>4347.6000000000004</v>
      </c>
      <c r="H80" s="16">
        <v>11167.52</v>
      </c>
      <c r="I80" s="16">
        <v>1956.42</v>
      </c>
      <c r="J80" s="16">
        <v>22345.510000000002</v>
      </c>
      <c r="K80" s="16">
        <v>1086.9000000000001</v>
      </c>
      <c r="L80" s="16">
        <v>0</v>
      </c>
      <c r="M80" s="16">
        <v>443.83</v>
      </c>
      <c r="N80" s="16">
        <v>126.8</v>
      </c>
      <c r="O80" s="16">
        <v>0</v>
      </c>
      <c r="P80" s="16">
        <v>72.09</v>
      </c>
      <c r="Q80" s="16">
        <v>2765.78</v>
      </c>
      <c r="R80" s="8">
        <f t="shared" si="70"/>
        <v>377110.99000000011</v>
      </c>
      <c r="S80" s="363">
        <f t="shared" si="71"/>
        <v>80761.72</v>
      </c>
      <c r="T80" s="363">
        <f t="shared" si="71"/>
        <v>51457.26999999999</v>
      </c>
      <c r="U80" s="363">
        <f t="shared" si="71"/>
        <v>16186.63</v>
      </c>
      <c r="V80" s="363">
        <f t="shared" si="71"/>
        <v>5815.2500000000018</v>
      </c>
      <c r="W80" s="363">
        <f t="shared" si="72"/>
        <v>182925.27000000002</v>
      </c>
      <c r="X80" s="363">
        <f t="shared" si="73"/>
        <v>39964.850000000006</v>
      </c>
      <c r="AI80" s="363"/>
      <c r="AJ80" s="363"/>
      <c r="AK80" s="363"/>
      <c r="AL80" s="363"/>
      <c r="AM80" s="363"/>
      <c r="AN80" s="363"/>
    </row>
    <row r="81" spans="1:40">
      <c r="A81" s="2" t="s">
        <v>83</v>
      </c>
      <c r="B81" s="16">
        <v>142749.76000000001</v>
      </c>
      <c r="C81" s="16">
        <v>72394.709999999992</v>
      </c>
      <c r="D81" s="16">
        <v>28533.62</v>
      </c>
      <c r="E81" s="16">
        <v>5725.119999999999</v>
      </c>
      <c r="F81" s="16">
        <v>168360.81</v>
      </c>
      <c r="G81" s="16">
        <v>7825.68</v>
      </c>
      <c r="H81" s="16">
        <v>15957.909999999998</v>
      </c>
      <c r="I81" s="16">
        <v>293.85000000000002</v>
      </c>
      <c r="J81" s="16">
        <v>36443.730000000003</v>
      </c>
      <c r="K81" s="16">
        <v>760.83</v>
      </c>
      <c r="L81" s="16">
        <v>217.38</v>
      </c>
      <c r="M81" s="16">
        <v>0</v>
      </c>
      <c r="N81" s="16">
        <v>697.4</v>
      </c>
      <c r="O81" s="16">
        <v>0</v>
      </c>
      <c r="P81" s="16">
        <v>0</v>
      </c>
      <c r="Q81" s="16">
        <v>0</v>
      </c>
      <c r="R81" s="8">
        <f t="shared" si="70"/>
        <v>479960.8</v>
      </c>
      <c r="S81" s="363">
        <f t="shared" si="71"/>
        <v>142749.76000000001</v>
      </c>
      <c r="T81" s="363">
        <f t="shared" si="71"/>
        <v>72394.709999999992</v>
      </c>
      <c r="U81" s="363">
        <f t="shared" si="71"/>
        <v>28533.62</v>
      </c>
      <c r="V81" s="363">
        <f t="shared" si="71"/>
        <v>5725.119999999999</v>
      </c>
      <c r="W81" s="363">
        <f t="shared" si="72"/>
        <v>176186.49</v>
      </c>
      <c r="X81" s="363">
        <f t="shared" si="73"/>
        <v>54371.100000000006</v>
      </c>
      <c r="AI81" s="363"/>
      <c r="AJ81" s="363"/>
      <c r="AK81" s="363"/>
      <c r="AL81" s="363"/>
      <c r="AM81" s="363"/>
      <c r="AN81" s="363"/>
    </row>
    <row r="82" spans="1:40">
      <c r="A82" s="2" t="s">
        <v>84</v>
      </c>
      <c r="B82" s="16">
        <v>77554.31</v>
      </c>
      <c r="C82" s="16">
        <v>30540.869999999995</v>
      </c>
      <c r="D82" s="16">
        <v>22811.54</v>
      </c>
      <c r="E82" s="16">
        <v>2125.489999999998</v>
      </c>
      <c r="F82" s="16">
        <v>177056.01</v>
      </c>
      <c r="G82" s="16">
        <v>5977.9500000000007</v>
      </c>
      <c r="H82" s="16">
        <v>7160.3</v>
      </c>
      <c r="I82" s="16">
        <v>362.31</v>
      </c>
      <c r="J82" s="16">
        <v>16895.219999999998</v>
      </c>
      <c r="K82" s="16">
        <v>1195.5899999999999</v>
      </c>
      <c r="L82" s="16">
        <v>0</v>
      </c>
      <c r="M82" s="16">
        <v>0</v>
      </c>
      <c r="N82" s="16">
        <v>221.9</v>
      </c>
      <c r="O82" s="16">
        <v>0</v>
      </c>
      <c r="P82" s="16">
        <v>0</v>
      </c>
      <c r="Q82" s="16">
        <v>0</v>
      </c>
      <c r="R82" s="8">
        <f t="shared" si="70"/>
        <v>341901.49</v>
      </c>
      <c r="S82" s="363">
        <f t="shared" si="71"/>
        <v>77554.31</v>
      </c>
      <c r="T82" s="363">
        <f t="shared" si="71"/>
        <v>30540.869999999995</v>
      </c>
      <c r="U82" s="363">
        <f t="shared" si="71"/>
        <v>22811.54</v>
      </c>
      <c r="V82" s="363">
        <f t="shared" si="71"/>
        <v>2125.489999999998</v>
      </c>
      <c r="W82" s="363">
        <f t="shared" si="72"/>
        <v>183033.96000000002</v>
      </c>
      <c r="X82" s="363">
        <f t="shared" si="73"/>
        <v>25835.32</v>
      </c>
      <c r="AI82" s="363"/>
      <c r="AJ82" s="363"/>
      <c r="AK82" s="363"/>
      <c r="AL82" s="363"/>
      <c r="AM82" s="363"/>
      <c r="AN82" s="363"/>
    </row>
    <row r="83" spans="1:40">
      <c r="A83" s="2" t="s">
        <v>85</v>
      </c>
      <c r="B83" s="16">
        <v>84819.56</v>
      </c>
      <c r="C83" s="16">
        <v>87703.049999999988</v>
      </c>
      <c r="D83" s="16">
        <v>17415.759999999998</v>
      </c>
      <c r="E83" s="16">
        <v>4188.3200000000033</v>
      </c>
      <c r="F83" s="16">
        <v>340417.08</v>
      </c>
      <c r="G83" s="16">
        <v>7499.6100000000006</v>
      </c>
      <c r="H83" s="16">
        <v>17075.099999999999</v>
      </c>
      <c r="I83" s="16">
        <v>326.52</v>
      </c>
      <c r="J83" s="16">
        <v>26675.93</v>
      </c>
      <c r="K83" s="16">
        <v>760.83</v>
      </c>
      <c r="L83" s="16">
        <v>217.38</v>
      </c>
      <c r="M83" s="16">
        <v>4828.54</v>
      </c>
      <c r="N83" s="16">
        <v>317</v>
      </c>
      <c r="O83" s="16">
        <v>0</v>
      </c>
      <c r="P83" s="16">
        <v>0</v>
      </c>
      <c r="Q83" s="16">
        <v>0</v>
      </c>
      <c r="R83" s="8">
        <f t="shared" si="70"/>
        <v>592244.68000000005</v>
      </c>
      <c r="S83" s="363">
        <f t="shared" si="71"/>
        <v>84819.56</v>
      </c>
      <c r="T83" s="363">
        <f t="shared" si="71"/>
        <v>87703.049999999988</v>
      </c>
      <c r="U83" s="363">
        <f t="shared" si="71"/>
        <v>17415.759999999998</v>
      </c>
      <c r="V83" s="363">
        <f t="shared" si="71"/>
        <v>4188.3200000000033</v>
      </c>
      <c r="W83" s="363">
        <f t="shared" si="72"/>
        <v>347916.69</v>
      </c>
      <c r="X83" s="363">
        <f t="shared" si="73"/>
        <v>50201.3</v>
      </c>
      <c r="AI83" s="363"/>
      <c r="AJ83" s="363"/>
      <c r="AK83" s="363"/>
      <c r="AL83" s="363"/>
      <c r="AM83" s="363"/>
      <c r="AN83" s="363"/>
    </row>
    <row r="84" spans="1:40">
      <c r="A84" s="2" t="s">
        <v>86</v>
      </c>
      <c r="B84" s="16">
        <v>27928.97</v>
      </c>
      <c r="C84" s="16">
        <v>16637.880000000005</v>
      </c>
      <c r="D84" s="16">
        <v>4548.1899999999996</v>
      </c>
      <c r="E84" s="16">
        <v>2864.0299999999997</v>
      </c>
      <c r="F84" s="16">
        <v>83691.3</v>
      </c>
      <c r="G84" s="16">
        <v>2825.94</v>
      </c>
      <c r="H84" s="16">
        <v>3393.34</v>
      </c>
      <c r="I84" s="16">
        <v>0</v>
      </c>
      <c r="J84" s="16">
        <v>7715.82</v>
      </c>
      <c r="K84" s="16">
        <v>1412.97</v>
      </c>
      <c r="L84" s="16">
        <v>0</v>
      </c>
      <c r="M84" s="16">
        <v>0</v>
      </c>
      <c r="N84" s="16">
        <v>126.8</v>
      </c>
      <c r="O84" s="16">
        <v>0</v>
      </c>
      <c r="P84" s="16">
        <v>0</v>
      </c>
      <c r="Q84" s="16">
        <v>0</v>
      </c>
      <c r="R84" s="8">
        <f t="shared" si="70"/>
        <v>151145.24</v>
      </c>
      <c r="S84" s="363">
        <f t="shared" si="71"/>
        <v>27928.97</v>
      </c>
      <c r="T84" s="363">
        <f t="shared" si="71"/>
        <v>16637.880000000005</v>
      </c>
      <c r="U84" s="363">
        <f t="shared" si="71"/>
        <v>4548.1899999999996</v>
      </c>
      <c r="V84" s="363">
        <f t="shared" si="71"/>
        <v>2864.0299999999997</v>
      </c>
      <c r="W84" s="363">
        <f t="shared" si="72"/>
        <v>86517.24</v>
      </c>
      <c r="X84" s="363">
        <f t="shared" si="73"/>
        <v>12648.929999999998</v>
      </c>
      <c r="AI84" s="363"/>
      <c r="AJ84" s="363"/>
      <c r="AK84" s="363"/>
      <c r="AL84" s="363"/>
      <c r="AM84" s="363"/>
      <c r="AN84" s="363"/>
    </row>
    <row r="85" spans="1:40">
      <c r="A85" s="2" t="s">
        <v>87</v>
      </c>
      <c r="B85" s="16">
        <v>47272.02</v>
      </c>
      <c r="C85" s="16">
        <v>16868.730000000003</v>
      </c>
      <c r="D85" s="16">
        <v>25446.62</v>
      </c>
      <c r="E85" s="16">
        <v>2568.7800000000025</v>
      </c>
      <c r="F85" s="16">
        <v>341069.22</v>
      </c>
      <c r="G85" s="16">
        <v>3152.01</v>
      </c>
      <c r="H85" s="16">
        <v>3867.71</v>
      </c>
      <c r="I85" s="16">
        <v>0</v>
      </c>
      <c r="J85" s="16">
        <v>9702.6</v>
      </c>
      <c r="K85" s="16">
        <v>978.21</v>
      </c>
      <c r="L85" s="16">
        <v>0</v>
      </c>
      <c r="M85" s="16">
        <v>0</v>
      </c>
      <c r="N85" s="16">
        <v>158.5</v>
      </c>
      <c r="O85" s="16">
        <v>0</v>
      </c>
      <c r="P85" s="16">
        <v>0</v>
      </c>
      <c r="Q85" s="16">
        <v>0</v>
      </c>
      <c r="R85" s="8">
        <f t="shared" si="70"/>
        <v>451084.4</v>
      </c>
      <c r="S85" s="363">
        <f t="shared" si="71"/>
        <v>47272.02</v>
      </c>
      <c r="T85" s="363">
        <f t="shared" si="71"/>
        <v>16868.730000000003</v>
      </c>
      <c r="U85" s="363">
        <f t="shared" si="71"/>
        <v>25446.62</v>
      </c>
      <c r="V85" s="363">
        <f t="shared" si="71"/>
        <v>2568.7800000000025</v>
      </c>
      <c r="W85" s="363">
        <f t="shared" si="72"/>
        <v>344221.23</v>
      </c>
      <c r="X85" s="363">
        <f t="shared" si="73"/>
        <v>14707.02</v>
      </c>
      <c r="AI85" s="363"/>
      <c r="AJ85" s="363"/>
      <c r="AK85" s="363"/>
      <c r="AL85" s="363"/>
      <c r="AM85" s="363"/>
      <c r="AN85" s="363"/>
    </row>
    <row r="86" spans="1:40">
      <c r="A86" s="2" t="s">
        <v>88</v>
      </c>
      <c r="B86" s="16">
        <v>33268.089999999997</v>
      </c>
      <c r="C86" s="16">
        <v>34682.080000000002</v>
      </c>
      <c r="D86" s="16">
        <v>12360.68</v>
      </c>
      <c r="E86" s="16">
        <v>4772.6100000000006</v>
      </c>
      <c r="F86" s="16">
        <v>212271.57</v>
      </c>
      <c r="G86" s="16">
        <v>3695.46</v>
      </c>
      <c r="H86" s="16">
        <v>13026.000000000002</v>
      </c>
      <c r="I86" s="16">
        <v>7838.49</v>
      </c>
      <c r="J86" s="16">
        <v>11455.27</v>
      </c>
      <c r="K86" s="16">
        <v>760.83</v>
      </c>
      <c r="L86" s="16">
        <v>0</v>
      </c>
      <c r="M86" s="16">
        <v>0</v>
      </c>
      <c r="N86" s="16">
        <v>0</v>
      </c>
      <c r="O86" s="16">
        <v>0</v>
      </c>
      <c r="P86" s="16">
        <v>80</v>
      </c>
      <c r="Q86" s="16">
        <v>0</v>
      </c>
      <c r="R86" s="8">
        <f t="shared" si="70"/>
        <v>334211.08000000007</v>
      </c>
      <c r="S86" s="363">
        <f t="shared" si="71"/>
        <v>33268.089999999997</v>
      </c>
      <c r="T86" s="363">
        <f t="shared" si="71"/>
        <v>34682.080000000002</v>
      </c>
      <c r="U86" s="363">
        <f t="shared" si="71"/>
        <v>12360.68</v>
      </c>
      <c r="V86" s="363">
        <f t="shared" si="71"/>
        <v>4772.6100000000006</v>
      </c>
      <c r="W86" s="363">
        <f t="shared" si="72"/>
        <v>215967.03</v>
      </c>
      <c r="X86" s="363">
        <f t="shared" si="73"/>
        <v>33160.590000000004</v>
      </c>
      <c r="AI86" s="363"/>
      <c r="AJ86" s="363"/>
      <c r="AK86" s="363"/>
      <c r="AL86" s="363"/>
      <c r="AM86" s="363"/>
      <c r="AN86" s="363"/>
    </row>
    <row r="87" spans="1:40">
      <c r="A87" s="2" t="s">
        <v>89</v>
      </c>
      <c r="B87" s="16">
        <v>197953.96</v>
      </c>
      <c r="C87" s="16">
        <v>114366.11999999997</v>
      </c>
      <c r="D87" s="16">
        <v>75412.33</v>
      </c>
      <c r="E87" s="16">
        <v>27234.17</v>
      </c>
      <c r="F87" s="16">
        <v>627576.06000000006</v>
      </c>
      <c r="G87" s="16">
        <v>20759.79</v>
      </c>
      <c r="H87" s="16">
        <v>31981.82</v>
      </c>
      <c r="I87" s="16">
        <v>1956.42</v>
      </c>
      <c r="J87" s="16">
        <v>54544.729999999996</v>
      </c>
      <c r="K87" s="16">
        <v>2173.8000000000002</v>
      </c>
      <c r="L87" s="16">
        <v>434.76</v>
      </c>
      <c r="M87" s="16">
        <v>0</v>
      </c>
      <c r="N87" s="16">
        <v>792.5</v>
      </c>
      <c r="O87" s="16">
        <v>0</v>
      </c>
      <c r="P87" s="16">
        <v>0</v>
      </c>
      <c r="Q87" s="16">
        <v>69.89</v>
      </c>
      <c r="R87" s="8">
        <f t="shared" si="70"/>
        <v>1155256.3499999999</v>
      </c>
      <c r="S87" s="363">
        <f t="shared" si="71"/>
        <v>197953.96</v>
      </c>
      <c r="T87" s="363">
        <f t="shared" si="71"/>
        <v>114366.11999999997</v>
      </c>
      <c r="U87" s="363">
        <f t="shared" si="71"/>
        <v>75412.33</v>
      </c>
      <c r="V87" s="363">
        <f t="shared" si="71"/>
        <v>27234.17</v>
      </c>
      <c r="W87" s="363">
        <f t="shared" si="72"/>
        <v>648335.85000000009</v>
      </c>
      <c r="X87" s="363">
        <f t="shared" si="73"/>
        <v>91953.919999999998</v>
      </c>
      <c r="AI87" s="363"/>
      <c r="AJ87" s="363"/>
      <c r="AK87" s="363"/>
      <c r="AL87" s="363"/>
      <c r="AM87" s="363"/>
      <c r="AN87" s="363"/>
    </row>
    <row r="88" spans="1:40">
      <c r="A88" s="2" t="s">
        <v>90</v>
      </c>
      <c r="B88" s="16">
        <v>33286.519999999997</v>
      </c>
      <c r="C88" s="16">
        <v>16539.530000000006</v>
      </c>
      <c r="D88" s="16">
        <v>10312.9</v>
      </c>
      <c r="E88" s="16">
        <v>2429.7800000000007</v>
      </c>
      <c r="F88" s="16">
        <v>131514.9</v>
      </c>
      <c r="G88" s="16">
        <v>6195.33</v>
      </c>
      <c r="H88" s="16">
        <v>4093.9399999999996</v>
      </c>
      <c r="I88" s="16">
        <v>0</v>
      </c>
      <c r="J88" s="16">
        <v>8399.0499999999993</v>
      </c>
      <c r="K88" s="16">
        <v>434.76</v>
      </c>
      <c r="L88" s="16">
        <v>0</v>
      </c>
      <c r="M88" s="16">
        <v>0</v>
      </c>
      <c r="N88" s="16">
        <v>95.1</v>
      </c>
      <c r="O88" s="16">
        <v>0</v>
      </c>
      <c r="P88" s="16">
        <v>0</v>
      </c>
      <c r="Q88" s="16">
        <v>0</v>
      </c>
      <c r="R88" s="8">
        <f t="shared" si="70"/>
        <v>213301.81</v>
      </c>
      <c r="S88" s="363">
        <f t="shared" si="71"/>
        <v>33286.519999999997</v>
      </c>
      <c r="T88" s="363">
        <f t="shared" si="71"/>
        <v>16539.530000000006</v>
      </c>
      <c r="U88" s="363">
        <f t="shared" si="71"/>
        <v>10312.9</v>
      </c>
      <c r="V88" s="363">
        <f t="shared" si="71"/>
        <v>2429.7800000000007</v>
      </c>
      <c r="W88" s="363">
        <f t="shared" si="72"/>
        <v>137710.22999999998</v>
      </c>
      <c r="X88" s="363">
        <f t="shared" si="73"/>
        <v>13022.849999999999</v>
      </c>
      <c r="AI88" s="363"/>
      <c r="AJ88" s="363"/>
      <c r="AK88" s="363"/>
      <c r="AL88" s="363"/>
      <c r="AM88" s="363"/>
      <c r="AN88" s="363"/>
    </row>
    <row r="89" spans="1:40">
      <c r="A89" s="2" t="s">
        <v>91</v>
      </c>
      <c r="B89" s="16">
        <v>54002.8</v>
      </c>
      <c r="C89" s="16">
        <v>32793.009999999995</v>
      </c>
      <c r="D89" s="16">
        <v>7855.11</v>
      </c>
      <c r="E89" s="16">
        <v>4213.9900000000007</v>
      </c>
      <c r="F89" s="16">
        <v>119993.76</v>
      </c>
      <c r="G89" s="16">
        <v>1195.5900000000001</v>
      </c>
      <c r="H89" s="16">
        <v>7601.55</v>
      </c>
      <c r="I89" s="16">
        <v>0</v>
      </c>
      <c r="J89" s="16">
        <v>14640.28</v>
      </c>
      <c r="K89" s="16">
        <v>760.83</v>
      </c>
      <c r="L89" s="16">
        <v>0</v>
      </c>
      <c r="M89" s="16">
        <v>0</v>
      </c>
      <c r="N89" s="16">
        <v>190.2</v>
      </c>
      <c r="O89" s="16">
        <v>0</v>
      </c>
      <c r="P89" s="16">
        <v>22.19</v>
      </c>
      <c r="Q89" s="16">
        <v>482.38</v>
      </c>
      <c r="R89" s="8">
        <f t="shared" si="70"/>
        <v>243751.68999999997</v>
      </c>
      <c r="S89" s="363">
        <f t="shared" si="71"/>
        <v>54002.8</v>
      </c>
      <c r="T89" s="363">
        <f t="shared" si="71"/>
        <v>32793.009999999995</v>
      </c>
      <c r="U89" s="363">
        <f t="shared" si="71"/>
        <v>7855.11</v>
      </c>
      <c r="V89" s="363">
        <f t="shared" si="71"/>
        <v>4213.9900000000007</v>
      </c>
      <c r="W89" s="363">
        <f t="shared" si="72"/>
        <v>121189.34999999999</v>
      </c>
      <c r="X89" s="363">
        <f t="shared" si="73"/>
        <v>23697.430000000004</v>
      </c>
      <c r="AI89" s="363"/>
      <c r="AJ89" s="363"/>
      <c r="AK89" s="363"/>
      <c r="AL89" s="363"/>
      <c r="AM89" s="363"/>
      <c r="AN89" s="363"/>
    </row>
    <row r="90" spans="1:40">
      <c r="A90" s="2" t="s">
        <v>92</v>
      </c>
      <c r="B90" s="16">
        <v>158139.65</v>
      </c>
      <c r="C90" s="16">
        <v>69407.420000000013</v>
      </c>
      <c r="D90" s="16">
        <v>120189.86</v>
      </c>
      <c r="E90" s="16">
        <v>32161.849999999991</v>
      </c>
      <c r="F90" s="16">
        <v>769307.82</v>
      </c>
      <c r="G90" s="16">
        <v>14021.01</v>
      </c>
      <c r="H90" s="16">
        <v>23582.67</v>
      </c>
      <c r="I90" s="16">
        <v>3111.93</v>
      </c>
      <c r="J90" s="16">
        <v>41948.240000000005</v>
      </c>
      <c r="K90" s="16">
        <v>5760.57</v>
      </c>
      <c r="L90" s="16">
        <v>1304.28</v>
      </c>
      <c r="M90" s="16">
        <v>0</v>
      </c>
      <c r="N90" s="16">
        <v>507.2</v>
      </c>
      <c r="O90" s="16">
        <v>0</v>
      </c>
      <c r="P90" s="16">
        <v>0</v>
      </c>
      <c r="Q90" s="16">
        <v>0</v>
      </c>
      <c r="R90" s="8">
        <f t="shared" si="70"/>
        <v>1239442.4999999998</v>
      </c>
      <c r="S90" s="363">
        <f t="shared" si="71"/>
        <v>158139.65</v>
      </c>
      <c r="T90" s="363">
        <f t="shared" si="71"/>
        <v>69407.420000000013</v>
      </c>
      <c r="U90" s="363">
        <f t="shared" si="71"/>
        <v>120189.86</v>
      </c>
      <c r="V90" s="363">
        <f t="shared" si="71"/>
        <v>32161.849999999991</v>
      </c>
      <c r="W90" s="363">
        <f t="shared" si="72"/>
        <v>783328.83</v>
      </c>
      <c r="X90" s="363">
        <f t="shared" si="73"/>
        <v>76214.89</v>
      </c>
      <c r="AI90" s="363"/>
      <c r="AJ90" s="363"/>
      <c r="AK90" s="363"/>
      <c r="AL90" s="363"/>
      <c r="AM90" s="363"/>
      <c r="AN90" s="363"/>
    </row>
    <row r="91" spans="1:40">
      <c r="A91" s="2" t="s">
        <v>93</v>
      </c>
      <c r="B91" s="16">
        <v>75916.600000000006</v>
      </c>
      <c r="C91" s="16">
        <v>34984.14</v>
      </c>
      <c r="D91" s="16">
        <v>20614.490000000002</v>
      </c>
      <c r="E91" s="16">
        <v>3020.8600000000006</v>
      </c>
      <c r="F91" s="16">
        <v>205424.1</v>
      </c>
      <c r="G91" s="16">
        <v>8477.82</v>
      </c>
      <c r="H91" s="16">
        <v>9090.86</v>
      </c>
      <c r="I91" s="16">
        <v>3757.9</v>
      </c>
      <c r="J91" s="16">
        <v>17707.649999999998</v>
      </c>
      <c r="K91" s="16">
        <v>1847.73</v>
      </c>
      <c r="L91" s="16">
        <v>217.38</v>
      </c>
      <c r="M91" s="16">
        <v>0</v>
      </c>
      <c r="N91" s="16">
        <v>190.2</v>
      </c>
      <c r="O91" s="16">
        <v>0</v>
      </c>
      <c r="P91" s="16">
        <v>0</v>
      </c>
      <c r="Q91" s="16">
        <v>0</v>
      </c>
      <c r="R91" s="8">
        <f t="shared" si="70"/>
        <v>381249.7300000001</v>
      </c>
      <c r="S91" s="363">
        <f t="shared" si="71"/>
        <v>75916.600000000006</v>
      </c>
      <c r="T91" s="363">
        <f t="shared" si="71"/>
        <v>34984.14</v>
      </c>
      <c r="U91" s="363">
        <f t="shared" si="71"/>
        <v>20614.490000000002</v>
      </c>
      <c r="V91" s="363">
        <f t="shared" si="71"/>
        <v>3020.8600000000006</v>
      </c>
      <c r="W91" s="363">
        <f t="shared" si="72"/>
        <v>213901.92</v>
      </c>
      <c r="X91" s="363">
        <f t="shared" si="73"/>
        <v>32811.719999999994</v>
      </c>
      <c r="AI91" s="363"/>
      <c r="AJ91" s="363"/>
      <c r="AK91" s="363"/>
      <c r="AL91" s="363"/>
      <c r="AM91" s="363"/>
      <c r="AN91" s="363"/>
    </row>
    <row r="92" spans="1:40">
      <c r="A92" s="2" t="s">
        <v>94</v>
      </c>
      <c r="B92" s="16">
        <v>21984.79</v>
      </c>
      <c r="C92" s="16">
        <v>9286.89</v>
      </c>
      <c r="D92" s="16">
        <v>10577.19</v>
      </c>
      <c r="E92" s="16">
        <v>2648.1999999999989</v>
      </c>
      <c r="F92" s="16">
        <v>63040.2</v>
      </c>
      <c r="G92" s="16">
        <v>3152.01</v>
      </c>
      <c r="H92" s="16">
        <v>2965.2899999999995</v>
      </c>
      <c r="I92" s="16">
        <v>0</v>
      </c>
      <c r="J92" s="16">
        <v>5509.75</v>
      </c>
      <c r="K92" s="16">
        <v>217.38</v>
      </c>
      <c r="L92" s="16">
        <v>0</v>
      </c>
      <c r="M92" s="16">
        <v>0</v>
      </c>
      <c r="N92" s="16">
        <v>95.1</v>
      </c>
      <c r="O92" s="16">
        <v>0</v>
      </c>
      <c r="P92" s="16">
        <v>0</v>
      </c>
      <c r="Q92" s="16">
        <v>0</v>
      </c>
      <c r="R92" s="8">
        <f t="shared" si="70"/>
        <v>119476.79999999999</v>
      </c>
      <c r="S92" s="363">
        <f t="shared" si="71"/>
        <v>21984.79</v>
      </c>
      <c r="T92" s="363">
        <f t="shared" si="71"/>
        <v>9286.89</v>
      </c>
      <c r="U92" s="363">
        <f t="shared" si="71"/>
        <v>10577.19</v>
      </c>
      <c r="V92" s="363">
        <f t="shared" si="71"/>
        <v>2648.1999999999989</v>
      </c>
      <c r="W92" s="363">
        <f t="shared" si="72"/>
        <v>66192.209999999992</v>
      </c>
      <c r="X92" s="363">
        <f t="shared" si="73"/>
        <v>8787.5199999999986</v>
      </c>
      <c r="AI92" s="363"/>
      <c r="AJ92" s="363"/>
      <c r="AK92" s="363"/>
      <c r="AL92" s="363"/>
      <c r="AM92" s="363"/>
      <c r="AN92" s="363"/>
    </row>
    <row r="93" spans="1:40">
      <c r="A93" s="2" t="s">
        <v>95</v>
      </c>
      <c r="B93" s="16">
        <v>205981.51</v>
      </c>
      <c r="C93" s="16">
        <v>84417.829999999958</v>
      </c>
      <c r="D93" s="16">
        <v>97915.45</v>
      </c>
      <c r="E93" s="16">
        <v>18230.62000000001</v>
      </c>
      <c r="F93" s="16">
        <v>715386.84</v>
      </c>
      <c r="G93" s="16">
        <v>17064.330000000002</v>
      </c>
      <c r="H93" s="16">
        <v>22158.62</v>
      </c>
      <c r="I93" s="16">
        <v>4417.76</v>
      </c>
      <c r="J93" s="16">
        <v>47964.640000000007</v>
      </c>
      <c r="K93" s="16">
        <v>3152.01</v>
      </c>
      <c r="L93" s="16">
        <v>652.14</v>
      </c>
      <c r="M93" s="16">
        <v>0</v>
      </c>
      <c r="N93" s="16">
        <v>919.3</v>
      </c>
      <c r="O93" s="16">
        <v>63.4</v>
      </c>
      <c r="P93" s="16">
        <v>0</v>
      </c>
      <c r="Q93" s="16">
        <v>0</v>
      </c>
      <c r="R93" s="8">
        <f t="shared" si="70"/>
        <v>1218324.45</v>
      </c>
      <c r="S93" s="363">
        <f t="shared" si="71"/>
        <v>205981.51</v>
      </c>
      <c r="T93" s="363">
        <f t="shared" si="71"/>
        <v>84417.829999999958</v>
      </c>
      <c r="U93" s="363">
        <f t="shared" si="71"/>
        <v>97915.45</v>
      </c>
      <c r="V93" s="363">
        <f t="shared" si="71"/>
        <v>18230.62000000001</v>
      </c>
      <c r="W93" s="363">
        <f t="shared" si="72"/>
        <v>732451.16999999993</v>
      </c>
      <c r="X93" s="363">
        <f t="shared" si="73"/>
        <v>79327.87</v>
      </c>
      <c r="AI93" s="363"/>
      <c r="AJ93" s="363"/>
      <c r="AK93" s="363"/>
      <c r="AL93" s="363"/>
      <c r="AM93" s="363"/>
      <c r="AN93" s="363"/>
    </row>
    <row r="94" spans="1:40">
      <c r="A94" s="2" t="s">
        <v>96</v>
      </c>
      <c r="B94" s="16">
        <v>26196</v>
      </c>
      <c r="C94" s="16">
        <v>14486.009999999995</v>
      </c>
      <c r="D94" s="16">
        <v>7976.3</v>
      </c>
      <c r="E94" s="16">
        <v>1696.46</v>
      </c>
      <c r="F94" s="16">
        <v>98907.9</v>
      </c>
      <c r="G94" s="16">
        <v>5108.43</v>
      </c>
      <c r="H94" s="16">
        <v>3552.74</v>
      </c>
      <c r="I94" s="16">
        <v>2853.18</v>
      </c>
      <c r="J94" s="16">
        <v>6720.36</v>
      </c>
      <c r="K94" s="16">
        <v>434.76</v>
      </c>
      <c r="L94" s="16">
        <v>0</v>
      </c>
      <c r="M94" s="16">
        <v>0</v>
      </c>
      <c r="N94" s="16">
        <v>158.5</v>
      </c>
      <c r="O94" s="16">
        <v>0</v>
      </c>
      <c r="P94" s="16">
        <v>0</v>
      </c>
      <c r="Q94" s="16">
        <v>0</v>
      </c>
      <c r="R94" s="8">
        <f t="shared" si="70"/>
        <v>168090.63999999996</v>
      </c>
      <c r="S94" s="363">
        <f t="shared" si="71"/>
        <v>26196</v>
      </c>
      <c r="T94" s="363">
        <f t="shared" si="71"/>
        <v>14486.009999999995</v>
      </c>
      <c r="U94" s="363">
        <f t="shared" si="71"/>
        <v>7976.3</v>
      </c>
      <c r="V94" s="363">
        <f t="shared" si="71"/>
        <v>1696.46</v>
      </c>
      <c r="W94" s="363">
        <f t="shared" si="72"/>
        <v>104016.32999999999</v>
      </c>
      <c r="X94" s="363">
        <f t="shared" si="73"/>
        <v>13719.539999999999</v>
      </c>
      <c r="AI94" s="363"/>
      <c r="AJ94" s="363"/>
      <c r="AK94" s="363"/>
      <c r="AL94" s="363"/>
      <c r="AM94" s="363"/>
      <c r="AN94" s="363"/>
    </row>
    <row r="95" spans="1:40">
      <c r="A95" s="2" t="s">
        <v>97</v>
      </c>
      <c r="B95" s="16">
        <v>160023.96</v>
      </c>
      <c r="C95" s="16">
        <v>107097.98999999996</v>
      </c>
      <c r="D95" s="16">
        <v>153987.15</v>
      </c>
      <c r="E95" s="16">
        <v>17941.320000000007</v>
      </c>
      <c r="F95" s="16">
        <v>1003317.39</v>
      </c>
      <c r="G95" s="16">
        <v>18368.61</v>
      </c>
      <c r="H95" s="16">
        <v>28792.630000000005</v>
      </c>
      <c r="I95" s="16">
        <v>2957.33</v>
      </c>
      <c r="J95" s="16">
        <v>47882.310000000005</v>
      </c>
      <c r="K95" s="16">
        <v>2825.94</v>
      </c>
      <c r="L95" s="16">
        <v>0</v>
      </c>
      <c r="M95" s="16">
        <v>1069.1099999999999</v>
      </c>
      <c r="N95" s="16">
        <v>665.7</v>
      </c>
      <c r="O95" s="16">
        <v>0</v>
      </c>
      <c r="P95" s="16">
        <v>0</v>
      </c>
      <c r="Q95" s="16">
        <v>0</v>
      </c>
      <c r="R95" s="8">
        <f t="shared" si="70"/>
        <v>1544929.4400000004</v>
      </c>
      <c r="S95" s="363">
        <f t="shared" si="71"/>
        <v>160023.96</v>
      </c>
      <c r="T95" s="363">
        <f t="shared" si="71"/>
        <v>107097.98999999996</v>
      </c>
      <c r="U95" s="363">
        <f t="shared" si="71"/>
        <v>153987.15</v>
      </c>
      <c r="V95" s="363">
        <f t="shared" si="71"/>
        <v>17941.320000000007</v>
      </c>
      <c r="W95" s="363">
        <f t="shared" si="72"/>
        <v>1021686</v>
      </c>
      <c r="X95" s="363">
        <f t="shared" si="73"/>
        <v>84193.020000000019</v>
      </c>
      <c r="AI95" s="363"/>
      <c r="AJ95" s="363"/>
      <c r="AK95" s="363"/>
      <c r="AL95" s="363"/>
      <c r="AM95" s="363"/>
      <c r="AN95" s="363"/>
    </row>
    <row r="96" spans="1:40">
      <c r="A96" s="2" t="s">
        <v>98</v>
      </c>
      <c r="B96" s="16">
        <v>32197.13</v>
      </c>
      <c r="C96" s="16">
        <v>13411.719999999998</v>
      </c>
      <c r="D96" s="16">
        <v>3864.14</v>
      </c>
      <c r="E96" s="16">
        <v>1851.5099999999998</v>
      </c>
      <c r="F96" s="16">
        <v>98255.76</v>
      </c>
      <c r="G96" s="16">
        <v>1412.97</v>
      </c>
      <c r="H96" s="16">
        <v>2726.73</v>
      </c>
      <c r="I96" s="16">
        <v>0</v>
      </c>
      <c r="J96" s="16">
        <v>7551.4700000000012</v>
      </c>
      <c r="K96" s="16">
        <v>1195.5899999999999</v>
      </c>
      <c r="L96" s="16">
        <v>0</v>
      </c>
      <c r="M96" s="16">
        <v>0</v>
      </c>
      <c r="N96" s="16">
        <v>95.1</v>
      </c>
      <c r="O96" s="16">
        <v>0</v>
      </c>
      <c r="P96" s="16">
        <v>0</v>
      </c>
      <c r="Q96" s="16">
        <v>0</v>
      </c>
      <c r="R96" s="8">
        <f t="shared" si="70"/>
        <v>162562.12000000002</v>
      </c>
      <c r="S96" s="363">
        <f t="shared" si="71"/>
        <v>32197.13</v>
      </c>
      <c r="T96" s="363">
        <f t="shared" si="71"/>
        <v>13411.719999999998</v>
      </c>
      <c r="U96" s="363">
        <f t="shared" si="71"/>
        <v>3864.14</v>
      </c>
      <c r="V96" s="363">
        <f t="shared" si="71"/>
        <v>1851.5099999999998</v>
      </c>
      <c r="W96" s="363">
        <f t="shared" si="72"/>
        <v>99668.73</v>
      </c>
      <c r="X96" s="363">
        <f t="shared" si="73"/>
        <v>11568.890000000001</v>
      </c>
      <c r="AI96" s="363"/>
      <c r="AJ96" s="363"/>
      <c r="AK96" s="363"/>
      <c r="AL96" s="363"/>
      <c r="AM96" s="363"/>
      <c r="AN96" s="363"/>
    </row>
    <row r="97" spans="1:40">
      <c r="A97" s="2" t="s">
        <v>99</v>
      </c>
      <c r="B97" s="16">
        <v>1730.95</v>
      </c>
      <c r="C97" s="16">
        <v>716.64999999999986</v>
      </c>
      <c r="D97" s="16">
        <v>834.81</v>
      </c>
      <c r="E97" s="16">
        <v>0</v>
      </c>
      <c r="F97" s="16">
        <v>14564.46</v>
      </c>
      <c r="G97" s="16">
        <v>434.76</v>
      </c>
      <c r="H97" s="16">
        <v>99.300000000000011</v>
      </c>
      <c r="I97" s="16">
        <v>0</v>
      </c>
      <c r="J97" s="16">
        <v>311.11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8">
        <f t="shared" si="70"/>
        <v>18692.039999999997</v>
      </c>
      <c r="S97" s="363">
        <f t="shared" si="71"/>
        <v>1730.95</v>
      </c>
      <c r="T97" s="363">
        <f t="shared" si="71"/>
        <v>716.64999999999986</v>
      </c>
      <c r="U97" s="363">
        <f t="shared" si="71"/>
        <v>834.81</v>
      </c>
      <c r="V97" s="363">
        <f t="shared" si="71"/>
        <v>0</v>
      </c>
      <c r="W97" s="363">
        <f t="shared" si="72"/>
        <v>14999.22</v>
      </c>
      <c r="X97" s="363">
        <f t="shared" si="73"/>
        <v>410.41</v>
      </c>
      <c r="AI97" s="363"/>
      <c r="AJ97" s="363"/>
      <c r="AK97" s="363"/>
      <c r="AL97" s="363"/>
      <c r="AM97" s="363"/>
      <c r="AN97" s="363"/>
    </row>
    <row r="98" spans="1:40">
      <c r="A98" s="2" t="s">
        <v>100</v>
      </c>
      <c r="B98" s="16">
        <v>129445.47</v>
      </c>
      <c r="C98" s="16">
        <v>110357.76000000001</v>
      </c>
      <c r="D98" s="16">
        <v>88236.21</v>
      </c>
      <c r="E98" s="16">
        <v>19515.059999999998</v>
      </c>
      <c r="F98" s="16">
        <v>635401.74</v>
      </c>
      <c r="G98" s="16">
        <v>10977.69</v>
      </c>
      <c r="H98" s="16">
        <v>27395.920000000002</v>
      </c>
      <c r="I98" s="16">
        <v>0</v>
      </c>
      <c r="J98" s="16">
        <v>44235.45</v>
      </c>
      <c r="K98" s="16">
        <v>1086.9000000000001</v>
      </c>
      <c r="L98" s="16">
        <v>434.76</v>
      </c>
      <c r="M98" s="16">
        <v>0</v>
      </c>
      <c r="N98" s="16">
        <v>729.1</v>
      </c>
      <c r="O98" s="16">
        <v>0</v>
      </c>
      <c r="P98" s="16">
        <v>0</v>
      </c>
      <c r="Q98" s="16">
        <v>0</v>
      </c>
      <c r="R98" s="8">
        <f t="shared" si="70"/>
        <v>1067816.06</v>
      </c>
      <c r="S98" s="363">
        <f t="shared" si="71"/>
        <v>129445.47</v>
      </c>
      <c r="T98" s="363">
        <f t="shared" si="71"/>
        <v>110357.76000000001</v>
      </c>
      <c r="U98" s="363">
        <f t="shared" si="71"/>
        <v>88236.21</v>
      </c>
      <c r="V98" s="363">
        <f t="shared" si="71"/>
        <v>19515.059999999998</v>
      </c>
      <c r="W98" s="363">
        <f t="shared" si="72"/>
        <v>646379.42999999993</v>
      </c>
      <c r="X98" s="363">
        <f t="shared" si="73"/>
        <v>73882.12999999999</v>
      </c>
      <c r="AI98" s="363"/>
      <c r="AJ98" s="363"/>
      <c r="AK98" s="363"/>
      <c r="AL98" s="363"/>
      <c r="AM98" s="363"/>
      <c r="AN98" s="363"/>
    </row>
    <row r="99" spans="1:40">
      <c r="A99" s="2" t="s">
        <v>101</v>
      </c>
      <c r="B99" s="16">
        <v>670897.67000000004</v>
      </c>
      <c r="C99" s="16">
        <v>405912.27999999991</v>
      </c>
      <c r="D99" s="16">
        <v>352805.27</v>
      </c>
      <c r="E99" s="16">
        <v>229809.64999999991</v>
      </c>
      <c r="F99" s="16">
        <v>3580683.36</v>
      </c>
      <c r="G99" s="16">
        <v>55540.590000000011</v>
      </c>
      <c r="H99" s="16">
        <v>174611.74000000002</v>
      </c>
      <c r="I99" s="16">
        <v>14281.48</v>
      </c>
      <c r="J99" s="16">
        <v>227678.55000000002</v>
      </c>
      <c r="K99" s="16">
        <v>9129.9599999999991</v>
      </c>
      <c r="L99" s="16">
        <v>2173.8000000000002</v>
      </c>
      <c r="M99" s="16">
        <v>0</v>
      </c>
      <c r="N99" s="16">
        <v>3740.6</v>
      </c>
      <c r="O99" s="16">
        <v>52.84</v>
      </c>
      <c r="P99" s="16">
        <v>0</v>
      </c>
      <c r="Q99" s="16">
        <v>0</v>
      </c>
      <c r="R99" s="8">
        <f t="shared" si="70"/>
        <v>5727317.7899999991</v>
      </c>
      <c r="S99" s="363">
        <f t="shared" si="71"/>
        <v>670897.67000000004</v>
      </c>
      <c r="T99" s="363">
        <f t="shared" si="71"/>
        <v>405912.27999999991</v>
      </c>
      <c r="U99" s="363">
        <f t="shared" si="71"/>
        <v>352805.27</v>
      </c>
      <c r="V99" s="363">
        <f t="shared" si="71"/>
        <v>229809.64999999991</v>
      </c>
      <c r="W99" s="363">
        <f t="shared" si="72"/>
        <v>3636223.9499999997</v>
      </c>
      <c r="X99" s="363">
        <f t="shared" si="73"/>
        <v>431668.97000000003</v>
      </c>
      <c r="AI99" s="363"/>
      <c r="AJ99" s="363"/>
      <c r="AK99" s="363"/>
      <c r="AL99" s="363"/>
      <c r="AM99" s="363"/>
      <c r="AN99" s="363"/>
    </row>
    <row r="100" spans="1:40">
      <c r="A100" s="2" t="s">
        <v>102</v>
      </c>
      <c r="B100" s="16">
        <v>22986.07</v>
      </c>
      <c r="C100" s="16">
        <v>8911.9599999999991</v>
      </c>
      <c r="D100" s="16">
        <v>4975.76</v>
      </c>
      <c r="E100" s="16">
        <v>3775.0599999999995</v>
      </c>
      <c r="F100" s="16">
        <v>86517.24</v>
      </c>
      <c r="G100" s="16">
        <v>3804.15</v>
      </c>
      <c r="H100" s="16">
        <v>2852.84</v>
      </c>
      <c r="I100" s="16">
        <v>0</v>
      </c>
      <c r="J100" s="16">
        <v>8549.9000000000015</v>
      </c>
      <c r="K100" s="16">
        <v>326.07</v>
      </c>
      <c r="L100" s="16">
        <v>0</v>
      </c>
      <c r="M100" s="16">
        <v>0</v>
      </c>
      <c r="N100" s="16">
        <v>95.1</v>
      </c>
      <c r="O100" s="16">
        <v>0</v>
      </c>
      <c r="P100" s="16">
        <v>0</v>
      </c>
      <c r="Q100" s="16">
        <v>105.54</v>
      </c>
      <c r="R100" s="8">
        <f t="shared" si="70"/>
        <v>142899.69</v>
      </c>
      <c r="S100" s="363">
        <f t="shared" si="71"/>
        <v>22986.07</v>
      </c>
      <c r="T100" s="363">
        <f t="shared" si="71"/>
        <v>8911.9599999999991</v>
      </c>
      <c r="U100" s="363">
        <f t="shared" si="71"/>
        <v>4975.76</v>
      </c>
      <c r="V100" s="363">
        <f t="shared" si="71"/>
        <v>3775.0599999999995</v>
      </c>
      <c r="W100" s="363">
        <f t="shared" si="72"/>
        <v>90321.39</v>
      </c>
      <c r="X100" s="363">
        <f t="shared" si="73"/>
        <v>11929.450000000003</v>
      </c>
      <c r="AI100" s="363"/>
      <c r="AJ100" s="363"/>
      <c r="AK100" s="363"/>
      <c r="AL100" s="363"/>
      <c r="AM100" s="363"/>
      <c r="AN100" s="363"/>
    </row>
    <row r="101" spans="1:40">
      <c r="A101" s="2" t="s">
        <v>103</v>
      </c>
      <c r="B101" s="16">
        <v>11899.06</v>
      </c>
      <c r="C101" s="16">
        <v>3749.840000000002</v>
      </c>
      <c r="D101" s="16">
        <v>4636.2700000000004</v>
      </c>
      <c r="E101" s="16">
        <v>2671.3399999999992</v>
      </c>
      <c r="F101" s="16">
        <v>50323.47</v>
      </c>
      <c r="G101" s="16">
        <v>1195.5899999999999</v>
      </c>
      <c r="H101" s="16">
        <v>1409.15</v>
      </c>
      <c r="I101" s="16">
        <v>0</v>
      </c>
      <c r="J101" s="16">
        <v>2930.09</v>
      </c>
      <c r="K101" s="16">
        <v>217.38</v>
      </c>
      <c r="L101" s="16">
        <v>0</v>
      </c>
      <c r="M101" s="16">
        <v>0</v>
      </c>
      <c r="N101" s="16">
        <v>95.1</v>
      </c>
      <c r="O101" s="16">
        <v>0</v>
      </c>
      <c r="P101" s="16">
        <v>0</v>
      </c>
      <c r="Q101" s="16">
        <v>0</v>
      </c>
      <c r="R101" s="8">
        <f t="shared" si="70"/>
        <v>79127.290000000008</v>
      </c>
      <c r="S101" s="363">
        <f t="shared" si="71"/>
        <v>11899.06</v>
      </c>
      <c r="T101" s="363">
        <f t="shared" si="71"/>
        <v>3749.840000000002</v>
      </c>
      <c r="U101" s="363">
        <f t="shared" si="71"/>
        <v>4636.2700000000004</v>
      </c>
      <c r="V101" s="363">
        <f t="shared" si="71"/>
        <v>2671.3399999999992</v>
      </c>
      <c r="W101" s="363">
        <f t="shared" si="72"/>
        <v>51519.06</v>
      </c>
      <c r="X101" s="363">
        <f t="shared" si="73"/>
        <v>4651.72</v>
      </c>
      <c r="AI101" s="363"/>
      <c r="AJ101" s="363"/>
      <c r="AK101" s="363"/>
      <c r="AL101" s="363"/>
      <c r="AM101" s="363"/>
      <c r="AN101" s="363"/>
    </row>
    <row r="102" spans="1:40">
      <c r="A102" s="6" t="s">
        <v>37</v>
      </c>
      <c r="B102" s="5">
        <f t="shared" ref="B102:X102" si="74">SUM(B75:B101)</f>
        <v>2453996.9</v>
      </c>
      <c r="C102" s="5">
        <f t="shared" si="74"/>
        <v>1410497.09</v>
      </c>
      <c r="D102" s="5">
        <f t="shared" si="74"/>
        <v>1130342.05</v>
      </c>
      <c r="E102" s="5">
        <f t="shared" si="74"/>
        <v>405032.99</v>
      </c>
      <c r="F102" s="5">
        <f t="shared" si="74"/>
        <v>10232478.880000001</v>
      </c>
      <c r="G102" s="5">
        <f t="shared" si="74"/>
        <v>225531.75</v>
      </c>
      <c r="H102" s="5">
        <f t="shared" si="74"/>
        <v>433230.74000000005</v>
      </c>
      <c r="I102" s="5">
        <f t="shared" si="74"/>
        <v>44113.59</v>
      </c>
      <c r="J102" s="5">
        <f t="shared" si="74"/>
        <v>705110.46</v>
      </c>
      <c r="K102" s="5">
        <f t="shared" si="74"/>
        <v>40976.12999999999</v>
      </c>
      <c r="L102" s="5">
        <f t="shared" si="74"/>
        <v>6304.02</v>
      </c>
      <c r="M102" s="5">
        <f t="shared" si="74"/>
        <v>7737.4099999999989</v>
      </c>
      <c r="N102" s="5">
        <f t="shared" si="74"/>
        <v>10619.500000000002</v>
      </c>
      <c r="O102" s="5">
        <f t="shared" si="74"/>
        <v>116.24000000000001</v>
      </c>
      <c r="P102" s="5">
        <f t="shared" si="74"/>
        <v>174.28</v>
      </c>
      <c r="Q102" s="5">
        <f t="shared" si="74"/>
        <v>3423.59</v>
      </c>
      <c r="R102" s="5">
        <f t="shared" si="74"/>
        <v>17109685.620000001</v>
      </c>
      <c r="S102" s="363">
        <f t="shared" si="74"/>
        <v>2453996.9</v>
      </c>
      <c r="T102" s="363">
        <f t="shared" si="74"/>
        <v>1410497.09</v>
      </c>
      <c r="U102" s="363">
        <f t="shared" si="74"/>
        <v>1130342.05</v>
      </c>
      <c r="V102" s="363">
        <f t="shared" si="74"/>
        <v>405032.99</v>
      </c>
      <c r="W102" s="363">
        <f t="shared" si="74"/>
        <v>10458010.630000001</v>
      </c>
      <c r="X102" s="363">
        <f t="shared" si="74"/>
        <v>1251805.96</v>
      </c>
      <c r="AI102" s="363"/>
      <c r="AJ102" s="363"/>
      <c r="AK102" s="363"/>
      <c r="AL102" s="363"/>
      <c r="AM102" s="363"/>
      <c r="AN102" s="363"/>
    </row>
    <row r="103" spans="1:40">
      <c r="R103" s="363"/>
    </row>
    <row r="104" spans="1:40">
      <c r="R104" s="363"/>
    </row>
    <row r="105" spans="1:40">
      <c r="R105" s="363"/>
    </row>
  </sheetData>
  <mergeCells count="48">
    <mergeCell ref="A72:R72"/>
    <mergeCell ref="A73:A74"/>
    <mergeCell ref="B73:C73"/>
    <mergeCell ref="D73:E73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R73:R74"/>
    <mergeCell ref="P73:Q73"/>
    <mergeCell ref="O73:O74"/>
    <mergeCell ref="A37:R37"/>
    <mergeCell ref="A38:A39"/>
    <mergeCell ref="B38:C38"/>
    <mergeCell ref="D38:E38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R38:R39"/>
    <mergeCell ref="P38:Q38"/>
    <mergeCell ref="O38:O39"/>
    <mergeCell ref="A2:R2"/>
    <mergeCell ref="A3:A4"/>
    <mergeCell ref="B3:C3"/>
    <mergeCell ref="D3:E3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R3:R4"/>
    <mergeCell ref="P3:Q3"/>
    <mergeCell ref="O3:O4"/>
  </mergeCells>
  <pageMargins left="0.511811024" right="0.511811024" top="0.78740157499999996" bottom="0.78740157499999996" header="0.31496062000000002" footer="0.31496062000000002"/>
  <pageSetup paperSize="9" scale="1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62</vt:i4>
      </vt:variant>
      <vt:variant>
        <vt:lpstr>Intervalos nomeados</vt:lpstr>
      </vt:variant>
      <vt:variant>
        <vt:i4>11</vt:i4>
      </vt:variant>
    </vt:vector>
  </HeadingPairs>
  <TitlesOfParts>
    <vt:vector size="73" baseType="lpstr">
      <vt:lpstr>Relatórios - SICCAU e IGEO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TOTAL POR UF</vt:lpstr>
      <vt:lpstr>EXERCÍCIOS ANTERIORES</vt:lpstr>
      <vt:lpstr>ARRECADAÇÃO MENSAL POR RECEITA</vt:lpstr>
      <vt:lpstr>PF - Gênero</vt:lpstr>
      <vt:lpstr>Anuid PF</vt:lpstr>
      <vt:lpstr>Anuid PJ</vt:lpstr>
      <vt:lpstr>RRT</vt:lpstr>
      <vt:lpstr>Taxas e Multas.</vt:lpstr>
      <vt:lpstr>Arrecadação Total</vt:lpstr>
      <vt:lpstr>Comparativo YoY</vt:lpstr>
      <vt:lpstr>ADIMPLÊNCIA PF</vt:lpstr>
      <vt:lpstr>ADIMPLÊNCIA PJ</vt:lpstr>
      <vt:lpstr>RRT POR PROFISSIONAL</vt:lpstr>
      <vt:lpstr>Médias por UF</vt:lpstr>
      <vt:lpstr>Evolução das Receitas</vt:lpstr>
      <vt:lpstr>Lançamentos</vt:lpstr>
      <vt:lpstr>Gráficos - Arrecadação</vt:lpstr>
      <vt:lpstr>RRTs pagos por Grupo</vt:lpstr>
      <vt:lpstr>Dados - Receita e Qntd</vt:lpstr>
      <vt:lpstr>Índice</vt:lpstr>
      <vt:lpstr>PF - Qntd</vt:lpstr>
      <vt:lpstr>PF - Receita</vt:lpstr>
      <vt:lpstr>PF - Ativos x Receita</vt:lpstr>
      <vt:lpstr>PJ - Qntd</vt:lpstr>
      <vt:lpstr>PJ - Receita</vt:lpstr>
      <vt:lpstr>RRT - Qntd e Receita</vt:lpstr>
      <vt:lpstr>RRT - Ativos x RRT</vt:lpstr>
      <vt:lpstr>RRT - Grupos</vt:lpstr>
      <vt:lpstr>Taxas e Multas</vt:lpstr>
      <vt:lpstr>CAU UF - Receita Total 80%</vt:lpstr>
      <vt:lpstr>CAU BR - PF e PJ</vt:lpstr>
      <vt:lpstr>CAU BR - RRT e Taxas</vt:lpstr>
      <vt:lpstr>CAU BR - Receita Total 20%</vt:lpstr>
      <vt:lpstr>Gráficos - 100%</vt:lpstr>
      <vt:lpstr>Gráficos - Arrec. Total</vt:lpstr>
      <vt:lpstr>Gráficos - PF</vt:lpstr>
      <vt:lpstr>Gráficos - PF - Ex. Ant.</vt:lpstr>
      <vt:lpstr>Gráficos - PJ</vt:lpstr>
      <vt:lpstr>Gráficos - PJ - Ex. Ant.</vt:lpstr>
      <vt:lpstr>Gráficos - RRT</vt:lpstr>
      <vt:lpstr>Gráficos - Taxas</vt:lpstr>
      <vt:lpstr>CPFi</vt:lpstr>
      <vt:lpstr>BD_UF</vt:lpstr>
      <vt:lpstr>BD_Tipo de Receita</vt:lpstr>
      <vt:lpstr>BD_PF</vt:lpstr>
      <vt:lpstr>BD_PJ</vt:lpstr>
      <vt:lpstr>BD_Inad</vt:lpstr>
      <vt:lpstr>BD_Receita</vt:lpstr>
      <vt:lpstr>BD_RRT</vt:lpstr>
      <vt:lpstr>'Anuid PF'!Area_de_impressao</vt:lpstr>
      <vt:lpstr>'Anuid PJ'!Area_de_impressao</vt:lpstr>
      <vt:lpstr>'ARRECADAÇÃO MENSAL POR RECEITA'!Area_de_impressao</vt:lpstr>
      <vt:lpstr>'Arrecadação Total'!Area_de_impressao</vt:lpstr>
      <vt:lpstr>'Comparativo YoY'!Area_de_impressao</vt:lpstr>
      <vt:lpstr>'Gráficos - Taxas'!Area_de_impressao</vt:lpstr>
      <vt:lpstr>RRT!Area_de_impressao</vt:lpstr>
      <vt:lpstr>'RRT POR PROFISSIONAL'!Area_de_impressao</vt:lpstr>
      <vt:lpstr>'Taxas e Multas.'!Area_de_impressao</vt:lpstr>
      <vt:lpstr>'Comparativo YoY'!Titulos_de_impressao</vt:lpstr>
      <vt:lpstr>VArRecTota_UFxBR</vt:lpstr>
    </vt:vector>
  </TitlesOfParts>
  <Company>CAU/BR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Cenário de Arrecadação</dc:title>
  <dc:creator>Marcos Cristino de Oliveira</dc:creator>
  <cp:lastModifiedBy>Marcos Cristino de Oliveira</cp:lastModifiedBy>
  <cp:lastPrinted>2019-05-08T12:04:19Z</cp:lastPrinted>
  <dcterms:created xsi:type="dcterms:W3CDTF">2014-05-13T15:18:38Z</dcterms:created>
  <dcterms:modified xsi:type="dcterms:W3CDTF">2022-10-05T16:27:52Z</dcterms:modified>
</cp:coreProperties>
</file>